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\\WIN-SHARE\Share\1 Штаб\1.25 Ком-й депар ЖК АмГрад\Коммерческий департамент ЖК\ПЛАН ПРОДАЖ\ПП 5 Дом\"/>
    </mc:Choice>
  </mc:AlternateContent>
  <xr:revisionPtr revIDLastSave="0" documentId="13_ncr:1_{95C60D1B-78F1-41DB-ABF6-4EF5598E2FA8}" xr6:coauthVersionLast="47" xr6:coauthVersionMax="47" xr10:uidLastSave="{00000000-0000-0000-0000-000000000000}"/>
  <bookViews>
    <workbookView xWindow="-120" yWindow="-120" windowWidth="29040" windowHeight="15840" tabRatio="591" xr2:uid="{1B233A42-D1BF-4CA8-A422-83A6AEA70DB4}"/>
  </bookViews>
  <sheets>
    <sheet name="Реестр ОН" sheetId="3" r:id="rId1"/>
    <sheet name="Наценка коэфф" sheetId="25" r:id="rId2"/>
    <sheet name="коэффициенты" sheetId="22" r:id="rId3"/>
    <sheet name="РДДУ" sheetId="28" r:id="rId4"/>
    <sheet name="Отделка" sheetId="29" r:id="rId5"/>
    <sheet name="Лист2" sheetId="30" r:id="rId6"/>
    <sheet name="отрицательный кф" sheetId="27" state="hidden" r:id="rId7"/>
    <sheet name="Сводная остатки" sheetId="26" state="hidden" r:id="rId8"/>
  </sheets>
  <externalReferences>
    <externalReference r:id="rId9"/>
  </externalReferences>
  <definedNames>
    <definedName name="_xlnm._FilterDatabase" localSheetId="0" hidden="1">'Реестр ОН'!$A$2:$DC$2</definedName>
    <definedName name="ExternalData_1" localSheetId="3" hidden="1">РДДУ!$A$1:$AZ$426</definedName>
    <definedName name="Метка1">#REF!</definedName>
    <definedName name="Метка2">#REF!</definedName>
    <definedName name="Метка3">#REF!</definedName>
    <definedName name="Метка4">#REF!</definedName>
    <definedName name="Реестр4_1" localSheetId="1" hidden="1">'Наценка коэфф'!$A$2:$AL$582</definedName>
    <definedName name="Срез_Секция">#N/A</definedName>
    <definedName name="Срез_Секция1">#N/A</definedName>
    <definedName name="Срез_Тип_кв">#N/A</definedName>
    <definedName name="Срез_Тип_кв1">#N/A</definedName>
    <definedName name="СуммаДДУ">[1]!Таблица4[[#Headers],[Сумма
с отделкой]]</definedName>
  </definedNames>
  <calcPr calcId="191029"/>
  <pivotCaches>
    <pivotCache cacheId="1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3" i="3" l="1"/>
  <c r="AN4" i="3"/>
  <c r="AN5" i="3"/>
  <c r="AN6" i="3"/>
  <c r="AN7" i="3"/>
  <c r="AN8" i="3"/>
  <c r="AN9" i="3"/>
  <c r="AN10" i="3"/>
  <c r="AN11" i="3"/>
  <c r="AN12" i="3"/>
  <c r="AN13" i="3"/>
  <c r="AN14" i="3"/>
  <c r="AN15" i="3"/>
  <c r="AN16" i="3"/>
  <c r="AN17" i="3"/>
  <c r="AN18" i="3"/>
  <c r="AN19" i="3"/>
  <c r="AN20" i="3"/>
  <c r="AN21" i="3"/>
  <c r="AN22" i="3"/>
  <c r="AN23" i="3"/>
  <c r="AN24" i="3"/>
  <c r="AN25" i="3"/>
  <c r="AN26" i="3"/>
  <c r="AN27" i="3"/>
  <c r="AN28" i="3"/>
  <c r="AN29" i="3"/>
  <c r="AN30" i="3"/>
  <c r="AN31" i="3"/>
  <c r="AN32" i="3"/>
  <c r="AN33" i="3"/>
  <c r="AN34" i="3"/>
  <c r="AN35" i="3"/>
  <c r="AN36" i="3"/>
  <c r="AN37" i="3"/>
  <c r="AN38" i="3"/>
  <c r="AN39" i="3"/>
  <c r="AN40" i="3"/>
  <c r="AN41" i="3"/>
  <c r="AN42" i="3"/>
  <c r="AN43" i="3"/>
  <c r="AN44" i="3"/>
  <c r="AN45" i="3"/>
  <c r="AN46" i="3"/>
  <c r="AN47" i="3"/>
  <c r="AN48" i="3"/>
  <c r="AN49" i="3"/>
  <c r="AN50" i="3"/>
  <c r="AN51" i="3"/>
  <c r="AN52" i="3"/>
  <c r="AN53" i="3"/>
  <c r="AN54" i="3"/>
  <c r="AN55" i="3"/>
  <c r="AN56" i="3"/>
  <c r="AN57" i="3"/>
  <c r="AN58" i="3"/>
  <c r="AN59" i="3"/>
  <c r="AN60" i="3"/>
  <c r="AN61" i="3"/>
  <c r="AN62" i="3"/>
  <c r="AN63" i="3"/>
  <c r="AN64" i="3"/>
  <c r="AN65" i="3"/>
  <c r="AN66" i="3"/>
  <c r="AN67" i="3"/>
  <c r="AN68" i="3"/>
  <c r="AN69" i="3"/>
  <c r="AN70" i="3"/>
  <c r="AN71" i="3"/>
  <c r="AN72" i="3"/>
  <c r="AN73" i="3"/>
  <c r="AN74" i="3"/>
  <c r="AN75" i="3"/>
  <c r="AN76" i="3"/>
  <c r="AN77" i="3"/>
  <c r="AN78" i="3"/>
  <c r="AN79" i="3"/>
  <c r="AN80" i="3"/>
  <c r="AN81" i="3"/>
  <c r="AN82" i="3"/>
  <c r="AN83" i="3"/>
  <c r="AN84" i="3"/>
  <c r="AN85" i="3"/>
  <c r="AN86" i="3"/>
  <c r="AN87" i="3"/>
  <c r="AN88" i="3"/>
  <c r="AN89" i="3"/>
  <c r="AN90" i="3"/>
  <c r="AN91" i="3"/>
  <c r="AN92" i="3"/>
  <c r="AN93" i="3"/>
  <c r="AN94" i="3"/>
  <c r="AN95" i="3"/>
  <c r="AN96" i="3"/>
  <c r="AN97" i="3"/>
  <c r="AN98" i="3"/>
  <c r="AN99" i="3"/>
  <c r="AN100" i="3"/>
  <c r="AN101" i="3"/>
  <c r="AN102" i="3"/>
  <c r="AN103" i="3"/>
  <c r="AN104" i="3"/>
  <c r="AN105" i="3"/>
  <c r="AN106" i="3"/>
  <c r="AN107" i="3"/>
  <c r="AN108" i="3"/>
  <c r="AN109" i="3"/>
  <c r="AN110" i="3"/>
  <c r="AN111" i="3"/>
  <c r="AN112" i="3"/>
  <c r="AN113" i="3"/>
  <c r="AN114" i="3"/>
  <c r="AN115" i="3"/>
  <c r="AN116" i="3"/>
  <c r="AN117" i="3"/>
  <c r="AN118" i="3"/>
  <c r="AN119" i="3"/>
  <c r="AN120" i="3"/>
  <c r="AN121" i="3"/>
  <c r="AN122" i="3"/>
  <c r="AN123" i="3"/>
  <c r="AN124" i="3"/>
  <c r="AN125" i="3"/>
  <c r="AN126" i="3"/>
  <c r="AN127" i="3"/>
  <c r="AN128" i="3"/>
  <c r="AN129" i="3"/>
  <c r="AN130" i="3"/>
  <c r="AN131" i="3"/>
  <c r="AN132" i="3"/>
  <c r="AN133" i="3"/>
  <c r="AN134" i="3"/>
  <c r="AN135" i="3"/>
  <c r="AN136" i="3"/>
  <c r="AN137" i="3"/>
  <c r="AN138" i="3"/>
  <c r="AN139" i="3"/>
  <c r="AN140" i="3"/>
  <c r="AN141" i="3"/>
  <c r="AN142" i="3"/>
  <c r="AN143" i="3"/>
  <c r="AN144" i="3"/>
  <c r="AN145" i="3"/>
  <c r="AN146" i="3"/>
  <c r="AN147" i="3"/>
  <c r="AN148" i="3"/>
  <c r="AN149" i="3"/>
  <c r="AN150" i="3"/>
  <c r="AN151" i="3"/>
  <c r="AN152" i="3"/>
  <c r="AN153" i="3"/>
  <c r="AN154" i="3"/>
  <c r="AN155" i="3"/>
  <c r="AN156" i="3"/>
  <c r="AN157" i="3"/>
  <c r="AN158" i="3"/>
  <c r="AN159" i="3"/>
  <c r="AN160" i="3"/>
  <c r="AN161" i="3"/>
  <c r="AN162" i="3"/>
  <c r="AN163" i="3"/>
  <c r="AN164" i="3"/>
  <c r="AN165" i="3"/>
  <c r="AN166" i="3"/>
  <c r="AN167" i="3"/>
  <c r="AN168" i="3"/>
  <c r="AN169" i="3"/>
  <c r="AN170" i="3"/>
  <c r="AN171" i="3"/>
  <c r="AN172" i="3"/>
  <c r="AN173" i="3"/>
  <c r="AN174" i="3"/>
  <c r="AN175" i="3"/>
  <c r="AN176" i="3"/>
  <c r="AN177" i="3"/>
  <c r="AN178" i="3"/>
  <c r="AN179" i="3"/>
  <c r="AN180" i="3"/>
  <c r="AN181" i="3"/>
  <c r="AN182" i="3"/>
  <c r="AN183" i="3"/>
  <c r="AN184" i="3"/>
  <c r="AN185" i="3"/>
  <c r="AN186" i="3"/>
  <c r="AN187" i="3"/>
  <c r="AN188" i="3"/>
  <c r="AN189" i="3"/>
  <c r="AN190" i="3"/>
  <c r="AN191" i="3"/>
  <c r="AN192" i="3"/>
  <c r="AN193" i="3"/>
  <c r="AN194" i="3"/>
  <c r="AN195" i="3"/>
  <c r="AN196" i="3"/>
  <c r="AN197" i="3"/>
  <c r="AN198" i="3"/>
  <c r="AN199" i="3"/>
  <c r="AN200" i="3"/>
  <c r="AN201" i="3"/>
  <c r="AN202" i="3"/>
  <c r="AN203" i="3"/>
  <c r="AN204" i="3"/>
  <c r="AN205" i="3"/>
  <c r="AN206" i="3"/>
  <c r="AN207" i="3"/>
  <c r="AN208" i="3"/>
  <c r="AN209" i="3"/>
  <c r="AN210" i="3"/>
  <c r="AN211" i="3"/>
  <c r="AN212" i="3"/>
  <c r="AN213" i="3"/>
  <c r="AN214" i="3"/>
  <c r="AN215" i="3"/>
  <c r="AN216" i="3"/>
  <c r="AN217" i="3"/>
  <c r="AN218" i="3"/>
  <c r="AN219" i="3"/>
  <c r="AN220" i="3"/>
  <c r="AN221" i="3"/>
  <c r="AN222" i="3"/>
  <c r="AN223" i="3"/>
  <c r="AN224" i="3"/>
  <c r="AN225" i="3"/>
  <c r="AN226" i="3"/>
  <c r="AN227" i="3"/>
  <c r="AN228" i="3"/>
  <c r="AN229" i="3"/>
  <c r="AN230" i="3"/>
  <c r="AN231" i="3"/>
  <c r="AN232" i="3"/>
  <c r="AN233" i="3"/>
  <c r="AN234" i="3"/>
  <c r="AN235" i="3"/>
  <c r="AN236" i="3"/>
  <c r="AN237" i="3"/>
  <c r="AN238" i="3"/>
  <c r="AN239" i="3"/>
  <c r="AN240" i="3"/>
  <c r="AN241" i="3"/>
  <c r="AN242" i="3"/>
  <c r="AN243" i="3"/>
  <c r="AN244" i="3"/>
  <c r="AN245" i="3"/>
  <c r="AN246" i="3"/>
  <c r="AN247" i="3"/>
  <c r="AN248" i="3"/>
  <c r="AN249" i="3"/>
  <c r="AN250" i="3"/>
  <c r="AN251" i="3"/>
  <c r="AN252" i="3"/>
  <c r="AN253" i="3"/>
  <c r="AN254" i="3"/>
  <c r="AN255" i="3"/>
  <c r="AN256" i="3"/>
  <c r="AN257" i="3"/>
  <c r="AN258" i="3"/>
  <c r="AN259" i="3"/>
  <c r="AN260" i="3"/>
  <c r="AN261" i="3"/>
  <c r="AN262" i="3"/>
  <c r="AN263" i="3"/>
  <c r="AN264" i="3"/>
  <c r="AN265" i="3"/>
  <c r="AN266" i="3"/>
  <c r="AN267" i="3"/>
  <c r="AN268" i="3"/>
  <c r="AN269" i="3"/>
  <c r="AN270" i="3"/>
  <c r="AN271" i="3"/>
  <c r="AN272" i="3"/>
  <c r="AN273" i="3"/>
  <c r="AN274" i="3"/>
  <c r="AN275" i="3"/>
  <c r="AN276" i="3"/>
  <c r="AN277" i="3"/>
  <c r="AN278" i="3"/>
  <c r="AN279" i="3"/>
  <c r="AN280" i="3"/>
  <c r="AN281" i="3"/>
  <c r="AN282" i="3"/>
  <c r="AN283" i="3"/>
  <c r="AN284" i="3"/>
  <c r="AN285" i="3"/>
  <c r="AN286" i="3"/>
  <c r="AN287" i="3"/>
  <c r="AN288" i="3"/>
  <c r="AN289" i="3"/>
  <c r="AN290" i="3"/>
  <c r="AN291" i="3"/>
  <c r="AN292" i="3"/>
  <c r="AN293" i="3"/>
  <c r="AN294" i="3"/>
  <c r="AN295" i="3"/>
  <c r="AN296" i="3"/>
  <c r="AN297" i="3"/>
  <c r="AN298" i="3"/>
  <c r="AN299" i="3"/>
  <c r="AN300" i="3"/>
  <c r="AN301" i="3"/>
  <c r="AN302" i="3"/>
  <c r="AN303" i="3"/>
  <c r="AN304" i="3"/>
  <c r="AN305" i="3"/>
  <c r="AN306" i="3"/>
  <c r="AN307" i="3"/>
  <c r="AN308" i="3"/>
  <c r="AN309" i="3"/>
  <c r="AN310" i="3"/>
  <c r="AN311" i="3"/>
  <c r="AN312" i="3"/>
  <c r="AN313" i="3"/>
  <c r="AN314" i="3"/>
  <c r="AN315" i="3"/>
  <c r="AN316" i="3"/>
  <c r="AN317" i="3"/>
  <c r="AN318" i="3"/>
  <c r="AN319" i="3"/>
  <c r="AN320" i="3"/>
  <c r="AN321" i="3"/>
  <c r="AN322" i="3"/>
  <c r="AN323" i="3"/>
  <c r="AN324" i="3"/>
  <c r="AN325" i="3"/>
  <c r="AN326" i="3"/>
  <c r="AN327" i="3"/>
  <c r="AN328" i="3"/>
  <c r="AN329" i="3"/>
  <c r="AN330" i="3"/>
  <c r="AN331" i="3"/>
  <c r="AN332" i="3"/>
  <c r="AN333" i="3"/>
  <c r="AN334" i="3"/>
  <c r="AN335" i="3"/>
  <c r="AN336" i="3"/>
  <c r="AN337" i="3"/>
  <c r="AN338" i="3"/>
  <c r="AN339" i="3"/>
  <c r="AN340" i="3"/>
  <c r="AN341" i="3"/>
  <c r="AN342" i="3"/>
  <c r="AN343" i="3"/>
  <c r="AN344" i="3"/>
  <c r="AN345" i="3"/>
  <c r="AN346" i="3"/>
  <c r="AN347" i="3"/>
  <c r="AN348" i="3"/>
  <c r="AN349" i="3"/>
  <c r="AN350" i="3"/>
  <c r="AN351" i="3"/>
  <c r="AN352" i="3"/>
  <c r="AN353" i="3"/>
  <c r="AN354" i="3"/>
  <c r="AN355" i="3"/>
  <c r="AN356" i="3"/>
  <c r="AN357" i="3"/>
  <c r="AN358" i="3"/>
  <c r="AN359" i="3"/>
  <c r="AN360" i="3"/>
  <c r="AN361" i="3"/>
  <c r="AN362" i="3"/>
  <c r="AN363" i="3"/>
  <c r="AN364" i="3"/>
  <c r="AN365" i="3"/>
  <c r="AN366" i="3"/>
  <c r="AN367" i="3"/>
  <c r="AN368" i="3"/>
  <c r="AN369" i="3"/>
  <c r="AN370" i="3"/>
  <c r="AN371" i="3"/>
  <c r="AN372" i="3"/>
  <c r="AN373" i="3"/>
  <c r="AN374" i="3"/>
  <c r="AN375" i="3"/>
  <c r="AN376" i="3"/>
  <c r="AN377" i="3"/>
  <c r="AN378" i="3"/>
  <c r="AN379" i="3"/>
  <c r="AN380" i="3"/>
  <c r="AN381" i="3"/>
  <c r="AN382" i="3"/>
  <c r="AN383" i="3"/>
  <c r="AN384" i="3"/>
  <c r="AN385" i="3"/>
  <c r="AN386" i="3"/>
  <c r="AN387" i="3"/>
  <c r="AN388" i="3"/>
  <c r="AN389" i="3"/>
  <c r="AN390" i="3"/>
  <c r="AN391" i="3"/>
  <c r="AN392" i="3"/>
  <c r="AN393" i="3"/>
  <c r="AN394" i="3"/>
  <c r="AN395" i="3"/>
  <c r="AN396" i="3"/>
  <c r="AN397" i="3"/>
  <c r="AN398" i="3"/>
  <c r="AN399" i="3"/>
  <c r="AN400" i="3"/>
  <c r="AN401" i="3"/>
  <c r="AN402" i="3"/>
  <c r="AN403" i="3"/>
  <c r="AN404" i="3"/>
  <c r="AN405" i="3"/>
  <c r="AN406" i="3"/>
  <c r="AN407" i="3"/>
  <c r="AN408" i="3"/>
  <c r="AN409" i="3"/>
  <c r="AN410" i="3"/>
  <c r="AN411" i="3"/>
  <c r="AN412" i="3"/>
  <c r="AN413" i="3"/>
  <c r="AN414" i="3"/>
  <c r="AN415" i="3"/>
  <c r="AN416" i="3"/>
  <c r="AN417" i="3"/>
  <c r="AN418" i="3"/>
  <c r="AN419" i="3"/>
  <c r="AN420" i="3"/>
  <c r="AN421" i="3"/>
  <c r="AN422" i="3"/>
  <c r="AN423" i="3"/>
  <c r="AN424" i="3"/>
  <c r="AN425" i="3"/>
  <c r="AN426" i="3"/>
  <c r="AN427" i="3"/>
  <c r="AN428" i="3"/>
  <c r="AN429" i="3"/>
  <c r="AN430" i="3"/>
  <c r="AN431" i="3"/>
  <c r="AN432" i="3"/>
  <c r="AN433" i="3"/>
  <c r="AN434" i="3"/>
  <c r="AN435" i="3"/>
  <c r="AN436" i="3"/>
  <c r="AN437" i="3"/>
  <c r="AN438" i="3"/>
  <c r="AN439" i="3"/>
  <c r="AN440" i="3"/>
  <c r="AN441" i="3"/>
  <c r="AN442" i="3"/>
  <c r="AN443" i="3"/>
  <c r="AN444" i="3"/>
  <c r="AN445" i="3"/>
  <c r="AN446" i="3"/>
  <c r="AN447" i="3"/>
  <c r="AN448" i="3"/>
  <c r="AN449" i="3"/>
  <c r="AN450" i="3"/>
  <c r="AN451" i="3"/>
  <c r="AN452" i="3"/>
  <c r="AN453" i="3"/>
  <c r="AN454" i="3"/>
  <c r="AN455" i="3"/>
  <c r="AN456" i="3"/>
  <c r="AN457" i="3"/>
  <c r="AN458" i="3"/>
  <c r="AN459" i="3"/>
  <c r="AN460" i="3"/>
  <c r="AN461" i="3"/>
  <c r="AN462" i="3"/>
  <c r="AN463" i="3"/>
  <c r="AN464" i="3"/>
  <c r="AN465" i="3"/>
  <c r="AN466" i="3"/>
  <c r="AN467" i="3"/>
  <c r="AN468" i="3"/>
  <c r="AN469" i="3"/>
  <c r="AN470" i="3"/>
  <c r="AN471" i="3"/>
  <c r="AN472" i="3"/>
  <c r="AN473" i="3"/>
  <c r="AN474" i="3"/>
  <c r="AN475" i="3"/>
  <c r="AN476" i="3"/>
  <c r="AN477" i="3"/>
  <c r="AN478" i="3"/>
  <c r="AN479" i="3"/>
  <c r="AN480" i="3"/>
  <c r="AN481" i="3"/>
  <c r="AN482" i="3"/>
  <c r="AN483" i="3"/>
  <c r="AN484" i="3"/>
  <c r="AN485" i="3"/>
  <c r="AN486" i="3"/>
  <c r="AN487" i="3"/>
  <c r="AN488" i="3"/>
  <c r="AN489" i="3"/>
  <c r="AN490" i="3"/>
  <c r="AN491" i="3"/>
  <c r="AN492" i="3"/>
  <c r="AN493" i="3"/>
  <c r="AN494" i="3"/>
  <c r="AN495" i="3"/>
  <c r="AN496" i="3"/>
  <c r="AN497" i="3"/>
  <c r="AN498" i="3"/>
  <c r="AN499" i="3"/>
  <c r="AN500" i="3"/>
  <c r="AN501" i="3"/>
  <c r="AN502" i="3"/>
  <c r="AN503" i="3"/>
  <c r="AN504" i="3"/>
  <c r="AN505" i="3"/>
  <c r="AN506" i="3"/>
  <c r="AN507" i="3"/>
  <c r="AN508" i="3"/>
  <c r="AN509" i="3"/>
  <c r="AN510" i="3"/>
  <c r="AN511" i="3"/>
  <c r="AN512" i="3"/>
  <c r="AN513" i="3"/>
  <c r="AN514" i="3"/>
  <c r="AN515" i="3"/>
  <c r="AN516" i="3"/>
  <c r="AN517" i="3"/>
  <c r="AN518" i="3"/>
  <c r="AN519" i="3"/>
  <c r="AN520" i="3"/>
  <c r="AN521" i="3"/>
  <c r="AN522" i="3"/>
  <c r="AN523" i="3"/>
  <c r="AN524" i="3"/>
  <c r="AN525" i="3"/>
  <c r="AN526" i="3"/>
  <c r="AN527" i="3"/>
  <c r="AN528" i="3"/>
  <c r="AN529" i="3"/>
  <c r="AN530" i="3"/>
  <c r="AN531" i="3"/>
  <c r="AN532" i="3"/>
  <c r="AN533" i="3"/>
  <c r="AN534" i="3"/>
  <c r="AN535" i="3"/>
  <c r="AN536" i="3"/>
  <c r="AN537" i="3"/>
  <c r="AN538" i="3"/>
  <c r="AN539" i="3"/>
  <c r="AN540" i="3"/>
  <c r="AN541" i="3"/>
  <c r="AN542" i="3"/>
  <c r="AN543" i="3"/>
  <c r="AN544" i="3"/>
  <c r="AN545" i="3"/>
  <c r="AN546" i="3"/>
  <c r="AN547" i="3"/>
  <c r="AN548" i="3"/>
  <c r="AN549" i="3"/>
  <c r="AN550" i="3"/>
  <c r="AN551" i="3"/>
  <c r="AN552" i="3"/>
  <c r="AN553" i="3"/>
  <c r="AN554" i="3"/>
  <c r="AN555" i="3"/>
  <c r="AN556" i="3"/>
  <c r="AN557" i="3"/>
  <c r="AN558" i="3"/>
  <c r="AN559" i="3"/>
  <c r="AN560" i="3"/>
  <c r="AN561" i="3"/>
  <c r="AN562" i="3"/>
  <c r="AN563" i="3"/>
  <c r="AN564" i="3"/>
  <c r="AN565" i="3"/>
  <c r="AN566" i="3"/>
  <c r="AN567" i="3"/>
  <c r="AN568" i="3"/>
  <c r="AN569" i="3"/>
  <c r="AN570" i="3"/>
  <c r="AN571" i="3"/>
  <c r="AN572" i="3"/>
  <c r="AN573" i="3"/>
  <c r="AN574" i="3"/>
  <c r="AN575" i="3"/>
  <c r="AN576" i="3"/>
  <c r="AN577" i="3"/>
  <c r="AN578" i="3"/>
  <c r="AN579" i="3"/>
  <c r="AN580" i="3"/>
  <c r="AN581" i="3"/>
  <c r="AN582" i="3"/>
  <c r="AN1" i="3" l="1"/>
  <c r="AJ1" i="3"/>
  <c r="AI582" i="3"/>
  <c r="AI581" i="3"/>
  <c r="AI580" i="3"/>
  <c r="AI579" i="3"/>
  <c r="AI578" i="3"/>
  <c r="AI577" i="3"/>
  <c r="AI576" i="3"/>
  <c r="AI575" i="3"/>
  <c r="AI574" i="3"/>
  <c r="AI573" i="3"/>
  <c r="AI572" i="3"/>
  <c r="AI571" i="3"/>
  <c r="AI570" i="3"/>
  <c r="AI569" i="3"/>
  <c r="AI568" i="3"/>
  <c r="AI567" i="3"/>
  <c r="AI566" i="3"/>
  <c r="AI565" i="3"/>
  <c r="AI564" i="3"/>
  <c r="AI563" i="3"/>
  <c r="AI562" i="3"/>
  <c r="AI561" i="3"/>
  <c r="AI560" i="3"/>
  <c r="AI559" i="3"/>
  <c r="AI558" i="3"/>
  <c r="AI557" i="3"/>
  <c r="AI556" i="3"/>
  <c r="AI555" i="3"/>
  <c r="AI554" i="3"/>
  <c r="AI553" i="3"/>
  <c r="AI552" i="3"/>
  <c r="AI551" i="3"/>
  <c r="AI550" i="3"/>
  <c r="AI549" i="3"/>
  <c r="AI548" i="3"/>
  <c r="AI547" i="3"/>
  <c r="AI546" i="3"/>
  <c r="AI545" i="3"/>
  <c r="AI544" i="3"/>
  <c r="AI543" i="3"/>
  <c r="AI542" i="3"/>
  <c r="AI541" i="3"/>
  <c r="AI540" i="3"/>
  <c r="AI539" i="3"/>
  <c r="AI538" i="3"/>
  <c r="AI537" i="3"/>
  <c r="AI536" i="3"/>
  <c r="AI535" i="3"/>
  <c r="AI534" i="3"/>
  <c r="AI533" i="3"/>
  <c r="AI532" i="3"/>
  <c r="AI531" i="3"/>
  <c r="AI530" i="3"/>
  <c r="AI529" i="3"/>
  <c r="AI528" i="3"/>
  <c r="AI527" i="3"/>
  <c r="AI526" i="3"/>
  <c r="AI525" i="3"/>
  <c r="AI524" i="3"/>
  <c r="AI523" i="3"/>
  <c r="AI522" i="3"/>
  <c r="AI521" i="3"/>
  <c r="AI520" i="3"/>
  <c r="AI519" i="3"/>
  <c r="AI518" i="3"/>
  <c r="AI517" i="3"/>
  <c r="AI516" i="3"/>
  <c r="AI515" i="3"/>
  <c r="AI514" i="3"/>
  <c r="AI513" i="3"/>
  <c r="AI512" i="3"/>
  <c r="AI511" i="3"/>
  <c r="AI510" i="3"/>
  <c r="AI509" i="3"/>
  <c r="AI508" i="3"/>
  <c r="AI507" i="3"/>
  <c r="AI506" i="3"/>
  <c r="AI505" i="3"/>
  <c r="AI504" i="3"/>
  <c r="AI503" i="3"/>
  <c r="AI502" i="3"/>
  <c r="AI501" i="3"/>
  <c r="AI500" i="3"/>
  <c r="AI499" i="3"/>
  <c r="AI498" i="3"/>
  <c r="AI497" i="3"/>
  <c r="AI496" i="3"/>
  <c r="AI495" i="3"/>
  <c r="AI494" i="3"/>
  <c r="AI493" i="3"/>
  <c r="AI492" i="3"/>
  <c r="AI491" i="3"/>
  <c r="AI490" i="3"/>
  <c r="AI489" i="3"/>
  <c r="AI488" i="3"/>
  <c r="AI487" i="3"/>
  <c r="AI486" i="3"/>
  <c r="AI485" i="3"/>
  <c r="AI484" i="3"/>
  <c r="AI483" i="3"/>
  <c r="AI482" i="3"/>
  <c r="AI481" i="3"/>
  <c r="AI480" i="3"/>
  <c r="AI479" i="3"/>
  <c r="AI478" i="3"/>
  <c r="AI477" i="3"/>
  <c r="AI476" i="3"/>
  <c r="AI475" i="3"/>
  <c r="AI474" i="3"/>
  <c r="AI473" i="3"/>
  <c r="AI472" i="3"/>
  <c r="AI471" i="3"/>
  <c r="AI470" i="3"/>
  <c r="AI469" i="3"/>
  <c r="AI468" i="3"/>
  <c r="AI467" i="3"/>
  <c r="AI466" i="3"/>
  <c r="AI465" i="3"/>
  <c r="AI464" i="3"/>
  <c r="AI463" i="3"/>
  <c r="AI462" i="3"/>
  <c r="AI461" i="3"/>
  <c r="AI460" i="3"/>
  <c r="AI459" i="3"/>
  <c r="AI458" i="3"/>
  <c r="AI457" i="3"/>
  <c r="AI456" i="3"/>
  <c r="AI455" i="3"/>
  <c r="AI454" i="3"/>
  <c r="AI453" i="3"/>
  <c r="AI452" i="3"/>
  <c r="AI451" i="3"/>
  <c r="AI450" i="3"/>
  <c r="AI449" i="3"/>
  <c r="AI448" i="3"/>
  <c r="AI447" i="3"/>
  <c r="AI446" i="3"/>
  <c r="AI445" i="3"/>
  <c r="AI444" i="3"/>
  <c r="AI443" i="3"/>
  <c r="AI442" i="3"/>
  <c r="AI441" i="3"/>
  <c r="AI440" i="3"/>
  <c r="AI439" i="3"/>
  <c r="AI438" i="3"/>
  <c r="AI437" i="3"/>
  <c r="AI436" i="3"/>
  <c r="AI435" i="3"/>
  <c r="AI434" i="3"/>
  <c r="AI433" i="3"/>
  <c r="AI432" i="3"/>
  <c r="AI431" i="3"/>
  <c r="AI430" i="3"/>
  <c r="AI429" i="3"/>
  <c r="AI428" i="3"/>
  <c r="AI427" i="3"/>
  <c r="AI426" i="3"/>
  <c r="AI425" i="3"/>
  <c r="AI424" i="3"/>
  <c r="AI423" i="3"/>
  <c r="AI422" i="3"/>
  <c r="AI421" i="3"/>
  <c r="AI420" i="3"/>
  <c r="AI419" i="3"/>
  <c r="AI418" i="3"/>
  <c r="AI417" i="3"/>
  <c r="AI416" i="3"/>
  <c r="AI415" i="3"/>
  <c r="AI414" i="3"/>
  <c r="AI413" i="3"/>
  <c r="AI412" i="3"/>
  <c r="AI411" i="3"/>
  <c r="AI410" i="3"/>
  <c r="AI409" i="3"/>
  <c r="AI408" i="3"/>
  <c r="AI407" i="3"/>
  <c r="AI406" i="3"/>
  <c r="AI405" i="3"/>
  <c r="AI404" i="3"/>
  <c r="AI403" i="3"/>
  <c r="AI402" i="3"/>
  <c r="AI401" i="3"/>
  <c r="AI400" i="3"/>
  <c r="AI399" i="3"/>
  <c r="AI398" i="3"/>
  <c r="AI397" i="3"/>
  <c r="AI396" i="3"/>
  <c r="AI395" i="3"/>
  <c r="AI394" i="3"/>
  <c r="AI393" i="3"/>
  <c r="AI392" i="3"/>
  <c r="AI391" i="3"/>
  <c r="AI390" i="3"/>
  <c r="AI389" i="3"/>
  <c r="AI388" i="3"/>
  <c r="AI387" i="3"/>
  <c r="AI386" i="3"/>
  <c r="AI385" i="3"/>
  <c r="AI384" i="3"/>
  <c r="AI383" i="3"/>
  <c r="AI382" i="3"/>
  <c r="AI381" i="3"/>
  <c r="AI380" i="3"/>
  <c r="AI379" i="3"/>
  <c r="AI378" i="3"/>
  <c r="AI377" i="3"/>
  <c r="AI376" i="3"/>
  <c r="AI375" i="3"/>
  <c r="AI374" i="3"/>
  <c r="AI373" i="3"/>
  <c r="AI372" i="3"/>
  <c r="AI371" i="3"/>
  <c r="AI370" i="3"/>
  <c r="AI369" i="3"/>
  <c r="AI368" i="3"/>
  <c r="AI367" i="3"/>
  <c r="AI366" i="3"/>
  <c r="AI365" i="3"/>
  <c r="AI364" i="3"/>
  <c r="AI363" i="3"/>
  <c r="AI362" i="3"/>
  <c r="AI361" i="3"/>
  <c r="AI360" i="3"/>
  <c r="AI359" i="3"/>
  <c r="AI358" i="3"/>
  <c r="AI357" i="3"/>
  <c r="AI356" i="3"/>
  <c r="AI355" i="3"/>
  <c r="AI354" i="3"/>
  <c r="AI353" i="3"/>
  <c r="AI352" i="3"/>
  <c r="AI351" i="3"/>
  <c r="AI350" i="3"/>
  <c r="AI349" i="3"/>
  <c r="AI348" i="3"/>
  <c r="AI347" i="3"/>
  <c r="AI346" i="3"/>
  <c r="AI345" i="3"/>
  <c r="AI344" i="3"/>
  <c r="AI343" i="3"/>
  <c r="AI342" i="3"/>
  <c r="AI341" i="3"/>
  <c r="AI340" i="3"/>
  <c r="AI339" i="3"/>
  <c r="AI338" i="3"/>
  <c r="AI337" i="3"/>
  <c r="AI336" i="3"/>
  <c r="AI335" i="3"/>
  <c r="AI334" i="3"/>
  <c r="AI333" i="3"/>
  <c r="AI332" i="3"/>
  <c r="AI331" i="3"/>
  <c r="AI330" i="3"/>
  <c r="AI329" i="3"/>
  <c r="AI328" i="3"/>
  <c r="AI327" i="3"/>
  <c r="AI326" i="3"/>
  <c r="AI325" i="3"/>
  <c r="AI324" i="3"/>
  <c r="AI323" i="3"/>
  <c r="AI322" i="3"/>
  <c r="AI321" i="3"/>
  <c r="AI320" i="3"/>
  <c r="AI319" i="3"/>
  <c r="AI318" i="3"/>
  <c r="AI317" i="3"/>
  <c r="AI316" i="3"/>
  <c r="AI315" i="3"/>
  <c r="AI314" i="3"/>
  <c r="AI313" i="3"/>
  <c r="AI312" i="3"/>
  <c r="AI311" i="3"/>
  <c r="AI310" i="3"/>
  <c r="AI309" i="3"/>
  <c r="AI308" i="3"/>
  <c r="AI307" i="3"/>
  <c r="AI306" i="3"/>
  <c r="AI305" i="3"/>
  <c r="AI304" i="3"/>
  <c r="AI303" i="3"/>
  <c r="AI302" i="3"/>
  <c r="AI301" i="3"/>
  <c r="AI300" i="3"/>
  <c r="AI299" i="3"/>
  <c r="AI298" i="3"/>
  <c r="AI297" i="3"/>
  <c r="AI296" i="3"/>
  <c r="AI295" i="3"/>
  <c r="AI294" i="3"/>
  <c r="AI293" i="3"/>
  <c r="AI292" i="3"/>
  <c r="AI291" i="3"/>
  <c r="AI290" i="3"/>
  <c r="AI289" i="3"/>
  <c r="AI288" i="3"/>
  <c r="AI287" i="3"/>
  <c r="AI286" i="3"/>
  <c r="AI285" i="3"/>
  <c r="AI284" i="3"/>
  <c r="AI283" i="3"/>
  <c r="AI282" i="3"/>
  <c r="AI281" i="3"/>
  <c r="AI280" i="3"/>
  <c r="AI279" i="3"/>
  <c r="AI278" i="3"/>
  <c r="AI277" i="3"/>
  <c r="AI276" i="3"/>
  <c r="AI275" i="3"/>
  <c r="AI274" i="3"/>
  <c r="AI273" i="3"/>
  <c r="AI272" i="3"/>
  <c r="AI271" i="3"/>
  <c r="AI270" i="3"/>
  <c r="AI269" i="3"/>
  <c r="AI268" i="3"/>
  <c r="AI267" i="3"/>
  <c r="AI266" i="3"/>
  <c r="AI265" i="3"/>
  <c r="AI264" i="3"/>
  <c r="AI263" i="3"/>
  <c r="AI262" i="3"/>
  <c r="AI261" i="3"/>
  <c r="AI260" i="3"/>
  <c r="AI259" i="3"/>
  <c r="AI258" i="3"/>
  <c r="AI257" i="3"/>
  <c r="AI256" i="3"/>
  <c r="AI255" i="3"/>
  <c r="AI254" i="3"/>
  <c r="AI253" i="3"/>
  <c r="AI252" i="3"/>
  <c r="AI251" i="3"/>
  <c r="AI250" i="3"/>
  <c r="AI249" i="3"/>
  <c r="AI248" i="3"/>
  <c r="AI247" i="3"/>
  <c r="AI246" i="3"/>
  <c r="AI245" i="3"/>
  <c r="AI244" i="3"/>
  <c r="AI243" i="3"/>
  <c r="AI242" i="3"/>
  <c r="AI241" i="3"/>
  <c r="AI240" i="3"/>
  <c r="AI239" i="3"/>
  <c r="AI238" i="3"/>
  <c r="AI237" i="3"/>
  <c r="AI236" i="3"/>
  <c r="AI235" i="3"/>
  <c r="AI234" i="3"/>
  <c r="AI233" i="3"/>
  <c r="AI232" i="3"/>
  <c r="AI231" i="3"/>
  <c r="AI230" i="3"/>
  <c r="AI229" i="3"/>
  <c r="AI228" i="3"/>
  <c r="AI227" i="3"/>
  <c r="AI226" i="3"/>
  <c r="AI225" i="3"/>
  <c r="AI224" i="3"/>
  <c r="AI223" i="3"/>
  <c r="AI222" i="3"/>
  <c r="AI221" i="3"/>
  <c r="AI220" i="3"/>
  <c r="AI219" i="3"/>
  <c r="AI218" i="3"/>
  <c r="AI217" i="3"/>
  <c r="AI216" i="3"/>
  <c r="AI215" i="3"/>
  <c r="AI214" i="3"/>
  <c r="AI213" i="3"/>
  <c r="AI212" i="3"/>
  <c r="AI211" i="3"/>
  <c r="AI210" i="3"/>
  <c r="AI209" i="3"/>
  <c r="AI208" i="3"/>
  <c r="AI207" i="3"/>
  <c r="AI206" i="3"/>
  <c r="AI205" i="3"/>
  <c r="AI204" i="3"/>
  <c r="AI203" i="3"/>
  <c r="AI202" i="3"/>
  <c r="AI201" i="3"/>
  <c r="AI200" i="3"/>
  <c r="AI199" i="3"/>
  <c r="AI198" i="3"/>
  <c r="AI197" i="3"/>
  <c r="AI196" i="3"/>
  <c r="AI195" i="3"/>
  <c r="AI194" i="3"/>
  <c r="AI193" i="3"/>
  <c r="AI192" i="3"/>
  <c r="AI191" i="3"/>
  <c r="AI190" i="3"/>
  <c r="AI189" i="3"/>
  <c r="AI188" i="3"/>
  <c r="AI187" i="3"/>
  <c r="AI186" i="3"/>
  <c r="AI185" i="3"/>
  <c r="AI184" i="3"/>
  <c r="AI183" i="3"/>
  <c r="AI182" i="3"/>
  <c r="AI181" i="3"/>
  <c r="AI180" i="3"/>
  <c r="AI179" i="3"/>
  <c r="AI178" i="3"/>
  <c r="AI177" i="3"/>
  <c r="AI176" i="3"/>
  <c r="AI175" i="3"/>
  <c r="AI174" i="3"/>
  <c r="AI173" i="3"/>
  <c r="AI172" i="3"/>
  <c r="AI171" i="3"/>
  <c r="AI170" i="3"/>
  <c r="AI169" i="3"/>
  <c r="AI168" i="3"/>
  <c r="AI167" i="3"/>
  <c r="AI166" i="3"/>
  <c r="AI165" i="3"/>
  <c r="AI164" i="3"/>
  <c r="AI163" i="3"/>
  <c r="AI162" i="3"/>
  <c r="AI161" i="3"/>
  <c r="AI160" i="3"/>
  <c r="AI159" i="3"/>
  <c r="AI158" i="3"/>
  <c r="AI157" i="3"/>
  <c r="AI156" i="3"/>
  <c r="AI155" i="3"/>
  <c r="AI154" i="3"/>
  <c r="AI153" i="3"/>
  <c r="AI152" i="3"/>
  <c r="AI151" i="3"/>
  <c r="AI150" i="3"/>
  <c r="AI149" i="3"/>
  <c r="AI148" i="3"/>
  <c r="AI147" i="3"/>
  <c r="AI146" i="3"/>
  <c r="AI145" i="3"/>
  <c r="AI144" i="3"/>
  <c r="AI143" i="3"/>
  <c r="AI142" i="3"/>
  <c r="AI141" i="3"/>
  <c r="AI140" i="3"/>
  <c r="AI139" i="3"/>
  <c r="AI138" i="3"/>
  <c r="AI137" i="3"/>
  <c r="AI136" i="3"/>
  <c r="AI135" i="3"/>
  <c r="AI134" i="3"/>
  <c r="AI133" i="3"/>
  <c r="AI132" i="3"/>
  <c r="AI131" i="3"/>
  <c r="AI130" i="3"/>
  <c r="AI129" i="3"/>
  <c r="AI128" i="3"/>
  <c r="AI127" i="3"/>
  <c r="AI126" i="3"/>
  <c r="AI125" i="3"/>
  <c r="AI124" i="3"/>
  <c r="AI123" i="3"/>
  <c r="AI122" i="3"/>
  <c r="AI121" i="3"/>
  <c r="AI120" i="3"/>
  <c r="AI119" i="3"/>
  <c r="AI118" i="3"/>
  <c r="AI117" i="3"/>
  <c r="AI116" i="3"/>
  <c r="AI115" i="3"/>
  <c r="AI114" i="3"/>
  <c r="AI113" i="3"/>
  <c r="AI112" i="3"/>
  <c r="AI111" i="3"/>
  <c r="AI110" i="3"/>
  <c r="AI109" i="3"/>
  <c r="AI108" i="3"/>
  <c r="AI107" i="3"/>
  <c r="AI106" i="3"/>
  <c r="AI105" i="3"/>
  <c r="AI104" i="3"/>
  <c r="AI103" i="3"/>
  <c r="AI102" i="3"/>
  <c r="AI101" i="3"/>
  <c r="AI100" i="3"/>
  <c r="AI99" i="3"/>
  <c r="AI98" i="3"/>
  <c r="AI97" i="3"/>
  <c r="AI96" i="3"/>
  <c r="AI95" i="3"/>
  <c r="AI94" i="3"/>
  <c r="AI93" i="3"/>
  <c r="AI92" i="3"/>
  <c r="AI91" i="3"/>
  <c r="AI90" i="3"/>
  <c r="AI89" i="3"/>
  <c r="AI88" i="3"/>
  <c r="AI87" i="3"/>
  <c r="AI86" i="3"/>
  <c r="AI85" i="3"/>
  <c r="AI84" i="3"/>
  <c r="AI83" i="3"/>
  <c r="AI82" i="3"/>
  <c r="AI81" i="3"/>
  <c r="AI80" i="3"/>
  <c r="AI79" i="3"/>
  <c r="AI78" i="3"/>
  <c r="AI77" i="3"/>
  <c r="AI76" i="3"/>
  <c r="AI75" i="3"/>
  <c r="AI74" i="3"/>
  <c r="AI73" i="3"/>
  <c r="AI72" i="3"/>
  <c r="AI71" i="3"/>
  <c r="AI70" i="3"/>
  <c r="AI69" i="3"/>
  <c r="AI68" i="3"/>
  <c r="AI67" i="3"/>
  <c r="AI66" i="3"/>
  <c r="AI65" i="3"/>
  <c r="AI64" i="3"/>
  <c r="AI63" i="3"/>
  <c r="AI62" i="3"/>
  <c r="AI61" i="3"/>
  <c r="AI60" i="3"/>
  <c r="AI59" i="3"/>
  <c r="AI58" i="3"/>
  <c r="AI57" i="3"/>
  <c r="AI56" i="3"/>
  <c r="AI55" i="3"/>
  <c r="AI54" i="3"/>
  <c r="AI53" i="3"/>
  <c r="AI52" i="3"/>
  <c r="AI51" i="3"/>
  <c r="AI50" i="3"/>
  <c r="AI49" i="3"/>
  <c r="AI48" i="3"/>
  <c r="AI47" i="3"/>
  <c r="AI46" i="3"/>
  <c r="AI45" i="3"/>
  <c r="AI44" i="3"/>
  <c r="AI43" i="3"/>
  <c r="AI42" i="3"/>
  <c r="AI41" i="3"/>
  <c r="AI40" i="3"/>
  <c r="AI39" i="3"/>
  <c r="AI38" i="3"/>
  <c r="AI37" i="3"/>
  <c r="AI36" i="3"/>
  <c r="AI35" i="3"/>
  <c r="AI34" i="3"/>
  <c r="AI33" i="3"/>
  <c r="AI32" i="3"/>
  <c r="AI31" i="3"/>
  <c r="AI30" i="3"/>
  <c r="AI29" i="3"/>
  <c r="AI28" i="3"/>
  <c r="AI27" i="3"/>
  <c r="AI26" i="3"/>
  <c r="AI25" i="3"/>
  <c r="AI24" i="3"/>
  <c r="AI23" i="3"/>
  <c r="AI22" i="3"/>
  <c r="AI21" i="3"/>
  <c r="AI20" i="3"/>
  <c r="AI19" i="3"/>
  <c r="AI18" i="3"/>
  <c r="AI17" i="3"/>
  <c r="AI16" i="3"/>
  <c r="AI15" i="3"/>
  <c r="AI14" i="3"/>
  <c r="AI13" i="3"/>
  <c r="AI12" i="3"/>
  <c r="AI11" i="3"/>
  <c r="AI10" i="3"/>
  <c r="AI9" i="3"/>
  <c r="AI8" i="3"/>
  <c r="AI7" i="3"/>
  <c r="AI6" i="3"/>
  <c r="AI5" i="3"/>
  <c r="AI4" i="3"/>
  <c r="AI3" i="3"/>
  <c r="AH1" i="3"/>
  <c r="AG1" i="3"/>
  <c r="AF1" i="3"/>
  <c r="AE1" i="3"/>
  <c r="AD1" i="3"/>
  <c r="AC1" i="3"/>
  <c r="AB1" i="3"/>
  <c r="AA1" i="3"/>
  <c r="Y1" i="3"/>
  <c r="X1" i="3"/>
  <c r="W1" i="3"/>
  <c r="CZ3" i="3"/>
  <c r="CZ4" i="3"/>
  <c r="CZ5" i="3"/>
  <c r="CZ6" i="3"/>
  <c r="CZ7" i="3"/>
  <c r="CZ8" i="3"/>
  <c r="CZ9" i="3"/>
  <c r="CZ10" i="3"/>
  <c r="CZ11" i="3"/>
  <c r="CZ12" i="3"/>
  <c r="CZ13" i="3"/>
  <c r="CZ14" i="3"/>
  <c r="CZ15" i="3"/>
  <c r="CZ16" i="3"/>
  <c r="CZ17" i="3"/>
  <c r="CZ18" i="3"/>
  <c r="CZ19" i="3"/>
  <c r="CZ20" i="3"/>
  <c r="CZ21" i="3"/>
  <c r="CZ22" i="3"/>
  <c r="CZ23" i="3"/>
  <c r="CZ24" i="3"/>
  <c r="CZ25" i="3"/>
  <c r="CZ26" i="3"/>
  <c r="CZ27" i="3"/>
  <c r="CZ28" i="3"/>
  <c r="CZ29" i="3"/>
  <c r="CZ30" i="3"/>
  <c r="CZ31" i="3"/>
  <c r="CZ32" i="3"/>
  <c r="CZ33" i="3"/>
  <c r="CZ34" i="3"/>
  <c r="CZ35" i="3"/>
  <c r="CZ36" i="3"/>
  <c r="CZ37" i="3"/>
  <c r="CZ38" i="3"/>
  <c r="CZ39" i="3"/>
  <c r="CZ40" i="3"/>
  <c r="CZ41" i="3"/>
  <c r="CZ42" i="3"/>
  <c r="CZ43" i="3"/>
  <c r="CZ44" i="3"/>
  <c r="CZ45" i="3"/>
  <c r="CZ46" i="3"/>
  <c r="CZ47" i="3"/>
  <c r="CZ48" i="3"/>
  <c r="CZ49" i="3"/>
  <c r="CZ50" i="3"/>
  <c r="CZ51" i="3"/>
  <c r="CZ52" i="3"/>
  <c r="CZ53" i="3"/>
  <c r="CZ54" i="3"/>
  <c r="CZ55" i="3"/>
  <c r="CZ56" i="3"/>
  <c r="CZ57" i="3"/>
  <c r="CZ58" i="3"/>
  <c r="CZ59" i="3"/>
  <c r="CZ60" i="3"/>
  <c r="CZ61" i="3"/>
  <c r="CZ62" i="3"/>
  <c r="CZ63" i="3"/>
  <c r="CZ64" i="3"/>
  <c r="CZ65" i="3"/>
  <c r="CZ66" i="3"/>
  <c r="CZ67" i="3"/>
  <c r="CZ68" i="3"/>
  <c r="CZ69" i="3"/>
  <c r="CZ70" i="3"/>
  <c r="CZ71" i="3"/>
  <c r="CZ72" i="3"/>
  <c r="CZ73" i="3"/>
  <c r="CZ74" i="3"/>
  <c r="CZ75" i="3"/>
  <c r="CZ76" i="3"/>
  <c r="CZ77" i="3"/>
  <c r="CZ78" i="3"/>
  <c r="CZ79" i="3"/>
  <c r="CZ80" i="3"/>
  <c r="CZ81" i="3"/>
  <c r="CZ82" i="3"/>
  <c r="CZ83" i="3"/>
  <c r="CZ84" i="3"/>
  <c r="CZ85" i="3"/>
  <c r="CZ86" i="3"/>
  <c r="CZ87" i="3"/>
  <c r="CZ88" i="3"/>
  <c r="CZ89" i="3"/>
  <c r="CZ90" i="3"/>
  <c r="CZ91" i="3"/>
  <c r="CZ92" i="3"/>
  <c r="CZ93" i="3"/>
  <c r="CZ94" i="3"/>
  <c r="CZ95" i="3"/>
  <c r="CZ96" i="3"/>
  <c r="CZ97" i="3"/>
  <c r="CZ98" i="3"/>
  <c r="CZ99" i="3"/>
  <c r="CZ100" i="3"/>
  <c r="CZ101" i="3"/>
  <c r="CZ102" i="3"/>
  <c r="CZ103" i="3"/>
  <c r="CZ104" i="3"/>
  <c r="CZ105" i="3"/>
  <c r="CZ106" i="3"/>
  <c r="CZ107" i="3"/>
  <c r="CZ108" i="3"/>
  <c r="CZ109" i="3"/>
  <c r="CZ110" i="3"/>
  <c r="CZ111" i="3"/>
  <c r="CZ112" i="3"/>
  <c r="CZ113" i="3"/>
  <c r="CZ114" i="3"/>
  <c r="CZ115" i="3"/>
  <c r="CZ116" i="3"/>
  <c r="CZ117" i="3"/>
  <c r="CZ118" i="3"/>
  <c r="CZ119" i="3"/>
  <c r="CZ120" i="3"/>
  <c r="CZ121" i="3"/>
  <c r="CZ122" i="3"/>
  <c r="CZ123" i="3"/>
  <c r="CZ124" i="3"/>
  <c r="CZ125" i="3"/>
  <c r="CZ126" i="3"/>
  <c r="CZ127" i="3"/>
  <c r="CZ128" i="3"/>
  <c r="CZ129" i="3"/>
  <c r="CZ130" i="3"/>
  <c r="CZ131" i="3"/>
  <c r="CZ132" i="3"/>
  <c r="CZ133" i="3"/>
  <c r="CZ134" i="3"/>
  <c r="CZ135" i="3"/>
  <c r="CZ136" i="3"/>
  <c r="CZ137" i="3"/>
  <c r="CZ138" i="3"/>
  <c r="CZ139" i="3"/>
  <c r="CZ140" i="3"/>
  <c r="CZ141" i="3"/>
  <c r="CZ142" i="3"/>
  <c r="CZ143" i="3"/>
  <c r="CZ144" i="3"/>
  <c r="CZ145" i="3"/>
  <c r="CZ146" i="3"/>
  <c r="CZ147" i="3"/>
  <c r="CZ148" i="3"/>
  <c r="CZ149" i="3"/>
  <c r="CZ150" i="3"/>
  <c r="CZ151" i="3"/>
  <c r="CZ152" i="3"/>
  <c r="CZ153" i="3"/>
  <c r="CZ154" i="3"/>
  <c r="CZ155" i="3"/>
  <c r="CZ156" i="3"/>
  <c r="CZ157" i="3"/>
  <c r="CZ158" i="3"/>
  <c r="CZ159" i="3"/>
  <c r="CZ160" i="3"/>
  <c r="CZ161" i="3"/>
  <c r="CZ162" i="3"/>
  <c r="CZ163" i="3"/>
  <c r="CZ164" i="3"/>
  <c r="CZ165" i="3"/>
  <c r="CZ166" i="3"/>
  <c r="CZ167" i="3"/>
  <c r="CZ168" i="3"/>
  <c r="CZ169" i="3"/>
  <c r="CZ170" i="3"/>
  <c r="CZ171" i="3"/>
  <c r="CZ172" i="3"/>
  <c r="CZ173" i="3"/>
  <c r="CZ174" i="3"/>
  <c r="CZ175" i="3"/>
  <c r="CZ176" i="3"/>
  <c r="CZ177" i="3"/>
  <c r="CZ178" i="3"/>
  <c r="CZ179" i="3"/>
  <c r="CZ180" i="3"/>
  <c r="CZ181" i="3"/>
  <c r="CZ182" i="3"/>
  <c r="CZ183" i="3"/>
  <c r="CZ184" i="3"/>
  <c r="CZ185" i="3"/>
  <c r="CZ186" i="3"/>
  <c r="CZ187" i="3"/>
  <c r="CZ188" i="3"/>
  <c r="CZ189" i="3"/>
  <c r="CZ190" i="3"/>
  <c r="CZ191" i="3"/>
  <c r="CZ192" i="3"/>
  <c r="CZ193" i="3"/>
  <c r="CZ194" i="3"/>
  <c r="CZ195" i="3"/>
  <c r="CZ196" i="3"/>
  <c r="CZ197" i="3"/>
  <c r="CZ198" i="3"/>
  <c r="CZ199" i="3"/>
  <c r="CZ200" i="3"/>
  <c r="CZ201" i="3"/>
  <c r="CZ202" i="3"/>
  <c r="CZ203" i="3"/>
  <c r="CZ204" i="3"/>
  <c r="CZ205" i="3"/>
  <c r="CZ206" i="3"/>
  <c r="CZ207" i="3"/>
  <c r="CZ208" i="3"/>
  <c r="CZ209" i="3"/>
  <c r="CZ210" i="3"/>
  <c r="CZ211" i="3"/>
  <c r="CZ212" i="3"/>
  <c r="CZ213" i="3"/>
  <c r="CZ214" i="3"/>
  <c r="CZ215" i="3"/>
  <c r="CZ216" i="3"/>
  <c r="CZ217" i="3"/>
  <c r="CZ218" i="3"/>
  <c r="CZ219" i="3"/>
  <c r="CZ220" i="3"/>
  <c r="CZ221" i="3"/>
  <c r="CZ222" i="3"/>
  <c r="CZ223" i="3"/>
  <c r="CZ224" i="3"/>
  <c r="CZ225" i="3"/>
  <c r="CZ226" i="3"/>
  <c r="CZ227" i="3"/>
  <c r="CZ228" i="3"/>
  <c r="CZ229" i="3"/>
  <c r="CZ230" i="3"/>
  <c r="CZ231" i="3"/>
  <c r="CZ232" i="3"/>
  <c r="CZ233" i="3"/>
  <c r="CZ234" i="3"/>
  <c r="CZ235" i="3"/>
  <c r="CZ236" i="3"/>
  <c r="CZ237" i="3"/>
  <c r="CZ238" i="3"/>
  <c r="CZ239" i="3"/>
  <c r="CZ240" i="3"/>
  <c r="CZ241" i="3"/>
  <c r="CZ242" i="3"/>
  <c r="CZ243" i="3"/>
  <c r="CZ244" i="3"/>
  <c r="CZ245" i="3"/>
  <c r="CZ246" i="3"/>
  <c r="CZ247" i="3"/>
  <c r="CZ248" i="3"/>
  <c r="CZ249" i="3"/>
  <c r="CZ250" i="3"/>
  <c r="CZ251" i="3"/>
  <c r="CZ252" i="3"/>
  <c r="CZ253" i="3"/>
  <c r="CZ254" i="3"/>
  <c r="CZ255" i="3"/>
  <c r="CZ256" i="3"/>
  <c r="CZ257" i="3"/>
  <c r="CZ258" i="3"/>
  <c r="CZ259" i="3"/>
  <c r="CZ260" i="3"/>
  <c r="CZ261" i="3"/>
  <c r="CZ262" i="3"/>
  <c r="CZ263" i="3"/>
  <c r="CZ264" i="3"/>
  <c r="CZ265" i="3"/>
  <c r="CZ266" i="3"/>
  <c r="CZ267" i="3"/>
  <c r="CZ268" i="3"/>
  <c r="CZ269" i="3"/>
  <c r="CZ270" i="3"/>
  <c r="CZ271" i="3"/>
  <c r="CZ272" i="3"/>
  <c r="CZ273" i="3"/>
  <c r="CZ274" i="3"/>
  <c r="CZ275" i="3"/>
  <c r="CZ276" i="3"/>
  <c r="CZ277" i="3"/>
  <c r="CZ278" i="3"/>
  <c r="CZ279" i="3"/>
  <c r="CZ280" i="3"/>
  <c r="CZ281" i="3"/>
  <c r="CZ282" i="3"/>
  <c r="CZ283" i="3"/>
  <c r="CZ284" i="3"/>
  <c r="CZ285" i="3"/>
  <c r="CZ286" i="3"/>
  <c r="CZ287" i="3"/>
  <c r="CZ288" i="3"/>
  <c r="CZ289" i="3"/>
  <c r="CZ290" i="3"/>
  <c r="CZ291" i="3"/>
  <c r="CZ292" i="3"/>
  <c r="CZ293" i="3"/>
  <c r="CZ294" i="3"/>
  <c r="CZ295" i="3"/>
  <c r="CZ296" i="3"/>
  <c r="CZ297" i="3"/>
  <c r="CZ298" i="3"/>
  <c r="CZ299" i="3"/>
  <c r="CZ300" i="3"/>
  <c r="CZ301" i="3"/>
  <c r="CZ302" i="3"/>
  <c r="CZ303" i="3"/>
  <c r="CZ304" i="3"/>
  <c r="CZ305" i="3"/>
  <c r="CZ306" i="3"/>
  <c r="CZ307" i="3"/>
  <c r="CZ308" i="3"/>
  <c r="CZ309" i="3"/>
  <c r="CZ310" i="3"/>
  <c r="CZ311" i="3"/>
  <c r="CZ312" i="3"/>
  <c r="CZ313" i="3"/>
  <c r="CZ314" i="3"/>
  <c r="CZ315" i="3"/>
  <c r="CZ316" i="3"/>
  <c r="CZ317" i="3"/>
  <c r="CZ318" i="3"/>
  <c r="CZ319" i="3"/>
  <c r="CZ320" i="3"/>
  <c r="CZ321" i="3"/>
  <c r="CZ322" i="3"/>
  <c r="CZ323" i="3"/>
  <c r="CZ324" i="3"/>
  <c r="CZ325" i="3"/>
  <c r="CZ326" i="3"/>
  <c r="CZ327" i="3"/>
  <c r="CZ328" i="3"/>
  <c r="CZ329" i="3"/>
  <c r="CZ330" i="3"/>
  <c r="CZ331" i="3"/>
  <c r="CZ332" i="3"/>
  <c r="CZ333" i="3"/>
  <c r="CZ334" i="3"/>
  <c r="CZ335" i="3"/>
  <c r="CZ336" i="3"/>
  <c r="CZ337" i="3"/>
  <c r="CZ338" i="3"/>
  <c r="CZ339" i="3"/>
  <c r="CZ340" i="3"/>
  <c r="CZ341" i="3"/>
  <c r="CZ342" i="3"/>
  <c r="CZ343" i="3"/>
  <c r="CZ344" i="3"/>
  <c r="CZ345" i="3"/>
  <c r="CZ346" i="3"/>
  <c r="CZ347" i="3"/>
  <c r="CZ348" i="3"/>
  <c r="CZ349" i="3"/>
  <c r="CZ350" i="3"/>
  <c r="CZ351" i="3"/>
  <c r="CZ352" i="3"/>
  <c r="CZ353" i="3"/>
  <c r="CZ354" i="3"/>
  <c r="CZ355" i="3"/>
  <c r="CZ356" i="3"/>
  <c r="CZ357" i="3"/>
  <c r="CZ358" i="3"/>
  <c r="CZ359" i="3"/>
  <c r="CZ360" i="3"/>
  <c r="CZ361" i="3"/>
  <c r="CZ362" i="3"/>
  <c r="CZ363" i="3"/>
  <c r="CZ364" i="3"/>
  <c r="CZ365" i="3"/>
  <c r="CZ366" i="3"/>
  <c r="CZ367" i="3"/>
  <c r="CZ368" i="3"/>
  <c r="CZ369" i="3"/>
  <c r="CZ370" i="3"/>
  <c r="CZ371" i="3"/>
  <c r="CZ372" i="3"/>
  <c r="CZ373" i="3"/>
  <c r="CZ374" i="3"/>
  <c r="CZ375" i="3"/>
  <c r="CZ376" i="3"/>
  <c r="CZ377" i="3"/>
  <c r="CZ378" i="3"/>
  <c r="CZ379" i="3"/>
  <c r="CZ380" i="3"/>
  <c r="CZ381" i="3"/>
  <c r="CZ382" i="3"/>
  <c r="CZ383" i="3"/>
  <c r="CZ384" i="3"/>
  <c r="CZ385" i="3"/>
  <c r="CZ386" i="3"/>
  <c r="CZ387" i="3"/>
  <c r="CZ388" i="3"/>
  <c r="CZ389" i="3"/>
  <c r="CZ390" i="3"/>
  <c r="CZ391" i="3"/>
  <c r="CZ392" i="3"/>
  <c r="CZ393" i="3"/>
  <c r="CZ394" i="3"/>
  <c r="CZ395" i="3"/>
  <c r="CZ396" i="3"/>
  <c r="CZ397" i="3"/>
  <c r="CZ398" i="3"/>
  <c r="CZ399" i="3"/>
  <c r="CZ400" i="3"/>
  <c r="CZ401" i="3"/>
  <c r="CZ402" i="3"/>
  <c r="CZ403" i="3"/>
  <c r="CZ404" i="3"/>
  <c r="CZ405" i="3"/>
  <c r="CZ406" i="3"/>
  <c r="CZ407" i="3"/>
  <c r="CZ408" i="3"/>
  <c r="CZ409" i="3"/>
  <c r="CZ410" i="3"/>
  <c r="CZ411" i="3"/>
  <c r="CZ412" i="3"/>
  <c r="CZ413" i="3"/>
  <c r="CZ414" i="3"/>
  <c r="CZ415" i="3"/>
  <c r="CZ416" i="3"/>
  <c r="CZ417" i="3"/>
  <c r="CZ418" i="3"/>
  <c r="CZ419" i="3"/>
  <c r="CZ420" i="3"/>
  <c r="CZ421" i="3"/>
  <c r="CZ422" i="3"/>
  <c r="CZ423" i="3"/>
  <c r="CZ424" i="3"/>
  <c r="CZ425" i="3"/>
  <c r="CZ426" i="3"/>
  <c r="CZ427" i="3"/>
  <c r="CZ428" i="3"/>
  <c r="CZ429" i="3"/>
  <c r="CZ430" i="3"/>
  <c r="CZ431" i="3"/>
  <c r="CZ432" i="3"/>
  <c r="CZ433" i="3"/>
  <c r="CZ434" i="3"/>
  <c r="CZ435" i="3"/>
  <c r="CZ436" i="3"/>
  <c r="CZ437" i="3"/>
  <c r="CZ438" i="3"/>
  <c r="CZ439" i="3"/>
  <c r="CZ440" i="3"/>
  <c r="CZ441" i="3"/>
  <c r="CZ442" i="3"/>
  <c r="CZ443" i="3"/>
  <c r="CZ444" i="3"/>
  <c r="CZ445" i="3"/>
  <c r="CZ446" i="3"/>
  <c r="CZ447" i="3"/>
  <c r="CZ448" i="3"/>
  <c r="CZ449" i="3"/>
  <c r="CZ450" i="3"/>
  <c r="CZ451" i="3"/>
  <c r="CZ452" i="3"/>
  <c r="CZ453" i="3"/>
  <c r="CZ454" i="3"/>
  <c r="CZ455" i="3"/>
  <c r="CZ456" i="3"/>
  <c r="CZ457" i="3"/>
  <c r="CZ458" i="3"/>
  <c r="CZ459" i="3"/>
  <c r="CZ460" i="3"/>
  <c r="CZ461" i="3"/>
  <c r="CZ462" i="3"/>
  <c r="CZ463" i="3"/>
  <c r="CZ464" i="3"/>
  <c r="CZ465" i="3"/>
  <c r="CZ466" i="3"/>
  <c r="CZ467" i="3"/>
  <c r="CZ468" i="3"/>
  <c r="CZ469" i="3"/>
  <c r="CZ470" i="3"/>
  <c r="CZ471" i="3"/>
  <c r="CZ472" i="3"/>
  <c r="CZ473" i="3"/>
  <c r="CZ474" i="3"/>
  <c r="CZ475" i="3"/>
  <c r="CZ476" i="3"/>
  <c r="CZ477" i="3"/>
  <c r="CZ478" i="3"/>
  <c r="CZ479" i="3"/>
  <c r="CZ480" i="3"/>
  <c r="CZ481" i="3"/>
  <c r="CZ482" i="3"/>
  <c r="CZ483" i="3"/>
  <c r="CZ484" i="3"/>
  <c r="CZ485" i="3"/>
  <c r="CZ486" i="3"/>
  <c r="CZ487" i="3"/>
  <c r="CZ488" i="3"/>
  <c r="CZ489" i="3"/>
  <c r="CZ490" i="3"/>
  <c r="CZ491" i="3"/>
  <c r="CZ492" i="3"/>
  <c r="CZ493" i="3"/>
  <c r="CZ494" i="3"/>
  <c r="CZ495" i="3"/>
  <c r="CZ496" i="3"/>
  <c r="CZ497" i="3"/>
  <c r="CZ498" i="3"/>
  <c r="CZ499" i="3"/>
  <c r="CZ500" i="3"/>
  <c r="CZ501" i="3"/>
  <c r="CZ502" i="3"/>
  <c r="CZ503" i="3"/>
  <c r="CZ504" i="3"/>
  <c r="CZ505" i="3"/>
  <c r="CZ506" i="3"/>
  <c r="CZ507" i="3"/>
  <c r="CZ508" i="3"/>
  <c r="CZ509" i="3"/>
  <c r="CZ510" i="3"/>
  <c r="CZ511" i="3"/>
  <c r="CZ512" i="3"/>
  <c r="CZ513" i="3"/>
  <c r="CZ514" i="3"/>
  <c r="CZ515" i="3"/>
  <c r="CZ516" i="3"/>
  <c r="CZ517" i="3"/>
  <c r="CZ518" i="3"/>
  <c r="CZ519" i="3"/>
  <c r="CZ520" i="3"/>
  <c r="CZ521" i="3"/>
  <c r="CZ522" i="3"/>
  <c r="CZ523" i="3"/>
  <c r="CZ524" i="3"/>
  <c r="CZ525" i="3"/>
  <c r="CZ526" i="3"/>
  <c r="CZ527" i="3"/>
  <c r="CZ528" i="3"/>
  <c r="CZ529" i="3"/>
  <c r="CZ530" i="3"/>
  <c r="CZ531" i="3"/>
  <c r="CZ532" i="3"/>
  <c r="CZ533" i="3"/>
  <c r="CZ534" i="3"/>
  <c r="CZ535" i="3"/>
  <c r="CZ536" i="3"/>
  <c r="CZ537" i="3"/>
  <c r="CZ538" i="3"/>
  <c r="CZ539" i="3"/>
  <c r="CZ540" i="3"/>
  <c r="CZ541" i="3"/>
  <c r="CZ542" i="3"/>
  <c r="CZ543" i="3"/>
  <c r="CZ544" i="3"/>
  <c r="CZ545" i="3"/>
  <c r="CZ546" i="3"/>
  <c r="CZ547" i="3"/>
  <c r="CZ548" i="3"/>
  <c r="CZ549" i="3"/>
  <c r="CZ550" i="3"/>
  <c r="CZ551" i="3"/>
  <c r="CZ552" i="3"/>
  <c r="CZ553" i="3"/>
  <c r="CZ554" i="3"/>
  <c r="CZ555" i="3"/>
  <c r="CZ556" i="3"/>
  <c r="CZ557" i="3"/>
  <c r="CZ558" i="3"/>
  <c r="CZ559" i="3"/>
  <c r="CZ560" i="3"/>
  <c r="CZ561" i="3"/>
  <c r="CZ562" i="3"/>
  <c r="CZ563" i="3"/>
  <c r="CZ564" i="3"/>
  <c r="CZ565" i="3"/>
  <c r="CZ566" i="3"/>
  <c r="CZ567" i="3"/>
  <c r="CZ568" i="3"/>
  <c r="CZ569" i="3"/>
  <c r="CZ570" i="3"/>
  <c r="CZ571" i="3"/>
  <c r="CZ572" i="3"/>
  <c r="CZ573" i="3"/>
  <c r="CZ574" i="3"/>
  <c r="CZ575" i="3"/>
  <c r="CZ576" i="3"/>
  <c r="CZ577" i="3"/>
  <c r="CZ578" i="3"/>
  <c r="CZ579" i="3"/>
  <c r="CZ580" i="3"/>
  <c r="CZ581" i="3"/>
  <c r="CZ582" i="3"/>
  <c r="Z3" i="3" l="1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1" i="3" l="1"/>
  <c r="Y2" i="28" l="1"/>
  <c r="Y3" i="28"/>
  <c r="Y4" i="28"/>
  <c r="Y5" i="28"/>
  <c r="Y6" i="28"/>
  <c r="Y7" i="28"/>
  <c r="Y8" i="28"/>
  <c r="Y9" i="28"/>
  <c r="Y10" i="28"/>
  <c r="Y11" i="28"/>
  <c r="Y12" i="28"/>
  <c r="Y13" i="28"/>
  <c r="Y14" i="28"/>
  <c r="Y15" i="28"/>
  <c r="Y16" i="28"/>
  <c r="Y17" i="28"/>
  <c r="Y18" i="28"/>
  <c r="Y19" i="28"/>
  <c r="Y20" i="28"/>
  <c r="Y21" i="28"/>
  <c r="Y22" i="28"/>
  <c r="Y23" i="28"/>
  <c r="Y24" i="28"/>
  <c r="Y25" i="28"/>
  <c r="Y26" i="28"/>
  <c r="Y27" i="28"/>
  <c r="Y28" i="28"/>
  <c r="Y29" i="28"/>
  <c r="Y30" i="28"/>
  <c r="Y31" i="28"/>
  <c r="Y32" i="28"/>
  <c r="Y33" i="28"/>
  <c r="Y34" i="28"/>
  <c r="Y35" i="28"/>
  <c r="Y36" i="28"/>
  <c r="Y37" i="28"/>
  <c r="Y38" i="28"/>
  <c r="Y39" i="28"/>
  <c r="Y40" i="28"/>
  <c r="Y41" i="28"/>
  <c r="Y42" i="28"/>
  <c r="Y43" i="28"/>
  <c r="Y44" i="28"/>
  <c r="Y45" i="28"/>
  <c r="Y46" i="28"/>
  <c r="Y47" i="28"/>
  <c r="Y48" i="28"/>
  <c r="Y49" i="28"/>
  <c r="Y50" i="28"/>
  <c r="Y51" i="28"/>
  <c r="Y52" i="28"/>
  <c r="Y53" i="28"/>
  <c r="Y54" i="28"/>
  <c r="Y55" i="28"/>
  <c r="Y56" i="28"/>
  <c r="Y57" i="28"/>
  <c r="Y58" i="28"/>
  <c r="Y59" i="28"/>
  <c r="Y60" i="28"/>
  <c r="Y61" i="28"/>
  <c r="Y62" i="28"/>
  <c r="Y63" i="28"/>
  <c r="Y64" i="28"/>
  <c r="Y65" i="28"/>
  <c r="Y66" i="28"/>
  <c r="Y67" i="28"/>
  <c r="Y68" i="28"/>
  <c r="Y69" i="28"/>
  <c r="Y70" i="28"/>
  <c r="Y71" i="28"/>
  <c r="Y72" i="28"/>
  <c r="Y73" i="28"/>
  <c r="Y74" i="28"/>
  <c r="Y75" i="28"/>
  <c r="Y76" i="28"/>
  <c r="Y77" i="28"/>
  <c r="Y78" i="28"/>
  <c r="Y79" i="28"/>
  <c r="Y80" i="28"/>
  <c r="Y81" i="28"/>
  <c r="Y82" i="28"/>
  <c r="Y83" i="28"/>
  <c r="Y84" i="28"/>
  <c r="Y85" i="28"/>
  <c r="Y86" i="28"/>
  <c r="Y87" i="28"/>
  <c r="Y88" i="28"/>
  <c r="Y89" i="28"/>
  <c r="Y90" i="28"/>
  <c r="Y91" i="28"/>
  <c r="Y92" i="28"/>
  <c r="Y93" i="28"/>
  <c r="Y94" i="28"/>
  <c r="Y95" i="28"/>
  <c r="Y96" i="28"/>
  <c r="Y97" i="28"/>
  <c r="Y98" i="28"/>
  <c r="Y99" i="28"/>
  <c r="Y100" i="28"/>
  <c r="Y101" i="28"/>
  <c r="Y102" i="28"/>
  <c r="Y103" i="28"/>
  <c r="Y104" i="28"/>
  <c r="Y105" i="28"/>
  <c r="Y106" i="28"/>
  <c r="Y107" i="28"/>
  <c r="Y108" i="28"/>
  <c r="Y109" i="28"/>
  <c r="Y110" i="28"/>
  <c r="Y111" i="28"/>
  <c r="Y112" i="28"/>
  <c r="Y113" i="28"/>
  <c r="Y114" i="28"/>
  <c r="Y115" i="28"/>
  <c r="Y116" i="28"/>
  <c r="Y117" i="28"/>
  <c r="Y118" i="28"/>
  <c r="Y119" i="28"/>
  <c r="Y120" i="28"/>
  <c r="Y121" i="28"/>
  <c r="Y122" i="28"/>
  <c r="Y123" i="28"/>
  <c r="Y124" i="28"/>
  <c r="Y125" i="28"/>
  <c r="Y126" i="28"/>
  <c r="Y127" i="28"/>
  <c r="Y128" i="28"/>
  <c r="Y129" i="28"/>
  <c r="Y130" i="28"/>
  <c r="Y131" i="28"/>
  <c r="Y132" i="28"/>
  <c r="Y133" i="28"/>
  <c r="Y134" i="28"/>
  <c r="Y135" i="28"/>
  <c r="Y136" i="28"/>
  <c r="Y137" i="28"/>
  <c r="Y138" i="28"/>
  <c r="Y139" i="28"/>
  <c r="Y140" i="28"/>
  <c r="Y141" i="28"/>
  <c r="Y142" i="28"/>
  <c r="Y143" i="28"/>
  <c r="Y144" i="28"/>
  <c r="Y145" i="28"/>
  <c r="Y146" i="28"/>
  <c r="Y147" i="28"/>
  <c r="Y148" i="28"/>
  <c r="Y149" i="28"/>
  <c r="Y150" i="28"/>
  <c r="Y151" i="28"/>
  <c r="Y152" i="28"/>
  <c r="Y153" i="28"/>
  <c r="Y154" i="28"/>
  <c r="Y155" i="28"/>
  <c r="Y156" i="28"/>
  <c r="Y157" i="28"/>
  <c r="Y158" i="28"/>
  <c r="Y159" i="28"/>
  <c r="Y160" i="28"/>
  <c r="Y161" i="28"/>
  <c r="Y162" i="28"/>
  <c r="Y163" i="28"/>
  <c r="Y164" i="28"/>
  <c r="Y165" i="28"/>
  <c r="Y166" i="28"/>
  <c r="Y167" i="28"/>
  <c r="Y168" i="28"/>
  <c r="Y169" i="28"/>
  <c r="Y170" i="28"/>
  <c r="Y171" i="28"/>
  <c r="Y172" i="28"/>
  <c r="Y173" i="28"/>
  <c r="Y174" i="28"/>
  <c r="Y175" i="28"/>
  <c r="Y176" i="28"/>
  <c r="Y177" i="28"/>
  <c r="Y178" i="28"/>
  <c r="Y179" i="28"/>
  <c r="Y180" i="28"/>
  <c r="Y181" i="28"/>
  <c r="Y182" i="28"/>
  <c r="Y183" i="28"/>
  <c r="Y184" i="28"/>
  <c r="Y185" i="28"/>
  <c r="Y186" i="28"/>
  <c r="Y187" i="28"/>
  <c r="Y188" i="28"/>
  <c r="Y189" i="28"/>
  <c r="Y190" i="28"/>
  <c r="Y191" i="28"/>
  <c r="Y192" i="28"/>
  <c r="Y193" i="28"/>
  <c r="Y194" i="28"/>
  <c r="Y195" i="28"/>
  <c r="Y196" i="28"/>
  <c r="Y197" i="28"/>
  <c r="Y198" i="28"/>
  <c r="Y199" i="28"/>
  <c r="Y200" i="28"/>
  <c r="Y201" i="28"/>
  <c r="Y202" i="28"/>
  <c r="Y203" i="28"/>
  <c r="Y204" i="28"/>
  <c r="Y205" i="28"/>
  <c r="Y206" i="28"/>
  <c r="Y207" i="28"/>
  <c r="Y208" i="28"/>
  <c r="Y209" i="28"/>
  <c r="Y210" i="28"/>
  <c r="Y211" i="28"/>
  <c r="Y212" i="28"/>
  <c r="Y213" i="28"/>
  <c r="Y214" i="28"/>
  <c r="Y215" i="28"/>
  <c r="Y216" i="28"/>
  <c r="Y217" i="28"/>
  <c r="Y218" i="28"/>
  <c r="Y219" i="28"/>
  <c r="Y220" i="28"/>
  <c r="Y221" i="28"/>
  <c r="Y222" i="28"/>
  <c r="Y223" i="28"/>
  <c r="Y224" i="28"/>
  <c r="Y225" i="28"/>
  <c r="Y226" i="28"/>
  <c r="Y227" i="28"/>
  <c r="Y228" i="28"/>
  <c r="Y229" i="28"/>
  <c r="Y230" i="28"/>
  <c r="Y231" i="28"/>
  <c r="Y232" i="28"/>
  <c r="Y233" i="28"/>
  <c r="Y234" i="28"/>
  <c r="Y235" i="28"/>
  <c r="Y236" i="28"/>
  <c r="Y237" i="28"/>
  <c r="Y238" i="28"/>
  <c r="Y239" i="28"/>
  <c r="Y240" i="28"/>
  <c r="Y241" i="28"/>
  <c r="Y242" i="28"/>
  <c r="Y243" i="28"/>
  <c r="Y244" i="28"/>
  <c r="Y245" i="28"/>
  <c r="Y246" i="28"/>
  <c r="Y247" i="28"/>
  <c r="Y248" i="28"/>
  <c r="Y249" i="28"/>
  <c r="Y250" i="28"/>
  <c r="Y251" i="28"/>
  <c r="Y252" i="28"/>
  <c r="Y253" i="28"/>
  <c r="Y254" i="28"/>
  <c r="Y255" i="28"/>
  <c r="Y256" i="28"/>
  <c r="Y257" i="28"/>
  <c r="Y258" i="28"/>
  <c r="Y259" i="28"/>
  <c r="Y260" i="28"/>
  <c r="Y261" i="28"/>
  <c r="Y262" i="28"/>
  <c r="Y263" i="28"/>
  <c r="Y264" i="28"/>
  <c r="Y265" i="28"/>
  <c r="Y266" i="28"/>
  <c r="Y267" i="28"/>
  <c r="Y268" i="28"/>
  <c r="Y269" i="28"/>
  <c r="Y270" i="28"/>
  <c r="Y271" i="28"/>
  <c r="Y272" i="28"/>
  <c r="Y273" i="28"/>
  <c r="Y274" i="28"/>
  <c r="Y275" i="28"/>
  <c r="Y276" i="28"/>
  <c r="Y277" i="28"/>
  <c r="Y278" i="28"/>
  <c r="Y279" i="28"/>
  <c r="Y280" i="28"/>
  <c r="Y281" i="28"/>
  <c r="Y282" i="28"/>
  <c r="Y283" i="28"/>
  <c r="Y284" i="28"/>
  <c r="Y285" i="28"/>
  <c r="Y286" i="28"/>
  <c r="Y287" i="28"/>
  <c r="Y288" i="28"/>
  <c r="Y289" i="28"/>
  <c r="Y290" i="28"/>
  <c r="Y291" i="28"/>
  <c r="Y292" i="28"/>
  <c r="Y293" i="28"/>
  <c r="Y294" i="28"/>
  <c r="Y295" i="28"/>
  <c r="Y296" i="28"/>
  <c r="Y297" i="28"/>
  <c r="Y298" i="28"/>
  <c r="Y299" i="28"/>
  <c r="Y300" i="28"/>
  <c r="Y301" i="28"/>
  <c r="Y302" i="28"/>
  <c r="Y303" i="28"/>
  <c r="Y304" i="28"/>
  <c r="Y305" i="28"/>
  <c r="Y306" i="28"/>
  <c r="Y307" i="28"/>
  <c r="Y308" i="28"/>
  <c r="Y309" i="28"/>
  <c r="Y310" i="28"/>
  <c r="Y311" i="28"/>
  <c r="Y312" i="28"/>
  <c r="Y313" i="28"/>
  <c r="Y314" i="28"/>
  <c r="Y315" i="28"/>
  <c r="Y316" i="28"/>
  <c r="Y317" i="28"/>
  <c r="Y318" i="28"/>
  <c r="Y319" i="28"/>
  <c r="Y320" i="28"/>
  <c r="Y321" i="28"/>
  <c r="Y322" i="28"/>
  <c r="Y323" i="28"/>
  <c r="Y324" i="28"/>
  <c r="Y325" i="28"/>
  <c r="Y326" i="28"/>
  <c r="Y327" i="28"/>
  <c r="Y328" i="28"/>
  <c r="Y329" i="28"/>
  <c r="Y330" i="28"/>
  <c r="Y331" i="28"/>
  <c r="Y332" i="28"/>
  <c r="Y333" i="28"/>
  <c r="Y334" i="28"/>
  <c r="Y335" i="28"/>
  <c r="Y336" i="28"/>
  <c r="Y337" i="28"/>
  <c r="Y338" i="28"/>
  <c r="Y339" i="28"/>
  <c r="Y340" i="28"/>
  <c r="Y341" i="28"/>
  <c r="Y342" i="28"/>
  <c r="Y343" i="28"/>
  <c r="Y344" i="28"/>
  <c r="Y345" i="28"/>
  <c r="Y346" i="28"/>
  <c r="Y347" i="28"/>
  <c r="Y348" i="28"/>
  <c r="Y349" i="28"/>
  <c r="Y350" i="28"/>
  <c r="Y351" i="28"/>
  <c r="Y352" i="28"/>
  <c r="Y353" i="28"/>
  <c r="Y354" i="28"/>
  <c r="Y355" i="28"/>
  <c r="Y356" i="28"/>
  <c r="Y357" i="28"/>
  <c r="Y358" i="28"/>
  <c r="Y359" i="28"/>
  <c r="Y360" i="28"/>
  <c r="Y361" i="28"/>
  <c r="Y362" i="28"/>
  <c r="Y363" i="28"/>
  <c r="Y364" i="28"/>
  <c r="Y365" i="28"/>
  <c r="Y366" i="28"/>
  <c r="Y367" i="28"/>
  <c r="Y368" i="28"/>
  <c r="Y369" i="28"/>
  <c r="Y370" i="28"/>
  <c r="Y371" i="28"/>
  <c r="Y372" i="28"/>
  <c r="Y373" i="28"/>
  <c r="Y374" i="28"/>
  <c r="Y375" i="28"/>
  <c r="Y376" i="28"/>
  <c r="Y377" i="28"/>
  <c r="Y378" i="28"/>
  <c r="Y379" i="28"/>
  <c r="Y380" i="28"/>
  <c r="Y381" i="28"/>
  <c r="Y382" i="28"/>
  <c r="Y383" i="28"/>
  <c r="Y384" i="28"/>
  <c r="Y385" i="28"/>
  <c r="Y386" i="28"/>
  <c r="Y387" i="28"/>
  <c r="Y388" i="28"/>
  <c r="Y389" i="28"/>
  <c r="Y390" i="28"/>
  <c r="Y391" i="28"/>
  <c r="Y392" i="28"/>
  <c r="Y393" i="28"/>
  <c r="Y394" i="28"/>
  <c r="Y395" i="28"/>
  <c r="Y396" i="28"/>
  <c r="Y397" i="28"/>
  <c r="Y398" i="28"/>
  <c r="Y399" i="28"/>
  <c r="Y400" i="28"/>
  <c r="Y401" i="28"/>
  <c r="Y402" i="28"/>
  <c r="Y403" i="28"/>
  <c r="Y404" i="28"/>
  <c r="Y405" i="28"/>
  <c r="Y406" i="28"/>
  <c r="Y407" i="28"/>
  <c r="Y408" i="28"/>
  <c r="Y409" i="28"/>
  <c r="Y410" i="28"/>
  <c r="Y411" i="28"/>
  <c r="Y412" i="28"/>
  <c r="Y413" i="28"/>
  <c r="Y414" i="28"/>
  <c r="Y415" i="28"/>
  <c r="Y416" i="28"/>
  <c r="Y417" i="28"/>
  <c r="Y418" i="28"/>
  <c r="Y419" i="28"/>
  <c r="Y420" i="28"/>
  <c r="Y421" i="28"/>
  <c r="Y422" i="28"/>
  <c r="Y423" i="28"/>
  <c r="Y424" i="28"/>
  <c r="Y425" i="28"/>
  <c r="Y426" i="28"/>
  <c r="R62" i="30"/>
  <c r="R66" i="30"/>
  <c r="R58" i="30"/>
  <c r="R54" i="30"/>
  <c r="R50" i="30"/>
  <c r="R46" i="30"/>
  <c r="R42" i="30"/>
  <c r="R38" i="30"/>
  <c r="I62" i="30"/>
  <c r="I58" i="30"/>
  <c r="I54" i="30"/>
  <c r="I50" i="30"/>
  <c r="I46" i="30"/>
  <c r="I42" i="30"/>
  <c r="I38" i="30"/>
  <c r="R30" i="30"/>
  <c r="R26" i="30"/>
  <c r="R22" i="30"/>
  <c r="R18" i="30"/>
  <c r="R14" i="30"/>
  <c r="R10" i="30"/>
  <c r="R6" i="30"/>
  <c r="I14" i="30"/>
  <c r="I30" i="30"/>
  <c r="I26" i="30"/>
  <c r="I22" i="30"/>
  <c r="I18" i="30"/>
  <c r="I6" i="30"/>
  <c r="I10" i="30"/>
  <c r="DQ9" i="3" l="1"/>
  <c r="DQ110" i="3" l="1"/>
  <c r="DR3" i="3"/>
  <c r="DR4" i="3"/>
  <c r="DR5" i="3"/>
  <c r="DR6" i="3"/>
  <c r="DR7" i="3"/>
  <c r="DR8" i="3"/>
  <c r="DR9" i="3"/>
  <c r="DR10" i="3"/>
  <c r="DR11" i="3"/>
  <c r="DR12" i="3"/>
  <c r="DR13" i="3"/>
  <c r="DR14" i="3"/>
  <c r="DR15" i="3"/>
  <c r="DR16" i="3"/>
  <c r="DR17" i="3"/>
  <c r="DR18" i="3"/>
  <c r="DR19" i="3"/>
  <c r="DR20" i="3"/>
  <c r="DR21" i="3"/>
  <c r="DR22" i="3"/>
  <c r="DR23" i="3"/>
  <c r="DR24" i="3"/>
  <c r="DR25" i="3"/>
  <c r="DR26" i="3"/>
  <c r="DR27" i="3"/>
  <c r="DR28" i="3"/>
  <c r="DR29" i="3"/>
  <c r="DR30" i="3"/>
  <c r="DR31" i="3"/>
  <c r="DR32" i="3"/>
  <c r="DR33" i="3"/>
  <c r="DR34" i="3"/>
  <c r="DR35" i="3"/>
  <c r="DR36" i="3"/>
  <c r="DR37" i="3"/>
  <c r="DR38" i="3"/>
  <c r="DR39" i="3"/>
  <c r="DR40" i="3"/>
  <c r="DR41" i="3"/>
  <c r="DR42" i="3"/>
  <c r="DR43" i="3"/>
  <c r="DR44" i="3"/>
  <c r="DR45" i="3"/>
  <c r="DR46" i="3"/>
  <c r="DR47" i="3"/>
  <c r="DR48" i="3"/>
  <c r="DR49" i="3"/>
  <c r="DR50" i="3"/>
  <c r="DR51" i="3"/>
  <c r="DR52" i="3"/>
  <c r="DR53" i="3"/>
  <c r="DR54" i="3"/>
  <c r="DR55" i="3"/>
  <c r="DR56" i="3"/>
  <c r="DR57" i="3"/>
  <c r="DR58" i="3"/>
  <c r="DR59" i="3"/>
  <c r="DR60" i="3"/>
  <c r="DR61" i="3"/>
  <c r="DR62" i="3"/>
  <c r="DR63" i="3"/>
  <c r="DR64" i="3"/>
  <c r="DR65" i="3"/>
  <c r="DR66" i="3"/>
  <c r="DR67" i="3"/>
  <c r="DR68" i="3"/>
  <c r="DR69" i="3"/>
  <c r="DR70" i="3"/>
  <c r="DR71" i="3"/>
  <c r="DR72" i="3"/>
  <c r="DR73" i="3"/>
  <c r="DR74" i="3"/>
  <c r="DR75" i="3"/>
  <c r="DR76" i="3"/>
  <c r="DR77" i="3"/>
  <c r="DR78" i="3"/>
  <c r="DR79" i="3"/>
  <c r="DR80" i="3"/>
  <c r="DR81" i="3"/>
  <c r="DR82" i="3"/>
  <c r="DR83" i="3"/>
  <c r="DR84" i="3"/>
  <c r="DR85" i="3"/>
  <c r="DR86" i="3"/>
  <c r="DR87" i="3"/>
  <c r="DR88" i="3"/>
  <c r="DR89" i="3"/>
  <c r="DR90" i="3"/>
  <c r="DR91" i="3"/>
  <c r="DR92" i="3"/>
  <c r="DR93" i="3"/>
  <c r="DR94" i="3"/>
  <c r="DR95" i="3"/>
  <c r="DR96" i="3"/>
  <c r="DR97" i="3"/>
  <c r="DR98" i="3"/>
  <c r="DR99" i="3"/>
  <c r="DR100" i="3"/>
  <c r="DR101" i="3"/>
  <c r="DR102" i="3"/>
  <c r="DR103" i="3"/>
  <c r="DR104" i="3"/>
  <c r="DR105" i="3"/>
  <c r="DR106" i="3"/>
  <c r="DR107" i="3"/>
  <c r="DR108" i="3"/>
  <c r="DR109" i="3"/>
  <c r="DR110" i="3"/>
  <c r="DR111" i="3"/>
  <c r="DR112" i="3"/>
  <c r="DR113" i="3"/>
  <c r="DR114" i="3"/>
  <c r="DR115" i="3"/>
  <c r="DR116" i="3"/>
  <c r="DR117" i="3"/>
  <c r="DR118" i="3"/>
  <c r="DR119" i="3"/>
  <c r="DR120" i="3"/>
  <c r="DR121" i="3"/>
  <c r="DR122" i="3"/>
  <c r="DR123" i="3"/>
  <c r="DR124" i="3"/>
  <c r="DR125" i="3"/>
  <c r="DR126" i="3"/>
  <c r="DR127" i="3"/>
  <c r="DR128" i="3"/>
  <c r="DR129" i="3"/>
  <c r="DR130" i="3"/>
  <c r="DR131" i="3"/>
  <c r="DR132" i="3"/>
  <c r="DR133" i="3"/>
  <c r="DR134" i="3"/>
  <c r="DR135" i="3"/>
  <c r="DR136" i="3"/>
  <c r="DR137" i="3"/>
  <c r="DR138" i="3"/>
  <c r="DR139" i="3"/>
  <c r="DR140" i="3"/>
  <c r="DR141" i="3"/>
  <c r="DR142" i="3"/>
  <c r="DR143" i="3"/>
  <c r="DR144" i="3"/>
  <c r="DR145" i="3"/>
  <c r="DR146" i="3"/>
  <c r="DR147" i="3"/>
  <c r="DR148" i="3"/>
  <c r="DR149" i="3"/>
  <c r="DR150" i="3"/>
  <c r="DR151" i="3"/>
  <c r="DR152" i="3"/>
  <c r="DR153" i="3"/>
  <c r="DR154" i="3"/>
  <c r="DR155" i="3"/>
  <c r="DR156" i="3"/>
  <c r="DR157" i="3"/>
  <c r="DR158" i="3"/>
  <c r="DR159" i="3"/>
  <c r="DR160" i="3"/>
  <c r="DR161" i="3"/>
  <c r="DR162" i="3"/>
  <c r="DR163" i="3"/>
  <c r="DR164" i="3"/>
  <c r="DR165" i="3"/>
  <c r="DR166" i="3"/>
  <c r="DR167" i="3"/>
  <c r="DR168" i="3"/>
  <c r="DR169" i="3"/>
  <c r="DR170" i="3"/>
  <c r="DR171" i="3"/>
  <c r="DR172" i="3"/>
  <c r="DR173" i="3"/>
  <c r="DR174" i="3"/>
  <c r="DR175" i="3"/>
  <c r="DR176" i="3"/>
  <c r="DR177" i="3"/>
  <c r="DR178" i="3"/>
  <c r="DR179" i="3"/>
  <c r="DR180" i="3"/>
  <c r="DR181" i="3"/>
  <c r="DR182" i="3"/>
  <c r="DR183" i="3"/>
  <c r="DR184" i="3"/>
  <c r="DR185" i="3"/>
  <c r="DR186" i="3"/>
  <c r="DR187" i="3"/>
  <c r="DR188" i="3"/>
  <c r="DR189" i="3"/>
  <c r="DR190" i="3"/>
  <c r="DR191" i="3"/>
  <c r="DR192" i="3"/>
  <c r="DR193" i="3"/>
  <c r="DR194" i="3"/>
  <c r="DR195" i="3"/>
  <c r="DR196" i="3"/>
  <c r="DR197" i="3"/>
  <c r="DR198" i="3"/>
  <c r="DR199" i="3"/>
  <c r="DR200" i="3"/>
  <c r="DR201" i="3"/>
  <c r="DR202" i="3"/>
  <c r="DR203" i="3"/>
  <c r="DR204" i="3"/>
  <c r="DR205" i="3"/>
  <c r="DR206" i="3"/>
  <c r="DR207" i="3"/>
  <c r="DR208" i="3"/>
  <c r="DR209" i="3"/>
  <c r="DR210" i="3"/>
  <c r="DR211" i="3"/>
  <c r="DR212" i="3"/>
  <c r="DR213" i="3"/>
  <c r="DR214" i="3"/>
  <c r="DR215" i="3"/>
  <c r="DR216" i="3"/>
  <c r="DR217" i="3"/>
  <c r="DR218" i="3"/>
  <c r="DR219" i="3"/>
  <c r="DR220" i="3"/>
  <c r="DR221" i="3"/>
  <c r="DR222" i="3"/>
  <c r="DR223" i="3"/>
  <c r="DR224" i="3"/>
  <c r="DR225" i="3"/>
  <c r="DR226" i="3"/>
  <c r="DR227" i="3"/>
  <c r="DR228" i="3"/>
  <c r="DR229" i="3"/>
  <c r="DR230" i="3"/>
  <c r="DR231" i="3"/>
  <c r="DR232" i="3"/>
  <c r="DR233" i="3"/>
  <c r="DR234" i="3"/>
  <c r="DR235" i="3"/>
  <c r="DR236" i="3"/>
  <c r="DR237" i="3"/>
  <c r="DR238" i="3"/>
  <c r="DR239" i="3"/>
  <c r="DR240" i="3"/>
  <c r="DR241" i="3"/>
  <c r="DR242" i="3"/>
  <c r="DR243" i="3"/>
  <c r="DR244" i="3"/>
  <c r="DR245" i="3"/>
  <c r="DR246" i="3"/>
  <c r="DR247" i="3"/>
  <c r="DR248" i="3"/>
  <c r="DR249" i="3"/>
  <c r="DR250" i="3"/>
  <c r="DR251" i="3"/>
  <c r="DR252" i="3"/>
  <c r="DR253" i="3"/>
  <c r="DR254" i="3"/>
  <c r="DR255" i="3"/>
  <c r="DR256" i="3"/>
  <c r="DR257" i="3"/>
  <c r="DR258" i="3"/>
  <c r="DR259" i="3"/>
  <c r="DR260" i="3"/>
  <c r="DR261" i="3"/>
  <c r="DR262" i="3"/>
  <c r="DR263" i="3"/>
  <c r="DR264" i="3"/>
  <c r="DR265" i="3"/>
  <c r="DR266" i="3"/>
  <c r="DR267" i="3"/>
  <c r="DR268" i="3"/>
  <c r="DR269" i="3"/>
  <c r="DR270" i="3"/>
  <c r="DR271" i="3"/>
  <c r="DR272" i="3"/>
  <c r="DR273" i="3"/>
  <c r="DR274" i="3"/>
  <c r="DR275" i="3"/>
  <c r="DR276" i="3"/>
  <c r="DR277" i="3"/>
  <c r="DR278" i="3"/>
  <c r="DR279" i="3"/>
  <c r="DR280" i="3"/>
  <c r="DR281" i="3"/>
  <c r="DR282" i="3"/>
  <c r="DR283" i="3"/>
  <c r="DR284" i="3"/>
  <c r="DR285" i="3"/>
  <c r="DR286" i="3"/>
  <c r="DR287" i="3"/>
  <c r="DR288" i="3"/>
  <c r="DR289" i="3"/>
  <c r="DR290" i="3"/>
  <c r="DR291" i="3"/>
  <c r="DR292" i="3"/>
  <c r="DR293" i="3"/>
  <c r="DR294" i="3"/>
  <c r="DR295" i="3"/>
  <c r="DR296" i="3"/>
  <c r="DR297" i="3"/>
  <c r="DR298" i="3"/>
  <c r="DR299" i="3"/>
  <c r="DR300" i="3"/>
  <c r="DR301" i="3"/>
  <c r="DR302" i="3"/>
  <c r="DR303" i="3"/>
  <c r="DR304" i="3"/>
  <c r="DR305" i="3"/>
  <c r="DR306" i="3"/>
  <c r="DR307" i="3"/>
  <c r="DR308" i="3"/>
  <c r="DR309" i="3"/>
  <c r="DR310" i="3"/>
  <c r="DR311" i="3"/>
  <c r="DR312" i="3"/>
  <c r="DR313" i="3"/>
  <c r="DR314" i="3"/>
  <c r="DR315" i="3"/>
  <c r="DR316" i="3"/>
  <c r="DR317" i="3"/>
  <c r="DR318" i="3"/>
  <c r="DR319" i="3"/>
  <c r="DR320" i="3"/>
  <c r="DR321" i="3"/>
  <c r="DR322" i="3"/>
  <c r="DR323" i="3"/>
  <c r="DR324" i="3"/>
  <c r="DR325" i="3"/>
  <c r="DR326" i="3"/>
  <c r="DR327" i="3"/>
  <c r="DR328" i="3"/>
  <c r="DR329" i="3"/>
  <c r="DR330" i="3"/>
  <c r="DR331" i="3"/>
  <c r="DR332" i="3"/>
  <c r="DR333" i="3"/>
  <c r="DR334" i="3"/>
  <c r="DR335" i="3"/>
  <c r="DR336" i="3"/>
  <c r="DR337" i="3"/>
  <c r="DR338" i="3"/>
  <c r="DR339" i="3"/>
  <c r="DR340" i="3"/>
  <c r="DR341" i="3"/>
  <c r="DR342" i="3"/>
  <c r="DR343" i="3"/>
  <c r="DR344" i="3"/>
  <c r="DR345" i="3"/>
  <c r="DR346" i="3"/>
  <c r="DR347" i="3"/>
  <c r="DR348" i="3"/>
  <c r="DR349" i="3"/>
  <c r="DR350" i="3"/>
  <c r="DR351" i="3"/>
  <c r="DR352" i="3"/>
  <c r="DR353" i="3"/>
  <c r="DR354" i="3"/>
  <c r="DR355" i="3"/>
  <c r="DR356" i="3"/>
  <c r="DR357" i="3"/>
  <c r="DR358" i="3"/>
  <c r="DR359" i="3"/>
  <c r="DR360" i="3"/>
  <c r="DR361" i="3"/>
  <c r="DR362" i="3"/>
  <c r="DR363" i="3"/>
  <c r="DR364" i="3"/>
  <c r="DR365" i="3"/>
  <c r="DR366" i="3"/>
  <c r="DR367" i="3"/>
  <c r="DR368" i="3"/>
  <c r="DR369" i="3"/>
  <c r="DR370" i="3"/>
  <c r="DR371" i="3"/>
  <c r="DR372" i="3"/>
  <c r="DR373" i="3"/>
  <c r="DR374" i="3"/>
  <c r="DR375" i="3"/>
  <c r="DR376" i="3"/>
  <c r="DR377" i="3"/>
  <c r="DR378" i="3"/>
  <c r="DR379" i="3"/>
  <c r="DR380" i="3"/>
  <c r="DR381" i="3"/>
  <c r="DR382" i="3"/>
  <c r="DR383" i="3"/>
  <c r="DR384" i="3"/>
  <c r="DR385" i="3"/>
  <c r="DR386" i="3"/>
  <c r="DR387" i="3"/>
  <c r="DR388" i="3"/>
  <c r="DR389" i="3"/>
  <c r="DR390" i="3"/>
  <c r="DR391" i="3"/>
  <c r="DR392" i="3"/>
  <c r="DR393" i="3"/>
  <c r="DR394" i="3"/>
  <c r="DR395" i="3"/>
  <c r="DR396" i="3"/>
  <c r="DR397" i="3"/>
  <c r="DR398" i="3"/>
  <c r="DR399" i="3"/>
  <c r="DR400" i="3"/>
  <c r="DR401" i="3"/>
  <c r="DR402" i="3"/>
  <c r="DR403" i="3"/>
  <c r="DR404" i="3"/>
  <c r="DR405" i="3"/>
  <c r="DR406" i="3"/>
  <c r="DR407" i="3"/>
  <c r="DR408" i="3"/>
  <c r="DR409" i="3"/>
  <c r="DR410" i="3"/>
  <c r="DR411" i="3"/>
  <c r="DR412" i="3"/>
  <c r="DR413" i="3"/>
  <c r="DR414" i="3"/>
  <c r="DR415" i="3"/>
  <c r="DR416" i="3"/>
  <c r="DR417" i="3"/>
  <c r="DR418" i="3"/>
  <c r="DR419" i="3"/>
  <c r="DR420" i="3"/>
  <c r="DR421" i="3"/>
  <c r="DR422" i="3"/>
  <c r="DR423" i="3"/>
  <c r="DR424" i="3"/>
  <c r="DR425" i="3"/>
  <c r="DR426" i="3"/>
  <c r="DR427" i="3"/>
  <c r="DR428" i="3"/>
  <c r="DR429" i="3"/>
  <c r="DR430" i="3"/>
  <c r="DR431" i="3"/>
  <c r="DR432" i="3"/>
  <c r="DR433" i="3"/>
  <c r="DR434" i="3"/>
  <c r="DR435" i="3"/>
  <c r="DR436" i="3"/>
  <c r="DR437" i="3"/>
  <c r="DR438" i="3"/>
  <c r="DR439" i="3"/>
  <c r="DR440" i="3"/>
  <c r="DR441" i="3"/>
  <c r="DR442" i="3"/>
  <c r="DR443" i="3"/>
  <c r="DR444" i="3"/>
  <c r="DR445" i="3"/>
  <c r="DR446" i="3"/>
  <c r="DR447" i="3"/>
  <c r="DR448" i="3"/>
  <c r="DR449" i="3"/>
  <c r="DR450" i="3"/>
  <c r="DR451" i="3"/>
  <c r="DR452" i="3"/>
  <c r="DR453" i="3"/>
  <c r="DR454" i="3"/>
  <c r="DR455" i="3"/>
  <c r="DR456" i="3"/>
  <c r="DR457" i="3"/>
  <c r="DR458" i="3"/>
  <c r="DR459" i="3"/>
  <c r="DR460" i="3"/>
  <c r="DR461" i="3"/>
  <c r="DR462" i="3"/>
  <c r="DR463" i="3"/>
  <c r="DR464" i="3"/>
  <c r="DR465" i="3"/>
  <c r="DR466" i="3"/>
  <c r="DR467" i="3"/>
  <c r="DR468" i="3"/>
  <c r="DR469" i="3"/>
  <c r="DR470" i="3"/>
  <c r="DR471" i="3"/>
  <c r="DR472" i="3"/>
  <c r="DR473" i="3"/>
  <c r="DR474" i="3"/>
  <c r="DR475" i="3"/>
  <c r="DR476" i="3"/>
  <c r="DR477" i="3"/>
  <c r="DR478" i="3"/>
  <c r="DR479" i="3"/>
  <c r="DR480" i="3"/>
  <c r="DR481" i="3"/>
  <c r="DR482" i="3"/>
  <c r="DR483" i="3"/>
  <c r="DR484" i="3"/>
  <c r="DR485" i="3"/>
  <c r="DR486" i="3"/>
  <c r="DR487" i="3"/>
  <c r="DR488" i="3"/>
  <c r="DR489" i="3"/>
  <c r="DR490" i="3"/>
  <c r="DR491" i="3"/>
  <c r="DR492" i="3"/>
  <c r="DR493" i="3"/>
  <c r="DR494" i="3"/>
  <c r="DR495" i="3"/>
  <c r="DR496" i="3"/>
  <c r="DR497" i="3"/>
  <c r="DR498" i="3"/>
  <c r="DR499" i="3"/>
  <c r="DR500" i="3"/>
  <c r="DR501" i="3"/>
  <c r="DR502" i="3"/>
  <c r="DR503" i="3"/>
  <c r="DR504" i="3"/>
  <c r="DR505" i="3"/>
  <c r="DR506" i="3"/>
  <c r="DR507" i="3"/>
  <c r="DR508" i="3"/>
  <c r="DR509" i="3"/>
  <c r="DR510" i="3"/>
  <c r="DR511" i="3"/>
  <c r="DR512" i="3"/>
  <c r="DR513" i="3"/>
  <c r="DR514" i="3"/>
  <c r="DR515" i="3"/>
  <c r="DR516" i="3"/>
  <c r="DR517" i="3"/>
  <c r="DR518" i="3"/>
  <c r="DR519" i="3"/>
  <c r="DR520" i="3"/>
  <c r="DR521" i="3"/>
  <c r="DR522" i="3"/>
  <c r="DR523" i="3"/>
  <c r="DR524" i="3"/>
  <c r="DR525" i="3"/>
  <c r="DR526" i="3"/>
  <c r="DR527" i="3"/>
  <c r="DR528" i="3"/>
  <c r="DR529" i="3"/>
  <c r="DR530" i="3"/>
  <c r="DR531" i="3"/>
  <c r="DR532" i="3"/>
  <c r="DR533" i="3"/>
  <c r="DR534" i="3"/>
  <c r="DR535" i="3"/>
  <c r="DR536" i="3"/>
  <c r="DR537" i="3"/>
  <c r="DR538" i="3"/>
  <c r="DR539" i="3"/>
  <c r="DR540" i="3"/>
  <c r="DR541" i="3"/>
  <c r="DR542" i="3"/>
  <c r="DR543" i="3"/>
  <c r="DR544" i="3"/>
  <c r="DR545" i="3"/>
  <c r="DR546" i="3"/>
  <c r="DR547" i="3"/>
  <c r="DR548" i="3"/>
  <c r="DR549" i="3"/>
  <c r="DR550" i="3"/>
  <c r="DR551" i="3"/>
  <c r="DR552" i="3"/>
  <c r="DR553" i="3"/>
  <c r="DR554" i="3"/>
  <c r="DR555" i="3"/>
  <c r="DR556" i="3"/>
  <c r="DR557" i="3"/>
  <c r="DR558" i="3"/>
  <c r="DR559" i="3"/>
  <c r="DR560" i="3"/>
  <c r="DR561" i="3"/>
  <c r="DR562" i="3"/>
  <c r="DR563" i="3"/>
  <c r="DR564" i="3"/>
  <c r="DR565" i="3"/>
  <c r="DR566" i="3"/>
  <c r="DR567" i="3"/>
  <c r="DR568" i="3"/>
  <c r="DR569" i="3"/>
  <c r="DR570" i="3"/>
  <c r="DR571" i="3"/>
  <c r="DR572" i="3"/>
  <c r="DR573" i="3"/>
  <c r="DR574" i="3"/>
  <c r="DR575" i="3"/>
  <c r="DR576" i="3"/>
  <c r="DR577" i="3"/>
  <c r="DR578" i="3"/>
  <c r="DR579" i="3"/>
  <c r="DR580" i="3"/>
  <c r="DR581" i="3"/>
  <c r="DR582" i="3"/>
  <c r="DQ3" i="3"/>
  <c r="DQ4" i="3"/>
  <c r="DQ5" i="3"/>
  <c r="DQ6" i="3"/>
  <c r="DQ7" i="3"/>
  <c r="DQ8" i="3"/>
  <c r="DQ10" i="3"/>
  <c r="DQ11" i="3"/>
  <c r="DQ12" i="3"/>
  <c r="DQ13" i="3"/>
  <c r="DQ14" i="3"/>
  <c r="DQ15" i="3"/>
  <c r="DQ16" i="3"/>
  <c r="DQ17" i="3"/>
  <c r="DQ18" i="3"/>
  <c r="DQ19" i="3"/>
  <c r="DQ20" i="3"/>
  <c r="DQ21" i="3"/>
  <c r="DQ22" i="3"/>
  <c r="DQ23" i="3"/>
  <c r="DQ24" i="3"/>
  <c r="DQ25" i="3"/>
  <c r="DQ26" i="3"/>
  <c r="DQ27" i="3"/>
  <c r="DQ28" i="3"/>
  <c r="DQ29" i="3"/>
  <c r="DQ30" i="3"/>
  <c r="DQ31" i="3"/>
  <c r="DQ32" i="3"/>
  <c r="DQ33" i="3"/>
  <c r="DQ34" i="3"/>
  <c r="DQ35" i="3"/>
  <c r="DQ36" i="3"/>
  <c r="DQ37" i="3"/>
  <c r="DQ38" i="3"/>
  <c r="DQ39" i="3"/>
  <c r="DQ40" i="3"/>
  <c r="DQ41" i="3"/>
  <c r="DQ42" i="3"/>
  <c r="DQ43" i="3"/>
  <c r="DQ44" i="3"/>
  <c r="DQ45" i="3"/>
  <c r="DQ46" i="3"/>
  <c r="DQ47" i="3"/>
  <c r="DQ48" i="3"/>
  <c r="DQ49" i="3"/>
  <c r="DQ50" i="3"/>
  <c r="DQ51" i="3"/>
  <c r="DQ52" i="3"/>
  <c r="DQ53" i="3"/>
  <c r="DQ54" i="3"/>
  <c r="DQ55" i="3"/>
  <c r="DQ56" i="3"/>
  <c r="DQ57" i="3"/>
  <c r="DQ58" i="3"/>
  <c r="DQ59" i="3"/>
  <c r="DQ60" i="3"/>
  <c r="DQ61" i="3"/>
  <c r="DQ62" i="3"/>
  <c r="DQ63" i="3"/>
  <c r="DQ64" i="3"/>
  <c r="DQ65" i="3"/>
  <c r="DQ66" i="3"/>
  <c r="DQ67" i="3"/>
  <c r="DQ68" i="3"/>
  <c r="DQ69" i="3"/>
  <c r="DQ70" i="3"/>
  <c r="DQ71" i="3"/>
  <c r="DQ72" i="3"/>
  <c r="DQ73" i="3"/>
  <c r="DQ74" i="3"/>
  <c r="DQ75" i="3"/>
  <c r="DQ76" i="3"/>
  <c r="DQ77" i="3"/>
  <c r="DQ78" i="3"/>
  <c r="DQ79" i="3"/>
  <c r="DQ80" i="3"/>
  <c r="DQ81" i="3"/>
  <c r="DQ82" i="3"/>
  <c r="DQ83" i="3"/>
  <c r="DQ84" i="3"/>
  <c r="DQ85" i="3"/>
  <c r="DQ86" i="3"/>
  <c r="DQ87" i="3"/>
  <c r="DQ88" i="3"/>
  <c r="DQ89" i="3"/>
  <c r="DQ90" i="3"/>
  <c r="DQ91" i="3"/>
  <c r="DQ92" i="3"/>
  <c r="DQ93" i="3"/>
  <c r="DQ94" i="3"/>
  <c r="DQ95" i="3"/>
  <c r="DQ96" i="3"/>
  <c r="DQ97" i="3"/>
  <c r="DQ98" i="3"/>
  <c r="DQ99" i="3"/>
  <c r="DQ100" i="3"/>
  <c r="DQ101" i="3"/>
  <c r="DQ102" i="3"/>
  <c r="DQ103" i="3"/>
  <c r="DQ104" i="3"/>
  <c r="DQ105" i="3"/>
  <c r="DQ106" i="3"/>
  <c r="DQ107" i="3"/>
  <c r="DQ108" i="3"/>
  <c r="DQ109" i="3"/>
  <c r="DQ111" i="3"/>
  <c r="DQ112" i="3"/>
  <c r="DQ113" i="3"/>
  <c r="DQ114" i="3"/>
  <c r="DQ115" i="3"/>
  <c r="DQ116" i="3"/>
  <c r="DQ117" i="3"/>
  <c r="DQ118" i="3"/>
  <c r="DQ119" i="3"/>
  <c r="DQ120" i="3"/>
  <c r="DQ121" i="3"/>
  <c r="DQ122" i="3"/>
  <c r="DQ123" i="3"/>
  <c r="DQ124" i="3"/>
  <c r="DQ125" i="3"/>
  <c r="DQ126" i="3"/>
  <c r="DQ127" i="3"/>
  <c r="DQ128" i="3"/>
  <c r="DQ129" i="3"/>
  <c r="DQ130" i="3"/>
  <c r="DQ131" i="3"/>
  <c r="DQ132" i="3"/>
  <c r="DQ133" i="3"/>
  <c r="DQ134" i="3"/>
  <c r="DQ135" i="3"/>
  <c r="DQ136" i="3"/>
  <c r="DQ137" i="3"/>
  <c r="DQ138" i="3"/>
  <c r="DQ139" i="3"/>
  <c r="DQ140" i="3"/>
  <c r="DQ141" i="3"/>
  <c r="DQ142" i="3"/>
  <c r="DQ143" i="3"/>
  <c r="DQ144" i="3"/>
  <c r="DQ145" i="3"/>
  <c r="DQ146" i="3"/>
  <c r="DQ147" i="3"/>
  <c r="DQ148" i="3"/>
  <c r="DQ149" i="3"/>
  <c r="DQ150" i="3"/>
  <c r="DQ151" i="3"/>
  <c r="DQ152" i="3"/>
  <c r="DQ153" i="3"/>
  <c r="DQ154" i="3"/>
  <c r="DQ155" i="3"/>
  <c r="DQ156" i="3"/>
  <c r="DQ157" i="3"/>
  <c r="DQ158" i="3"/>
  <c r="DQ159" i="3"/>
  <c r="DQ160" i="3"/>
  <c r="DQ161" i="3"/>
  <c r="DQ162" i="3"/>
  <c r="DQ163" i="3"/>
  <c r="DQ164" i="3"/>
  <c r="DQ165" i="3"/>
  <c r="DQ166" i="3"/>
  <c r="DQ167" i="3"/>
  <c r="DQ168" i="3"/>
  <c r="DQ169" i="3"/>
  <c r="DQ170" i="3"/>
  <c r="DQ171" i="3"/>
  <c r="DQ172" i="3"/>
  <c r="DQ173" i="3"/>
  <c r="DQ174" i="3"/>
  <c r="DQ175" i="3"/>
  <c r="DQ176" i="3"/>
  <c r="DQ177" i="3"/>
  <c r="DQ178" i="3"/>
  <c r="DQ179" i="3"/>
  <c r="DQ180" i="3"/>
  <c r="DQ181" i="3"/>
  <c r="DQ182" i="3"/>
  <c r="DQ183" i="3"/>
  <c r="DQ184" i="3"/>
  <c r="DQ185" i="3"/>
  <c r="DQ186" i="3"/>
  <c r="DQ187" i="3"/>
  <c r="DQ188" i="3"/>
  <c r="DQ189" i="3"/>
  <c r="DQ190" i="3"/>
  <c r="DQ191" i="3"/>
  <c r="DQ192" i="3"/>
  <c r="DQ193" i="3"/>
  <c r="DQ194" i="3"/>
  <c r="DQ195" i="3"/>
  <c r="DQ196" i="3"/>
  <c r="DQ197" i="3"/>
  <c r="DQ198" i="3"/>
  <c r="DQ199" i="3"/>
  <c r="DQ200" i="3"/>
  <c r="DQ201" i="3"/>
  <c r="DQ202" i="3"/>
  <c r="DQ203" i="3"/>
  <c r="DQ204" i="3"/>
  <c r="DQ205" i="3"/>
  <c r="DQ206" i="3"/>
  <c r="DQ207" i="3"/>
  <c r="DQ208" i="3"/>
  <c r="DQ209" i="3"/>
  <c r="DQ210" i="3"/>
  <c r="DQ211" i="3"/>
  <c r="DQ212" i="3"/>
  <c r="DQ213" i="3"/>
  <c r="DQ214" i="3"/>
  <c r="DQ215" i="3"/>
  <c r="DQ216" i="3"/>
  <c r="DQ217" i="3"/>
  <c r="DQ218" i="3"/>
  <c r="DQ219" i="3"/>
  <c r="DQ220" i="3"/>
  <c r="DQ221" i="3"/>
  <c r="DQ222" i="3"/>
  <c r="DQ223" i="3"/>
  <c r="DQ224" i="3"/>
  <c r="DQ225" i="3"/>
  <c r="DQ226" i="3"/>
  <c r="DQ227" i="3"/>
  <c r="DQ228" i="3"/>
  <c r="DQ229" i="3"/>
  <c r="DQ230" i="3"/>
  <c r="DQ231" i="3"/>
  <c r="DQ232" i="3"/>
  <c r="DQ233" i="3"/>
  <c r="DQ234" i="3"/>
  <c r="DQ235" i="3"/>
  <c r="DQ236" i="3"/>
  <c r="DQ237" i="3"/>
  <c r="DQ238" i="3"/>
  <c r="DQ239" i="3"/>
  <c r="DQ240" i="3"/>
  <c r="DQ241" i="3"/>
  <c r="DQ242" i="3"/>
  <c r="DQ243" i="3"/>
  <c r="DQ244" i="3"/>
  <c r="DQ245" i="3"/>
  <c r="DQ246" i="3"/>
  <c r="DQ247" i="3"/>
  <c r="DQ248" i="3"/>
  <c r="DQ249" i="3"/>
  <c r="DQ250" i="3"/>
  <c r="DQ251" i="3"/>
  <c r="DQ252" i="3"/>
  <c r="DQ253" i="3"/>
  <c r="DQ254" i="3"/>
  <c r="DQ255" i="3"/>
  <c r="DQ256" i="3"/>
  <c r="DQ257" i="3"/>
  <c r="DQ258" i="3"/>
  <c r="DQ259" i="3"/>
  <c r="DQ260" i="3"/>
  <c r="DQ261" i="3"/>
  <c r="DQ262" i="3"/>
  <c r="DQ263" i="3"/>
  <c r="DQ264" i="3"/>
  <c r="DQ265" i="3"/>
  <c r="DQ266" i="3"/>
  <c r="DQ267" i="3"/>
  <c r="DQ268" i="3"/>
  <c r="DQ269" i="3"/>
  <c r="DQ270" i="3"/>
  <c r="DQ271" i="3"/>
  <c r="DQ272" i="3"/>
  <c r="DQ273" i="3"/>
  <c r="DQ274" i="3"/>
  <c r="DQ275" i="3"/>
  <c r="DQ276" i="3"/>
  <c r="DQ277" i="3"/>
  <c r="DQ278" i="3"/>
  <c r="DQ279" i="3"/>
  <c r="DQ280" i="3"/>
  <c r="DQ281" i="3"/>
  <c r="DQ282" i="3"/>
  <c r="DQ283" i="3"/>
  <c r="DQ284" i="3"/>
  <c r="DQ285" i="3"/>
  <c r="DQ286" i="3"/>
  <c r="DQ287" i="3"/>
  <c r="DQ288" i="3"/>
  <c r="DQ289" i="3"/>
  <c r="DQ290" i="3"/>
  <c r="DQ291" i="3"/>
  <c r="DQ292" i="3"/>
  <c r="DQ293" i="3"/>
  <c r="DQ294" i="3"/>
  <c r="DQ295" i="3"/>
  <c r="DQ296" i="3"/>
  <c r="DQ297" i="3"/>
  <c r="DQ298" i="3"/>
  <c r="DQ299" i="3"/>
  <c r="DQ300" i="3"/>
  <c r="DQ301" i="3"/>
  <c r="DQ302" i="3"/>
  <c r="DQ303" i="3"/>
  <c r="DQ304" i="3"/>
  <c r="DQ305" i="3"/>
  <c r="DQ306" i="3"/>
  <c r="DQ307" i="3"/>
  <c r="DQ308" i="3"/>
  <c r="DQ309" i="3"/>
  <c r="DQ310" i="3"/>
  <c r="DQ311" i="3"/>
  <c r="DQ312" i="3"/>
  <c r="DQ313" i="3"/>
  <c r="DQ314" i="3"/>
  <c r="DQ315" i="3"/>
  <c r="DQ316" i="3"/>
  <c r="DQ317" i="3"/>
  <c r="DQ318" i="3"/>
  <c r="DQ319" i="3"/>
  <c r="DQ320" i="3"/>
  <c r="DQ321" i="3"/>
  <c r="DQ322" i="3"/>
  <c r="DQ323" i="3"/>
  <c r="DQ324" i="3"/>
  <c r="DQ325" i="3"/>
  <c r="DQ326" i="3"/>
  <c r="DQ327" i="3"/>
  <c r="DQ328" i="3"/>
  <c r="DQ329" i="3"/>
  <c r="DQ330" i="3"/>
  <c r="DQ331" i="3"/>
  <c r="DQ332" i="3"/>
  <c r="DQ333" i="3"/>
  <c r="DQ334" i="3"/>
  <c r="DQ335" i="3"/>
  <c r="DQ336" i="3"/>
  <c r="DQ337" i="3"/>
  <c r="DQ338" i="3"/>
  <c r="DQ339" i="3"/>
  <c r="DQ340" i="3"/>
  <c r="DQ341" i="3"/>
  <c r="DQ342" i="3"/>
  <c r="DQ343" i="3"/>
  <c r="DQ344" i="3"/>
  <c r="DQ345" i="3"/>
  <c r="DQ346" i="3"/>
  <c r="DQ347" i="3"/>
  <c r="DQ348" i="3"/>
  <c r="DQ349" i="3"/>
  <c r="DQ350" i="3"/>
  <c r="DQ351" i="3"/>
  <c r="DQ352" i="3"/>
  <c r="DQ353" i="3"/>
  <c r="DQ354" i="3"/>
  <c r="DQ355" i="3"/>
  <c r="DQ356" i="3"/>
  <c r="DQ357" i="3"/>
  <c r="DQ358" i="3"/>
  <c r="DQ359" i="3"/>
  <c r="DQ360" i="3"/>
  <c r="DQ361" i="3"/>
  <c r="DQ362" i="3"/>
  <c r="DQ363" i="3"/>
  <c r="DQ364" i="3"/>
  <c r="DQ365" i="3"/>
  <c r="DQ366" i="3"/>
  <c r="DQ367" i="3"/>
  <c r="DQ368" i="3"/>
  <c r="DQ369" i="3"/>
  <c r="DQ370" i="3"/>
  <c r="DQ371" i="3"/>
  <c r="DQ372" i="3"/>
  <c r="DQ373" i="3"/>
  <c r="DQ374" i="3"/>
  <c r="DQ375" i="3"/>
  <c r="DQ376" i="3"/>
  <c r="DQ377" i="3"/>
  <c r="DQ378" i="3"/>
  <c r="DQ379" i="3"/>
  <c r="DQ380" i="3"/>
  <c r="DQ381" i="3"/>
  <c r="DQ382" i="3"/>
  <c r="DQ383" i="3"/>
  <c r="DQ384" i="3"/>
  <c r="DQ385" i="3"/>
  <c r="DQ386" i="3"/>
  <c r="DQ387" i="3"/>
  <c r="DQ388" i="3"/>
  <c r="DQ389" i="3"/>
  <c r="DQ390" i="3"/>
  <c r="DQ391" i="3"/>
  <c r="DQ392" i="3"/>
  <c r="DQ393" i="3"/>
  <c r="DQ394" i="3"/>
  <c r="DQ395" i="3"/>
  <c r="DQ396" i="3"/>
  <c r="DQ397" i="3"/>
  <c r="DQ398" i="3"/>
  <c r="DQ399" i="3"/>
  <c r="DQ400" i="3"/>
  <c r="DQ401" i="3"/>
  <c r="DQ402" i="3"/>
  <c r="DQ403" i="3"/>
  <c r="DQ404" i="3"/>
  <c r="DQ405" i="3"/>
  <c r="DQ406" i="3"/>
  <c r="DQ407" i="3"/>
  <c r="DQ408" i="3"/>
  <c r="DQ409" i="3"/>
  <c r="DQ410" i="3"/>
  <c r="DQ411" i="3"/>
  <c r="DQ412" i="3"/>
  <c r="DQ413" i="3"/>
  <c r="DQ414" i="3"/>
  <c r="DQ415" i="3"/>
  <c r="DQ416" i="3"/>
  <c r="DQ417" i="3"/>
  <c r="DQ418" i="3"/>
  <c r="DQ419" i="3"/>
  <c r="DQ420" i="3"/>
  <c r="DQ421" i="3"/>
  <c r="DQ422" i="3"/>
  <c r="DQ423" i="3"/>
  <c r="DQ424" i="3"/>
  <c r="DQ425" i="3"/>
  <c r="DQ426" i="3"/>
  <c r="DQ427" i="3"/>
  <c r="DQ428" i="3"/>
  <c r="DQ429" i="3"/>
  <c r="DQ430" i="3"/>
  <c r="DQ431" i="3"/>
  <c r="DQ432" i="3"/>
  <c r="DQ433" i="3"/>
  <c r="DQ434" i="3"/>
  <c r="DQ435" i="3"/>
  <c r="DQ436" i="3"/>
  <c r="DQ437" i="3"/>
  <c r="DQ438" i="3"/>
  <c r="DQ439" i="3"/>
  <c r="DQ440" i="3"/>
  <c r="DQ441" i="3"/>
  <c r="DQ442" i="3"/>
  <c r="DQ443" i="3"/>
  <c r="DQ444" i="3"/>
  <c r="DQ445" i="3"/>
  <c r="DQ446" i="3"/>
  <c r="DQ447" i="3"/>
  <c r="DQ448" i="3"/>
  <c r="DQ449" i="3"/>
  <c r="DQ450" i="3"/>
  <c r="DQ451" i="3"/>
  <c r="DQ452" i="3"/>
  <c r="DQ453" i="3"/>
  <c r="DQ454" i="3"/>
  <c r="DQ455" i="3"/>
  <c r="DQ456" i="3"/>
  <c r="DQ457" i="3"/>
  <c r="DQ458" i="3"/>
  <c r="DQ459" i="3"/>
  <c r="DQ460" i="3"/>
  <c r="DQ461" i="3"/>
  <c r="DQ462" i="3"/>
  <c r="DQ463" i="3"/>
  <c r="DQ464" i="3"/>
  <c r="DQ465" i="3"/>
  <c r="DQ466" i="3"/>
  <c r="DQ467" i="3"/>
  <c r="DQ468" i="3"/>
  <c r="DQ469" i="3"/>
  <c r="DQ470" i="3"/>
  <c r="DQ471" i="3"/>
  <c r="DQ472" i="3"/>
  <c r="DQ473" i="3"/>
  <c r="DQ474" i="3"/>
  <c r="DQ475" i="3"/>
  <c r="DQ476" i="3"/>
  <c r="DQ477" i="3"/>
  <c r="DQ478" i="3"/>
  <c r="DQ479" i="3"/>
  <c r="DQ480" i="3"/>
  <c r="DQ481" i="3"/>
  <c r="DQ482" i="3"/>
  <c r="DQ483" i="3"/>
  <c r="DQ484" i="3"/>
  <c r="DQ485" i="3"/>
  <c r="DQ486" i="3"/>
  <c r="DQ487" i="3"/>
  <c r="DQ488" i="3"/>
  <c r="DQ489" i="3"/>
  <c r="DQ490" i="3"/>
  <c r="DQ491" i="3"/>
  <c r="DQ492" i="3"/>
  <c r="DQ493" i="3"/>
  <c r="DQ494" i="3"/>
  <c r="DQ495" i="3"/>
  <c r="DQ496" i="3"/>
  <c r="DQ497" i="3"/>
  <c r="DQ498" i="3"/>
  <c r="DQ499" i="3"/>
  <c r="DQ500" i="3"/>
  <c r="DQ501" i="3"/>
  <c r="DQ502" i="3"/>
  <c r="DQ503" i="3"/>
  <c r="DQ504" i="3"/>
  <c r="DQ505" i="3"/>
  <c r="DQ506" i="3"/>
  <c r="DQ507" i="3"/>
  <c r="DQ508" i="3"/>
  <c r="DQ509" i="3"/>
  <c r="DQ510" i="3"/>
  <c r="DQ511" i="3"/>
  <c r="DQ512" i="3"/>
  <c r="DQ513" i="3"/>
  <c r="DQ514" i="3"/>
  <c r="DQ515" i="3"/>
  <c r="DQ516" i="3"/>
  <c r="DQ517" i="3"/>
  <c r="DQ518" i="3"/>
  <c r="DQ519" i="3"/>
  <c r="DQ520" i="3"/>
  <c r="DQ521" i="3"/>
  <c r="DQ522" i="3"/>
  <c r="DQ523" i="3"/>
  <c r="DQ524" i="3"/>
  <c r="DQ525" i="3"/>
  <c r="DQ526" i="3"/>
  <c r="DQ527" i="3"/>
  <c r="DQ528" i="3"/>
  <c r="DQ529" i="3"/>
  <c r="DQ530" i="3"/>
  <c r="DQ531" i="3"/>
  <c r="DQ532" i="3"/>
  <c r="DQ533" i="3"/>
  <c r="DQ534" i="3"/>
  <c r="DQ535" i="3"/>
  <c r="DQ536" i="3"/>
  <c r="DQ537" i="3"/>
  <c r="DQ538" i="3"/>
  <c r="DQ539" i="3"/>
  <c r="DQ540" i="3"/>
  <c r="DQ541" i="3"/>
  <c r="DQ542" i="3"/>
  <c r="DQ543" i="3"/>
  <c r="DQ544" i="3"/>
  <c r="DQ545" i="3"/>
  <c r="DQ546" i="3"/>
  <c r="DQ547" i="3"/>
  <c r="DQ548" i="3"/>
  <c r="DQ549" i="3"/>
  <c r="DQ550" i="3"/>
  <c r="DQ551" i="3"/>
  <c r="DQ552" i="3"/>
  <c r="DQ553" i="3"/>
  <c r="DQ554" i="3"/>
  <c r="DQ555" i="3"/>
  <c r="DQ556" i="3"/>
  <c r="DQ557" i="3"/>
  <c r="DQ558" i="3"/>
  <c r="DQ559" i="3"/>
  <c r="DQ560" i="3"/>
  <c r="DQ561" i="3"/>
  <c r="DQ562" i="3"/>
  <c r="DQ563" i="3"/>
  <c r="DQ564" i="3"/>
  <c r="DQ565" i="3"/>
  <c r="DQ566" i="3"/>
  <c r="DQ567" i="3"/>
  <c r="DQ568" i="3"/>
  <c r="DQ569" i="3"/>
  <c r="DQ570" i="3"/>
  <c r="DQ571" i="3"/>
  <c r="DQ572" i="3"/>
  <c r="DQ573" i="3"/>
  <c r="DQ574" i="3"/>
  <c r="DQ575" i="3"/>
  <c r="DQ576" i="3"/>
  <c r="DQ577" i="3"/>
  <c r="DQ578" i="3"/>
  <c r="DQ579" i="3"/>
  <c r="DQ580" i="3"/>
  <c r="DQ581" i="3"/>
  <c r="DQ582" i="3"/>
  <c r="CW3" i="3" l="1"/>
  <c r="CW4" i="3"/>
  <c r="CW5" i="3"/>
  <c r="CW6" i="3"/>
  <c r="CW7" i="3"/>
  <c r="CW8" i="3"/>
  <c r="CW9" i="3"/>
  <c r="CW10" i="3"/>
  <c r="CW11" i="3"/>
  <c r="CW12" i="3"/>
  <c r="CW13" i="3"/>
  <c r="CW14" i="3"/>
  <c r="CW15" i="3"/>
  <c r="CW16" i="3"/>
  <c r="CW17" i="3"/>
  <c r="CW18" i="3"/>
  <c r="CW19" i="3"/>
  <c r="CW20" i="3"/>
  <c r="CW21" i="3"/>
  <c r="CW22" i="3"/>
  <c r="CW23" i="3"/>
  <c r="CW24" i="3"/>
  <c r="CW25" i="3"/>
  <c r="CW26" i="3"/>
  <c r="CW27" i="3"/>
  <c r="CW28" i="3"/>
  <c r="CW29" i="3"/>
  <c r="CW30" i="3"/>
  <c r="CW31" i="3"/>
  <c r="CW32" i="3"/>
  <c r="CW33" i="3"/>
  <c r="CW34" i="3"/>
  <c r="CW35" i="3"/>
  <c r="CW36" i="3"/>
  <c r="CW37" i="3"/>
  <c r="CW38" i="3"/>
  <c r="CW39" i="3"/>
  <c r="CW40" i="3"/>
  <c r="CW41" i="3"/>
  <c r="CW42" i="3"/>
  <c r="CW43" i="3"/>
  <c r="CW44" i="3"/>
  <c r="CW45" i="3"/>
  <c r="CW46" i="3"/>
  <c r="CW47" i="3"/>
  <c r="CW48" i="3"/>
  <c r="CW49" i="3"/>
  <c r="CW50" i="3"/>
  <c r="CW51" i="3"/>
  <c r="CW52" i="3"/>
  <c r="CW53" i="3"/>
  <c r="CW54" i="3"/>
  <c r="CW55" i="3"/>
  <c r="CW56" i="3"/>
  <c r="CW57" i="3"/>
  <c r="CW58" i="3"/>
  <c r="CW59" i="3"/>
  <c r="CW60" i="3"/>
  <c r="CW61" i="3"/>
  <c r="CW62" i="3"/>
  <c r="CW63" i="3"/>
  <c r="CW64" i="3"/>
  <c r="CW65" i="3"/>
  <c r="CW66" i="3"/>
  <c r="CW67" i="3"/>
  <c r="CW68" i="3"/>
  <c r="CW69" i="3"/>
  <c r="CW70" i="3"/>
  <c r="CW71" i="3"/>
  <c r="CW72" i="3"/>
  <c r="CW73" i="3"/>
  <c r="CW74" i="3"/>
  <c r="CW75" i="3"/>
  <c r="CW76" i="3"/>
  <c r="CW77" i="3"/>
  <c r="CW78" i="3"/>
  <c r="CW79" i="3"/>
  <c r="CW80" i="3"/>
  <c r="CW81" i="3"/>
  <c r="CW82" i="3"/>
  <c r="CW83" i="3"/>
  <c r="CW84" i="3"/>
  <c r="CW85" i="3"/>
  <c r="CW86" i="3"/>
  <c r="CW87" i="3"/>
  <c r="CW88" i="3"/>
  <c r="CW89" i="3"/>
  <c r="CW90" i="3"/>
  <c r="CW91" i="3"/>
  <c r="CW92" i="3"/>
  <c r="CW93" i="3"/>
  <c r="CW94" i="3"/>
  <c r="CW95" i="3"/>
  <c r="CW96" i="3"/>
  <c r="CW97" i="3"/>
  <c r="CW98" i="3"/>
  <c r="CW99" i="3"/>
  <c r="CW100" i="3"/>
  <c r="CW101" i="3"/>
  <c r="CW102" i="3"/>
  <c r="CW103" i="3"/>
  <c r="CW104" i="3"/>
  <c r="CW105" i="3"/>
  <c r="CW106" i="3"/>
  <c r="CW107" i="3"/>
  <c r="CW108" i="3"/>
  <c r="CW109" i="3"/>
  <c r="CW110" i="3"/>
  <c r="CW111" i="3"/>
  <c r="CW112" i="3"/>
  <c r="CW113" i="3"/>
  <c r="CW114" i="3"/>
  <c r="CW115" i="3"/>
  <c r="CW116" i="3"/>
  <c r="CW117" i="3"/>
  <c r="CW118" i="3"/>
  <c r="CW119" i="3"/>
  <c r="CW120" i="3"/>
  <c r="CW121" i="3"/>
  <c r="CW122" i="3"/>
  <c r="CW123" i="3"/>
  <c r="CW124" i="3"/>
  <c r="CW125" i="3"/>
  <c r="CW126" i="3"/>
  <c r="CW127" i="3"/>
  <c r="CW128" i="3"/>
  <c r="CW129" i="3"/>
  <c r="CW130" i="3"/>
  <c r="CW131" i="3"/>
  <c r="CW132" i="3"/>
  <c r="CW133" i="3"/>
  <c r="CW134" i="3"/>
  <c r="CW135" i="3"/>
  <c r="CW136" i="3"/>
  <c r="CW137" i="3"/>
  <c r="CW138" i="3"/>
  <c r="CW139" i="3"/>
  <c r="CW140" i="3"/>
  <c r="CW141" i="3"/>
  <c r="CW142" i="3"/>
  <c r="CW143" i="3"/>
  <c r="CW144" i="3"/>
  <c r="CW145" i="3"/>
  <c r="CW146" i="3"/>
  <c r="CW147" i="3"/>
  <c r="CW148" i="3"/>
  <c r="CW149" i="3"/>
  <c r="CW150" i="3"/>
  <c r="CW151" i="3"/>
  <c r="CW152" i="3"/>
  <c r="CW153" i="3"/>
  <c r="CW154" i="3"/>
  <c r="CW155" i="3"/>
  <c r="CW156" i="3"/>
  <c r="CW157" i="3"/>
  <c r="CW158" i="3"/>
  <c r="CW159" i="3"/>
  <c r="CW160" i="3"/>
  <c r="CW161" i="3"/>
  <c r="CW162" i="3"/>
  <c r="CW163" i="3"/>
  <c r="CW164" i="3"/>
  <c r="CW165" i="3"/>
  <c r="CW166" i="3"/>
  <c r="CW167" i="3"/>
  <c r="CW168" i="3"/>
  <c r="CW169" i="3"/>
  <c r="CW170" i="3"/>
  <c r="CW171" i="3"/>
  <c r="CW172" i="3"/>
  <c r="CW173" i="3"/>
  <c r="CW174" i="3"/>
  <c r="CW175" i="3"/>
  <c r="CW176" i="3"/>
  <c r="CW177" i="3"/>
  <c r="CW178" i="3"/>
  <c r="CW179" i="3"/>
  <c r="CW180" i="3"/>
  <c r="CW181" i="3"/>
  <c r="CW182" i="3"/>
  <c r="CW183" i="3"/>
  <c r="CW184" i="3"/>
  <c r="CW185" i="3"/>
  <c r="CW186" i="3"/>
  <c r="CW187" i="3"/>
  <c r="CW188" i="3"/>
  <c r="CW189" i="3"/>
  <c r="CW190" i="3"/>
  <c r="CW191" i="3"/>
  <c r="CW192" i="3"/>
  <c r="CW193" i="3"/>
  <c r="CW194" i="3"/>
  <c r="CW195" i="3"/>
  <c r="CW196" i="3"/>
  <c r="CW197" i="3"/>
  <c r="CW198" i="3"/>
  <c r="CW199" i="3"/>
  <c r="CW200" i="3"/>
  <c r="CW201" i="3"/>
  <c r="CW202" i="3"/>
  <c r="CW203" i="3"/>
  <c r="CW204" i="3"/>
  <c r="CW205" i="3"/>
  <c r="CW206" i="3"/>
  <c r="CW207" i="3"/>
  <c r="CW208" i="3"/>
  <c r="CW209" i="3"/>
  <c r="CW210" i="3"/>
  <c r="CW211" i="3"/>
  <c r="CW212" i="3"/>
  <c r="CW213" i="3"/>
  <c r="CW214" i="3"/>
  <c r="CW215" i="3"/>
  <c r="CW216" i="3"/>
  <c r="CW217" i="3"/>
  <c r="CW218" i="3"/>
  <c r="CW219" i="3"/>
  <c r="CW220" i="3"/>
  <c r="CW221" i="3"/>
  <c r="CW222" i="3"/>
  <c r="CW223" i="3"/>
  <c r="CW224" i="3"/>
  <c r="CW225" i="3"/>
  <c r="CW226" i="3"/>
  <c r="CW227" i="3"/>
  <c r="CW228" i="3"/>
  <c r="CW229" i="3"/>
  <c r="CW230" i="3"/>
  <c r="CW231" i="3"/>
  <c r="CW232" i="3"/>
  <c r="CW233" i="3"/>
  <c r="CW234" i="3"/>
  <c r="CW235" i="3"/>
  <c r="CW236" i="3"/>
  <c r="CW237" i="3"/>
  <c r="CW238" i="3"/>
  <c r="CW239" i="3"/>
  <c r="CW240" i="3"/>
  <c r="CW241" i="3"/>
  <c r="CW242" i="3"/>
  <c r="CW243" i="3"/>
  <c r="CW244" i="3"/>
  <c r="CW245" i="3"/>
  <c r="CW246" i="3"/>
  <c r="CW247" i="3"/>
  <c r="CW248" i="3"/>
  <c r="CW249" i="3"/>
  <c r="CW250" i="3"/>
  <c r="CW251" i="3"/>
  <c r="CW252" i="3"/>
  <c r="CW253" i="3"/>
  <c r="CW254" i="3"/>
  <c r="CW255" i="3"/>
  <c r="CW256" i="3"/>
  <c r="CW257" i="3"/>
  <c r="CW258" i="3"/>
  <c r="CW259" i="3"/>
  <c r="CW260" i="3"/>
  <c r="CW261" i="3"/>
  <c r="CW262" i="3"/>
  <c r="CW263" i="3"/>
  <c r="CW264" i="3"/>
  <c r="CW265" i="3"/>
  <c r="CW266" i="3"/>
  <c r="CW267" i="3"/>
  <c r="CW268" i="3"/>
  <c r="CW269" i="3"/>
  <c r="CW270" i="3"/>
  <c r="CW271" i="3"/>
  <c r="CW272" i="3"/>
  <c r="CW273" i="3"/>
  <c r="CW274" i="3"/>
  <c r="CW275" i="3"/>
  <c r="CW276" i="3"/>
  <c r="CW277" i="3"/>
  <c r="CW278" i="3"/>
  <c r="CW279" i="3"/>
  <c r="CW280" i="3"/>
  <c r="CW281" i="3"/>
  <c r="CW282" i="3"/>
  <c r="CW283" i="3"/>
  <c r="CW284" i="3"/>
  <c r="CW285" i="3"/>
  <c r="CW286" i="3"/>
  <c r="CW287" i="3"/>
  <c r="CW288" i="3"/>
  <c r="CW289" i="3"/>
  <c r="CW290" i="3"/>
  <c r="CW291" i="3"/>
  <c r="CW292" i="3"/>
  <c r="CW293" i="3"/>
  <c r="CW294" i="3"/>
  <c r="CW295" i="3"/>
  <c r="CW296" i="3"/>
  <c r="CW297" i="3"/>
  <c r="CW298" i="3"/>
  <c r="CW299" i="3"/>
  <c r="CW300" i="3"/>
  <c r="CW301" i="3"/>
  <c r="CW302" i="3"/>
  <c r="CW303" i="3"/>
  <c r="CW304" i="3"/>
  <c r="CW305" i="3"/>
  <c r="CW306" i="3"/>
  <c r="CW307" i="3"/>
  <c r="CW308" i="3"/>
  <c r="CW309" i="3"/>
  <c r="CW310" i="3"/>
  <c r="CW311" i="3"/>
  <c r="CW312" i="3"/>
  <c r="CW313" i="3"/>
  <c r="CW314" i="3"/>
  <c r="CW315" i="3"/>
  <c r="CW316" i="3"/>
  <c r="CW317" i="3"/>
  <c r="CW318" i="3"/>
  <c r="CW319" i="3"/>
  <c r="CW320" i="3"/>
  <c r="CW321" i="3"/>
  <c r="CW322" i="3"/>
  <c r="CW323" i="3"/>
  <c r="CW324" i="3"/>
  <c r="CW325" i="3"/>
  <c r="CW326" i="3"/>
  <c r="CW327" i="3"/>
  <c r="CW328" i="3"/>
  <c r="CW329" i="3"/>
  <c r="CW330" i="3"/>
  <c r="CW331" i="3"/>
  <c r="CW332" i="3"/>
  <c r="CW333" i="3"/>
  <c r="CW334" i="3"/>
  <c r="CW335" i="3"/>
  <c r="CW336" i="3"/>
  <c r="CW337" i="3"/>
  <c r="CW338" i="3"/>
  <c r="CW339" i="3"/>
  <c r="CW340" i="3"/>
  <c r="CW341" i="3"/>
  <c r="CW342" i="3"/>
  <c r="CW343" i="3"/>
  <c r="CW344" i="3"/>
  <c r="CW345" i="3"/>
  <c r="CW346" i="3"/>
  <c r="CW347" i="3"/>
  <c r="CW348" i="3"/>
  <c r="CW349" i="3"/>
  <c r="CW350" i="3"/>
  <c r="CW351" i="3"/>
  <c r="CW352" i="3"/>
  <c r="CW353" i="3"/>
  <c r="CW354" i="3"/>
  <c r="CW355" i="3"/>
  <c r="CW356" i="3"/>
  <c r="CW357" i="3"/>
  <c r="CW358" i="3"/>
  <c r="CW359" i="3"/>
  <c r="CW360" i="3"/>
  <c r="CW361" i="3"/>
  <c r="CW362" i="3"/>
  <c r="CW363" i="3"/>
  <c r="CW364" i="3"/>
  <c r="CW365" i="3"/>
  <c r="CW366" i="3"/>
  <c r="CW367" i="3"/>
  <c r="CW368" i="3"/>
  <c r="CW369" i="3"/>
  <c r="CW370" i="3"/>
  <c r="CW371" i="3"/>
  <c r="CW372" i="3"/>
  <c r="CW373" i="3"/>
  <c r="CW374" i="3"/>
  <c r="CW375" i="3"/>
  <c r="CW376" i="3"/>
  <c r="CW377" i="3"/>
  <c r="CW378" i="3"/>
  <c r="CW379" i="3"/>
  <c r="CW380" i="3"/>
  <c r="CW381" i="3"/>
  <c r="CW382" i="3"/>
  <c r="CW383" i="3"/>
  <c r="CW384" i="3"/>
  <c r="CW385" i="3"/>
  <c r="CW386" i="3"/>
  <c r="CW387" i="3"/>
  <c r="CW388" i="3"/>
  <c r="CW389" i="3"/>
  <c r="CW390" i="3"/>
  <c r="CW391" i="3"/>
  <c r="CW392" i="3"/>
  <c r="CW393" i="3"/>
  <c r="CW394" i="3"/>
  <c r="CW395" i="3"/>
  <c r="CW396" i="3"/>
  <c r="CW397" i="3"/>
  <c r="CW398" i="3"/>
  <c r="CW399" i="3"/>
  <c r="CW400" i="3"/>
  <c r="CW401" i="3"/>
  <c r="CW402" i="3"/>
  <c r="CW403" i="3"/>
  <c r="CW404" i="3"/>
  <c r="CW405" i="3"/>
  <c r="CW406" i="3"/>
  <c r="CW407" i="3"/>
  <c r="CW408" i="3"/>
  <c r="CW409" i="3"/>
  <c r="CW410" i="3"/>
  <c r="CW411" i="3"/>
  <c r="CW412" i="3"/>
  <c r="CW413" i="3"/>
  <c r="CW414" i="3"/>
  <c r="CW415" i="3"/>
  <c r="CW416" i="3"/>
  <c r="CW417" i="3"/>
  <c r="CW418" i="3"/>
  <c r="CW419" i="3"/>
  <c r="CW420" i="3"/>
  <c r="CW421" i="3"/>
  <c r="CW422" i="3"/>
  <c r="CW423" i="3"/>
  <c r="CW424" i="3"/>
  <c r="CW425" i="3"/>
  <c r="CW426" i="3"/>
  <c r="CW427" i="3"/>
  <c r="CW428" i="3"/>
  <c r="CW429" i="3"/>
  <c r="CW430" i="3"/>
  <c r="CW431" i="3"/>
  <c r="CW432" i="3"/>
  <c r="CW433" i="3"/>
  <c r="CW434" i="3"/>
  <c r="CW435" i="3"/>
  <c r="CW436" i="3"/>
  <c r="CW437" i="3"/>
  <c r="CW438" i="3"/>
  <c r="CW439" i="3"/>
  <c r="CW440" i="3"/>
  <c r="CW441" i="3"/>
  <c r="CW442" i="3"/>
  <c r="CW443" i="3"/>
  <c r="CW444" i="3"/>
  <c r="CW445" i="3"/>
  <c r="CW446" i="3"/>
  <c r="CW447" i="3"/>
  <c r="CW448" i="3"/>
  <c r="CW449" i="3"/>
  <c r="CW450" i="3"/>
  <c r="CW451" i="3"/>
  <c r="CW452" i="3"/>
  <c r="CW453" i="3"/>
  <c r="CW454" i="3"/>
  <c r="CW455" i="3"/>
  <c r="CW456" i="3"/>
  <c r="CW457" i="3"/>
  <c r="CW458" i="3"/>
  <c r="CW459" i="3"/>
  <c r="CW460" i="3"/>
  <c r="CW461" i="3"/>
  <c r="CW462" i="3"/>
  <c r="CW463" i="3"/>
  <c r="CW464" i="3"/>
  <c r="CW465" i="3"/>
  <c r="CW466" i="3"/>
  <c r="CW467" i="3"/>
  <c r="CW468" i="3"/>
  <c r="CW469" i="3"/>
  <c r="CW470" i="3"/>
  <c r="CW471" i="3"/>
  <c r="CW472" i="3"/>
  <c r="CW473" i="3"/>
  <c r="CW474" i="3"/>
  <c r="CW475" i="3"/>
  <c r="CW476" i="3"/>
  <c r="CW477" i="3"/>
  <c r="CW478" i="3"/>
  <c r="CW479" i="3"/>
  <c r="CW480" i="3"/>
  <c r="CW481" i="3"/>
  <c r="CW482" i="3"/>
  <c r="CW483" i="3"/>
  <c r="CW484" i="3"/>
  <c r="CW485" i="3"/>
  <c r="CW486" i="3"/>
  <c r="CW487" i="3"/>
  <c r="CW488" i="3"/>
  <c r="CW489" i="3"/>
  <c r="CW490" i="3"/>
  <c r="CW491" i="3"/>
  <c r="CW492" i="3"/>
  <c r="CW493" i="3"/>
  <c r="CW494" i="3"/>
  <c r="CW495" i="3"/>
  <c r="CW496" i="3"/>
  <c r="CW497" i="3"/>
  <c r="CW498" i="3"/>
  <c r="CW499" i="3"/>
  <c r="CW500" i="3"/>
  <c r="CW501" i="3"/>
  <c r="CW502" i="3"/>
  <c r="CW503" i="3"/>
  <c r="CW504" i="3"/>
  <c r="CW505" i="3"/>
  <c r="CW506" i="3"/>
  <c r="CW507" i="3"/>
  <c r="CW508" i="3"/>
  <c r="CW509" i="3"/>
  <c r="CW510" i="3"/>
  <c r="CW511" i="3"/>
  <c r="CW512" i="3"/>
  <c r="CW513" i="3"/>
  <c r="CW514" i="3"/>
  <c r="CW515" i="3"/>
  <c r="CW516" i="3"/>
  <c r="CW517" i="3"/>
  <c r="CW518" i="3"/>
  <c r="CW519" i="3"/>
  <c r="CW520" i="3"/>
  <c r="CW521" i="3"/>
  <c r="CW522" i="3"/>
  <c r="CW523" i="3"/>
  <c r="CW524" i="3"/>
  <c r="CW525" i="3"/>
  <c r="CW526" i="3"/>
  <c r="CW527" i="3"/>
  <c r="CW528" i="3"/>
  <c r="CW529" i="3"/>
  <c r="CW530" i="3"/>
  <c r="CW531" i="3"/>
  <c r="CW532" i="3"/>
  <c r="CW533" i="3"/>
  <c r="CW534" i="3"/>
  <c r="CW535" i="3"/>
  <c r="CW536" i="3"/>
  <c r="CW537" i="3"/>
  <c r="CW538" i="3"/>
  <c r="CW539" i="3"/>
  <c r="CW540" i="3"/>
  <c r="CW541" i="3"/>
  <c r="CW542" i="3"/>
  <c r="CW543" i="3"/>
  <c r="CW544" i="3"/>
  <c r="CW545" i="3"/>
  <c r="CW546" i="3"/>
  <c r="CW547" i="3"/>
  <c r="CW548" i="3"/>
  <c r="CW549" i="3"/>
  <c r="CW550" i="3"/>
  <c r="CW551" i="3"/>
  <c r="CW552" i="3"/>
  <c r="CW553" i="3"/>
  <c r="CW554" i="3"/>
  <c r="CW555" i="3"/>
  <c r="CW556" i="3"/>
  <c r="CW557" i="3"/>
  <c r="CW558" i="3"/>
  <c r="CW559" i="3"/>
  <c r="CW560" i="3"/>
  <c r="CW561" i="3"/>
  <c r="CW562" i="3"/>
  <c r="CW563" i="3"/>
  <c r="CW564" i="3"/>
  <c r="CW565" i="3"/>
  <c r="CW566" i="3"/>
  <c r="CW567" i="3"/>
  <c r="CW568" i="3"/>
  <c r="CW569" i="3"/>
  <c r="CW570" i="3"/>
  <c r="CW571" i="3"/>
  <c r="CW572" i="3"/>
  <c r="CW573" i="3"/>
  <c r="CW574" i="3"/>
  <c r="CW575" i="3"/>
  <c r="CW576" i="3"/>
  <c r="CW577" i="3"/>
  <c r="CW578" i="3"/>
  <c r="CW579" i="3"/>
  <c r="CW580" i="3"/>
  <c r="CW581" i="3"/>
  <c r="CW582" i="3"/>
  <c r="DH4" i="3"/>
  <c r="DH5" i="3"/>
  <c r="DH6" i="3"/>
  <c r="DH7" i="3"/>
  <c r="DH8" i="3"/>
  <c r="DH9" i="3"/>
  <c r="DH10" i="3"/>
  <c r="DH11" i="3"/>
  <c r="DH12" i="3"/>
  <c r="DH13" i="3"/>
  <c r="DH14" i="3"/>
  <c r="DH15" i="3"/>
  <c r="DH16" i="3"/>
  <c r="DH17" i="3"/>
  <c r="DH18" i="3"/>
  <c r="DH19" i="3"/>
  <c r="DH20" i="3"/>
  <c r="DH21" i="3"/>
  <c r="DH22" i="3"/>
  <c r="DH23" i="3"/>
  <c r="DH24" i="3"/>
  <c r="DH25" i="3"/>
  <c r="DH26" i="3"/>
  <c r="DH27" i="3"/>
  <c r="DH28" i="3"/>
  <c r="DH29" i="3"/>
  <c r="DH30" i="3"/>
  <c r="DH31" i="3"/>
  <c r="DH32" i="3"/>
  <c r="DH33" i="3"/>
  <c r="DH34" i="3"/>
  <c r="DH35" i="3"/>
  <c r="DH36" i="3"/>
  <c r="DH37" i="3"/>
  <c r="DH38" i="3"/>
  <c r="DH39" i="3"/>
  <c r="DH40" i="3"/>
  <c r="DH41" i="3"/>
  <c r="DH42" i="3"/>
  <c r="DH43" i="3"/>
  <c r="DH44" i="3"/>
  <c r="DH45" i="3"/>
  <c r="DH46" i="3"/>
  <c r="DH47" i="3"/>
  <c r="DH48" i="3"/>
  <c r="DH49" i="3"/>
  <c r="DH50" i="3"/>
  <c r="DH51" i="3"/>
  <c r="DH52" i="3"/>
  <c r="DH53" i="3"/>
  <c r="DH54" i="3"/>
  <c r="DH55" i="3"/>
  <c r="DH56" i="3"/>
  <c r="DH57" i="3"/>
  <c r="DH58" i="3"/>
  <c r="DH59" i="3"/>
  <c r="DH60" i="3"/>
  <c r="DH61" i="3"/>
  <c r="DH62" i="3"/>
  <c r="DH63" i="3"/>
  <c r="DH64" i="3"/>
  <c r="DH65" i="3"/>
  <c r="DH66" i="3"/>
  <c r="DH67" i="3"/>
  <c r="DH68" i="3"/>
  <c r="DH69" i="3"/>
  <c r="DH70" i="3"/>
  <c r="DH71" i="3"/>
  <c r="DH72" i="3"/>
  <c r="DH73" i="3"/>
  <c r="DH74" i="3"/>
  <c r="DH75" i="3"/>
  <c r="DH76" i="3"/>
  <c r="DH77" i="3"/>
  <c r="DH78" i="3"/>
  <c r="DH79" i="3"/>
  <c r="DH80" i="3"/>
  <c r="DH81" i="3"/>
  <c r="DH82" i="3"/>
  <c r="DH83" i="3"/>
  <c r="DH84" i="3"/>
  <c r="DH85" i="3"/>
  <c r="DH86" i="3"/>
  <c r="DH87" i="3"/>
  <c r="DH88" i="3"/>
  <c r="DH89" i="3"/>
  <c r="DH90" i="3"/>
  <c r="DH91" i="3"/>
  <c r="DH92" i="3"/>
  <c r="DH93" i="3"/>
  <c r="DH94" i="3"/>
  <c r="DH95" i="3"/>
  <c r="DH96" i="3"/>
  <c r="DH97" i="3"/>
  <c r="DH98" i="3"/>
  <c r="DH99" i="3"/>
  <c r="DH100" i="3"/>
  <c r="DH101" i="3"/>
  <c r="DH102" i="3"/>
  <c r="DH103" i="3"/>
  <c r="DH104" i="3"/>
  <c r="DH105" i="3"/>
  <c r="DH106" i="3"/>
  <c r="DH107" i="3"/>
  <c r="DH108" i="3"/>
  <c r="DH109" i="3"/>
  <c r="DH110" i="3"/>
  <c r="DH111" i="3"/>
  <c r="DH112" i="3"/>
  <c r="DH113" i="3"/>
  <c r="DH114" i="3"/>
  <c r="DH115" i="3"/>
  <c r="DH116" i="3"/>
  <c r="DH117" i="3"/>
  <c r="DH118" i="3"/>
  <c r="DH119" i="3"/>
  <c r="DH120" i="3"/>
  <c r="DH121" i="3"/>
  <c r="DH122" i="3"/>
  <c r="DH123" i="3"/>
  <c r="DH124" i="3"/>
  <c r="DH125" i="3"/>
  <c r="DH126" i="3"/>
  <c r="DH127" i="3"/>
  <c r="DH128" i="3"/>
  <c r="DH129" i="3"/>
  <c r="DH130" i="3"/>
  <c r="DH131" i="3"/>
  <c r="DH132" i="3"/>
  <c r="DH133" i="3"/>
  <c r="DH134" i="3"/>
  <c r="DH135" i="3"/>
  <c r="DH136" i="3"/>
  <c r="DH137" i="3"/>
  <c r="DH138" i="3"/>
  <c r="DH139" i="3"/>
  <c r="DH140" i="3"/>
  <c r="DH141" i="3"/>
  <c r="DH142" i="3"/>
  <c r="DH143" i="3"/>
  <c r="DH144" i="3"/>
  <c r="DH145" i="3"/>
  <c r="DH146" i="3"/>
  <c r="DH147" i="3"/>
  <c r="DH148" i="3"/>
  <c r="DH149" i="3"/>
  <c r="DH150" i="3"/>
  <c r="DH151" i="3"/>
  <c r="DH152" i="3"/>
  <c r="DH153" i="3"/>
  <c r="DH154" i="3"/>
  <c r="DH155" i="3"/>
  <c r="DH156" i="3"/>
  <c r="DH157" i="3"/>
  <c r="DH158" i="3"/>
  <c r="DH159" i="3"/>
  <c r="DH160" i="3"/>
  <c r="DH161" i="3"/>
  <c r="DH162" i="3"/>
  <c r="DH163" i="3"/>
  <c r="DH164" i="3"/>
  <c r="DH165" i="3"/>
  <c r="DH166" i="3"/>
  <c r="DH167" i="3"/>
  <c r="DH168" i="3"/>
  <c r="DH169" i="3"/>
  <c r="DH170" i="3"/>
  <c r="DH171" i="3"/>
  <c r="DH172" i="3"/>
  <c r="DH173" i="3"/>
  <c r="DH174" i="3"/>
  <c r="DH175" i="3"/>
  <c r="DH176" i="3"/>
  <c r="DH177" i="3"/>
  <c r="DH178" i="3"/>
  <c r="DH179" i="3"/>
  <c r="DH180" i="3"/>
  <c r="DH181" i="3"/>
  <c r="DH182" i="3"/>
  <c r="DH183" i="3"/>
  <c r="DH184" i="3"/>
  <c r="DH185" i="3"/>
  <c r="DH186" i="3"/>
  <c r="DH187" i="3"/>
  <c r="DH188" i="3"/>
  <c r="DH189" i="3"/>
  <c r="DH190" i="3"/>
  <c r="DH191" i="3"/>
  <c r="DH192" i="3"/>
  <c r="DH193" i="3"/>
  <c r="DH194" i="3"/>
  <c r="DH195" i="3"/>
  <c r="DH196" i="3"/>
  <c r="DH197" i="3"/>
  <c r="DH198" i="3"/>
  <c r="DH199" i="3"/>
  <c r="DH200" i="3"/>
  <c r="DH201" i="3"/>
  <c r="DH202" i="3"/>
  <c r="DH203" i="3"/>
  <c r="DH204" i="3"/>
  <c r="DH205" i="3"/>
  <c r="DH206" i="3"/>
  <c r="DH207" i="3"/>
  <c r="DH208" i="3"/>
  <c r="DH209" i="3"/>
  <c r="DH210" i="3"/>
  <c r="DH211" i="3"/>
  <c r="DH212" i="3"/>
  <c r="DH213" i="3"/>
  <c r="DH214" i="3"/>
  <c r="DH215" i="3"/>
  <c r="DH216" i="3"/>
  <c r="DH217" i="3"/>
  <c r="DH218" i="3"/>
  <c r="DH219" i="3"/>
  <c r="DH220" i="3"/>
  <c r="DH221" i="3"/>
  <c r="DH222" i="3"/>
  <c r="DH223" i="3"/>
  <c r="DH224" i="3"/>
  <c r="DH225" i="3"/>
  <c r="DH226" i="3"/>
  <c r="DH227" i="3"/>
  <c r="DH228" i="3"/>
  <c r="DH229" i="3"/>
  <c r="DH230" i="3"/>
  <c r="DH231" i="3"/>
  <c r="DH232" i="3"/>
  <c r="DH233" i="3"/>
  <c r="DH234" i="3"/>
  <c r="DH235" i="3"/>
  <c r="DH236" i="3"/>
  <c r="DH237" i="3"/>
  <c r="DH238" i="3"/>
  <c r="DH239" i="3"/>
  <c r="DH240" i="3"/>
  <c r="DH241" i="3"/>
  <c r="DH242" i="3"/>
  <c r="DH243" i="3"/>
  <c r="DH244" i="3"/>
  <c r="DH245" i="3"/>
  <c r="DH246" i="3"/>
  <c r="DH247" i="3"/>
  <c r="DH248" i="3"/>
  <c r="DH249" i="3"/>
  <c r="DH250" i="3"/>
  <c r="DH251" i="3"/>
  <c r="DH252" i="3"/>
  <c r="DH253" i="3"/>
  <c r="DH254" i="3"/>
  <c r="DH255" i="3"/>
  <c r="DH256" i="3"/>
  <c r="DH257" i="3"/>
  <c r="DH258" i="3"/>
  <c r="DH259" i="3"/>
  <c r="DH260" i="3"/>
  <c r="DH261" i="3"/>
  <c r="DH262" i="3"/>
  <c r="DH263" i="3"/>
  <c r="DH264" i="3"/>
  <c r="DH265" i="3"/>
  <c r="DH266" i="3"/>
  <c r="DH267" i="3"/>
  <c r="DH268" i="3"/>
  <c r="DH269" i="3"/>
  <c r="DH270" i="3"/>
  <c r="DH271" i="3"/>
  <c r="DH272" i="3"/>
  <c r="DH273" i="3"/>
  <c r="DH274" i="3"/>
  <c r="DH275" i="3"/>
  <c r="DH276" i="3"/>
  <c r="DH277" i="3"/>
  <c r="DH278" i="3"/>
  <c r="DH279" i="3"/>
  <c r="DH280" i="3"/>
  <c r="DH281" i="3"/>
  <c r="DH282" i="3"/>
  <c r="DH283" i="3"/>
  <c r="DH284" i="3"/>
  <c r="DH285" i="3"/>
  <c r="DH286" i="3"/>
  <c r="DH287" i="3"/>
  <c r="DH288" i="3"/>
  <c r="DH289" i="3"/>
  <c r="DH290" i="3"/>
  <c r="DH291" i="3"/>
  <c r="DH292" i="3"/>
  <c r="DH293" i="3"/>
  <c r="DH294" i="3"/>
  <c r="DH295" i="3"/>
  <c r="DH296" i="3"/>
  <c r="DH297" i="3"/>
  <c r="DH298" i="3"/>
  <c r="DH299" i="3"/>
  <c r="DH300" i="3"/>
  <c r="DH301" i="3"/>
  <c r="DH302" i="3"/>
  <c r="DH303" i="3"/>
  <c r="DH304" i="3"/>
  <c r="DH305" i="3"/>
  <c r="DH306" i="3"/>
  <c r="DH307" i="3"/>
  <c r="DH308" i="3"/>
  <c r="DH309" i="3"/>
  <c r="DH310" i="3"/>
  <c r="DH311" i="3"/>
  <c r="DH312" i="3"/>
  <c r="DH313" i="3"/>
  <c r="DH314" i="3"/>
  <c r="DH315" i="3"/>
  <c r="DH316" i="3"/>
  <c r="DH317" i="3"/>
  <c r="DH318" i="3"/>
  <c r="DH319" i="3"/>
  <c r="DH320" i="3"/>
  <c r="DH321" i="3"/>
  <c r="DH322" i="3"/>
  <c r="DH323" i="3"/>
  <c r="DH324" i="3"/>
  <c r="DH325" i="3"/>
  <c r="DH326" i="3"/>
  <c r="DH327" i="3"/>
  <c r="DH328" i="3"/>
  <c r="DH329" i="3"/>
  <c r="DH330" i="3"/>
  <c r="DH331" i="3"/>
  <c r="DH332" i="3"/>
  <c r="DH333" i="3"/>
  <c r="DH334" i="3"/>
  <c r="DH335" i="3"/>
  <c r="DH336" i="3"/>
  <c r="DH337" i="3"/>
  <c r="DH338" i="3"/>
  <c r="DH339" i="3"/>
  <c r="DH340" i="3"/>
  <c r="DH341" i="3"/>
  <c r="DH342" i="3"/>
  <c r="DH343" i="3"/>
  <c r="DH344" i="3"/>
  <c r="DH345" i="3"/>
  <c r="DH346" i="3"/>
  <c r="DH347" i="3"/>
  <c r="DH348" i="3"/>
  <c r="DH349" i="3"/>
  <c r="DH350" i="3"/>
  <c r="DH351" i="3"/>
  <c r="DH352" i="3"/>
  <c r="DH353" i="3"/>
  <c r="DH354" i="3"/>
  <c r="DH355" i="3"/>
  <c r="DH356" i="3"/>
  <c r="DH357" i="3"/>
  <c r="DH358" i="3"/>
  <c r="DH359" i="3"/>
  <c r="DH360" i="3"/>
  <c r="DH361" i="3"/>
  <c r="DH362" i="3"/>
  <c r="DH363" i="3"/>
  <c r="DH364" i="3"/>
  <c r="DH365" i="3"/>
  <c r="DH366" i="3"/>
  <c r="DH367" i="3"/>
  <c r="DH368" i="3"/>
  <c r="DH369" i="3"/>
  <c r="DH370" i="3"/>
  <c r="DH371" i="3"/>
  <c r="DH372" i="3"/>
  <c r="DH373" i="3"/>
  <c r="DH374" i="3"/>
  <c r="DH375" i="3"/>
  <c r="DH376" i="3"/>
  <c r="DH377" i="3"/>
  <c r="DH378" i="3"/>
  <c r="DH379" i="3"/>
  <c r="DH380" i="3"/>
  <c r="DH381" i="3"/>
  <c r="DH382" i="3"/>
  <c r="DH383" i="3"/>
  <c r="DH384" i="3"/>
  <c r="DH385" i="3"/>
  <c r="DH386" i="3"/>
  <c r="DH387" i="3"/>
  <c r="DH388" i="3"/>
  <c r="DH389" i="3"/>
  <c r="DH390" i="3"/>
  <c r="DH391" i="3"/>
  <c r="DH392" i="3"/>
  <c r="DH393" i="3"/>
  <c r="DH394" i="3"/>
  <c r="DH395" i="3"/>
  <c r="DH396" i="3"/>
  <c r="DH397" i="3"/>
  <c r="DH398" i="3"/>
  <c r="DH399" i="3"/>
  <c r="DH400" i="3"/>
  <c r="DH401" i="3"/>
  <c r="DH402" i="3"/>
  <c r="DH403" i="3"/>
  <c r="DH404" i="3"/>
  <c r="DH405" i="3"/>
  <c r="DH406" i="3"/>
  <c r="DH407" i="3"/>
  <c r="DH408" i="3"/>
  <c r="DH409" i="3"/>
  <c r="DH410" i="3"/>
  <c r="DH411" i="3"/>
  <c r="DH412" i="3"/>
  <c r="DH413" i="3"/>
  <c r="DH414" i="3"/>
  <c r="DH415" i="3"/>
  <c r="DH416" i="3"/>
  <c r="DH417" i="3"/>
  <c r="DH418" i="3"/>
  <c r="DH419" i="3"/>
  <c r="DH420" i="3"/>
  <c r="DH421" i="3"/>
  <c r="DH422" i="3"/>
  <c r="DH423" i="3"/>
  <c r="DH424" i="3"/>
  <c r="DH425" i="3"/>
  <c r="DH426" i="3"/>
  <c r="DH427" i="3"/>
  <c r="DH428" i="3"/>
  <c r="DH429" i="3"/>
  <c r="DH430" i="3"/>
  <c r="DH431" i="3"/>
  <c r="DH432" i="3"/>
  <c r="DH433" i="3"/>
  <c r="DH434" i="3"/>
  <c r="DH435" i="3"/>
  <c r="DH436" i="3"/>
  <c r="DH437" i="3"/>
  <c r="DH438" i="3"/>
  <c r="DH439" i="3"/>
  <c r="DH440" i="3"/>
  <c r="DH441" i="3"/>
  <c r="DH442" i="3"/>
  <c r="DH443" i="3"/>
  <c r="DH444" i="3"/>
  <c r="DH445" i="3"/>
  <c r="DH446" i="3"/>
  <c r="DH447" i="3"/>
  <c r="DH448" i="3"/>
  <c r="DH449" i="3"/>
  <c r="DH450" i="3"/>
  <c r="DH451" i="3"/>
  <c r="DH452" i="3"/>
  <c r="DH453" i="3"/>
  <c r="DH454" i="3"/>
  <c r="DH455" i="3"/>
  <c r="DH456" i="3"/>
  <c r="DH457" i="3"/>
  <c r="DH458" i="3"/>
  <c r="DH459" i="3"/>
  <c r="DH460" i="3"/>
  <c r="DH461" i="3"/>
  <c r="DH462" i="3"/>
  <c r="DH463" i="3"/>
  <c r="DH464" i="3"/>
  <c r="DH465" i="3"/>
  <c r="DH466" i="3"/>
  <c r="DH467" i="3"/>
  <c r="DH468" i="3"/>
  <c r="DH469" i="3"/>
  <c r="DH470" i="3"/>
  <c r="DH471" i="3"/>
  <c r="DH472" i="3"/>
  <c r="DH473" i="3"/>
  <c r="DH474" i="3"/>
  <c r="DH475" i="3"/>
  <c r="DH476" i="3"/>
  <c r="DH477" i="3"/>
  <c r="DH478" i="3"/>
  <c r="DH479" i="3"/>
  <c r="DH480" i="3"/>
  <c r="DH481" i="3"/>
  <c r="DH482" i="3"/>
  <c r="DH483" i="3"/>
  <c r="DH484" i="3"/>
  <c r="DH485" i="3"/>
  <c r="DH486" i="3"/>
  <c r="DH487" i="3"/>
  <c r="DH488" i="3"/>
  <c r="DH489" i="3"/>
  <c r="DH490" i="3"/>
  <c r="DH491" i="3"/>
  <c r="DH492" i="3"/>
  <c r="DH493" i="3"/>
  <c r="DH494" i="3"/>
  <c r="DH495" i="3"/>
  <c r="DH496" i="3"/>
  <c r="DH497" i="3"/>
  <c r="DH498" i="3"/>
  <c r="DH499" i="3"/>
  <c r="DH500" i="3"/>
  <c r="DH501" i="3"/>
  <c r="DH502" i="3"/>
  <c r="DH503" i="3"/>
  <c r="DH504" i="3"/>
  <c r="DH505" i="3"/>
  <c r="DH506" i="3"/>
  <c r="DH507" i="3"/>
  <c r="DH508" i="3"/>
  <c r="DH509" i="3"/>
  <c r="DH510" i="3"/>
  <c r="DH511" i="3"/>
  <c r="DH512" i="3"/>
  <c r="DH513" i="3"/>
  <c r="DH514" i="3"/>
  <c r="DH515" i="3"/>
  <c r="DH516" i="3"/>
  <c r="DH517" i="3"/>
  <c r="DH518" i="3"/>
  <c r="DH519" i="3"/>
  <c r="DH520" i="3"/>
  <c r="DH521" i="3"/>
  <c r="DH522" i="3"/>
  <c r="DH523" i="3"/>
  <c r="DH524" i="3"/>
  <c r="DH525" i="3"/>
  <c r="DH526" i="3"/>
  <c r="DH527" i="3"/>
  <c r="DH528" i="3"/>
  <c r="DH529" i="3"/>
  <c r="DH530" i="3"/>
  <c r="DH531" i="3"/>
  <c r="DH532" i="3"/>
  <c r="DH533" i="3"/>
  <c r="DH534" i="3"/>
  <c r="DH535" i="3"/>
  <c r="DH536" i="3"/>
  <c r="DH537" i="3"/>
  <c r="DH538" i="3"/>
  <c r="DH539" i="3"/>
  <c r="DH540" i="3"/>
  <c r="DH541" i="3"/>
  <c r="DH542" i="3"/>
  <c r="DH543" i="3"/>
  <c r="DH544" i="3"/>
  <c r="DH545" i="3"/>
  <c r="DH546" i="3"/>
  <c r="DH547" i="3"/>
  <c r="DH548" i="3"/>
  <c r="DH549" i="3"/>
  <c r="DH550" i="3"/>
  <c r="DH551" i="3"/>
  <c r="DH552" i="3"/>
  <c r="DH553" i="3"/>
  <c r="DH554" i="3"/>
  <c r="DH555" i="3"/>
  <c r="DH556" i="3"/>
  <c r="DH557" i="3"/>
  <c r="DH558" i="3"/>
  <c r="DH559" i="3"/>
  <c r="DH560" i="3"/>
  <c r="DH561" i="3"/>
  <c r="DH562" i="3"/>
  <c r="DH563" i="3"/>
  <c r="DH564" i="3"/>
  <c r="DH565" i="3"/>
  <c r="DH566" i="3"/>
  <c r="DH567" i="3"/>
  <c r="DH568" i="3"/>
  <c r="DH569" i="3"/>
  <c r="DH570" i="3"/>
  <c r="DH571" i="3"/>
  <c r="DH572" i="3"/>
  <c r="DH573" i="3"/>
  <c r="DH574" i="3"/>
  <c r="DH575" i="3"/>
  <c r="DH576" i="3"/>
  <c r="DH577" i="3"/>
  <c r="DH578" i="3"/>
  <c r="DH579" i="3"/>
  <c r="DH580" i="3"/>
  <c r="DH581" i="3"/>
  <c r="DH582" i="3"/>
  <c r="DM23" i="3" l="1"/>
  <c r="B6" i="26"/>
  <c r="B5" i="26"/>
  <c r="B4" i="26"/>
  <c r="B3" i="26"/>
  <c r="DM581" i="3" l="1"/>
  <c r="DM565" i="3"/>
  <c r="DM525" i="3"/>
  <c r="DM485" i="3"/>
  <c r="DM461" i="3"/>
  <c r="DM429" i="3"/>
  <c r="DM397" i="3"/>
  <c r="DM357" i="3"/>
  <c r="DM325" i="3"/>
  <c r="DM285" i="3"/>
  <c r="DM253" i="3"/>
  <c r="DM213" i="3"/>
  <c r="DM197" i="3"/>
  <c r="DM173" i="3"/>
  <c r="DM149" i="3"/>
  <c r="DM141" i="3"/>
  <c r="DM133" i="3"/>
  <c r="DM125" i="3"/>
  <c r="DM117" i="3"/>
  <c r="DM109" i="3"/>
  <c r="DM101" i="3"/>
  <c r="DM93" i="3"/>
  <c r="DM85" i="3"/>
  <c r="DM77" i="3"/>
  <c r="DM69" i="3"/>
  <c r="DM61" i="3"/>
  <c r="DM53" i="3"/>
  <c r="DM45" i="3"/>
  <c r="DM37" i="3"/>
  <c r="DM29" i="3"/>
  <c r="DM21" i="3"/>
  <c r="DM13" i="3"/>
  <c r="DM5" i="3"/>
  <c r="DM549" i="3"/>
  <c r="DM517" i="3"/>
  <c r="DM469" i="3"/>
  <c r="DM437" i="3"/>
  <c r="DM381" i="3"/>
  <c r="DM341" i="3"/>
  <c r="DM301" i="3"/>
  <c r="DM261" i="3"/>
  <c r="DM221" i="3"/>
  <c r="DM189" i="3"/>
  <c r="DM580" i="3"/>
  <c r="DM564" i="3"/>
  <c r="DM556" i="3"/>
  <c r="DM548" i="3"/>
  <c r="DM540" i="3"/>
  <c r="DM532" i="3"/>
  <c r="DM524" i="3"/>
  <c r="DM516" i="3"/>
  <c r="DM508" i="3"/>
  <c r="DM500" i="3"/>
  <c r="DM492" i="3"/>
  <c r="DM484" i="3"/>
  <c r="DM476" i="3"/>
  <c r="DM468" i="3"/>
  <c r="DM460" i="3"/>
  <c r="DM452" i="3"/>
  <c r="DM444" i="3"/>
  <c r="DM436" i="3"/>
  <c r="DM428" i="3"/>
  <c r="DM420" i="3"/>
  <c r="DM412" i="3"/>
  <c r="DM404" i="3"/>
  <c r="DM396" i="3"/>
  <c r="DM388" i="3"/>
  <c r="DM380" i="3"/>
  <c r="DM372" i="3"/>
  <c r="DM364" i="3"/>
  <c r="DM356" i="3"/>
  <c r="DM348" i="3"/>
  <c r="DM340" i="3"/>
  <c r="DM332" i="3"/>
  <c r="DM324" i="3"/>
  <c r="DM316" i="3"/>
  <c r="DM308" i="3"/>
  <c r="DM300" i="3"/>
  <c r="DM292" i="3"/>
  <c r="DM284" i="3"/>
  <c r="DM276" i="3"/>
  <c r="DM268" i="3"/>
  <c r="DM260" i="3"/>
  <c r="DM252" i="3"/>
  <c r="DM244" i="3"/>
  <c r="DM236" i="3"/>
  <c r="DM228" i="3"/>
  <c r="DM220" i="3"/>
  <c r="DM212" i="3"/>
  <c r="DM204" i="3"/>
  <c r="DM196" i="3"/>
  <c r="DM188" i="3"/>
  <c r="DM180" i="3"/>
  <c r="DM172" i="3"/>
  <c r="DM164" i="3"/>
  <c r="DM156" i="3"/>
  <c r="DM148" i="3"/>
  <c r="DM140" i="3"/>
  <c r="DM132" i="3"/>
  <c r="DM124" i="3"/>
  <c r="DM116" i="3"/>
  <c r="DM108" i="3"/>
  <c r="DM100" i="3"/>
  <c r="DM92" i="3"/>
  <c r="DM84" i="3"/>
  <c r="DM76" i="3"/>
  <c r="DM68" i="3"/>
  <c r="DM60" i="3"/>
  <c r="DM52" i="3"/>
  <c r="DM44" i="3"/>
  <c r="DM36" i="3"/>
  <c r="DM28" i="3"/>
  <c r="DM20" i="3"/>
  <c r="DM12" i="3"/>
  <c r="DM4" i="3"/>
  <c r="DM541" i="3"/>
  <c r="DM501" i="3"/>
  <c r="DM453" i="3"/>
  <c r="DM413" i="3"/>
  <c r="DM373" i="3"/>
  <c r="DM333" i="3"/>
  <c r="DM293" i="3"/>
  <c r="DM245" i="3"/>
  <c r="DM205" i="3"/>
  <c r="DM157" i="3"/>
  <c r="DM579" i="3"/>
  <c r="DM571" i="3"/>
  <c r="DM563" i="3"/>
  <c r="DM555" i="3"/>
  <c r="DM547" i="3"/>
  <c r="DM539" i="3"/>
  <c r="DM531" i="3"/>
  <c r="DM523" i="3"/>
  <c r="DM515" i="3"/>
  <c r="DM507" i="3"/>
  <c r="DM499" i="3"/>
  <c r="DM491" i="3"/>
  <c r="DM483" i="3"/>
  <c r="DM475" i="3"/>
  <c r="DM467" i="3"/>
  <c r="DM459" i="3"/>
  <c r="DM451" i="3"/>
  <c r="DM443" i="3"/>
  <c r="DM435" i="3"/>
  <c r="DM427" i="3"/>
  <c r="DM419" i="3"/>
  <c r="DM411" i="3"/>
  <c r="DM403" i="3"/>
  <c r="DM395" i="3"/>
  <c r="DM387" i="3"/>
  <c r="DM379" i="3"/>
  <c r="DM371" i="3"/>
  <c r="DM363" i="3"/>
  <c r="DM355" i="3"/>
  <c r="DM347" i="3"/>
  <c r="DM339" i="3"/>
  <c r="DM331" i="3"/>
  <c r="DM323" i="3"/>
  <c r="DM315" i="3"/>
  <c r="DM307" i="3"/>
  <c r="DM299" i="3"/>
  <c r="DM291" i="3"/>
  <c r="DM283" i="3"/>
  <c r="DM275" i="3"/>
  <c r="DM267" i="3"/>
  <c r="DM259" i="3"/>
  <c r="DM251" i="3"/>
  <c r="DM243" i="3"/>
  <c r="DM235" i="3"/>
  <c r="DM227" i="3"/>
  <c r="DM219" i="3"/>
  <c r="DM211" i="3"/>
  <c r="DM203" i="3"/>
  <c r="DM195" i="3"/>
  <c r="DM187" i="3"/>
  <c r="DM179" i="3"/>
  <c r="DM171" i="3"/>
  <c r="DM163" i="3"/>
  <c r="DM155" i="3"/>
  <c r="DM147" i="3"/>
  <c r="DM139" i="3"/>
  <c r="DM131" i="3"/>
  <c r="DM123" i="3"/>
  <c r="DM115" i="3"/>
  <c r="DM107" i="3"/>
  <c r="DM99" i="3"/>
  <c r="DM91" i="3"/>
  <c r="DM83" i="3"/>
  <c r="DM75" i="3"/>
  <c r="DM67" i="3"/>
  <c r="DM59" i="3"/>
  <c r="DM51" i="3"/>
  <c r="DM43" i="3"/>
  <c r="DM35" i="3"/>
  <c r="DM27" i="3"/>
  <c r="DM19" i="3"/>
  <c r="DM11" i="3"/>
  <c r="DM3" i="3"/>
  <c r="DM557" i="3"/>
  <c r="DM509" i="3"/>
  <c r="DM477" i="3"/>
  <c r="DM421" i="3"/>
  <c r="DM389" i="3"/>
  <c r="DM349" i="3"/>
  <c r="DM309" i="3"/>
  <c r="DM269" i="3"/>
  <c r="DM229" i="3"/>
  <c r="DM181" i="3"/>
  <c r="DM572" i="3"/>
  <c r="DM570" i="3"/>
  <c r="DM562" i="3"/>
  <c r="DM554" i="3"/>
  <c r="DM546" i="3"/>
  <c r="DM538" i="3"/>
  <c r="DM530" i="3"/>
  <c r="DM522" i="3"/>
  <c r="DM514" i="3"/>
  <c r="DM506" i="3"/>
  <c r="DM498" i="3"/>
  <c r="DM490" i="3"/>
  <c r="DM482" i="3"/>
  <c r="DM474" i="3"/>
  <c r="DM466" i="3"/>
  <c r="DM458" i="3"/>
  <c r="DM450" i="3"/>
  <c r="DM442" i="3"/>
  <c r="DM434" i="3"/>
  <c r="DM426" i="3"/>
  <c r="DM418" i="3"/>
  <c r="DM410" i="3"/>
  <c r="DM402" i="3"/>
  <c r="DM394" i="3"/>
  <c r="DM386" i="3"/>
  <c r="DM378" i="3"/>
  <c r="DM370" i="3"/>
  <c r="DM362" i="3"/>
  <c r="DM354" i="3"/>
  <c r="DM346" i="3"/>
  <c r="DM338" i="3"/>
  <c r="DM330" i="3"/>
  <c r="DM322" i="3"/>
  <c r="DM314" i="3"/>
  <c r="DM306" i="3"/>
  <c r="DM298" i="3"/>
  <c r="DM290" i="3"/>
  <c r="DM282" i="3"/>
  <c r="DM274" i="3"/>
  <c r="DM266" i="3"/>
  <c r="DM258" i="3"/>
  <c r="DM250" i="3"/>
  <c r="DM242" i="3"/>
  <c r="DM234" i="3"/>
  <c r="DM226" i="3"/>
  <c r="DM218" i="3"/>
  <c r="DM210" i="3"/>
  <c r="DM202" i="3"/>
  <c r="DM194" i="3"/>
  <c r="DM186" i="3"/>
  <c r="DM178" i="3"/>
  <c r="DM170" i="3"/>
  <c r="DM162" i="3"/>
  <c r="DM154" i="3"/>
  <c r="DM146" i="3"/>
  <c r="DM138" i="3"/>
  <c r="DM130" i="3"/>
  <c r="DM122" i="3"/>
  <c r="DM114" i="3"/>
  <c r="DM106" i="3"/>
  <c r="DM98" i="3"/>
  <c r="DM90" i="3"/>
  <c r="DM82" i="3"/>
  <c r="DM74" i="3"/>
  <c r="DM66" i="3"/>
  <c r="DM58" i="3"/>
  <c r="DM50" i="3"/>
  <c r="DM42" i="3"/>
  <c r="DM34" i="3"/>
  <c r="DM26" i="3"/>
  <c r="DM18" i="3"/>
  <c r="DM10" i="3"/>
  <c r="DM573" i="3"/>
  <c r="DM533" i="3"/>
  <c r="DM493" i="3"/>
  <c r="DM445" i="3"/>
  <c r="DM405" i="3"/>
  <c r="DM365" i="3"/>
  <c r="DM317" i="3"/>
  <c r="DM277" i="3"/>
  <c r="DM237" i="3"/>
  <c r="DM165" i="3"/>
  <c r="DM578" i="3"/>
  <c r="DM577" i="3"/>
  <c r="DM569" i="3"/>
  <c r="DM561" i="3"/>
  <c r="DM553" i="3"/>
  <c r="DM545" i="3"/>
  <c r="DM537" i="3"/>
  <c r="DM529" i="3"/>
  <c r="DM521" i="3"/>
  <c r="DM513" i="3"/>
  <c r="DM505" i="3"/>
  <c r="DM497" i="3"/>
  <c r="DM489" i="3"/>
  <c r="DM481" i="3"/>
  <c r="DM473" i="3"/>
  <c r="DM465" i="3"/>
  <c r="DM457" i="3"/>
  <c r="DM449" i="3"/>
  <c r="DM441" i="3"/>
  <c r="DM433" i="3"/>
  <c r="DM425" i="3"/>
  <c r="DM417" i="3"/>
  <c r="DM409" i="3"/>
  <c r="DM401" i="3"/>
  <c r="DM393" i="3"/>
  <c r="DM385" i="3"/>
  <c r="DM377" i="3"/>
  <c r="DM369" i="3"/>
  <c r="DM361" i="3"/>
  <c r="DM353" i="3"/>
  <c r="DM345" i="3"/>
  <c r="DM337" i="3"/>
  <c r="DM329" i="3"/>
  <c r="DM321" i="3"/>
  <c r="DM313" i="3"/>
  <c r="DM305" i="3"/>
  <c r="DM297" i="3"/>
  <c r="DM289" i="3"/>
  <c r="DM281" i="3"/>
  <c r="DM273" i="3"/>
  <c r="DM265" i="3"/>
  <c r="DM257" i="3"/>
  <c r="DM249" i="3"/>
  <c r="DM241" i="3"/>
  <c r="DM233" i="3"/>
  <c r="DM225" i="3"/>
  <c r="DM217" i="3"/>
  <c r="DM209" i="3"/>
  <c r="DM201" i="3"/>
  <c r="DM193" i="3"/>
  <c r="DM185" i="3"/>
  <c r="DM177" i="3"/>
  <c r="DM169" i="3"/>
  <c r="DM161" i="3"/>
  <c r="DM153" i="3"/>
  <c r="DM145" i="3"/>
  <c r="DM137" i="3"/>
  <c r="DM129" i="3"/>
  <c r="DM121" i="3"/>
  <c r="DM113" i="3"/>
  <c r="DM105" i="3"/>
  <c r="DM97" i="3"/>
  <c r="DM89" i="3"/>
  <c r="DM81" i="3"/>
  <c r="DM73" i="3"/>
  <c r="DM65" i="3"/>
  <c r="DM57" i="3"/>
  <c r="DM49" i="3"/>
  <c r="DM41" i="3"/>
  <c r="DM33" i="3"/>
  <c r="DM25" i="3"/>
  <c r="DM17" i="3"/>
  <c r="DM9" i="3"/>
  <c r="DM576" i="3"/>
  <c r="DM568" i="3"/>
  <c r="DM560" i="3"/>
  <c r="DM552" i="3"/>
  <c r="DM544" i="3"/>
  <c r="DM536" i="3"/>
  <c r="DM528" i="3"/>
  <c r="DM520" i="3"/>
  <c r="DM512" i="3"/>
  <c r="DM504" i="3"/>
  <c r="DM496" i="3"/>
  <c r="DM488" i="3"/>
  <c r="DM480" i="3"/>
  <c r="DM472" i="3"/>
  <c r="DM464" i="3"/>
  <c r="DM456" i="3"/>
  <c r="DM448" i="3"/>
  <c r="DM440" i="3"/>
  <c r="DM432" i="3"/>
  <c r="DM424" i="3"/>
  <c r="DM416" i="3"/>
  <c r="DM408" i="3"/>
  <c r="DM400" i="3"/>
  <c r="DM392" i="3"/>
  <c r="DM384" i="3"/>
  <c r="DM376" i="3"/>
  <c r="DM368" i="3"/>
  <c r="DM360" i="3"/>
  <c r="DM352" i="3"/>
  <c r="DM344" i="3"/>
  <c r="DM336" i="3"/>
  <c r="DM328" i="3"/>
  <c r="DM320" i="3"/>
  <c r="DM312" i="3"/>
  <c r="DM304" i="3"/>
  <c r="DM296" i="3"/>
  <c r="DM288" i="3"/>
  <c r="DM280" i="3"/>
  <c r="DM272" i="3"/>
  <c r="DM264" i="3"/>
  <c r="DM256" i="3"/>
  <c r="DM248" i="3"/>
  <c r="DM240" i="3"/>
  <c r="DM232" i="3"/>
  <c r="DM224" i="3"/>
  <c r="DM216" i="3"/>
  <c r="DM208" i="3"/>
  <c r="DM200" i="3"/>
  <c r="DM192" i="3"/>
  <c r="DM184" i="3"/>
  <c r="DM176" i="3"/>
  <c r="DM168" i="3"/>
  <c r="DM160" i="3"/>
  <c r="DM152" i="3"/>
  <c r="DM144" i="3"/>
  <c r="DM136" i="3"/>
  <c r="DM128" i="3"/>
  <c r="DM120" i="3"/>
  <c r="DM112" i="3"/>
  <c r="DM104" i="3"/>
  <c r="DM96" i="3"/>
  <c r="DM88" i="3"/>
  <c r="DM80" i="3"/>
  <c r="DM72" i="3"/>
  <c r="DM64" i="3"/>
  <c r="DM56" i="3"/>
  <c r="DM48" i="3"/>
  <c r="DM40" i="3"/>
  <c r="DM32" i="3"/>
  <c r="DM24" i="3"/>
  <c r="DM16" i="3"/>
  <c r="DM8" i="3"/>
  <c r="DM575" i="3"/>
  <c r="DM567" i="3"/>
  <c r="DM559" i="3"/>
  <c r="DM551" i="3"/>
  <c r="DM543" i="3"/>
  <c r="DM535" i="3"/>
  <c r="DM527" i="3"/>
  <c r="DM519" i="3"/>
  <c r="DM511" i="3"/>
  <c r="DM503" i="3"/>
  <c r="DM495" i="3"/>
  <c r="DM487" i="3"/>
  <c r="DM479" i="3"/>
  <c r="DM471" i="3"/>
  <c r="DM463" i="3"/>
  <c r="DM455" i="3"/>
  <c r="DM447" i="3"/>
  <c r="DM439" i="3"/>
  <c r="DM431" i="3"/>
  <c r="DM423" i="3"/>
  <c r="DM415" i="3"/>
  <c r="DM407" i="3"/>
  <c r="DM399" i="3"/>
  <c r="DM391" i="3"/>
  <c r="DM383" i="3"/>
  <c r="DM375" i="3"/>
  <c r="DM367" i="3"/>
  <c r="DM359" i="3"/>
  <c r="DM351" i="3"/>
  <c r="DM343" i="3"/>
  <c r="DM335" i="3"/>
  <c r="DM327" i="3"/>
  <c r="DM319" i="3"/>
  <c r="DM311" i="3"/>
  <c r="DM303" i="3"/>
  <c r="DM295" i="3"/>
  <c r="DM287" i="3"/>
  <c r="DM279" i="3"/>
  <c r="DM271" i="3"/>
  <c r="DM263" i="3"/>
  <c r="DM255" i="3"/>
  <c r="DM247" i="3"/>
  <c r="DM239" i="3"/>
  <c r="DM231" i="3"/>
  <c r="DM223" i="3"/>
  <c r="DM215" i="3"/>
  <c r="DM207" i="3"/>
  <c r="DM199" i="3"/>
  <c r="DM191" i="3"/>
  <c r="DM183" i="3"/>
  <c r="DM175" i="3"/>
  <c r="DM167" i="3"/>
  <c r="DM159" i="3"/>
  <c r="DM151" i="3"/>
  <c r="DM143" i="3"/>
  <c r="DM135" i="3"/>
  <c r="DM127" i="3"/>
  <c r="DM119" i="3"/>
  <c r="DM111" i="3"/>
  <c r="DM103" i="3"/>
  <c r="DM95" i="3"/>
  <c r="DM87" i="3"/>
  <c r="DM79" i="3"/>
  <c r="DM71" i="3"/>
  <c r="DM63" i="3"/>
  <c r="DM55" i="3"/>
  <c r="DM47" i="3"/>
  <c r="DM39" i="3"/>
  <c r="DM31" i="3"/>
  <c r="DM15" i="3"/>
  <c r="DM7" i="3"/>
  <c r="DM582" i="3"/>
  <c r="DM574" i="3"/>
  <c r="DM566" i="3"/>
  <c r="DM558" i="3"/>
  <c r="DM550" i="3"/>
  <c r="DM542" i="3"/>
  <c r="DM534" i="3"/>
  <c r="DM526" i="3"/>
  <c r="DM518" i="3"/>
  <c r="DM510" i="3"/>
  <c r="DM502" i="3"/>
  <c r="DM494" i="3"/>
  <c r="DM486" i="3"/>
  <c r="DM478" i="3"/>
  <c r="DM470" i="3"/>
  <c r="DM462" i="3"/>
  <c r="DM454" i="3"/>
  <c r="DM446" i="3"/>
  <c r="DM438" i="3"/>
  <c r="DM430" i="3"/>
  <c r="DM422" i="3"/>
  <c r="DM414" i="3"/>
  <c r="DM406" i="3"/>
  <c r="DM398" i="3"/>
  <c r="DM390" i="3"/>
  <c r="DM382" i="3"/>
  <c r="DM374" i="3"/>
  <c r="DM366" i="3"/>
  <c r="DM358" i="3"/>
  <c r="DM350" i="3"/>
  <c r="DM342" i="3"/>
  <c r="DM334" i="3"/>
  <c r="DM326" i="3"/>
  <c r="DM318" i="3"/>
  <c r="DM310" i="3"/>
  <c r="DM302" i="3"/>
  <c r="DM294" i="3"/>
  <c r="DM286" i="3"/>
  <c r="DM278" i="3"/>
  <c r="DM270" i="3"/>
  <c r="DM262" i="3"/>
  <c r="DM254" i="3"/>
  <c r="DM246" i="3"/>
  <c r="DM238" i="3"/>
  <c r="DM230" i="3"/>
  <c r="DM222" i="3"/>
  <c r="DM214" i="3"/>
  <c r="DM206" i="3"/>
  <c r="DM198" i="3"/>
  <c r="DM190" i="3"/>
  <c r="DM182" i="3"/>
  <c r="DM174" i="3"/>
  <c r="DM166" i="3"/>
  <c r="DM158" i="3"/>
  <c r="DM150" i="3"/>
  <c r="DM142" i="3"/>
  <c r="DM134" i="3"/>
  <c r="DM126" i="3"/>
  <c r="DM118" i="3"/>
  <c r="DM110" i="3"/>
  <c r="DM102" i="3"/>
  <c r="DM94" i="3"/>
  <c r="DM86" i="3"/>
  <c r="DM78" i="3"/>
  <c r="DM70" i="3"/>
  <c r="DM62" i="3"/>
  <c r="DM54" i="3"/>
  <c r="DM46" i="3"/>
  <c r="DM38" i="3"/>
  <c r="DM30" i="3"/>
  <c r="DM22" i="3"/>
  <c r="DM14" i="3"/>
  <c r="DM6" i="3"/>
  <c r="S578" i="25"/>
  <c r="S570" i="25"/>
  <c r="S562" i="25"/>
  <c r="S554" i="25"/>
  <c r="S546" i="25"/>
  <c r="S538" i="25"/>
  <c r="S530" i="25"/>
  <c r="S522" i="25"/>
  <c r="S514" i="25"/>
  <c r="S506" i="25"/>
  <c r="S498" i="25"/>
  <c r="S490" i="25"/>
  <c r="S482" i="25"/>
  <c r="S474" i="25"/>
  <c r="S466" i="25"/>
  <c r="S458" i="25"/>
  <c r="S450" i="25"/>
  <c r="S442" i="25"/>
  <c r="S434" i="25"/>
  <c r="S426" i="25"/>
  <c r="S418" i="25"/>
  <c r="S410" i="25"/>
  <c r="S402" i="25"/>
  <c r="S395" i="25"/>
  <c r="S387" i="25"/>
  <c r="S380" i="25"/>
  <c r="S373" i="25"/>
  <c r="S366" i="25"/>
  <c r="S359" i="25"/>
  <c r="S352" i="25"/>
  <c r="S345" i="25"/>
  <c r="S338" i="25"/>
  <c r="S331" i="25"/>
  <c r="S324" i="25"/>
  <c r="S317" i="25"/>
  <c r="S310" i="25"/>
  <c r="S303" i="25"/>
  <c r="S296" i="25"/>
  <c r="S289" i="25"/>
  <c r="S282" i="25"/>
  <c r="S275" i="25"/>
  <c r="S268" i="25"/>
  <c r="S261" i="25"/>
  <c r="S254" i="25"/>
  <c r="S247" i="25"/>
  <c r="S240" i="25"/>
  <c r="S233" i="25"/>
  <c r="S227" i="25"/>
  <c r="S576" i="25"/>
  <c r="S568" i="25"/>
  <c r="S560" i="25"/>
  <c r="S552" i="25"/>
  <c r="S544" i="25"/>
  <c r="S536" i="25"/>
  <c r="S528" i="25"/>
  <c r="S520" i="25"/>
  <c r="S512" i="25"/>
  <c r="S504" i="25"/>
  <c r="S496" i="25"/>
  <c r="S488" i="25"/>
  <c r="S480" i="25"/>
  <c r="S472" i="25"/>
  <c r="S464" i="25"/>
  <c r="S456" i="25"/>
  <c r="S448" i="25"/>
  <c r="S440" i="25"/>
  <c r="S432" i="25"/>
  <c r="S424" i="25"/>
  <c r="S416" i="25"/>
  <c r="S408" i="25"/>
  <c r="S400" i="25"/>
  <c r="S393" i="25"/>
  <c r="Q581" i="25"/>
  <c r="Q573" i="25"/>
  <c r="Q565" i="25"/>
  <c r="Q557" i="25"/>
  <c r="Q549" i="25"/>
  <c r="Q541" i="25"/>
  <c r="Q533" i="25"/>
  <c r="Q525" i="25"/>
  <c r="Q517" i="25"/>
  <c r="Q509" i="25"/>
  <c r="Q501" i="25"/>
  <c r="Q493" i="25"/>
  <c r="Q485" i="25"/>
  <c r="Q477" i="25"/>
  <c r="Q469" i="25"/>
  <c r="Q461" i="25"/>
  <c r="Q453" i="25"/>
  <c r="Q445" i="25"/>
  <c r="Q437" i="25"/>
  <c r="Q429" i="25"/>
  <c r="Q421" i="25"/>
  <c r="Q413" i="25"/>
  <c r="Q405" i="25"/>
  <c r="Q580" i="25"/>
  <c r="Q572" i="25"/>
  <c r="Q564" i="25"/>
  <c r="Q556" i="25"/>
  <c r="Q548" i="25"/>
  <c r="Q540" i="25"/>
  <c r="Q532" i="25"/>
  <c r="Q524" i="25"/>
  <c r="Q516" i="25"/>
  <c r="Q508" i="25"/>
  <c r="Q500" i="25"/>
  <c r="Q492" i="25"/>
  <c r="Q484" i="25"/>
  <c r="Q476" i="25"/>
  <c r="Q468" i="25"/>
  <c r="Q460" i="25"/>
  <c r="Q452" i="25"/>
  <c r="Q444" i="25"/>
  <c r="Q436" i="25"/>
  <c r="Q428" i="25"/>
  <c r="Q420" i="25"/>
  <c r="Q412" i="25"/>
  <c r="Q404" i="25"/>
  <c r="I398" i="3"/>
  <c r="Q390" i="25"/>
  <c r="Q383" i="25"/>
  <c r="Q376" i="25"/>
  <c r="Q369" i="25"/>
  <c r="Q362" i="25"/>
  <c r="Q355" i="25"/>
  <c r="Q348" i="25"/>
  <c r="Q341" i="25"/>
  <c r="Q334" i="25"/>
  <c r="Q327" i="25"/>
  <c r="Q320" i="25"/>
  <c r="Q313" i="25"/>
  <c r="Q306" i="25"/>
  <c r="Q299" i="25"/>
  <c r="Q292" i="25"/>
  <c r="Q285" i="25"/>
  <c r="Q278" i="25"/>
  <c r="Q271" i="25"/>
  <c r="Q264" i="25"/>
  <c r="Q257" i="25"/>
  <c r="Q250" i="25"/>
  <c r="Q243" i="25"/>
  <c r="Q389" i="25"/>
  <c r="Q382" i="25"/>
  <c r="Q375" i="25"/>
  <c r="Q368" i="25"/>
  <c r="Q361" i="25"/>
  <c r="Q354" i="25"/>
  <c r="Q347" i="25"/>
  <c r="Q340" i="25"/>
  <c r="Q333" i="25"/>
  <c r="Q326" i="25"/>
  <c r="Q319" i="25"/>
  <c r="Q312" i="25"/>
  <c r="Q305" i="25"/>
  <c r="Q298" i="25"/>
  <c r="Q291" i="25"/>
  <c r="Q284" i="25"/>
  <c r="Q277" i="25"/>
  <c r="Q270" i="25"/>
  <c r="Q263" i="25"/>
  <c r="Q256" i="25"/>
  <c r="Q249" i="25"/>
  <c r="Q242" i="25"/>
  <c r="Q236" i="25" l="1"/>
  <c r="Q235" i="25"/>
  <c r="Q112" i="25"/>
  <c r="Q105" i="25"/>
  <c r="Q98" i="25"/>
  <c r="Q91" i="25"/>
  <c r="Q84" i="25"/>
  <c r="Q77" i="25"/>
  <c r="Q70" i="25"/>
  <c r="Q63" i="25"/>
  <c r="Q56" i="25"/>
  <c r="Q49" i="25"/>
  <c r="Q42" i="25"/>
  <c r="Q35" i="25"/>
  <c r="Q28" i="25"/>
  <c r="Q21" i="25"/>
  <c r="Q109" i="25"/>
  <c r="Q102" i="25"/>
  <c r="Q95" i="25"/>
  <c r="Q88" i="25"/>
  <c r="Q81" i="25"/>
  <c r="Q74" i="25"/>
  <c r="Q67" i="25"/>
  <c r="Q60" i="25"/>
  <c r="Q53" i="25"/>
  <c r="Q46" i="25"/>
  <c r="Q39" i="25"/>
  <c r="Q32" i="25"/>
  <c r="Q25" i="25"/>
  <c r="Q18" i="25"/>
  <c r="Q14" i="25"/>
  <c r="Q11" i="25"/>
  <c r="H2" i="22" l="1"/>
  <c r="F2" i="22" l="1"/>
  <c r="G2" i="22"/>
  <c r="E2" i="22"/>
  <c r="AH395" i="25"/>
  <c r="AH227" i="25"/>
  <c r="AH116" i="25"/>
  <c r="AH114" i="25"/>
  <c r="AH7" i="25"/>
  <c r="AH398" i="25"/>
  <c r="Q222" i="25"/>
  <c r="Q215" i="25"/>
  <c r="Q208" i="25"/>
  <c r="Q201" i="25"/>
  <c r="Q194" i="25"/>
  <c r="Q187" i="25"/>
  <c r="Q180" i="25"/>
  <c r="Q173" i="25"/>
  <c r="Q166" i="25"/>
  <c r="Q159" i="25"/>
  <c r="Q152" i="25"/>
  <c r="Q145" i="25"/>
  <c r="Q138" i="25"/>
  <c r="Q131" i="25"/>
  <c r="Q124" i="25"/>
  <c r="AH119" i="25"/>
  <c r="M228" i="25" l="1"/>
  <c r="AH393" i="25"/>
  <c r="AH397" i="25"/>
  <c r="AH229" i="25"/>
  <c r="AH223" i="25"/>
  <c r="AH216" i="25"/>
  <c r="AH209" i="25"/>
  <c r="AH202" i="25"/>
  <c r="AH195" i="25"/>
  <c r="AH188" i="25"/>
  <c r="AH181" i="25"/>
  <c r="AH174" i="25"/>
  <c r="AH167" i="25"/>
  <c r="AH160" i="25"/>
  <c r="AH153" i="25"/>
  <c r="AH146" i="25"/>
  <c r="AH139" i="25"/>
  <c r="AH132" i="25"/>
  <c r="AH125" i="25"/>
  <c r="AH118" i="25"/>
  <c r="AG119" i="25"/>
  <c r="Z579" i="25"/>
  <c r="Z578" i="25"/>
  <c r="Z571" i="25"/>
  <c r="Z570" i="25"/>
  <c r="Z563" i="25"/>
  <c r="Z562" i="25"/>
  <c r="Z555" i="25"/>
  <c r="Z554" i="25"/>
  <c r="Z547" i="25"/>
  <c r="Z546" i="25"/>
  <c r="Z539" i="25"/>
  <c r="Z538" i="25"/>
  <c r="Z388" i="25"/>
  <c r="Z387" i="25"/>
  <c r="Z385" i="25"/>
  <c r="Z381" i="25"/>
  <c r="Z380" i="25"/>
  <c r="Z378" i="25"/>
  <c r="Z374" i="25"/>
  <c r="Z373" i="25"/>
  <c r="Z371" i="25"/>
  <c r="Z367" i="25"/>
  <c r="Z366" i="25"/>
  <c r="Z364" i="25"/>
  <c r="Z360" i="25"/>
  <c r="Z359" i="25"/>
  <c r="Z357" i="25"/>
  <c r="Z353" i="25"/>
  <c r="Z352" i="25"/>
  <c r="Z350" i="25"/>
  <c r="Y419" i="25"/>
  <c r="Y418" i="25"/>
  <c r="Y411" i="25"/>
  <c r="Y410" i="25"/>
  <c r="Y403" i="25"/>
  <c r="Y402" i="25"/>
  <c r="Y248" i="25"/>
  <c r="Y247" i="25"/>
  <c r="Y245" i="25"/>
  <c r="Y241" i="25"/>
  <c r="Y240" i="25"/>
  <c r="Y238" i="25"/>
  <c r="Y233" i="25"/>
  <c r="Y231" i="25"/>
  <c r="Y137" i="25"/>
  <c r="Y136" i="25"/>
  <c r="Y134" i="25"/>
  <c r="Y130" i="25"/>
  <c r="Y129" i="25"/>
  <c r="Y127" i="25"/>
  <c r="Y123" i="25"/>
  <c r="Y122" i="25"/>
  <c r="Y120" i="25"/>
  <c r="Y28" i="25"/>
  <c r="Y27" i="25"/>
  <c r="Y26" i="25"/>
  <c r="Y24" i="25"/>
  <c r="Y21" i="25"/>
  <c r="Y20" i="25"/>
  <c r="Y19" i="25"/>
  <c r="Y17" i="25"/>
  <c r="Y14" i="25"/>
  <c r="Y13" i="25"/>
  <c r="Y10" i="25"/>
  <c r="AD228" i="25"/>
  <c r="AA228" i="25"/>
  <c r="X228" i="25"/>
  <c r="W381" i="25"/>
  <c r="W380" i="25"/>
  <c r="W367" i="25"/>
  <c r="W366" i="25"/>
  <c r="W353" i="25"/>
  <c r="W352" i="25"/>
  <c r="W339" i="25"/>
  <c r="W338" i="25"/>
  <c r="W325" i="25"/>
  <c r="W324" i="25"/>
  <c r="W311" i="25"/>
  <c r="W310" i="25"/>
  <c r="W297" i="25"/>
  <c r="W296" i="25"/>
  <c r="W283" i="25"/>
  <c r="W282" i="25"/>
  <c r="W269" i="25"/>
  <c r="W268" i="25"/>
  <c r="Q388" i="25"/>
  <c r="Q381" i="25"/>
  <c r="Q374" i="25"/>
  <c r="Q367" i="25"/>
  <c r="Q360" i="25"/>
  <c r="Q353" i="25"/>
  <c r="Q346" i="25"/>
  <c r="Q339" i="25"/>
  <c r="Q332" i="25"/>
  <c r="Q325" i="25"/>
  <c r="Q318" i="25"/>
  <c r="Q311" i="25"/>
  <c r="Q304" i="25"/>
  <c r="Q297" i="25"/>
  <c r="Q290" i="25"/>
  <c r="Q283" i="25"/>
  <c r="Q276" i="25"/>
  <c r="Q269" i="25"/>
  <c r="Q262" i="25"/>
  <c r="Q255" i="25"/>
  <c r="Q248" i="25"/>
  <c r="Q241" i="25"/>
  <c r="Q228" i="25"/>
  <c r="Q118" i="25"/>
  <c r="Q111" i="25"/>
  <c r="Q110" i="25"/>
  <c r="Q108" i="25"/>
  <c r="Q104" i="25"/>
  <c r="Q103" i="25"/>
  <c r="Q101" i="25"/>
  <c r="Q97" i="25"/>
  <c r="Q96" i="25"/>
  <c r="Q94" i="25"/>
  <c r="Q90" i="25"/>
  <c r="Q89" i="25"/>
  <c r="Q87" i="25"/>
  <c r="Q83" i="25"/>
  <c r="Q82" i="25"/>
  <c r="Q80" i="25"/>
  <c r="Q76" i="25"/>
  <c r="Q75" i="25"/>
  <c r="Q73" i="25"/>
  <c r="Q69" i="25"/>
  <c r="Q68" i="25"/>
  <c r="Q66" i="25"/>
  <c r="Q62" i="25"/>
  <c r="Q61" i="25"/>
  <c r="Q59" i="25"/>
  <c r="Q55" i="25"/>
  <c r="Q54" i="25"/>
  <c r="Q52" i="25"/>
  <c r="Q48" i="25"/>
  <c r="Q47" i="25"/>
  <c r="Q45" i="25"/>
  <c r="Q41" i="25"/>
  <c r="Q40" i="25"/>
  <c r="Q38" i="25"/>
  <c r="Q34" i="25"/>
  <c r="Q33" i="25"/>
  <c r="Q31" i="25"/>
  <c r="Q27" i="25"/>
  <c r="Q26" i="25"/>
  <c r="Q24" i="25"/>
  <c r="Q20" i="25"/>
  <c r="Q19" i="25"/>
  <c r="Q17" i="25"/>
  <c r="Q13" i="25"/>
  <c r="Q10" i="25"/>
  <c r="Q7" i="25"/>
  <c r="Q6" i="25"/>
  <c r="Z582" i="25"/>
  <c r="Z580" i="25"/>
  <c r="Z576" i="25"/>
  <c r="Z574" i="25"/>
  <c r="Z572" i="25"/>
  <c r="Z568" i="25"/>
  <c r="Z566" i="25"/>
  <c r="Z564" i="25"/>
  <c r="Z560" i="25"/>
  <c r="Z558" i="25"/>
  <c r="Z556" i="25"/>
  <c r="Z552" i="25"/>
  <c r="Z550" i="25"/>
  <c r="Z548" i="25"/>
  <c r="Z544" i="25"/>
  <c r="Z542" i="25"/>
  <c r="Z540" i="25"/>
  <c r="Z536" i="25"/>
  <c r="Z391" i="25"/>
  <c r="Z389" i="25"/>
  <c r="Z384" i="25"/>
  <c r="Z382" i="25"/>
  <c r="Z377" i="25"/>
  <c r="Z375" i="25"/>
  <c r="Z370" i="25"/>
  <c r="Z368" i="25"/>
  <c r="Z363" i="25"/>
  <c r="Z361" i="25"/>
  <c r="Z356" i="25"/>
  <c r="Z354" i="25"/>
  <c r="Y422" i="25"/>
  <c r="Y420" i="25"/>
  <c r="Y416" i="25"/>
  <c r="Y414" i="25"/>
  <c r="Y412" i="25"/>
  <c r="Y408" i="25"/>
  <c r="Y406" i="25"/>
  <c r="Y404" i="25"/>
  <c r="Y400" i="25"/>
  <c r="Y251" i="25"/>
  <c r="Y249" i="25"/>
  <c r="Y244" i="25"/>
  <c r="Y242" i="25"/>
  <c r="Y237" i="25"/>
  <c r="Y235" i="25"/>
  <c r="Y234" i="25"/>
  <c r="Y140" i="25"/>
  <c r="Y138" i="25"/>
  <c r="Y133" i="25"/>
  <c r="Y131" i="25"/>
  <c r="Y126" i="25"/>
  <c r="Y124" i="25"/>
  <c r="Y29" i="25"/>
  <c r="Y25" i="25"/>
  <c r="Y23" i="25"/>
  <c r="Y22" i="25"/>
  <c r="Y18" i="25"/>
  <c r="Y16" i="25"/>
  <c r="Y15" i="25"/>
  <c r="Y12" i="25"/>
  <c r="Y11" i="25"/>
  <c r="Y9" i="25"/>
  <c r="W384" i="25"/>
  <c r="W382" i="25"/>
  <c r="W370" i="25"/>
  <c r="W368" i="25"/>
  <c r="W356" i="25"/>
  <c r="W354" i="25"/>
  <c r="W342" i="25"/>
  <c r="W340" i="25"/>
  <c r="W328" i="25"/>
  <c r="W326" i="25"/>
  <c r="W314" i="25"/>
  <c r="W312" i="25"/>
  <c r="W300" i="25"/>
  <c r="W298" i="25"/>
  <c r="W286" i="25"/>
  <c r="W284" i="25"/>
  <c r="W272" i="25"/>
  <c r="W270" i="25"/>
  <c r="W258" i="25"/>
  <c r="W244" i="25"/>
  <c r="P582" i="25"/>
  <c r="P580" i="25"/>
  <c r="P574" i="25"/>
  <c r="P572" i="25"/>
  <c r="P566" i="25"/>
  <c r="P564" i="25"/>
  <c r="P558" i="25"/>
  <c r="P556" i="25"/>
  <c r="P550" i="25"/>
  <c r="P548" i="25"/>
  <c r="P542" i="25"/>
  <c r="P540" i="25"/>
  <c r="P534" i="25"/>
  <c r="P532" i="25"/>
  <c r="P526" i="25"/>
  <c r="P524" i="25"/>
  <c r="P518" i="25"/>
  <c r="P516" i="25"/>
  <c r="P510" i="25"/>
  <c r="P508" i="25"/>
  <c r="P502" i="25"/>
  <c r="P500" i="25"/>
  <c r="P494" i="25"/>
  <c r="P492" i="25"/>
  <c r="P486" i="25"/>
  <c r="P484" i="25"/>
  <c r="P478" i="25"/>
  <c r="P476" i="25"/>
  <c r="P470" i="25"/>
  <c r="P468" i="25"/>
  <c r="P462" i="25"/>
  <c r="P460" i="25"/>
  <c r="P454" i="25"/>
  <c r="P452" i="25"/>
  <c r="P446" i="25"/>
  <c r="P444" i="25"/>
  <c r="P438" i="25"/>
  <c r="P436" i="25"/>
  <c r="P430" i="25"/>
  <c r="P428" i="25"/>
  <c r="P422" i="25"/>
  <c r="P420" i="25"/>
  <c r="P414" i="25"/>
  <c r="P412" i="25"/>
  <c r="P406" i="25"/>
  <c r="P404" i="25"/>
  <c r="P398" i="25"/>
  <c r="P389" i="25"/>
  <c r="P382" i="25"/>
  <c r="P375" i="25"/>
  <c r="P368" i="25"/>
  <c r="P361" i="25"/>
  <c r="P354" i="25"/>
  <c r="P347" i="25"/>
  <c r="P340" i="25"/>
  <c r="P333" i="25"/>
  <c r="P326" i="25"/>
  <c r="P319" i="25"/>
  <c r="P312" i="25"/>
  <c r="P305" i="25"/>
  <c r="P298" i="25"/>
  <c r="P291" i="25"/>
  <c r="P284" i="25"/>
  <c r="P277" i="25"/>
  <c r="P270" i="25"/>
  <c r="P263" i="25"/>
  <c r="P256" i="25"/>
  <c r="P249" i="25"/>
  <c r="P242" i="25"/>
  <c r="P235" i="25"/>
  <c r="P224" i="25"/>
  <c r="P222" i="25"/>
  <c r="P217" i="25"/>
  <c r="P215" i="25"/>
  <c r="P210" i="25"/>
  <c r="P208" i="25"/>
  <c r="P203" i="25"/>
  <c r="P201" i="25"/>
  <c r="P196" i="25"/>
  <c r="P194" i="25"/>
  <c r="P189" i="25"/>
  <c r="P187" i="25"/>
  <c r="P182" i="25"/>
  <c r="P180" i="25"/>
  <c r="P175" i="25"/>
  <c r="P173" i="25"/>
  <c r="P168" i="25"/>
  <c r="P166" i="25"/>
  <c r="P161" i="25"/>
  <c r="P159" i="25"/>
  <c r="P154" i="25"/>
  <c r="P152" i="25"/>
  <c r="P147" i="25"/>
  <c r="P145" i="25"/>
  <c r="P140" i="25"/>
  <c r="P138" i="25"/>
  <c r="P133" i="25"/>
  <c r="P131" i="25"/>
  <c r="P126" i="25"/>
  <c r="P124" i="25"/>
  <c r="P117" i="25"/>
  <c r="P113" i="25"/>
  <c r="P106" i="25"/>
  <c r="P99" i="25"/>
  <c r="P92" i="25"/>
  <c r="P85" i="25"/>
  <c r="P78" i="25"/>
  <c r="P71" i="25"/>
  <c r="P64" i="25"/>
  <c r="P57" i="25"/>
  <c r="P50" i="25"/>
  <c r="P43" i="25"/>
  <c r="P36" i="25"/>
  <c r="P29" i="25"/>
  <c r="P22" i="25"/>
  <c r="P15" i="25"/>
  <c r="P8" i="25"/>
  <c r="AD115" i="25"/>
  <c r="Z577" i="25"/>
  <c r="Z575" i="25"/>
  <c r="Z569" i="25"/>
  <c r="Z567" i="25"/>
  <c r="Z561" i="25"/>
  <c r="Z559" i="25"/>
  <c r="Z553" i="25"/>
  <c r="Z551" i="25"/>
  <c r="Z545" i="25"/>
  <c r="Z543" i="25"/>
  <c r="Z537" i="25"/>
  <c r="Z535" i="25"/>
  <c r="Z386" i="25"/>
  <c r="Z379" i="25"/>
  <c r="Z372" i="25"/>
  <c r="Z365" i="25"/>
  <c r="Z358" i="25"/>
  <c r="Z351" i="25"/>
  <c r="Y417" i="25"/>
  <c r="Y415" i="25"/>
  <c r="Y409" i="25"/>
  <c r="Y407" i="25"/>
  <c r="Y401" i="25"/>
  <c r="Y399" i="25"/>
  <c r="Y246" i="25"/>
  <c r="Y239" i="25"/>
  <c r="Y232" i="25"/>
  <c r="Y135" i="25"/>
  <c r="Y128" i="25"/>
  <c r="Y121" i="25"/>
  <c r="W379" i="25"/>
  <c r="W365" i="25"/>
  <c r="W351" i="25"/>
  <c r="W337" i="25"/>
  <c r="W323" i="25"/>
  <c r="W309" i="25"/>
  <c r="W295" i="25"/>
  <c r="W281" i="25"/>
  <c r="W267" i="25"/>
  <c r="V577" i="25"/>
  <c r="V569" i="25"/>
  <c r="V561" i="25"/>
  <c r="V553" i="25"/>
  <c r="V545" i="25"/>
  <c r="V537" i="25"/>
  <c r="V529" i="25"/>
  <c r="V521" i="25"/>
  <c r="V513" i="25"/>
  <c r="V505" i="25"/>
  <c r="V497" i="25"/>
  <c r="V489" i="25"/>
  <c r="V481" i="25"/>
  <c r="V473" i="25"/>
  <c r="V465" i="25"/>
  <c r="V457" i="25"/>
  <c r="V449" i="25"/>
  <c r="V441" i="25"/>
  <c r="V433" i="25"/>
  <c r="V425" i="25"/>
  <c r="V417" i="25"/>
  <c r="V409" i="25"/>
  <c r="V401" i="25"/>
  <c r="V394" i="25"/>
  <c r="V582" i="25" l="1"/>
  <c r="V574" i="25"/>
  <c r="V566" i="25"/>
  <c r="V558" i="25"/>
  <c r="V550" i="25"/>
  <c r="V542" i="25"/>
  <c r="V534" i="25"/>
  <c r="V526" i="25"/>
  <c r="V518" i="25"/>
  <c r="V510" i="25"/>
  <c r="V502" i="25"/>
  <c r="V494" i="25"/>
  <c r="V486" i="25"/>
  <c r="V478" i="25"/>
  <c r="V470" i="25"/>
  <c r="V462" i="25"/>
  <c r="V454" i="25"/>
  <c r="V446" i="25"/>
  <c r="V438" i="25"/>
  <c r="V430" i="25"/>
  <c r="V422" i="25"/>
  <c r="V414" i="25"/>
  <c r="V406" i="25"/>
  <c r="S581" i="25"/>
  <c r="S573" i="25"/>
  <c r="S565" i="25"/>
  <c r="S557" i="25"/>
  <c r="S549" i="25"/>
  <c r="S541" i="25"/>
  <c r="S533" i="25"/>
  <c r="S525" i="25"/>
  <c r="S517" i="25"/>
  <c r="S509" i="25"/>
  <c r="S501" i="25"/>
  <c r="S493" i="25"/>
  <c r="S485" i="25"/>
  <c r="S477" i="25"/>
  <c r="S469" i="25"/>
  <c r="S461" i="25"/>
  <c r="S453" i="25"/>
  <c r="S445" i="25"/>
  <c r="S437" i="25"/>
  <c r="S429" i="25"/>
  <c r="S421" i="25"/>
  <c r="S413" i="25"/>
  <c r="S405" i="25"/>
  <c r="AA581" i="25"/>
  <c r="AA573" i="25"/>
  <c r="AA565" i="25"/>
  <c r="AA557" i="25"/>
  <c r="AA549" i="25"/>
  <c r="AA541" i="25"/>
  <c r="AA533" i="25"/>
  <c r="AA525" i="25"/>
  <c r="AA517" i="25"/>
  <c r="AA509" i="25"/>
  <c r="AA501" i="25"/>
  <c r="AA493" i="25"/>
  <c r="AA485" i="25"/>
  <c r="AA477" i="25"/>
  <c r="AA469" i="25"/>
  <c r="AA461" i="25"/>
  <c r="AA453" i="25"/>
  <c r="AA445" i="25"/>
  <c r="AA437" i="25"/>
  <c r="AA429" i="25"/>
  <c r="AA421" i="25"/>
  <c r="AA413" i="25"/>
  <c r="AA405" i="25"/>
  <c r="V398" i="25"/>
  <c r="V580" i="25"/>
  <c r="V572" i="25"/>
  <c r="V564" i="25"/>
  <c r="V556" i="25"/>
  <c r="V548" i="25"/>
  <c r="V540" i="25"/>
  <c r="V532" i="25"/>
  <c r="V524" i="25"/>
  <c r="V516" i="25"/>
  <c r="V508" i="25"/>
  <c r="V500" i="25"/>
  <c r="V492" i="25"/>
  <c r="V484" i="25"/>
  <c r="V476" i="25"/>
  <c r="V468" i="25"/>
  <c r="V460" i="25"/>
  <c r="V452" i="25"/>
  <c r="V444" i="25"/>
  <c r="V436" i="25"/>
  <c r="V428" i="25"/>
  <c r="V420" i="25"/>
  <c r="V412" i="25"/>
  <c r="V404" i="25"/>
  <c r="S397" i="25"/>
  <c r="AA397" i="25"/>
  <c r="S579" i="25"/>
  <c r="S571" i="25"/>
  <c r="S563" i="25"/>
  <c r="S555" i="25"/>
  <c r="S547" i="25"/>
  <c r="S539" i="25"/>
  <c r="S531" i="25"/>
  <c r="S523" i="25"/>
  <c r="S515" i="25"/>
  <c r="S507" i="25"/>
  <c r="S499" i="25"/>
  <c r="S491" i="25"/>
  <c r="S483" i="25"/>
  <c r="S475" i="25"/>
  <c r="S467" i="25"/>
  <c r="S459" i="25"/>
  <c r="S451" i="25"/>
  <c r="S443" i="25"/>
  <c r="S435" i="25"/>
  <c r="S427" i="25"/>
  <c r="S419" i="25"/>
  <c r="S411" i="25"/>
  <c r="S403" i="25"/>
  <c r="V396" i="25"/>
  <c r="R578" i="25"/>
  <c r="R570" i="25"/>
  <c r="R562" i="25"/>
  <c r="R554" i="25"/>
  <c r="R546" i="25"/>
  <c r="R538" i="25"/>
  <c r="R530" i="25"/>
  <c r="R522" i="25"/>
  <c r="R514" i="25"/>
  <c r="R506" i="25"/>
  <c r="R498" i="25"/>
  <c r="R490" i="25"/>
  <c r="R482" i="25"/>
  <c r="R474" i="25"/>
  <c r="R466" i="25"/>
  <c r="R458" i="25"/>
  <c r="R450" i="25"/>
  <c r="R442" i="25"/>
  <c r="R434" i="25"/>
  <c r="R426" i="25"/>
  <c r="R418" i="25"/>
  <c r="R410" i="25"/>
  <c r="R402" i="25"/>
  <c r="R395" i="25"/>
  <c r="R576" i="25"/>
  <c r="R568" i="25"/>
  <c r="R560" i="25"/>
  <c r="R552" i="25"/>
  <c r="R544" i="25"/>
  <c r="R536" i="25"/>
  <c r="R528" i="25"/>
  <c r="R520" i="25"/>
  <c r="R512" i="25"/>
  <c r="R504" i="25"/>
  <c r="R496" i="25"/>
  <c r="R488" i="25"/>
  <c r="R480" i="25"/>
  <c r="R472" i="25"/>
  <c r="R464" i="25"/>
  <c r="R456" i="25"/>
  <c r="R448" i="25"/>
  <c r="R440" i="25"/>
  <c r="R432" i="25"/>
  <c r="R424" i="25"/>
  <c r="R416" i="25"/>
  <c r="R408" i="25"/>
  <c r="R400" i="25"/>
  <c r="R393" i="25"/>
  <c r="V391" i="25"/>
  <c r="V384" i="25"/>
  <c r="V377" i="25"/>
  <c r="V370" i="25"/>
  <c r="V363" i="25"/>
  <c r="V356" i="25"/>
  <c r="V349" i="25"/>
  <c r="V342" i="25"/>
  <c r="V335" i="25"/>
  <c r="V328" i="25"/>
  <c r="V321" i="25"/>
  <c r="V314" i="25"/>
  <c r="V307" i="25"/>
  <c r="V300" i="25"/>
  <c r="V293" i="25"/>
  <c r="V286" i="25"/>
  <c r="V279" i="25"/>
  <c r="V272" i="25"/>
  <c r="V265" i="25"/>
  <c r="V258" i="25"/>
  <c r="V251" i="25"/>
  <c r="V244" i="25"/>
  <c r="V237" i="25"/>
  <c r="AA390" i="25"/>
  <c r="AA383" i="25"/>
  <c r="AA376" i="25"/>
  <c r="AA369" i="25"/>
  <c r="AA362" i="25"/>
  <c r="AA355" i="25"/>
  <c r="AA348" i="25"/>
  <c r="AA341" i="25"/>
  <c r="AA334" i="25"/>
  <c r="AA327" i="25"/>
  <c r="AA320" i="25"/>
  <c r="AA313" i="25"/>
  <c r="AA306" i="25"/>
  <c r="AA299" i="25"/>
  <c r="AA292" i="25"/>
  <c r="AA285" i="25"/>
  <c r="AA278" i="25"/>
  <c r="AA271" i="25"/>
  <c r="AA264" i="25"/>
  <c r="AA257" i="25"/>
  <c r="AA250" i="25"/>
  <c r="AA243" i="25"/>
  <c r="AA236" i="25"/>
  <c r="AB390" i="25"/>
  <c r="AB383" i="25"/>
  <c r="AB376" i="25"/>
  <c r="AB369" i="25"/>
  <c r="AB362" i="25"/>
  <c r="AB355" i="25"/>
  <c r="AB348" i="25"/>
  <c r="AB341" i="25"/>
  <c r="AB334" i="25"/>
  <c r="AB327" i="25"/>
  <c r="AB320" i="25"/>
  <c r="AB313" i="25"/>
  <c r="AB306" i="25"/>
  <c r="AB299" i="25"/>
  <c r="AB292" i="25"/>
  <c r="AB285" i="25"/>
  <c r="AB278" i="25"/>
  <c r="AB271" i="25"/>
  <c r="AB264" i="25"/>
  <c r="AB257" i="25"/>
  <c r="AB250" i="25"/>
  <c r="AB243" i="25"/>
  <c r="AB236" i="25"/>
  <c r="S390" i="25"/>
  <c r="S383" i="25"/>
  <c r="S376" i="25"/>
  <c r="S369" i="25"/>
  <c r="S362" i="25"/>
  <c r="S355" i="25"/>
  <c r="S348" i="25"/>
  <c r="S341" i="25"/>
  <c r="S334" i="25"/>
  <c r="S327" i="25"/>
  <c r="S320" i="25"/>
  <c r="S313" i="25"/>
  <c r="S306" i="25"/>
  <c r="S299" i="25"/>
  <c r="S292" i="25"/>
  <c r="S285" i="25"/>
  <c r="S278" i="25"/>
  <c r="S271" i="25"/>
  <c r="S264" i="25"/>
  <c r="S257" i="25"/>
  <c r="S250" i="25"/>
  <c r="S243" i="25"/>
  <c r="S236" i="25"/>
  <c r="V230" i="25"/>
  <c r="V389" i="25"/>
  <c r="V382" i="25"/>
  <c r="V375" i="25"/>
  <c r="V368" i="25"/>
  <c r="V361" i="25"/>
  <c r="V354" i="25"/>
  <c r="V347" i="25"/>
  <c r="V340" i="25"/>
  <c r="V333" i="25"/>
  <c r="V326" i="25"/>
  <c r="V319" i="25"/>
  <c r="V312" i="25"/>
  <c r="V305" i="25"/>
  <c r="V298" i="25"/>
  <c r="V291" i="25"/>
  <c r="V284" i="25"/>
  <c r="V277" i="25"/>
  <c r="V270" i="25"/>
  <c r="V263" i="25"/>
  <c r="V256" i="25"/>
  <c r="V249" i="25"/>
  <c r="V242" i="25"/>
  <c r="V235" i="25"/>
  <c r="AD229" i="25"/>
  <c r="AB229" i="25"/>
  <c r="AA229" i="25"/>
  <c r="S229" i="25"/>
  <c r="S234" i="25"/>
  <c r="S388" i="25"/>
  <c r="S381" i="25"/>
  <c r="S374" i="25"/>
  <c r="S367" i="25"/>
  <c r="S360" i="25"/>
  <c r="S353" i="25"/>
  <c r="S346" i="25"/>
  <c r="S339" i="25"/>
  <c r="S332" i="25"/>
  <c r="S325" i="25"/>
  <c r="S318" i="25"/>
  <c r="S311" i="25"/>
  <c r="S304" i="25"/>
  <c r="S297" i="25"/>
  <c r="S290" i="25"/>
  <c r="S283" i="25"/>
  <c r="S276" i="25"/>
  <c r="S269" i="25"/>
  <c r="S262" i="25"/>
  <c r="S255" i="25"/>
  <c r="S248" i="25"/>
  <c r="S241" i="25"/>
  <c r="V388" i="25"/>
  <c r="V381" i="25"/>
  <c r="V374" i="25"/>
  <c r="V367" i="25"/>
  <c r="V360" i="25"/>
  <c r="V353" i="25"/>
  <c r="V346" i="25"/>
  <c r="V339" i="25"/>
  <c r="V332" i="25"/>
  <c r="V325" i="25"/>
  <c r="V318" i="25"/>
  <c r="V311" i="25"/>
  <c r="V304" i="25"/>
  <c r="V297" i="25"/>
  <c r="V290" i="25"/>
  <c r="V283" i="25"/>
  <c r="V276" i="25"/>
  <c r="V269" i="25"/>
  <c r="V262" i="25"/>
  <c r="V255" i="25"/>
  <c r="V248" i="25"/>
  <c r="V241" i="25"/>
  <c r="V234" i="25"/>
  <c r="V228" i="25"/>
  <c r="P228" i="25"/>
  <c r="R387" i="25"/>
  <c r="R380" i="25"/>
  <c r="R373" i="25"/>
  <c r="R366" i="25"/>
  <c r="R359" i="25"/>
  <c r="R352" i="25"/>
  <c r="R345" i="25"/>
  <c r="R338" i="25"/>
  <c r="R331" i="25"/>
  <c r="R324" i="25"/>
  <c r="R317" i="25"/>
  <c r="R310" i="25"/>
  <c r="R303" i="25"/>
  <c r="R296" i="25"/>
  <c r="R289" i="25"/>
  <c r="R282" i="25"/>
  <c r="R275" i="25"/>
  <c r="R268" i="25"/>
  <c r="R261" i="25"/>
  <c r="R254" i="25"/>
  <c r="R247" i="25"/>
  <c r="R240" i="25"/>
  <c r="R233" i="25"/>
  <c r="R227" i="25"/>
  <c r="AD385" i="25"/>
  <c r="AD378" i="25"/>
  <c r="AD371" i="25"/>
  <c r="AD364" i="25"/>
  <c r="AD357" i="25"/>
  <c r="AD350" i="25"/>
  <c r="AD343" i="25"/>
  <c r="AD336" i="25"/>
  <c r="AD386" i="25"/>
  <c r="AD379" i="25"/>
  <c r="AD372" i="25"/>
  <c r="AD365" i="25"/>
  <c r="AD358" i="25"/>
  <c r="AD351" i="25"/>
  <c r="AD344" i="25"/>
  <c r="AD337" i="25"/>
  <c r="V386" i="25"/>
  <c r="V379" i="25"/>
  <c r="V372" i="25"/>
  <c r="V365" i="25"/>
  <c r="V358" i="25"/>
  <c r="V351" i="25"/>
  <c r="V344" i="25"/>
  <c r="V337" i="25"/>
  <c r="V330" i="25"/>
  <c r="V323" i="25"/>
  <c r="V316" i="25"/>
  <c r="V309" i="25"/>
  <c r="V302" i="25"/>
  <c r="V295" i="25"/>
  <c r="V288" i="25"/>
  <c r="V281" i="25"/>
  <c r="V274" i="25"/>
  <c r="V267" i="25"/>
  <c r="V260" i="25"/>
  <c r="V253" i="25"/>
  <c r="V246" i="25"/>
  <c r="V239" i="25"/>
  <c r="V232" i="25"/>
  <c r="V226" i="25"/>
  <c r="AH385" i="25"/>
  <c r="AH378" i="25"/>
  <c r="AH371" i="25"/>
  <c r="AH364" i="25"/>
  <c r="AH357" i="25"/>
  <c r="AH350" i="25"/>
  <c r="AH343" i="25"/>
  <c r="AH336" i="25"/>
  <c r="AH329" i="25"/>
  <c r="AH322" i="25"/>
  <c r="AH315" i="25"/>
  <c r="AH308" i="25"/>
  <c r="AH301" i="25"/>
  <c r="AH294" i="25"/>
  <c r="AH287" i="25"/>
  <c r="AH280" i="25"/>
  <c r="AH273" i="25"/>
  <c r="AH266" i="25"/>
  <c r="AH259" i="25"/>
  <c r="AH252" i="25"/>
  <c r="AH245" i="25"/>
  <c r="AH238" i="25"/>
  <c r="AH231" i="25"/>
  <c r="AH225" i="25"/>
  <c r="S385" i="25"/>
  <c r="S378" i="25"/>
  <c r="S371" i="25"/>
  <c r="S364" i="25"/>
  <c r="S357" i="25"/>
  <c r="S350" i="25"/>
  <c r="S343" i="25"/>
  <c r="S336" i="25"/>
  <c r="S329" i="25"/>
  <c r="S322" i="25"/>
  <c r="S315" i="25"/>
  <c r="S308" i="25"/>
  <c r="S301" i="25"/>
  <c r="S294" i="25"/>
  <c r="S287" i="25"/>
  <c r="S280" i="25"/>
  <c r="S273" i="25"/>
  <c r="S266" i="25"/>
  <c r="S259" i="25"/>
  <c r="S252" i="25"/>
  <c r="S245" i="25"/>
  <c r="S238" i="25"/>
  <c r="S231" i="25"/>
  <c r="S225" i="25"/>
  <c r="V224" i="25"/>
  <c r="V217" i="25"/>
  <c r="V210" i="25"/>
  <c r="V203" i="25"/>
  <c r="V196" i="25"/>
  <c r="V189" i="25"/>
  <c r="V182" i="25"/>
  <c r="V175" i="25"/>
  <c r="V168" i="25"/>
  <c r="V161" i="25"/>
  <c r="V154" i="25"/>
  <c r="V147" i="25"/>
  <c r="V140" i="25"/>
  <c r="V133" i="25"/>
  <c r="V126" i="25"/>
  <c r="AB223" i="25"/>
  <c r="AB216" i="25"/>
  <c r="AB209" i="25"/>
  <c r="AB202" i="25"/>
  <c r="AB195" i="25"/>
  <c r="AB188" i="25"/>
  <c r="AB181" i="25"/>
  <c r="AB174" i="25"/>
  <c r="AB167" i="25"/>
  <c r="AB160" i="25"/>
  <c r="AB153" i="25"/>
  <c r="AB146" i="25"/>
  <c r="AB139" i="25"/>
  <c r="AB132" i="25"/>
  <c r="AB125" i="25"/>
  <c r="AA223" i="25"/>
  <c r="AA216" i="25"/>
  <c r="AA209" i="25"/>
  <c r="AA202" i="25"/>
  <c r="AA195" i="25"/>
  <c r="AA188" i="25"/>
  <c r="AA181" i="25"/>
  <c r="AA174" i="25"/>
  <c r="AA167" i="25"/>
  <c r="AA160" i="25"/>
  <c r="AA153" i="25"/>
  <c r="AA146" i="25"/>
  <c r="AA139" i="25"/>
  <c r="AA132" i="25"/>
  <c r="AA125" i="25"/>
  <c r="S223" i="25"/>
  <c r="S216" i="25"/>
  <c r="S209" i="25"/>
  <c r="S202" i="25"/>
  <c r="S195" i="25"/>
  <c r="S188" i="25"/>
  <c r="S181" i="25"/>
  <c r="S174" i="25"/>
  <c r="S167" i="25"/>
  <c r="S160" i="25"/>
  <c r="S153" i="25"/>
  <c r="S146" i="25"/>
  <c r="S139" i="25"/>
  <c r="S132" i="25"/>
  <c r="S125" i="25"/>
  <c r="V119" i="25"/>
  <c r="V222" i="25"/>
  <c r="V215" i="25"/>
  <c r="V208" i="25"/>
  <c r="V201" i="25"/>
  <c r="V194" i="25"/>
  <c r="V187" i="25"/>
  <c r="V180" i="25"/>
  <c r="V173" i="25"/>
  <c r="V166" i="25"/>
  <c r="V159" i="25"/>
  <c r="V152" i="25"/>
  <c r="V145" i="25"/>
  <c r="V138" i="25"/>
  <c r="V131" i="25"/>
  <c r="V124" i="25"/>
  <c r="S221" i="25"/>
  <c r="S214" i="25"/>
  <c r="S207" i="25"/>
  <c r="S200" i="25"/>
  <c r="S193" i="25"/>
  <c r="S186" i="25"/>
  <c r="S179" i="25"/>
  <c r="S172" i="25"/>
  <c r="S165" i="25"/>
  <c r="S158" i="25"/>
  <c r="S151" i="25"/>
  <c r="S144" i="25"/>
  <c r="S137" i="25"/>
  <c r="S130" i="25"/>
  <c r="S123" i="25"/>
  <c r="V117" i="25"/>
  <c r="V219" i="25"/>
  <c r="V212" i="25"/>
  <c r="V205" i="25"/>
  <c r="V198" i="25"/>
  <c r="V191" i="25"/>
  <c r="V184" i="25"/>
  <c r="V177" i="25"/>
  <c r="V170" i="25"/>
  <c r="V163" i="25"/>
  <c r="V156" i="25"/>
  <c r="V149" i="25"/>
  <c r="V142" i="25"/>
  <c r="V135" i="25"/>
  <c r="V128" i="25"/>
  <c r="V121" i="25"/>
  <c r="V115" i="25"/>
  <c r="S220" i="25"/>
  <c r="S213" i="25"/>
  <c r="S206" i="25"/>
  <c r="S199" i="25"/>
  <c r="S192" i="25"/>
  <c r="S185" i="25"/>
  <c r="S178" i="25"/>
  <c r="S171" i="25"/>
  <c r="S164" i="25"/>
  <c r="S157" i="25"/>
  <c r="S150" i="25"/>
  <c r="S143" i="25"/>
  <c r="S136" i="25"/>
  <c r="S129" i="25"/>
  <c r="S122" i="25"/>
  <c r="S116" i="25"/>
  <c r="S218" i="25"/>
  <c r="S211" i="25"/>
  <c r="S204" i="25"/>
  <c r="S197" i="25"/>
  <c r="S190" i="25"/>
  <c r="S183" i="25"/>
  <c r="S176" i="25"/>
  <c r="S169" i="25"/>
  <c r="S162" i="25"/>
  <c r="S155" i="25"/>
  <c r="S148" i="25"/>
  <c r="S141" i="25"/>
  <c r="S134" i="25"/>
  <c r="S127" i="25"/>
  <c r="S120" i="25"/>
  <c r="S114" i="25"/>
  <c r="V113" i="25"/>
  <c r="V106" i="25"/>
  <c r="V99" i="25"/>
  <c r="V92" i="25"/>
  <c r="V85" i="25"/>
  <c r="V78" i="25"/>
  <c r="V71" i="25"/>
  <c r="V64" i="25"/>
  <c r="V57" i="25"/>
  <c r="V50" i="25"/>
  <c r="V43" i="25"/>
  <c r="V36" i="25"/>
  <c r="V29" i="25"/>
  <c r="V22" i="25"/>
  <c r="V15" i="25"/>
  <c r="X112" i="25"/>
  <c r="X105" i="25"/>
  <c r="X98" i="25"/>
  <c r="X91" i="25"/>
  <c r="X84" i="25"/>
  <c r="X77" i="25"/>
  <c r="X70" i="25"/>
  <c r="X63" i="25"/>
  <c r="X56" i="25"/>
  <c r="X49" i="25"/>
  <c r="X42" i="25"/>
  <c r="X35" i="25"/>
  <c r="X28" i="25"/>
  <c r="X21" i="25"/>
  <c r="X14" i="25"/>
  <c r="V112" i="25"/>
  <c r="V105" i="25"/>
  <c r="V98" i="25"/>
  <c r="V91" i="25"/>
  <c r="V84" i="25"/>
  <c r="V77" i="25"/>
  <c r="V70" i="25"/>
  <c r="V63" i="25"/>
  <c r="V56" i="25"/>
  <c r="V49" i="25"/>
  <c r="V42" i="25"/>
  <c r="V35" i="25"/>
  <c r="V28" i="25"/>
  <c r="V21" i="25"/>
  <c r="V14" i="25"/>
  <c r="S112" i="25"/>
  <c r="S105" i="25"/>
  <c r="S98" i="25"/>
  <c r="S91" i="25"/>
  <c r="S84" i="25"/>
  <c r="S77" i="25"/>
  <c r="S70" i="25"/>
  <c r="S63" i="25"/>
  <c r="S56" i="25"/>
  <c r="S49" i="25"/>
  <c r="S42" i="25"/>
  <c r="S35" i="25"/>
  <c r="S28" i="25"/>
  <c r="S21" i="25"/>
  <c r="S14" i="25"/>
  <c r="V8" i="25"/>
  <c r="X7" i="25"/>
  <c r="S111" i="25"/>
  <c r="S104" i="25"/>
  <c r="S97" i="25"/>
  <c r="S90" i="25"/>
  <c r="S83" i="25"/>
  <c r="S76" i="25"/>
  <c r="S69" i="25"/>
  <c r="S62" i="25"/>
  <c r="S55" i="25"/>
  <c r="S48" i="25"/>
  <c r="S41" i="25"/>
  <c r="S34" i="25"/>
  <c r="S27" i="25"/>
  <c r="S20" i="25"/>
  <c r="S13" i="25"/>
  <c r="S7" i="25"/>
  <c r="V13" i="25"/>
  <c r="V7" i="25"/>
  <c r="S110" i="25"/>
  <c r="S103" i="25"/>
  <c r="S96" i="25"/>
  <c r="S89" i="25"/>
  <c r="S82" i="25"/>
  <c r="S75" i="25"/>
  <c r="S68" i="25"/>
  <c r="S61" i="25"/>
  <c r="S54" i="25"/>
  <c r="S47" i="25"/>
  <c r="S40" i="25"/>
  <c r="S33" i="25"/>
  <c r="S26" i="25"/>
  <c r="S19" i="25"/>
  <c r="V12" i="25"/>
  <c r="S6" i="25"/>
  <c r="S12" i="25"/>
  <c r="AH4" i="25"/>
  <c r="AH6" i="25"/>
  <c r="T6" i="25"/>
  <c r="T118" i="25"/>
  <c r="T125" i="25"/>
  <c r="T132" i="25"/>
  <c r="T139" i="25"/>
  <c r="T146" i="25"/>
  <c r="T153" i="25"/>
  <c r="T160" i="25"/>
  <c r="T167" i="25"/>
  <c r="T174" i="25"/>
  <c r="T181" i="25"/>
  <c r="T188" i="25"/>
  <c r="T195" i="25"/>
  <c r="T202" i="25"/>
  <c r="T209" i="25"/>
  <c r="T216" i="25"/>
  <c r="T223" i="25"/>
  <c r="T229" i="25"/>
  <c r="T231" i="25"/>
  <c r="T236" i="25"/>
  <c r="T238" i="25"/>
  <c r="T243" i="25"/>
  <c r="T245" i="25"/>
  <c r="T250" i="25"/>
  <c r="T252" i="25"/>
  <c r="T257" i="25"/>
  <c r="T259" i="25"/>
  <c r="T264" i="25"/>
  <c r="T266" i="25"/>
  <c r="T271" i="25"/>
  <c r="T273" i="25"/>
  <c r="T278" i="25"/>
  <c r="T280" i="25"/>
  <c r="T285" i="25"/>
  <c r="T287" i="25"/>
  <c r="T292" i="25"/>
  <c r="T294" i="25"/>
  <c r="T299" i="25"/>
  <c r="T301" i="25"/>
  <c r="T306" i="25"/>
  <c r="T308" i="25"/>
  <c r="T313" i="25"/>
  <c r="T315" i="25"/>
  <c r="T320" i="25"/>
  <c r="T322" i="25"/>
  <c r="T327" i="25"/>
  <c r="T329" i="25"/>
  <c r="T334" i="25"/>
  <c r="T336" i="25"/>
  <c r="T341" i="25"/>
  <c r="T343" i="25"/>
  <c r="T348" i="25"/>
  <c r="T350" i="25"/>
  <c r="T355" i="25"/>
  <c r="T357" i="25"/>
  <c r="T362" i="25"/>
  <c r="T364" i="25"/>
  <c r="T369" i="25"/>
  <c r="T371" i="25"/>
  <c r="T376" i="25"/>
  <c r="T378" i="25"/>
  <c r="T383" i="25"/>
  <c r="T385" i="25"/>
  <c r="T390" i="25"/>
  <c r="T397" i="25"/>
  <c r="T405" i="25"/>
  <c r="T413" i="25"/>
  <c r="T421" i="25"/>
  <c r="T429" i="25"/>
  <c r="T437" i="25"/>
  <c r="T445" i="25"/>
  <c r="T453" i="25"/>
  <c r="T461" i="25"/>
  <c r="T469" i="25"/>
  <c r="T477" i="25"/>
  <c r="T485" i="25"/>
  <c r="T493" i="25"/>
  <c r="T501" i="25"/>
  <c r="T509" i="25"/>
  <c r="T517" i="25"/>
  <c r="T525" i="25"/>
  <c r="T533" i="25"/>
  <c r="T541" i="25"/>
  <c r="T549" i="25"/>
  <c r="T557" i="25"/>
  <c r="T565" i="25"/>
  <c r="T573" i="25"/>
  <c r="T581" i="25"/>
  <c r="AH396" i="25"/>
  <c r="AH234" i="25"/>
  <c r="AH8" i="25"/>
  <c r="AH12" i="25"/>
  <c r="AF581" i="25"/>
  <c r="AF573" i="25"/>
  <c r="AF565" i="25"/>
  <c r="AF557" i="25"/>
  <c r="AF549" i="25"/>
  <c r="AF541" i="25"/>
  <c r="AF533" i="25"/>
  <c r="AF525" i="25"/>
  <c r="AF517" i="25"/>
  <c r="AF509" i="25"/>
  <c r="AF501" i="25"/>
  <c r="AF493" i="25"/>
  <c r="AF485" i="25"/>
  <c r="AF477" i="25"/>
  <c r="AF469" i="25"/>
  <c r="AF461" i="25"/>
  <c r="AF453" i="25"/>
  <c r="AF445" i="25"/>
  <c r="AF437" i="25"/>
  <c r="AF429" i="25"/>
  <c r="AF421" i="25"/>
  <c r="AF413" i="25"/>
  <c r="AF405" i="25"/>
  <c r="AF397" i="25"/>
  <c r="AF390" i="25"/>
  <c r="AF383" i="25"/>
  <c r="AF376" i="25"/>
  <c r="AF369" i="25"/>
  <c r="AF362" i="25"/>
  <c r="AF355" i="25"/>
  <c r="AF348" i="25"/>
  <c r="AF341" i="25"/>
  <c r="AF334" i="25"/>
  <c r="AF327" i="25"/>
  <c r="AF320" i="25"/>
  <c r="AF313" i="25"/>
  <c r="AF306" i="25"/>
  <c r="AF299" i="25"/>
  <c r="AF292" i="25"/>
  <c r="AF285" i="25"/>
  <c r="AF278" i="25"/>
  <c r="AF271" i="25"/>
  <c r="AF264" i="25"/>
  <c r="AF257" i="25"/>
  <c r="AF250" i="25"/>
  <c r="AF243" i="25"/>
  <c r="AF236" i="25"/>
  <c r="AF229" i="25"/>
  <c r="AF579" i="25"/>
  <c r="AF578" i="25"/>
  <c r="AF571" i="25"/>
  <c r="AF570" i="25"/>
  <c r="AF563" i="25"/>
  <c r="AF562" i="25"/>
  <c r="AF555" i="25"/>
  <c r="AF554" i="25"/>
  <c r="AF547" i="25"/>
  <c r="AF546" i="25"/>
  <c r="AF539" i="25"/>
  <c r="AF538" i="25"/>
  <c r="AF531" i="25"/>
  <c r="AF530" i="25"/>
  <c r="AF523" i="25"/>
  <c r="AF522" i="25"/>
  <c r="AF515" i="25"/>
  <c r="AF514" i="25"/>
  <c r="AF507" i="25"/>
  <c r="AF506" i="25"/>
  <c r="AF499" i="25"/>
  <c r="AF498" i="25"/>
  <c r="AF491" i="25"/>
  <c r="AF490" i="25"/>
  <c r="AF483" i="25"/>
  <c r="AF482" i="25"/>
  <c r="AF475" i="25"/>
  <c r="AF474" i="25"/>
  <c r="AF467" i="25"/>
  <c r="AF466" i="25"/>
  <c r="AF459" i="25"/>
  <c r="AF458" i="25"/>
  <c r="AF451" i="25"/>
  <c r="AF450" i="25"/>
  <c r="AF443" i="25"/>
  <c r="AF442" i="25"/>
  <c r="AF435" i="25"/>
  <c r="AF434" i="25"/>
  <c r="AF427" i="25"/>
  <c r="AF426" i="25"/>
  <c r="AF419" i="25"/>
  <c r="AF418" i="25"/>
  <c r="AF411" i="25"/>
  <c r="AF410" i="25"/>
  <c r="AF403" i="25"/>
  <c r="AF402" i="25"/>
  <c r="AF395" i="25"/>
  <c r="AF388" i="25"/>
  <c r="AF387" i="25"/>
  <c r="AF385" i="25"/>
  <c r="AF381" i="25"/>
  <c r="AF380" i="25"/>
  <c r="AF378" i="25"/>
  <c r="AF374" i="25"/>
  <c r="AF373" i="25"/>
  <c r="AF371" i="25"/>
  <c r="AF367" i="25"/>
  <c r="AF366" i="25"/>
  <c r="AF364" i="25"/>
  <c r="AF360" i="25"/>
  <c r="AF359" i="25"/>
  <c r="AF357" i="25"/>
  <c r="AF353" i="25"/>
  <c r="AF352" i="25"/>
  <c r="AF350" i="25"/>
  <c r="AF346" i="25"/>
  <c r="AF345" i="25"/>
  <c r="AF343" i="25"/>
  <c r="AF339" i="25"/>
  <c r="AF338" i="25"/>
  <c r="AF336" i="25"/>
  <c r="AF332" i="25"/>
  <c r="AF331" i="25"/>
  <c r="AF329" i="25"/>
  <c r="AF325" i="25"/>
  <c r="AF324" i="25"/>
  <c r="AF322" i="25"/>
  <c r="AF318" i="25"/>
  <c r="AF317" i="25"/>
  <c r="AF315" i="25"/>
  <c r="AF311" i="25"/>
  <c r="AF310" i="25"/>
  <c r="AF308" i="25"/>
  <c r="AF304" i="25"/>
  <c r="AF303" i="25"/>
  <c r="AF301" i="25"/>
  <c r="AF297" i="25"/>
  <c r="AF296" i="25"/>
  <c r="AF294" i="25"/>
  <c r="AF290" i="25"/>
  <c r="AF289" i="25"/>
  <c r="AF287" i="25"/>
  <c r="AF283" i="25"/>
  <c r="AF282" i="25"/>
  <c r="AF280" i="25"/>
  <c r="AF276" i="25"/>
  <c r="AF275" i="25"/>
  <c r="AF273" i="25"/>
  <c r="AF269" i="25"/>
  <c r="AF268" i="25"/>
  <c r="AF266" i="25"/>
  <c r="AF262" i="25"/>
  <c r="AF261" i="25"/>
  <c r="AF259" i="25"/>
  <c r="AF255" i="25"/>
  <c r="AF254" i="25"/>
  <c r="AF252" i="25"/>
  <c r="AF248" i="25"/>
  <c r="AF247" i="25"/>
  <c r="AF245" i="25"/>
  <c r="AF241" i="25"/>
  <c r="AF240" i="25"/>
  <c r="AF238" i="25"/>
  <c r="AF233" i="25"/>
  <c r="AF231" i="25"/>
  <c r="AF228" i="25"/>
  <c r="AF227" i="25"/>
  <c r="AF225" i="25"/>
  <c r="AF582" i="25"/>
  <c r="AF580" i="25"/>
  <c r="AF576" i="25"/>
  <c r="AF574" i="25"/>
  <c r="AF572" i="25"/>
  <c r="AF568" i="25"/>
  <c r="AF566" i="25"/>
  <c r="AF564" i="25"/>
  <c r="AF560" i="25"/>
  <c r="AF558" i="25"/>
  <c r="AF556" i="25"/>
  <c r="AF552" i="25"/>
  <c r="AF550" i="25"/>
  <c r="AF548" i="25"/>
  <c r="AF544" i="25"/>
  <c r="AF542" i="25"/>
  <c r="AF540" i="25"/>
  <c r="AF536" i="25"/>
  <c r="AF534" i="25"/>
  <c r="AF532" i="25"/>
  <c r="AF528" i="25"/>
  <c r="AF526" i="25"/>
  <c r="AF524" i="25"/>
  <c r="AF520" i="25"/>
  <c r="AF518" i="25"/>
  <c r="AF516" i="25"/>
  <c r="AF512" i="25"/>
  <c r="AF510" i="25"/>
  <c r="AF508" i="25"/>
  <c r="AF504" i="25"/>
  <c r="AF502" i="25"/>
  <c r="AF500" i="25"/>
  <c r="AF496" i="25"/>
  <c r="AF494" i="25"/>
  <c r="AF492" i="25"/>
  <c r="AF488" i="25"/>
  <c r="AF486" i="25"/>
  <c r="AF484" i="25"/>
  <c r="AF480" i="25"/>
  <c r="AF478" i="25"/>
  <c r="AF476" i="25"/>
  <c r="AF472" i="25"/>
  <c r="AF470" i="25"/>
  <c r="AF468" i="25"/>
  <c r="AF464" i="25"/>
  <c r="AF462" i="25"/>
  <c r="AF460" i="25"/>
  <c r="AF456" i="25"/>
  <c r="AF454" i="25"/>
  <c r="AF452" i="25"/>
  <c r="AF448" i="25"/>
  <c r="AF446" i="25"/>
  <c r="AF444" i="25"/>
  <c r="AF440" i="25"/>
  <c r="AF438" i="25"/>
  <c r="AF436" i="25"/>
  <c r="AF432" i="25"/>
  <c r="AF430" i="25"/>
  <c r="AF428" i="25"/>
  <c r="AF424" i="25"/>
  <c r="AF422" i="25"/>
  <c r="AF420" i="25"/>
  <c r="AF416" i="25"/>
  <c r="AF414" i="25"/>
  <c r="AF412" i="25"/>
  <c r="AF408" i="25"/>
  <c r="AF406" i="25"/>
  <c r="AF404" i="25"/>
  <c r="AF400" i="25"/>
  <c r="AF398" i="25"/>
  <c r="AF396" i="25"/>
  <c r="AF393" i="25"/>
  <c r="AF391" i="25"/>
  <c r="AF389" i="25"/>
  <c r="AF384" i="25"/>
  <c r="AF382" i="25"/>
  <c r="AF377" i="25"/>
  <c r="AF375" i="25"/>
  <c r="AF370" i="25"/>
  <c r="AF368" i="25"/>
  <c r="AF363" i="25"/>
  <c r="AF361" i="25"/>
  <c r="AF356" i="25"/>
  <c r="AF354" i="25"/>
  <c r="AF349" i="25"/>
  <c r="AF347" i="25"/>
  <c r="AF342" i="25"/>
  <c r="AF340" i="25"/>
  <c r="AF335" i="25"/>
  <c r="AF333" i="25"/>
  <c r="AF328" i="25"/>
  <c r="AF326" i="25"/>
  <c r="AF321" i="25"/>
  <c r="AF319" i="25"/>
  <c r="AF314" i="25"/>
  <c r="AF312" i="25"/>
  <c r="AF307" i="25"/>
  <c r="AF305" i="25"/>
  <c r="AF300" i="25"/>
  <c r="AF298" i="25"/>
  <c r="AF293" i="25"/>
  <c r="AF291" i="25"/>
  <c r="AF286" i="25"/>
  <c r="AF284" i="25"/>
  <c r="AF279" i="25"/>
  <c r="AF277" i="25"/>
  <c r="AF272" i="25"/>
  <c r="AF270" i="25"/>
  <c r="AF265" i="25"/>
  <c r="AF263" i="25"/>
  <c r="AF258" i="25"/>
  <c r="AF256" i="25"/>
  <c r="AF251" i="25"/>
  <c r="AF249" i="25"/>
  <c r="AF244" i="25"/>
  <c r="AF242" i="25"/>
  <c r="AF237" i="25"/>
  <c r="AF235" i="25"/>
  <c r="AF234" i="25"/>
  <c r="AF230" i="25"/>
  <c r="AF226" i="25"/>
  <c r="AF577" i="25"/>
  <c r="AF575" i="25"/>
  <c r="AF569" i="25"/>
  <c r="AF567" i="25"/>
  <c r="AF561" i="25"/>
  <c r="AF559" i="25"/>
  <c r="AF553" i="25"/>
  <c r="AF551" i="25"/>
  <c r="AF545" i="25"/>
  <c r="AF543" i="25"/>
  <c r="AF537" i="25"/>
  <c r="AF535" i="25"/>
  <c r="AF529" i="25"/>
  <c r="AF527" i="25"/>
  <c r="AF521" i="25"/>
  <c r="AF519" i="25"/>
  <c r="AF513" i="25"/>
  <c r="AF511" i="25"/>
  <c r="AF505" i="25"/>
  <c r="AF503" i="25"/>
  <c r="AF497" i="25"/>
  <c r="AF495" i="25"/>
  <c r="AF489" i="25"/>
  <c r="AF487" i="25"/>
  <c r="AF481" i="25"/>
  <c r="AF479" i="25"/>
  <c r="AF473" i="25"/>
  <c r="AF471" i="25"/>
  <c r="AF465" i="25"/>
  <c r="AF463" i="25"/>
  <c r="AF457" i="25"/>
  <c r="AF455" i="25"/>
  <c r="AF449" i="25"/>
  <c r="AF447" i="25"/>
  <c r="AF441" i="25"/>
  <c r="AF439" i="25"/>
  <c r="AF433" i="25"/>
  <c r="AF431" i="25"/>
  <c r="AF425" i="25"/>
  <c r="AF423" i="25"/>
  <c r="AF417" i="25"/>
  <c r="AF415" i="25"/>
  <c r="AF409" i="25"/>
  <c r="AF407" i="25"/>
  <c r="AF401" i="25"/>
  <c r="AF399" i="25"/>
  <c r="AF394" i="25"/>
  <c r="AF392" i="25"/>
  <c r="AF386" i="25"/>
  <c r="AF379" i="25"/>
  <c r="AF372" i="25"/>
  <c r="AF365" i="25"/>
  <c r="AF358" i="25"/>
  <c r="AF351" i="25"/>
  <c r="AF344" i="25"/>
  <c r="AF337" i="25"/>
  <c r="AF330" i="25"/>
  <c r="AF323" i="25"/>
  <c r="AF316" i="25"/>
  <c r="AF309" i="25"/>
  <c r="AF302" i="25"/>
  <c r="AF295" i="25"/>
  <c r="AF288" i="25"/>
  <c r="AF281" i="25"/>
  <c r="AF274" i="25"/>
  <c r="AF267" i="25"/>
  <c r="AF260" i="25"/>
  <c r="AF253" i="25"/>
  <c r="AF246" i="25"/>
  <c r="AF239" i="25"/>
  <c r="AF232" i="25"/>
  <c r="AE397" i="25"/>
  <c r="AE229" i="25"/>
  <c r="AE395" i="25"/>
  <c r="AE228" i="25"/>
  <c r="AE227" i="25"/>
  <c r="AE225" i="25"/>
  <c r="AE119" i="25"/>
  <c r="AE118" i="25"/>
  <c r="AE116" i="25"/>
  <c r="AE114" i="25"/>
  <c r="AE7" i="25"/>
  <c r="AE6" i="25"/>
  <c r="AE4" i="25"/>
  <c r="AE398" i="25"/>
  <c r="AE396" i="25"/>
  <c r="AE393" i="25"/>
  <c r="AE230" i="25"/>
  <c r="AE117" i="25"/>
  <c r="AE8" i="25"/>
  <c r="AE5" i="25"/>
  <c r="AE3" i="25"/>
  <c r="AE394" i="25"/>
  <c r="AE392" i="25"/>
  <c r="AE226" i="25"/>
  <c r="AE115" i="25"/>
  <c r="I572" i="3" l="1"/>
  <c r="I10" i="3"/>
  <c r="I9" i="3"/>
  <c r="W257" i="25"/>
  <c r="W243" i="25"/>
  <c r="W383" i="25"/>
  <c r="W369" i="25"/>
  <c r="W355" i="25"/>
  <c r="W341" i="25"/>
  <c r="W327" i="25"/>
  <c r="W313" i="25"/>
  <c r="W299" i="25"/>
  <c r="W285" i="25"/>
  <c r="W271" i="25"/>
  <c r="S9" i="3" l="1"/>
  <c r="S10" i="3"/>
  <c r="S572" i="3"/>
  <c r="AG558" i="25"/>
  <c r="AG140" i="25"/>
  <c r="AG203" i="25"/>
  <c r="AG8" i="25"/>
  <c r="AG15" i="25"/>
  <c r="AG22" i="25"/>
  <c r="AG29" i="25"/>
  <c r="AG36" i="25"/>
  <c r="AG43" i="25"/>
  <c r="AG50" i="25"/>
  <c r="AG57" i="25"/>
  <c r="AG64" i="25"/>
  <c r="AG71" i="25"/>
  <c r="AG78" i="25"/>
  <c r="AG85" i="25"/>
  <c r="AG92" i="25"/>
  <c r="AG99" i="25"/>
  <c r="AG106" i="25"/>
  <c r="AG113" i="25"/>
  <c r="AG126" i="25"/>
  <c r="AG133" i="25"/>
  <c r="AG147" i="25"/>
  <c r="AG154" i="25"/>
  <c r="AG161" i="25"/>
  <c r="AG168" i="25"/>
  <c r="AG175" i="25"/>
  <c r="AG182" i="25"/>
  <c r="AG189" i="25"/>
  <c r="AG196" i="25"/>
  <c r="AG210" i="25"/>
  <c r="AG217" i="25"/>
  <c r="AG224" i="25"/>
  <c r="AG230" i="25"/>
  <c r="AG237" i="25"/>
  <c r="AG244" i="25"/>
  <c r="AG251" i="25"/>
  <c r="AG258" i="25"/>
  <c r="AG265" i="25"/>
  <c r="AG272" i="25"/>
  <c r="AG279" i="25"/>
  <c r="AG286" i="25"/>
  <c r="AG293" i="25"/>
  <c r="AG300" i="25"/>
  <c r="AG307" i="25"/>
  <c r="AG314" i="25"/>
  <c r="AG321" i="25"/>
  <c r="AG328" i="25"/>
  <c r="AG335" i="25"/>
  <c r="AG342" i="25"/>
  <c r="AG349" i="25"/>
  <c r="AG356" i="25"/>
  <c r="AG363" i="25"/>
  <c r="AG370" i="25"/>
  <c r="AG377" i="25"/>
  <c r="AG384" i="25"/>
  <c r="AG391" i="25"/>
  <c r="AG398" i="25"/>
  <c r="AG406" i="25"/>
  <c r="AG414" i="25"/>
  <c r="AG422" i="25"/>
  <c r="AG430" i="25"/>
  <c r="AG438" i="25"/>
  <c r="AG446" i="25"/>
  <c r="AG454" i="25"/>
  <c r="AG462" i="25"/>
  <c r="AG470" i="25"/>
  <c r="AG478" i="25"/>
  <c r="AG486" i="25"/>
  <c r="AG494" i="25"/>
  <c r="AG502" i="25"/>
  <c r="AG510" i="25"/>
  <c r="AG518" i="25"/>
  <c r="AG526" i="25"/>
  <c r="AG534" i="25"/>
  <c r="AG542" i="25"/>
  <c r="AG550" i="25"/>
  <c r="AG566" i="25"/>
  <c r="AG574" i="25"/>
  <c r="AG582" i="25"/>
  <c r="B11" i="26"/>
  <c r="C11" i="26"/>
  <c r="D11" i="26"/>
  <c r="E11" i="26"/>
  <c r="B12" i="26"/>
  <c r="C12" i="26"/>
  <c r="D12" i="26"/>
  <c r="E12" i="26"/>
  <c r="B13" i="26"/>
  <c r="C13" i="26"/>
  <c r="D13" i="26"/>
  <c r="E13" i="26"/>
  <c r="E10" i="26"/>
  <c r="D10" i="26"/>
  <c r="C10" i="26"/>
  <c r="B10" i="26"/>
  <c r="AD579" i="25"/>
  <c r="AD578" i="25"/>
  <c r="AD571" i="25"/>
  <c r="AD570" i="25"/>
  <c r="AD563" i="25"/>
  <c r="AD562" i="25"/>
  <c r="AD555" i="25"/>
  <c r="AD554" i="25"/>
  <c r="AD547" i="25"/>
  <c r="AD546" i="25"/>
  <c r="AD539" i="25"/>
  <c r="AD538" i="25"/>
  <c r="AD531" i="25"/>
  <c r="AD530" i="25"/>
  <c r="AD523" i="25"/>
  <c r="AD522" i="25"/>
  <c r="AD515" i="25"/>
  <c r="AD514" i="25"/>
  <c r="AD507" i="25"/>
  <c r="AD506" i="25"/>
  <c r="AD499" i="25"/>
  <c r="AD498" i="25"/>
  <c r="AD491" i="25"/>
  <c r="AD490" i="25"/>
  <c r="AD483" i="25"/>
  <c r="AD482" i="25"/>
  <c r="AD475" i="25"/>
  <c r="AD474" i="25"/>
  <c r="AD467" i="25"/>
  <c r="AD466" i="25"/>
  <c r="AD459" i="25"/>
  <c r="AD458" i="25"/>
  <c r="AD451" i="25"/>
  <c r="AD450" i="25"/>
  <c r="AD443" i="25"/>
  <c r="AD442" i="25"/>
  <c r="AD435" i="25"/>
  <c r="AD434" i="25"/>
  <c r="AD427" i="25"/>
  <c r="AD426" i="25"/>
  <c r="AD419" i="25"/>
  <c r="AD418" i="25"/>
  <c r="AD411" i="25"/>
  <c r="AD410" i="25"/>
  <c r="AD403" i="25"/>
  <c r="AD402" i="25"/>
  <c r="AD395" i="25"/>
  <c r="AD582" i="25"/>
  <c r="AD580" i="25"/>
  <c r="AD576" i="25"/>
  <c r="AD574" i="25"/>
  <c r="AD572" i="25"/>
  <c r="AD568" i="25"/>
  <c r="AD566" i="25"/>
  <c r="AD564" i="25"/>
  <c r="AD560" i="25"/>
  <c r="AD558" i="25"/>
  <c r="AD556" i="25"/>
  <c r="AD552" i="25"/>
  <c r="AD550" i="25"/>
  <c r="AD548" i="25"/>
  <c r="AD544" i="25"/>
  <c r="AD542" i="25"/>
  <c r="AD540" i="25"/>
  <c r="AD536" i="25"/>
  <c r="AD534" i="25"/>
  <c r="AD532" i="25"/>
  <c r="AD528" i="25"/>
  <c r="AD526" i="25"/>
  <c r="AD524" i="25"/>
  <c r="AD520" i="25"/>
  <c r="AD518" i="25"/>
  <c r="AD516" i="25"/>
  <c r="AD512" i="25"/>
  <c r="AD510" i="25"/>
  <c r="AD508" i="25"/>
  <c r="AD504" i="25"/>
  <c r="AD502" i="25"/>
  <c r="AD500" i="25"/>
  <c r="AD496" i="25"/>
  <c r="AD494" i="25"/>
  <c r="AD492" i="25"/>
  <c r="AD488" i="25"/>
  <c r="AD486" i="25"/>
  <c r="AD484" i="25"/>
  <c r="AD480" i="25"/>
  <c r="AD478" i="25"/>
  <c r="AD476" i="25"/>
  <c r="AD472" i="25"/>
  <c r="AD470" i="25"/>
  <c r="AD468" i="25"/>
  <c r="AD464" i="25"/>
  <c r="AD462" i="25"/>
  <c r="AD460" i="25"/>
  <c r="AD456" i="25"/>
  <c r="AD454" i="25"/>
  <c r="AD452" i="25"/>
  <c r="AD448" i="25"/>
  <c r="AD446" i="25"/>
  <c r="AD444" i="25"/>
  <c r="AD440" i="25"/>
  <c r="AD438" i="25"/>
  <c r="AD436" i="25"/>
  <c r="AD432" i="25"/>
  <c r="AD430" i="25"/>
  <c r="AD428" i="25"/>
  <c r="AD424" i="25"/>
  <c r="AD422" i="25"/>
  <c r="AD420" i="25"/>
  <c r="AD416" i="25"/>
  <c r="AD414" i="25"/>
  <c r="AD412" i="25"/>
  <c r="AD408" i="25"/>
  <c r="AD406" i="25"/>
  <c r="AD404" i="25"/>
  <c r="AD400" i="25"/>
  <c r="AD398" i="25"/>
  <c r="AD396" i="25"/>
  <c r="AD393" i="25"/>
  <c r="AD577" i="25"/>
  <c r="AD575" i="25"/>
  <c r="AD569" i="25"/>
  <c r="AD567" i="25"/>
  <c r="AD561" i="25"/>
  <c r="AD559" i="25"/>
  <c r="AD553" i="25"/>
  <c r="AD551" i="25"/>
  <c r="AD545" i="25"/>
  <c r="AD543" i="25"/>
  <c r="AD537" i="25"/>
  <c r="AD535" i="25"/>
  <c r="AD529" i="25"/>
  <c r="AD527" i="25"/>
  <c r="AD521" i="25"/>
  <c r="AD519" i="25"/>
  <c r="AD513" i="25"/>
  <c r="AD511" i="25"/>
  <c r="AD505" i="25"/>
  <c r="AD503" i="25"/>
  <c r="AD497" i="25"/>
  <c r="AD495" i="25"/>
  <c r="AD489" i="25"/>
  <c r="AD487" i="25"/>
  <c r="AD481" i="25"/>
  <c r="AD479" i="25"/>
  <c r="AD473" i="25"/>
  <c r="AD471" i="25"/>
  <c r="AD465" i="25"/>
  <c r="AD463" i="25"/>
  <c r="AD457" i="25"/>
  <c r="AD455" i="25"/>
  <c r="AD449" i="25"/>
  <c r="AD447" i="25"/>
  <c r="AD441" i="25"/>
  <c r="AD439" i="25"/>
  <c r="AD433" i="25"/>
  <c r="AD431" i="25"/>
  <c r="AD425" i="25"/>
  <c r="AD423" i="25"/>
  <c r="AD417" i="25"/>
  <c r="AD415" i="25"/>
  <c r="AD409" i="25"/>
  <c r="AD407" i="25"/>
  <c r="AD401" i="25"/>
  <c r="AD399" i="25"/>
  <c r="AD394" i="25"/>
  <c r="AD392" i="25"/>
  <c r="AD388" i="25"/>
  <c r="AD387" i="25"/>
  <c r="AD381" i="25"/>
  <c r="AD380" i="25"/>
  <c r="AD374" i="25"/>
  <c r="AD373" i="25"/>
  <c r="AD367" i="25"/>
  <c r="AD366" i="25"/>
  <c r="AD360" i="25"/>
  <c r="AD359" i="25"/>
  <c r="AD353" i="25"/>
  <c r="AD352" i="25"/>
  <c r="AD346" i="25"/>
  <c r="AD345" i="25"/>
  <c r="AD339" i="25"/>
  <c r="AD338" i="25"/>
  <c r="AD332" i="25"/>
  <c r="AD331" i="25"/>
  <c r="AD329" i="25"/>
  <c r="AD325" i="25"/>
  <c r="AD324" i="25"/>
  <c r="AD322" i="25"/>
  <c r="AD318" i="25"/>
  <c r="AD317" i="25"/>
  <c r="AD315" i="25"/>
  <c r="AD311" i="25"/>
  <c r="AD310" i="25"/>
  <c r="AD308" i="25"/>
  <c r="AD304" i="25"/>
  <c r="AD303" i="25"/>
  <c r="AD301" i="25"/>
  <c r="AD297" i="25"/>
  <c r="AD296" i="25"/>
  <c r="AD294" i="25"/>
  <c r="AD290" i="25"/>
  <c r="AD289" i="25"/>
  <c r="AD287" i="25"/>
  <c r="AD283" i="25"/>
  <c r="AD282" i="25"/>
  <c r="AD280" i="25"/>
  <c r="AD276" i="25"/>
  <c r="AD275" i="25"/>
  <c r="AD273" i="25"/>
  <c r="AD269" i="25"/>
  <c r="AD268" i="25"/>
  <c r="AD266" i="25"/>
  <c r="AD262" i="25"/>
  <c r="AD261" i="25"/>
  <c r="AD259" i="25"/>
  <c r="AD255" i="25"/>
  <c r="AD254" i="25"/>
  <c r="AD252" i="25"/>
  <c r="AD248" i="25"/>
  <c r="AD247" i="25"/>
  <c r="AD245" i="25"/>
  <c r="AD241" i="25"/>
  <c r="AD240" i="25"/>
  <c r="AD238" i="25"/>
  <c r="AD233" i="25"/>
  <c r="AD231" i="25"/>
  <c r="AD227" i="25"/>
  <c r="AD225" i="25"/>
  <c r="AD391" i="25"/>
  <c r="AD389" i="25"/>
  <c r="AD384" i="25"/>
  <c r="AD382" i="25"/>
  <c r="AD377" i="25"/>
  <c r="AD375" i="25"/>
  <c r="AD370" i="25"/>
  <c r="AD368" i="25"/>
  <c r="AD363" i="25"/>
  <c r="AD361" i="25"/>
  <c r="AD356" i="25"/>
  <c r="AD354" i="25"/>
  <c r="AD349" i="25"/>
  <c r="AD347" i="25"/>
  <c r="AD342" i="25"/>
  <c r="AD340" i="25"/>
  <c r="AD335" i="25"/>
  <c r="AD333" i="25"/>
  <c r="AD328" i="25"/>
  <c r="AD326" i="25"/>
  <c r="AD321" i="25"/>
  <c r="AD319" i="25"/>
  <c r="AD314" i="25"/>
  <c r="AD312" i="25"/>
  <c r="AD307" i="25"/>
  <c r="AD305" i="25"/>
  <c r="AD300" i="25"/>
  <c r="AD298" i="25"/>
  <c r="AD293" i="25"/>
  <c r="AD291" i="25"/>
  <c r="AD286" i="25"/>
  <c r="AD284" i="25"/>
  <c r="AD279" i="25"/>
  <c r="AD277" i="25"/>
  <c r="AD272" i="25"/>
  <c r="AD270" i="25"/>
  <c r="AD265" i="25"/>
  <c r="AD263" i="25"/>
  <c r="AD258" i="25"/>
  <c r="AD256" i="25"/>
  <c r="AD251" i="25"/>
  <c r="AD249" i="25"/>
  <c r="AD244" i="25"/>
  <c r="AD242" i="25"/>
  <c r="AD237" i="25"/>
  <c r="AD235" i="25"/>
  <c r="AD234" i="25"/>
  <c r="AD230" i="25"/>
  <c r="AD330" i="25"/>
  <c r="AD323" i="25"/>
  <c r="AD316" i="25"/>
  <c r="AD309" i="25"/>
  <c r="AD302" i="25"/>
  <c r="AD295" i="25"/>
  <c r="AD288" i="25"/>
  <c r="AD281" i="25"/>
  <c r="AD274" i="25"/>
  <c r="AD267" i="25"/>
  <c r="AD260" i="25"/>
  <c r="AD253" i="25"/>
  <c r="AD246" i="25"/>
  <c r="AD239" i="25"/>
  <c r="AD232" i="25"/>
  <c r="AD226" i="25"/>
  <c r="AD221" i="25"/>
  <c r="AD220" i="25"/>
  <c r="AD218" i="25"/>
  <c r="AD214" i="25"/>
  <c r="AD213" i="25"/>
  <c r="AD211" i="25"/>
  <c r="AD207" i="25"/>
  <c r="AD206" i="25"/>
  <c r="AD204" i="25"/>
  <c r="AD200" i="25"/>
  <c r="AD199" i="25"/>
  <c r="AD197" i="25"/>
  <c r="AD193" i="25"/>
  <c r="AD192" i="25"/>
  <c r="AD190" i="25"/>
  <c r="AD186" i="25"/>
  <c r="AD185" i="25"/>
  <c r="AD183" i="25"/>
  <c r="AD179" i="25"/>
  <c r="AD178" i="25"/>
  <c r="AD176" i="25"/>
  <c r="AD172" i="25"/>
  <c r="AD171" i="25"/>
  <c r="AD169" i="25"/>
  <c r="AD165" i="25"/>
  <c r="AD164" i="25"/>
  <c r="AD162" i="25"/>
  <c r="AD158" i="25"/>
  <c r="AD157" i="25"/>
  <c r="AD155" i="25"/>
  <c r="AD151" i="25"/>
  <c r="AD150" i="25"/>
  <c r="AD148" i="25"/>
  <c r="AD144" i="25"/>
  <c r="AD143" i="25"/>
  <c r="AD141" i="25"/>
  <c r="AD137" i="25"/>
  <c r="AD136" i="25"/>
  <c r="AD134" i="25"/>
  <c r="AD130" i="25"/>
  <c r="AD129" i="25"/>
  <c r="AD127" i="25"/>
  <c r="AD123" i="25"/>
  <c r="AD122" i="25"/>
  <c r="AD120" i="25"/>
  <c r="AD119" i="25"/>
  <c r="AD118" i="25"/>
  <c r="AD116" i="25"/>
  <c r="AD114" i="25"/>
  <c r="AD224" i="25"/>
  <c r="AD222" i="25"/>
  <c r="AD217" i="25"/>
  <c r="AD215" i="25"/>
  <c r="AD210" i="25"/>
  <c r="AD208" i="25"/>
  <c r="AD203" i="25"/>
  <c r="AD201" i="25"/>
  <c r="AD196" i="25"/>
  <c r="AD194" i="25"/>
  <c r="AD189" i="25"/>
  <c r="AD187" i="25"/>
  <c r="AD182" i="25"/>
  <c r="AD180" i="25"/>
  <c r="AD175" i="25"/>
  <c r="AD173" i="25"/>
  <c r="AD168" i="25"/>
  <c r="AD166" i="25"/>
  <c r="AD161" i="25"/>
  <c r="AD159" i="25"/>
  <c r="AD154" i="25"/>
  <c r="AD152" i="25"/>
  <c r="AD147" i="25"/>
  <c r="AD145" i="25"/>
  <c r="AD140" i="25"/>
  <c r="AD138" i="25"/>
  <c r="AD133" i="25"/>
  <c r="AD131" i="25"/>
  <c r="AD126" i="25"/>
  <c r="AD124" i="25"/>
  <c r="AD117" i="25"/>
  <c r="AD219" i="25"/>
  <c r="AD212" i="25"/>
  <c r="AD205" i="25"/>
  <c r="AD198" i="25"/>
  <c r="AD191" i="25"/>
  <c r="AD184" i="25"/>
  <c r="AD177" i="25"/>
  <c r="AD170" i="25"/>
  <c r="AD163" i="25"/>
  <c r="AD156" i="25"/>
  <c r="AD149" i="25"/>
  <c r="AD142" i="25"/>
  <c r="AD135" i="25"/>
  <c r="AD128" i="25"/>
  <c r="AD121" i="25"/>
  <c r="AD112" i="25"/>
  <c r="AD111" i="25"/>
  <c r="AD110" i="25"/>
  <c r="AD105" i="25"/>
  <c r="AD104" i="25"/>
  <c r="AD103" i="25"/>
  <c r="AD98" i="25"/>
  <c r="AD97" i="25"/>
  <c r="AD96" i="25"/>
  <c r="AD91" i="25"/>
  <c r="AD90" i="25"/>
  <c r="AD89" i="25"/>
  <c r="AD84" i="25"/>
  <c r="AD83" i="25"/>
  <c r="AD82" i="25"/>
  <c r="AD77" i="25"/>
  <c r="AD76" i="25"/>
  <c r="AD75" i="25"/>
  <c r="AD70" i="25"/>
  <c r="AD69" i="25"/>
  <c r="AD68" i="25"/>
  <c r="AD63" i="25"/>
  <c r="AD62" i="25"/>
  <c r="AD61" i="25"/>
  <c r="AD56" i="25"/>
  <c r="AD55" i="25"/>
  <c r="AD54" i="25"/>
  <c r="AD49" i="25"/>
  <c r="AD48" i="25"/>
  <c r="AD47" i="25"/>
  <c r="AD42" i="25"/>
  <c r="AD41" i="25"/>
  <c r="AD40" i="25"/>
  <c r="AD35" i="25"/>
  <c r="AD34" i="25"/>
  <c r="AD33" i="25"/>
  <c r="AD28" i="25"/>
  <c r="AD27" i="25"/>
  <c r="AD26" i="25"/>
  <c r="AD21" i="25"/>
  <c r="AD20" i="25"/>
  <c r="AD19" i="25"/>
  <c r="AD14" i="25"/>
  <c r="AD13" i="25"/>
  <c r="AD7" i="25"/>
  <c r="AD6" i="25"/>
  <c r="AD113" i="25"/>
  <c r="AD109" i="25"/>
  <c r="AD107" i="25"/>
  <c r="AD106" i="25"/>
  <c r="AD102" i="25"/>
  <c r="AD100" i="25"/>
  <c r="AD99" i="25"/>
  <c r="AD95" i="25"/>
  <c r="AD93" i="25"/>
  <c r="AD92" i="25"/>
  <c r="AD88" i="25"/>
  <c r="AD86" i="25"/>
  <c r="AD85" i="25"/>
  <c r="AD81" i="25"/>
  <c r="AD79" i="25"/>
  <c r="AD78" i="25"/>
  <c r="AD74" i="25"/>
  <c r="AD72" i="25"/>
  <c r="AD71" i="25"/>
  <c r="AD67" i="25"/>
  <c r="AD65" i="25"/>
  <c r="AD64" i="25"/>
  <c r="AD60" i="25"/>
  <c r="AD58" i="25"/>
  <c r="AD57" i="25"/>
  <c r="AD53" i="25"/>
  <c r="AD51" i="25"/>
  <c r="AD50" i="25"/>
  <c r="AD46" i="25"/>
  <c r="AD44" i="25"/>
  <c r="AD43" i="25"/>
  <c r="AD39" i="25"/>
  <c r="AD37" i="25"/>
  <c r="AD36" i="25"/>
  <c r="AD32" i="25"/>
  <c r="AD30" i="25"/>
  <c r="AD29" i="25"/>
  <c r="AD25" i="25"/>
  <c r="AD23" i="25"/>
  <c r="AD22" i="25"/>
  <c r="AD18" i="25"/>
  <c r="AD16" i="25"/>
  <c r="AD15" i="25"/>
  <c r="AD12" i="25"/>
  <c r="AD11" i="25"/>
  <c r="AD9" i="25"/>
  <c r="AD8" i="25"/>
  <c r="AD5" i="25"/>
  <c r="AD3" i="25"/>
  <c r="AC581" i="25"/>
  <c r="AC573" i="25"/>
  <c r="AC565" i="25"/>
  <c r="AC557" i="25"/>
  <c r="AC549" i="25"/>
  <c r="AC541" i="25"/>
  <c r="AC533" i="25"/>
  <c r="AC525" i="25"/>
  <c r="AC517" i="25"/>
  <c r="AC509" i="25"/>
  <c r="AC501" i="25"/>
  <c r="AC493" i="25"/>
  <c r="AC485" i="25"/>
  <c r="AC477" i="25"/>
  <c r="AC469" i="25"/>
  <c r="AC461" i="25"/>
  <c r="AC453" i="25"/>
  <c r="AC445" i="25"/>
  <c r="AC437" i="25"/>
  <c r="AC429" i="25"/>
  <c r="AC421" i="25"/>
  <c r="AC413" i="25"/>
  <c r="AC405" i="25"/>
  <c r="AC397" i="25"/>
  <c r="AB118" i="25"/>
  <c r="AB108" i="25"/>
  <c r="AB101" i="25"/>
  <c r="AB94" i="25"/>
  <c r="AB87" i="25"/>
  <c r="AB80" i="25"/>
  <c r="AB73" i="25"/>
  <c r="AB66" i="25"/>
  <c r="AB59" i="25"/>
  <c r="AB52" i="25"/>
  <c r="AB45" i="25"/>
  <c r="AB38" i="25"/>
  <c r="AB31" i="25"/>
  <c r="AB24" i="25"/>
  <c r="AB17" i="25"/>
  <c r="AB10" i="25"/>
  <c r="AB4" i="25"/>
  <c r="AA582" i="25"/>
  <c r="AA574" i="25"/>
  <c r="AA566" i="25"/>
  <c r="AA558" i="25"/>
  <c r="AA550" i="25"/>
  <c r="AA542" i="25"/>
  <c r="AA534" i="25"/>
  <c r="AA526" i="25"/>
  <c r="AA518" i="25"/>
  <c r="AA510" i="25"/>
  <c r="AA502" i="25"/>
  <c r="AA494" i="25"/>
  <c r="AA486" i="25"/>
  <c r="AA478" i="25"/>
  <c r="AA470" i="25"/>
  <c r="AA462" i="25"/>
  <c r="AA454" i="25"/>
  <c r="AA446" i="25"/>
  <c r="AA438" i="25"/>
  <c r="AA430" i="25"/>
  <c r="AA422" i="25"/>
  <c r="AA414" i="25"/>
  <c r="AA406" i="25"/>
  <c r="AA398" i="25"/>
  <c r="AA385" i="25"/>
  <c r="AA378" i="25"/>
  <c r="AA371" i="25"/>
  <c r="AA364" i="25"/>
  <c r="AA357" i="25"/>
  <c r="AA350" i="25"/>
  <c r="AA343" i="25"/>
  <c r="AA336" i="25"/>
  <c r="AA329" i="25"/>
  <c r="AA322" i="25"/>
  <c r="AA315" i="25"/>
  <c r="AA308" i="25"/>
  <c r="AA301" i="25"/>
  <c r="AA294" i="25"/>
  <c r="AA287" i="25"/>
  <c r="AA280" i="25"/>
  <c r="AA273" i="25"/>
  <c r="AA266" i="25"/>
  <c r="AA259" i="25"/>
  <c r="AA252" i="25"/>
  <c r="AA245" i="25"/>
  <c r="AA238" i="25"/>
  <c r="AA231" i="25"/>
  <c r="AA391" i="25"/>
  <c r="AA389" i="25"/>
  <c r="AA384" i="25"/>
  <c r="AA382" i="25"/>
  <c r="AA377" i="25"/>
  <c r="AA375" i="25"/>
  <c r="AA370" i="25"/>
  <c r="AA368" i="25"/>
  <c r="AA363" i="25"/>
  <c r="AA361" i="25"/>
  <c r="AA356" i="25"/>
  <c r="AA354" i="25"/>
  <c r="AA349" i="25"/>
  <c r="AA347" i="25"/>
  <c r="AA342" i="25"/>
  <c r="AA340" i="25"/>
  <c r="AA335" i="25"/>
  <c r="AA333" i="25"/>
  <c r="AA328" i="25"/>
  <c r="AA326" i="25"/>
  <c r="AA321" i="25"/>
  <c r="AA319" i="25"/>
  <c r="AA314" i="25"/>
  <c r="AA312" i="25"/>
  <c r="AA307" i="25"/>
  <c r="AA305" i="25"/>
  <c r="AA300" i="25"/>
  <c r="AA298" i="25"/>
  <c r="AA293" i="25"/>
  <c r="AA291" i="25"/>
  <c r="AA286" i="25"/>
  <c r="AA284" i="25"/>
  <c r="AA279" i="25"/>
  <c r="AA277" i="25"/>
  <c r="AA272" i="25"/>
  <c r="AA270" i="25"/>
  <c r="AA265" i="25"/>
  <c r="AA263" i="25"/>
  <c r="AA258" i="25"/>
  <c r="AA256" i="25"/>
  <c r="AA251" i="25"/>
  <c r="AA249" i="25"/>
  <c r="AA244" i="25"/>
  <c r="AA242" i="25"/>
  <c r="AA237" i="25"/>
  <c r="AA235" i="25"/>
  <c r="AA230" i="25"/>
  <c r="AA224" i="25"/>
  <c r="AA222" i="25"/>
  <c r="AA217" i="25"/>
  <c r="AA215" i="25"/>
  <c r="AA210" i="25"/>
  <c r="AA208" i="25"/>
  <c r="AA203" i="25"/>
  <c r="AA201" i="25"/>
  <c r="AA196" i="25"/>
  <c r="AA194" i="25"/>
  <c r="AA189" i="25"/>
  <c r="AA187" i="25"/>
  <c r="AA182" i="25"/>
  <c r="AA180" i="25"/>
  <c r="AA175" i="25"/>
  <c r="AA173" i="25"/>
  <c r="AA168" i="25"/>
  <c r="AA166" i="25"/>
  <c r="AA161" i="25"/>
  <c r="AA159" i="25"/>
  <c r="AA154" i="25"/>
  <c r="AA152" i="25"/>
  <c r="AA147" i="25"/>
  <c r="AA145" i="25"/>
  <c r="AA140" i="25"/>
  <c r="AA138" i="25"/>
  <c r="AA133" i="25"/>
  <c r="AA131" i="25"/>
  <c r="AA126" i="25"/>
  <c r="AA124" i="25"/>
  <c r="AA117" i="25"/>
  <c r="AA221" i="25"/>
  <c r="AA214" i="25"/>
  <c r="AA207" i="25"/>
  <c r="AA200" i="25"/>
  <c r="AA193" i="25"/>
  <c r="AA186" i="25"/>
  <c r="AA179" i="25"/>
  <c r="AA172" i="25"/>
  <c r="AA165" i="25"/>
  <c r="AA158" i="25"/>
  <c r="AA151" i="25"/>
  <c r="AA144" i="25"/>
  <c r="AA137" i="25"/>
  <c r="AA130" i="25"/>
  <c r="AA123" i="25"/>
  <c r="AA119" i="25"/>
  <c r="AA118" i="25"/>
  <c r="AA6" i="25"/>
  <c r="AA113" i="25"/>
  <c r="AA109" i="25"/>
  <c r="AA107" i="25"/>
  <c r="AA106" i="25"/>
  <c r="AA102" i="25"/>
  <c r="AA100" i="25"/>
  <c r="AA99" i="25"/>
  <c r="AA95" i="25"/>
  <c r="AA93" i="25"/>
  <c r="AA92" i="25"/>
  <c r="AA88" i="25"/>
  <c r="AA86" i="25"/>
  <c r="AA85" i="25"/>
  <c r="AA81" i="25"/>
  <c r="AA79" i="25"/>
  <c r="AA78" i="25"/>
  <c r="AA74" i="25"/>
  <c r="AA72" i="25"/>
  <c r="AA71" i="25"/>
  <c r="AA67" i="25"/>
  <c r="AA65" i="25"/>
  <c r="AA64" i="25"/>
  <c r="AA60" i="25"/>
  <c r="AA58" i="25"/>
  <c r="AA57" i="25"/>
  <c r="AA53" i="25"/>
  <c r="AA51" i="25"/>
  <c r="AA50" i="25"/>
  <c r="AA46" i="25"/>
  <c r="AA44" i="25"/>
  <c r="AA43" i="25"/>
  <c r="AA39" i="25"/>
  <c r="AA37" i="25"/>
  <c r="AA36" i="25"/>
  <c r="AA32" i="25"/>
  <c r="AA30" i="25"/>
  <c r="AA29" i="25"/>
  <c r="AA25" i="25"/>
  <c r="AA23" i="25"/>
  <c r="AA22" i="25"/>
  <c r="AA18" i="25"/>
  <c r="AA16" i="25"/>
  <c r="AA15" i="25"/>
  <c r="AA11" i="25"/>
  <c r="AA9" i="25"/>
  <c r="AA8" i="25"/>
  <c r="AA5" i="25"/>
  <c r="AA3" i="25"/>
  <c r="L18" i="22" l="1"/>
  <c r="J18" i="22"/>
  <c r="K18" i="22"/>
  <c r="F12" i="26"/>
  <c r="F13" i="26"/>
  <c r="F11" i="26"/>
  <c r="F10" i="26"/>
  <c r="Z581" i="25"/>
  <c r="Z573" i="25"/>
  <c r="Z565" i="25"/>
  <c r="Z557" i="25"/>
  <c r="Z549" i="25"/>
  <c r="Z541" i="25"/>
  <c r="Z390" i="25"/>
  <c r="Z383" i="25"/>
  <c r="Z376" i="25"/>
  <c r="Z369" i="25"/>
  <c r="Z362" i="25"/>
  <c r="Z355" i="25"/>
  <c r="Y421" i="25"/>
  <c r="Y413" i="25"/>
  <c r="Y405" i="25"/>
  <c r="Y250" i="25"/>
  <c r="Y243" i="25"/>
  <c r="Y236" i="25"/>
  <c r="Y139" i="25"/>
  <c r="Y132" i="25"/>
  <c r="Y125" i="25"/>
  <c r="X580" i="25"/>
  <c r="X572" i="25"/>
  <c r="X564" i="25"/>
  <c r="X556" i="25"/>
  <c r="X548" i="25"/>
  <c r="X540" i="25"/>
  <c r="X532" i="25"/>
  <c r="X524" i="25"/>
  <c r="X516" i="25"/>
  <c r="X508" i="25"/>
  <c r="X500" i="25"/>
  <c r="X492" i="25"/>
  <c r="X484" i="25"/>
  <c r="X476" i="25"/>
  <c r="X468" i="25"/>
  <c r="X460" i="25"/>
  <c r="X452" i="25"/>
  <c r="X444" i="25"/>
  <c r="X436" i="25"/>
  <c r="X428" i="25"/>
  <c r="X420" i="25"/>
  <c r="X412" i="25"/>
  <c r="X404" i="25"/>
  <c r="X396" i="25"/>
  <c r="X577" i="25"/>
  <c r="X569" i="25"/>
  <c r="X561" i="25"/>
  <c r="X553" i="25"/>
  <c r="X545" i="25"/>
  <c r="X537" i="25"/>
  <c r="X529" i="25"/>
  <c r="X521" i="25"/>
  <c r="X513" i="25"/>
  <c r="X505" i="25"/>
  <c r="X497" i="25"/>
  <c r="X489" i="25"/>
  <c r="X481" i="25"/>
  <c r="X473" i="25"/>
  <c r="X465" i="25"/>
  <c r="X457" i="25"/>
  <c r="X449" i="25"/>
  <c r="X441" i="25"/>
  <c r="X433" i="25"/>
  <c r="X425" i="25"/>
  <c r="X417" i="25"/>
  <c r="X409" i="25"/>
  <c r="X401" i="25"/>
  <c r="X394" i="25"/>
  <c r="X389" i="25"/>
  <c r="X382" i="25"/>
  <c r="X375" i="25"/>
  <c r="X368" i="25"/>
  <c r="X361" i="25"/>
  <c r="X354" i="25"/>
  <c r="X347" i="25"/>
  <c r="X340" i="25"/>
  <c r="X333" i="25"/>
  <c r="X326" i="25"/>
  <c r="X319" i="25"/>
  <c r="X312" i="25"/>
  <c r="X305" i="25"/>
  <c r="X298" i="25"/>
  <c r="X291" i="25"/>
  <c r="X284" i="25"/>
  <c r="X277" i="25"/>
  <c r="X270" i="25"/>
  <c r="X263" i="25"/>
  <c r="X256" i="25"/>
  <c r="X249" i="25"/>
  <c r="X242" i="25"/>
  <c r="X235" i="25"/>
  <c r="X234" i="25"/>
  <c r="X386" i="25"/>
  <c r="X379" i="25"/>
  <c r="X372" i="25"/>
  <c r="X365" i="25"/>
  <c r="X358" i="25"/>
  <c r="X351" i="25"/>
  <c r="X344" i="25"/>
  <c r="X337" i="25"/>
  <c r="X330" i="25"/>
  <c r="X323" i="25"/>
  <c r="X316" i="25"/>
  <c r="X309" i="25"/>
  <c r="X302" i="25"/>
  <c r="X295" i="25"/>
  <c r="X288" i="25"/>
  <c r="X281" i="25"/>
  <c r="X274" i="25"/>
  <c r="X267" i="25"/>
  <c r="X260" i="25"/>
  <c r="X253" i="25"/>
  <c r="X246" i="25"/>
  <c r="X239" i="25"/>
  <c r="X232" i="25"/>
  <c r="X226" i="25"/>
  <c r="X385" i="25"/>
  <c r="X378" i="25"/>
  <c r="X371" i="25"/>
  <c r="X364" i="25"/>
  <c r="X357" i="25"/>
  <c r="X350" i="25"/>
  <c r="X343" i="25"/>
  <c r="X336" i="25"/>
  <c r="X329" i="25"/>
  <c r="X322" i="25"/>
  <c r="X315" i="25"/>
  <c r="X308" i="25"/>
  <c r="X301" i="25"/>
  <c r="X294" i="25"/>
  <c r="X287" i="25"/>
  <c r="X280" i="25"/>
  <c r="X273" i="25"/>
  <c r="X266" i="25"/>
  <c r="X259" i="25"/>
  <c r="X252" i="25"/>
  <c r="X245" i="25"/>
  <c r="X238" i="25"/>
  <c r="X231" i="25"/>
  <c r="X225" i="25"/>
  <c r="X117" i="25"/>
  <c r="X119" i="25"/>
  <c r="X5" i="25"/>
  <c r="X222" i="25"/>
  <c r="X215" i="25"/>
  <c r="X208" i="25"/>
  <c r="X201" i="25"/>
  <c r="X194" i="25"/>
  <c r="X187" i="25"/>
  <c r="X180" i="25"/>
  <c r="X173" i="25"/>
  <c r="X166" i="25"/>
  <c r="X159" i="25"/>
  <c r="X152" i="25"/>
  <c r="X145" i="25"/>
  <c r="X138" i="25"/>
  <c r="X131" i="25"/>
  <c r="X124" i="25"/>
  <c r="X219" i="25"/>
  <c r="X212" i="25"/>
  <c r="X205" i="25"/>
  <c r="X198" i="25"/>
  <c r="X191" i="25"/>
  <c r="X184" i="25"/>
  <c r="X177" i="25"/>
  <c r="X170" i="25"/>
  <c r="X163" i="25"/>
  <c r="X156" i="25"/>
  <c r="X149" i="25"/>
  <c r="X142" i="25"/>
  <c r="X135" i="25"/>
  <c r="X128" i="25"/>
  <c r="X121" i="25"/>
  <c r="X115" i="25"/>
  <c r="X218" i="25"/>
  <c r="X211" i="25"/>
  <c r="X204" i="25"/>
  <c r="X197" i="25"/>
  <c r="X190" i="25"/>
  <c r="X183" i="25"/>
  <c r="X176" i="25"/>
  <c r="X169" i="25"/>
  <c r="X162" i="25"/>
  <c r="X155" i="25"/>
  <c r="X148" i="25"/>
  <c r="X141" i="25"/>
  <c r="X134" i="25"/>
  <c r="X127" i="25"/>
  <c r="X120" i="25"/>
  <c r="X114" i="25"/>
  <c r="X109" i="25"/>
  <c r="X102" i="25"/>
  <c r="X95" i="25"/>
  <c r="X88" i="25"/>
  <c r="X81" i="25"/>
  <c r="X74" i="25"/>
  <c r="X67" i="25"/>
  <c r="X60" i="25"/>
  <c r="X53" i="25"/>
  <c r="X46" i="25"/>
  <c r="X39" i="25"/>
  <c r="X32" i="25"/>
  <c r="X25" i="25"/>
  <c r="X18" i="25"/>
  <c r="X12" i="25"/>
  <c r="X11" i="25"/>
  <c r="E582" i="25"/>
  <c r="D582" i="25"/>
  <c r="C582" i="25"/>
  <c r="B582" i="25"/>
  <c r="E581" i="25"/>
  <c r="D581" i="25"/>
  <c r="C581" i="25"/>
  <c r="B581" i="25"/>
  <c r="E580" i="25"/>
  <c r="D580" i="25"/>
  <c r="C580" i="25"/>
  <c r="B580" i="25"/>
  <c r="E579" i="25"/>
  <c r="D579" i="25"/>
  <c r="C579" i="25"/>
  <c r="B579" i="25"/>
  <c r="E578" i="25"/>
  <c r="D578" i="25"/>
  <c r="C578" i="25"/>
  <c r="B578" i="25"/>
  <c r="E577" i="25"/>
  <c r="D577" i="25"/>
  <c r="C577" i="25"/>
  <c r="B577" i="25"/>
  <c r="E576" i="25"/>
  <c r="D576" i="25"/>
  <c r="C576" i="25"/>
  <c r="B576" i="25"/>
  <c r="E575" i="25"/>
  <c r="D575" i="25"/>
  <c r="C575" i="25"/>
  <c r="B575" i="25"/>
  <c r="E574" i="25"/>
  <c r="D574" i="25"/>
  <c r="C574" i="25"/>
  <c r="B574" i="25"/>
  <c r="E573" i="25"/>
  <c r="D573" i="25"/>
  <c r="C573" i="25"/>
  <c r="B573" i="25"/>
  <c r="E572" i="25"/>
  <c r="D572" i="25"/>
  <c r="C572" i="25"/>
  <c r="B572" i="25"/>
  <c r="E571" i="25"/>
  <c r="D571" i="25"/>
  <c r="C571" i="25"/>
  <c r="B571" i="25"/>
  <c r="E570" i="25"/>
  <c r="D570" i="25"/>
  <c r="C570" i="25"/>
  <c r="B570" i="25"/>
  <c r="E569" i="25"/>
  <c r="D569" i="25"/>
  <c r="C569" i="25"/>
  <c r="B569" i="25"/>
  <c r="E568" i="25"/>
  <c r="D568" i="25"/>
  <c r="C568" i="25"/>
  <c r="B568" i="25"/>
  <c r="E567" i="25"/>
  <c r="D567" i="25"/>
  <c r="C567" i="25"/>
  <c r="B567" i="25"/>
  <c r="E566" i="25"/>
  <c r="D566" i="25"/>
  <c r="C566" i="25"/>
  <c r="B566" i="25"/>
  <c r="E565" i="25"/>
  <c r="D565" i="25"/>
  <c r="C565" i="25"/>
  <c r="B565" i="25"/>
  <c r="E564" i="25"/>
  <c r="D564" i="25"/>
  <c r="C564" i="25"/>
  <c r="B564" i="25"/>
  <c r="E563" i="25"/>
  <c r="D563" i="25"/>
  <c r="C563" i="25"/>
  <c r="B563" i="25"/>
  <c r="E562" i="25"/>
  <c r="D562" i="25"/>
  <c r="C562" i="25"/>
  <c r="B562" i="25"/>
  <c r="E561" i="25"/>
  <c r="D561" i="25"/>
  <c r="C561" i="25"/>
  <c r="B561" i="25"/>
  <c r="E560" i="25"/>
  <c r="D560" i="25"/>
  <c r="C560" i="25"/>
  <c r="B560" i="25"/>
  <c r="E559" i="25"/>
  <c r="D559" i="25"/>
  <c r="C559" i="25"/>
  <c r="B559" i="25"/>
  <c r="E558" i="25"/>
  <c r="D558" i="25"/>
  <c r="C558" i="25"/>
  <c r="B558" i="25"/>
  <c r="E557" i="25"/>
  <c r="D557" i="25"/>
  <c r="C557" i="25"/>
  <c r="B557" i="25"/>
  <c r="E556" i="25"/>
  <c r="D556" i="25"/>
  <c r="C556" i="25"/>
  <c r="B556" i="25"/>
  <c r="E555" i="25"/>
  <c r="D555" i="25"/>
  <c r="C555" i="25"/>
  <c r="B555" i="25"/>
  <c r="E554" i="25"/>
  <c r="D554" i="25"/>
  <c r="C554" i="25"/>
  <c r="B554" i="25"/>
  <c r="E553" i="25"/>
  <c r="D553" i="25"/>
  <c r="C553" i="25"/>
  <c r="B553" i="25"/>
  <c r="E552" i="25"/>
  <c r="D552" i="25"/>
  <c r="C552" i="25"/>
  <c r="B552" i="25"/>
  <c r="E551" i="25"/>
  <c r="D551" i="25"/>
  <c r="C551" i="25"/>
  <c r="B551" i="25"/>
  <c r="E550" i="25"/>
  <c r="D550" i="25"/>
  <c r="C550" i="25"/>
  <c r="B550" i="25"/>
  <c r="E549" i="25"/>
  <c r="D549" i="25"/>
  <c r="C549" i="25"/>
  <c r="B549" i="25"/>
  <c r="E548" i="25"/>
  <c r="D548" i="25"/>
  <c r="C548" i="25"/>
  <c r="B548" i="25"/>
  <c r="E547" i="25"/>
  <c r="D547" i="25"/>
  <c r="C547" i="25"/>
  <c r="B547" i="25"/>
  <c r="E546" i="25"/>
  <c r="D546" i="25"/>
  <c r="C546" i="25"/>
  <c r="B546" i="25"/>
  <c r="E545" i="25"/>
  <c r="D545" i="25"/>
  <c r="C545" i="25"/>
  <c r="B545" i="25"/>
  <c r="E544" i="25"/>
  <c r="D544" i="25"/>
  <c r="C544" i="25"/>
  <c r="B544" i="25"/>
  <c r="E543" i="25"/>
  <c r="D543" i="25"/>
  <c r="C543" i="25"/>
  <c r="B543" i="25"/>
  <c r="E542" i="25"/>
  <c r="D542" i="25"/>
  <c r="C542" i="25"/>
  <c r="B542" i="25"/>
  <c r="E541" i="25"/>
  <c r="D541" i="25"/>
  <c r="C541" i="25"/>
  <c r="B541" i="25"/>
  <c r="E540" i="25"/>
  <c r="D540" i="25"/>
  <c r="C540" i="25"/>
  <c r="B540" i="25"/>
  <c r="E539" i="25"/>
  <c r="D539" i="25"/>
  <c r="C539" i="25"/>
  <c r="B539" i="25"/>
  <c r="E538" i="25"/>
  <c r="D538" i="25"/>
  <c r="C538" i="25"/>
  <c r="B538" i="25"/>
  <c r="E537" i="25"/>
  <c r="D537" i="25"/>
  <c r="C537" i="25"/>
  <c r="B537" i="25"/>
  <c r="E536" i="25"/>
  <c r="D536" i="25"/>
  <c r="C536" i="25"/>
  <c r="B536" i="25"/>
  <c r="E535" i="25"/>
  <c r="D535" i="25"/>
  <c r="C535" i="25"/>
  <c r="B535" i="25"/>
  <c r="E534" i="25"/>
  <c r="D534" i="25"/>
  <c r="C534" i="25"/>
  <c r="B534" i="25"/>
  <c r="E533" i="25"/>
  <c r="D533" i="25"/>
  <c r="C533" i="25"/>
  <c r="B533" i="25"/>
  <c r="E532" i="25"/>
  <c r="D532" i="25"/>
  <c r="C532" i="25"/>
  <c r="B532" i="25"/>
  <c r="E531" i="25"/>
  <c r="D531" i="25"/>
  <c r="C531" i="25"/>
  <c r="B531" i="25"/>
  <c r="E530" i="25"/>
  <c r="D530" i="25"/>
  <c r="C530" i="25"/>
  <c r="B530" i="25"/>
  <c r="E529" i="25"/>
  <c r="D529" i="25"/>
  <c r="C529" i="25"/>
  <c r="B529" i="25"/>
  <c r="E528" i="25"/>
  <c r="D528" i="25"/>
  <c r="C528" i="25"/>
  <c r="B528" i="25"/>
  <c r="E527" i="25"/>
  <c r="D527" i="25"/>
  <c r="C527" i="25"/>
  <c r="B527" i="25"/>
  <c r="E526" i="25"/>
  <c r="D526" i="25"/>
  <c r="C526" i="25"/>
  <c r="B526" i="25"/>
  <c r="E525" i="25"/>
  <c r="D525" i="25"/>
  <c r="C525" i="25"/>
  <c r="B525" i="25"/>
  <c r="E524" i="25"/>
  <c r="D524" i="25"/>
  <c r="C524" i="25"/>
  <c r="B524" i="25"/>
  <c r="E523" i="25"/>
  <c r="D523" i="25"/>
  <c r="C523" i="25"/>
  <c r="B523" i="25"/>
  <c r="E522" i="25"/>
  <c r="D522" i="25"/>
  <c r="C522" i="25"/>
  <c r="B522" i="25"/>
  <c r="E521" i="25"/>
  <c r="D521" i="25"/>
  <c r="C521" i="25"/>
  <c r="B521" i="25"/>
  <c r="E520" i="25"/>
  <c r="D520" i="25"/>
  <c r="C520" i="25"/>
  <c r="B520" i="25"/>
  <c r="E519" i="25"/>
  <c r="D519" i="25"/>
  <c r="C519" i="25"/>
  <c r="B519" i="25"/>
  <c r="E518" i="25"/>
  <c r="D518" i="25"/>
  <c r="C518" i="25"/>
  <c r="B518" i="25"/>
  <c r="E517" i="25"/>
  <c r="D517" i="25"/>
  <c r="C517" i="25"/>
  <c r="B517" i="25"/>
  <c r="E516" i="25"/>
  <c r="D516" i="25"/>
  <c r="C516" i="25"/>
  <c r="B516" i="25"/>
  <c r="E515" i="25"/>
  <c r="D515" i="25"/>
  <c r="C515" i="25"/>
  <c r="B515" i="25"/>
  <c r="E514" i="25"/>
  <c r="D514" i="25"/>
  <c r="C514" i="25"/>
  <c r="B514" i="25"/>
  <c r="E513" i="25"/>
  <c r="D513" i="25"/>
  <c r="C513" i="25"/>
  <c r="B513" i="25"/>
  <c r="E512" i="25"/>
  <c r="D512" i="25"/>
  <c r="C512" i="25"/>
  <c r="B512" i="25"/>
  <c r="E511" i="25"/>
  <c r="D511" i="25"/>
  <c r="C511" i="25"/>
  <c r="B511" i="25"/>
  <c r="E510" i="25"/>
  <c r="D510" i="25"/>
  <c r="C510" i="25"/>
  <c r="B510" i="25"/>
  <c r="E509" i="25"/>
  <c r="D509" i="25"/>
  <c r="C509" i="25"/>
  <c r="B509" i="25"/>
  <c r="E508" i="25"/>
  <c r="D508" i="25"/>
  <c r="C508" i="25"/>
  <c r="B508" i="25"/>
  <c r="E507" i="25"/>
  <c r="D507" i="25"/>
  <c r="C507" i="25"/>
  <c r="B507" i="25"/>
  <c r="E506" i="25"/>
  <c r="D506" i="25"/>
  <c r="C506" i="25"/>
  <c r="B506" i="25"/>
  <c r="E505" i="25"/>
  <c r="D505" i="25"/>
  <c r="C505" i="25"/>
  <c r="B505" i="25"/>
  <c r="E504" i="25"/>
  <c r="D504" i="25"/>
  <c r="C504" i="25"/>
  <c r="B504" i="25"/>
  <c r="E503" i="25"/>
  <c r="D503" i="25"/>
  <c r="C503" i="25"/>
  <c r="B503" i="25"/>
  <c r="E502" i="25"/>
  <c r="D502" i="25"/>
  <c r="C502" i="25"/>
  <c r="B502" i="25"/>
  <c r="E501" i="25"/>
  <c r="D501" i="25"/>
  <c r="C501" i="25"/>
  <c r="B501" i="25"/>
  <c r="E500" i="25"/>
  <c r="D500" i="25"/>
  <c r="C500" i="25"/>
  <c r="B500" i="25"/>
  <c r="E499" i="25"/>
  <c r="D499" i="25"/>
  <c r="C499" i="25"/>
  <c r="B499" i="25"/>
  <c r="E498" i="25"/>
  <c r="D498" i="25"/>
  <c r="C498" i="25"/>
  <c r="B498" i="25"/>
  <c r="E497" i="25"/>
  <c r="D497" i="25"/>
  <c r="C497" i="25"/>
  <c r="B497" i="25"/>
  <c r="E496" i="25"/>
  <c r="D496" i="25"/>
  <c r="C496" i="25"/>
  <c r="B496" i="25"/>
  <c r="E495" i="25"/>
  <c r="D495" i="25"/>
  <c r="C495" i="25"/>
  <c r="B495" i="25"/>
  <c r="E494" i="25"/>
  <c r="D494" i="25"/>
  <c r="C494" i="25"/>
  <c r="B494" i="25"/>
  <c r="E493" i="25"/>
  <c r="D493" i="25"/>
  <c r="C493" i="25"/>
  <c r="B493" i="25"/>
  <c r="E492" i="25"/>
  <c r="D492" i="25"/>
  <c r="C492" i="25"/>
  <c r="B492" i="25"/>
  <c r="E491" i="25"/>
  <c r="D491" i="25"/>
  <c r="C491" i="25"/>
  <c r="B491" i="25"/>
  <c r="E490" i="25"/>
  <c r="D490" i="25"/>
  <c r="C490" i="25"/>
  <c r="B490" i="25"/>
  <c r="E489" i="25"/>
  <c r="D489" i="25"/>
  <c r="C489" i="25"/>
  <c r="B489" i="25"/>
  <c r="E488" i="25"/>
  <c r="D488" i="25"/>
  <c r="C488" i="25"/>
  <c r="B488" i="25"/>
  <c r="E487" i="25"/>
  <c r="D487" i="25"/>
  <c r="C487" i="25"/>
  <c r="B487" i="25"/>
  <c r="E486" i="25"/>
  <c r="D486" i="25"/>
  <c r="C486" i="25"/>
  <c r="B486" i="25"/>
  <c r="E485" i="25"/>
  <c r="D485" i="25"/>
  <c r="C485" i="25"/>
  <c r="B485" i="25"/>
  <c r="E484" i="25"/>
  <c r="D484" i="25"/>
  <c r="C484" i="25"/>
  <c r="B484" i="25"/>
  <c r="E483" i="25"/>
  <c r="D483" i="25"/>
  <c r="C483" i="25"/>
  <c r="B483" i="25"/>
  <c r="E482" i="25"/>
  <c r="D482" i="25"/>
  <c r="C482" i="25"/>
  <c r="B482" i="25"/>
  <c r="E481" i="25"/>
  <c r="D481" i="25"/>
  <c r="C481" i="25"/>
  <c r="B481" i="25"/>
  <c r="E480" i="25"/>
  <c r="D480" i="25"/>
  <c r="C480" i="25"/>
  <c r="B480" i="25"/>
  <c r="E479" i="25"/>
  <c r="D479" i="25"/>
  <c r="C479" i="25"/>
  <c r="B479" i="25"/>
  <c r="E478" i="25"/>
  <c r="D478" i="25"/>
  <c r="C478" i="25"/>
  <c r="B478" i="25"/>
  <c r="E477" i="25"/>
  <c r="D477" i="25"/>
  <c r="C477" i="25"/>
  <c r="B477" i="25"/>
  <c r="E476" i="25"/>
  <c r="D476" i="25"/>
  <c r="C476" i="25"/>
  <c r="B476" i="25"/>
  <c r="E475" i="25"/>
  <c r="D475" i="25"/>
  <c r="C475" i="25"/>
  <c r="B475" i="25"/>
  <c r="E474" i="25"/>
  <c r="D474" i="25"/>
  <c r="C474" i="25"/>
  <c r="B474" i="25"/>
  <c r="E473" i="25"/>
  <c r="D473" i="25"/>
  <c r="C473" i="25"/>
  <c r="B473" i="25"/>
  <c r="E472" i="25"/>
  <c r="D472" i="25"/>
  <c r="C472" i="25"/>
  <c r="B472" i="25"/>
  <c r="E471" i="25"/>
  <c r="D471" i="25"/>
  <c r="C471" i="25"/>
  <c r="B471" i="25"/>
  <c r="E470" i="25"/>
  <c r="D470" i="25"/>
  <c r="C470" i="25"/>
  <c r="B470" i="25"/>
  <c r="E469" i="25"/>
  <c r="D469" i="25"/>
  <c r="C469" i="25"/>
  <c r="B469" i="25"/>
  <c r="E468" i="25"/>
  <c r="D468" i="25"/>
  <c r="C468" i="25"/>
  <c r="B468" i="25"/>
  <c r="E467" i="25"/>
  <c r="D467" i="25"/>
  <c r="C467" i="25"/>
  <c r="B467" i="25"/>
  <c r="E466" i="25"/>
  <c r="D466" i="25"/>
  <c r="C466" i="25"/>
  <c r="B466" i="25"/>
  <c r="E465" i="25"/>
  <c r="D465" i="25"/>
  <c r="C465" i="25"/>
  <c r="B465" i="25"/>
  <c r="E464" i="25"/>
  <c r="D464" i="25"/>
  <c r="C464" i="25"/>
  <c r="B464" i="25"/>
  <c r="E463" i="25"/>
  <c r="D463" i="25"/>
  <c r="C463" i="25"/>
  <c r="B463" i="25"/>
  <c r="E462" i="25"/>
  <c r="D462" i="25"/>
  <c r="C462" i="25"/>
  <c r="B462" i="25"/>
  <c r="E461" i="25"/>
  <c r="D461" i="25"/>
  <c r="C461" i="25"/>
  <c r="B461" i="25"/>
  <c r="E460" i="25"/>
  <c r="D460" i="25"/>
  <c r="C460" i="25"/>
  <c r="B460" i="25"/>
  <c r="E459" i="25"/>
  <c r="D459" i="25"/>
  <c r="C459" i="25"/>
  <c r="B459" i="25"/>
  <c r="E458" i="25"/>
  <c r="D458" i="25"/>
  <c r="C458" i="25"/>
  <c r="B458" i="25"/>
  <c r="E457" i="25"/>
  <c r="D457" i="25"/>
  <c r="C457" i="25"/>
  <c r="B457" i="25"/>
  <c r="E456" i="25"/>
  <c r="D456" i="25"/>
  <c r="C456" i="25"/>
  <c r="B456" i="25"/>
  <c r="E455" i="25"/>
  <c r="D455" i="25"/>
  <c r="C455" i="25"/>
  <c r="B455" i="25"/>
  <c r="E454" i="25"/>
  <c r="D454" i="25"/>
  <c r="C454" i="25"/>
  <c r="B454" i="25"/>
  <c r="E453" i="25"/>
  <c r="D453" i="25"/>
  <c r="C453" i="25"/>
  <c r="B453" i="25"/>
  <c r="E452" i="25"/>
  <c r="D452" i="25"/>
  <c r="C452" i="25"/>
  <c r="B452" i="25"/>
  <c r="E451" i="25"/>
  <c r="D451" i="25"/>
  <c r="C451" i="25"/>
  <c r="B451" i="25"/>
  <c r="E450" i="25"/>
  <c r="D450" i="25"/>
  <c r="C450" i="25"/>
  <c r="B450" i="25"/>
  <c r="E449" i="25"/>
  <c r="D449" i="25"/>
  <c r="C449" i="25"/>
  <c r="B449" i="25"/>
  <c r="E448" i="25"/>
  <c r="D448" i="25"/>
  <c r="C448" i="25"/>
  <c r="B448" i="25"/>
  <c r="E447" i="25"/>
  <c r="D447" i="25"/>
  <c r="C447" i="25"/>
  <c r="B447" i="25"/>
  <c r="E446" i="25"/>
  <c r="D446" i="25"/>
  <c r="C446" i="25"/>
  <c r="B446" i="25"/>
  <c r="E445" i="25"/>
  <c r="D445" i="25"/>
  <c r="C445" i="25"/>
  <c r="B445" i="25"/>
  <c r="E444" i="25"/>
  <c r="D444" i="25"/>
  <c r="C444" i="25"/>
  <c r="B444" i="25"/>
  <c r="E443" i="25"/>
  <c r="D443" i="25"/>
  <c r="C443" i="25"/>
  <c r="B443" i="25"/>
  <c r="E442" i="25"/>
  <c r="D442" i="25"/>
  <c r="C442" i="25"/>
  <c r="B442" i="25"/>
  <c r="E441" i="25"/>
  <c r="D441" i="25"/>
  <c r="C441" i="25"/>
  <c r="B441" i="25"/>
  <c r="E440" i="25"/>
  <c r="D440" i="25"/>
  <c r="C440" i="25"/>
  <c r="B440" i="25"/>
  <c r="E439" i="25"/>
  <c r="D439" i="25"/>
  <c r="C439" i="25"/>
  <c r="B439" i="25"/>
  <c r="E438" i="25"/>
  <c r="D438" i="25"/>
  <c r="C438" i="25"/>
  <c r="B438" i="25"/>
  <c r="E437" i="25"/>
  <c r="D437" i="25"/>
  <c r="C437" i="25"/>
  <c r="B437" i="25"/>
  <c r="E436" i="25"/>
  <c r="D436" i="25"/>
  <c r="C436" i="25"/>
  <c r="B436" i="25"/>
  <c r="E435" i="25"/>
  <c r="D435" i="25"/>
  <c r="C435" i="25"/>
  <c r="B435" i="25"/>
  <c r="E434" i="25"/>
  <c r="D434" i="25"/>
  <c r="C434" i="25"/>
  <c r="B434" i="25"/>
  <c r="E433" i="25"/>
  <c r="D433" i="25"/>
  <c r="C433" i="25"/>
  <c r="B433" i="25"/>
  <c r="E432" i="25"/>
  <c r="D432" i="25"/>
  <c r="C432" i="25"/>
  <c r="B432" i="25"/>
  <c r="E431" i="25"/>
  <c r="D431" i="25"/>
  <c r="C431" i="25"/>
  <c r="B431" i="25"/>
  <c r="E430" i="25"/>
  <c r="D430" i="25"/>
  <c r="C430" i="25"/>
  <c r="B430" i="25"/>
  <c r="E429" i="25"/>
  <c r="D429" i="25"/>
  <c r="C429" i="25"/>
  <c r="B429" i="25"/>
  <c r="E428" i="25"/>
  <c r="D428" i="25"/>
  <c r="C428" i="25"/>
  <c r="B428" i="25"/>
  <c r="E427" i="25"/>
  <c r="D427" i="25"/>
  <c r="C427" i="25"/>
  <c r="B427" i="25"/>
  <c r="E426" i="25"/>
  <c r="D426" i="25"/>
  <c r="C426" i="25"/>
  <c r="B426" i="25"/>
  <c r="E425" i="25"/>
  <c r="D425" i="25"/>
  <c r="C425" i="25"/>
  <c r="B425" i="25"/>
  <c r="E424" i="25"/>
  <c r="D424" i="25"/>
  <c r="C424" i="25"/>
  <c r="B424" i="25"/>
  <c r="E423" i="25"/>
  <c r="D423" i="25"/>
  <c r="C423" i="25"/>
  <c r="B423" i="25"/>
  <c r="E422" i="25"/>
  <c r="D422" i="25"/>
  <c r="C422" i="25"/>
  <c r="B422" i="25"/>
  <c r="E421" i="25"/>
  <c r="D421" i="25"/>
  <c r="C421" i="25"/>
  <c r="B421" i="25"/>
  <c r="E420" i="25"/>
  <c r="D420" i="25"/>
  <c r="C420" i="25"/>
  <c r="B420" i="25"/>
  <c r="E419" i="25"/>
  <c r="D419" i="25"/>
  <c r="C419" i="25"/>
  <c r="B419" i="25"/>
  <c r="E418" i="25"/>
  <c r="D418" i="25"/>
  <c r="C418" i="25"/>
  <c r="B418" i="25"/>
  <c r="E417" i="25"/>
  <c r="D417" i="25"/>
  <c r="C417" i="25"/>
  <c r="B417" i="25"/>
  <c r="E416" i="25"/>
  <c r="D416" i="25"/>
  <c r="C416" i="25"/>
  <c r="B416" i="25"/>
  <c r="E415" i="25"/>
  <c r="D415" i="25"/>
  <c r="C415" i="25"/>
  <c r="B415" i="25"/>
  <c r="E414" i="25"/>
  <c r="D414" i="25"/>
  <c r="C414" i="25"/>
  <c r="B414" i="25"/>
  <c r="E413" i="25"/>
  <c r="D413" i="25"/>
  <c r="C413" i="25"/>
  <c r="B413" i="25"/>
  <c r="E412" i="25"/>
  <c r="D412" i="25"/>
  <c r="C412" i="25"/>
  <c r="B412" i="25"/>
  <c r="E411" i="25"/>
  <c r="D411" i="25"/>
  <c r="C411" i="25"/>
  <c r="B411" i="25"/>
  <c r="E410" i="25"/>
  <c r="D410" i="25"/>
  <c r="C410" i="25"/>
  <c r="B410" i="25"/>
  <c r="E409" i="25"/>
  <c r="D409" i="25"/>
  <c r="C409" i="25"/>
  <c r="B409" i="25"/>
  <c r="E408" i="25"/>
  <c r="D408" i="25"/>
  <c r="C408" i="25"/>
  <c r="B408" i="25"/>
  <c r="E407" i="25"/>
  <c r="D407" i="25"/>
  <c r="C407" i="25"/>
  <c r="B407" i="25"/>
  <c r="E406" i="25"/>
  <c r="D406" i="25"/>
  <c r="C406" i="25"/>
  <c r="B406" i="25"/>
  <c r="E405" i="25"/>
  <c r="D405" i="25"/>
  <c r="C405" i="25"/>
  <c r="B405" i="25"/>
  <c r="E404" i="25"/>
  <c r="D404" i="25"/>
  <c r="C404" i="25"/>
  <c r="B404" i="25"/>
  <c r="E403" i="25"/>
  <c r="D403" i="25"/>
  <c r="C403" i="25"/>
  <c r="B403" i="25"/>
  <c r="E402" i="25"/>
  <c r="D402" i="25"/>
  <c r="C402" i="25"/>
  <c r="B402" i="25"/>
  <c r="E401" i="25"/>
  <c r="D401" i="25"/>
  <c r="C401" i="25"/>
  <c r="B401" i="25"/>
  <c r="E400" i="25"/>
  <c r="D400" i="25"/>
  <c r="C400" i="25"/>
  <c r="B400" i="25"/>
  <c r="E399" i="25"/>
  <c r="D399" i="25"/>
  <c r="C399" i="25"/>
  <c r="B399" i="25"/>
  <c r="E398" i="25"/>
  <c r="D398" i="25"/>
  <c r="C398" i="25"/>
  <c r="B398" i="25"/>
  <c r="E397" i="25"/>
  <c r="D397" i="25"/>
  <c r="C397" i="25"/>
  <c r="B397" i="25"/>
  <c r="E396" i="25"/>
  <c r="D396" i="25"/>
  <c r="C396" i="25"/>
  <c r="B396" i="25"/>
  <c r="E395" i="25"/>
  <c r="D395" i="25"/>
  <c r="C395" i="25"/>
  <c r="B395" i="25"/>
  <c r="E394" i="25"/>
  <c r="D394" i="25"/>
  <c r="C394" i="25"/>
  <c r="B394" i="25"/>
  <c r="E393" i="25"/>
  <c r="D393" i="25"/>
  <c r="C393" i="25"/>
  <c r="B393" i="25"/>
  <c r="E392" i="25"/>
  <c r="D392" i="25"/>
  <c r="C392" i="25"/>
  <c r="B392" i="25"/>
  <c r="E391" i="25"/>
  <c r="D391" i="25"/>
  <c r="C391" i="25"/>
  <c r="B391" i="25"/>
  <c r="E390" i="25"/>
  <c r="D390" i="25"/>
  <c r="C390" i="25"/>
  <c r="B390" i="25"/>
  <c r="E389" i="25"/>
  <c r="D389" i="25"/>
  <c r="C389" i="25"/>
  <c r="B389" i="25"/>
  <c r="E388" i="25"/>
  <c r="D388" i="25"/>
  <c r="C388" i="25"/>
  <c r="B388" i="25"/>
  <c r="E387" i="25"/>
  <c r="D387" i="25"/>
  <c r="C387" i="25"/>
  <c r="B387" i="25"/>
  <c r="E386" i="25"/>
  <c r="D386" i="25"/>
  <c r="C386" i="25"/>
  <c r="B386" i="25"/>
  <c r="E385" i="25"/>
  <c r="D385" i="25"/>
  <c r="C385" i="25"/>
  <c r="B385" i="25"/>
  <c r="E384" i="25"/>
  <c r="D384" i="25"/>
  <c r="C384" i="25"/>
  <c r="B384" i="25"/>
  <c r="E383" i="25"/>
  <c r="D383" i="25"/>
  <c r="C383" i="25"/>
  <c r="B383" i="25"/>
  <c r="E382" i="25"/>
  <c r="D382" i="25"/>
  <c r="C382" i="25"/>
  <c r="B382" i="25"/>
  <c r="E381" i="25"/>
  <c r="D381" i="25"/>
  <c r="C381" i="25"/>
  <c r="B381" i="25"/>
  <c r="E380" i="25"/>
  <c r="D380" i="25"/>
  <c r="C380" i="25"/>
  <c r="B380" i="25"/>
  <c r="E379" i="25"/>
  <c r="D379" i="25"/>
  <c r="C379" i="25"/>
  <c r="B379" i="25"/>
  <c r="E378" i="25"/>
  <c r="D378" i="25"/>
  <c r="C378" i="25"/>
  <c r="B378" i="25"/>
  <c r="E377" i="25"/>
  <c r="D377" i="25"/>
  <c r="C377" i="25"/>
  <c r="B377" i="25"/>
  <c r="E376" i="25"/>
  <c r="D376" i="25"/>
  <c r="C376" i="25"/>
  <c r="B376" i="25"/>
  <c r="E375" i="25"/>
  <c r="D375" i="25"/>
  <c r="C375" i="25"/>
  <c r="B375" i="25"/>
  <c r="E374" i="25"/>
  <c r="D374" i="25"/>
  <c r="C374" i="25"/>
  <c r="B374" i="25"/>
  <c r="E373" i="25"/>
  <c r="D373" i="25"/>
  <c r="C373" i="25"/>
  <c r="B373" i="25"/>
  <c r="E372" i="25"/>
  <c r="D372" i="25"/>
  <c r="C372" i="25"/>
  <c r="B372" i="25"/>
  <c r="E371" i="25"/>
  <c r="D371" i="25"/>
  <c r="C371" i="25"/>
  <c r="B371" i="25"/>
  <c r="E370" i="25"/>
  <c r="D370" i="25"/>
  <c r="C370" i="25"/>
  <c r="B370" i="25"/>
  <c r="E369" i="25"/>
  <c r="D369" i="25"/>
  <c r="C369" i="25"/>
  <c r="B369" i="25"/>
  <c r="E368" i="25"/>
  <c r="D368" i="25"/>
  <c r="C368" i="25"/>
  <c r="B368" i="25"/>
  <c r="E367" i="25"/>
  <c r="D367" i="25"/>
  <c r="C367" i="25"/>
  <c r="B367" i="25"/>
  <c r="E366" i="25"/>
  <c r="D366" i="25"/>
  <c r="C366" i="25"/>
  <c r="B366" i="25"/>
  <c r="E365" i="25"/>
  <c r="D365" i="25"/>
  <c r="C365" i="25"/>
  <c r="B365" i="25"/>
  <c r="E364" i="25"/>
  <c r="D364" i="25"/>
  <c r="C364" i="25"/>
  <c r="B364" i="25"/>
  <c r="E363" i="25"/>
  <c r="D363" i="25"/>
  <c r="C363" i="25"/>
  <c r="B363" i="25"/>
  <c r="E362" i="25"/>
  <c r="D362" i="25"/>
  <c r="C362" i="25"/>
  <c r="B362" i="25"/>
  <c r="E361" i="25"/>
  <c r="D361" i="25"/>
  <c r="C361" i="25"/>
  <c r="B361" i="25"/>
  <c r="E360" i="25"/>
  <c r="D360" i="25"/>
  <c r="C360" i="25"/>
  <c r="B360" i="25"/>
  <c r="E359" i="25"/>
  <c r="D359" i="25"/>
  <c r="C359" i="25"/>
  <c r="B359" i="25"/>
  <c r="E358" i="25"/>
  <c r="D358" i="25"/>
  <c r="C358" i="25"/>
  <c r="B358" i="25"/>
  <c r="E357" i="25"/>
  <c r="D357" i="25"/>
  <c r="C357" i="25"/>
  <c r="B357" i="25"/>
  <c r="E356" i="25"/>
  <c r="D356" i="25"/>
  <c r="C356" i="25"/>
  <c r="B356" i="25"/>
  <c r="E355" i="25"/>
  <c r="D355" i="25"/>
  <c r="C355" i="25"/>
  <c r="B355" i="25"/>
  <c r="E354" i="25"/>
  <c r="D354" i="25"/>
  <c r="C354" i="25"/>
  <c r="B354" i="25"/>
  <c r="E353" i="25"/>
  <c r="D353" i="25"/>
  <c r="C353" i="25"/>
  <c r="B353" i="25"/>
  <c r="E352" i="25"/>
  <c r="D352" i="25"/>
  <c r="C352" i="25"/>
  <c r="B352" i="25"/>
  <c r="E351" i="25"/>
  <c r="D351" i="25"/>
  <c r="C351" i="25"/>
  <c r="B351" i="25"/>
  <c r="E350" i="25"/>
  <c r="D350" i="25"/>
  <c r="C350" i="25"/>
  <c r="B350" i="25"/>
  <c r="E349" i="25"/>
  <c r="D349" i="25"/>
  <c r="C349" i="25"/>
  <c r="B349" i="25"/>
  <c r="E348" i="25"/>
  <c r="D348" i="25"/>
  <c r="C348" i="25"/>
  <c r="B348" i="25"/>
  <c r="E347" i="25"/>
  <c r="D347" i="25"/>
  <c r="C347" i="25"/>
  <c r="B347" i="25"/>
  <c r="E346" i="25"/>
  <c r="D346" i="25"/>
  <c r="C346" i="25"/>
  <c r="B346" i="25"/>
  <c r="E345" i="25"/>
  <c r="D345" i="25"/>
  <c r="C345" i="25"/>
  <c r="B345" i="25"/>
  <c r="E344" i="25"/>
  <c r="D344" i="25"/>
  <c r="C344" i="25"/>
  <c r="B344" i="25"/>
  <c r="E343" i="25"/>
  <c r="D343" i="25"/>
  <c r="C343" i="25"/>
  <c r="B343" i="25"/>
  <c r="E342" i="25"/>
  <c r="D342" i="25"/>
  <c r="C342" i="25"/>
  <c r="B342" i="25"/>
  <c r="E341" i="25"/>
  <c r="D341" i="25"/>
  <c r="C341" i="25"/>
  <c r="B341" i="25"/>
  <c r="E340" i="25"/>
  <c r="D340" i="25"/>
  <c r="C340" i="25"/>
  <c r="B340" i="25"/>
  <c r="E339" i="25"/>
  <c r="D339" i="25"/>
  <c r="C339" i="25"/>
  <c r="B339" i="25"/>
  <c r="E338" i="25"/>
  <c r="D338" i="25"/>
  <c r="C338" i="25"/>
  <c r="B338" i="25"/>
  <c r="E337" i="25"/>
  <c r="D337" i="25"/>
  <c r="C337" i="25"/>
  <c r="B337" i="25"/>
  <c r="E336" i="25"/>
  <c r="D336" i="25"/>
  <c r="C336" i="25"/>
  <c r="B336" i="25"/>
  <c r="E335" i="25"/>
  <c r="D335" i="25"/>
  <c r="C335" i="25"/>
  <c r="B335" i="25"/>
  <c r="E334" i="25"/>
  <c r="D334" i="25"/>
  <c r="C334" i="25"/>
  <c r="B334" i="25"/>
  <c r="E333" i="25"/>
  <c r="D333" i="25"/>
  <c r="C333" i="25"/>
  <c r="B333" i="25"/>
  <c r="E332" i="25"/>
  <c r="D332" i="25"/>
  <c r="C332" i="25"/>
  <c r="B332" i="25"/>
  <c r="E331" i="25"/>
  <c r="D331" i="25"/>
  <c r="C331" i="25"/>
  <c r="B331" i="25"/>
  <c r="E330" i="25"/>
  <c r="D330" i="25"/>
  <c r="C330" i="25"/>
  <c r="B330" i="25"/>
  <c r="E329" i="25"/>
  <c r="D329" i="25"/>
  <c r="C329" i="25"/>
  <c r="B329" i="25"/>
  <c r="E328" i="25"/>
  <c r="D328" i="25"/>
  <c r="C328" i="25"/>
  <c r="B328" i="25"/>
  <c r="E327" i="25"/>
  <c r="D327" i="25"/>
  <c r="C327" i="25"/>
  <c r="B327" i="25"/>
  <c r="E326" i="25"/>
  <c r="D326" i="25"/>
  <c r="C326" i="25"/>
  <c r="B326" i="25"/>
  <c r="E325" i="25"/>
  <c r="D325" i="25"/>
  <c r="C325" i="25"/>
  <c r="B325" i="25"/>
  <c r="E324" i="25"/>
  <c r="D324" i="25"/>
  <c r="C324" i="25"/>
  <c r="B324" i="25"/>
  <c r="E323" i="25"/>
  <c r="D323" i="25"/>
  <c r="C323" i="25"/>
  <c r="B323" i="25"/>
  <c r="E322" i="25"/>
  <c r="D322" i="25"/>
  <c r="C322" i="25"/>
  <c r="B322" i="25"/>
  <c r="E321" i="25"/>
  <c r="D321" i="25"/>
  <c r="C321" i="25"/>
  <c r="B321" i="25"/>
  <c r="E320" i="25"/>
  <c r="D320" i="25"/>
  <c r="C320" i="25"/>
  <c r="B320" i="25"/>
  <c r="E319" i="25"/>
  <c r="D319" i="25"/>
  <c r="C319" i="25"/>
  <c r="B319" i="25"/>
  <c r="E318" i="25"/>
  <c r="D318" i="25"/>
  <c r="C318" i="25"/>
  <c r="B318" i="25"/>
  <c r="E317" i="25"/>
  <c r="D317" i="25"/>
  <c r="C317" i="25"/>
  <c r="B317" i="25"/>
  <c r="E316" i="25"/>
  <c r="D316" i="25"/>
  <c r="C316" i="25"/>
  <c r="B316" i="25"/>
  <c r="E315" i="25"/>
  <c r="D315" i="25"/>
  <c r="C315" i="25"/>
  <c r="B315" i="25"/>
  <c r="E314" i="25"/>
  <c r="D314" i="25"/>
  <c r="C314" i="25"/>
  <c r="B314" i="25"/>
  <c r="E313" i="25"/>
  <c r="D313" i="25"/>
  <c r="C313" i="25"/>
  <c r="B313" i="25"/>
  <c r="E312" i="25"/>
  <c r="D312" i="25"/>
  <c r="C312" i="25"/>
  <c r="B312" i="25"/>
  <c r="E311" i="25"/>
  <c r="D311" i="25"/>
  <c r="C311" i="25"/>
  <c r="B311" i="25"/>
  <c r="E310" i="25"/>
  <c r="D310" i="25"/>
  <c r="C310" i="25"/>
  <c r="B310" i="25"/>
  <c r="E309" i="25"/>
  <c r="D309" i="25"/>
  <c r="C309" i="25"/>
  <c r="B309" i="25"/>
  <c r="E308" i="25"/>
  <c r="D308" i="25"/>
  <c r="C308" i="25"/>
  <c r="B308" i="25"/>
  <c r="E307" i="25"/>
  <c r="D307" i="25"/>
  <c r="C307" i="25"/>
  <c r="B307" i="25"/>
  <c r="E306" i="25"/>
  <c r="D306" i="25"/>
  <c r="C306" i="25"/>
  <c r="B306" i="25"/>
  <c r="E305" i="25"/>
  <c r="D305" i="25"/>
  <c r="C305" i="25"/>
  <c r="B305" i="25"/>
  <c r="E304" i="25"/>
  <c r="D304" i="25"/>
  <c r="C304" i="25"/>
  <c r="B304" i="25"/>
  <c r="E303" i="25"/>
  <c r="D303" i="25"/>
  <c r="C303" i="25"/>
  <c r="B303" i="25"/>
  <c r="E302" i="25"/>
  <c r="D302" i="25"/>
  <c r="C302" i="25"/>
  <c r="B302" i="25"/>
  <c r="E301" i="25"/>
  <c r="D301" i="25"/>
  <c r="C301" i="25"/>
  <c r="B301" i="25"/>
  <c r="E300" i="25"/>
  <c r="D300" i="25"/>
  <c r="C300" i="25"/>
  <c r="B300" i="25"/>
  <c r="E299" i="25"/>
  <c r="D299" i="25"/>
  <c r="C299" i="25"/>
  <c r="B299" i="25"/>
  <c r="E298" i="25"/>
  <c r="D298" i="25"/>
  <c r="C298" i="25"/>
  <c r="B298" i="25"/>
  <c r="E297" i="25"/>
  <c r="D297" i="25"/>
  <c r="C297" i="25"/>
  <c r="B297" i="25"/>
  <c r="E296" i="25"/>
  <c r="D296" i="25"/>
  <c r="C296" i="25"/>
  <c r="B296" i="25"/>
  <c r="E295" i="25"/>
  <c r="D295" i="25"/>
  <c r="C295" i="25"/>
  <c r="B295" i="25"/>
  <c r="E294" i="25"/>
  <c r="D294" i="25"/>
  <c r="C294" i="25"/>
  <c r="B294" i="25"/>
  <c r="E293" i="25"/>
  <c r="D293" i="25"/>
  <c r="C293" i="25"/>
  <c r="B293" i="25"/>
  <c r="E292" i="25"/>
  <c r="D292" i="25"/>
  <c r="C292" i="25"/>
  <c r="B292" i="25"/>
  <c r="E291" i="25"/>
  <c r="D291" i="25"/>
  <c r="C291" i="25"/>
  <c r="B291" i="25"/>
  <c r="E290" i="25"/>
  <c r="D290" i="25"/>
  <c r="C290" i="25"/>
  <c r="B290" i="25"/>
  <c r="E289" i="25"/>
  <c r="D289" i="25"/>
  <c r="C289" i="25"/>
  <c r="B289" i="25"/>
  <c r="E288" i="25"/>
  <c r="D288" i="25"/>
  <c r="C288" i="25"/>
  <c r="B288" i="25"/>
  <c r="E287" i="25"/>
  <c r="D287" i="25"/>
  <c r="C287" i="25"/>
  <c r="B287" i="25"/>
  <c r="E286" i="25"/>
  <c r="D286" i="25"/>
  <c r="C286" i="25"/>
  <c r="B286" i="25"/>
  <c r="E285" i="25"/>
  <c r="D285" i="25"/>
  <c r="C285" i="25"/>
  <c r="B285" i="25"/>
  <c r="E284" i="25"/>
  <c r="D284" i="25"/>
  <c r="C284" i="25"/>
  <c r="B284" i="25"/>
  <c r="E283" i="25"/>
  <c r="D283" i="25"/>
  <c r="C283" i="25"/>
  <c r="B283" i="25"/>
  <c r="E282" i="25"/>
  <c r="D282" i="25"/>
  <c r="C282" i="25"/>
  <c r="B282" i="25"/>
  <c r="E281" i="25"/>
  <c r="D281" i="25"/>
  <c r="C281" i="25"/>
  <c r="B281" i="25"/>
  <c r="E280" i="25"/>
  <c r="D280" i="25"/>
  <c r="C280" i="25"/>
  <c r="B280" i="25"/>
  <c r="E279" i="25"/>
  <c r="D279" i="25"/>
  <c r="C279" i="25"/>
  <c r="B279" i="25"/>
  <c r="E278" i="25"/>
  <c r="D278" i="25"/>
  <c r="C278" i="25"/>
  <c r="B278" i="25"/>
  <c r="E277" i="25"/>
  <c r="D277" i="25"/>
  <c r="C277" i="25"/>
  <c r="B277" i="25"/>
  <c r="E276" i="25"/>
  <c r="D276" i="25"/>
  <c r="C276" i="25"/>
  <c r="B276" i="25"/>
  <c r="E275" i="25"/>
  <c r="D275" i="25"/>
  <c r="C275" i="25"/>
  <c r="B275" i="25"/>
  <c r="E274" i="25"/>
  <c r="D274" i="25"/>
  <c r="C274" i="25"/>
  <c r="B274" i="25"/>
  <c r="E273" i="25"/>
  <c r="D273" i="25"/>
  <c r="C273" i="25"/>
  <c r="B273" i="25"/>
  <c r="E272" i="25"/>
  <c r="D272" i="25"/>
  <c r="C272" i="25"/>
  <c r="B272" i="25"/>
  <c r="E271" i="25"/>
  <c r="D271" i="25"/>
  <c r="C271" i="25"/>
  <c r="B271" i="25"/>
  <c r="E270" i="25"/>
  <c r="D270" i="25"/>
  <c r="C270" i="25"/>
  <c r="B270" i="25"/>
  <c r="E269" i="25"/>
  <c r="D269" i="25"/>
  <c r="C269" i="25"/>
  <c r="B269" i="25"/>
  <c r="E268" i="25"/>
  <c r="D268" i="25"/>
  <c r="C268" i="25"/>
  <c r="B268" i="25"/>
  <c r="E267" i="25"/>
  <c r="D267" i="25"/>
  <c r="C267" i="25"/>
  <c r="B267" i="25"/>
  <c r="E266" i="25"/>
  <c r="D266" i="25"/>
  <c r="C266" i="25"/>
  <c r="B266" i="25"/>
  <c r="E265" i="25"/>
  <c r="D265" i="25"/>
  <c r="C265" i="25"/>
  <c r="B265" i="25"/>
  <c r="E264" i="25"/>
  <c r="D264" i="25"/>
  <c r="C264" i="25"/>
  <c r="B264" i="25"/>
  <c r="E263" i="25"/>
  <c r="D263" i="25"/>
  <c r="C263" i="25"/>
  <c r="B263" i="25"/>
  <c r="E262" i="25"/>
  <c r="D262" i="25"/>
  <c r="C262" i="25"/>
  <c r="B262" i="25"/>
  <c r="E261" i="25"/>
  <c r="D261" i="25"/>
  <c r="C261" i="25"/>
  <c r="B261" i="25"/>
  <c r="E260" i="25"/>
  <c r="D260" i="25"/>
  <c r="C260" i="25"/>
  <c r="B260" i="25"/>
  <c r="E259" i="25"/>
  <c r="D259" i="25"/>
  <c r="C259" i="25"/>
  <c r="B259" i="25"/>
  <c r="E258" i="25"/>
  <c r="D258" i="25"/>
  <c r="C258" i="25"/>
  <c r="B258" i="25"/>
  <c r="E257" i="25"/>
  <c r="D257" i="25"/>
  <c r="C257" i="25"/>
  <c r="B257" i="25"/>
  <c r="E256" i="25"/>
  <c r="D256" i="25"/>
  <c r="C256" i="25"/>
  <c r="B256" i="25"/>
  <c r="E255" i="25"/>
  <c r="D255" i="25"/>
  <c r="C255" i="25"/>
  <c r="B255" i="25"/>
  <c r="E254" i="25"/>
  <c r="D254" i="25"/>
  <c r="C254" i="25"/>
  <c r="B254" i="25"/>
  <c r="E253" i="25"/>
  <c r="D253" i="25"/>
  <c r="C253" i="25"/>
  <c r="B253" i="25"/>
  <c r="E252" i="25"/>
  <c r="D252" i="25"/>
  <c r="C252" i="25"/>
  <c r="B252" i="25"/>
  <c r="E251" i="25"/>
  <c r="D251" i="25"/>
  <c r="C251" i="25"/>
  <c r="B251" i="25"/>
  <c r="E250" i="25"/>
  <c r="D250" i="25"/>
  <c r="C250" i="25"/>
  <c r="B250" i="25"/>
  <c r="E249" i="25"/>
  <c r="D249" i="25"/>
  <c r="C249" i="25"/>
  <c r="B249" i="25"/>
  <c r="E248" i="25"/>
  <c r="D248" i="25"/>
  <c r="C248" i="25"/>
  <c r="B248" i="25"/>
  <c r="E247" i="25"/>
  <c r="D247" i="25"/>
  <c r="C247" i="25"/>
  <c r="B247" i="25"/>
  <c r="E246" i="25"/>
  <c r="D246" i="25"/>
  <c r="C246" i="25"/>
  <c r="B246" i="25"/>
  <c r="E245" i="25"/>
  <c r="D245" i="25"/>
  <c r="C245" i="25"/>
  <c r="B245" i="25"/>
  <c r="E244" i="25"/>
  <c r="D244" i="25"/>
  <c r="C244" i="25"/>
  <c r="B244" i="25"/>
  <c r="E243" i="25"/>
  <c r="D243" i="25"/>
  <c r="C243" i="25"/>
  <c r="B243" i="25"/>
  <c r="E242" i="25"/>
  <c r="D242" i="25"/>
  <c r="C242" i="25"/>
  <c r="B242" i="25"/>
  <c r="E241" i="25"/>
  <c r="D241" i="25"/>
  <c r="C241" i="25"/>
  <c r="B241" i="25"/>
  <c r="E240" i="25"/>
  <c r="D240" i="25"/>
  <c r="C240" i="25"/>
  <c r="B240" i="25"/>
  <c r="E239" i="25"/>
  <c r="D239" i="25"/>
  <c r="C239" i="25"/>
  <c r="B239" i="25"/>
  <c r="E238" i="25"/>
  <c r="D238" i="25"/>
  <c r="C238" i="25"/>
  <c r="B238" i="25"/>
  <c r="E237" i="25"/>
  <c r="D237" i="25"/>
  <c r="C237" i="25"/>
  <c r="B237" i="25"/>
  <c r="E236" i="25"/>
  <c r="D236" i="25"/>
  <c r="C236" i="25"/>
  <c r="B236" i="25"/>
  <c r="E235" i="25"/>
  <c r="D235" i="25"/>
  <c r="C235" i="25"/>
  <c r="B235" i="25"/>
  <c r="E234" i="25"/>
  <c r="D234" i="25"/>
  <c r="C234" i="25"/>
  <c r="B234" i="25"/>
  <c r="E233" i="25"/>
  <c r="D233" i="25"/>
  <c r="C233" i="25"/>
  <c r="B233" i="25"/>
  <c r="E232" i="25"/>
  <c r="D232" i="25"/>
  <c r="C232" i="25"/>
  <c r="B232" i="25"/>
  <c r="E231" i="25"/>
  <c r="D231" i="25"/>
  <c r="C231" i="25"/>
  <c r="B231" i="25"/>
  <c r="E230" i="25"/>
  <c r="D230" i="25"/>
  <c r="C230" i="25"/>
  <c r="B230" i="25"/>
  <c r="E229" i="25"/>
  <c r="I19" i="22" s="1"/>
  <c r="D229" i="25"/>
  <c r="C229" i="25"/>
  <c r="B229" i="25"/>
  <c r="E228" i="25"/>
  <c r="D228" i="25"/>
  <c r="C228" i="25"/>
  <c r="B228" i="25"/>
  <c r="E227" i="25"/>
  <c r="D227" i="25"/>
  <c r="C227" i="25"/>
  <c r="B227" i="25"/>
  <c r="E226" i="25"/>
  <c r="D226" i="25"/>
  <c r="C226" i="25"/>
  <c r="B226" i="25"/>
  <c r="E225" i="25"/>
  <c r="D225" i="25"/>
  <c r="C225" i="25"/>
  <c r="B225" i="25"/>
  <c r="E224" i="25"/>
  <c r="D224" i="25"/>
  <c r="C224" i="25"/>
  <c r="B224" i="25"/>
  <c r="E223" i="25"/>
  <c r="D223" i="25"/>
  <c r="C223" i="25"/>
  <c r="B223" i="25"/>
  <c r="E222" i="25"/>
  <c r="D222" i="25"/>
  <c r="C222" i="25"/>
  <c r="B222" i="25"/>
  <c r="E221" i="25"/>
  <c r="D221" i="25"/>
  <c r="C221" i="25"/>
  <c r="B221" i="25"/>
  <c r="E220" i="25"/>
  <c r="D220" i="25"/>
  <c r="C220" i="25"/>
  <c r="B220" i="25"/>
  <c r="E219" i="25"/>
  <c r="D219" i="25"/>
  <c r="C219" i="25"/>
  <c r="B219" i="25"/>
  <c r="E218" i="25"/>
  <c r="D218" i="25"/>
  <c r="C218" i="25"/>
  <c r="B218" i="25"/>
  <c r="E217" i="25"/>
  <c r="D217" i="25"/>
  <c r="C217" i="25"/>
  <c r="B217" i="25"/>
  <c r="E216" i="25"/>
  <c r="D216" i="25"/>
  <c r="C216" i="25"/>
  <c r="B216" i="25"/>
  <c r="E215" i="25"/>
  <c r="D215" i="25"/>
  <c r="C215" i="25"/>
  <c r="B215" i="25"/>
  <c r="E214" i="25"/>
  <c r="D214" i="25"/>
  <c r="C214" i="25"/>
  <c r="B214" i="25"/>
  <c r="E213" i="25"/>
  <c r="D213" i="25"/>
  <c r="C213" i="25"/>
  <c r="B213" i="25"/>
  <c r="E212" i="25"/>
  <c r="D212" i="25"/>
  <c r="C212" i="25"/>
  <c r="B212" i="25"/>
  <c r="E211" i="25"/>
  <c r="D211" i="25"/>
  <c r="C211" i="25"/>
  <c r="B211" i="25"/>
  <c r="E210" i="25"/>
  <c r="D210" i="25"/>
  <c r="C210" i="25"/>
  <c r="B210" i="25"/>
  <c r="E209" i="25"/>
  <c r="D209" i="25"/>
  <c r="C209" i="25"/>
  <c r="B209" i="25"/>
  <c r="E208" i="25"/>
  <c r="D208" i="25"/>
  <c r="C208" i="25"/>
  <c r="B208" i="25"/>
  <c r="E207" i="25"/>
  <c r="D207" i="25"/>
  <c r="C207" i="25"/>
  <c r="B207" i="25"/>
  <c r="E206" i="25"/>
  <c r="D206" i="25"/>
  <c r="C206" i="25"/>
  <c r="B206" i="25"/>
  <c r="E205" i="25"/>
  <c r="D205" i="25"/>
  <c r="C205" i="25"/>
  <c r="B205" i="25"/>
  <c r="E204" i="25"/>
  <c r="D204" i="25"/>
  <c r="C204" i="25"/>
  <c r="B204" i="25"/>
  <c r="E203" i="25"/>
  <c r="D203" i="25"/>
  <c r="C203" i="25"/>
  <c r="B203" i="25"/>
  <c r="E202" i="25"/>
  <c r="D202" i="25"/>
  <c r="C202" i="25"/>
  <c r="B202" i="25"/>
  <c r="E201" i="25"/>
  <c r="D201" i="25"/>
  <c r="C201" i="25"/>
  <c r="B201" i="25"/>
  <c r="E200" i="25"/>
  <c r="D200" i="25"/>
  <c r="C200" i="25"/>
  <c r="B200" i="25"/>
  <c r="E199" i="25"/>
  <c r="D199" i="25"/>
  <c r="C199" i="25"/>
  <c r="B199" i="25"/>
  <c r="E198" i="25"/>
  <c r="D198" i="25"/>
  <c r="C198" i="25"/>
  <c r="B198" i="25"/>
  <c r="E197" i="25"/>
  <c r="D197" i="25"/>
  <c r="C197" i="25"/>
  <c r="B197" i="25"/>
  <c r="E196" i="25"/>
  <c r="D196" i="25"/>
  <c r="C196" i="25"/>
  <c r="B196" i="25"/>
  <c r="E195" i="25"/>
  <c r="D195" i="25"/>
  <c r="C195" i="25"/>
  <c r="B195" i="25"/>
  <c r="E194" i="25"/>
  <c r="D194" i="25"/>
  <c r="C194" i="25"/>
  <c r="B194" i="25"/>
  <c r="E193" i="25"/>
  <c r="D193" i="25"/>
  <c r="C193" i="25"/>
  <c r="B193" i="25"/>
  <c r="E192" i="25"/>
  <c r="D192" i="25"/>
  <c r="C192" i="25"/>
  <c r="B192" i="25"/>
  <c r="E191" i="25"/>
  <c r="D191" i="25"/>
  <c r="C191" i="25"/>
  <c r="B191" i="25"/>
  <c r="E190" i="25"/>
  <c r="D190" i="25"/>
  <c r="C190" i="25"/>
  <c r="B190" i="25"/>
  <c r="E189" i="25"/>
  <c r="D189" i="25"/>
  <c r="C189" i="25"/>
  <c r="B189" i="25"/>
  <c r="E188" i="25"/>
  <c r="D188" i="25"/>
  <c r="C188" i="25"/>
  <c r="B188" i="25"/>
  <c r="E187" i="25"/>
  <c r="D187" i="25"/>
  <c r="C187" i="25"/>
  <c r="B187" i="25"/>
  <c r="E186" i="25"/>
  <c r="D186" i="25"/>
  <c r="C186" i="25"/>
  <c r="B186" i="25"/>
  <c r="E185" i="25"/>
  <c r="D185" i="25"/>
  <c r="C185" i="25"/>
  <c r="B185" i="25"/>
  <c r="E184" i="25"/>
  <c r="D184" i="25"/>
  <c r="C184" i="25"/>
  <c r="B184" i="25"/>
  <c r="E183" i="25"/>
  <c r="D183" i="25"/>
  <c r="C183" i="25"/>
  <c r="B183" i="25"/>
  <c r="E182" i="25"/>
  <c r="D182" i="25"/>
  <c r="C182" i="25"/>
  <c r="B182" i="25"/>
  <c r="E181" i="25"/>
  <c r="D181" i="25"/>
  <c r="C181" i="25"/>
  <c r="B181" i="25"/>
  <c r="E180" i="25"/>
  <c r="D180" i="25"/>
  <c r="C180" i="25"/>
  <c r="B180" i="25"/>
  <c r="E179" i="25"/>
  <c r="D179" i="25"/>
  <c r="C179" i="25"/>
  <c r="B179" i="25"/>
  <c r="E178" i="25"/>
  <c r="D178" i="25"/>
  <c r="C178" i="25"/>
  <c r="B178" i="25"/>
  <c r="E177" i="25"/>
  <c r="D177" i="25"/>
  <c r="C177" i="25"/>
  <c r="B177" i="25"/>
  <c r="E176" i="25"/>
  <c r="D176" i="25"/>
  <c r="C176" i="25"/>
  <c r="B176" i="25"/>
  <c r="E175" i="25"/>
  <c r="D175" i="25"/>
  <c r="C175" i="25"/>
  <c r="B175" i="25"/>
  <c r="E174" i="25"/>
  <c r="D174" i="25"/>
  <c r="C174" i="25"/>
  <c r="B174" i="25"/>
  <c r="E173" i="25"/>
  <c r="D173" i="25"/>
  <c r="C173" i="25"/>
  <c r="B173" i="25"/>
  <c r="E172" i="25"/>
  <c r="D172" i="25"/>
  <c r="C172" i="25"/>
  <c r="B172" i="25"/>
  <c r="E171" i="25"/>
  <c r="D171" i="25"/>
  <c r="C171" i="25"/>
  <c r="B171" i="25"/>
  <c r="E170" i="25"/>
  <c r="D170" i="25"/>
  <c r="C170" i="25"/>
  <c r="B170" i="25"/>
  <c r="E169" i="25"/>
  <c r="D169" i="25"/>
  <c r="C169" i="25"/>
  <c r="B169" i="25"/>
  <c r="E168" i="25"/>
  <c r="D168" i="25"/>
  <c r="C168" i="25"/>
  <c r="B168" i="25"/>
  <c r="E167" i="25"/>
  <c r="D167" i="25"/>
  <c r="C167" i="25"/>
  <c r="B167" i="25"/>
  <c r="E166" i="25"/>
  <c r="D166" i="25"/>
  <c r="C166" i="25"/>
  <c r="B166" i="25"/>
  <c r="E165" i="25"/>
  <c r="D165" i="25"/>
  <c r="C165" i="25"/>
  <c r="B165" i="25"/>
  <c r="E164" i="25"/>
  <c r="D164" i="25"/>
  <c r="C164" i="25"/>
  <c r="B164" i="25"/>
  <c r="E163" i="25"/>
  <c r="D163" i="25"/>
  <c r="C163" i="25"/>
  <c r="B163" i="25"/>
  <c r="E162" i="25"/>
  <c r="D162" i="25"/>
  <c r="C162" i="25"/>
  <c r="B162" i="25"/>
  <c r="E161" i="25"/>
  <c r="D161" i="25"/>
  <c r="C161" i="25"/>
  <c r="B161" i="25"/>
  <c r="E160" i="25"/>
  <c r="D160" i="25"/>
  <c r="C160" i="25"/>
  <c r="B160" i="25"/>
  <c r="E159" i="25"/>
  <c r="D159" i="25"/>
  <c r="C159" i="25"/>
  <c r="B159" i="25"/>
  <c r="E158" i="25"/>
  <c r="D158" i="25"/>
  <c r="C158" i="25"/>
  <c r="B158" i="25"/>
  <c r="E157" i="25"/>
  <c r="D157" i="25"/>
  <c r="C157" i="25"/>
  <c r="B157" i="25"/>
  <c r="E156" i="25"/>
  <c r="D156" i="25"/>
  <c r="C156" i="25"/>
  <c r="B156" i="25"/>
  <c r="E155" i="25"/>
  <c r="D155" i="25"/>
  <c r="C155" i="25"/>
  <c r="B155" i="25"/>
  <c r="E154" i="25"/>
  <c r="D154" i="25"/>
  <c r="C154" i="25"/>
  <c r="B154" i="25"/>
  <c r="E153" i="25"/>
  <c r="D153" i="25"/>
  <c r="C153" i="25"/>
  <c r="B153" i="25"/>
  <c r="E152" i="25"/>
  <c r="D152" i="25"/>
  <c r="C152" i="25"/>
  <c r="B152" i="25"/>
  <c r="E151" i="25"/>
  <c r="D151" i="25"/>
  <c r="C151" i="25"/>
  <c r="B151" i="25"/>
  <c r="E150" i="25"/>
  <c r="D150" i="25"/>
  <c r="C150" i="25"/>
  <c r="B150" i="25"/>
  <c r="E149" i="25"/>
  <c r="D149" i="25"/>
  <c r="C149" i="25"/>
  <c r="B149" i="25"/>
  <c r="E148" i="25"/>
  <c r="D148" i="25"/>
  <c r="C148" i="25"/>
  <c r="B148" i="25"/>
  <c r="E147" i="25"/>
  <c r="D147" i="25"/>
  <c r="C147" i="25"/>
  <c r="B147" i="25"/>
  <c r="E146" i="25"/>
  <c r="D146" i="25"/>
  <c r="C146" i="25"/>
  <c r="B146" i="25"/>
  <c r="E145" i="25"/>
  <c r="D145" i="25"/>
  <c r="C145" i="25"/>
  <c r="B145" i="25"/>
  <c r="E144" i="25"/>
  <c r="D144" i="25"/>
  <c r="C144" i="25"/>
  <c r="B144" i="25"/>
  <c r="E143" i="25"/>
  <c r="D143" i="25"/>
  <c r="C143" i="25"/>
  <c r="B143" i="25"/>
  <c r="E142" i="25"/>
  <c r="D142" i="25"/>
  <c r="C142" i="25"/>
  <c r="B142" i="25"/>
  <c r="E141" i="25"/>
  <c r="D141" i="25"/>
  <c r="C141" i="25"/>
  <c r="B141" i="25"/>
  <c r="E140" i="25"/>
  <c r="D140" i="25"/>
  <c r="C140" i="25"/>
  <c r="B140" i="25"/>
  <c r="E139" i="25"/>
  <c r="D139" i="25"/>
  <c r="C139" i="25"/>
  <c r="B139" i="25"/>
  <c r="E138" i="25"/>
  <c r="D138" i="25"/>
  <c r="C138" i="25"/>
  <c r="B138" i="25"/>
  <c r="E137" i="25"/>
  <c r="D137" i="25"/>
  <c r="C137" i="25"/>
  <c r="B137" i="25"/>
  <c r="E136" i="25"/>
  <c r="D136" i="25"/>
  <c r="C136" i="25"/>
  <c r="B136" i="25"/>
  <c r="E135" i="25"/>
  <c r="D135" i="25"/>
  <c r="C135" i="25"/>
  <c r="B135" i="25"/>
  <c r="E134" i="25"/>
  <c r="D134" i="25"/>
  <c r="C134" i="25"/>
  <c r="B134" i="25"/>
  <c r="E133" i="25"/>
  <c r="D133" i="25"/>
  <c r="C133" i="25"/>
  <c r="B133" i="25"/>
  <c r="E132" i="25"/>
  <c r="D132" i="25"/>
  <c r="C132" i="25"/>
  <c r="B132" i="25"/>
  <c r="E131" i="25"/>
  <c r="D131" i="25"/>
  <c r="C131" i="25"/>
  <c r="B131" i="25"/>
  <c r="E130" i="25"/>
  <c r="D130" i="25"/>
  <c r="C130" i="25"/>
  <c r="B130" i="25"/>
  <c r="E129" i="25"/>
  <c r="D129" i="25"/>
  <c r="C129" i="25"/>
  <c r="B129" i="25"/>
  <c r="E128" i="25"/>
  <c r="D128" i="25"/>
  <c r="C128" i="25"/>
  <c r="B128" i="25"/>
  <c r="E127" i="25"/>
  <c r="D127" i="25"/>
  <c r="C127" i="25"/>
  <c r="B127" i="25"/>
  <c r="E126" i="25"/>
  <c r="D126" i="25"/>
  <c r="C126" i="25"/>
  <c r="B126" i="25"/>
  <c r="E125" i="25"/>
  <c r="D125" i="25"/>
  <c r="C125" i="25"/>
  <c r="B125" i="25"/>
  <c r="E124" i="25"/>
  <c r="D124" i="25"/>
  <c r="C124" i="25"/>
  <c r="B124" i="25"/>
  <c r="E123" i="25"/>
  <c r="D123" i="25"/>
  <c r="C123" i="25"/>
  <c r="B123" i="25"/>
  <c r="E122" i="25"/>
  <c r="D122" i="25"/>
  <c r="C122" i="25"/>
  <c r="B122" i="25"/>
  <c r="E121" i="25"/>
  <c r="D121" i="25"/>
  <c r="C121" i="25"/>
  <c r="B121" i="25"/>
  <c r="E120" i="25"/>
  <c r="D120" i="25"/>
  <c r="C120" i="25"/>
  <c r="B120" i="25"/>
  <c r="E119" i="25"/>
  <c r="D119" i="25"/>
  <c r="C119" i="25"/>
  <c r="B119" i="25"/>
  <c r="E118" i="25"/>
  <c r="D118" i="25"/>
  <c r="C118" i="25"/>
  <c r="B118" i="25"/>
  <c r="E117" i="25"/>
  <c r="D117" i="25"/>
  <c r="C117" i="25"/>
  <c r="B117" i="25"/>
  <c r="E116" i="25"/>
  <c r="D116" i="25"/>
  <c r="C116" i="25"/>
  <c r="B116" i="25"/>
  <c r="E115" i="25"/>
  <c r="D115" i="25"/>
  <c r="C115" i="25"/>
  <c r="B115" i="25"/>
  <c r="E114" i="25"/>
  <c r="D114" i="25"/>
  <c r="C114" i="25"/>
  <c r="B114" i="25"/>
  <c r="E113" i="25"/>
  <c r="D113" i="25"/>
  <c r="C113" i="25"/>
  <c r="B113" i="25"/>
  <c r="E112" i="25"/>
  <c r="D112" i="25"/>
  <c r="C112" i="25"/>
  <c r="B112" i="25"/>
  <c r="E111" i="25"/>
  <c r="D111" i="25"/>
  <c r="C111" i="25"/>
  <c r="B111" i="25"/>
  <c r="E110" i="25"/>
  <c r="D110" i="25"/>
  <c r="C110" i="25"/>
  <c r="B110" i="25"/>
  <c r="E109" i="25"/>
  <c r="D109" i="25"/>
  <c r="C109" i="25"/>
  <c r="B109" i="25"/>
  <c r="E108" i="25"/>
  <c r="D108" i="25"/>
  <c r="C108" i="25"/>
  <c r="B108" i="25"/>
  <c r="E107" i="25"/>
  <c r="D107" i="25"/>
  <c r="C107" i="25"/>
  <c r="B107" i="25"/>
  <c r="E106" i="25"/>
  <c r="D106" i="25"/>
  <c r="C106" i="25"/>
  <c r="B106" i="25"/>
  <c r="E105" i="25"/>
  <c r="D105" i="25"/>
  <c r="C105" i="25"/>
  <c r="B105" i="25"/>
  <c r="E104" i="25"/>
  <c r="D104" i="25"/>
  <c r="C104" i="25"/>
  <c r="B104" i="25"/>
  <c r="E103" i="25"/>
  <c r="D103" i="25"/>
  <c r="C103" i="25"/>
  <c r="B103" i="25"/>
  <c r="E102" i="25"/>
  <c r="D102" i="25"/>
  <c r="C102" i="25"/>
  <c r="B102" i="25"/>
  <c r="E101" i="25"/>
  <c r="D101" i="25"/>
  <c r="C101" i="25"/>
  <c r="B101" i="25"/>
  <c r="E100" i="25"/>
  <c r="D100" i="25"/>
  <c r="C100" i="25"/>
  <c r="B100" i="25"/>
  <c r="E99" i="25"/>
  <c r="D99" i="25"/>
  <c r="C99" i="25"/>
  <c r="B99" i="25"/>
  <c r="E98" i="25"/>
  <c r="D98" i="25"/>
  <c r="C98" i="25"/>
  <c r="B98" i="25"/>
  <c r="E97" i="25"/>
  <c r="D97" i="25"/>
  <c r="C97" i="25"/>
  <c r="B97" i="25"/>
  <c r="E96" i="25"/>
  <c r="D96" i="25"/>
  <c r="C96" i="25"/>
  <c r="B96" i="25"/>
  <c r="E95" i="25"/>
  <c r="D95" i="25"/>
  <c r="C95" i="25"/>
  <c r="B95" i="25"/>
  <c r="E94" i="25"/>
  <c r="D94" i="25"/>
  <c r="C94" i="25"/>
  <c r="B94" i="25"/>
  <c r="E93" i="25"/>
  <c r="D93" i="25"/>
  <c r="C93" i="25"/>
  <c r="B93" i="25"/>
  <c r="E92" i="25"/>
  <c r="D92" i="25"/>
  <c r="C92" i="25"/>
  <c r="B92" i="25"/>
  <c r="E91" i="25"/>
  <c r="D91" i="25"/>
  <c r="C91" i="25"/>
  <c r="B91" i="25"/>
  <c r="E90" i="25"/>
  <c r="D90" i="25"/>
  <c r="C90" i="25"/>
  <c r="B90" i="25"/>
  <c r="E89" i="25"/>
  <c r="D89" i="25"/>
  <c r="C89" i="25"/>
  <c r="B89" i="25"/>
  <c r="E88" i="25"/>
  <c r="D88" i="25"/>
  <c r="C88" i="25"/>
  <c r="B88" i="25"/>
  <c r="E87" i="25"/>
  <c r="D87" i="25"/>
  <c r="C87" i="25"/>
  <c r="B87" i="25"/>
  <c r="E86" i="25"/>
  <c r="D86" i="25"/>
  <c r="C86" i="25"/>
  <c r="B86" i="25"/>
  <c r="E85" i="25"/>
  <c r="D85" i="25"/>
  <c r="C85" i="25"/>
  <c r="B85" i="25"/>
  <c r="E84" i="25"/>
  <c r="D84" i="25"/>
  <c r="C84" i="25"/>
  <c r="B84" i="25"/>
  <c r="E83" i="25"/>
  <c r="D83" i="25"/>
  <c r="C83" i="25"/>
  <c r="B83" i="25"/>
  <c r="E82" i="25"/>
  <c r="D82" i="25"/>
  <c r="C82" i="25"/>
  <c r="B82" i="25"/>
  <c r="E81" i="25"/>
  <c r="D81" i="25"/>
  <c r="C81" i="25"/>
  <c r="B81" i="25"/>
  <c r="E80" i="25"/>
  <c r="D80" i="25"/>
  <c r="C80" i="25"/>
  <c r="B80" i="25"/>
  <c r="E79" i="25"/>
  <c r="D79" i="25"/>
  <c r="C79" i="25"/>
  <c r="B79" i="25"/>
  <c r="E78" i="25"/>
  <c r="D78" i="25"/>
  <c r="C78" i="25"/>
  <c r="B78" i="25"/>
  <c r="E77" i="25"/>
  <c r="D77" i="25"/>
  <c r="C77" i="25"/>
  <c r="B77" i="25"/>
  <c r="E76" i="25"/>
  <c r="D76" i="25"/>
  <c r="C76" i="25"/>
  <c r="B76" i="25"/>
  <c r="E75" i="25"/>
  <c r="D75" i="25"/>
  <c r="C75" i="25"/>
  <c r="B75" i="25"/>
  <c r="E74" i="25"/>
  <c r="D74" i="25"/>
  <c r="C74" i="25"/>
  <c r="B74" i="25"/>
  <c r="E73" i="25"/>
  <c r="D73" i="25"/>
  <c r="C73" i="25"/>
  <c r="B73" i="25"/>
  <c r="E72" i="25"/>
  <c r="D72" i="25"/>
  <c r="C72" i="25"/>
  <c r="B72" i="25"/>
  <c r="E71" i="25"/>
  <c r="D71" i="25"/>
  <c r="C71" i="25"/>
  <c r="B71" i="25"/>
  <c r="E70" i="25"/>
  <c r="D70" i="25"/>
  <c r="C70" i="25"/>
  <c r="B70" i="25"/>
  <c r="E69" i="25"/>
  <c r="D69" i="25"/>
  <c r="C69" i="25"/>
  <c r="B69" i="25"/>
  <c r="E68" i="25"/>
  <c r="D68" i="25"/>
  <c r="C68" i="25"/>
  <c r="B68" i="25"/>
  <c r="E67" i="25"/>
  <c r="D67" i="25"/>
  <c r="C67" i="25"/>
  <c r="B67" i="25"/>
  <c r="E66" i="25"/>
  <c r="D66" i="25"/>
  <c r="C66" i="25"/>
  <c r="B66" i="25"/>
  <c r="E65" i="25"/>
  <c r="D65" i="25"/>
  <c r="C65" i="25"/>
  <c r="B65" i="25"/>
  <c r="E64" i="25"/>
  <c r="D64" i="25"/>
  <c r="C64" i="25"/>
  <c r="B64" i="25"/>
  <c r="E63" i="25"/>
  <c r="D63" i="25"/>
  <c r="C63" i="25"/>
  <c r="B63" i="25"/>
  <c r="E62" i="25"/>
  <c r="D62" i="25"/>
  <c r="C62" i="25"/>
  <c r="B62" i="25"/>
  <c r="E61" i="25"/>
  <c r="D61" i="25"/>
  <c r="C61" i="25"/>
  <c r="B61" i="25"/>
  <c r="E60" i="25"/>
  <c r="D60" i="25"/>
  <c r="C60" i="25"/>
  <c r="B60" i="25"/>
  <c r="E59" i="25"/>
  <c r="D59" i="25"/>
  <c r="C59" i="25"/>
  <c r="B59" i="25"/>
  <c r="E58" i="25"/>
  <c r="D58" i="25"/>
  <c r="C58" i="25"/>
  <c r="B58" i="25"/>
  <c r="E57" i="25"/>
  <c r="D57" i="25"/>
  <c r="C57" i="25"/>
  <c r="B57" i="25"/>
  <c r="E56" i="25"/>
  <c r="D56" i="25"/>
  <c r="C56" i="25"/>
  <c r="B56" i="25"/>
  <c r="E55" i="25"/>
  <c r="D55" i="25"/>
  <c r="C55" i="25"/>
  <c r="B55" i="25"/>
  <c r="E54" i="25"/>
  <c r="D54" i="25"/>
  <c r="C54" i="25"/>
  <c r="B54" i="25"/>
  <c r="E53" i="25"/>
  <c r="D53" i="25"/>
  <c r="C53" i="25"/>
  <c r="B53" i="25"/>
  <c r="E52" i="25"/>
  <c r="D52" i="25"/>
  <c r="C52" i="25"/>
  <c r="B52" i="25"/>
  <c r="E51" i="25"/>
  <c r="D51" i="25"/>
  <c r="C51" i="25"/>
  <c r="B51" i="25"/>
  <c r="E50" i="25"/>
  <c r="D50" i="25"/>
  <c r="C50" i="25"/>
  <c r="B50" i="25"/>
  <c r="E49" i="25"/>
  <c r="D49" i="25"/>
  <c r="C49" i="25"/>
  <c r="B49" i="25"/>
  <c r="E48" i="25"/>
  <c r="D48" i="25"/>
  <c r="C48" i="25"/>
  <c r="B48" i="25"/>
  <c r="E47" i="25"/>
  <c r="D47" i="25"/>
  <c r="C47" i="25"/>
  <c r="B47" i="25"/>
  <c r="E46" i="25"/>
  <c r="D46" i="25"/>
  <c r="C46" i="25"/>
  <c r="B46" i="25"/>
  <c r="E45" i="25"/>
  <c r="D45" i="25"/>
  <c r="C45" i="25"/>
  <c r="B45" i="25"/>
  <c r="E44" i="25"/>
  <c r="D44" i="25"/>
  <c r="C44" i="25"/>
  <c r="B44" i="25"/>
  <c r="E43" i="25"/>
  <c r="D43" i="25"/>
  <c r="C43" i="25"/>
  <c r="B43" i="25"/>
  <c r="E42" i="25"/>
  <c r="D42" i="25"/>
  <c r="C42" i="25"/>
  <c r="B42" i="25"/>
  <c r="E41" i="25"/>
  <c r="D41" i="25"/>
  <c r="C41" i="25"/>
  <c r="B41" i="25"/>
  <c r="E40" i="25"/>
  <c r="D40" i="25"/>
  <c r="C40" i="25"/>
  <c r="B40" i="25"/>
  <c r="E39" i="25"/>
  <c r="D39" i="25"/>
  <c r="C39" i="25"/>
  <c r="B39" i="25"/>
  <c r="E38" i="25"/>
  <c r="D38" i="25"/>
  <c r="C38" i="25"/>
  <c r="B38" i="25"/>
  <c r="E37" i="25"/>
  <c r="D37" i="25"/>
  <c r="C37" i="25"/>
  <c r="B37" i="25"/>
  <c r="E36" i="25"/>
  <c r="D36" i="25"/>
  <c r="C36" i="25"/>
  <c r="B36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E25" i="25"/>
  <c r="D25" i="25"/>
  <c r="C25" i="25"/>
  <c r="B25" i="25"/>
  <c r="E24" i="25"/>
  <c r="D24" i="25"/>
  <c r="C24" i="25"/>
  <c r="B24" i="25"/>
  <c r="E23" i="25"/>
  <c r="D23" i="25"/>
  <c r="C23" i="25"/>
  <c r="B23" i="25"/>
  <c r="E22" i="25"/>
  <c r="D22" i="25"/>
  <c r="C22" i="25"/>
  <c r="B22" i="25"/>
  <c r="E21" i="25"/>
  <c r="D21" i="25"/>
  <c r="C21" i="25"/>
  <c r="B21" i="25"/>
  <c r="E20" i="25"/>
  <c r="D20" i="25"/>
  <c r="C20" i="25"/>
  <c r="B20" i="25"/>
  <c r="E19" i="25"/>
  <c r="D19" i="25"/>
  <c r="C19" i="25"/>
  <c r="B19" i="25"/>
  <c r="E18" i="25"/>
  <c r="D18" i="25"/>
  <c r="C18" i="25"/>
  <c r="B18" i="25"/>
  <c r="E17" i="25"/>
  <c r="D17" i="25"/>
  <c r="C17" i="25"/>
  <c r="B17" i="25"/>
  <c r="E16" i="25"/>
  <c r="D16" i="25"/>
  <c r="C16" i="25"/>
  <c r="B16" i="25"/>
  <c r="E15" i="25"/>
  <c r="D15" i="25"/>
  <c r="C15" i="25"/>
  <c r="B15" i="25"/>
  <c r="E14" i="25"/>
  <c r="D14" i="25"/>
  <c r="C14" i="25"/>
  <c r="B14" i="25"/>
  <c r="E13" i="25"/>
  <c r="D13" i="25"/>
  <c r="C13" i="25"/>
  <c r="B13" i="25"/>
  <c r="E12" i="25"/>
  <c r="D12" i="25"/>
  <c r="C12" i="25"/>
  <c r="B12" i="25"/>
  <c r="E11" i="25"/>
  <c r="D11" i="25"/>
  <c r="C11" i="25"/>
  <c r="B11" i="25"/>
  <c r="E10" i="25"/>
  <c r="D10" i="25"/>
  <c r="C10" i="25"/>
  <c r="B10" i="25"/>
  <c r="E9" i="25"/>
  <c r="D9" i="25"/>
  <c r="C9" i="25"/>
  <c r="B9" i="25"/>
  <c r="E8" i="25"/>
  <c r="D8" i="25"/>
  <c r="C8" i="25"/>
  <c r="B8" i="25"/>
  <c r="E7" i="25"/>
  <c r="D7" i="25"/>
  <c r="C7" i="25"/>
  <c r="B7" i="25"/>
  <c r="E6" i="25"/>
  <c r="D6" i="25"/>
  <c r="C6" i="25"/>
  <c r="B6" i="25"/>
  <c r="E5" i="25"/>
  <c r="D5" i="25"/>
  <c r="C5" i="25"/>
  <c r="B5" i="25"/>
  <c r="E4" i="25"/>
  <c r="D4" i="25"/>
  <c r="C4" i="25"/>
  <c r="B4" i="25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110" i="25"/>
  <c r="F111" i="25"/>
  <c r="F112" i="25"/>
  <c r="F113" i="25"/>
  <c r="F114" i="25"/>
  <c r="F115" i="25"/>
  <c r="F116" i="25"/>
  <c r="F117" i="25"/>
  <c r="F118" i="25"/>
  <c r="F119" i="25"/>
  <c r="F120" i="25"/>
  <c r="F121" i="25"/>
  <c r="F122" i="25"/>
  <c r="F123" i="25"/>
  <c r="F124" i="25"/>
  <c r="F125" i="25"/>
  <c r="F126" i="25"/>
  <c r="F127" i="25"/>
  <c r="F128" i="25"/>
  <c r="F129" i="25"/>
  <c r="F130" i="25"/>
  <c r="F131" i="25"/>
  <c r="F132" i="25"/>
  <c r="F133" i="25"/>
  <c r="F134" i="25"/>
  <c r="F135" i="25"/>
  <c r="F136" i="25"/>
  <c r="F137" i="25"/>
  <c r="F138" i="25"/>
  <c r="F139" i="25"/>
  <c r="F140" i="25"/>
  <c r="F141" i="25"/>
  <c r="F142" i="25"/>
  <c r="F143" i="25"/>
  <c r="F144" i="25"/>
  <c r="F145" i="25"/>
  <c r="F146" i="25"/>
  <c r="F147" i="25"/>
  <c r="F148" i="25"/>
  <c r="F149" i="25"/>
  <c r="F150" i="25"/>
  <c r="F151" i="25"/>
  <c r="F152" i="25"/>
  <c r="F153" i="25"/>
  <c r="F154" i="25"/>
  <c r="F155" i="25"/>
  <c r="F156" i="25"/>
  <c r="F157" i="25"/>
  <c r="F158" i="25"/>
  <c r="F159" i="25"/>
  <c r="F160" i="25"/>
  <c r="F161" i="25"/>
  <c r="F162" i="25"/>
  <c r="F163" i="25"/>
  <c r="F164" i="25"/>
  <c r="F165" i="25"/>
  <c r="F166" i="25"/>
  <c r="F167" i="25"/>
  <c r="F168" i="25"/>
  <c r="F169" i="25"/>
  <c r="F170" i="25"/>
  <c r="F171" i="25"/>
  <c r="F172" i="25"/>
  <c r="F173" i="25"/>
  <c r="F174" i="25"/>
  <c r="F175" i="25"/>
  <c r="F176" i="25"/>
  <c r="F177" i="25"/>
  <c r="F178" i="25"/>
  <c r="F179" i="25"/>
  <c r="F180" i="25"/>
  <c r="F181" i="25"/>
  <c r="F182" i="25"/>
  <c r="F183" i="25"/>
  <c r="F184" i="25"/>
  <c r="F185" i="25"/>
  <c r="F186" i="25"/>
  <c r="F187" i="25"/>
  <c r="F188" i="25"/>
  <c r="F189" i="25"/>
  <c r="F190" i="25"/>
  <c r="F191" i="25"/>
  <c r="F192" i="25"/>
  <c r="F193" i="25"/>
  <c r="F194" i="25"/>
  <c r="F195" i="25"/>
  <c r="F196" i="25"/>
  <c r="F197" i="25"/>
  <c r="F198" i="25"/>
  <c r="F199" i="25"/>
  <c r="F200" i="25"/>
  <c r="F201" i="25"/>
  <c r="F202" i="25"/>
  <c r="F203" i="25"/>
  <c r="F204" i="25"/>
  <c r="F205" i="25"/>
  <c r="F206" i="25"/>
  <c r="F207" i="25"/>
  <c r="F208" i="25"/>
  <c r="F209" i="25"/>
  <c r="F210" i="25"/>
  <c r="F211" i="25"/>
  <c r="F212" i="25"/>
  <c r="F213" i="25"/>
  <c r="F214" i="25"/>
  <c r="F215" i="25"/>
  <c r="F216" i="25"/>
  <c r="F217" i="25"/>
  <c r="F218" i="25"/>
  <c r="F219" i="25"/>
  <c r="F220" i="25"/>
  <c r="F221" i="25"/>
  <c r="F222" i="25"/>
  <c r="F223" i="25"/>
  <c r="F224" i="25"/>
  <c r="F225" i="25"/>
  <c r="F226" i="25"/>
  <c r="F227" i="25"/>
  <c r="F228" i="25"/>
  <c r="F229" i="25"/>
  <c r="F230" i="25"/>
  <c r="F231" i="25"/>
  <c r="F232" i="25"/>
  <c r="F233" i="25"/>
  <c r="F234" i="25"/>
  <c r="F235" i="25"/>
  <c r="F236" i="25"/>
  <c r="F237" i="25"/>
  <c r="F238" i="25"/>
  <c r="F239" i="25"/>
  <c r="F240" i="25"/>
  <c r="F241" i="25"/>
  <c r="F242" i="25"/>
  <c r="F243" i="25"/>
  <c r="F244" i="25"/>
  <c r="F245" i="25"/>
  <c r="F246" i="25"/>
  <c r="F247" i="25"/>
  <c r="F248" i="25"/>
  <c r="F249" i="25"/>
  <c r="F250" i="25"/>
  <c r="F251" i="25"/>
  <c r="F252" i="25"/>
  <c r="F253" i="25"/>
  <c r="F254" i="25"/>
  <c r="F255" i="25"/>
  <c r="F256" i="25"/>
  <c r="F257" i="25"/>
  <c r="F258" i="25"/>
  <c r="F259" i="25"/>
  <c r="F260" i="25"/>
  <c r="F261" i="25"/>
  <c r="F262" i="25"/>
  <c r="F263" i="25"/>
  <c r="F264" i="25"/>
  <c r="F265" i="25"/>
  <c r="F266" i="25"/>
  <c r="F267" i="25"/>
  <c r="F268" i="25"/>
  <c r="F269" i="25"/>
  <c r="F270" i="25"/>
  <c r="F271" i="25"/>
  <c r="F272" i="25"/>
  <c r="F273" i="25"/>
  <c r="F274" i="25"/>
  <c r="F275" i="25"/>
  <c r="F276" i="25"/>
  <c r="F277" i="25"/>
  <c r="F278" i="25"/>
  <c r="F279" i="25"/>
  <c r="F280" i="25"/>
  <c r="F281" i="25"/>
  <c r="F282" i="25"/>
  <c r="F283" i="25"/>
  <c r="F284" i="25"/>
  <c r="F285" i="25"/>
  <c r="F286" i="25"/>
  <c r="F287" i="25"/>
  <c r="F288" i="25"/>
  <c r="F289" i="25"/>
  <c r="F290" i="25"/>
  <c r="F291" i="25"/>
  <c r="F292" i="25"/>
  <c r="F293" i="25"/>
  <c r="F294" i="25"/>
  <c r="F295" i="25"/>
  <c r="F296" i="25"/>
  <c r="F297" i="25"/>
  <c r="F298" i="25"/>
  <c r="F299" i="25"/>
  <c r="F300" i="25"/>
  <c r="F301" i="25"/>
  <c r="F302" i="25"/>
  <c r="F303" i="25"/>
  <c r="F304" i="25"/>
  <c r="F305" i="25"/>
  <c r="F306" i="25"/>
  <c r="F307" i="25"/>
  <c r="F308" i="25"/>
  <c r="F309" i="25"/>
  <c r="F310" i="25"/>
  <c r="F311" i="25"/>
  <c r="F312" i="25"/>
  <c r="F313" i="25"/>
  <c r="F314" i="25"/>
  <c r="F315" i="25"/>
  <c r="F316" i="25"/>
  <c r="F317" i="25"/>
  <c r="F318" i="25"/>
  <c r="F319" i="25"/>
  <c r="F320" i="25"/>
  <c r="F321" i="25"/>
  <c r="F322" i="25"/>
  <c r="F323" i="25"/>
  <c r="F324" i="25"/>
  <c r="F325" i="25"/>
  <c r="F326" i="25"/>
  <c r="F327" i="25"/>
  <c r="F328" i="25"/>
  <c r="F329" i="25"/>
  <c r="F330" i="25"/>
  <c r="F331" i="25"/>
  <c r="F332" i="25"/>
  <c r="F333" i="25"/>
  <c r="F334" i="25"/>
  <c r="F335" i="25"/>
  <c r="F336" i="25"/>
  <c r="F337" i="25"/>
  <c r="F338" i="25"/>
  <c r="F339" i="25"/>
  <c r="F340" i="25"/>
  <c r="F341" i="25"/>
  <c r="F342" i="25"/>
  <c r="F343" i="25"/>
  <c r="F344" i="25"/>
  <c r="F345" i="25"/>
  <c r="F346" i="25"/>
  <c r="F347" i="25"/>
  <c r="F348" i="25"/>
  <c r="F349" i="25"/>
  <c r="F350" i="25"/>
  <c r="F351" i="25"/>
  <c r="F352" i="25"/>
  <c r="F353" i="25"/>
  <c r="F354" i="25"/>
  <c r="F355" i="25"/>
  <c r="F356" i="25"/>
  <c r="F357" i="25"/>
  <c r="F358" i="25"/>
  <c r="F359" i="25"/>
  <c r="F360" i="25"/>
  <c r="F361" i="25"/>
  <c r="F362" i="25"/>
  <c r="F363" i="25"/>
  <c r="F364" i="25"/>
  <c r="F365" i="25"/>
  <c r="F366" i="25"/>
  <c r="F367" i="25"/>
  <c r="F368" i="25"/>
  <c r="F369" i="25"/>
  <c r="F370" i="25"/>
  <c r="F371" i="25"/>
  <c r="F372" i="25"/>
  <c r="F373" i="25"/>
  <c r="F374" i="25"/>
  <c r="F375" i="25"/>
  <c r="F376" i="25"/>
  <c r="F377" i="25"/>
  <c r="F378" i="25"/>
  <c r="F379" i="25"/>
  <c r="F380" i="25"/>
  <c r="F381" i="25"/>
  <c r="F382" i="25"/>
  <c r="F383" i="25"/>
  <c r="F384" i="25"/>
  <c r="F385" i="25"/>
  <c r="F386" i="25"/>
  <c r="F387" i="25"/>
  <c r="F388" i="25"/>
  <c r="F389" i="25"/>
  <c r="F390" i="25"/>
  <c r="F391" i="25"/>
  <c r="F392" i="25"/>
  <c r="F393" i="25"/>
  <c r="F394" i="25"/>
  <c r="F395" i="25"/>
  <c r="F396" i="25"/>
  <c r="F397" i="25"/>
  <c r="F398" i="25"/>
  <c r="F399" i="25"/>
  <c r="F400" i="25"/>
  <c r="F401" i="25"/>
  <c r="F402" i="25"/>
  <c r="F403" i="25"/>
  <c r="F404" i="25"/>
  <c r="F405" i="25"/>
  <c r="F406" i="25"/>
  <c r="F407" i="25"/>
  <c r="F408" i="25"/>
  <c r="F409" i="25"/>
  <c r="F410" i="25"/>
  <c r="F411" i="25"/>
  <c r="F412" i="25"/>
  <c r="F413" i="25"/>
  <c r="F414" i="25"/>
  <c r="F415" i="25"/>
  <c r="F416" i="25"/>
  <c r="F417" i="25"/>
  <c r="F418" i="25"/>
  <c r="F419" i="25"/>
  <c r="F420" i="25"/>
  <c r="F421" i="25"/>
  <c r="F422" i="25"/>
  <c r="F423" i="25"/>
  <c r="F424" i="25"/>
  <c r="F425" i="25"/>
  <c r="F426" i="25"/>
  <c r="F427" i="25"/>
  <c r="F428" i="25"/>
  <c r="F429" i="25"/>
  <c r="F430" i="25"/>
  <c r="F431" i="25"/>
  <c r="F432" i="25"/>
  <c r="F433" i="25"/>
  <c r="F434" i="25"/>
  <c r="F435" i="25"/>
  <c r="F436" i="25"/>
  <c r="F437" i="25"/>
  <c r="F438" i="25"/>
  <c r="F439" i="25"/>
  <c r="F440" i="25"/>
  <c r="F441" i="25"/>
  <c r="F442" i="25"/>
  <c r="F443" i="25"/>
  <c r="F444" i="25"/>
  <c r="F445" i="25"/>
  <c r="F446" i="25"/>
  <c r="F447" i="25"/>
  <c r="F448" i="25"/>
  <c r="F449" i="25"/>
  <c r="F450" i="25"/>
  <c r="F451" i="25"/>
  <c r="F452" i="25"/>
  <c r="F453" i="25"/>
  <c r="F454" i="25"/>
  <c r="F455" i="25"/>
  <c r="F456" i="25"/>
  <c r="F457" i="25"/>
  <c r="F458" i="25"/>
  <c r="F459" i="25"/>
  <c r="F460" i="25"/>
  <c r="F461" i="25"/>
  <c r="F462" i="25"/>
  <c r="F463" i="25"/>
  <c r="F464" i="25"/>
  <c r="F465" i="25"/>
  <c r="F466" i="25"/>
  <c r="F467" i="25"/>
  <c r="F468" i="25"/>
  <c r="F469" i="25"/>
  <c r="F470" i="25"/>
  <c r="F471" i="25"/>
  <c r="F472" i="25"/>
  <c r="F473" i="25"/>
  <c r="F474" i="25"/>
  <c r="F475" i="25"/>
  <c r="F476" i="25"/>
  <c r="F477" i="25"/>
  <c r="F478" i="25"/>
  <c r="F479" i="25"/>
  <c r="F480" i="25"/>
  <c r="F481" i="25"/>
  <c r="F482" i="25"/>
  <c r="F483" i="25"/>
  <c r="F484" i="25"/>
  <c r="F485" i="25"/>
  <c r="F486" i="25"/>
  <c r="F487" i="25"/>
  <c r="F488" i="25"/>
  <c r="F489" i="25"/>
  <c r="F490" i="25"/>
  <c r="F491" i="25"/>
  <c r="F492" i="25"/>
  <c r="F493" i="25"/>
  <c r="F494" i="25"/>
  <c r="F495" i="25"/>
  <c r="F496" i="25"/>
  <c r="F497" i="25"/>
  <c r="F498" i="25"/>
  <c r="F499" i="25"/>
  <c r="F500" i="25"/>
  <c r="F501" i="25"/>
  <c r="F502" i="25"/>
  <c r="F503" i="25"/>
  <c r="F504" i="25"/>
  <c r="F505" i="25"/>
  <c r="F506" i="25"/>
  <c r="F507" i="25"/>
  <c r="F508" i="25"/>
  <c r="F509" i="25"/>
  <c r="F510" i="25"/>
  <c r="F511" i="25"/>
  <c r="F512" i="25"/>
  <c r="F513" i="25"/>
  <c r="F514" i="25"/>
  <c r="F515" i="25"/>
  <c r="F516" i="25"/>
  <c r="F517" i="25"/>
  <c r="F518" i="25"/>
  <c r="F519" i="25"/>
  <c r="F520" i="25"/>
  <c r="F521" i="25"/>
  <c r="F522" i="25"/>
  <c r="F523" i="25"/>
  <c r="F524" i="25"/>
  <c r="F525" i="25"/>
  <c r="F526" i="25"/>
  <c r="F527" i="25"/>
  <c r="F528" i="25"/>
  <c r="F529" i="25"/>
  <c r="F530" i="25"/>
  <c r="F531" i="25"/>
  <c r="F532" i="25"/>
  <c r="F533" i="25"/>
  <c r="F534" i="25"/>
  <c r="F535" i="25"/>
  <c r="F536" i="25"/>
  <c r="F537" i="25"/>
  <c r="F538" i="25"/>
  <c r="F539" i="25"/>
  <c r="F540" i="25"/>
  <c r="F541" i="25"/>
  <c r="F542" i="25"/>
  <c r="F543" i="25"/>
  <c r="F544" i="25"/>
  <c r="F545" i="25"/>
  <c r="F546" i="25"/>
  <c r="F547" i="25"/>
  <c r="F548" i="25"/>
  <c r="F549" i="25"/>
  <c r="F550" i="25"/>
  <c r="F551" i="25"/>
  <c r="F552" i="25"/>
  <c r="F553" i="25"/>
  <c r="F554" i="25"/>
  <c r="F555" i="25"/>
  <c r="F556" i="25"/>
  <c r="F557" i="25"/>
  <c r="F558" i="25"/>
  <c r="F559" i="25"/>
  <c r="F560" i="25"/>
  <c r="F561" i="25"/>
  <c r="F562" i="25"/>
  <c r="F563" i="25"/>
  <c r="F564" i="25"/>
  <c r="F565" i="25"/>
  <c r="F566" i="25"/>
  <c r="F567" i="25"/>
  <c r="F568" i="25"/>
  <c r="F569" i="25"/>
  <c r="F570" i="25"/>
  <c r="F571" i="25"/>
  <c r="F572" i="25"/>
  <c r="F573" i="25"/>
  <c r="F574" i="25"/>
  <c r="F575" i="25"/>
  <c r="F576" i="25"/>
  <c r="F577" i="25"/>
  <c r="F578" i="25"/>
  <c r="F579" i="25"/>
  <c r="F580" i="25"/>
  <c r="F581" i="25"/>
  <c r="F582" i="25"/>
  <c r="G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6" i="25"/>
  <c r="G57" i="25"/>
  <c r="G58" i="25"/>
  <c r="G59" i="25"/>
  <c r="G60" i="25"/>
  <c r="G61" i="25"/>
  <c r="G62" i="25"/>
  <c r="G63" i="25"/>
  <c r="G64" i="25"/>
  <c r="G65" i="25"/>
  <c r="G66" i="25"/>
  <c r="G67" i="25"/>
  <c r="G68" i="25"/>
  <c r="G69" i="25"/>
  <c r="G70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G91" i="25"/>
  <c r="G92" i="25"/>
  <c r="G93" i="25"/>
  <c r="G94" i="25"/>
  <c r="G95" i="25"/>
  <c r="G96" i="25"/>
  <c r="G97" i="25"/>
  <c r="G98" i="25"/>
  <c r="G99" i="25"/>
  <c r="G100" i="25"/>
  <c r="G101" i="25"/>
  <c r="G102" i="25"/>
  <c r="G103" i="25"/>
  <c r="G104" i="25"/>
  <c r="G105" i="25"/>
  <c r="G106" i="25"/>
  <c r="G107" i="25"/>
  <c r="G108" i="25"/>
  <c r="G109" i="25"/>
  <c r="G110" i="25"/>
  <c r="G111" i="25"/>
  <c r="G112" i="25"/>
  <c r="G113" i="25"/>
  <c r="G114" i="25"/>
  <c r="G115" i="25"/>
  <c r="G116" i="25"/>
  <c r="G117" i="25"/>
  <c r="G118" i="25"/>
  <c r="G119" i="25"/>
  <c r="G120" i="25"/>
  <c r="G121" i="25"/>
  <c r="G122" i="25"/>
  <c r="G123" i="25"/>
  <c r="G124" i="25"/>
  <c r="G125" i="25"/>
  <c r="G126" i="25"/>
  <c r="G127" i="25"/>
  <c r="G128" i="25"/>
  <c r="G129" i="25"/>
  <c r="G130" i="25"/>
  <c r="G131" i="25"/>
  <c r="G132" i="25"/>
  <c r="G133" i="25"/>
  <c r="G134" i="25"/>
  <c r="G135" i="25"/>
  <c r="G136" i="25"/>
  <c r="G137" i="25"/>
  <c r="G138" i="25"/>
  <c r="G139" i="25"/>
  <c r="G140" i="25"/>
  <c r="G141" i="25"/>
  <c r="G142" i="25"/>
  <c r="G143" i="25"/>
  <c r="G144" i="25"/>
  <c r="G145" i="25"/>
  <c r="G146" i="25"/>
  <c r="G147" i="25"/>
  <c r="G148" i="25"/>
  <c r="G149" i="25"/>
  <c r="G150" i="25"/>
  <c r="G151" i="25"/>
  <c r="G152" i="25"/>
  <c r="G153" i="25"/>
  <c r="G154" i="25"/>
  <c r="G155" i="25"/>
  <c r="G156" i="25"/>
  <c r="G157" i="25"/>
  <c r="G158" i="25"/>
  <c r="G159" i="25"/>
  <c r="G160" i="25"/>
  <c r="G161" i="25"/>
  <c r="G162" i="25"/>
  <c r="G163" i="25"/>
  <c r="G164" i="25"/>
  <c r="G165" i="25"/>
  <c r="G166" i="25"/>
  <c r="G167" i="25"/>
  <c r="G168" i="25"/>
  <c r="G169" i="25"/>
  <c r="G170" i="25"/>
  <c r="G171" i="25"/>
  <c r="G172" i="25"/>
  <c r="G173" i="25"/>
  <c r="G174" i="25"/>
  <c r="G175" i="25"/>
  <c r="G176" i="25"/>
  <c r="G177" i="25"/>
  <c r="G178" i="25"/>
  <c r="G179" i="25"/>
  <c r="G180" i="25"/>
  <c r="G181" i="25"/>
  <c r="G182" i="25"/>
  <c r="G183" i="25"/>
  <c r="G184" i="25"/>
  <c r="G185" i="25"/>
  <c r="G186" i="25"/>
  <c r="G187" i="25"/>
  <c r="G188" i="25"/>
  <c r="G189" i="25"/>
  <c r="G190" i="25"/>
  <c r="G191" i="25"/>
  <c r="G192" i="25"/>
  <c r="G193" i="25"/>
  <c r="G194" i="25"/>
  <c r="G195" i="25"/>
  <c r="G196" i="25"/>
  <c r="G197" i="25"/>
  <c r="G198" i="25"/>
  <c r="G199" i="25"/>
  <c r="G200" i="25"/>
  <c r="G201" i="25"/>
  <c r="G202" i="25"/>
  <c r="G203" i="25"/>
  <c r="G204" i="25"/>
  <c r="G205" i="25"/>
  <c r="G206" i="25"/>
  <c r="G207" i="25"/>
  <c r="G208" i="25"/>
  <c r="G209" i="25"/>
  <c r="G210" i="25"/>
  <c r="G211" i="25"/>
  <c r="G212" i="25"/>
  <c r="G213" i="25"/>
  <c r="G214" i="25"/>
  <c r="G215" i="25"/>
  <c r="G216" i="25"/>
  <c r="G217" i="25"/>
  <c r="G218" i="25"/>
  <c r="G219" i="25"/>
  <c r="G220" i="25"/>
  <c r="G221" i="25"/>
  <c r="G222" i="25"/>
  <c r="G223" i="25"/>
  <c r="G224" i="25"/>
  <c r="G225" i="25"/>
  <c r="G226" i="25"/>
  <c r="G227" i="25"/>
  <c r="G228" i="25"/>
  <c r="G229" i="25"/>
  <c r="G230" i="25"/>
  <c r="G231" i="25"/>
  <c r="G232" i="25"/>
  <c r="G233" i="25"/>
  <c r="G234" i="25"/>
  <c r="G235" i="25"/>
  <c r="G236" i="25"/>
  <c r="G237" i="25"/>
  <c r="G238" i="25"/>
  <c r="G239" i="25"/>
  <c r="G240" i="25"/>
  <c r="G241" i="25"/>
  <c r="G242" i="25"/>
  <c r="G243" i="25"/>
  <c r="G244" i="25"/>
  <c r="G245" i="25"/>
  <c r="G246" i="25"/>
  <c r="G247" i="25"/>
  <c r="G248" i="25"/>
  <c r="G249" i="25"/>
  <c r="G250" i="25"/>
  <c r="G251" i="25"/>
  <c r="G252" i="25"/>
  <c r="G253" i="25"/>
  <c r="G254" i="25"/>
  <c r="G255" i="25"/>
  <c r="G256" i="25"/>
  <c r="G257" i="25"/>
  <c r="G258" i="25"/>
  <c r="G259" i="25"/>
  <c r="G260" i="25"/>
  <c r="G261" i="25"/>
  <c r="G262" i="25"/>
  <c r="G263" i="25"/>
  <c r="G264" i="25"/>
  <c r="G265" i="25"/>
  <c r="G266" i="25"/>
  <c r="G267" i="25"/>
  <c r="G268" i="25"/>
  <c r="G269" i="25"/>
  <c r="G270" i="25"/>
  <c r="G271" i="25"/>
  <c r="G272" i="25"/>
  <c r="G273" i="25"/>
  <c r="G274" i="25"/>
  <c r="G275" i="25"/>
  <c r="G276" i="25"/>
  <c r="G277" i="25"/>
  <c r="G278" i="25"/>
  <c r="G279" i="25"/>
  <c r="G280" i="25"/>
  <c r="G281" i="25"/>
  <c r="G282" i="25"/>
  <c r="G283" i="25"/>
  <c r="G284" i="25"/>
  <c r="G285" i="25"/>
  <c r="G286" i="25"/>
  <c r="G287" i="25"/>
  <c r="G288" i="25"/>
  <c r="G289" i="25"/>
  <c r="G290" i="25"/>
  <c r="G291" i="25"/>
  <c r="G292" i="25"/>
  <c r="G293" i="25"/>
  <c r="G294" i="25"/>
  <c r="G295" i="25"/>
  <c r="G296" i="25"/>
  <c r="G297" i="25"/>
  <c r="G298" i="25"/>
  <c r="G299" i="25"/>
  <c r="G300" i="25"/>
  <c r="G301" i="25"/>
  <c r="G302" i="25"/>
  <c r="G303" i="25"/>
  <c r="G304" i="25"/>
  <c r="G305" i="25"/>
  <c r="G306" i="25"/>
  <c r="G307" i="25"/>
  <c r="G308" i="25"/>
  <c r="G309" i="25"/>
  <c r="G310" i="25"/>
  <c r="G311" i="25"/>
  <c r="G312" i="25"/>
  <c r="G313" i="25"/>
  <c r="G314" i="25"/>
  <c r="G315" i="25"/>
  <c r="G316" i="25"/>
  <c r="G317" i="25"/>
  <c r="G318" i="25"/>
  <c r="G319" i="25"/>
  <c r="G320" i="25"/>
  <c r="G321" i="25"/>
  <c r="G322" i="25"/>
  <c r="G323" i="25"/>
  <c r="G324" i="25"/>
  <c r="G325" i="25"/>
  <c r="G326" i="25"/>
  <c r="G327" i="25"/>
  <c r="G328" i="25"/>
  <c r="G329" i="25"/>
  <c r="G330" i="25"/>
  <c r="G331" i="25"/>
  <c r="G332" i="25"/>
  <c r="G333" i="25"/>
  <c r="G334" i="25"/>
  <c r="G335" i="25"/>
  <c r="G336" i="25"/>
  <c r="G337" i="25"/>
  <c r="G338" i="25"/>
  <c r="G339" i="25"/>
  <c r="G340" i="25"/>
  <c r="G341" i="25"/>
  <c r="G342" i="25"/>
  <c r="G343" i="25"/>
  <c r="G344" i="25"/>
  <c r="G345" i="25"/>
  <c r="G346" i="25"/>
  <c r="G347" i="25"/>
  <c r="G348" i="25"/>
  <c r="G349" i="25"/>
  <c r="G350" i="25"/>
  <c r="G351" i="25"/>
  <c r="G352" i="25"/>
  <c r="G353" i="25"/>
  <c r="G354" i="25"/>
  <c r="G355" i="25"/>
  <c r="G356" i="25"/>
  <c r="G357" i="25"/>
  <c r="G358" i="25"/>
  <c r="G359" i="25"/>
  <c r="G360" i="25"/>
  <c r="G361" i="25"/>
  <c r="G362" i="25"/>
  <c r="G363" i="25"/>
  <c r="G364" i="25"/>
  <c r="G365" i="25"/>
  <c r="G366" i="25"/>
  <c r="G367" i="25"/>
  <c r="G368" i="25"/>
  <c r="G369" i="25"/>
  <c r="G370" i="25"/>
  <c r="G371" i="25"/>
  <c r="G372" i="25"/>
  <c r="G373" i="25"/>
  <c r="G374" i="25"/>
  <c r="G375" i="25"/>
  <c r="G376" i="25"/>
  <c r="G377" i="25"/>
  <c r="G378" i="25"/>
  <c r="G379" i="25"/>
  <c r="G380" i="25"/>
  <c r="G381" i="25"/>
  <c r="G382" i="25"/>
  <c r="G383" i="25"/>
  <c r="G384" i="25"/>
  <c r="G385" i="25"/>
  <c r="G386" i="25"/>
  <c r="G387" i="25"/>
  <c r="G388" i="25"/>
  <c r="G389" i="25"/>
  <c r="G390" i="25"/>
  <c r="G391" i="25"/>
  <c r="G392" i="25"/>
  <c r="G393" i="25"/>
  <c r="G394" i="25"/>
  <c r="G395" i="25"/>
  <c r="G396" i="25"/>
  <c r="G397" i="25"/>
  <c r="G398" i="25"/>
  <c r="G399" i="25"/>
  <c r="G400" i="25"/>
  <c r="G401" i="25"/>
  <c r="G402" i="25"/>
  <c r="G403" i="25"/>
  <c r="G404" i="25"/>
  <c r="G405" i="25"/>
  <c r="G406" i="25"/>
  <c r="G407" i="25"/>
  <c r="G408" i="25"/>
  <c r="G409" i="25"/>
  <c r="G410" i="25"/>
  <c r="G411" i="25"/>
  <c r="G412" i="25"/>
  <c r="G413" i="25"/>
  <c r="G414" i="25"/>
  <c r="G415" i="25"/>
  <c r="G416" i="25"/>
  <c r="G417" i="25"/>
  <c r="G418" i="25"/>
  <c r="G419" i="25"/>
  <c r="G420" i="25"/>
  <c r="G421" i="25"/>
  <c r="G422" i="25"/>
  <c r="G423" i="25"/>
  <c r="G424" i="25"/>
  <c r="G425" i="25"/>
  <c r="G426" i="25"/>
  <c r="G427" i="25"/>
  <c r="G428" i="25"/>
  <c r="G429" i="25"/>
  <c r="G430" i="25"/>
  <c r="G431" i="25"/>
  <c r="G432" i="25"/>
  <c r="G433" i="25"/>
  <c r="G434" i="25"/>
  <c r="G435" i="25"/>
  <c r="G436" i="25"/>
  <c r="G437" i="25"/>
  <c r="G438" i="25"/>
  <c r="G439" i="25"/>
  <c r="G440" i="25"/>
  <c r="G441" i="25"/>
  <c r="G442" i="25"/>
  <c r="G443" i="25"/>
  <c r="G444" i="25"/>
  <c r="G445" i="25"/>
  <c r="G446" i="25"/>
  <c r="G447" i="25"/>
  <c r="G448" i="25"/>
  <c r="G449" i="25"/>
  <c r="G450" i="25"/>
  <c r="G451" i="25"/>
  <c r="G452" i="25"/>
  <c r="G453" i="25"/>
  <c r="G454" i="25"/>
  <c r="G455" i="25"/>
  <c r="G456" i="25"/>
  <c r="G457" i="25"/>
  <c r="G458" i="25"/>
  <c r="G459" i="25"/>
  <c r="G460" i="25"/>
  <c r="G461" i="25"/>
  <c r="G462" i="25"/>
  <c r="G463" i="25"/>
  <c r="G464" i="25"/>
  <c r="G465" i="25"/>
  <c r="G466" i="25"/>
  <c r="G467" i="25"/>
  <c r="G468" i="25"/>
  <c r="G469" i="25"/>
  <c r="G470" i="25"/>
  <c r="G471" i="25"/>
  <c r="G472" i="25"/>
  <c r="G473" i="25"/>
  <c r="G474" i="25"/>
  <c r="G475" i="25"/>
  <c r="G476" i="25"/>
  <c r="G477" i="25"/>
  <c r="G478" i="25"/>
  <c r="G479" i="25"/>
  <c r="G480" i="25"/>
  <c r="G481" i="25"/>
  <c r="G482" i="25"/>
  <c r="G483" i="25"/>
  <c r="G484" i="25"/>
  <c r="G485" i="25"/>
  <c r="G486" i="25"/>
  <c r="G487" i="25"/>
  <c r="G488" i="25"/>
  <c r="G489" i="25"/>
  <c r="G490" i="25"/>
  <c r="G491" i="25"/>
  <c r="G492" i="25"/>
  <c r="G493" i="25"/>
  <c r="G494" i="25"/>
  <c r="G495" i="25"/>
  <c r="G496" i="25"/>
  <c r="G497" i="25"/>
  <c r="G498" i="25"/>
  <c r="G499" i="25"/>
  <c r="G500" i="25"/>
  <c r="G501" i="25"/>
  <c r="G502" i="25"/>
  <c r="G503" i="25"/>
  <c r="G504" i="25"/>
  <c r="G505" i="25"/>
  <c r="G506" i="25"/>
  <c r="G507" i="25"/>
  <c r="G508" i="25"/>
  <c r="G509" i="25"/>
  <c r="G510" i="25"/>
  <c r="G511" i="25"/>
  <c r="G512" i="25"/>
  <c r="G513" i="25"/>
  <c r="G514" i="25"/>
  <c r="G515" i="25"/>
  <c r="G516" i="25"/>
  <c r="G517" i="25"/>
  <c r="G518" i="25"/>
  <c r="G519" i="25"/>
  <c r="G520" i="25"/>
  <c r="G521" i="25"/>
  <c r="G522" i="25"/>
  <c r="G523" i="25"/>
  <c r="G524" i="25"/>
  <c r="G525" i="25"/>
  <c r="G526" i="25"/>
  <c r="G527" i="25"/>
  <c r="G528" i="25"/>
  <c r="G529" i="25"/>
  <c r="G530" i="25"/>
  <c r="G531" i="25"/>
  <c r="G532" i="25"/>
  <c r="G533" i="25"/>
  <c r="G534" i="25"/>
  <c r="G535" i="25"/>
  <c r="G536" i="25"/>
  <c r="G537" i="25"/>
  <c r="G538" i="25"/>
  <c r="G539" i="25"/>
  <c r="G540" i="25"/>
  <c r="G541" i="25"/>
  <c r="G542" i="25"/>
  <c r="G543" i="25"/>
  <c r="G544" i="25"/>
  <c r="G545" i="25"/>
  <c r="G546" i="25"/>
  <c r="G547" i="25"/>
  <c r="G548" i="25"/>
  <c r="G549" i="25"/>
  <c r="G550" i="25"/>
  <c r="G551" i="25"/>
  <c r="G552" i="25"/>
  <c r="G553" i="25"/>
  <c r="G554" i="25"/>
  <c r="G555" i="25"/>
  <c r="G556" i="25"/>
  <c r="G557" i="25"/>
  <c r="G558" i="25"/>
  <c r="G559" i="25"/>
  <c r="G560" i="25"/>
  <c r="G561" i="25"/>
  <c r="G562" i="25"/>
  <c r="G563" i="25"/>
  <c r="G564" i="25"/>
  <c r="G565" i="25"/>
  <c r="G566" i="25"/>
  <c r="G567" i="25"/>
  <c r="G568" i="25"/>
  <c r="G569" i="25"/>
  <c r="G570" i="25"/>
  <c r="G571" i="25"/>
  <c r="G572" i="25"/>
  <c r="G573" i="25"/>
  <c r="G574" i="25"/>
  <c r="G575" i="25"/>
  <c r="G576" i="25"/>
  <c r="G577" i="25"/>
  <c r="G578" i="25"/>
  <c r="G579" i="25"/>
  <c r="G580" i="25"/>
  <c r="G581" i="25"/>
  <c r="G582" i="25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83" i="25"/>
  <c r="H84" i="25"/>
  <c r="H85" i="25"/>
  <c r="H86" i="25"/>
  <c r="H87" i="25"/>
  <c r="H88" i="25"/>
  <c r="H89" i="25"/>
  <c r="H90" i="25"/>
  <c r="H91" i="25"/>
  <c r="H92" i="25"/>
  <c r="H93" i="25"/>
  <c r="H94" i="25"/>
  <c r="H95" i="25"/>
  <c r="H96" i="25"/>
  <c r="H97" i="25"/>
  <c r="H98" i="25"/>
  <c r="H99" i="25"/>
  <c r="H100" i="25"/>
  <c r="H101" i="25"/>
  <c r="H102" i="25"/>
  <c r="H103" i="25"/>
  <c r="H104" i="25"/>
  <c r="H105" i="25"/>
  <c r="H106" i="25"/>
  <c r="H107" i="25"/>
  <c r="H108" i="25"/>
  <c r="H109" i="25"/>
  <c r="H110" i="25"/>
  <c r="H111" i="25"/>
  <c r="H112" i="25"/>
  <c r="H113" i="25"/>
  <c r="H114" i="25"/>
  <c r="H115" i="25"/>
  <c r="H116" i="25"/>
  <c r="H117" i="25"/>
  <c r="H118" i="25"/>
  <c r="H119" i="25"/>
  <c r="H120" i="25"/>
  <c r="H121" i="25"/>
  <c r="H122" i="25"/>
  <c r="H123" i="25"/>
  <c r="H124" i="25"/>
  <c r="H125" i="25"/>
  <c r="H126" i="25"/>
  <c r="H127" i="25"/>
  <c r="H128" i="25"/>
  <c r="H129" i="25"/>
  <c r="H130" i="25"/>
  <c r="H131" i="25"/>
  <c r="H132" i="25"/>
  <c r="H133" i="25"/>
  <c r="H134" i="25"/>
  <c r="H135" i="25"/>
  <c r="H136" i="25"/>
  <c r="H137" i="25"/>
  <c r="H138" i="25"/>
  <c r="H139" i="25"/>
  <c r="H140" i="25"/>
  <c r="H141" i="25"/>
  <c r="H142" i="25"/>
  <c r="H143" i="25"/>
  <c r="H144" i="25"/>
  <c r="H145" i="25"/>
  <c r="H146" i="25"/>
  <c r="H147" i="25"/>
  <c r="H148" i="25"/>
  <c r="H149" i="25"/>
  <c r="H150" i="25"/>
  <c r="H151" i="25"/>
  <c r="H152" i="25"/>
  <c r="H153" i="25"/>
  <c r="H154" i="25"/>
  <c r="H155" i="25"/>
  <c r="H156" i="25"/>
  <c r="H157" i="25"/>
  <c r="H158" i="25"/>
  <c r="H159" i="25"/>
  <c r="H160" i="25"/>
  <c r="H161" i="25"/>
  <c r="H162" i="25"/>
  <c r="H163" i="25"/>
  <c r="H164" i="25"/>
  <c r="H165" i="25"/>
  <c r="H166" i="25"/>
  <c r="H167" i="25"/>
  <c r="H168" i="25"/>
  <c r="H169" i="25"/>
  <c r="H170" i="25"/>
  <c r="H171" i="25"/>
  <c r="H172" i="25"/>
  <c r="H173" i="25"/>
  <c r="H174" i="25"/>
  <c r="H175" i="25"/>
  <c r="H176" i="25"/>
  <c r="H177" i="25"/>
  <c r="H178" i="25"/>
  <c r="H179" i="25"/>
  <c r="H180" i="25"/>
  <c r="H181" i="25"/>
  <c r="H182" i="25"/>
  <c r="H183" i="25"/>
  <c r="H184" i="25"/>
  <c r="H185" i="25"/>
  <c r="H186" i="25"/>
  <c r="H187" i="25"/>
  <c r="H188" i="25"/>
  <c r="H189" i="25"/>
  <c r="H190" i="25"/>
  <c r="H191" i="25"/>
  <c r="H192" i="25"/>
  <c r="H193" i="25"/>
  <c r="H194" i="25"/>
  <c r="H195" i="25"/>
  <c r="H196" i="25"/>
  <c r="H197" i="25"/>
  <c r="H198" i="25"/>
  <c r="H199" i="25"/>
  <c r="H200" i="25"/>
  <c r="H201" i="25"/>
  <c r="H202" i="25"/>
  <c r="H203" i="25"/>
  <c r="H204" i="25"/>
  <c r="H205" i="25"/>
  <c r="H206" i="25"/>
  <c r="H207" i="25"/>
  <c r="H208" i="25"/>
  <c r="H209" i="25"/>
  <c r="H210" i="25"/>
  <c r="H211" i="25"/>
  <c r="H212" i="25"/>
  <c r="H213" i="25"/>
  <c r="H214" i="25"/>
  <c r="H215" i="25"/>
  <c r="H216" i="25"/>
  <c r="H217" i="25"/>
  <c r="H218" i="25"/>
  <c r="H219" i="25"/>
  <c r="H220" i="25"/>
  <c r="H221" i="25"/>
  <c r="H222" i="25"/>
  <c r="H223" i="25"/>
  <c r="H224" i="25"/>
  <c r="H225" i="25"/>
  <c r="H226" i="25"/>
  <c r="H227" i="25"/>
  <c r="H228" i="25"/>
  <c r="H229" i="25"/>
  <c r="H230" i="25"/>
  <c r="H231" i="25"/>
  <c r="H232" i="25"/>
  <c r="H233" i="25"/>
  <c r="H234" i="25"/>
  <c r="H235" i="25"/>
  <c r="H236" i="25"/>
  <c r="H237" i="25"/>
  <c r="H238" i="25"/>
  <c r="H239" i="25"/>
  <c r="H240" i="25"/>
  <c r="H241" i="25"/>
  <c r="H242" i="25"/>
  <c r="H243" i="25"/>
  <c r="H244" i="25"/>
  <c r="H245" i="25"/>
  <c r="H246" i="25"/>
  <c r="H247" i="25"/>
  <c r="H248" i="25"/>
  <c r="H249" i="25"/>
  <c r="H250" i="25"/>
  <c r="H251" i="25"/>
  <c r="H252" i="25"/>
  <c r="H253" i="25"/>
  <c r="H254" i="25"/>
  <c r="H255" i="25"/>
  <c r="H256" i="25"/>
  <c r="H257" i="25"/>
  <c r="H258" i="25"/>
  <c r="H259" i="25"/>
  <c r="H260" i="25"/>
  <c r="H261" i="25"/>
  <c r="H262" i="25"/>
  <c r="H263" i="25"/>
  <c r="H264" i="25"/>
  <c r="H265" i="25"/>
  <c r="H266" i="25"/>
  <c r="H267" i="25"/>
  <c r="H268" i="25"/>
  <c r="H269" i="25"/>
  <c r="H270" i="25"/>
  <c r="H271" i="25"/>
  <c r="H272" i="25"/>
  <c r="H273" i="25"/>
  <c r="H274" i="25"/>
  <c r="H275" i="25"/>
  <c r="H276" i="25"/>
  <c r="H277" i="25"/>
  <c r="H278" i="25"/>
  <c r="H279" i="25"/>
  <c r="H280" i="25"/>
  <c r="H281" i="25"/>
  <c r="H282" i="25"/>
  <c r="H283" i="25"/>
  <c r="H284" i="25"/>
  <c r="H285" i="25"/>
  <c r="H286" i="25"/>
  <c r="H287" i="25"/>
  <c r="H288" i="25"/>
  <c r="H289" i="25"/>
  <c r="H290" i="25"/>
  <c r="H291" i="25"/>
  <c r="H292" i="25"/>
  <c r="H293" i="25"/>
  <c r="H294" i="25"/>
  <c r="H295" i="25"/>
  <c r="H296" i="25"/>
  <c r="H297" i="25"/>
  <c r="H298" i="25"/>
  <c r="H299" i="25"/>
  <c r="H300" i="25"/>
  <c r="H301" i="25"/>
  <c r="H302" i="25"/>
  <c r="H303" i="25"/>
  <c r="H304" i="25"/>
  <c r="H305" i="25"/>
  <c r="H306" i="25"/>
  <c r="H307" i="25"/>
  <c r="H308" i="25"/>
  <c r="H309" i="25"/>
  <c r="H310" i="25"/>
  <c r="H311" i="25"/>
  <c r="H312" i="25"/>
  <c r="H313" i="25"/>
  <c r="H314" i="25"/>
  <c r="H315" i="25"/>
  <c r="H316" i="25"/>
  <c r="H317" i="25"/>
  <c r="H318" i="25"/>
  <c r="H319" i="25"/>
  <c r="H320" i="25"/>
  <c r="H321" i="25"/>
  <c r="H322" i="25"/>
  <c r="H323" i="25"/>
  <c r="H324" i="25"/>
  <c r="H325" i="25"/>
  <c r="H326" i="25"/>
  <c r="H327" i="25"/>
  <c r="H328" i="25"/>
  <c r="H329" i="25"/>
  <c r="H330" i="25"/>
  <c r="H331" i="25"/>
  <c r="H332" i="25"/>
  <c r="H333" i="25"/>
  <c r="H334" i="25"/>
  <c r="H335" i="25"/>
  <c r="H336" i="25"/>
  <c r="H337" i="25"/>
  <c r="H338" i="25"/>
  <c r="H339" i="25"/>
  <c r="H340" i="25"/>
  <c r="H341" i="25"/>
  <c r="H342" i="25"/>
  <c r="H343" i="25"/>
  <c r="H344" i="25"/>
  <c r="H345" i="25"/>
  <c r="H346" i="25"/>
  <c r="H347" i="25"/>
  <c r="H348" i="25"/>
  <c r="H349" i="25"/>
  <c r="H350" i="25"/>
  <c r="H351" i="25"/>
  <c r="H352" i="25"/>
  <c r="H353" i="25"/>
  <c r="H354" i="25"/>
  <c r="H355" i="25"/>
  <c r="H356" i="25"/>
  <c r="H357" i="25"/>
  <c r="H358" i="25"/>
  <c r="H359" i="25"/>
  <c r="H360" i="25"/>
  <c r="H361" i="25"/>
  <c r="H362" i="25"/>
  <c r="H363" i="25"/>
  <c r="H364" i="25"/>
  <c r="H365" i="25"/>
  <c r="H366" i="25"/>
  <c r="H367" i="25"/>
  <c r="H368" i="25"/>
  <c r="H369" i="25"/>
  <c r="H370" i="25"/>
  <c r="H371" i="25"/>
  <c r="H372" i="25"/>
  <c r="H373" i="25"/>
  <c r="H374" i="25"/>
  <c r="H375" i="25"/>
  <c r="H376" i="25"/>
  <c r="H377" i="25"/>
  <c r="H378" i="25"/>
  <c r="H379" i="25"/>
  <c r="H380" i="25"/>
  <c r="H381" i="25"/>
  <c r="H382" i="25"/>
  <c r="H383" i="25"/>
  <c r="H384" i="25"/>
  <c r="H385" i="25"/>
  <c r="H386" i="25"/>
  <c r="H387" i="25"/>
  <c r="H388" i="25"/>
  <c r="H389" i="25"/>
  <c r="H390" i="25"/>
  <c r="H391" i="25"/>
  <c r="H392" i="25"/>
  <c r="H393" i="25"/>
  <c r="H394" i="25"/>
  <c r="H395" i="25"/>
  <c r="H396" i="25"/>
  <c r="H397" i="25"/>
  <c r="H398" i="25"/>
  <c r="H399" i="25"/>
  <c r="H400" i="25"/>
  <c r="H401" i="25"/>
  <c r="H402" i="25"/>
  <c r="H403" i="25"/>
  <c r="H404" i="25"/>
  <c r="H405" i="25"/>
  <c r="H406" i="25"/>
  <c r="H407" i="25"/>
  <c r="H408" i="25"/>
  <c r="H409" i="25"/>
  <c r="H410" i="25"/>
  <c r="H411" i="25"/>
  <c r="H412" i="25"/>
  <c r="H413" i="25"/>
  <c r="H414" i="25"/>
  <c r="H415" i="25"/>
  <c r="H416" i="25"/>
  <c r="H417" i="25"/>
  <c r="H418" i="25"/>
  <c r="H419" i="25"/>
  <c r="H420" i="25"/>
  <c r="H421" i="25"/>
  <c r="H422" i="25"/>
  <c r="H423" i="25"/>
  <c r="H424" i="25"/>
  <c r="H425" i="25"/>
  <c r="H426" i="25"/>
  <c r="H427" i="25"/>
  <c r="H428" i="25"/>
  <c r="H429" i="25"/>
  <c r="H430" i="25"/>
  <c r="H431" i="25"/>
  <c r="H432" i="25"/>
  <c r="H433" i="25"/>
  <c r="H434" i="25"/>
  <c r="H435" i="25"/>
  <c r="H436" i="25"/>
  <c r="H437" i="25"/>
  <c r="H438" i="25"/>
  <c r="H439" i="25"/>
  <c r="H440" i="25"/>
  <c r="H441" i="25"/>
  <c r="H442" i="25"/>
  <c r="H443" i="25"/>
  <c r="H444" i="25"/>
  <c r="H445" i="25"/>
  <c r="H446" i="25"/>
  <c r="H447" i="25"/>
  <c r="H448" i="25"/>
  <c r="H449" i="25"/>
  <c r="H450" i="25"/>
  <c r="H451" i="25"/>
  <c r="H452" i="25"/>
  <c r="H453" i="25"/>
  <c r="H454" i="25"/>
  <c r="H455" i="25"/>
  <c r="H456" i="25"/>
  <c r="H457" i="25"/>
  <c r="H458" i="25"/>
  <c r="H459" i="25"/>
  <c r="H460" i="25"/>
  <c r="H461" i="25"/>
  <c r="H462" i="25"/>
  <c r="H463" i="25"/>
  <c r="H464" i="25"/>
  <c r="H465" i="25"/>
  <c r="H466" i="25"/>
  <c r="H467" i="25"/>
  <c r="H468" i="25"/>
  <c r="H469" i="25"/>
  <c r="H470" i="25"/>
  <c r="H471" i="25"/>
  <c r="H472" i="25"/>
  <c r="H473" i="25"/>
  <c r="H474" i="25"/>
  <c r="H475" i="25"/>
  <c r="H476" i="25"/>
  <c r="H477" i="25"/>
  <c r="H478" i="25"/>
  <c r="H479" i="25"/>
  <c r="H480" i="25"/>
  <c r="H481" i="25"/>
  <c r="H482" i="25"/>
  <c r="H483" i="25"/>
  <c r="H484" i="25"/>
  <c r="H485" i="25"/>
  <c r="H486" i="25"/>
  <c r="H487" i="25"/>
  <c r="H488" i="25"/>
  <c r="H489" i="25"/>
  <c r="H490" i="25"/>
  <c r="H491" i="25"/>
  <c r="H492" i="25"/>
  <c r="H493" i="25"/>
  <c r="H494" i="25"/>
  <c r="H495" i="25"/>
  <c r="H496" i="25"/>
  <c r="H497" i="25"/>
  <c r="H498" i="25"/>
  <c r="H499" i="25"/>
  <c r="H500" i="25"/>
  <c r="H501" i="25"/>
  <c r="H502" i="25"/>
  <c r="H503" i="25"/>
  <c r="H504" i="25"/>
  <c r="H505" i="25"/>
  <c r="H506" i="25"/>
  <c r="H507" i="25"/>
  <c r="H508" i="25"/>
  <c r="H509" i="25"/>
  <c r="H510" i="25"/>
  <c r="H511" i="25"/>
  <c r="H512" i="25"/>
  <c r="H513" i="25"/>
  <c r="H514" i="25"/>
  <c r="H515" i="25"/>
  <c r="H516" i="25"/>
  <c r="H517" i="25"/>
  <c r="H518" i="25"/>
  <c r="H519" i="25"/>
  <c r="H520" i="25"/>
  <c r="H521" i="25"/>
  <c r="H522" i="25"/>
  <c r="H523" i="25"/>
  <c r="H524" i="25"/>
  <c r="H525" i="25"/>
  <c r="H526" i="25"/>
  <c r="H527" i="25"/>
  <c r="H528" i="25"/>
  <c r="H529" i="25"/>
  <c r="H530" i="25"/>
  <c r="H531" i="25"/>
  <c r="H532" i="25"/>
  <c r="H533" i="25"/>
  <c r="H534" i="25"/>
  <c r="H535" i="25"/>
  <c r="H536" i="25"/>
  <c r="H537" i="25"/>
  <c r="H538" i="25"/>
  <c r="H539" i="25"/>
  <c r="H540" i="25"/>
  <c r="H541" i="25"/>
  <c r="H542" i="25"/>
  <c r="H543" i="25"/>
  <c r="H544" i="25"/>
  <c r="H545" i="25"/>
  <c r="H546" i="25"/>
  <c r="H547" i="25"/>
  <c r="H548" i="25"/>
  <c r="H549" i="25"/>
  <c r="H550" i="25"/>
  <c r="H551" i="25"/>
  <c r="H552" i="25"/>
  <c r="H553" i="25"/>
  <c r="H554" i="25"/>
  <c r="H555" i="25"/>
  <c r="H556" i="25"/>
  <c r="H557" i="25"/>
  <c r="H558" i="25"/>
  <c r="H559" i="25"/>
  <c r="H560" i="25"/>
  <c r="H561" i="25"/>
  <c r="H562" i="25"/>
  <c r="H563" i="25"/>
  <c r="H564" i="25"/>
  <c r="H565" i="25"/>
  <c r="H566" i="25"/>
  <c r="H567" i="25"/>
  <c r="H568" i="25"/>
  <c r="H569" i="25"/>
  <c r="H570" i="25"/>
  <c r="H571" i="25"/>
  <c r="H572" i="25"/>
  <c r="H573" i="25"/>
  <c r="H574" i="25"/>
  <c r="H575" i="25"/>
  <c r="H576" i="25"/>
  <c r="H577" i="25"/>
  <c r="H578" i="25"/>
  <c r="H579" i="25"/>
  <c r="H580" i="25"/>
  <c r="H581" i="25"/>
  <c r="H582" i="25"/>
  <c r="I3" i="25"/>
  <c r="I4" i="25"/>
  <c r="I5" i="25"/>
  <c r="I6" i="25"/>
  <c r="I7" i="25"/>
  <c r="I8" i="25"/>
  <c r="I9" i="25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54" i="25"/>
  <c r="I55" i="25"/>
  <c r="I56" i="25"/>
  <c r="I57" i="25"/>
  <c r="I58" i="25"/>
  <c r="I59" i="25"/>
  <c r="I60" i="25"/>
  <c r="I61" i="25"/>
  <c r="I62" i="25"/>
  <c r="I63" i="25"/>
  <c r="I64" i="25"/>
  <c r="I65" i="25"/>
  <c r="I66" i="25"/>
  <c r="I67" i="25"/>
  <c r="I68" i="25"/>
  <c r="I69" i="25"/>
  <c r="I70" i="25"/>
  <c r="I71" i="25"/>
  <c r="I72" i="25"/>
  <c r="I73" i="25"/>
  <c r="I74" i="25"/>
  <c r="I75" i="25"/>
  <c r="I76" i="25"/>
  <c r="I77" i="25"/>
  <c r="I78" i="25"/>
  <c r="I79" i="25"/>
  <c r="I80" i="25"/>
  <c r="I81" i="25"/>
  <c r="I82" i="25"/>
  <c r="I83" i="25"/>
  <c r="I84" i="25"/>
  <c r="I85" i="25"/>
  <c r="I86" i="25"/>
  <c r="I87" i="25"/>
  <c r="I88" i="25"/>
  <c r="I89" i="25"/>
  <c r="I90" i="25"/>
  <c r="I91" i="25"/>
  <c r="I92" i="25"/>
  <c r="I93" i="25"/>
  <c r="I94" i="25"/>
  <c r="I95" i="25"/>
  <c r="I96" i="25"/>
  <c r="I97" i="25"/>
  <c r="I98" i="25"/>
  <c r="I99" i="25"/>
  <c r="I100" i="25"/>
  <c r="I101" i="25"/>
  <c r="I102" i="25"/>
  <c r="I103" i="25"/>
  <c r="I104" i="25"/>
  <c r="I105" i="25"/>
  <c r="I106" i="25"/>
  <c r="I107" i="25"/>
  <c r="I108" i="25"/>
  <c r="I109" i="25"/>
  <c r="I110" i="25"/>
  <c r="I111" i="25"/>
  <c r="I112" i="25"/>
  <c r="I113" i="25"/>
  <c r="I114" i="25"/>
  <c r="I115" i="25"/>
  <c r="I116" i="25"/>
  <c r="I117" i="25"/>
  <c r="I118" i="25"/>
  <c r="I119" i="25"/>
  <c r="I120" i="25"/>
  <c r="I121" i="25"/>
  <c r="I122" i="25"/>
  <c r="I123" i="25"/>
  <c r="I124" i="25"/>
  <c r="I125" i="25"/>
  <c r="I126" i="25"/>
  <c r="I127" i="25"/>
  <c r="I128" i="25"/>
  <c r="I129" i="25"/>
  <c r="I130" i="25"/>
  <c r="I131" i="25"/>
  <c r="I132" i="25"/>
  <c r="I133" i="25"/>
  <c r="I134" i="25"/>
  <c r="I135" i="25"/>
  <c r="I136" i="25"/>
  <c r="I137" i="25"/>
  <c r="I138" i="25"/>
  <c r="I139" i="25"/>
  <c r="I140" i="25"/>
  <c r="I141" i="25"/>
  <c r="I142" i="25"/>
  <c r="I143" i="25"/>
  <c r="I144" i="25"/>
  <c r="I145" i="25"/>
  <c r="I146" i="25"/>
  <c r="I147" i="25"/>
  <c r="I148" i="25"/>
  <c r="I149" i="25"/>
  <c r="I150" i="25"/>
  <c r="I151" i="25"/>
  <c r="I152" i="25"/>
  <c r="I153" i="25"/>
  <c r="I154" i="25"/>
  <c r="I155" i="25"/>
  <c r="I156" i="25"/>
  <c r="I157" i="25"/>
  <c r="I158" i="25"/>
  <c r="I159" i="25"/>
  <c r="I160" i="25"/>
  <c r="I161" i="25"/>
  <c r="I162" i="25"/>
  <c r="I163" i="25"/>
  <c r="I164" i="25"/>
  <c r="I165" i="25"/>
  <c r="I166" i="25"/>
  <c r="I167" i="25"/>
  <c r="I168" i="25"/>
  <c r="I169" i="25"/>
  <c r="I170" i="25"/>
  <c r="I171" i="25"/>
  <c r="I172" i="25"/>
  <c r="I173" i="25"/>
  <c r="I174" i="25"/>
  <c r="I175" i="25"/>
  <c r="I176" i="25"/>
  <c r="I177" i="25"/>
  <c r="I178" i="25"/>
  <c r="I179" i="25"/>
  <c r="I180" i="25"/>
  <c r="I181" i="25"/>
  <c r="I182" i="25"/>
  <c r="I183" i="25"/>
  <c r="I184" i="25"/>
  <c r="I185" i="25"/>
  <c r="I186" i="25"/>
  <c r="I187" i="25"/>
  <c r="I188" i="25"/>
  <c r="I189" i="25"/>
  <c r="I190" i="25"/>
  <c r="I191" i="25"/>
  <c r="I192" i="25"/>
  <c r="I193" i="25"/>
  <c r="I194" i="25"/>
  <c r="I195" i="25"/>
  <c r="I196" i="25"/>
  <c r="I197" i="25"/>
  <c r="I198" i="25"/>
  <c r="I199" i="25"/>
  <c r="I200" i="25"/>
  <c r="I201" i="25"/>
  <c r="I202" i="25"/>
  <c r="I203" i="25"/>
  <c r="I204" i="25"/>
  <c r="I205" i="25"/>
  <c r="I206" i="25"/>
  <c r="I207" i="25"/>
  <c r="I208" i="25"/>
  <c r="I209" i="25"/>
  <c r="I210" i="25"/>
  <c r="I211" i="25"/>
  <c r="I212" i="25"/>
  <c r="I213" i="25"/>
  <c r="I214" i="25"/>
  <c r="I215" i="25"/>
  <c r="I216" i="25"/>
  <c r="I217" i="25"/>
  <c r="I218" i="25"/>
  <c r="I219" i="25"/>
  <c r="I220" i="25"/>
  <c r="I221" i="25"/>
  <c r="I222" i="25"/>
  <c r="I223" i="25"/>
  <c r="I224" i="25"/>
  <c r="I225" i="25"/>
  <c r="I226" i="25"/>
  <c r="I227" i="25"/>
  <c r="I228" i="25"/>
  <c r="I229" i="25"/>
  <c r="I230" i="25"/>
  <c r="I231" i="25"/>
  <c r="I232" i="25"/>
  <c r="I233" i="25"/>
  <c r="I234" i="25"/>
  <c r="I235" i="25"/>
  <c r="I236" i="25"/>
  <c r="I237" i="25"/>
  <c r="I238" i="25"/>
  <c r="I239" i="25"/>
  <c r="I240" i="25"/>
  <c r="I241" i="25"/>
  <c r="I242" i="25"/>
  <c r="I243" i="25"/>
  <c r="I244" i="25"/>
  <c r="I245" i="25"/>
  <c r="I246" i="25"/>
  <c r="I247" i="25"/>
  <c r="I248" i="25"/>
  <c r="I249" i="25"/>
  <c r="I250" i="25"/>
  <c r="I251" i="25"/>
  <c r="I252" i="25"/>
  <c r="I253" i="25"/>
  <c r="I254" i="25"/>
  <c r="I255" i="25"/>
  <c r="I256" i="25"/>
  <c r="I257" i="25"/>
  <c r="I258" i="25"/>
  <c r="I259" i="25"/>
  <c r="I260" i="25"/>
  <c r="I261" i="25"/>
  <c r="I262" i="25"/>
  <c r="I263" i="25"/>
  <c r="I264" i="25"/>
  <c r="I265" i="25"/>
  <c r="I266" i="25"/>
  <c r="I267" i="25"/>
  <c r="I268" i="25"/>
  <c r="I269" i="25"/>
  <c r="I270" i="25"/>
  <c r="I271" i="25"/>
  <c r="I272" i="25"/>
  <c r="I273" i="25"/>
  <c r="I274" i="25"/>
  <c r="I275" i="25"/>
  <c r="I276" i="25"/>
  <c r="I277" i="25"/>
  <c r="I278" i="25"/>
  <c r="I279" i="25"/>
  <c r="I280" i="25"/>
  <c r="I281" i="25"/>
  <c r="I282" i="25"/>
  <c r="I283" i="25"/>
  <c r="I284" i="25"/>
  <c r="I285" i="25"/>
  <c r="I286" i="25"/>
  <c r="I287" i="25"/>
  <c r="I288" i="25"/>
  <c r="I289" i="25"/>
  <c r="I290" i="25"/>
  <c r="I291" i="25"/>
  <c r="I292" i="25"/>
  <c r="I293" i="25"/>
  <c r="I294" i="25"/>
  <c r="I295" i="25"/>
  <c r="I296" i="25"/>
  <c r="I297" i="25"/>
  <c r="I298" i="25"/>
  <c r="I299" i="25"/>
  <c r="I300" i="25"/>
  <c r="I301" i="25"/>
  <c r="I302" i="25"/>
  <c r="I303" i="25"/>
  <c r="I304" i="25"/>
  <c r="I305" i="25"/>
  <c r="I306" i="25"/>
  <c r="I307" i="25"/>
  <c r="I308" i="25"/>
  <c r="I309" i="25"/>
  <c r="I310" i="25"/>
  <c r="I311" i="25"/>
  <c r="I312" i="25"/>
  <c r="I313" i="25"/>
  <c r="I314" i="25"/>
  <c r="I315" i="25"/>
  <c r="I316" i="25"/>
  <c r="I317" i="25"/>
  <c r="I318" i="25"/>
  <c r="I319" i="25"/>
  <c r="I320" i="25"/>
  <c r="I321" i="25"/>
  <c r="I322" i="25"/>
  <c r="I323" i="25"/>
  <c r="I324" i="25"/>
  <c r="I325" i="25"/>
  <c r="I326" i="25"/>
  <c r="I327" i="25"/>
  <c r="I328" i="25"/>
  <c r="I329" i="25"/>
  <c r="I330" i="25"/>
  <c r="I331" i="25"/>
  <c r="I332" i="25"/>
  <c r="I333" i="25"/>
  <c r="I334" i="25"/>
  <c r="I335" i="25"/>
  <c r="I336" i="25"/>
  <c r="I337" i="25"/>
  <c r="I338" i="25"/>
  <c r="I339" i="25"/>
  <c r="I340" i="25"/>
  <c r="I341" i="25"/>
  <c r="I342" i="25"/>
  <c r="I343" i="25"/>
  <c r="I344" i="25"/>
  <c r="I345" i="25"/>
  <c r="I346" i="25"/>
  <c r="I347" i="25"/>
  <c r="I348" i="25"/>
  <c r="I349" i="25"/>
  <c r="I350" i="25"/>
  <c r="I351" i="25"/>
  <c r="I352" i="25"/>
  <c r="I353" i="25"/>
  <c r="I354" i="25"/>
  <c r="I355" i="25"/>
  <c r="I356" i="25"/>
  <c r="I357" i="25"/>
  <c r="I358" i="25"/>
  <c r="I359" i="25"/>
  <c r="I360" i="25"/>
  <c r="I361" i="25"/>
  <c r="I362" i="25"/>
  <c r="I363" i="25"/>
  <c r="I364" i="25"/>
  <c r="I365" i="25"/>
  <c r="I366" i="25"/>
  <c r="I367" i="25"/>
  <c r="I368" i="25"/>
  <c r="I369" i="25"/>
  <c r="I370" i="25"/>
  <c r="I371" i="25"/>
  <c r="I372" i="25"/>
  <c r="I373" i="25"/>
  <c r="I374" i="25"/>
  <c r="I375" i="25"/>
  <c r="I376" i="25"/>
  <c r="I377" i="25"/>
  <c r="I378" i="25"/>
  <c r="I379" i="25"/>
  <c r="I380" i="25"/>
  <c r="I381" i="25"/>
  <c r="I382" i="25"/>
  <c r="I383" i="25"/>
  <c r="I384" i="25"/>
  <c r="I385" i="25"/>
  <c r="I386" i="25"/>
  <c r="I387" i="25"/>
  <c r="I388" i="25"/>
  <c r="I389" i="25"/>
  <c r="I390" i="25"/>
  <c r="I391" i="25"/>
  <c r="I392" i="25"/>
  <c r="I393" i="25"/>
  <c r="I394" i="25"/>
  <c r="I395" i="25"/>
  <c r="I396" i="25"/>
  <c r="I397" i="25"/>
  <c r="I398" i="25"/>
  <c r="I399" i="25"/>
  <c r="I400" i="25"/>
  <c r="I401" i="25"/>
  <c r="I402" i="25"/>
  <c r="I403" i="25"/>
  <c r="I404" i="25"/>
  <c r="I405" i="25"/>
  <c r="I406" i="25"/>
  <c r="I407" i="25"/>
  <c r="I408" i="25"/>
  <c r="I409" i="25"/>
  <c r="I410" i="25"/>
  <c r="I411" i="25"/>
  <c r="I412" i="25"/>
  <c r="I413" i="25"/>
  <c r="I414" i="25"/>
  <c r="I415" i="25"/>
  <c r="I416" i="25"/>
  <c r="I417" i="25"/>
  <c r="I418" i="25"/>
  <c r="I419" i="25"/>
  <c r="I420" i="25"/>
  <c r="I421" i="25"/>
  <c r="I422" i="25"/>
  <c r="I423" i="25"/>
  <c r="I424" i="25"/>
  <c r="I425" i="25"/>
  <c r="I426" i="25"/>
  <c r="I427" i="25"/>
  <c r="I428" i="25"/>
  <c r="I429" i="25"/>
  <c r="I430" i="25"/>
  <c r="I431" i="25"/>
  <c r="I432" i="25"/>
  <c r="I433" i="25"/>
  <c r="I434" i="25"/>
  <c r="I435" i="25"/>
  <c r="I436" i="25"/>
  <c r="I437" i="25"/>
  <c r="I438" i="25"/>
  <c r="I439" i="25"/>
  <c r="I440" i="25"/>
  <c r="I441" i="25"/>
  <c r="I442" i="25"/>
  <c r="I443" i="25"/>
  <c r="I444" i="25"/>
  <c r="I445" i="25"/>
  <c r="I446" i="25"/>
  <c r="I447" i="25"/>
  <c r="I448" i="25"/>
  <c r="I449" i="25"/>
  <c r="I450" i="25"/>
  <c r="I451" i="25"/>
  <c r="I452" i="25"/>
  <c r="I453" i="25"/>
  <c r="I454" i="25"/>
  <c r="I455" i="25"/>
  <c r="I456" i="25"/>
  <c r="I457" i="25"/>
  <c r="I458" i="25"/>
  <c r="I459" i="25"/>
  <c r="I460" i="25"/>
  <c r="I461" i="25"/>
  <c r="I462" i="25"/>
  <c r="I463" i="25"/>
  <c r="I464" i="25"/>
  <c r="I465" i="25"/>
  <c r="I466" i="25"/>
  <c r="I467" i="25"/>
  <c r="I468" i="25"/>
  <c r="I469" i="25"/>
  <c r="I470" i="25"/>
  <c r="I471" i="25"/>
  <c r="I472" i="25"/>
  <c r="I473" i="25"/>
  <c r="I474" i="25"/>
  <c r="I475" i="25"/>
  <c r="I476" i="25"/>
  <c r="I477" i="25"/>
  <c r="I478" i="25"/>
  <c r="I479" i="25"/>
  <c r="I480" i="25"/>
  <c r="I481" i="25"/>
  <c r="I482" i="25"/>
  <c r="I483" i="25"/>
  <c r="I484" i="25"/>
  <c r="I485" i="25"/>
  <c r="I486" i="25"/>
  <c r="I487" i="25"/>
  <c r="I488" i="25"/>
  <c r="I489" i="25"/>
  <c r="I490" i="25"/>
  <c r="I491" i="25"/>
  <c r="I492" i="25"/>
  <c r="I493" i="25"/>
  <c r="I494" i="25"/>
  <c r="I495" i="25"/>
  <c r="I496" i="25"/>
  <c r="I497" i="25"/>
  <c r="I498" i="25"/>
  <c r="I499" i="25"/>
  <c r="I500" i="25"/>
  <c r="I501" i="25"/>
  <c r="I502" i="25"/>
  <c r="I503" i="25"/>
  <c r="I504" i="25"/>
  <c r="I505" i="25"/>
  <c r="I506" i="25"/>
  <c r="I507" i="25"/>
  <c r="I508" i="25"/>
  <c r="I509" i="25"/>
  <c r="I510" i="25"/>
  <c r="I511" i="25"/>
  <c r="I512" i="25"/>
  <c r="I513" i="25"/>
  <c r="I514" i="25"/>
  <c r="I515" i="25"/>
  <c r="I516" i="25"/>
  <c r="I517" i="25"/>
  <c r="I518" i="25"/>
  <c r="I519" i="25"/>
  <c r="I520" i="25"/>
  <c r="I521" i="25"/>
  <c r="I522" i="25"/>
  <c r="I523" i="25"/>
  <c r="I524" i="25"/>
  <c r="I525" i="25"/>
  <c r="I526" i="25"/>
  <c r="I527" i="25"/>
  <c r="I528" i="25"/>
  <c r="I529" i="25"/>
  <c r="I530" i="25"/>
  <c r="I531" i="25"/>
  <c r="I532" i="25"/>
  <c r="I533" i="25"/>
  <c r="I534" i="25"/>
  <c r="I535" i="25"/>
  <c r="I536" i="25"/>
  <c r="I537" i="25"/>
  <c r="I538" i="25"/>
  <c r="I539" i="25"/>
  <c r="I540" i="25"/>
  <c r="I541" i="25"/>
  <c r="I542" i="25"/>
  <c r="I543" i="25"/>
  <c r="I544" i="25"/>
  <c r="I545" i="25"/>
  <c r="I546" i="25"/>
  <c r="I547" i="25"/>
  <c r="I548" i="25"/>
  <c r="I549" i="25"/>
  <c r="I550" i="25"/>
  <c r="I551" i="25"/>
  <c r="I552" i="25"/>
  <c r="I553" i="25"/>
  <c r="I554" i="25"/>
  <c r="I555" i="25"/>
  <c r="I556" i="25"/>
  <c r="I557" i="25"/>
  <c r="I558" i="25"/>
  <c r="I559" i="25"/>
  <c r="I560" i="25"/>
  <c r="I561" i="25"/>
  <c r="I562" i="25"/>
  <c r="I563" i="25"/>
  <c r="I564" i="25"/>
  <c r="I565" i="25"/>
  <c r="I566" i="25"/>
  <c r="I567" i="25"/>
  <c r="I568" i="25"/>
  <c r="I569" i="25"/>
  <c r="I570" i="25"/>
  <c r="I571" i="25"/>
  <c r="I572" i="25"/>
  <c r="I573" i="25"/>
  <c r="I574" i="25"/>
  <c r="I575" i="25"/>
  <c r="I576" i="25"/>
  <c r="I577" i="25"/>
  <c r="I578" i="25"/>
  <c r="I579" i="25"/>
  <c r="I580" i="25"/>
  <c r="I581" i="25"/>
  <c r="I582" i="25"/>
  <c r="J3" i="25"/>
  <c r="J4" i="25"/>
  <c r="J5" i="25"/>
  <c r="J6" i="25"/>
  <c r="J7" i="25"/>
  <c r="J8" i="25"/>
  <c r="J9" i="25"/>
  <c r="J10" i="25"/>
  <c r="J11" i="25"/>
  <c r="J12" i="25"/>
  <c r="J13" i="25"/>
  <c r="J14" i="25"/>
  <c r="J15" i="25"/>
  <c r="J16" i="25"/>
  <c r="J17" i="25"/>
  <c r="J18" i="25"/>
  <c r="J19" i="25"/>
  <c r="J20" i="25"/>
  <c r="J21" i="25"/>
  <c r="J22" i="25"/>
  <c r="J23" i="25"/>
  <c r="J24" i="25"/>
  <c r="J25" i="25"/>
  <c r="J26" i="25"/>
  <c r="J27" i="25"/>
  <c r="J28" i="25"/>
  <c r="J29" i="25"/>
  <c r="J30" i="25"/>
  <c r="J31" i="25"/>
  <c r="J32" i="25"/>
  <c r="J33" i="25"/>
  <c r="J34" i="25"/>
  <c r="J35" i="25"/>
  <c r="J36" i="25"/>
  <c r="J37" i="25"/>
  <c r="J38" i="25"/>
  <c r="J39" i="25"/>
  <c r="J40" i="25"/>
  <c r="J41" i="25"/>
  <c r="J42" i="25"/>
  <c r="J43" i="25"/>
  <c r="J44" i="25"/>
  <c r="J45" i="25"/>
  <c r="J46" i="25"/>
  <c r="J47" i="25"/>
  <c r="J48" i="25"/>
  <c r="J49" i="25"/>
  <c r="J50" i="25"/>
  <c r="J51" i="25"/>
  <c r="J52" i="25"/>
  <c r="J53" i="25"/>
  <c r="J54" i="25"/>
  <c r="J55" i="25"/>
  <c r="J56" i="25"/>
  <c r="J57" i="25"/>
  <c r="J58" i="25"/>
  <c r="J59" i="25"/>
  <c r="J60" i="25"/>
  <c r="J61" i="25"/>
  <c r="J62" i="25"/>
  <c r="J63" i="25"/>
  <c r="J64" i="25"/>
  <c r="J65" i="25"/>
  <c r="J66" i="25"/>
  <c r="J67" i="25"/>
  <c r="J68" i="25"/>
  <c r="J69" i="25"/>
  <c r="J70" i="25"/>
  <c r="J71" i="25"/>
  <c r="J72" i="25"/>
  <c r="J73" i="25"/>
  <c r="J74" i="25"/>
  <c r="J75" i="25"/>
  <c r="J76" i="25"/>
  <c r="J77" i="25"/>
  <c r="J78" i="25"/>
  <c r="J79" i="25"/>
  <c r="J80" i="25"/>
  <c r="J81" i="25"/>
  <c r="J82" i="25"/>
  <c r="J83" i="25"/>
  <c r="J84" i="25"/>
  <c r="J85" i="25"/>
  <c r="J86" i="25"/>
  <c r="J87" i="25"/>
  <c r="J88" i="25"/>
  <c r="J89" i="25"/>
  <c r="J90" i="25"/>
  <c r="J91" i="25"/>
  <c r="J92" i="25"/>
  <c r="J93" i="25"/>
  <c r="J94" i="25"/>
  <c r="J95" i="25"/>
  <c r="J96" i="25"/>
  <c r="J97" i="25"/>
  <c r="J98" i="25"/>
  <c r="J99" i="25"/>
  <c r="J100" i="25"/>
  <c r="J101" i="25"/>
  <c r="J102" i="25"/>
  <c r="J103" i="25"/>
  <c r="J104" i="25"/>
  <c r="J105" i="25"/>
  <c r="J106" i="25"/>
  <c r="J107" i="25"/>
  <c r="J108" i="25"/>
  <c r="J109" i="25"/>
  <c r="J110" i="25"/>
  <c r="J111" i="25"/>
  <c r="J112" i="25"/>
  <c r="J113" i="25"/>
  <c r="J114" i="25"/>
  <c r="J115" i="25"/>
  <c r="J116" i="25"/>
  <c r="J117" i="25"/>
  <c r="J118" i="25"/>
  <c r="J119" i="25"/>
  <c r="J120" i="25"/>
  <c r="J121" i="25"/>
  <c r="J122" i="25"/>
  <c r="J123" i="25"/>
  <c r="J124" i="25"/>
  <c r="J125" i="25"/>
  <c r="J126" i="25"/>
  <c r="J127" i="25"/>
  <c r="J128" i="25"/>
  <c r="J129" i="25"/>
  <c r="J130" i="25"/>
  <c r="J131" i="25"/>
  <c r="J132" i="25"/>
  <c r="J133" i="25"/>
  <c r="J134" i="25"/>
  <c r="J135" i="25"/>
  <c r="J136" i="25"/>
  <c r="J137" i="25"/>
  <c r="J138" i="25"/>
  <c r="J139" i="25"/>
  <c r="J140" i="25"/>
  <c r="J141" i="25"/>
  <c r="J142" i="25"/>
  <c r="J143" i="25"/>
  <c r="J144" i="25"/>
  <c r="J145" i="25"/>
  <c r="J146" i="25"/>
  <c r="J147" i="25"/>
  <c r="J148" i="25"/>
  <c r="J149" i="25"/>
  <c r="J150" i="25"/>
  <c r="J151" i="25"/>
  <c r="J152" i="25"/>
  <c r="J153" i="25"/>
  <c r="J154" i="25"/>
  <c r="J155" i="25"/>
  <c r="J156" i="25"/>
  <c r="J157" i="25"/>
  <c r="J158" i="25"/>
  <c r="J159" i="25"/>
  <c r="J160" i="25"/>
  <c r="J161" i="25"/>
  <c r="J162" i="25"/>
  <c r="J163" i="25"/>
  <c r="J164" i="25"/>
  <c r="J165" i="25"/>
  <c r="J166" i="25"/>
  <c r="J167" i="25"/>
  <c r="J168" i="25"/>
  <c r="J169" i="25"/>
  <c r="J170" i="25"/>
  <c r="J171" i="25"/>
  <c r="J172" i="25"/>
  <c r="J173" i="25"/>
  <c r="J174" i="25"/>
  <c r="J175" i="25"/>
  <c r="J176" i="25"/>
  <c r="J177" i="25"/>
  <c r="J178" i="25"/>
  <c r="J179" i="25"/>
  <c r="J180" i="25"/>
  <c r="J181" i="25"/>
  <c r="J182" i="25"/>
  <c r="J183" i="25"/>
  <c r="J184" i="25"/>
  <c r="J185" i="25"/>
  <c r="J186" i="25"/>
  <c r="J187" i="25"/>
  <c r="J188" i="25"/>
  <c r="J189" i="25"/>
  <c r="J190" i="25"/>
  <c r="J191" i="25"/>
  <c r="J192" i="25"/>
  <c r="J193" i="25"/>
  <c r="J194" i="25"/>
  <c r="J195" i="25"/>
  <c r="J196" i="25"/>
  <c r="J197" i="25"/>
  <c r="J198" i="25"/>
  <c r="J199" i="25"/>
  <c r="J200" i="25"/>
  <c r="J201" i="25"/>
  <c r="J202" i="25"/>
  <c r="J203" i="25"/>
  <c r="J204" i="25"/>
  <c r="J205" i="25"/>
  <c r="J206" i="25"/>
  <c r="J207" i="25"/>
  <c r="J208" i="25"/>
  <c r="J209" i="25"/>
  <c r="J210" i="25"/>
  <c r="J211" i="25"/>
  <c r="J212" i="25"/>
  <c r="J213" i="25"/>
  <c r="J214" i="25"/>
  <c r="J215" i="25"/>
  <c r="J216" i="25"/>
  <c r="J217" i="25"/>
  <c r="J218" i="25"/>
  <c r="J219" i="25"/>
  <c r="J220" i="25"/>
  <c r="J221" i="25"/>
  <c r="J222" i="25"/>
  <c r="J223" i="25"/>
  <c r="J224" i="25"/>
  <c r="J225" i="25"/>
  <c r="J226" i="25"/>
  <c r="J227" i="25"/>
  <c r="J228" i="25"/>
  <c r="J229" i="25"/>
  <c r="J230" i="25"/>
  <c r="J231" i="25"/>
  <c r="J232" i="25"/>
  <c r="J233" i="25"/>
  <c r="J234" i="25"/>
  <c r="J235" i="25"/>
  <c r="J236" i="25"/>
  <c r="J237" i="25"/>
  <c r="J238" i="25"/>
  <c r="J239" i="25"/>
  <c r="J240" i="25"/>
  <c r="J241" i="25"/>
  <c r="J242" i="25"/>
  <c r="J243" i="25"/>
  <c r="J244" i="25"/>
  <c r="J245" i="25"/>
  <c r="J246" i="25"/>
  <c r="J247" i="25"/>
  <c r="J248" i="25"/>
  <c r="J249" i="25"/>
  <c r="J250" i="25"/>
  <c r="J251" i="25"/>
  <c r="J252" i="25"/>
  <c r="J253" i="25"/>
  <c r="J254" i="25"/>
  <c r="J255" i="25"/>
  <c r="J256" i="25"/>
  <c r="J257" i="25"/>
  <c r="J258" i="25"/>
  <c r="J259" i="25"/>
  <c r="J260" i="25"/>
  <c r="J261" i="25"/>
  <c r="J262" i="25"/>
  <c r="J263" i="25"/>
  <c r="J264" i="25"/>
  <c r="J265" i="25"/>
  <c r="J266" i="25"/>
  <c r="J267" i="25"/>
  <c r="J268" i="25"/>
  <c r="J269" i="25"/>
  <c r="J270" i="25"/>
  <c r="J271" i="25"/>
  <c r="J272" i="25"/>
  <c r="J273" i="25"/>
  <c r="J274" i="25"/>
  <c r="J275" i="25"/>
  <c r="J276" i="25"/>
  <c r="J277" i="25"/>
  <c r="J278" i="25"/>
  <c r="J279" i="25"/>
  <c r="J280" i="25"/>
  <c r="J281" i="25"/>
  <c r="J282" i="25"/>
  <c r="J283" i="25"/>
  <c r="J284" i="25"/>
  <c r="J285" i="25"/>
  <c r="J286" i="25"/>
  <c r="J287" i="25"/>
  <c r="J288" i="25"/>
  <c r="J289" i="25"/>
  <c r="J290" i="25"/>
  <c r="J291" i="25"/>
  <c r="J292" i="25"/>
  <c r="J293" i="25"/>
  <c r="J294" i="25"/>
  <c r="J295" i="25"/>
  <c r="J296" i="25"/>
  <c r="J297" i="25"/>
  <c r="J298" i="25"/>
  <c r="J299" i="25"/>
  <c r="J300" i="25"/>
  <c r="J301" i="25"/>
  <c r="J302" i="25"/>
  <c r="J303" i="25"/>
  <c r="J304" i="25"/>
  <c r="J305" i="25"/>
  <c r="J306" i="25"/>
  <c r="J307" i="25"/>
  <c r="J308" i="25"/>
  <c r="J309" i="25"/>
  <c r="J310" i="25"/>
  <c r="J311" i="25"/>
  <c r="J312" i="25"/>
  <c r="J313" i="25"/>
  <c r="J314" i="25"/>
  <c r="J315" i="25"/>
  <c r="J316" i="25"/>
  <c r="J317" i="25"/>
  <c r="J318" i="25"/>
  <c r="J319" i="25"/>
  <c r="J320" i="25"/>
  <c r="J321" i="25"/>
  <c r="J322" i="25"/>
  <c r="J323" i="25"/>
  <c r="J324" i="25"/>
  <c r="J325" i="25"/>
  <c r="J326" i="25"/>
  <c r="J327" i="25"/>
  <c r="J328" i="25"/>
  <c r="J329" i="25"/>
  <c r="J330" i="25"/>
  <c r="J331" i="25"/>
  <c r="J332" i="25"/>
  <c r="J333" i="25"/>
  <c r="J334" i="25"/>
  <c r="J335" i="25"/>
  <c r="J336" i="25"/>
  <c r="J337" i="25"/>
  <c r="J338" i="25"/>
  <c r="J339" i="25"/>
  <c r="J340" i="25"/>
  <c r="J341" i="25"/>
  <c r="J342" i="25"/>
  <c r="J343" i="25"/>
  <c r="J344" i="25"/>
  <c r="J345" i="25"/>
  <c r="J346" i="25"/>
  <c r="J347" i="25"/>
  <c r="J348" i="25"/>
  <c r="J349" i="25"/>
  <c r="J350" i="25"/>
  <c r="J351" i="25"/>
  <c r="J352" i="25"/>
  <c r="J353" i="25"/>
  <c r="J354" i="25"/>
  <c r="J355" i="25"/>
  <c r="J356" i="25"/>
  <c r="J357" i="25"/>
  <c r="J358" i="25"/>
  <c r="J359" i="25"/>
  <c r="J360" i="25"/>
  <c r="J361" i="25"/>
  <c r="J362" i="25"/>
  <c r="J363" i="25"/>
  <c r="J364" i="25"/>
  <c r="J365" i="25"/>
  <c r="J366" i="25"/>
  <c r="J367" i="25"/>
  <c r="J368" i="25"/>
  <c r="J369" i="25"/>
  <c r="J370" i="25"/>
  <c r="J371" i="25"/>
  <c r="J372" i="25"/>
  <c r="J373" i="25"/>
  <c r="J374" i="25"/>
  <c r="J375" i="25"/>
  <c r="J376" i="25"/>
  <c r="J377" i="25"/>
  <c r="J378" i="25"/>
  <c r="J379" i="25"/>
  <c r="J380" i="25"/>
  <c r="J381" i="25"/>
  <c r="J382" i="25"/>
  <c r="J383" i="25"/>
  <c r="J384" i="25"/>
  <c r="J385" i="25"/>
  <c r="J386" i="25"/>
  <c r="J387" i="25"/>
  <c r="J388" i="25"/>
  <c r="J389" i="25"/>
  <c r="J390" i="25"/>
  <c r="J391" i="25"/>
  <c r="J392" i="25"/>
  <c r="J393" i="25"/>
  <c r="J394" i="25"/>
  <c r="J395" i="25"/>
  <c r="J396" i="25"/>
  <c r="J397" i="25"/>
  <c r="J398" i="25"/>
  <c r="J399" i="25"/>
  <c r="J400" i="25"/>
  <c r="J401" i="25"/>
  <c r="J402" i="25"/>
  <c r="J403" i="25"/>
  <c r="J404" i="25"/>
  <c r="J405" i="25"/>
  <c r="J406" i="25"/>
  <c r="J407" i="25"/>
  <c r="J408" i="25"/>
  <c r="J409" i="25"/>
  <c r="J410" i="25"/>
  <c r="J411" i="25"/>
  <c r="J412" i="25"/>
  <c r="J413" i="25"/>
  <c r="J414" i="25"/>
  <c r="J415" i="25"/>
  <c r="J416" i="25"/>
  <c r="J417" i="25"/>
  <c r="J418" i="25"/>
  <c r="J419" i="25"/>
  <c r="J420" i="25"/>
  <c r="J421" i="25"/>
  <c r="J422" i="25"/>
  <c r="J423" i="25"/>
  <c r="J424" i="25"/>
  <c r="J425" i="25"/>
  <c r="J426" i="25"/>
  <c r="J427" i="25"/>
  <c r="J428" i="25"/>
  <c r="J429" i="25"/>
  <c r="J430" i="25"/>
  <c r="J431" i="25"/>
  <c r="J432" i="25"/>
  <c r="J433" i="25"/>
  <c r="J434" i="25"/>
  <c r="J435" i="25"/>
  <c r="J436" i="25"/>
  <c r="J437" i="25"/>
  <c r="J438" i="25"/>
  <c r="J439" i="25"/>
  <c r="J440" i="25"/>
  <c r="J441" i="25"/>
  <c r="J442" i="25"/>
  <c r="J443" i="25"/>
  <c r="J444" i="25"/>
  <c r="J445" i="25"/>
  <c r="J446" i="25"/>
  <c r="J447" i="25"/>
  <c r="J448" i="25"/>
  <c r="J449" i="25"/>
  <c r="J450" i="25"/>
  <c r="J451" i="25"/>
  <c r="J452" i="25"/>
  <c r="J453" i="25"/>
  <c r="J454" i="25"/>
  <c r="J455" i="25"/>
  <c r="J456" i="25"/>
  <c r="J457" i="25"/>
  <c r="J458" i="25"/>
  <c r="J459" i="25"/>
  <c r="J460" i="25"/>
  <c r="J461" i="25"/>
  <c r="J462" i="25"/>
  <c r="J463" i="25"/>
  <c r="J464" i="25"/>
  <c r="J465" i="25"/>
  <c r="J466" i="25"/>
  <c r="J467" i="25"/>
  <c r="J468" i="25"/>
  <c r="J469" i="25"/>
  <c r="J470" i="25"/>
  <c r="J471" i="25"/>
  <c r="J472" i="25"/>
  <c r="J473" i="25"/>
  <c r="J474" i="25"/>
  <c r="J475" i="25"/>
  <c r="J476" i="25"/>
  <c r="J477" i="25"/>
  <c r="J478" i="25"/>
  <c r="J479" i="25"/>
  <c r="J480" i="25"/>
  <c r="J481" i="25"/>
  <c r="J482" i="25"/>
  <c r="J483" i="25"/>
  <c r="J484" i="25"/>
  <c r="J485" i="25"/>
  <c r="J486" i="25"/>
  <c r="J487" i="25"/>
  <c r="J488" i="25"/>
  <c r="J489" i="25"/>
  <c r="J490" i="25"/>
  <c r="J491" i="25"/>
  <c r="J492" i="25"/>
  <c r="J493" i="25"/>
  <c r="J494" i="25"/>
  <c r="J495" i="25"/>
  <c r="J496" i="25"/>
  <c r="J497" i="25"/>
  <c r="J498" i="25"/>
  <c r="J499" i="25"/>
  <c r="J500" i="25"/>
  <c r="J501" i="25"/>
  <c r="J502" i="25"/>
  <c r="J503" i="25"/>
  <c r="J504" i="25"/>
  <c r="J505" i="25"/>
  <c r="J506" i="25"/>
  <c r="J507" i="25"/>
  <c r="J508" i="25"/>
  <c r="J509" i="25"/>
  <c r="J510" i="25"/>
  <c r="J511" i="25"/>
  <c r="J512" i="25"/>
  <c r="J513" i="25"/>
  <c r="J514" i="25"/>
  <c r="J515" i="25"/>
  <c r="J516" i="25"/>
  <c r="J517" i="25"/>
  <c r="J518" i="25"/>
  <c r="J519" i="25"/>
  <c r="J520" i="25"/>
  <c r="J521" i="25"/>
  <c r="J522" i="25"/>
  <c r="J523" i="25"/>
  <c r="J524" i="25"/>
  <c r="J525" i="25"/>
  <c r="J526" i="25"/>
  <c r="J527" i="25"/>
  <c r="J528" i="25"/>
  <c r="J529" i="25"/>
  <c r="J530" i="25"/>
  <c r="J531" i="25"/>
  <c r="J532" i="25"/>
  <c r="J533" i="25"/>
  <c r="J534" i="25"/>
  <c r="J535" i="25"/>
  <c r="J536" i="25"/>
  <c r="J537" i="25"/>
  <c r="J538" i="25"/>
  <c r="J539" i="25"/>
  <c r="J540" i="25"/>
  <c r="J541" i="25"/>
  <c r="J542" i="25"/>
  <c r="J543" i="25"/>
  <c r="J544" i="25"/>
  <c r="J545" i="25"/>
  <c r="J546" i="25"/>
  <c r="J547" i="25"/>
  <c r="J548" i="25"/>
  <c r="J549" i="25"/>
  <c r="J550" i="25"/>
  <c r="J551" i="25"/>
  <c r="J552" i="25"/>
  <c r="J553" i="25"/>
  <c r="J554" i="25"/>
  <c r="J555" i="25"/>
  <c r="J556" i="25"/>
  <c r="J557" i="25"/>
  <c r="J558" i="25"/>
  <c r="J559" i="25"/>
  <c r="J560" i="25"/>
  <c r="J561" i="25"/>
  <c r="J562" i="25"/>
  <c r="J563" i="25"/>
  <c r="J564" i="25"/>
  <c r="J565" i="25"/>
  <c r="J566" i="25"/>
  <c r="J567" i="25"/>
  <c r="J568" i="25"/>
  <c r="J569" i="25"/>
  <c r="J570" i="25"/>
  <c r="J571" i="25"/>
  <c r="J572" i="25"/>
  <c r="J573" i="25"/>
  <c r="J574" i="25"/>
  <c r="J575" i="25"/>
  <c r="J576" i="25"/>
  <c r="J577" i="25"/>
  <c r="J578" i="25"/>
  <c r="J579" i="25"/>
  <c r="J580" i="25"/>
  <c r="J581" i="25"/>
  <c r="J582" i="25"/>
  <c r="E3" i="25"/>
  <c r="D3" i="25"/>
  <c r="C3" i="25"/>
  <c r="B3" i="25"/>
  <c r="W582" i="25"/>
  <c r="W574" i="25"/>
  <c r="W558" i="25"/>
  <c r="W550" i="25"/>
  <c r="W534" i="25"/>
  <c r="W526" i="25"/>
  <c r="W510" i="25"/>
  <c r="W502" i="25"/>
  <c r="W486" i="25"/>
  <c r="W478" i="25"/>
  <c r="W462" i="25"/>
  <c r="W454" i="25"/>
  <c r="W581" i="25"/>
  <c r="W573" i="25"/>
  <c r="W557" i="25"/>
  <c r="W549" i="25"/>
  <c r="W533" i="25"/>
  <c r="W525" i="25"/>
  <c r="W509" i="25"/>
  <c r="W501" i="25"/>
  <c r="W485" i="25"/>
  <c r="W477" i="25"/>
  <c r="W461" i="25"/>
  <c r="W453" i="25"/>
  <c r="W386" i="25"/>
  <c r="W372" i="25"/>
  <c r="W358" i="25"/>
  <c r="W344" i="25"/>
  <c r="W330" i="25"/>
  <c r="W316" i="25"/>
  <c r="W302" i="25"/>
  <c r="W288" i="25"/>
  <c r="W274" i="25"/>
  <c r="W388" i="25"/>
  <c r="W387" i="25"/>
  <c r="W374" i="25"/>
  <c r="W373" i="25"/>
  <c r="W360" i="25"/>
  <c r="W359" i="25"/>
  <c r="W346" i="25"/>
  <c r="W345" i="25"/>
  <c r="W332" i="25"/>
  <c r="W331" i="25"/>
  <c r="W318" i="25"/>
  <c r="W317" i="25"/>
  <c r="W304" i="25"/>
  <c r="W303" i="25"/>
  <c r="W290" i="25"/>
  <c r="W289" i="25"/>
  <c r="W276" i="25"/>
  <c r="W275" i="25"/>
  <c r="W389" i="25"/>
  <c r="W375" i="25"/>
  <c r="W361" i="25"/>
  <c r="W347" i="25"/>
  <c r="W333" i="25"/>
  <c r="W319" i="25"/>
  <c r="W305" i="25"/>
  <c r="W291" i="25"/>
  <c r="W277" i="25"/>
  <c r="W390" i="25"/>
  <c r="W376" i="25"/>
  <c r="W362" i="25"/>
  <c r="W348" i="25"/>
  <c r="W334" i="25"/>
  <c r="W320" i="25"/>
  <c r="W306" i="25"/>
  <c r="W292" i="25"/>
  <c r="W278" i="25"/>
  <c r="W264" i="25"/>
  <c r="W250" i="25"/>
  <c r="W391" i="25"/>
  <c r="W377" i="25"/>
  <c r="W363" i="25"/>
  <c r="W349" i="25"/>
  <c r="W335" i="25"/>
  <c r="W321" i="25"/>
  <c r="W307" i="25"/>
  <c r="W293" i="25"/>
  <c r="W279" i="25"/>
  <c r="W265" i="25"/>
  <c r="W251" i="25"/>
  <c r="W385" i="25"/>
  <c r="W371" i="25"/>
  <c r="W357" i="25"/>
  <c r="W343" i="25"/>
  <c r="W329" i="25"/>
  <c r="W315" i="25"/>
  <c r="W301" i="25"/>
  <c r="W287" i="25"/>
  <c r="W273" i="25"/>
  <c r="W259" i="25"/>
  <c r="W245" i="25"/>
  <c r="W219" i="25"/>
  <c r="W205" i="25"/>
  <c r="W191" i="25"/>
  <c r="W177" i="25"/>
  <c r="W163" i="25"/>
  <c r="W149" i="25"/>
  <c r="W135" i="25"/>
  <c r="W222" i="25"/>
  <c r="W208" i="25"/>
  <c r="W194" i="25"/>
  <c r="W180" i="25"/>
  <c r="W166" i="25"/>
  <c r="W152" i="25"/>
  <c r="W138" i="25"/>
  <c r="W221" i="25"/>
  <c r="W220" i="25"/>
  <c r="W207" i="25"/>
  <c r="W206" i="25"/>
  <c r="W193" i="25"/>
  <c r="W192" i="25"/>
  <c r="W179" i="25"/>
  <c r="W178" i="25"/>
  <c r="W165" i="25"/>
  <c r="W164" i="25"/>
  <c r="W151" i="25"/>
  <c r="W150" i="25"/>
  <c r="W137" i="25"/>
  <c r="W136" i="25"/>
  <c r="W223" i="25"/>
  <c r="W209" i="25"/>
  <c r="W195" i="25"/>
  <c r="W181" i="25"/>
  <c r="W167" i="25"/>
  <c r="W153" i="25"/>
  <c r="W139" i="25"/>
  <c r="W218" i="25"/>
  <c r="W204" i="25"/>
  <c r="W190" i="25"/>
  <c r="W176" i="25"/>
  <c r="W162" i="25"/>
  <c r="W148" i="25"/>
  <c r="W134" i="25"/>
  <c r="W224" i="25"/>
  <c r="W210" i="25"/>
  <c r="W196" i="25"/>
  <c r="W182" i="25"/>
  <c r="W168" i="25"/>
  <c r="W154" i="25"/>
  <c r="W140" i="25"/>
  <c r="V4" i="25"/>
  <c r="U581" i="25"/>
  <c r="U573" i="25"/>
  <c r="U565" i="25"/>
  <c r="U557" i="25"/>
  <c r="U549" i="25"/>
  <c r="U541" i="25"/>
  <c r="U533" i="25"/>
  <c r="U525" i="25"/>
  <c r="U517" i="25"/>
  <c r="U509" i="25"/>
  <c r="U501" i="25"/>
  <c r="U493" i="25"/>
  <c r="U485" i="25"/>
  <c r="U477" i="25"/>
  <c r="U469" i="25"/>
  <c r="U461" i="25"/>
  <c r="U453" i="25"/>
  <c r="U445" i="25"/>
  <c r="U437" i="25"/>
  <c r="U429" i="25"/>
  <c r="U421" i="25"/>
  <c r="U413" i="25"/>
  <c r="U405" i="25"/>
  <c r="U397" i="25"/>
  <c r="Q396" i="25"/>
  <c r="Q234" i="25"/>
  <c r="Q117" i="25"/>
  <c r="Q5" i="25"/>
  <c r="Q4" i="25"/>
  <c r="Q397" i="25"/>
  <c r="Q229" i="25"/>
  <c r="Q223" i="25"/>
  <c r="Q216" i="25"/>
  <c r="Q209" i="25"/>
  <c r="Q202" i="25"/>
  <c r="Q195" i="25"/>
  <c r="Q188" i="25"/>
  <c r="Q181" i="25"/>
  <c r="Q174" i="25"/>
  <c r="Q167" i="25"/>
  <c r="Q160" i="25"/>
  <c r="Q153" i="25"/>
  <c r="Q146" i="25"/>
  <c r="Q139" i="25"/>
  <c r="Q132" i="25"/>
  <c r="Q125" i="25"/>
  <c r="P390" i="25"/>
  <c r="P383" i="25"/>
  <c r="P376" i="25"/>
  <c r="P369" i="25"/>
  <c r="P362" i="25"/>
  <c r="P355" i="25"/>
  <c r="P348" i="25"/>
  <c r="P341" i="25"/>
  <c r="P334" i="25"/>
  <c r="P327" i="25"/>
  <c r="P320" i="25"/>
  <c r="P313" i="25"/>
  <c r="P306" i="25"/>
  <c r="P299" i="25"/>
  <c r="P292" i="25"/>
  <c r="P285" i="25"/>
  <c r="P278" i="25"/>
  <c r="P271" i="25"/>
  <c r="P264" i="25"/>
  <c r="P257" i="25"/>
  <c r="P250" i="25"/>
  <c r="P243" i="25"/>
  <c r="P236" i="25"/>
  <c r="P229" i="25"/>
  <c r="P223" i="25"/>
  <c r="P216" i="25"/>
  <c r="P209" i="25"/>
  <c r="P202" i="25"/>
  <c r="P195" i="25"/>
  <c r="P188" i="25"/>
  <c r="P181" i="25"/>
  <c r="P174" i="25"/>
  <c r="P167" i="25"/>
  <c r="P160" i="25"/>
  <c r="P153" i="25"/>
  <c r="P146" i="25"/>
  <c r="P139" i="25"/>
  <c r="P132" i="25"/>
  <c r="P125" i="25"/>
  <c r="P579" i="25"/>
  <c r="P571" i="25"/>
  <c r="P563" i="25"/>
  <c r="P555" i="25"/>
  <c r="P547" i="25"/>
  <c r="P539" i="25"/>
  <c r="P531" i="25"/>
  <c r="P523" i="25"/>
  <c r="P515" i="25"/>
  <c r="P507" i="25"/>
  <c r="P499" i="25"/>
  <c r="P491" i="25"/>
  <c r="P483" i="25"/>
  <c r="P475" i="25"/>
  <c r="P467" i="25"/>
  <c r="P459" i="25"/>
  <c r="P451" i="25"/>
  <c r="P443" i="25"/>
  <c r="P435" i="25"/>
  <c r="P427" i="25"/>
  <c r="P419" i="25"/>
  <c r="P411" i="25"/>
  <c r="P403" i="25"/>
  <c r="P221" i="25"/>
  <c r="P214" i="25"/>
  <c r="P207" i="25"/>
  <c r="P200" i="25"/>
  <c r="P193" i="25"/>
  <c r="P186" i="25"/>
  <c r="P179" i="25"/>
  <c r="P172" i="25"/>
  <c r="P165" i="25"/>
  <c r="P158" i="25"/>
  <c r="P151" i="25"/>
  <c r="P144" i="25"/>
  <c r="P137" i="25"/>
  <c r="P130" i="25"/>
  <c r="P123" i="25"/>
  <c r="P119" i="25"/>
  <c r="P118" i="25"/>
  <c r="AL3" i="25"/>
  <c r="O581" i="25"/>
  <c r="O573" i="25"/>
  <c r="O565" i="25"/>
  <c r="O557" i="25"/>
  <c r="O549" i="25"/>
  <c r="O541" i="25"/>
  <c r="O533" i="25"/>
  <c r="O525" i="25"/>
  <c r="O517" i="25"/>
  <c r="O509" i="25"/>
  <c r="O501" i="25"/>
  <c r="O493" i="25"/>
  <c r="O485" i="25"/>
  <c r="O477" i="25"/>
  <c r="O469" i="25"/>
  <c r="O461" i="25"/>
  <c r="O453" i="25"/>
  <c r="O445" i="25"/>
  <c r="O437" i="25"/>
  <c r="O429" i="25"/>
  <c r="O421" i="25"/>
  <c r="O413" i="25"/>
  <c r="O405" i="25"/>
  <c r="O397" i="25"/>
  <c r="O578" i="25"/>
  <c r="O570" i="25"/>
  <c r="O562" i="25"/>
  <c r="O554" i="25"/>
  <c r="O546" i="25"/>
  <c r="O538" i="25"/>
  <c r="O530" i="25"/>
  <c r="O522" i="25"/>
  <c r="O514" i="25"/>
  <c r="O506" i="25"/>
  <c r="O498" i="25"/>
  <c r="O490" i="25"/>
  <c r="O482" i="25"/>
  <c r="O474" i="25"/>
  <c r="O466" i="25"/>
  <c r="O458" i="25"/>
  <c r="O450" i="25"/>
  <c r="O442" i="25"/>
  <c r="O434" i="25"/>
  <c r="O426" i="25"/>
  <c r="O418" i="25"/>
  <c r="O410" i="25"/>
  <c r="O402" i="25"/>
  <c r="O395" i="25"/>
  <c r="O388" i="25"/>
  <c r="O231" i="25"/>
  <c r="O227" i="25"/>
  <c r="O225" i="25"/>
  <c r="O220" i="25"/>
  <c r="O218" i="25"/>
  <c r="O213" i="25"/>
  <c r="O211" i="25"/>
  <c r="O206" i="25"/>
  <c r="O204" i="25"/>
  <c r="O199" i="25"/>
  <c r="O197" i="25"/>
  <c r="O192" i="25"/>
  <c r="O190" i="25"/>
  <c r="O185" i="25"/>
  <c r="O183" i="25"/>
  <c r="O178" i="25"/>
  <c r="O176" i="25"/>
  <c r="O171" i="25"/>
  <c r="O169" i="25"/>
  <c r="O164" i="25"/>
  <c r="O162" i="25"/>
  <c r="O157" i="25"/>
  <c r="O155" i="25"/>
  <c r="O150" i="25"/>
  <c r="O148" i="25"/>
  <c r="O143" i="25"/>
  <c r="O141" i="25"/>
  <c r="O136" i="25"/>
  <c r="O134" i="25"/>
  <c r="O129" i="25"/>
  <c r="O127" i="25"/>
  <c r="O122" i="25"/>
  <c r="O120" i="25"/>
  <c r="O116" i="25"/>
  <c r="O114" i="25"/>
  <c r="O10" i="25"/>
  <c r="O7" i="25"/>
  <c r="O6" i="25"/>
  <c r="O4" i="25"/>
  <c r="O576" i="25"/>
  <c r="O568" i="25"/>
  <c r="O560" i="25"/>
  <c r="O552" i="25"/>
  <c r="O544" i="25"/>
  <c r="O536" i="25"/>
  <c r="O528" i="25"/>
  <c r="O520" i="25"/>
  <c r="O512" i="25"/>
  <c r="O504" i="25"/>
  <c r="O496" i="25"/>
  <c r="O488" i="25"/>
  <c r="O480" i="25"/>
  <c r="O472" i="25"/>
  <c r="O464" i="25"/>
  <c r="O456" i="25"/>
  <c r="O448" i="25"/>
  <c r="O440" i="25"/>
  <c r="O432" i="25"/>
  <c r="O424" i="25"/>
  <c r="O416" i="25"/>
  <c r="O408" i="25"/>
  <c r="O400" i="25"/>
  <c r="O396" i="25"/>
  <c r="O393" i="25"/>
  <c r="O234" i="25"/>
  <c r="O109" i="25"/>
  <c r="O102" i="25"/>
  <c r="O95" i="25"/>
  <c r="O88" i="25"/>
  <c r="O81" i="25"/>
  <c r="O74" i="25"/>
  <c r="O67" i="25"/>
  <c r="O60" i="25"/>
  <c r="O53" i="25"/>
  <c r="O46" i="25"/>
  <c r="O39" i="25"/>
  <c r="O32" i="25"/>
  <c r="O25" i="25"/>
  <c r="O18" i="25"/>
  <c r="O12" i="25"/>
  <c r="O11" i="25"/>
  <c r="O5" i="25"/>
  <c r="L579" i="25"/>
  <c r="L119" i="25"/>
  <c r="L118" i="25"/>
  <c r="L117" i="25"/>
  <c r="L116" i="25"/>
  <c r="L115" i="25"/>
  <c r="L114" i="25"/>
  <c r="M581" i="25"/>
  <c r="M573" i="25"/>
  <c r="M565" i="25"/>
  <c r="M557" i="25"/>
  <c r="M549" i="25"/>
  <c r="M541" i="25"/>
  <c r="M533" i="25"/>
  <c r="M525" i="25"/>
  <c r="M517" i="25"/>
  <c r="M509" i="25"/>
  <c r="M501" i="25"/>
  <c r="M493" i="25"/>
  <c r="M485" i="25"/>
  <c r="M477" i="25"/>
  <c r="M469" i="25"/>
  <c r="M461" i="25"/>
  <c r="M453" i="25"/>
  <c r="M445" i="25"/>
  <c r="M437" i="25"/>
  <c r="M429" i="25"/>
  <c r="M421" i="25"/>
  <c r="M413" i="25"/>
  <c r="M405" i="25"/>
  <c r="M397" i="25"/>
  <c r="M390" i="25"/>
  <c r="M383" i="25"/>
  <c r="M376" i="25"/>
  <c r="M369" i="25"/>
  <c r="M362" i="25"/>
  <c r="M355" i="25"/>
  <c r="M348" i="25"/>
  <c r="M341" i="25"/>
  <c r="M334" i="25"/>
  <c r="M327" i="25"/>
  <c r="M320" i="25"/>
  <c r="M313" i="25"/>
  <c r="M306" i="25"/>
  <c r="M299" i="25"/>
  <c r="M292" i="25"/>
  <c r="M285" i="25"/>
  <c r="M278" i="25"/>
  <c r="M271" i="25"/>
  <c r="M264" i="25"/>
  <c r="M257" i="25"/>
  <c r="M250" i="25"/>
  <c r="M243" i="25"/>
  <c r="M236" i="25"/>
  <c r="M229" i="25"/>
  <c r="M223" i="25"/>
  <c r="M216" i="25"/>
  <c r="M209" i="25"/>
  <c r="M202" i="25"/>
  <c r="M195" i="25"/>
  <c r="M188" i="25"/>
  <c r="M181" i="25"/>
  <c r="M174" i="25"/>
  <c r="M167" i="25"/>
  <c r="M160" i="25"/>
  <c r="M153" i="25"/>
  <c r="M146" i="25"/>
  <c r="M139" i="25"/>
  <c r="M132" i="25"/>
  <c r="M125" i="25"/>
  <c r="M579" i="25"/>
  <c r="M578" i="25"/>
  <c r="M571" i="25"/>
  <c r="M570" i="25"/>
  <c r="M563" i="25"/>
  <c r="M562" i="25"/>
  <c r="M555" i="25"/>
  <c r="M554" i="25"/>
  <c r="M547" i="25"/>
  <c r="M546" i="25"/>
  <c r="M539" i="25"/>
  <c r="M538" i="25"/>
  <c r="M531" i="25"/>
  <c r="M530" i="25"/>
  <c r="M523" i="25"/>
  <c r="M522" i="25"/>
  <c r="M515" i="25"/>
  <c r="M514" i="25"/>
  <c r="M507" i="25"/>
  <c r="M506" i="25"/>
  <c r="M499" i="25"/>
  <c r="M498" i="25"/>
  <c r="M491" i="25"/>
  <c r="M490" i="25"/>
  <c r="M483" i="25"/>
  <c r="M482" i="25"/>
  <c r="M475" i="25"/>
  <c r="M474" i="25"/>
  <c r="M467" i="25"/>
  <c r="M466" i="25"/>
  <c r="M459" i="25"/>
  <c r="M458" i="25"/>
  <c r="M451" i="25"/>
  <c r="M450" i="25"/>
  <c r="M443" i="25"/>
  <c r="M442" i="25"/>
  <c r="M435" i="25"/>
  <c r="M434" i="25"/>
  <c r="M427" i="25"/>
  <c r="M426" i="25"/>
  <c r="M419" i="25"/>
  <c r="M418" i="25"/>
  <c r="M411" i="25"/>
  <c r="M410" i="25"/>
  <c r="M403" i="25"/>
  <c r="M402" i="25"/>
  <c r="M395" i="25"/>
  <c r="M388" i="25"/>
  <c r="M387" i="25"/>
  <c r="M385" i="25"/>
  <c r="M381" i="25"/>
  <c r="M380" i="25"/>
  <c r="M378" i="25"/>
  <c r="M374" i="25"/>
  <c r="M373" i="25"/>
  <c r="M371" i="25"/>
  <c r="M367" i="25"/>
  <c r="M366" i="25"/>
  <c r="M364" i="25"/>
  <c r="M360" i="25"/>
  <c r="M359" i="25"/>
  <c r="M357" i="25"/>
  <c r="M353" i="25"/>
  <c r="M352" i="25"/>
  <c r="M350" i="25"/>
  <c r="M346" i="25"/>
  <c r="M345" i="25"/>
  <c r="M343" i="25"/>
  <c r="M339" i="25"/>
  <c r="M338" i="25"/>
  <c r="M336" i="25"/>
  <c r="M332" i="25"/>
  <c r="M331" i="25"/>
  <c r="M329" i="25"/>
  <c r="M325" i="25"/>
  <c r="M324" i="25"/>
  <c r="M322" i="25"/>
  <c r="M318" i="25"/>
  <c r="M317" i="25"/>
  <c r="M315" i="25"/>
  <c r="M311" i="25"/>
  <c r="M310" i="25"/>
  <c r="M308" i="25"/>
  <c r="M304" i="25"/>
  <c r="M303" i="25"/>
  <c r="M301" i="25"/>
  <c r="M297" i="25"/>
  <c r="M296" i="25"/>
  <c r="M294" i="25"/>
  <c r="M290" i="25"/>
  <c r="M289" i="25"/>
  <c r="M287" i="25"/>
  <c r="M283" i="25"/>
  <c r="M282" i="25"/>
  <c r="M280" i="25"/>
  <c r="M276" i="25"/>
  <c r="M275" i="25"/>
  <c r="M273" i="25"/>
  <c r="M269" i="25"/>
  <c r="M268" i="25"/>
  <c r="M266" i="25"/>
  <c r="M262" i="25"/>
  <c r="M261" i="25"/>
  <c r="M259" i="25"/>
  <c r="M255" i="25"/>
  <c r="M254" i="25"/>
  <c r="M252" i="25"/>
  <c r="M248" i="25"/>
  <c r="M247" i="25"/>
  <c r="M245" i="25"/>
  <c r="M241" i="25"/>
  <c r="M240" i="25"/>
  <c r="M238" i="25"/>
  <c r="M233" i="25"/>
  <c r="M231" i="25"/>
  <c r="M227" i="25"/>
  <c r="M225" i="25"/>
  <c r="M221" i="25"/>
  <c r="M220" i="25"/>
  <c r="M218" i="25"/>
  <c r="M214" i="25"/>
  <c r="M213" i="25"/>
  <c r="M211" i="25"/>
  <c r="M207" i="25"/>
  <c r="M206" i="25"/>
  <c r="M204" i="25"/>
  <c r="M200" i="25"/>
  <c r="M199" i="25"/>
  <c r="M197" i="25"/>
  <c r="M193" i="25"/>
  <c r="M192" i="25"/>
  <c r="M190" i="25"/>
  <c r="M186" i="25"/>
  <c r="M185" i="25"/>
  <c r="M183" i="25"/>
  <c r="M179" i="25"/>
  <c r="M178" i="25"/>
  <c r="M176" i="25"/>
  <c r="M172" i="25"/>
  <c r="M171" i="25"/>
  <c r="M169" i="25"/>
  <c r="M165" i="25"/>
  <c r="M164" i="25"/>
  <c r="M162" i="25"/>
  <c r="M158" i="25"/>
  <c r="M157" i="25"/>
  <c r="M155" i="25"/>
  <c r="M151" i="25"/>
  <c r="M150" i="25"/>
  <c r="M148" i="25"/>
  <c r="M144" i="25"/>
  <c r="M143" i="25"/>
  <c r="M141" i="25"/>
  <c r="M137" i="25"/>
  <c r="M136" i="25"/>
  <c r="M134" i="25"/>
  <c r="M130" i="25"/>
  <c r="M129" i="25"/>
  <c r="M127" i="25"/>
  <c r="M123" i="25"/>
  <c r="M122" i="25"/>
  <c r="M120" i="25"/>
  <c r="M119" i="25"/>
  <c r="M118" i="25"/>
  <c r="M116" i="25"/>
  <c r="M114" i="25"/>
  <c r="M112" i="25"/>
  <c r="M111" i="25"/>
  <c r="M110" i="25"/>
  <c r="M108" i="25"/>
  <c r="M105" i="25"/>
  <c r="M104" i="25"/>
  <c r="M103" i="25"/>
  <c r="M101" i="25"/>
  <c r="M98" i="25"/>
  <c r="M97" i="25"/>
  <c r="M96" i="25"/>
  <c r="M94" i="25"/>
  <c r="M91" i="25"/>
  <c r="M90" i="25"/>
  <c r="M89" i="25"/>
  <c r="M87" i="25"/>
  <c r="M84" i="25"/>
  <c r="M83" i="25"/>
  <c r="M82" i="25"/>
  <c r="M80" i="25"/>
  <c r="M77" i="25"/>
  <c r="M76" i="25"/>
  <c r="M75" i="25"/>
  <c r="M73" i="25"/>
  <c r="M70" i="25"/>
  <c r="M69" i="25"/>
  <c r="M68" i="25"/>
  <c r="M66" i="25"/>
  <c r="M63" i="25"/>
  <c r="M62" i="25"/>
  <c r="M61" i="25"/>
  <c r="M59" i="25"/>
  <c r="M56" i="25"/>
  <c r="M55" i="25"/>
  <c r="M54" i="25"/>
  <c r="M52" i="25"/>
  <c r="M49" i="25"/>
  <c r="M48" i="25"/>
  <c r="M47" i="25"/>
  <c r="M45" i="25"/>
  <c r="M42" i="25"/>
  <c r="M41" i="25"/>
  <c r="M40" i="25"/>
  <c r="M38" i="25"/>
  <c r="M35" i="25"/>
  <c r="M34" i="25"/>
  <c r="M33" i="25"/>
  <c r="M31" i="25"/>
  <c r="M28" i="25"/>
  <c r="M27" i="25"/>
  <c r="M26" i="25"/>
  <c r="M24" i="25"/>
  <c r="M21" i="25"/>
  <c r="M20" i="25"/>
  <c r="M19" i="25"/>
  <c r="M17" i="25"/>
  <c r="M14" i="25"/>
  <c r="M13" i="25"/>
  <c r="M10" i="25"/>
  <c r="M7" i="25"/>
  <c r="M6" i="25"/>
  <c r="M4" i="25"/>
  <c r="M582" i="25"/>
  <c r="M580" i="25"/>
  <c r="M576" i="25"/>
  <c r="M574" i="25"/>
  <c r="M572" i="25"/>
  <c r="M568" i="25"/>
  <c r="M566" i="25"/>
  <c r="M564" i="25"/>
  <c r="M560" i="25"/>
  <c r="M558" i="25"/>
  <c r="M556" i="25"/>
  <c r="M552" i="25"/>
  <c r="M550" i="25"/>
  <c r="M548" i="25"/>
  <c r="M544" i="25"/>
  <c r="M542" i="25"/>
  <c r="M540" i="25"/>
  <c r="M536" i="25"/>
  <c r="M534" i="25"/>
  <c r="M532" i="25"/>
  <c r="M528" i="25"/>
  <c r="M526" i="25"/>
  <c r="M524" i="25"/>
  <c r="M520" i="25"/>
  <c r="M518" i="25"/>
  <c r="M516" i="25"/>
  <c r="M512" i="25"/>
  <c r="M510" i="25"/>
  <c r="M508" i="25"/>
  <c r="M504" i="25"/>
  <c r="M502" i="25"/>
  <c r="M500" i="25"/>
  <c r="M496" i="25"/>
  <c r="M494" i="25"/>
  <c r="M492" i="25"/>
  <c r="M488" i="25"/>
  <c r="M486" i="25"/>
  <c r="M484" i="25"/>
  <c r="M480" i="25"/>
  <c r="M478" i="25"/>
  <c r="M476" i="25"/>
  <c r="M472" i="25"/>
  <c r="M470" i="25"/>
  <c r="M468" i="25"/>
  <c r="M464" i="25"/>
  <c r="M462" i="25"/>
  <c r="M460" i="25"/>
  <c r="M456" i="25"/>
  <c r="M454" i="25"/>
  <c r="M452" i="25"/>
  <c r="M448" i="25"/>
  <c r="M446" i="25"/>
  <c r="M444" i="25"/>
  <c r="M440" i="25"/>
  <c r="M438" i="25"/>
  <c r="M436" i="25"/>
  <c r="M432" i="25"/>
  <c r="M430" i="25"/>
  <c r="M428" i="25"/>
  <c r="M424" i="25"/>
  <c r="M422" i="25"/>
  <c r="M420" i="25"/>
  <c r="M416" i="25"/>
  <c r="M414" i="25"/>
  <c r="M412" i="25"/>
  <c r="M408" i="25"/>
  <c r="M406" i="25"/>
  <c r="M404" i="25"/>
  <c r="M400" i="25"/>
  <c r="M398" i="25"/>
  <c r="M396" i="25"/>
  <c r="M393" i="25"/>
  <c r="M391" i="25"/>
  <c r="M389" i="25"/>
  <c r="M384" i="25"/>
  <c r="M382" i="25"/>
  <c r="M377" i="25"/>
  <c r="M375" i="25"/>
  <c r="M370" i="25"/>
  <c r="M368" i="25"/>
  <c r="M363" i="25"/>
  <c r="M361" i="25"/>
  <c r="M356" i="25"/>
  <c r="M354" i="25"/>
  <c r="M349" i="25"/>
  <c r="M347" i="25"/>
  <c r="M342" i="25"/>
  <c r="M340" i="25"/>
  <c r="M335" i="25"/>
  <c r="M333" i="25"/>
  <c r="M328" i="25"/>
  <c r="M326" i="25"/>
  <c r="M321" i="25"/>
  <c r="M319" i="25"/>
  <c r="M314" i="25"/>
  <c r="M312" i="25"/>
  <c r="M307" i="25"/>
  <c r="M305" i="25"/>
  <c r="M300" i="25"/>
  <c r="M298" i="25"/>
  <c r="M293" i="25"/>
  <c r="M291" i="25"/>
  <c r="M286" i="25"/>
  <c r="M284" i="25"/>
  <c r="M279" i="25"/>
  <c r="M277" i="25"/>
  <c r="M272" i="25"/>
  <c r="M270" i="25"/>
  <c r="M265" i="25"/>
  <c r="M263" i="25"/>
  <c r="M258" i="25"/>
  <c r="M256" i="25"/>
  <c r="M251" i="25"/>
  <c r="M249" i="25"/>
  <c r="M244" i="25"/>
  <c r="M242" i="25"/>
  <c r="M237" i="25"/>
  <c r="M235" i="25"/>
  <c r="M234" i="25"/>
  <c r="M230" i="25"/>
  <c r="M224" i="25"/>
  <c r="M222" i="25"/>
  <c r="M217" i="25"/>
  <c r="M215" i="25"/>
  <c r="M210" i="25"/>
  <c r="M208" i="25"/>
  <c r="M203" i="25"/>
  <c r="M201" i="25"/>
  <c r="M196" i="25"/>
  <c r="M194" i="25"/>
  <c r="M189" i="25"/>
  <c r="M187" i="25"/>
  <c r="M182" i="25"/>
  <c r="M180" i="25"/>
  <c r="M175" i="25"/>
  <c r="M173" i="25"/>
  <c r="M168" i="25"/>
  <c r="M166" i="25"/>
  <c r="M161" i="25"/>
  <c r="M159" i="25"/>
  <c r="M154" i="25"/>
  <c r="M152" i="25"/>
  <c r="M147" i="25"/>
  <c r="M145" i="25"/>
  <c r="M140" i="25"/>
  <c r="M138" i="25"/>
  <c r="M133" i="25"/>
  <c r="M131" i="25"/>
  <c r="M126" i="25"/>
  <c r="M124" i="25"/>
  <c r="M117" i="25"/>
  <c r="M113" i="25"/>
  <c r="M109" i="25"/>
  <c r="M107" i="25"/>
  <c r="M106" i="25"/>
  <c r="M102" i="25"/>
  <c r="M100" i="25"/>
  <c r="M99" i="25"/>
  <c r="M95" i="25"/>
  <c r="M93" i="25"/>
  <c r="M92" i="25"/>
  <c r="M88" i="25"/>
  <c r="M86" i="25"/>
  <c r="M85" i="25"/>
  <c r="M81" i="25"/>
  <c r="M79" i="25"/>
  <c r="M78" i="25"/>
  <c r="M74" i="25"/>
  <c r="M72" i="25"/>
  <c r="M71" i="25"/>
  <c r="M67" i="25"/>
  <c r="M65" i="25"/>
  <c r="M64" i="25"/>
  <c r="M60" i="25"/>
  <c r="M58" i="25"/>
  <c r="M57" i="25"/>
  <c r="M53" i="25"/>
  <c r="M51" i="25"/>
  <c r="M50" i="25"/>
  <c r="M46" i="25"/>
  <c r="M44" i="25"/>
  <c r="M43" i="25"/>
  <c r="M39" i="25"/>
  <c r="M37" i="25"/>
  <c r="M36" i="25"/>
  <c r="M32" i="25"/>
  <c r="M30" i="25"/>
  <c r="M29" i="25"/>
  <c r="M25" i="25"/>
  <c r="M23" i="25"/>
  <c r="M22" i="25"/>
  <c r="M18" i="25"/>
  <c r="M16" i="25"/>
  <c r="M15" i="25"/>
  <c r="M12" i="25"/>
  <c r="M11" i="25"/>
  <c r="M9" i="25"/>
  <c r="M8" i="25"/>
  <c r="M5" i="25"/>
  <c r="M3" i="25"/>
  <c r="M577" i="25"/>
  <c r="M575" i="25"/>
  <c r="M569" i="25"/>
  <c r="M567" i="25"/>
  <c r="M561" i="25"/>
  <c r="M559" i="25"/>
  <c r="M553" i="25"/>
  <c r="M551" i="25"/>
  <c r="M545" i="25"/>
  <c r="M543" i="25"/>
  <c r="M537" i="25"/>
  <c r="M535" i="25"/>
  <c r="M529" i="25"/>
  <c r="M527" i="25"/>
  <c r="M521" i="25"/>
  <c r="M519" i="25"/>
  <c r="M513" i="25"/>
  <c r="M511" i="25"/>
  <c r="M505" i="25"/>
  <c r="M503" i="25"/>
  <c r="M497" i="25"/>
  <c r="M495" i="25"/>
  <c r="M489" i="25"/>
  <c r="M487" i="25"/>
  <c r="M481" i="25"/>
  <c r="M479" i="25"/>
  <c r="M473" i="25"/>
  <c r="M471" i="25"/>
  <c r="M465" i="25"/>
  <c r="M463" i="25"/>
  <c r="M457" i="25"/>
  <c r="M455" i="25"/>
  <c r="M449" i="25"/>
  <c r="M447" i="25"/>
  <c r="M441" i="25"/>
  <c r="M439" i="25"/>
  <c r="M433" i="25"/>
  <c r="M431" i="25"/>
  <c r="M425" i="25"/>
  <c r="M423" i="25"/>
  <c r="M417" i="25"/>
  <c r="M415" i="25"/>
  <c r="M409" i="25"/>
  <c r="M407" i="25"/>
  <c r="M401" i="25"/>
  <c r="M399" i="25"/>
  <c r="M394" i="25"/>
  <c r="M392" i="25"/>
  <c r="M386" i="25"/>
  <c r="M379" i="25"/>
  <c r="M372" i="25"/>
  <c r="M365" i="25"/>
  <c r="M358" i="25"/>
  <c r="M351" i="25"/>
  <c r="M344" i="25"/>
  <c r="M337" i="25"/>
  <c r="M330" i="25"/>
  <c r="M323" i="25"/>
  <c r="M316" i="25"/>
  <c r="M309" i="25"/>
  <c r="M302" i="25"/>
  <c r="M295" i="25"/>
  <c r="M288" i="25"/>
  <c r="M281" i="25"/>
  <c r="M274" i="25"/>
  <c r="M267" i="25"/>
  <c r="M260" i="25"/>
  <c r="M253" i="25"/>
  <c r="M246" i="25"/>
  <c r="M239" i="25"/>
  <c r="M232" i="25"/>
  <c r="M226" i="25"/>
  <c r="M219" i="25"/>
  <c r="M212" i="25"/>
  <c r="M205" i="25"/>
  <c r="M198" i="25"/>
  <c r="M191" i="25"/>
  <c r="M184" i="25"/>
  <c r="M177" i="25"/>
  <c r="M170" i="25"/>
  <c r="M163" i="25"/>
  <c r="M156" i="25"/>
  <c r="M149" i="25"/>
  <c r="M142" i="25"/>
  <c r="M135" i="25"/>
  <c r="M128" i="25"/>
  <c r="M121" i="25"/>
  <c r="M115" i="25"/>
  <c r="L580" i="25"/>
  <c r="L581" i="25"/>
  <c r="L582" i="25"/>
  <c r="I392" i="3"/>
  <c r="S392" i="3" s="1"/>
  <c r="I393" i="3"/>
  <c r="I394" i="3"/>
  <c r="I395" i="3"/>
  <c r="R392" i="3"/>
  <c r="R393" i="3"/>
  <c r="R394" i="3"/>
  <c r="R395" i="3"/>
  <c r="T392" i="3" l="1"/>
  <c r="S395" i="3"/>
  <c r="S394" i="3"/>
  <c r="S393" i="3"/>
  <c r="T393" i="3" s="1"/>
  <c r="U392" i="3"/>
  <c r="N580" i="25"/>
  <c r="AI580" i="25" s="1"/>
  <c r="I10" i="22"/>
  <c r="L10" i="22"/>
  <c r="J10" i="22"/>
  <c r="K10" i="22"/>
  <c r="L14" i="22"/>
  <c r="I14" i="22"/>
  <c r="L17" i="22"/>
  <c r="K17" i="22"/>
  <c r="I17" i="22"/>
  <c r="L9" i="22"/>
  <c r="K9" i="22"/>
  <c r="J9" i="22"/>
  <c r="I9" i="22"/>
  <c r="K8" i="22"/>
  <c r="L8" i="22"/>
  <c r="J8" i="22"/>
  <c r="N581" i="25"/>
  <c r="AI581" i="25" s="1"/>
  <c r="L21" i="22"/>
  <c r="K21" i="22"/>
  <c r="J21" i="22"/>
  <c r="I21" i="22"/>
  <c r="I18" i="22"/>
  <c r="J20" i="22"/>
  <c r="I20" i="22"/>
  <c r="K20" i="22"/>
  <c r="L20" i="22"/>
  <c r="L24" i="22"/>
  <c r="L13" i="22"/>
  <c r="K13" i="22"/>
  <c r="J24" i="22"/>
  <c r="K24" i="22"/>
  <c r="L16" i="22"/>
  <c r="K16" i="22"/>
  <c r="L15" i="22"/>
  <c r="J16" i="22"/>
  <c r="K15" i="22"/>
  <c r="K14" i="22"/>
  <c r="J15" i="22"/>
  <c r="K19" i="22"/>
  <c r="L19" i="22"/>
  <c r="J17" i="22"/>
  <c r="J19" i="22"/>
  <c r="J14" i="22"/>
  <c r="J13" i="22"/>
  <c r="I24" i="22"/>
  <c r="I13" i="22"/>
  <c r="N118" i="25"/>
  <c r="AI118" i="25" s="1"/>
  <c r="I15" i="22"/>
  <c r="I16" i="22"/>
  <c r="N114" i="25"/>
  <c r="AI114" i="25" s="1"/>
  <c r="I8" i="22"/>
  <c r="N116" i="25"/>
  <c r="AI116" i="25" s="1"/>
  <c r="N119" i="25"/>
  <c r="AI119" i="25" s="1"/>
  <c r="N582" i="25"/>
  <c r="N115" i="25"/>
  <c r="AI115" i="25" s="1"/>
  <c r="N117" i="25"/>
  <c r="AI117" i="25" s="1"/>
  <c r="N579" i="25"/>
  <c r="AI579" i="25" s="1"/>
  <c r="I225" i="3"/>
  <c r="I226" i="3"/>
  <c r="I227" i="3"/>
  <c r="R225" i="3"/>
  <c r="R226" i="3"/>
  <c r="R227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I114" i="3"/>
  <c r="I115" i="3"/>
  <c r="I116" i="3"/>
  <c r="S116" i="3" s="1"/>
  <c r="I117" i="3"/>
  <c r="S117" i="3" s="1"/>
  <c r="I118" i="3"/>
  <c r="L3" i="25"/>
  <c r="N3" i="25" s="1"/>
  <c r="AI3" i="25" s="1"/>
  <c r="L4" i="25"/>
  <c r="N4" i="25" s="1"/>
  <c r="AI4" i="25" s="1"/>
  <c r="L5" i="25"/>
  <c r="N5" i="25" s="1"/>
  <c r="AI5" i="25" s="1"/>
  <c r="L6" i="25"/>
  <c r="N6" i="25" s="1"/>
  <c r="AI6" i="25" s="1"/>
  <c r="L7" i="25"/>
  <c r="N7" i="25" s="1"/>
  <c r="AI7" i="25" s="1"/>
  <c r="L8" i="25"/>
  <c r="N8" i="25" s="1"/>
  <c r="AI8" i="25" s="1"/>
  <c r="I3" i="3"/>
  <c r="I4" i="3"/>
  <c r="I5" i="3"/>
  <c r="I6" i="3"/>
  <c r="I7" i="3"/>
  <c r="I8" i="3"/>
  <c r="DH3" i="3"/>
  <c r="S118" i="3" l="1"/>
  <c r="T118" i="3" s="1"/>
  <c r="S3" i="3"/>
  <c r="T3" i="3" s="1"/>
  <c r="T572" i="3"/>
  <c r="T10" i="3"/>
  <c r="T9" i="3"/>
  <c r="K392" i="25"/>
  <c r="T116" i="3"/>
  <c r="T117" i="3"/>
  <c r="U394" i="3"/>
  <c r="V394" i="3" s="1"/>
  <c r="T394" i="3"/>
  <c r="U395" i="3"/>
  <c r="V395" i="3" s="1"/>
  <c r="T395" i="3"/>
  <c r="U393" i="3"/>
  <c r="V393" i="3" s="1"/>
  <c r="S227" i="3"/>
  <c r="S8" i="3"/>
  <c r="T8" i="3" s="1"/>
  <c r="S7" i="3"/>
  <c r="T7" i="3" s="1"/>
  <c r="S115" i="3"/>
  <c r="S6" i="3"/>
  <c r="S114" i="3"/>
  <c r="T114" i="3" s="1"/>
  <c r="S226" i="3"/>
  <c r="S5" i="3"/>
  <c r="T5" i="3" s="1"/>
  <c r="S225" i="3"/>
  <c r="S4" i="3"/>
  <c r="T4" i="3" s="1"/>
  <c r="AI582" i="25"/>
  <c r="AL4" i="25"/>
  <c r="R1" i="3"/>
  <c r="T226" i="3" l="1"/>
  <c r="AR582" i="3"/>
  <c r="AS582" i="3" s="1"/>
  <c r="AT582" i="3" s="1"/>
  <c r="K394" i="25"/>
  <c r="K395" i="25"/>
  <c r="K393" i="25"/>
  <c r="U4" i="3"/>
  <c r="U8" i="3"/>
  <c r="V8" i="3" s="1"/>
  <c r="U225" i="3"/>
  <c r="T225" i="3"/>
  <c r="U227" i="3"/>
  <c r="T227" i="3"/>
  <c r="U114" i="3"/>
  <c r="U6" i="3"/>
  <c r="V6" i="3" s="1"/>
  <c r="T6" i="3"/>
  <c r="U115" i="3"/>
  <c r="V115" i="3" s="1"/>
  <c r="T115" i="3"/>
  <c r="U5" i="3"/>
  <c r="U7" i="3"/>
  <c r="V7" i="3" s="1"/>
  <c r="U226" i="3"/>
  <c r="V226" i="3" s="1"/>
  <c r="U116" i="3"/>
  <c r="U117" i="3"/>
  <c r="U118" i="3"/>
  <c r="V118" i="3" s="1"/>
  <c r="U3" i="3"/>
  <c r="V3" i="3" s="1"/>
  <c r="AL5" i="25"/>
  <c r="AU582" i="3" l="1"/>
  <c r="AV582" i="3" s="1"/>
  <c r="AW582" i="3" s="1"/>
  <c r="K8" i="25"/>
  <c r="K227" i="25"/>
  <c r="K4" i="25"/>
  <c r="K7" i="25"/>
  <c r="K118" i="25"/>
  <c r="K117" i="25"/>
  <c r="K6" i="25"/>
  <c r="K5" i="25"/>
  <c r="K225" i="25"/>
  <c r="K116" i="25"/>
  <c r="K226" i="25"/>
  <c r="K3" i="25"/>
  <c r="AL6" i="25"/>
  <c r="K12" i="22"/>
  <c r="L22" i="22" l="1"/>
  <c r="K22" i="22"/>
  <c r="J22" i="22"/>
  <c r="L12" i="22"/>
  <c r="J12" i="22"/>
  <c r="I12" i="22"/>
  <c r="I22" i="22"/>
  <c r="AL8" i="25"/>
  <c r="AL7" i="25"/>
  <c r="V108" i="25"/>
  <c r="V101" i="25"/>
  <c r="V94" i="25"/>
  <c r="V87" i="25"/>
  <c r="V80" i="25"/>
  <c r="V73" i="25"/>
  <c r="V66" i="25"/>
  <c r="V59" i="25"/>
  <c r="V52" i="25"/>
  <c r="V45" i="25"/>
  <c r="V38" i="25"/>
  <c r="V31" i="25"/>
  <c r="V24" i="25"/>
  <c r="V17" i="25"/>
  <c r="V10" i="25"/>
  <c r="AX582" i="3" l="1"/>
  <c r="I11" i="22"/>
  <c r="K11" i="22"/>
  <c r="L11" i="22"/>
  <c r="J11" i="22"/>
  <c r="Q12" i="25"/>
  <c r="I6" i="22" s="1"/>
  <c r="AZ582" i="3" l="1"/>
  <c r="J7" i="22"/>
  <c r="K7" i="22"/>
  <c r="L7" i="22"/>
  <c r="I7" i="22"/>
  <c r="L6" i="22"/>
  <c r="K6" i="22"/>
  <c r="J6" i="22"/>
  <c r="I5" i="22"/>
  <c r="O387" i="25"/>
  <c r="O385" i="25"/>
  <c r="O381" i="25"/>
  <c r="O380" i="25"/>
  <c r="O378" i="25"/>
  <c r="O374" i="25"/>
  <c r="O373" i="25"/>
  <c r="O371" i="25"/>
  <c r="O367" i="25"/>
  <c r="O366" i="25"/>
  <c r="O364" i="25"/>
  <c r="O360" i="25"/>
  <c r="O359" i="25"/>
  <c r="O357" i="25"/>
  <c r="O353" i="25"/>
  <c r="O352" i="25"/>
  <c r="O350" i="25"/>
  <c r="O346" i="25"/>
  <c r="O345" i="25"/>
  <c r="O343" i="25"/>
  <c r="O339" i="25"/>
  <c r="O338" i="25"/>
  <c r="O336" i="25"/>
  <c r="O332" i="25"/>
  <c r="O331" i="25"/>
  <c r="O329" i="25"/>
  <c r="O325" i="25"/>
  <c r="O324" i="25"/>
  <c r="O322" i="25"/>
  <c r="O318" i="25"/>
  <c r="O317" i="25"/>
  <c r="O315" i="25"/>
  <c r="O311" i="25"/>
  <c r="O310" i="25"/>
  <c r="O308" i="25"/>
  <c r="O304" i="25"/>
  <c r="O303" i="25"/>
  <c r="O301" i="25"/>
  <c r="O297" i="25"/>
  <c r="O296" i="25"/>
  <c r="O294" i="25"/>
  <c r="O290" i="25"/>
  <c r="O289" i="25"/>
  <c r="O287" i="25"/>
  <c r="O283" i="25"/>
  <c r="O282" i="25"/>
  <c r="O280" i="25"/>
  <c r="O276" i="25"/>
  <c r="O275" i="25"/>
  <c r="O273" i="25"/>
  <c r="O269" i="25"/>
  <c r="O268" i="25"/>
  <c r="O266" i="25"/>
  <c r="O262" i="25"/>
  <c r="O261" i="25"/>
  <c r="O259" i="25"/>
  <c r="O255" i="25"/>
  <c r="O254" i="25"/>
  <c r="O252" i="25"/>
  <c r="O248" i="25"/>
  <c r="O247" i="25"/>
  <c r="O245" i="25"/>
  <c r="O241" i="25"/>
  <c r="O240" i="25"/>
  <c r="O238" i="25"/>
  <c r="O233" i="25"/>
  <c r="O112" i="25"/>
  <c r="O111" i="25"/>
  <c r="O110" i="25"/>
  <c r="O108" i="25"/>
  <c r="O105" i="25"/>
  <c r="O104" i="25"/>
  <c r="O103" i="25"/>
  <c r="O101" i="25"/>
  <c r="O98" i="25"/>
  <c r="O97" i="25"/>
  <c r="O96" i="25"/>
  <c r="O94" i="25"/>
  <c r="O91" i="25"/>
  <c r="O90" i="25"/>
  <c r="O89" i="25"/>
  <c r="O87" i="25"/>
  <c r="O84" i="25"/>
  <c r="O83" i="25"/>
  <c r="O82" i="25"/>
  <c r="O80" i="25"/>
  <c r="O77" i="25"/>
  <c r="O76" i="25"/>
  <c r="O75" i="25"/>
  <c r="O73" i="25"/>
  <c r="O70" i="25"/>
  <c r="O69" i="25"/>
  <c r="O68" i="25"/>
  <c r="O66" i="25"/>
  <c r="O63" i="25"/>
  <c r="O62" i="25"/>
  <c r="O61" i="25"/>
  <c r="O59" i="25"/>
  <c r="O56" i="25"/>
  <c r="O55" i="25"/>
  <c r="O54" i="25"/>
  <c r="O52" i="25"/>
  <c r="O49" i="25"/>
  <c r="O48" i="25"/>
  <c r="O47" i="25"/>
  <c r="O45" i="25"/>
  <c r="O42" i="25"/>
  <c r="O41" i="25"/>
  <c r="O40" i="25"/>
  <c r="O38" i="25"/>
  <c r="O35" i="25"/>
  <c r="O34" i="25"/>
  <c r="O33" i="25"/>
  <c r="O31" i="25"/>
  <c r="O28" i="25"/>
  <c r="O27" i="25"/>
  <c r="O26" i="25"/>
  <c r="O24" i="25"/>
  <c r="O21" i="25"/>
  <c r="O20" i="25"/>
  <c r="O19" i="25"/>
  <c r="O17" i="25"/>
  <c r="O14" i="25"/>
  <c r="O13" i="25"/>
  <c r="I4" i="22" s="1"/>
  <c r="BA582" i="3" l="1"/>
  <c r="BB582" i="3" s="1"/>
  <c r="J5" i="22"/>
  <c r="K5" i="22"/>
  <c r="L5" i="22"/>
  <c r="K4" i="22"/>
  <c r="L4" i="22"/>
  <c r="J4" i="22"/>
  <c r="L578" i="25"/>
  <c r="L577" i="25"/>
  <c r="L576" i="25"/>
  <c r="L112" i="25"/>
  <c r="L226" i="25"/>
  <c r="L113" i="25"/>
  <c r="L227" i="25"/>
  <c r="L111" i="25"/>
  <c r="L186" i="25"/>
  <c r="L573" i="25"/>
  <c r="L570" i="25"/>
  <c r="L26" i="25"/>
  <c r="L137" i="25"/>
  <c r="L569" i="25"/>
  <c r="L568" i="25"/>
  <c r="L150" i="25"/>
  <c r="L164" i="25"/>
  <c r="L147" i="25"/>
  <c r="L161" i="25"/>
  <c r="L565" i="25"/>
  <c r="L390" i="25"/>
  <c r="L562" i="25"/>
  <c r="L561" i="25"/>
  <c r="L560" i="25"/>
  <c r="L530" i="25"/>
  <c r="L230" i="25"/>
  <c r="L526" i="25"/>
  <c r="L389" i="25"/>
  <c r="I396" i="3"/>
  <c r="I397" i="3"/>
  <c r="S398" i="3"/>
  <c r="I228" i="3"/>
  <c r="I229" i="3"/>
  <c r="I230" i="3"/>
  <c r="AL9" i="25"/>
  <c r="AL10" i="25"/>
  <c r="AL11" i="25"/>
  <c r="AL12" i="25"/>
  <c r="AL13" i="25"/>
  <c r="AL14" i="25"/>
  <c r="AL15" i="25"/>
  <c r="I119" i="3"/>
  <c r="S119" i="3" s="1"/>
  <c r="I582" i="3"/>
  <c r="S582" i="3" s="1"/>
  <c r="I581" i="3"/>
  <c r="S581" i="3" s="1"/>
  <c r="I580" i="3"/>
  <c r="S580" i="3" s="1"/>
  <c r="I579" i="3"/>
  <c r="S579" i="3" s="1"/>
  <c r="I578" i="3"/>
  <c r="S578" i="3" s="1"/>
  <c r="I577" i="3"/>
  <c r="I576" i="3"/>
  <c r="S576" i="3" s="1"/>
  <c r="I575" i="3"/>
  <c r="I574" i="3"/>
  <c r="S574" i="3" s="1"/>
  <c r="I573" i="3"/>
  <c r="I571" i="3"/>
  <c r="S571" i="3" s="1"/>
  <c r="I570" i="3"/>
  <c r="I569" i="3"/>
  <c r="I568" i="3"/>
  <c r="S568" i="3" s="1"/>
  <c r="I567" i="3"/>
  <c r="I566" i="3"/>
  <c r="S566" i="3" s="1"/>
  <c r="I565" i="3"/>
  <c r="S565" i="3" s="1"/>
  <c r="I564" i="3"/>
  <c r="S564" i="3" s="1"/>
  <c r="I563" i="3"/>
  <c r="S563" i="3" s="1"/>
  <c r="I562" i="3"/>
  <c r="S562" i="3" s="1"/>
  <c r="I561" i="3"/>
  <c r="S561" i="3" s="1"/>
  <c r="I560" i="3"/>
  <c r="I559" i="3"/>
  <c r="S559" i="3" s="1"/>
  <c r="I558" i="3"/>
  <c r="S558" i="3" s="1"/>
  <c r="I557" i="3"/>
  <c r="S557" i="3" s="1"/>
  <c r="I556" i="3"/>
  <c r="S556" i="3" s="1"/>
  <c r="I555" i="3"/>
  <c r="S555" i="3" s="1"/>
  <c r="I554" i="3"/>
  <c r="S554" i="3" s="1"/>
  <c r="I553" i="3"/>
  <c r="S553" i="3" s="1"/>
  <c r="I552" i="3"/>
  <c r="I551" i="3"/>
  <c r="I550" i="3"/>
  <c r="I549" i="3"/>
  <c r="I548" i="3"/>
  <c r="I547" i="3"/>
  <c r="S547" i="3" s="1"/>
  <c r="I546" i="3"/>
  <c r="S546" i="3" s="1"/>
  <c r="I545" i="3"/>
  <c r="S545" i="3" s="1"/>
  <c r="I544" i="3"/>
  <c r="I543" i="3"/>
  <c r="I542" i="3"/>
  <c r="I541" i="3"/>
  <c r="S541" i="3" s="1"/>
  <c r="I540" i="3"/>
  <c r="S540" i="3" s="1"/>
  <c r="I539" i="3"/>
  <c r="S539" i="3" s="1"/>
  <c r="I538" i="3"/>
  <c r="S538" i="3" s="1"/>
  <c r="I537" i="3"/>
  <c r="S537" i="3" s="1"/>
  <c r="I536" i="3"/>
  <c r="I535" i="3"/>
  <c r="S535" i="3" s="1"/>
  <c r="I534" i="3"/>
  <c r="I533" i="3"/>
  <c r="I532" i="3"/>
  <c r="I531" i="3"/>
  <c r="I530" i="3"/>
  <c r="I529" i="3"/>
  <c r="S529" i="3" s="1"/>
  <c r="I528" i="3"/>
  <c r="I527" i="3"/>
  <c r="I526" i="3"/>
  <c r="I525" i="3"/>
  <c r="I524" i="3"/>
  <c r="I523" i="3"/>
  <c r="I522" i="3"/>
  <c r="I521" i="3"/>
  <c r="I520" i="3"/>
  <c r="I519" i="3"/>
  <c r="S519" i="3" s="1"/>
  <c r="I518" i="3"/>
  <c r="I517" i="3"/>
  <c r="I516" i="3"/>
  <c r="S516" i="3" s="1"/>
  <c r="I515" i="3"/>
  <c r="I514" i="3"/>
  <c r="I513" i="3"/>
  <c r="I512" i="3"/>
  <c r="S512" i="3" s="1"/>
  <c r="I511" i="3"/>
  <c r="I510" i="3"/>
  <c r="I509" i="3"/>
  <c r="I508" i="3"/>
  <c r="I507" i="3"/>
  <c r="I506" i="3"/>
  <c r="I505" i="3"/>
  <c r="I504" i="3"/>
  <c r="I503" i="3"/>
  <c r="I502" i="3"/>
  <c r="I501" i="3"/>
  <c r="I500" i="3"/>
  <c r="I499" i="3"/>
  <c r="I498" i="3"/>
  <c r="S498" i="3" s="1"/>
  <c r="I497" i="3"/>
  <c r="I496" i="3"/>
  <c r="I495" i="3"/>
  <c r="I494" i="3"/>
  <c r="S494" i="3" s="1"/>
  <c r="I493" i="3"/>
  <c r="I492" i="3"/>
  <c r="S492" i="3" s="1"/>
  <c r="I491" i="3"/>
  <c r="I490" i="3"/>
  <c r="I489" i="3"/>
  <c r="I488" i="3"/>
  <c r="I487" i="3"/>
  <c r="I486" i="3"/>
  <c r="I485" i="3"/>
  <c r="I484" i="3"/>
  <c r="S484" i="3" s="1"/>
  <c r="I483" i="3"/>
  <c r="I482" i="3"/>
  <c r="I481" i="3"/>
  <c r="I480" i="3"/>
  <c r="I479" i="3"/>
  <c r="I478" i="3"/>
  <c r="I477" i="3"/>
  <c r="I476" i="3"/>
  <c r="I475" i="3"/>
  <c r="I474" i="3"/>
  <c r="I473" i="3"/>
  <c r="I472" i="3"/>
  <c r="S472" i="3" s="1"/>
  <c r="I471" i="3"/>
  <c r="I470" i="3"/>
  <c r="I469" i="3"/>
  <c r="I468" i="3"/>
  <c r="I467" i="3"/>
  <c r="I466" i="3"/>
  <c r="I465" i="3"/>
  <c r="I464" i="3"/>
  <c r="I463" i="3"/>
  <c r="I462" i="3"/>
  <c r="I461" i="3"/>
  <c r="I460" i="3"/>
  <c r="I459" i="3"/>
  <c r="I458" i="3"/>
  <c r="I457" i="3"/>
  <c r="I456" i="3"/>
  <c r="I455" i="3"/>
  <c r="I454" i="3"/>
  <c r="S454" i="3" s="1"/>
  <c r="I453" i="3"/>
  <c r="I452" i="3"/>
  <c r="I451" i="3"/>
  <c r="I450" i="3"/>
  <c r="I449" i="3"/>
  <c r="I448" i="3"/>
  <c r="I447" i="3"/>
  <c r="I446" i="3"/>
  <c r="I445" i="3"/>
  <c r="I444" i="3"/>
  <c r="I443" i="3"/>
  <c r="I442" i="3"/>
  <c r="I441" i="3"/>
  <c r="I440" i="3"/>
  <c r="I439" i="3"/>
  <c r="I438" i="3"/>
  <c r="I437" i="3"/>
  <c r="I436" i="3"/>
  <c r="I435" i="3"/>
  <c r="I434" i="3"/>
  <c r="I433" i="3"/>
  <c r="I432" i="3"/>
  <c r="I431" i="3"/>
  <c r="I430" i="3"/>
  <c r="I429" i="3"/>
  <c r="I428" i="3"/>
  <c r="I427" i="3"/>
  <c r="I426" i="3"/>
  <c r="I425" i="3"/>
  <c r="I424" i="3"/>
  <c r="I423" i="3"/>
  <c r="I422" i="3"/>
  <c r="I421" i="3"/>
  <c r="I420" i="3"/>
  <c r="I419" i="3"/>
  <c r="I418" i="3"/>
  <c r="I417" i="3"/>
  <c r="I416" i="3"/>
  <c r="I415" i="3"/>
  <c r="I414" i="3"/>
  <c r="I413" i="3"/>
  <c r="S413" i="3" s="1"/>
  <c r="I412" i="3"/>
  <c r="I411" i="3"/>
  <c r="I410" i="3"/>
  <c r="I409" i="3"/>
  <c r="I408" i="3"/>
  <c r="I407" i="3"/>
  <c r="I391" i="3"/>
  <c r="S391" i="3" s="1"/>
  <c r="I390" i="3"/>
  <c r="I389" i="3"/>
  <c r="S389" i="3" s="1"/>
  <c r="I388" i="3"/>
  <c r="S388" i="3" s="1"/>
  <c r="I387" i="3"/>
  <c r="I386" i="3"/>
  <c r="I385" i="3"/>
  <c r="S385" i="3" s="1"/>
  <c r="I384" i="3"/>
  <c r="I383" i="3"/>
  <c r="S383" i="3" s="1"/>
  <c r="I382" i="3"/>
  <c r="S382" i="3" s="1"/>
  <c r="I381" i="3"/>
  <c r="S381" i="3" s="1"/>
  <c r="I380" i="3"/>
  <c r="S380" i="3" s="1"/>
  <c r="I379" i="3"/>
  <c r="I378" i="3"/>
  <c r="I377" i="3"/>
  <c r="I376" i="3"/>
  <c r="I375" i="3"/>
  <c r="S375" i="3" s="1"/>
  <c r="I374" i="3"/>
  <c r="S374" i="3" s="1"/>
  <c r="I373" i="3"/>
  <c r="I372" i="3"/>
  <c r="I371" i="3"/>
  <c r="S371" i="3" s="1"/>
  <c r="I370" i="3"/>
  <c r="S370" i="3" s="1"/>
  <c r="I369" i="3"/>
  <c r="I368" i="3"/>
  <c r="I367" i="3"/>
  <c r="S367" i="3" s="1"/>
  <c r="I366" i="3"/>
  <c r="S366" i="3" s="1"/>
  <c r="I365" i="3"/>
  <c r="I364" i="3"/>
  <c r="S364" i="3" s="1"/>
  <c r="I363" i="3"/>
  <c r="S363" i="3" s="1"/>
  <c r="I362" i="3"/>
  <c r="S362" i="3" s="1"/>
  <c r="I361" i="3"/>
  <c r="S361" i="3" s="1"/>
  <c r="I360" i="3"/>
  <c r="S360" i="3" s="1"/>
  <c r="I359" i="3"/>
  <c r="S359" i="3" s="1"/>
  <c r="I358" i="3"/>
  <c r="S358" i="3" s="1"/>
  <c r="I357" i="3"/>
  <c r="I356" i="3"/>
  <c r="S356" i="3" s="1"/>
  <c r="I355" i="3"/>
  <c r="I354" i="3"/>
  <c r="I353" i="3"/>
  <c r="S353" i="3" s="1"/>
  <c r="I352" i="3"/>
  <c r="I351" i="3"/>
  <c r="S351" i="3" s="1"/>
  <c r="I350" i="3"/>
  <c r="S350" i="3" s="1"/>
  <c r="I349" i="3"/>
  <c r="I348" i="3"/>
  <c r="I347" i="3"/>
  <c r="I346" i="3"/>
  <c r="S346" i="3" s="1"/>
  <c r="I345" i="3"/>
  <c r="I344" i="3"/>
  <c r="S344" i="3" s="1"/>
  <c r="I343" i="3"/>
  <c r="I342" i="3"/>
  <c r="I341" i="3"/>
  <c r="S341" i="3" s="1"/>
  <c r="I340" i="3"/>
  <c r="I339" i="3"/>
  <c r="I338" i="3"/>
  <c r="I337" i="3"/>
  <c r="I336" i="3"/>
  <c r="S336" i="3" s="1"/>
  <c r="I335" i="3"/>
  <c r="I334" i="3"/>
  <c r="I333" i="3"/>
  <c r="I332" i="3"/>
  <c r="I331" i="3"/>
  <c r="I330" i="3"/>
  <c r="I329" i="3"/>
  <c r="I328" i="3"/>
  <c r="I327" i="3"/>
  <c r="I326" i="3"/>
  <c r="I325" i="3"/>
  <c r="I324" i="3"/>
  <c r="I323" i="3"/>
  <c r="I322" i="3"/>
  <c r="S322" i="3" s="1"/>
  <c r="I321" i="3"/>
  <c r="I320" i="3"/>
  <c r="S320" i="3" s="1"/>
  <c r="I319" i="3"/>
  <c r="I318" i="3"/>
  <c r="I317" i="3"/>
  <c r="I316" i="3"/>
  <c r="S316" i="3" s="1"/>
  <c r="I315" i="3"/>
  <c r="I314" i="3"/>
  <c r="I313" i="3"/>
  <c r="I312" i="3"/>
  <c r="S312" i="3" s="1"/>
  <c r="I311" i="3"/>
  <c r="I310" i="3"/>
  <c r="I309" i="3"/>
  <c r="I308" i="3"/>
  <c r="I307" i="3"/>
  <c r="I306" i="3"/>
  <c r="I305" i="3"/>
  <c r="I304" i="3"/>
  <c r="I303" i="3"/>
  <c r="I302" i="3"/>
  <c r="I301" i="3"/>
  <c r="I300" i="3"/>
  <c r="S300" i="3" s="1"/>
  <c r="I299" i="3"/>
  <c r="I298" i="3"/>
  <c r="I297" i="3"/>
  <c r="I296" i="3"/>
  <c r="I295" i="3"/>
  <c r="S295" i="3" s="1"/>
  <c r="I294" i="3"/>
  <c r="S294" i="3" s="1"/>
  <c r="I293" i="3"/>
  <c r="S293" i="3" s="1"/>
  <c r="I292" i="3"/>
  <c r="I291" i="3"/>
  <c r="I290" i="3"/>
  <c r="S290" i="3" s="1"/>
  <c r="I289" i="3"/>
  <c r="I288" i="3"/>
  <c r="I287" i="3"/>
  <c r="I286" i="3"/>
  <c r="I285" i="3"/>
  <c r="I284" i="3"/>
  <c r="I283" i="3"/>
  <c r="I282" i="3"/>
  <c r="I281" i="3"/>
  <c r="I280" i="3"/>
  <c r="S280" i="3" s="1"/>
  <c r="I279" i="3"/>
  <c r="I278" i="3"/>
  <c r="I277" i="3"/>
  <c r="I276" i="3"/>
  <c r="I275" i="3"/>
  <c r="I274" i="3"/>
  <c r="S274" i="3" s="1"/>
  <c r="I273" i="3"/>
  <c r="I272" i="3"/>
  <c r="I271" i="3"/>
  <c r="I270" i="3"/>
  <c r="I269" i="3"/>
  <c r="I268" i="3"/>
  <c r="I267" i="3"/>
  <c r="I266" i="3"/>
  <c r="S266" i="3" s="1"/>
  <c r="I265" i="3"/>
  <c r="I264" i="3"/>
  <c r="I263" i="3"/>
  <c r="S263" i="3" s="1"/>
  <c r="I262" i="3"/>
  <c r="I261" i="3"/>
  <c r="I260" i="3"/>
  <c r="I259" i="3"/>
  <c r="I258" i="3"/>
  <c r="I257" i="3"/>
  <c r="I256" i="3"/>
  <c r="I255" i="3"/>
  <c r="I254" i="3"/>
  <c r="I253" i="3"/>
  <c r="I252" i="3"/>
  <c r="I251" i="3"/>
  <c r="I250" i="3"/>
  <c r="I249" i="3"/>
  <c r="S249" i="3" s="1"/>
  <c r="I248" i="3"/>
  <c r="S248" i="3" s="1"/>
  <c r="I247" i="3"/>
  <c r="I246" i="3"/>
  <c r="I245" i="3"/>
  <c r="S245" i="3" s="1"/>
  <c r="I239" i="3"/>
  <c r="A1" i="3"/>
  <c r="I224" i="3"/>
  <c r="I223" i="3"/>
  <c r="S223" i="3" s="1"/>
  <c r="I222" i="3"/>
  <c r="S222" i="3" s="1"/>
  <c r="I221" i="3"/>
  <c r="S221" i="3" s="1"/>
  <c r="I220" i="3"/>
  <c r="I219" i="3"/>
  <c r="I218" i="3"/>
  <c r="I217" i="3"/>
  <c r="S217" i="3" s="1"/>
  <c r="I216" i="3"/>
  <c r="I215" i="3"/>
  <c r="S215" i="3" s="1"/>
  <c r="I214" i="3"/>
  <c r="I213" i="3"/>
  <c r="I212" i="3"/>
  <c r="I211" i="3"/>
  <c r="I210" i="3"/>
  <c r="I209" i="3"/>
  <c r="I208" i="3"/>
  <c r="I207" i="3"/>
  <c r="I206" i="3"/>
  <c r="I205" i="3"/>
  <c r="I204" i="3"/>
  <c r="I203" i="3"/>
  <c r="S203" i="3" s="1"/>
  <c r="I202" i="3"/>
  <c r="I201" i="3"/>
  <c r="I200" i="3"/>
  <c r="I199" i="3"/>
  <c r="I198" i="3"/>
  <c r="S198" i="3" s="1"/>
  <c r="I197" i="3"/>
  <c r="I196" i="3"/>
  <c r="I195" i="3"/>
  <c r="I194" i="3"/>
  <c r="S194" i="3" s="1"/>
  <c r="I193" i="3"/>
  <c r="S193" i="3" s="1"/>
  <c r="I192" i="3"/>
  <c r="S192" i="3" s="1"/>
  <c r="I191" i="3"/>
  <c r="I190" i="3"/>
  <c r="I189" i="3"/>
  <c r="I188" i="3"/>
  <c r="I187" i="3"/>
  <c r="I186" i="3"/>
  <c r="I185" i="3"/>
  <c r="I184" i="3"/>
  <c r="I183" i="3"/>
  <c r="S183" i="3" s="1"/>
  <c r="I182" i="3"/>
  <c r="S182" i="3" s="1"/>
  <c r="I181" i="3"/>
  <c r="I180" i="3"/>
  <c r="I179" i="3"/>
  <c r="I178" i="3"/>
  <c r="I177" i="3"/>
  <c r="I176" i="3"/>
  <c r="I175" i="3"/>
  <c r="I174" i="3"/>
  <c r="I173" i="3"/>
  <c r="I172" i="3"/>
  <c r="I171" i="3"/>
  <c r="I170" i="3"/>
  <c r="S170" i="3" s="1"/>
  <c r="I169" i="3"/>
  <c r="S169" i="3" s="1"/>
  <c r="I168" i="3"/>
  <c r="I167" i="3"/>
  <c r="I166" i="3"/>
  <c r="I165" i="3"/>
  <c r="S165" i="3" s="1"/>
  <c r="I164" i="3"/>
  <c r="I163" i="3"/>
  <c r="S163" i="3" s="1"/>
  <c r="I162" i="3"/>
  <c r="I161" i="3"/>
  <c r="I160" i="3"/>
  <c r="S160" i="3" s="1"/>
  <c r="I159" i="3"/>
  <c r="I158" i="3"/>
  <c r="I157" i="3"/>
  <c r="I156" i="3"/>
  <c r="I155" i="3"/>
  <c r="I154" i="3"/>
  <c r="I153" i="3"/>
  <c r="I152" i="3"/>
  <c r="I151" i="3"/>
  <c r="I150" i="3"/>
  <c r="I149" i="3"/>
  <c r="I148" i="3"/>
  <c r="S148" i="3" s="1"/>
  <c r="I147" i="3"/>
  <c r="I146" i="3"/>
  <c r="S146" i="3" s="1"/>
  <c r="I145" i="3"/>
  <c r="S145" i="3" s="1"/>
  <c r="I144" i="3"/>
  <c r="I143" i="3"/>
  <c r="I142" i="3"/>
  <c r="I141" i="3"/>
  <c r="I140" i="3"/>
  <c r="I139" i="3"/>
  <c r="I138" i="3"/>
  <c r="I137" i="3"/>
  <c r="I136" i="3"/>
  <c r="I135" i="3"/>
  <c r="I134" i="3"/>
  <c r="I133" i="3"/>
  <c r="I132" i="3"/>
  <c r="S132" i="3" s="1"/>
  <c r="I131" i="3"/>
  <c r="I130" i="3"/>
  <c r="I129" i="3"/>
  <c r="I128" i="3"/>
  <c r="I127" i="3"/>
  <c r="I113" i="3"/>
  <c r="I112" i="3"/>
  <c r="S112" i="3" s="1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S93" i="3" s="1"/>
  <c r="I92" i="3"/>
  <c r="I91" i="3"/>
  <c r="I90" i="3"/>
  <c r="I89" i="3"/>
  <c r="I88" i="3"/>
  <c r="I87" i="3"/>
  <c r="I86" i="3"/>
  <c r="I85" i="3"/>
  <c r="I84" i="3"/>
  <c r="I83" i="3"/>
  <c r="S83" i="3" s="1"/>
  <c r="I82" i="3"/>
  <c r="I81" i="3"/>
  <c r="I80" i="3"/>
  <c r="I79" i="3"/>
  <c r="I78" i="3"/>
  <c r="I77" i="3"/>
  <c r="S77" i="3" s="1"/>
  <c r="I76" i="3"/>
  <c r="I75" i="3"/>
  <c r="I74" i="3"/>
  <c r="I73" i="3"/>
  <c r="I72" i="3"/>
  <c r="I71" i="3"/>
  <c r="I70" i="3"/>
  <c r="I69" i="3"/>
  <c r="S69" i="3" s="1"/>
  <c r="I68" i="3"/>
  <c r="I67" i="3"/>
  <c r="S67" i="3" s="1"/>
  <c r="I66" i="3"/>
  <c r="I65" i="3"/>
  <c r="I64" i="3"/>
  <c r="I63" i="3"/>
  <c r="I62" i="3"/>
  <c r="I61" i="3"/>
  <c r="I60" i="3"/>
  <c r="I59" i="3"/>
  <c r="I58" i="3"/>
  <c r="S58" i="3" s="1"/>
  <c r="I57" i="3"/>
  <c r="I56" i="3"/>
  <c r="I55" i="3"/>
  <c r="S55" i="3" s="1"/>
  <c r="I54" i="3"/>
  <c r="S54" i="3" s="1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S41" i="3" s="1"/>
  <c r="I40" i="3"/>
  <c r="I39" i="3"/>
  <c r="I38" i="3"/>
  <c r="I37" i="3"/>
  <c r="I36" i="3"/>
  <c r="I35" i="3"/>
  <c r="I34" i="3"/>
  <c r="I33" i="3"/>
  <c r="I32" i="3"/>
  <c r="S32" i="3" s="1"/>
  <c r="I31" i="3"/>
  <c r="I30" i="3"/>
  <c r="I29" i="3"/>
  <c r="I28" i="3"/>
  <c r="I27" i="3"/>
  <c r="I26" i="3"/>
  <c r="I25" i="3"/>
  <c r="I24" i="3"/>
  <c r="I23" i="3"/>
  <c r="S89" i="3" l="1"/>
  <c r="S407" i="3"/>
  <c r="S447" i="3"/>
  <c r="S495" i="3"/>
  <c r="S229" i="3"/>
  <c r="S26" i="3"/>
  <c r="T26" i="3" s="1"/>
  <c r="S106" i="3"/>
  <c r="T106" i="3" s="1"/>
  <c r="S281" i="3"/>
  <c r="T281" i="3" s="1"/>
  <c r="S329" i="3"/>
  <c r="S408" i="3"/>
  <c r="S456" i="3"/>
  <c r="S488" i="3"/>
  <c r="S528" i="3"/>
  <c r="S560" i="3"/>
  <c r="T560" i="3" s="1"/>
  <c r="S75" i="3"/>
  <c r="T75" i="3" s="1"/>
  <c r="S91" i="3"/>
  <c r="T91" i="3" s="1"/>
  <c r="S99" i="3"/>
  <c r="S107" i="3"/>
  <c r="S128" i="3"/>
  <c r="S136" i="3"/>
  <c r="S144" i="3"/>
  <c r="S152" i="3"/>
  <c r="T152" i="3" s="1"/>
  <c r="S168" i="3"/>
  <c r="T168" i="3" s="1"/>
  <c r="S176" i="3"/>
  <c r="T176" i="3" s="1"/>
  <c r="S184" i="3"/>
  <c r="S200" i="3"/>
  <c r="S208" i="3"/>
  <c r="S216" i="3"/>
  <c r="S224" i="3"/>
  <c r="S250" i="3"/>
  <c r="T250" i="3" s="1"/>
  <c r="S258" i="3"/>
  <c r="T258" i="3" s="1"/>
  <c r="S282" i="3"/>
  <c r="T282" i="3" s="1"/>
  <c r="S298" i="3"/>
  <c r="S306" i="3"/>
  <c r="S314" i="3"/>
  <c r="S330" i="3"/>
  <c r="S338" i="3"/>
  <c r="S354" i="3"/>
  <c r="T354" i="3" s="1"/>
  <c r="S378" i="3"/>
  <c r="T378" i="3" s="1"/>
  <c r="S386" i="3"/>
  <c r="T386" i="3" s="1"/>
  <c r="S409" i="3"/>
  <c r="S417" i="3"/>
  <c r="S425" i="3"/>
  <c r="S433" i="3"/>
  <c r="S441" i="3"/>
  <c r="S449" i="3"/>
  <c r="T449" i="3" s="1"/>
  <c r="S457" i="3"/>
  <c r="T457" i="3" s="1"/>
  <c r="S465" i="3"/>
  <c r="T465" i="3" s="1"/>
  <c r="S473" i="3"/>
  <c r="S481" i="3"/>
  <c r="S489" i="3"/>
  <c r="S497" i="3"/>
  <c r="S505" i="3"/>
  <c r="S513" i="3"/>
  <c r="T513" i="3" s="1"/>
  <c r="S521" i="3"/>
  <c r="T521" i="3" s="1"/>
  <c r="S569" i="3"/>
  <c r="T569" i="3" s="1"/>
  <c r="S25" i="3"/>
  <c r="S57" i="3"/>
  <c r="S105" i="3"/>
  <c r="S150" i="3"/>
  <c r="S206" i="3"/>
  <c r="S304" i="3"/>
  <c r="T304" i="3" s="1"/>
  <c r="S384" i="3"/>
  <c r="T384" i="3" s="1"/>
  <c r="S431" i="3"/>
  <c r="T431" i="3" s="1"/>
  <c r="S463" i="3"/>
  <c r="S90" i="3"/>
  <c r="S135" i="3"/>
  <c r="S273" i="3"/>
  <c r="S297" i="3"/>
  <c r="S321" i="3"/>
  <c r="T321" i="3" s="1"/>
  <c r="S345" i="3"/>
  <c r="T345" i="3" s="1"/>
  <c r="S369" i="3"/>
  <c r="T369" i="3" s="1"/>
  <c r="S424" i="3"/>
  <c r="S464" i="3"/>
  <c r="S544" i="3"/>
  <c r="S27" i="3"/>
  <c r="S35" i="3"/>
  <c r="S43" i="3"/>
  <c r="T43" i="3" s="1"/>
  <c r="S51" i="3"/>
  <c r="T51" i="3" s="1"/>
  <c r="S28" i="3"/>
  <c r="T28" i="3" s="1"/>
  <c r="S36" i="3"/>
  <c r="S44" i="3"/>
  <c r="S60" i="3"/>
  <c r="S68" i="3"/>
  <c r="S76" i="3"/>
  <c r="T76" i="3" s="1"/>
  <c r="S84" i="3"/>
  <c r="T84" i="3" s="1"/>
  <c r="S92" i="3"/>
  <c r="T92" i="3" s="1"/>
  <c r="S100" i="3"/>
  <c r="T100" i="3" s="1"/>
  <c r="S129" i="3"/>
  <c r="S137" i="3"/>
  <c r="S153" i="3"/>
  <c r="S161" i="3"/>
  <c r="S177" i="3"/>
  <c r="S185" i="3"/>
  <c r="T185" i="3" s="1"/>
  <c r="S201" i="3"/>
  <c r="T201" i="3" s="1"/>
  <c r="S209" i="3"/>
  <c r="T209" i="3" s="1"/>
  <c r="S251" i="3"/>
  <c r="S259" i="3"/>
  <c r="S267" i="3"/>
  <c r="S275" i="3"/>
  <c r="S283" i="3"/>
  <c r="S291" i="3"/>
  <c r="T291" i="3" s="1"/>
  <c r="S299" i="3"/>
  <c r="T299" i="3" s="1"/>
  <c r="S307" i="3"/>
  <c r="T307" i="3" s="1"/>
  <c r="S315" i="3"/>
  <c r="S323" i="3"/>
  <c r="S331" i="3"/>
  <c r="T331" i="3" s="1"/>
  <c r="S339" i="3"/>
  <c r="S347" i="3"/>
  <c r="S355" i="3"/>
  <c r="T355" i="3" s="1"/>
  <c r="S379" i="3"/>
  <c r="T379" i="3" s="1"/>
  <c r="S387" i="3"/>
  <c r="T387" i="3" s="1"/>
  <c r="S410" i="3"/>
  <c r="S418" i="3"/>
  <c r="S426" i="3"/>
  <c r="S434" i="3"/>
  <c r="S442" i="3"/>
  <c r="S450" i="3"/>
  <c r="T450" i="3" s="1"/>
  <c r="S458" i="3"/>
  <c r="T458" i="3" s="1"/>
  <c r="S466" i="3"/>
  <c r="T466" i="3" s="1"/>
  <c r="S474" i="3"/>
  <c r="S482" i="3"/>
  <c r="S490" i="3"/>
  <c r="S506" i="3"/>
  <c r="S514" i="3"/>
  <c r="S522" i="3"/>
  <c r="T522" i="3" s="1"/>
  <c r="S530" i="3"/>
  <c r="T530" i="3" s="1"/>
  <c r="S570" i="3"/>
  <c r="T570" i="3" s="1"/>
  <c r="S397" i="3"/>
  <c r="S33" i="3"/>
  <c r="S81" i="3"/>
  <c r="S113" i="3"/>
  <c r="S166" i="3"/>
  <c r="S264" i="3"/>
  <c r="T264" i="3" s="1"/>
  <c r="S288" i="3"/>
  <c r="T288" i="3" s="1"/>
  <c r="S296" i="3"/>
  <c r="T296" i="3" s="1"/>
  <c r="S328" i="3"/>
  <c r="T328" i="3" s="1"/>
  <c r="S376" i="3"/>
  <c r="S439" i="3"/>
  <c r="T439" i="3" s="1"/>
  <c r="S479" i="3"/>
  <c r="S503" i="3"/>
  <c r="S527" i="3"/>
  <c r="T527" i="3" s="1"/>
  <c r="S551" i="3"/>
  <c r="T551" i="3" s="1"/>
  <c r="S567" i="3"/>
  <c r="T567" i="3" s="1"/>
  <c r="S42" i="3"/>
  <c r="T42" i="3" s="1"/>
  <c r="S82" i="3"/>
  <c r="S151" i="3"/>
  <c r="S289" i="3"/>
  <c r="S416" i="3"/>
  <c r="S448" i="3"/>
  <c r="T448" i="3" s="1"/>
  <c r="S480" i="3"/>
  <c r="T480" i="3" s="1"/>
  <c r="S520" i="3"/>
  <c r="T520" i="3" s="1"/>
  <c r="S228" i="3"/>
  <c r="S85" i="3"/>
  <c r="S109" i="3"/>
  <c r="T109" i="3" s="1"/>
  <c r="S130" i="3"/>
  <c r="S138" i="3"/>
  <c r="T138" i="3" s="1"/>
  <c r="S154" i="3"/>
  <c r="T154" i="3" s="1"/>
  <c r="S162" i="3"/>
  <c r="T162" i="3" s="1"/>
  <c r="S178" i="3"/>
  <c r="T178" i="3" s="1"/>
  <c r="S186" i="3"/>
  <c r="S202" i="3"/>
  <c r="S210" i="3"/>
  <c r="S218" i="3"/>
  <c r="S239" i="3"/>
  <c r="T239" i="3" s="1"/>
  <c r="S252" i="3"/>
  <c r="T252" i="3" s="1"/>
  <c r="S260" i="3"/>
  <c r="T260" i="3" s="1"/>
  <c r="S268" i="3"/>
  <c r="T268" i="3" s="1"/>
  <c r="S276" i="3"/>
  <c r="S284" i="3"/>
  <c r="S292" i="3"/>
  <c r="S308" i="3"/>
  <c r="S324" i="3"/>
  <c r="S332" i="3"/>
  <c r="T332" i="3" s="1"/>
  <c r="S340" i="3"/>
  <c r="T340" i="3" s="1"/>
  <c r="S348" i="3"/>
  <c r="T348" i="3" s="1"/>
  <c r="S372" i="3"/>
  <c r="S411" i="3"/>
  <c r="S419" i="3"/>
  <c r="S427" i="3"/>
  <c r="S435" i="3"/>
  <c r="S443" i="3"/>
  <c r="T443" i="3" s="1"/>
  <c r="S451" i="3"/>
  <c r="T451" i="3" s="1"/>
  <c r="S459" i="3"/>
  <c r="T459" i="3" s="1"/>
  <c r="S467" i="3"/>
  <c r="S475" i="3"/>
  <c r="S483" i="3"/>
  <c r="T483" i="3" s="1"/>
  <c r="S491" i="3"/>
  <c r="S499" i="3"/>
  <c r="T499" i="3" s="1"/>
  <c r="S507" i="3"/>
  <c r="T507" i="3" s="1"/>
  <c r="S515" i="3"/>
  <c r="T515" i="3" s="1"/>
  <c r="S523" i="3"/>
  <c r="T523" i="3" s="1"/>
  <c r="S531" i="3"/>
  <c r="S396" i="3"/>
  <c r="T396" i="3" s="1"/>
  <c r="S49" i="3"/>
  <c r="T49" i="3" s="1"/>
  <c r="S142" i="3"/>
  <c r="S256" i="3"/>
  <c r="T256" i="3" s="1"/>
  <c r="S352" i="3"/>
  <c r="T352" i="3" s="1"/>
  <c r="S415" i="3"/>
  <c r="T415" i="3" s="1"/>
  <c r="S455" i="3"/>
  <c r="T455" i="3" s="1"/>
  <c r="S487" i="3"/>
  <c r="T487" i="3" s="1"/>
  <c r="S511" i="3"/>
  <c r="T511" i="3" s="1"/>
  <c r="S543" i="3"/>
  <c r="S50" i="3"/>
  <c r="S98" i="3"/>
  <c r="S159" i="3"/>
  <c r="T159" i="3" s="1"/>
  <c r="S191" i="3"/>
  <c r="T191" i="3" s="1"/>
  <c r="S257" i="3"/>
  <c r="T257" i="3" s="1"/>
  <c r="S313" i="3"/>
  <c r="S432" i="3"/>
  <c r="S496" i="3"/>
  <c r="T496" i="3" s="1"/>
  <c r="S29" i="3"/>
  <c r="S30" i="3"/>
  <c r="S62" i="3"/>
  <c r="T62" i="3" s="1"/>
  <c r="S70" i="3"/>
  <c r="T70" i="3" s="1"/>
  <c r="S78" i="3"/>
  <c r="T78" i="3" s="1"/>
  <c r="S86" i="3"/>
  <c r="S102" i="3"/>
  <c r="S110" i="3"/>
  <c r="T110" i="3" s="1"/>
  <c r="S131" i="3"/>
  <c r="S139" i="3"/>
  <c r="T139" i="3" s="1"/>
  <c r="S147" i="3"/>
  <c r="T147" i="3" s="1"/>
  <c r="S155" i="3"/>
  <c r="T155" i="3" s="1"/>
  <c r="S171" i="3"/>
  <c r="T171" i="3" s="1"/>
  <c r="S179" i="3"/>
  <c r="S187" i="3"/>
  <c r="S195" i="3"/>
  <c r="S211" i="3"/>
  <c r="S219" i="3"/>
  <c r="S253" i="3"/>
  <c r="T253" i="3" s="1"/>
  <c r="S261" i="3"/>
  <c r="T261" i="3" s="1"/>
  <c r="S269" i="3"/>
  <c r="T269" i="3" s="1"/>
  <c r="S277" i="3"/>
  <c r="T277" i="3" s="1"/>
  <c r="S285" i="3"/>
  <c r="S301" i="3"/>
  <c r="T301" i="3" s="1"/>
  <c r="S309" i="3"/>
  <c r="S317" i="3"/>
  <c r="T317" i="3" s="1"/>
  <c r="S325" i="3"/>
  <c r="T325" i="3" s="1"/>
  <c r="S333" i="3"/>
  <c r="T333" i="3" s="1"/>
  <c r="S349" i="3"/>
  <c r="T349" i="3" s="1"/>
  <c r="S357" i="3"/>
  <c r="S365" i="3"/>
  <c r="S373" i="3"/>
  <c r="T373" i="3" s="1"/>
  <c r="S412" i="3"/>
  <c r="S420" i="3"/>
  <c r="S428" i="3"/>
  <c r="T428" i="3" s="1"/>
  <c r="S436" i="3"/>
  <c r="T436" i="3" s="1"/>
  <c r="S444" i="3"/>
  <c r="T444" i="3" s="1"/>
  <c r="S452" i="3"/>
  <c r="T452" i="3" s="1"/>
  <c r="S460" i="3"/>
  <c r="S468" i="3"/>
  <c r="T468" i="3" s="1"/>
  <c r="S476" i="3"/>
  <c r="S500" i="3"/>
  <c r="T500" i="3" s="1"/>
  <c r="S508" i="3"/>
  <c r="T508" i="3" s="1"/>
  <c r="S524" i="3"/>
  <c r="T524" i="3" s="1"/>
  <c r="S532" i="3"/>
  <c r="T532" i="3" s="1"/>
  <c r="S548" i="3"/>
  <c r="T548" i="3" s="1"/>
  <c r="S573" i="3"/>
  <c r="T573" i="3" s="1"/>
  <c r="S65" i="3"/>
  <c r="T65" i="3" s="1"/>
  <c r="S174" i="3"/>
  <c r="T174" i="3" s="1"/>
  <c r="S143" i="3"/>
  <c r="T143" i="3" s="1"/>
  <c r="S207" i="3"/>
  <c r="T207" i="3" s="1"/>
  <c r="S440" i="3"/>
  <c r="T440" i="3" s="1"/>
  <c r="S37" i="3"/>
  <c r="T37" i="3" s="1"/>
  <c r="S53" i="3"/>
  <c r="S61" i="3"/>
  <c r="S46" i="3"/>
  <c r="T46" i="3" s="1"/>
  <c r="S23" i="3"/>
  <c r="S39" i="3"/>
  <c r="T39" i="3" s="1"/>
  <c r="S47" i="3"/>
  <c r="T47" i="3" s="1"/>
  <c r="S63" i="3"/>
  <c r="T63" i="3" s="1"/>
  <c r="S71" i="3"/>
  <c r="T71" i="3" s="1"/>
  <c r="S79" i="3"/>
  <c r="S95" i="3"/>
  <c r="S103" i="3"/>
  <c r="T103" i="3" s="1"/>
  <c r="S111" i="3"/>
  <c r="T111" i="3" s="1"/>
  <c r="S140" i="3"/>
  <c r="T140" i="3" s="1"/>
  <c r="S156" i="3"/>
  <c r="T156" i="3" s="1"/>
  <c r="S164" i="3"/>
  <c r="T164" i="3" s="1"/>
  <c r="S172" i="3"/>
  <c r="T172" i="3" s="1"/>
  <c r="S180" i="3"/>
  <c r="T180" i="3" s="1"/>
  <c r="S188" i="3"/>
  <c r="S196" i="3"/>
  <c r="T196" i="3" s="1"/>
  <c r="S204" i="3"/>
  <c r="S212" i="3"/>
  <c r="T212" i="3" s="1"/>
  <c r="S220" i="3"/>
  <c r="T220" i="3" s="1"/>
  <c r="S246" i="3"/>
  <c r="T246" i="3" s="1"/>
  <c r="S254" i="3"/>
  <c r="T254" i="3" s="1"/>
  <c r="S262" i="3"/>
  <c r="T262" i="3" s="1"/>
  <c r="S270" i="3"/>
  <c r="T270" i="3" s="1"/>
  <c r="S278" i="3"/>
  <c r="T278" i="3" s="1"/>
  <c r="S286" i="3"/>
  <c r="T286" i="3" s="1"/>
  <c r="S302" i="3"/>
  <c r="T302" i="3" s="1"/>
  <c r="S310" i="3"/>
  <c r="T310" i="3" s="1"/>
  <c r="S318" i="3"/>
  <c r="T318" i="3" s="1"/>
  <c r="S326" i="3"/>
  <c r="T326" i="3" s="1"/>
  <c r="S334" i="3"/>
  <c r="T334" i="3" s="1"/>
  <c r="S342" i="3"/>
  <c r="T342" i="3" s="1"/>
  <c r="S390" i="3"/>
  <c r="T390" i="3" s="1"/>
  <c r="S421" i="3"/>
  <c r="T421" i="3" s="1"/>
  <c r="S429" i="3"/>
  <c r="T429" i="3" s="1"/>
  <c r="S437" i="3"/>
  <c r="T437" i="3" s="1"/>
  <c r="S445" i="3"/>
  <c r="T445" i="3" s="1"/>
  <c r="S453" i="3"/>
  <c r="T453" i="3" s="1"/>
  <c r="S461" i="3"/>
  <c r="S469" i="3"/>
  <c r="T469" i="3" s="1"/>
  <c r="S477" i="3"/>
  <c r="T477" i="3" s="1"/>
  <c r="S485" i="3"/>
  <c r="S493" i="3"/>
  <c r="T493" i="3" s="1"/>
  <c r="S501" i="3"/>
  <c r="T501" i="3" s="1"/>
  <c r="S509" i="3"/>
  <c r="T509" i="3" s="1"/>
  <c r="S517" i="3"/>
  <c r="T517" i="3" s="1"/>
  <c r="S525" i="3"/>
  <c r="T525" i="3" s="1"/>
  <c r="S533" i="3"/>
  <c r="T533" i="3" s="1"/>
  <c r="S549" i="3"/>
  <c r="T549" i="3" s="1"/>
  <c r="S97" i="3"/>
  <c r="S134" i="3"/>
  <c r="T134" i="3" s="1"/>
  <c r="S158" i="3"/>
  <c r="T158" i="3" s="1"/>
  <c r="S190" i="3"/>
  <c r="T190" i="3" s="1"/>
  <c r="S214" i="3"/>
  <c r="T214" i="3" s="1"/>
  <c r="S272" i="3"/>
  <c r="S368" i="3"/>
  <c r="S423" i="3"/>
  <c r="T423" i="3" s="1"/>
  <c r="S471" i="3"/>
  <c r="S34" i="3"/>
  <c r="T34" i="3" s="1"/>
  <c r="S74" i="3"/>
  <c r="T74" i="3" s="1"/>
  <c r="S127" i="3"/>
  <c r="T127" i="3" s="1"/>
  <c r="S167" i="3"/>
  <c r="T167" i="3" s="1"/>
  <c r="S175" i="3"/>
  <c r="T175" i="3" s="1"/>
  <c r="S199" i="3"/>
  <c r="T199" i="3" s="1"/>
  <c r="S265" i="3"/>
  <c r="T265" i="3" s="1"/>
  <c r="S305" i="3"/>
  <c r="T305" i="3" s="1"/>
  <c r="S337" i="3"/>
  <c r="T337" i="3" s="1"/>
  <c r="S377" i="3"/>
  <c r="T377" i="3" s="1"/>
  <c r="S504" i="3"/>
  <c r="T504" i="3" s="1"/>
  <c r="S536" i="3"/>
  <c r="T536" i="3" s="1"/>
  <c r="S552" i="3"/>
  <c r="T552" i="3" s="1"/>
  <c r="S577" i="3"/>
  <c r="S40" i="3"/>
  <c r="T40" i="3" s="1"/>
  <c r="S48" i="3"/>
  <c r="S56" i="3"/>
  <c r="T56" i="3" s="1"/>
  <c r="S64" i="3"/>
  <c r="T64" i="3" s="1"/>
  <c r="S72" i="3"/>
  <c r="T72" i="3" s="1"/>
  <c r="S88" i="3"/>
  <c r="T88" i="3" s="1"/>
  <c r="S96" i="3"/>
  <c r="S104" i="3"/>
  <c r="S133" i="3"/>
  <c r="T133" i="3" s="1"/>
  <c r="S141" i="3"/>
  <c r="S149" i="3"/>
  <c r="T149" i="3" s="1"/>
  <c r="S157" i="3"/>
  <c r="T157" i="3" s="1"/>
  <c r="S173" i="3"/>
  <c r="T173" i="3" s="1"/>
  <c r="S181" i="3"/>
  <c r="T181" i="3" s="1"/>
  <c r="S189" i="3"/>
  <c r="T189" i="3" s="1"/>
  <c r="S197" i="3"/>
  <c r="T197" i="3" s="1"/>
  <c r="S205" i="3"/>
  <c r="T205" i="3" s="1"/>
  <c r="S213" i="3"/>
  <c r="S247" i="3"/>
  <c r="T247" i="3" s="1"/>
  <c r="S255" i="3"/>
  <c r="T255" i="3" s="1"/>
  <c r="S271" i="3"/>
  <c r="T271" i="3" s="1"/>
  <c r="S279" i="3"/>
  <c r="T279" i="3" s="1"/>
  <c r="S287" i="3"/>
  <c r="T287" i="3" s="1"/>
  <c r="S303" i="3"/>
  <c r="T303" i="3" s="1"/>
  <c r="S311" i="3"/>
  <c r="T311" i="3" s="1"/>
  <c r="S319" i="3"/>
  <c r="T319" i="3" s="1"/>
  <c r="S327" i="3"/>
  <c r="T327" i="3" s="1"/>
  <c r="S335" i="3"/>
  <c r="T335" i="3" s="1"/>
  <c r="S343" i="3"/>
  <c r="T343" i="3" s="1"/>
  <c r="S414" i="3"/>
  <c r="T414" i="3" s="1"/>
  <c r="S422" i="3"/>
  <c r="T422" i="3" s="1"/>
  <c r="S430" i="3"/>
  <c r="T430" i="3" s="1"/>
  <c r="S438" i="3"/>
  <c r="T438" i="3" s="1"/>
  <c r="S446" i="3"/>
  <c r="T446" i="3" s="1"/>
  <c r="S462" i="3"/>
  <c r="T462" i="3" s="1"/>
  <c r="S470" i="3"/>
  <c r="T470" i="3" s="1"/>
  <c r="S478" i="3"/>
  <c r="T478" i="3" s="1"/>
  <c r="S486" i="3"/>
  <c r="T486" i="3" s="1"/>
  <c r="S502" i="3"/>
  <c r="T502" i="3" s="1"/>
  <c r="S510" i="3"/>
  <c r="S518" i="3"/>
  <c r="T518" i="3" s="1"/>
  <c r="S526" i="3"/>
  <c r="T526" i="3" s="1"/>
  <c r="S534" i="3"/>
  <c r="T534" i="3" s="1"/>
  <c r="S542" i="3"/>
  <c r="T542" i="3" s="1"/>
  <c r="S550" i="3"/>
  <c r="T550" i="3" s="1"/>
  <c r="S575" i="3"/>
  <c r="T575" i="3" s="1"/>
  <c r="S230" i="3"/>
  <c r="T230" i="3" s="1"/>
  <c r="T193" i="3"/>
  <c r="T223" i="3"/>
  <c r="T57" i="3"/>
  <c r="T69" i="3"/>
  <c r="T81" i="3"/>
  <c r="T93" i="3"/>
  <c r="T99" i="3"/>
  <c r="T105" i="3"/>
  <c r="T130" i="3"/>
  <c r="T136" i="3"/>
  <c r="T142" i="3"/>
  <c r="T148" i="3"/>
  <c r="T160" i="3"/>
  <c r="T166" i="3"/>
  <c r="T184" i="3"/>
  <c r="T202" i="3"/>
  <c r="T208" i="3"/>
  <c r="T274" i="3"/>
  <c r="T280" i="3"/>
  <c r="T292" i="3"/>
  <c r="T298" i="3"/>
  <c r="T316" i="3"/>
  <c r="T322" i="3"/>
  <c r="T346" i="3"/>
  <c r="T358" i="3"/>
  <c r="T364" i="3"/>
  <c r="T370" i="3"/>
  <c r="T376" i="3"/>
  <c r="T382" i="3"/>
  <c r="T388" i="3"/>
  <c r="T409" i="3"/>
  <c r="T427" i="3"/>
  <c r="T433" i="3"/>
  <c r="T463" i="3"/>
  <c r="T475" i="3"/>
  <c r="T481" i="3"/>
  <c r="T505" i="3"/>
  <c r="T529" i="3"/>
  <c r="T535" i="3"/>
  <c r="T541" i="3"/>
  <c r="T547" i="3"/>
  <c r="T553" i="3"/>
  <c r="T559" i="3"/>
  <c r="T565" i="3"/>
  <c r="T571" i="3"/>
  <c r="T578" i="3"/>
  <c r="T36" i="3"/>
  <c r="T163" i="3"/>
  <c r="T313" i="3"/>
  <c r="T27" i="3"/>
  <c r="T33" i="3"/>
  <c r="T58" i="3"/>
  <c r="T82" i="3"/>
  <c r="T112" i="3"/>
  <c r="T131" i="3"/>
  <c r="T137" i="3"/>
  <c r="T161" i="3"/>
  <c r="T179" i="3"/>
  <c r="T203" i="3"/>
  <c r="T215" i="3"/>
  <c r="T221" i="3"/>
  <c r="T245" i="3"/>
  <c r="T251" i="3"/>
  <c r="T263" i="3"/>
  <c r="T275" i="3"/>
  <c r="T293" i="3"/>
  <c r="T323" i="3"/>
  <c r="T329" i="3"/>
  <c r="T341" i="3"/>
  <c r="T347" i="3"/>
  <c r="T353" i="3"/>
  <c r="T359" i="3"/>
  <c r="T365" i="3"/>
  <c r="T371" i="3"/>
  <c r="T383" i="3"/>
  <c r="T389" i="3"/>
  <c r="T410" i="3"/>
  <c r="T416" i="3"/>
  <c r="T434" i="3"/>
  <c r="T464" i="3"/>
  <c r="T476" i="3"/>
  <c r="T482" i="3"/>
  <c r="T488" i="3"/>
  <c r="T494" i="3"/>
  <c r="T506" i="3"/>
  <c r="T512" i="3"/>
  <c r="T554" i="3"/>
  <c r="T566" i="3"/>
  <c r="T579" i="3"/>
  <c r="T60" i="3"/>
  <c r="T90" i="3"/>
  <c r="T145" i="3"/>
  <c r="T211" i="3"/>
  <c r="T23" i="3"/>
  <c r="T29" i="3"/>
  <c r="T35" i="3"/>
  <c r="T41" i="3"/>
  <c r="T53" i="3"/>
  <c r="T77" i="3"/>
  <c r="T83" i="3"/>
  <c r="T89" i="3"/>
  <c r="T95" i="3"/>
  <c r="T107" i="3"/>
  <c r="T113" i="3"/>
  <c r="T132" i="3"/>
  <c r="T144" i="3"/>
  <c r="T150" i="3"/>
  <c r="T186" i="3"/>
  <c r="T192" i="3"/>
  <c r="T198" i="3"/>
  <c r="T204" i="3"/>
  <c r="T210" i="3"/>
  <c r="T216" i="3"/>
  <c r="T222" i="3"/>
  <c r="T276" i="3"/>
  <c r="T294" i="3"/>
  <c r="T300" i="3"/>
  <c r="T306" i="3"/>
  <c r="T312" i="3"/>
  <c r="T324" i="3"/>
  <c r="T330" i="3"/>
  <c r="T336" i="3"/>
  <c r="T360" i="3"/>
  <c r="T366" i="3"/>
  <c r="T372" i="3"/>
  <c r="T411" i="3"/>
  <c r="T417" i="3"/>
  <c r="T435" i="3"/>
  <c r="T441" i="3"/>
  <c r="T447" i="3"/>
  <c r="T471" i="3"/>
  <c r="T489" i="3"/>
  <c r="T495" i="3"/>
  <c r="T519" i="3"/>
  <c r="T531" i="3"/>
  <c r="T537" i="3"/>
  <c r="T543" i="3"/>
  <c r="T555" i="3"/>
  <c r="T561" i="3"/>
  <c r="T574" i="3"/>
  <c r="T580" i="3"/>
  <c r="T229" i="3"/>
  <c r="T30" i="3"/>
  <c r="T96" i="3"/>
  <c r="T283" i="3"/>
  <c r="T361" i="3"/>
  <c r="T367" i="3"/>
  <c r="T385" i="3"/>
  <c r="T391" i="3"/>
  <c r="T412" i="3"/>
  <c r="T418" i="3"/>
  <c r="T424" i="3"/>
  <c r="T442" i="3"/>
  <c r="T454" i="3"/>
  <c r="T460" i="3"/>
  <c r="T472" i="3"/>
  <c r="T484" i="3"/>
  <c r="T490" i="3"/>
  <c r="T514" i="3"/>
  <c r="T538" i="3"/>
  <c r="T544" i="3"/>
  <c r="T556" i="3"/>
  <c r="T562" i="3"/>
  <c r="T568" i="3"/>
  <c r="T581" i="3"/>
  <c r="T228" i="3"/>
  <c r="T48" i="3"/>
  <c r="T169" i="3"/>
  <c r="T259" i="3"/>
  <c r="T289" i="3"/>
  <c r="T25" i="3"/>
  <c r="T55" i="3"/>
  <c r="T61" i="3"/>
  <c r="T67" i="3"/>
  <c r="T79" i="3"/>
  <c r="T85" i="3"/>
  <c r="T97" i="3"/>
  <c r="T128" i="3"/>
  <c r="T146" i="3"/>
  <c r="T170" i="3"/>
  <c r="T182" i="3"/>
  <c r="T188" i="3"/>
  <c r="T194" i="3"/>
  <c r="T200" i="3"/>
  <c r="T206" i="3"/>
  <c r="T218" i="3"/>
  <c r="T224" i="3"/>
  <c r="T248" i="3"/>
  <c r="T266" i="3"/>
  <c r="T272" i="3"/>
  <c r="T284" i="3"/>
  <c r="T290" i="3"/>
  <c r="T308" i="3"/>
  <c r="T314" i="3"/>
  <c r="T320" i="3"/>
  <c r="T338" i="3"/>
  <c r="T344" i="3"/>
  <c r="T350" i="3"/>
  <c r="T356" i="3"/>
  <c r="T362" i="3"/>
  <c r="T368" i="3"/>
  <c r="T374" i="3"/>
  <c r="T380" i="3"/>
  <c r="T407" i="3"/>
  <c r="T413" i="3"/>
  <c r="T419" i="3"/>
  <c r="T425" i="3"/>
  <c r="T461" i="3"/>
  <c r="T467" i="3"/>
  <c r="T473" i="3"/>
  <c r="T479" i="3"/>
  <c r="T485" i="3"/>
  <c r="T491" i="3"/>
  <c r="T497" i="3"/>
  <c r="T503" i="3"/>
  <c r="T539" i="3"/>
  <c r="T545" i="3"/>
  <c r="T557" i="3"/>
  <c r="T563" i="3"/>
  <c r="T576" i="3"/>
  <c r="T582" i="3"/>
  <c r="T398" i="3"/>
  <c r="T54" i="3"/>
  <c r="T102" i="3"/>
  <c r="T151" i="3"/>
  <c r="T187" i="3"/>
  <c r="T217" i="3"/>
  <c r="T295" i="3"/>
  <c r="T32" i="3"/>
  <c r="T44" i="3"/>
  <c r="T50" i="3"/>
  <c r="T68" i="3"/>
  <c r="T86" i="3"/>
  <c r="T98" i="3"/>
  <c r="T104" i="3"/>
  <c r="T129" i="3"/>
  <c r="T135" i="3"/>
  <c r="T141" i="3"/>
  <c r="T153" i="3"/>
  <c r="T165" i="3"/>
  <c r="T177" i="3"/>
  <c r="T183" i="3"/>
  <c r="T195" i="3"/>
  <c r="T213" i="3"/>
  <c r="T219" i="3"/>
  <c r="T249" i="3"/>
  <c r="T267" i="3"/>
  <c r="T273" i="3"/>
  <c r="T285" i="3"/>
  <c r="T297" i="3"/>
  <c r="T309" i="3"/>
  <c r="T315" i="3"/>
  <c r="T339" i="3"/>
  <c r="T351" i="3"/>
  <c r="T357" i="3"/>
  <c r="T363" i="3"/>
  <c r="T375" i="3"/>
  <c r="T381" i="3"/>
  <c r="T408" i="3"/>
  <c r="T420" i="3"/>
  <c r="T426" i="3"/>
  <c r="T432" i="3"/>
  <c r="T456" i="3"/>
  <c r="T474" i="3"/>
  <c r="T492" i="3"/>
  <c r="T498" i="3"/>
  <c r="T510" i="3"/>
  <c r="T516" i="3"/>
  <c r="T528" i="3"/>
  <c r="T540" i="3"/>
  <c r="T546" i="3"/>
  <c r="T558" i="3"/>
  <c r="T564" i="3"/>
  <c r="T577" i="3"/>
  <c r="T119" i="3"/>
  <c r="T397" i="3"/>
  <c r="BD582" i="3"/>
  <c r="BE582" i="3" s="1"/>
  <c r="S73" i="3"/>
  <c r="S59" i="3"/>
  <c r="S24" i="3"/>
  <c r="S80" i="3"/>
  <c r="S66" i="3"/>
  <c r="S52" i="3"/>
  <c r="S108" i="3"/>
  <c r="S45" i="3"/>
  <c r="S101" i="3"/>
  <c r="S38" i="3"/>
  <c r="S94" i="3"/>
  <c r="S31" i="3"/>
  <c r="S87" i="3"/>
  <c r="D14" i="26"/>
  <c r="C14" i="26"/>
  <c r="E14" i="26"/>
  <c r="B14" i="26"/>
  <c r="T108" i="3" l="1"/>
  <c r="T94" i="3"/>
  <c r="T24" i="3"/>
  <c r="BF582" i="3"/>
  <c r="BG582" i="3" s="1"/>
  <c r="U108" i="3"/>
  <c r="V108" i="3" s="1"/>
  <c r="U31" i="3"/>
  <c r="V31" i="3" s="1"/>
  <c r="T31" i="3"/>
  <c r="U52" i="3"/>
  <c r="V52" i="3" s="1"/>
  <c r="T52" i="3"/>
  <c r="U66" i="3"/>
  <c r="V66" i="3" s="1"/>
  <c r="T66" i="3"/>
  <c r="U80" i="3"/>
  <c r="T80" i="3"/>
  <c r="U101" i="3"/>
  <c r="V101" i="3" s="1"/>
  <c r="T101" i="3"/>
  <c r="U24" i="3"/>
  <c r="U45" i="3"/>
  <c r="T45" i="3"/>
  <c r="U59" i="3"/>
  <c r="V59" i="3" s="1"/>
  <c r="T59" i="3"/>
  <c r="U87" i="3"/>
  <c r="T87" i="3"/>
  <c r="U94" i="3"/>
  <c r="V94" i="3" s="1"/>
  <c r="U38" i="3"/>
  <c r="V38" i="3" s="1"/>
  <c r="T38" i="3"/>
  <c r="U73" i="3"/>
  <c r="T73" i="3"/>
  <c r="U111" i="3"/>
  <c r="V111" i="3" s="1"/>
  <c r="U513" i="3"/>
  <c r="V513" i="3" s="1"/>
  <c r="U429" i="3"/>
  <c r="V429" i="3" s="1"/>
  <c r="U204" i="3"/>
  <c r="V204" i="3" s="1"/>
  <c r="U524" i="3"/>
  <c r="V524" i="3" s="1"/>
  <c r="U163" i="3"/>
  <c r="U332" i="3"/>
  <c r="V332" i="3" s="1"/>
  <c r="U450" i="3"/>
  <c r="V450" i="3" s="1"/>
  <c r="U36" i="3"/>
  <c r="V36" i="3" s="1"/>
  <c r="U211" i="3"/>
  <c r="V211" i="3" s="1"/>
  <c r="U292" i="3"/>
  <c r="V292" i="3" s="1"/>
  <c r="U154" i="3"/>
  <c r="V154" i="3" s="1"/>
  <c r="U570" i="3"/>
  <c r="V570" i="3" s="1"/>
  <c r="U426" i="3"/>
  <c r="V426" i="3" s="1"/>
  <c r="U84" i="3"/>
  <c r="V84" i="3" s="1"/>
  <c r="U223" i="3"/>
  <c r="U396" i="3"/>
  <c r="V396" i="3" s="1"/>
  <c r="U529" i="3"/>
  <c r="U465" i="3"/>
  <c r="V465" i="3" s="1"/>
  <c r="U386" i="3"/>
  <c r="V386" i="3" s="1"/>
  <c r="U322" i="3"/>
  <c r="U258" i="3"/>
  <c r="V258" i="3" s="1"/>
  <c r="U176" i="3"/>
  <c r="V176" i="3" s="1"/>
  <c r="U99" i="3"/>
  <c r="V99" i="3" s="1"/>
  <c r="U27" i="3"/>
  <c r="V27" i="3" s="1"/>
  <c r="U265" i="3"/>
  <c r="V265" i="3" s="1"/>
  <c r="U119" i="3"/>
  <c r="U519" i="3"/>
  <c r="U455" i="3"/>
  <c r="V455" i="3" s="1"/>
  <c r="U376" i="3"/>
  <c r="V376" i="3" s="1"/>
  <c r="U312" i="3"/>
  <c r="U248" i="3"/>
  <c r="U166" i="3"/>
  <c r="V166" i="3" s="1"/>
  <c r="U89" i="3"/>
  <c r="V89" i="3" s="1"/>
  <c r="U576" i="3"/>
  <c r="U297" i="3"/>
  <c r="V297" i="3" s="1"/>
  <c r="U42" i="3"/>
  <c r="V42" i="3" s="1"/>
  <c r="U534" i="3"/>
  <c r="V534" i="3" s="1"/>
  <c r="U470" i="3"/>
  <c r="V470" i="3" s="1"/>
  <c r="U391" i="3"/>
  <c r="U327" i="3"/>
  <c r="V327" i="3" s="1"/>
  <c r="U263" i="3"/>
  <c r="U181" i="3"/>
  <c r="V181" i="3" s="1"/>
  <c r="U104" i="3"/>
  <c r="V104" i="3" s="1"/>
  <c r="U32" i="3"/>
  <c r="U353" i="3"/>
  <c r="U334" i="3"/>
  <c r="V334" i="3" s="1"/>
  <c r="U39" i="3"/>
  <c r="V39" i="3" s="1"/>
  <c r="U131" i="3"/>
  <c r="V131" i="3" s="1"/>
  <c r="U538" i="3"/>
  <c r="U283" i="3"/>
  <c r="V283" i="3" s="1"/>
  <c r="U333" i="3"/>
  <c r="V333" i="3" s="1"/>
  <c r="U260" i="3"/>
  <c r="V260" i="3" s="1"/>
  <c r="U379" i="3"/>
  <c r="V379" i="3" s="1"/>
  <c r="U159" i="3"/>
  <c r="V159" i="3" s="1"/>
  <c r="U306" i="3"/>
  <c r="V306" i="3" s="1"/>
  <c r="U83" i="3"/>
  <c r="U567" i="3"/>
  <c r="V567" i="3" s="1"/>
  <c r="U360" i="3"/>
  <c r="U150" i="3"/>
  <c r="V150" i="3" s="1"/>
  <c r="U582" i="3"/>
  <c r="U165" i="3"/>
  <c r="U390" i="3"/>
  <c r="V390" i="3" s="1"/>
  <c r="U365" i="3"/>
  <c r="V365" i="3" s="1"/>
  <c r="U557" i="3"/>
  <c r="U493" i="3"/>
  <c r="V493" i="3" s="1"/>
  <c r="U350" i="3"/>
  <c r="U286" i="3"/>
  <c r="V286" i="3" s="1"/>
  <c r="U140" i="3"/>
  <c r="V140" i="3" s="1"/>
  <c r="U55" i="3"/>
  <c r="U420" i="3"/>
  <c r="V420" i="3" s="1"/>
  <c r="U293" i="3"/>
  <c r="U579" i="3"/>
  <c r="U467" i="3"/>
  <c r="V467" i="3" s="1"/>
  <c r="U178" i="3"/>
  <c r="V178" i="3" s="1"/>
  <c r="U562" i="3"/>
  <c r="U315" i="3"/>
  <c r="V315" i="3" s="1"/>
  <c r="U161" i="3"/>
  <c r="V161" i="3" s="1"/>
  <c r="U556" i="3"/>
  <c r="U373" i="3"/>
  <c r="V373" i="3" s="1"/>
  <c r="U54" i="3"/>
  <c r="U443" i="3"/>
  <c r="V443" i="3" s="1"/>
  <c r="U275" i="3"/>
  <c r="V275" i="3" s="1"/>
  <c r="U549" i="3"/>
  <c r="V549" i="3" s="1"/>
  <c r="U485" i="3"/>
  <c r="V485" i="3" s="1"/>
  <c r="U421" i="3"/>
  <c r="V421" i="3" s="1"/>
  <c r="U342" i="3"/>
  <c r="V342" i="3" s="1"/>
  <c r="U278" i="3"/>
  <c r="V278" i="3" s="1"/>
  <c r="U196" i="3"/>
  <c r="V196" i="3" s="1"/>
  <c r="U132" i="3"/>
  <c r="U47" i="3"/>
  <c r="V47" i="3" s="1"/>
  <c r="U516" i="3"/>
  <c r="U389" i="3"/>
  <c r="U285" i="3"/>
  <c r="V285" i="3" s="1"/>
  <c r="U147" i="3"/>
  <c r="V147" i="3" s="1"/>
  <c r="U571" i="3"/>
  <c r="U451" i="3"/>
  <c r="V451" i="3" s="1"/>
  <c r="U316" i="3"/>
  <c r="U162" i="3"/>
  <c r="V162" i="3" s="1"/>
  <c r="U554" i="3"/>
  <c r="U434" i="3"/>
  <c r="V434" i="3" s="1"/>
  <c r="U299" i="3"/>
  <c r="V299" i="3" s="1"/>
  <c r="U145" i="3"/>
  <c r="U560" i="3"/>
  <c r="V560" i="3" s="1"/>
  <c r="U532" i="3"/>
  <c r="V532" i="3" s="1"/>
  <c r="U349" i="3"/>
  <c r="V349" i="3" s="1"/>
  <c r="U187" i="3"/>
  <c r="V187" i="3" s="1"/>
  <c r="U563" i="3"/>
  <c r="U427" i="3"/>
  <c r="V427" i="3" s="1"/>
  <c r="U276" i="3"/>
  <c r="V276" i="3" s="1"/>
  <c r="U138" i="3"/>
  <c r="V138" i="3" s="1"/>
  <c r="U546" i="3"/>
  <c r="U410" i="3"/>
  <c r="V410" i="3" s="1"/>
  <c r="U259" i="3"/>
  <c r="V259" i="3" s="1"/>
  <c r="U68" i="3"/>
  <c r="V68" i="3" s="1"/>
  <c r="U191" i="3"/>
  <c r="V191" i="3" s="1"/>
  <c r="U230" i="3"/>
  <c r="V230" i="3" s="1"/>
  <c r="U521" i="3"/>
  <c r="V521" i="3" s="1"/>
  <c r="U457" i="3"/>
  <c r="V457" i="3" s="1"/>
  <c r="U378" i="3"/>
  <c r="V378" i="3" s="1"/>
  <c r="U314" i="3"/>
  <c r="V314" i="3" s="1"/>
  <c r="U250" i="3"/>
  <c r="V250" i="3" s="1"/>
  <c r="U168" i="3"/>
  <c r="V168" i="3" s="1"/>
  <c r="U91" i="3"/>
  <c r="V91" i="3" s="1"/>
  <c r="U397" i="3"/>
  <c r="V397" i="3" s="1"/>
  <c r="U215" i="3"/>
  <c r="U575" i="3"/>
  <c r="V575" i="3" s="1"/>
  <c r="U511" i="3"/>
  <c r="V511" i="3" s="1"/>
  <c r="U447" i="3"/>
  <c r="V447" i="3" s="1"/>
  <c r="U368" i="3"/>
  <c r="V368" i="3" s="1"/>
  <c r="U304" i="3"/>
  <c r="V304" i="3" s="1"/>
  <c r="U222" i="3"/>
  <c r="U158" i="3"/>
  <c r="V158" i="3" s="1"/>
  <c r="U81" i="3"/>
  <c r="V81" i="3" s="1"/>
  <c r="U544" i="3"/>
  <c r="V544" i="3" s="1"/>
  <c r="U273" i="3"/>
  <c r="V273" i="3" s="1"/>
  <c r="U34" i="3"/>
  <c r="V34" i="3" s="1"/>
  <c r="U526" i="3"/>
  <c r="V526" i="3" s="1"/>
  <c r="U462" i="3"/>
  <c r="V462" i="3" s="1"/>
  <c r="U383" i="3"/>
  <c r="U319" i="3"/>
  <c r="V319" i="3" s="1"/>
  <c r="U255" i="3"/>
  <c r="V255" i="3" s="1"/>
  <c r="U173" i="3"/>
  <c r="V173" i="3" s="1"/>
  <c r="U96" i="3"/>
  <c r="V96" i="3" s="1"/>
  <c r="U568" i="3"/>
  <c r="U313" i="3"/>
  <c r="V313" i="3" s="1"/>
  <c r="U555" i="3"/>
  <c r="U541" i="3"/>
  <c r="U270" i="3"/>
  <c r="V270" i="3" s="1"/>
  <c r="U381" i="3"/>
  <c r="U146" i="3"/>
  <c r="U528" i="3"/>
  <c r="V528" i="3" s="1"/>
  <c r="U547" i="3"/>
  <c r="U217" i="3"/>
  <c r="U370" i="3"/>
  <c r="U552" i="3"/>
  <c r="V552" i="3" s="1"/>
  <c r="U296" i="3"/>
  <c r="V296" i="3" s="1"/>
  <c r="U520" i="3"/>
  <c r="V520" i="3" s="1"/>
  <c r="U375" i="3"/>
  <c r="U88" i="3"/>
  <c r="V88" i="3" s="1"/>
  <c r="U469" i="3"/>
  <c r="V469" i="3" s="1"/>
  <c r="U23" i="3"/>
  <c r="V23" i="3" s="1"/>
  <c r="U419" i="3"/>
  <c r="V419" i="3" s="1"/>
  <c r="U267" i="3"/>
  <c r="V267" i="3" s="1"/>
  <c r="U531" i="3"/>
  <c r="V531" i="3" s="1"/>
  <c r="U514" i="3"/>
  <c r="V514" i="3" s="1"/>
  <c r="U488" i="3"/>
  <c r="V488" i="3" s="1"/>
  <c r="U298" i="3"/>
  <c r="V298" i="3" s="1"/>
  <c r="U157" i="3"/>
  <c r="V157" i="3" s="1"/>
  <c r="U525" i="3"/>
  <c r="V525" i="3" s="1"/>
  <c r="U461" i="3"/>
  <c r="V461" i="3" s="1"/>
  <c r="U382" i="3"/>
  <c r="U318" i="3"/>
  <c r="V318" i="3" s="1"/>
  <c r="U254" i="3"/>
  <c r="V254" i="3" s="1"/>
  <c r="U172" i="3"/>
  <c r="V172" i="3" s="1"/>
  <c r="U95" i="3"/>
  <c r="V95" i="3" s="1"/>
  <c r="U572" i="3"/>
  <c r="V572" i="3" s="1"/>
  <c r="U468" i="3"/>
  <c r="V468" i="3" s="1"/>
  <c r="U357" i="3"/>
  <c r="V357" i="3" s="1"/>
  <c r="U219" i="3"/>
  <c r="V219" i="3" s="1"/>
  <c r="U78" i="3"/>
  <c r="V78" i="3" s="1"/>
  <c r="U523" i="3"/>
  <c r="V523" i="3" s="1"/>
  <c r="U388" i="3"/>
  <c r="U268" i="3"/>
  <c r="V268" i="3" s="1"/>
  <c r="U77" i="3"/>
  <c r="U506" i="3"/>
  <c r="V506" i="3" s="1"/>
  <c r="U371" i="3"/>
  <c r="U251" i="3"/>
  <c r="V251" i="3" s="1"/>
  <c r="U92" i="3"/>
  <c r="V92" i="3" s="1"/>
  <c r="U432" i="3"/>
  <c r="V432" i="3" s="1"/>
  <c r="U476" i="3"/>
  <c r="V476" i="3" s="1"/>
  <c r="U301" i="3"/>
  <c r="V301" i="3" s="1"/>
  <c r="U139" i="3"/>
  <c r="V139" i="3" s="1"/>
  <c r="U515" i="3"/>
  <c r="V515" i="3" s="1"/>
  <c r="U356" i="3"/>
  <c r="U210" i="3"/>
  <c r="V210" i="3" s="1"/>
  <c r="U85" i="3"/>
  <c r="V85" i="3" s="1"/>
  <c r="U490" i="3"/>
  <c r="V490" i="3" s="1"/>
  <c r="U339" i="3"/>
  <c r="V339" i="3" s="1"/>
  <c r="U185" i="3"/>
  <c r="V185" i="3" s="1"/>
  <c r="U416" i="3"/>
  <c r="V416" i="3" s="1"/>
  <c r="U82" i="3"/>
  <c r="V82" i="3" s="1"/>
  <c r="U561" i="3"/>
  <c r="U497" i="3"/>
  <c r="V497" i="3" s="1"/>
  <c r="U433" i="3"/>
  <c r="V433" i="3" s="1"/>
  <c r="U354" i="3"/>
  <c r="V354" i="3" s="1"/>
  <c r="U290" i="3"/>
  <c r="U208" i="3"/>
  <c r="V208" i="3" s="1"/>
  <c r="U144" i="3"/>
  <c r="V144" i="3" s="1"/>
  <c r="U67" i="3"/>
  <c r="U448" i="3"/>
  <c r="V448" i="3" s="1"/>
  <c r="U90" i="3"/>
  <c r="V90" i="3" s="1"/>
  <c r="U551" i="3"/>
  <c r="V551" i="3" s="1"/>
  <c r="U487" i="3"/>
  <c r="V487" i="3" s="1"/>
  <c r="U423" i="3"/>
  <c r="V423" i="3" s="1"/>
  <c r="U344" i="3"/>
  <c r="U280" i="3"/>
  <c r="U198" i="3"/>
  <c r="U134" i="3"/>
  <c r="V134" i="3" s="1"/>
  <c r="U49" i="3"/>
  <c r="V49" i="3" s="1"/>
  <c r="U456" i="3"/>
  <c r="V456" i="3" s="1"/>
  <c r="U183" i="3"/>
  <c r="U566" i="3"/>
  <c r="U502" i="3"/>
  <c r="V502" i="3" s="1"/>
  <c r="U438" i="3"/>
  <c r="V438" i="3" s="1"/>
  <c r="U359" i="3"/>
  <c r="U295" i="3"/>
  <c r="U213" i="3"/>
  <c r="V213" i="3" s="1"/>
  <c r="U149" i="3"/>
  <c r="V149" i="3" s="1"/>
  <c r="U64" i="3"/>
  <c r="V64" i="3" s="1"/>
  <c r="U504" i="3"/>
  <c r="V504" i="3" s="1"/>
  <c r="U199" i="3"/>
  <c r="V199" i="3" s="1"/>
  <c r="U262" i="3"/>
  <c r="V262" i="3" s="1"/>
  <c r="U253" i="3"/>
  <c r="V253" i="3" s="1"/>
  <c r="U284" i="3"/>
  <c r="V284" i="3" s="1"/>
  <c r="U100" i="3"/>
  <c r="V100" i="3" s="1"/>
  <c r="U155" i="3"/>
  <c r="V155" i="3" s="1"/>
  <c r="U93" i="3"/>
  <c r="U201" i="3"/>
  <c r="V201" i="3" s="1"/>
  <c r="U569" i="3"/>
  <c r="V569" i="3" s="1"/>
  <c r="U441" i="3"/>
  <c r="V441" i="3" s="1"/>
  <c r="U152" i="3"/>
  <c r="V152" i="3" s="1"/>
  <c r="U496" i="3"/>
  <c r="V496" i="3" s="1"/>
  <c r="U495" i="3"/>
  <c r="V495" i="3" s="1"/>
  <c r="U352" i="3"/>
  <c r="V352" i="3" s="1"/>
  <c r="U206" i="3"/>
  <c r="V206" i="3" s="1"/>
  <c r="U57" i="3"/>
  <c r="V57" i="3" s="1"/>
  <c r="U480" i="3"/>
  <c r="V480" i="3" s="1"/>
  <c r="U574" i="3"/>
  <c r="U510" i="3"/>
  <c r="V510" i="3" s="1"/>
  <c r="U446" i="3"/>
  <c r="V446" i="3" s="1"/>
  <c r="U367" i="3"/>
  <c r="U303" i="3"/>
  <c r="V303" i="3" s="1"/>
  <c r="U221" i="3"/>
  <c r="U72" i="3"/>
  <c r="V72" i="3" s="1"/>
  <c r="U249" i="3"/>
  <c r="U581" i="3"/>
  <c r="U517" i="3"/>
  <c r="V517" i="3" s="1"/>
  <c r="U453" i="3"/>
  <c r="V453" i="3" s="1"/>
  <c r="U374" i="3"/>
  <c r="U310" i="3"/>
  <c r="V310" i="3" s="1"/>
  <c r="U246" i="3"/>
  <c r="V246" i="3" s="1"/>
  <c r="U164" i="3"/>
  <c r="V164" i="3" s="1"/>
  <c r="U79" i="3"/>
  <c r="V79" i="3" s="1"/>
  <c r="U564" i="3"/>
  <c r="U460" i="3"/>
  <c r="V460" i="3" s="1"/>
  <c r="U341" i="3"/>
  <c r="U203" i="3"/>
  <c r="U62" i="3"/>
  <c r="V62" i="3" s="1"/>
  <c r="U507" i="3"/>
  <c r="V507" i="3" s="1"/>
  <c r="U372" i="3"/>
  <c r="V372" i="3" s="1"/>
  <c r="U252" i="3"/>
  <c r="V252" i="3" s="1"/>
  <c r="U61" i="3"/>
  <c r="V61" i="3" s="1"/>
  <c r="U498" i="3"/>
  <c r="U355" i="3"/>
  <c r="V355" i="3" s="1"/>
  <c r="U209" i="3"/>
  <c r="V209" i="3" s="1"/>
  <c r="U76" i="3"/>
  <c r="V76" i="3" s="1"/>
  <c r="U377" i="3"/>
  <c r="V377" i="3" s="1"/>
  <c r="U452" i="3"/>
  <c r="V452" i="3" s="1"/>
  <c r="U277" i="3"/>
  <c r="V277" i="3" s="1"/>
  <c r="U102" i="3"/>
  <c r="V102" i="3" s="1"/>
  <c r="U491" i="3"/>
  <c r="V491" i="3" s="1"/>
  <c r="U340" i="3"/>
  <c r="V340" i="3" s="1"/>
  <c r="U194" i="3"/>
  <c r="U69" i="3"/>
  <c r="U474" i="3"/>
  <c r="V474" i="3" s="1"/>
  <c r="U323" i="3"/>
  <c r="V323" i="3" s="1"/>
  <c r="U169" i="3"/>
  <c r="U361" i="3"/>
  <c r="U50" i="3"/>
  <c r="V50" i="3" s="1"/>
  <c r="U553" i="3"/>
  <c r="U489" i="3"/>
  <c r="V489" i="3" s="1"/>
  <c r="U425" i="3"/>
  <c r="V425" i="3" s="1"/>
  <c r="U346" i="3"/>
  <c r="U282" i="3"/>
  <c r="V282" i="3" s="1"/>
  <c r="U200" i="3"/>
  <c r="V200" i="3" s="1"/>
  <c r="U136" i="3"/>
  <c r="V136" i="3" s="1"/>
  <c r="U51" i="3"/>
  <c r="V51" i="3" s="1"/>
  <c r="U408" i="3"/>
  <c r="V408" i="3" s="1"/>
  <c r="U58" i="3"/>
  <c r="U543" i="3"/>
  <c r="V543" i="3" s="1"/>
  <c r="U479" i="3"/>
  <c r="V479" i="3" s="1"/>
  <c r="U415" i="3"/>
  <c r="V415" i="3" s="1"/>
  <c r="U336" i="3"/>
  <c r="U272" i="3"/>
  <c r="V272" i="3" s="1"/>
  <c r="U190" i="3"/>
  <c r="V190" i="3" s="1"/>
  <c r="U113" i="3"/>
  <c r="V113" i="3" s="1"/>
  <c r="U41" i="3"/>
  <c r="U424" i="3"/>
  <c r="V424" i="3" s="1"/>
  <c r="U151" i="3"/>
  <c r="V151" i="3" s="1"/>
  <c r="U558" i="3"/>
  <c r="U494" i="3"/>
  <c r="U430" i="3"/>
  <c r="V430" i="3" s="1"/>
  <c r="U351" i="3"/>
  <c r="U287" i="3"/>
  <c r="V287" i="3" s="1"/>
  <c r="U205" i="3"/>
  <c r="V205" i="3" s="1"/>
  <c r="U141" i="3"/>
  <c r="V141" i="3" s="1"/>
  <c r="U56" i="3"/>
  <c r="V56" i="3" s="1"/>
  <c r="U464" i="3"/>
  <c r="V464" i="3" s="1"/>
  <c r="U167" i="3"/>
  <c r="V167" i="3" s="1"/>
  <c r="U477" i="3"/>
  <c r="V477" i="3" s="1"/>
  <c r="U188" i="3"/>
  <c r="V188" i="3" s="1"/>
  <c r="U269" i="3"/>
  <c r="V269" i="3" s="1"/>
  <c r="U300" i="3"/>
  <c r="U418" i="3"/>
  <c r="V418" i="3" s="1"/>
  <c r="U508" i="3"/>
  <c r="V508" i="3" s="1"/>
  <c r="U411" i="3"/>
  <c r="V411" i="3" s="1"/>
  <c r="U530" i="3"/>
  <c r="V530" i="3" s="1"/>
  <c r="U28" i="3"/>
  <c r="V28" i="3" s="1"/>
  <c r="U449" i="3"/>
  <c r="V449" i="3" s="1"/>
  <c r="U224" i="3"/>
  <c r="V224" i="3" s="1"/>
  <c r="U175" i="3"/>
  <c r="V175" i="3" s="1"/>
  <c r="U439" i="3"/>
  <c r="V439" i="3" s="1"/>
  <c r="U214" i="3"/>
  <c r="V214" i="3" s="1"/>
  <c r="U257" i="3"/>
  <c r="V257" i="3" s="1"/>
  <c r="U454" i="3"/>
  <c r="U311" i="3"/>
  <c r="V311" i="3" s="1"/>
  <c r="U247" i="3"/>
  <c r="V247" i="3" s="1"/>
  <c r="U281" i="3"/>
  <c r="V281" i="3" s="1"/>
  <c r="U533" i="3"/>
  <c r="V533" i="3" s="1"/>
  <c r="U326" i="3"/>
  <c r="V326" i="3" s="1"/>
  <c r="U180" i="3"/>
  <c r="V180" i="3" s="1"/>
  <c r="U484" i="3"/>
  <c r="U539" i="3"/>
  <c r="U522" i="3"/>
  <c r="V522" i="3" s="1"/>
  <c r="U387" i="3"/>
  <c r="V387" i="3" s="1"/>
  <c r="U472" i="3"/>
  <c r="U317" i="3"/>
  <c r="V317" i="3" s="1"/>
  <c r="U380" i="3"/>
  <c r="U239" i="3"/>
  <c r="V239" i="3" s="1"/>
  <c r="U363" i="3"/>
  <c r="U127" i="3"/>
  <c r="V127" i="3" s="1"/>
  <c r="U505" i="3"/>
  <c r="V505" i="3" s="1"/>
  <c r="U362" i="3"/>
  <c r="U75" i="3"/>
  <c r="V75" i="3" s="1"/>
  <c r="U135" i="3"/>
  <c r="V135" i="3" s="1"/>
  <c r="U559" i="3"/>
  <c r="U431" i="3"/>
  <c r="V431" i="3" s="1"/>
  <c r="U288" i="3"/>
  <c r="V288" i="3" s="1"/>
  <c r="U142" i="3"/>
  <c r="V142" i="3" s="1"/>
  <c r="U207" i="3"/>
  <c r="V207" i="3" s="1"/>
  <c r="U512" i="3"/>
  <c r="U573" i="3"/>
  <c r="V573" i="3" s="1"/>
  <c r="U509" i="3"/>
  <c r="V509" i="3" s="1"/>
  <c r="U445" i="3"/>
  <c r="V445" i="3" s="1"/>
  <c r="U366" i="3"/>
  <c r="U302" i="3"/>
  <c r="V302" i="3" s="1"/>
  <c r="U220" i="3"/>
  <c r="V220" i="3" s="1"/>
  <c r="U156" i="3"/>
  <c r="V156" i="3" s="1"/>
  <c r="U71" i="3"/>
  <c r="V71" i="3" s="1"/>
  <c r="U548" i="3"/>
  <c r="V548" i="3" s="1"/>
  <c r="U444" i="3"/>
  <c r="V444" i="3" s="1"/>
  <c r="U325" i="3"/>
  <c r="V325" i="3" s="1"/>
  <c r="U195" i="3"/>
  <c r="V195" i="3" s="1"/>
  <c r="U46" i="3"/>
  <c r="V46" i="3" s="1"/>
  <c r="U499" i="3"/>
  <c r="V499" i="3" s="1"/>
  <c r="U364" i="3"/>
  <c r="U218" i="3"/>
  <c r="V218" i="3" s="1"/>
  <c r="U29" i="3"/>
  <c r="V29" i="3" s="1"/>
  <c r="U482" i="3"/>
  <c r="V482" i="3" s="1"/>
  <c r="U347" i="3"/>
  <c r="V347" i="3" s="1"/>
  <c r="U193" i="3"/>
  <c r="U60" i="3"/>
  <c r="V60" i="3" s="1"/>
  <c r="U337" i="3"/>
  <c r="V337" i="3" s="1"/>
  <c r="U436" i="3"/>
  <c r="V436" i="3" s="1"/>
  <c r="U261" i="3"/>
  <c r="V261" i="3" s="1"/>
  <c r="U86" i="3"/>
  <c r="V86" i="3" s="1"/>
  <c r="U475" i="3"/>
  <c r="V475" i="3" s="1"/>
  <c r="U324" i="3"/>
  <c r="V324" i="3" s="1"/>
  <c r="U186" i="3"/>
  <c r="V186" i="3" s="1"/>
  <c r="U53" i="3"/>
  <c r="V53" i="3" s="1"/>
  <c r="U458" i="3"/>
  <c r="V458" i="3" s="1"/>
  <c r="U307" i="3"/>
  <c r="U153" i="3"/>
  <c r="V153" i="3" s="1"/>
  <c r="U321" i="3"/>
  <c r="V321" i="3" s="1"/>
  <c r="U228" i="3"/>
  <c r="V228" i="3" s="1"/>
  <c r="U545" i="3"/>
  <c r="U481" i="3"/>
  <c r="V481" i="3" s="1"/>
  <c r="U417" i="3"/>
  <c r="V417" i="3" s="1"/>
  <c r="U338" i="3"/>
  <c r="V338" i="3" s="1"/>
  <c r="U274" i="3"/>
  <c r="U192" i="3"/>
  <c r="U128" i="3"/>
  <c r="V128" i="3" s="1"/>
  <c r="U43" i="3"/>
  <c r="V43" i="3" s="1"/>
  <c r="U345" i="3"/>
  <c r="V345" i="3" s="1"/>
  <c r="U26" i="3"/>
  <c r="V26" i="3" s="1"/>
  <c r="U535" i="3"/>
  <c r="U471" i="3"/>
  <c r="V471" i="3" s="1"/>
  <c r="U407" i="3"/>
  <c r="V407" i="3" s="1"/>
  <c r="U328" i="3"/>
  <c r="V328" i="3" s="1"/>
  <c r="U264" i="3"/>
  <c r="V264" i="3" s="1"/>
  <c r="U182" i="3"/>
  <c r="U105" i="3"/>
  <c r="V105" i="3" s="1"/>
  <c r="U33" i="3"/>
  <c r="V33" i="3" s="1"/>
  <c r="U369" i="3"/>
  <c r="V369" i="3" s="1"/>
  <c r="U106" i="3"/>
  <c r="V106" i="3" s="1"/>
  <c r="U550" i="3"/>
  <c r="V550" i="3" s="1"/>
  <c r="U486" i="3"/>
  <c r="V486" i="3" s="1"/>
  <c r="U422" i="3"/>
  <c r="V422" i="3" s="1"/>
  <c r="U343" i="3"/>
  <c r="V343" i="3" s="1"/>
  <c r="U279" i="3"/>
  <c r="V279" i="3" s="1"/>
  <c r="U197" i="3"/>
  <c r="V197" i="3" s="1"/>
  <c r="U133" i="3"/>
  <c r="V133" i="3" s="1"/>
  <c r="U48" i="3"/>
  <c r="V48" i="3" s="1"/>
  <c r="U440" i="3"/>
  <c r="V440" i="3" s="1"/>
  <c r="U143" i="3"/>
  <c r="V143" i="3" s="1"/>
  <c r="U413" i="3"/>
  <c r="U500" i="3"/>
  <c r="V500" i="3" s="1"/>
  <c r="U435" i="3"/>
  <c r="V435" i="3" s="1"/>
  <c r="U129" i="3"/>
  <c r="V129" i="3" s="1"/>
  <c r="U171" i="3"/>
  <c r="V171" i="3" s="1"/>
  <c r="U109" i="3"/>
  <c r="V109" i="3" s="1"/>
  <c r="U577" i="3"/>
  <c r="V577" i="3" s="1"/>
  <c r="U160" i="3"/>
  <c r="U503" i="3"/>
  <c r="V503" i="3" s="1"/>
  <c r="U65" i="3"/>
  <c r="V65" i="3" s="1"/>
  <c r="U518" i="3"/>
  <c r="V518" i="3" s="1"/>
  <c r="U536" i="3"/>
  <c r="V536" i="3" s="1"/>
  <c r="U103" i="3"/>
  <c r="V103" i="3" s="1"/>
  <c r="U110" i="3"/>
  <c r="V110" i="3" s="1"/>
  <c r="U130" i="3"/>
  <c r="V130" i="3" s="1"/>
  <c r="U492" i="3"/>
  <c r="U216" i="3"/>
  <c r="V216" i="3" s="1"/>
  <c r="U565" i="3"/>
  <c r="U501" i="3"/>
  <c r="V501" i="3" s="1"/>
  <c r="U437" i="3"/>
  <c r="V437" i="3" s="1"/>
  <c r="U358" i="3"/>
  <c r="U294" i="3"/>
  <c r="U212" i="3"/>
  <c r="V212" i="3" s="1"/>
  <c r="U148" i="3"/>
  <c r="U63" i="3"/>
  <c r="V63" i="3" s="1"/>
  <c r="U540" i="3"/>
  <c r="U428" i="3"/>
  <c r="V428" i="3" s="1"/>
  <c r="U309" i="3"/>
  <c r="V309" i="3" s="1"/>
  <c r="U179" i="3"/>
  <c r="V179" i="3" s="1"/>
  <c r="U30" i="3"/>
  <c r="V30" i="3" s="1"/>
  <c r="U483" i="3"/>
  <c r="V483" i="3" s="1"/>
  <c r="U348" i="3"/>
  <c r="V348" i="3" s="1"/>
  <c r="U202" i="3"/>
  <c r="V202" i="3" s="1"/>
  <c r="U578" i="3"/>
  <c r="U466" i="3"/>
  <c r="V466" i="3" s="1"/>
  <c r="U331" i="3"/>
  <c r="V331" i="3" s="1"/>
  <c r="U177" i="3"/>
  <c r="V177" i="3" s="1"/>
  <c r="U44" i="3"/>
  <c r="V44" i="3" s="1"/>
  <c r="U580" i="3"/>
  <c r="U412" i="3"/>
  <c r="V412" i="3" s="1"/>
  <c r="U245" i="3"/>
  <c r="U70" i="3"/>
  <c r="V70" i="3" s="1"/>
  <c r="U459" i="3"/>
  <c r="V459" i="3" s="1"/>
  <c r="U308" i="3"/>
  <c r="V308" i="3" s="1"/>
  <c r="U170" i="3"/>
  <c r="U37" i="3"/>
  <c r="V37" i="3" s="1"/>
  <c r="U442" i="3"/>
  <c r="V442" i="3" s="1"/>
  <c r="U291" i="3"/>
  <c r="V291" i="3" s="1"/>
  <c r="U137" i="3"/>
  <c r="V137" i="3" s="1"/>
  <c r="U289" i="3"/>
  <c r="V289" i="3" s="1"/>
  <c r="U229" i="3"/>
  <c r="V229" i="3" s="1"/>
  <c r="U537" i="3"/>
  <c r="U473" i="3"/>
  <c r="V473" i="3" s="1"/>
  <c r="U409" i="3"/>
  <c r="V409" i="3" s="1"/>
  <c r="U330" i="3"/>
  <c r="V330" i="3" s="1"/>
  <c r="U266" i="3"/>
  <c r="U184" i="3"/>
  <c r="V184" i="3" s="1"/>
  <c r="U107" i="3"/>
  <c r="V107" i="3" s="1"/>
  <c r="U35" i="3"/>
  <c r="V35" i="3" s="1"/>
  <c r="U305" i="3"/>
  <c r="V305" i="3" s="1"/>
  <c r="U398" i="3"/>
  <c r="U527" i="3"/>
  <c r="V527" i="3" s="1"/>
  <c r="U463" i="3"/>
  <c r="V463" i="3" s="1"/>
  <c r="U384" i="3"/>
  <c r="V384" i="3" s="1"/>
  <c r="U320" i="3"/>
  <c r="U256" i="3"/>
  <c r="V256" i="3" s="1"/>
  <c r="U174" i="3"/>
  <c r="V174" i="3" s="1"/>
  <c r="U97" i="3"/>
  <c r="V97" i="3" s="1"/>
  <c r="U25" i="3"/>
  <c r="V25" i="3" s="1"/>
  <c r="U329" i="3"/>
  <c r="V329" i="3" s="1"/>
  <c r="U74" i="3"/>
  <c r="V74" i="3" s="1"/>
  <c r="U542" i="3"/>
  <c r="V542" i="3" s="1"/>
  <c r="U478" i="3"/>
  <c r="V478" i="3" s="1"/>
  <c r="U414" i="3"/>
  <c r="V414" i="3" s="1"/>
  <c r="U335" i="3"/>
  <c r="V335" i="3" s="1"/>
  <c r="U271" i="3"/>
  <c r="V271" i="3" s="1"/>
  <c r="U189" i="3"/>
  <c r="V189" i="3" s="1"/>
  <c r="U112" i="3"/>
  <c r="U40" i="3"/>
  <c r="V40" i="3" s="1"/>
  <c r="U385" i="3"/>
  <c r="U98" i="3"/>
  <c r="V98" i="3" s="1"/>
  <c r="AL16" i="25"/>
  <c r="AL17" i="25"/>
  <c r="F14" i="26"/>
  <c r="U9" i="3"/>
  <c r="V9" i="3" s="1"/>
  <c r="I11" i="3"/>
  <c r="I12" i="3"/>
  <c r="I13" i="3"/>
  <c r="I14" i="3"/>
  <c r="I15" i="3"/>
  <c r="I16" i="3"/>
  <c r="I17" i="3"/>
  <c r="S17" i="3" s="1"/>
  <c r="I18" i="3"/>
  <c r="I19" i="3"/>
  <c r="I20" i="3"/>
  <c r="I21" i="3"/>
  <c r="I22" i="3"/>
  <c r="I120" i="3"/>
  <c r="S120" i="3" s="1"/>
  <c r="I121" i="3"/>
  <c r="I122" i="3"/>
  <c r="I123" i="3"/>
  <c r="S123" i="3" s="1"/>
  <c r="I124" i="3"/>
  <c r="I125" i="3"/>
  <c r="I126" i="3"/>
  <c r="I231" i="3"/>
  <c r="S231" i="3" s="1"/>
  <c r="I232" i="3"/>
  <c r="I233" i="3"/>
  <c r="S233" i="3" s="1"/>
  <c r="I234" i="3"/>
  <c r="I235" i="3"/>
  <c r="I236" i="3"/>
  <c r="I237" i="3"/>
  <c r="I238" i="3"/>
  <c r="S238" i="3" s="1"/>
  <c r="I240" i="3"/>
  <c r="I241" i="3"/>
  <c r="I242" i="3"/>
  <c r="I243" i="3"/>
  <c r="I244" i="3"/>
  <c r="I399" i="3"/>
  <c r="I400" i="3"/>
  <c r="I401" i="3"/>
  <c r="I402" i="3"/>
  <c r="I403" i="3"/>
  <c r="I404" i="3"/>
  <c r="I405" i="3"/>
  <c r="S405" i="3" s="1"/>
  <c r="I406" i="3"/>
  <c r="S403" i="3" l="1"/>
  <c r="S121" i="3"/>
  <c r="T121" i="3" s="1"/>
  <c r="S241" i="3"/>
  <c r="T241" i="3" s="1"/>
  <c r="S402" i="3"/>
  <c r="S22" i="3"/>
  <c r="T22" i="3" s="1"/>
  <c r="S14" i="3"/>
  <c r="T14" i="3" s="1"/>
  <c r="S401" i="3"/>
  <c r="T401" i="3" s="1"/>
  <c r="S21" i="3"/>
  <c r="T21" i="3" s="1"/>
  <c r="S404" i="3"/>
  <c r="T404" i="3" s="1"/>
  <c r="S232" i="3"/>
  <c r="T232" i="3" s="1"/>
  <c r="S15" i="3"/>
  <c r="T15" i="3" s="1"/>
  <c r="S126" i="3"/>
  <c r="S13" i="3"/>
  <c r="T13" i="3" s="1"/>
  <c r="S400" i="3"/>
  <c r="T400" i="3" s="1"/>
  <c r="S237" i="3"/>
  <c r="T237" i="3" s="1"/>
  <c r="S125" i="3"/>
  <c r="T125" i="3" s="1"/>
  <c r="S20" i="3"/>
  <c r="T20" i="3" s="1"/>
  <c r="S12" i="3"/>
  <c r="T12" i="3" s="1"/>
  <c r="S16" i="3"/>
  <c r="T16" i="3" s="1"/>
  <c r="S124" i="3"/>
  <c r="T124" i="3" s="1"/>
  <c r="S242" i="3"/>
  <c r="T242" i="3" s="1"/>
  <c r="S240" i="3"/>
  <c r="T240" i="3" s="1"/>
  <c r="S399" i="3"/>
  <c r="T399" i="3" s="1"/>
  <c r="S236" i="3"/>
  <c r="T236" i="3" s="1"/>
  <c r="S19" i="3"/>
  <c r="S11" i="3"/>
  <c r="T11" i="3" s="1"/>
  <c r="S406" i="3"/>
  <c r="T406" i="3" s="1"/>
  <c r="S244" i="3"/>
  <c r="T244" i="3" s="1"/>
  <c r="S235" i="3"/>
  <c r="T235" i="3" s="1"/>
  <c r="S18" i="3"/>
  <c r="T18" i="3" s="1"/>
  <c r="S243" i="3"/>
  <c r="T243" i="3" s="1"/>
  <c r="S234" i="3"/>
  <c r="T234" i="3" s="1"/>
  <c r="S122" i="3"/>
  <c r="T122" i="3" s="1"/>
  <c r="CR168" i="3"/>
  <c r="CR99" i="3"/>
  <c r="CR342" i="3"/>
  <c r="CR470" i="3"/>
  <c r="CR201" i="3"/>
  <c r="T123" i="3"/>
  <c r="T19" i="3"/>
  <c r="CR71" i="3"/>
  <c r="CR489" i="3"/>
  <c r="CR333" i="3"/>
  <c r="T405" i="3"/>
  <c r="T231" i="3"/>
  <c r="T238" i="3"/>
  <c r="T126" i="3"/>
  <c r="T120" i="3"/>
  <c r="T17" i="3"/>
  <c r="CR527" i="3"/>
  <c r="CR481" i="3"/>
  <c r="CR512" i="3"/>
  <c r="T403" i="3"/>
  <c r="T402" i="3"/>
  <c r="CR57" i="3"/>
  <c r="CR284" i="3"/>
  <c r="T233" i="3"/>
  <c r="CR142" i="3"/>
  <c r="BH582" i="3"/>
  <c r="K40" i="25"/>
  <c r="K74" i="25"/>
  <c r="K463" i="25"/>
  <c r="K330" i="25"/>
  <c r="K442" i="25"/>
  <c r="K580" i="25"/>
  <c r="K483" i="25"/>
  <c r="K212" i="25"/>
  <c r="K130" i="25"/>
  <c r="K577" i="25"/>
  <c r="K440" i="25"/>
  <c r="K550" i="25"/>
  <c r="K407" i="25"/>
  <c r="K274" i="25"/>
  <c r="K307" i="25"/>
  <c r="K436" i="25"/>
  <c r="K364" i="25"/>
  <c r="K156" i="25"/>
  <c r="K207" i="25"/>
  <c r="K505" i="25"/>
  <c r="K522" i="25"/>
  <c r="K311" i="25"/>
  <c r="K28" i="25"/>
  <c r="K477" i="25"/>
  <c r="K430" i="25"/>
  <c r="K272" i="25"/>
  <c r="K136" i="25"/>
  <c r="K361" i="25"/>
  <c r="K102" i="25"/>
  <c r="K61" i="25"/>
  <c r="K564" i="25"/>
  <c r="K581" i="25"/>
  <c r="K574" i="25"/>
  <c r="K441" i="25"/>
  <c r="K262" i="25"/>
  <c r="K438" i="25"/>
  <c r="K280" i="25"/>
  <c r="K144" i="25"/>
  <c r="K416" i="25"/>
  <c r="K139" i="25"/>
  <c r="K77" i="25"/>
  <c r="K572" i="25"/>
  <c r="K157" i="25"/>
  <c r="K469" i="25"/>
  <c r="K547" i="25"/>
  <c r="K568" i="25"/>
  <c r="K34" i="25"/>
  <c r="K447" i="25"/>
  <c r="K314" i="25"/>
  <c r="K410" i="25"/>
  <c r="K532" i="25"/>
  <c r="K451" i="25"/>
  <c r="K196" i="25"/>
  <c r="K54" i="25"/>
  <c r="K579" i="25"/>
  <c r="K557" i="25"/>
  <c r="K83" i="25"/>
  <c r="K131" i="25"/>
  <c r="K327" i="25"/>
  <c r="K166" i="25"/>
  <c r="K27" i="25"/>
  <c r="K396" i="25"/>
  <c r="K36" i="25"/>
  <c r="K111" i="25"/>
  <c r="K80" i="25"/>
  <c r="K112" i="25"/>
  <c r="K329" i="25"/>
  <c r="K527" i="25"/>
  <c r="K409" i="25"/>
  <c r="K37" i="25"/>
  <c r="K44" i="25"/>
  <c r="K30" i="25"/>
  <c r="K294" i="25"/>
  <c r="K110" i="25"/>
  <c r="K109" i="25"/>
  <c r="K48" i="25"/>
  <c r="K106" i="25"/>
  <c r="K471" i="25"/>
  <c r="K338" i="25"/>
  <c r="K458" i="25"/>
  <c r="K337" i="25"/>
  <c r="K499" i="25"/>
  <c r="K220" i="25"/>
  <c r="K142" i="25"/>
  <c r="K127" i="25"/>
  <c r="K539" i="25"/>
  <c r="K454" i="25"/>
  <c r="K530" i="25"/>
  <c r="K167" i="25"/>
  <c r="K494" i="25"/>
  <c r="K336" i="25"/>
  <c r="K200" i="25"/>
  <c r="K169" i="25"/>
  <c r="K277" i="25"/>
  <c r="K252" i="25"/>
  <c r="K79" i="25"/>
  <c r="K249" i="25"/>
  <c r="K480" i="25"/>
  <c r="K569" i="25"/>
  <c r="K199" i="25"/>
  <c r="K502" i="25"/>
  <c r="K344" i="25"/>
  <c r="K208" i="25"/>
  <c r="K185" i="25"/>
  <c r="K301" i="25"/>
  <c r="K268" i="25"/>
  <c r="K95" i="25"/>
  <c r="K298" i="25"/>
  <c r="K88" i="25"/>
  <c r="K528" i="25"/>
  <c r="K96" i="25"/>
  <c r="K273" i="25"/>
  <c r="K511" i="25"/>
  <c r="K378" i="25"/>
  <c r="K546" i="25"/>
  <c r="K560" i="25"/>
  <c r="K571" i="25"/>
  <c r="K278" i="25"/>
  <c r="K373" i="25"/>
  <c r="K293" i="25"/>
  <c r="K365" i="25"/>
  <c r="K306" i="25"/>
  <c r="K39" i="25"/>
  <c r="K391" i="25"/>
  <c r="K248" i="25"/>
  <c r="K99" i="25"/>
  <c r="K223" i="25"/>
  <c r="K450" i="25"/>
  <c r="K59" i="25"/>
  <c r="K189" i="25"/>
  <c r="K25" i="25"/>
  <c r="K398" i="25"/>
  <c r="K473" i="25"/>
  <c r="K170" i="25"/>
  <c r="K177" i="25"/>
  <c r="K179" i="25"/>
  <c r="K358" i="25"/>
  <c r="K103" i="25"/>
  <c r="K171" i="25"/>
  <c r="K133" i="25"/>
  <c r="K369" i="25"/>
  <c r="K535" i="25"/>
  <c r="K417" i="25"/>
  <c r="K53" i="25"/>
  <c r="K60" i="25"/>
  <c r="K46" i="25"/>
  <c r="K302" i="25"/>
  <c r="K288" i="25"/>
  <c r="K363" i="25"/>
  <c r="K484" i="25"/>
  <c r="K257" i="25"/>
  <c r="K411" i="25"/>
  <c r="K464" i="25"/>
  <c r="K558" i="25"/>
  <c r="K415" i="25"/>
  <c r="K282" i="25"/>
  <c r="K323" i="25"/>
  <c r="K452" i="25"/>
  <c r="K372" i="25"/>
  <c r="K164" i="25"/>
  <c r="K72" i="25"/>
  <c r="K57" i="25"/>
  <c r="K201" i="25"/>
  <c r="K504" i="25"/>
  <c r="K566" i="25"/>
  <c r="K423" i="25"/>
  <c r="K290" i="25"/>
  <c r="K339" i="25"/>
  <c r="K476" i="25"/>
  <c r="K388" i="25"/>
  <c r="K172" i="25"/>
  <c r="K488" i="25"/>
  <c r="K375" i="25"/>
  <c r="K146" i="25"/>
  <c r="K173" i="25"/>
  <c r="K544" i="25"/>
  <c r="K575" i="25"/>
  <c r="K457" i="25"/>
  <c r="K138" i="25"/>
  <c r="K145" i="25"/>
  <c r="K147" i="25"/>
  <c r="K342" i="25"/>
  <c r="K556" i="25"/>
  <c r="K420" i="25"/>
  <c r="K390" i="25"/>
  <c r="K159" i="25"/>
  <c r="K334" i="25"/>
  <c r="K470" i="25"/>
  <c r="K312" i="25"/>
  <c r="K176" i="25"/>
  <c r="K84" i="25"/>
  <c r="K332" i="25"/>
  <c r="K73" i="25"/>
  <c r="K66" i="25"/>
  <c r="K271" i="25"/>
  <c r="K97" i="25"/>
  <c r="K305" i="25"/>
  <c r="K537" i="25"/>
  <c r="K308" i="25"/>
  <c r="K331" i="25"/>
  <c r="K309" i="25"/>
  <c r="K437" i="25"/>
  <c r="K536" i="25"/>
  <c r="K129" i="25"/>
  <c r="K197" i="25"/>
  <c r="K33" i="25"/>
  <c r="K26" i="25"/>
  <c r="K481" i="25"/>
  <c r="K186" i="25"/>
  <c r="K193" i="25"/>
  <c r="K195" i="25"/>
  <c r="K366" i="25"/>
  <c r="K431" i="25"/>
  <c r="K239" i="25"/>
  <c r="K180" i="25"/>
  <c r="K214" i="25"/>
  <c r="K508" i="25"/>
  <c r="K56" i="25"/>
  <c r="K151" i="25"/>
  <c r="K479" i="25"/>
  <c r="K346" i="25"/>
  <c r="K474" i="25"/>
  <c r="K377" i="25"/>
  <c r="K507" i="25"/>
  <c r="K246" i="25"/>
  <c r="K221" i="25"/>
  <c r="K206" i="25"/>
  <c r="K93" i="25"/>
  <c r="K64" i="25"/>
  <c r="K183" i="25"/>
  <c r="K487" i="25"/>
  <c r="K354" i="25"/>
  <c r="K490" i="25"/>
  <c r="K432" i="25"/>
  <c r="K523" i="25"/>
  <c r="K254" i="25"/>
  <c r="K514" i="25"/>
  <c r="K520" i="25"/>
  <c r="K381" i="25"/>
  <c r="K255" i="25"/>
  <c r="K81" i="25"/>
  <c r="K215" i="25"/>
  <c r="K521" i="25"/>
  <c r="K276" i="25"/>
  <c r="K299" i="25"/>
  <c r="K285" i="25"/>
  <c r="K421" i="25"/>
  <c r="K161" i="25"/>
  <c r="K55" i="25"/>
  <c r="K165" i="25"/>
  <c r="K379" i="25"/>
  <c r="K353" i="25"/>
  <c r="K534" i="25"/>
  <c r="K376" i="25"/>
  <c r="K258" i="25"/>
  <c r="K426" i="25"/>
  <c r="K163" i="25"/>
  <c r="K45" i="25"/>
  <c r="K335" i="25"/>
  <c r="K174" i="25"/>
  <c r="K35" i="25"/>
  <c r="K229" i="25"/>
  <c r="K459" i="25"/>
  <c r="K466" i="25"/>
  <c r="K428" i="25"/>
  <c r="K501" i="25"/>
  <c r="K518" i="25"/>
  <c r="K435" i="25"/>
  <c r="K279" i="25"/>
  <c r="K105" i="25"/>
  <c r="K345" i="25"/>
  <c r="K545" i="25"/>
  <c r="K324" i="25"/>
  <c r="K347" i="25"/>
  <c r="K325" i="25"/>
  <c r="K445" i="25"/>
  <c r="K559" i="25"/>
  <c r="K380" i="25"/>
  <c r="K326" i="25"/>
  <c r="K439" i="25"/>
  <c r="K418" i="25"/>
  <c r="K141" i="25"/>
  <c r="K424" i="25"/>
  <c r="K543" i="25"/>
  <c r="K425" i="25"/>
  <c r="K69" i="25"/>
  <c r="K76" i="25"/>
  <c r="K62" i="25"/>
  <c r="K310" i="25"/>
  <c r="K303" i="25"/>
  <c r="K352" i="25"/>
  <c r="K155" i="25"/>
  <c r="K149" i="25"/>
  <c r="K456" i="25"/>
  <c r="K551" i="25"/>
  <c r="K433" i="25"/>
  <c r="K85" i="25"/>
  <c r="K92" i="25"/>
  <c r="K78" i="25"/>
  <c r="K318" i="25"/>
  <c r="K531" i="25"/>
  <c r="K296" i="25"/>
  <c r="K270" i="25"/>
  <c r="K319" i="25"/>
  <c r="K158" i="25"/>
  <c r="K397" i="25"/>
  <c r="K230" i="25"/>
  <c r="K427" i="25"/>
  <c r="K434" i="25"/>
  <c r="K389" i="25"/>
  <c r="K485" i="25"/>
  <c r="K315" i="25"/>
  <c r="K140" i="25"/>
  <c r="K582" i="25"/>
  <c r="K260" i="25"/>
  <c r="K32" i="25"/>
  <c r="K42" i="25"/>
  <c r="K455" i="25"/>
  <c r="K322" i="25"/>
  <c r="K570" i="25"/>
  <c r="K524" i="25"/>
  <c r="K38" i="25"/>
  <c r="K24" i="25"/>
  <c r="K52" i="25"/>
  <c r="K414" i="25"/>
  <c r="K256" i="25"/>
  <c r="K107" i="25"/>
  <c r="K289" i="25"/>
  <c r="K70" i="25"/>
  <c r="K578" i="25"/>
  <c r="K540" i="25"/>
  <c r="K565" i="25"/>
  <c r="K65" i="25"/>
  <c r="K500" i="25"/>
  <c r="K343" i="25"/>
  <c r="K182" i="25"/>
  <c r="K43" i="25"/>
  <c r="K228" i="25"/>
  <c r="K475" i="25"/>
  <c r="K482" i="25"/>
  <c r="K444" i="25"/>
  <c r="K509" i="25"/>
  <c r="K135" i="25"/>
  <c r="K317" i="25"/>
  <c r="K533" i="25"/>
  <c r="K175" i="25"/>
  <c r="K300" i="25"/>
  <c r="K205" i="25"/>
  <c r="K41" i="25"/>
  <c r="K58" i="25"/>
  <c r="K489" i="25"/>
  <c r="K194" i="25"/>
  <c r="K209" i="25"/>
  <c r="K203" i="25"/>
  <c r="K374" i="25"/>
  <c r="K367" i="25"/>
  <c r="K495" i="25"/>
  <c r="K100" i="25"/>
  <c r="K213" i="25"/>
  <c r="K49" i="25"/>
  <c r="K90" i="25"/>
  <c r="K497" i="25"/>
  <c r="K210" i="25"/>
  <c r="K251" i="25"/>
  <c r="K219" i="25"/>
  <c r="K382" i="25"/>
  <c r="K267" i="25"/>
  <c r="K552" i="25"/>
  <c r="K541" i="25"/>
  <c r="K383" i="25"/>
  <c r="K222" i="25"/>
  <c r="K91" i="25"/>
  <c r="K191" i="25"/>
  <c r="K563" i="25"/>
  <c r="K554" i="25"/>
  <c r="K516" i="25"/>
  <c r="K549" i="25"/>
  <c r="K562" i="25"/>
  <c r="K286" i="25"/>
  <c r="K150" i="25"/>
  <c r="K333" i="25"/>
  <c r="K104" i="25"/>
  <c r="K297" i="25"/>
  <c r="K519" i="25"/>
  <c r="K386" i="25"/>
  <c r="K154" i="25"/>
  <c r="K204" i="25"/>
  <c r="K94" i="25"/>
  <c r="K98" i="25"/>
  <c r="K478" i="25"/>
  <c r="K320" i="25"/>
  <c r="K184" i="25"/>
  <c r="K137" i="25"/>
  <c r="K245" i="25"/>
  <c r="K202" i="25"/>
  <c r="K63" i="25"/>
  <c r="K216" i="25"/>
  <c r="K503" i="25"/>
  <c r="K413" i="25"/>
  <c r="K422" i="25"/>
  <c r="K264" i="25"/>
  <c r="K128" i="25"/>
  <c r="K321" i="25"/>
  <c r="K86" i="25"/>
  <c r="K29" i="25"/>
  <c r="K548" i="25"/>
  <c r="K573" i="25"/>
  <c r="K75" i="25"/>
  <c r="K472" i="25"/>
  <c r="K281" i="25"/>
  <c r="K224" i="25"/>
  <c r="K269" i="25"/>
  <c r="K287" i="25"/>
  <c r="K113" i="25"/>
  <c r="K408" i="25"/>
  <c r="K553" i="25"/>
  <c r="K340" i="25"/>
  <c r="K355" i="25"/>
  <c r="K341" i="25"/>
  <c r="K453" i="25"/>
  <c r="K446" i="25"/>
  <c r="K496" i="25"/>
  <c r="K284" i="25"/>
  <c r="K295" i="25"/>
  <c r="K134" i="25"/>
  <c r="K448" i="25"/>
  <c r="K561" i="25"/>
  <c r="K356" i="25"/>
  <c r="K371" i="25"/>
  <c r="K357" i="25"/>
  <c r="K461" i="25"/>
  <c r="K419" i="25"/>
  <c r="K370" i="25"/>
  <c r="K555" i="25"/>
  <c r="K462" i="25"/>
  <c r="K304" i="25"/>
  <c r="K168" i="25"/>
  <c r="K68" i="25"/>
  <c r="K187" i="25"/>
  <c r="K162" i="25"/>
  <c r="K47" i="25"/>
  <c r="K275" i="25"/>
  <c r="K178" i="25"/>
  <c r="K350" i="25"/>
  <c r="K360" i="25"/>
  <c r="K283" i="25"/>
  <c r="K181" i="25"/>
  <c r="K576" i="25"/>
  <c r="K119" i="25"/>
  <c r="K465" i="25"/>
  <c r="K292" i="25"/>
  <c r="K429" i="25"/>
  <c r="K101" i="25"/>
  <c r="K31" i="25"/>
  <c r="K385" i="25"/>
  <c r="K542" i="25"/>
  <c r="K384" i="25"/>
  <c r="K266" i="25"/>
  <c r="K291" i="25"/>
  <c r="K412" i="25"/>
  <c r="K348" i="25"/>
  <c r="K148" i="25"/>
  <c r="K492" i="25"/>
  <c r="K160" i="25"/>
  <c r="K143" i="25"/>
  <c r="K486" i="25"/>
  <c r="K328" i="25"/>
  <c r="K192" i="25"/>
  <c r="K153" i="25"/>
  <c r="K261" i="25"/>
  <c r="K218" i="25"/>
  <c r="K71" i="25"/>
  <c r="K512" i="25"/>
  <c r="K362" i="25"/>
  <c r="K387" i="25"/>
  <c r="K247" i="25"/>
  <c r="K449" i="25"/>
  <c r="K188" i="25"/>
  <c r="K351" i="25"/>
  <c r="K190" i="25"/>
  <c r="K51" i="25"/>
  <c r="K50" i="25"/>
  <c r="K491" i="25"/>
  <c r="K498" i="25"/>
  <c r="K460" i="25"/>
  <c r="K517" i="25"/>
  <c r="K510" i="25"/>
  <c r="K152" i="25"/>
  <c r="K253" i="25"/>
  <c r="K359" i="25"/>
  <c r="K198" i="25"/>
  <c r="K67" i="25"/>
  <c r="K82" i="25"/>
  <c r="K515" i="25"/>
  <c r="K506" i="25"/>
  <c r="K468" i="25"/>
  <c r="K525" i="25"/>
  <c r="K23" i="25"/>
  <c r="K217" i="25"/>
  <c r="K313" i="25"/>
  <c r="K526" i="25"/>
  <c r="K368" i="25"/>
  <c r="K250" i="25"/>
  <c r="K259" i="25"/>
  <c r="K349" i="25"/>
  <c r="K316" i="25"/>
  <c r="K132" i="25"/>
  <c r="K443" i="25"/>
  <c r="K467" i="25"/>
  <c r="K493" i="25"/>
  <c r="K567" i="25"/>
  <c r="K538" i="25"/>
  <c r="K263" i="25"/>
  <c r="K89" i="25"/>
  <c r="K265" i="25"/>
  <c r="K529" i="25"/>
  <c r="K211" i="25"/>
  <c r="K513" i="25"/>
  <c r="K87" i="25"/>
  <c r="K108" i="25"/>
  <c r="G14" i="26"/>
  <c r="G13" i="26"/>
  <c r="G11" i="26"/>
  <c r="G10" i="26"/>
  <c r="G12" i="26"/>
  <c r="K9" i="25"/>
  <c r="BJ582" i="3" l="1"/>
  <c r="BK582" i="3" s="1"/>
  <c r="U122" i="3"/>
  <c r="V122" i="3" s="1"/>
  <c r="U403" i="3"/>
  <c r="V403" i="3" s="1"/>
  <c r="U238" i="3"/>
  <c r="U20" i="3"/>
  <c r="V20" i="3" s="1"/>
  <c r="U125" i="3"/>
  <c r="V125" i="3" s="1"/>
  <c r="U242" i="3"/>
  <c r="V242" i="3" s="1"/>
  <c r="U13" i="3"/>
  <c r="V13" i="3" s="1"/>
  <c r="U14" i="3"/>
  <c r="V14" i="3" s="1"/>
  <c r="U406" i="3"/>
  <c r="V406" i="3" s="1"/>
  <c r="U17" i="3"/>
  <c r="U233" i="3"/>
  <c r="U402" i="3"/>
  <c r="V402" i="3" s="1"/>
  <c r="U243" i="3"/>
  <c r="V243" i="3" s="1"/>
  <c r="U21" i="3"/>
  <c r="V21" i="3" s="1"/>
  <c r="U22" i="3"/>
  <c r="V22" i="3" s="1"/>
  <c r="U12" i="3"/>
  <c r="V12" i="3" s="1"/>
  <c r="U124" i="3"/>
  <c r="V124" i="3" s="1"/>
  <c r="U241" i="3"/>
  <c r="V241" i="3" s="1"/>
  <c r="U18" i="3"/>
  <c r="V18" i="3" s="1"/>
  <c r="U120" i="3"/>
  <c r="U121" i="3"/>
  <c r="V121" i="3" s="1"/>
  <c r="U235" i="3"/>
  <c r="V235" i="3" s="1"/>
  <c r="U232" i="3"/>
  <c r="V232" i="3" s="1"/>
  <c r="U401" i="3"/>
  <c r="V401" i="3" s="1"/>
  <c r="U399" i="3"/>
  <c r="V399" i="3" s="1"/>
  <c r="U236" i="3"/>
  <c r="V236" i="3" s="1"/>
  <c r="U237" i="3"/>
  <c r="V237" i="3" s="1"/>
  <c r="U16" i="3"/>
  <c r="V16" i="3" s="1"/>
  <c r="U240" i="3"/>
  <c r="V240" i="3" s="1"/>
  <c r="U11" i="3"/>
  <c r="V11" i="3" s="1"/>
  <c r="U234" i="3"/>
  <c r="V234" i="3" s="1"/>
  <c r="U244" i="3"/>
  <c r="V244" i="3" s="1"/>
  <c r="U405" i="3"/>
  <c r="U123" i="3"/>
  <c r="U400" i="3"/>
  <c r="V400" i="3" s="1"/>
  <c r="U19" i="3"/>
  <c r="V19" i="3" s="1"/>
  <c r="U404" i="3"/>
  <c r="V404" i="3" s="1"/>
  <c r="U15" i="3"/>
  <c r="V15" i="3" s="1"/>
  <c r="U231" i="3"/>
  <c r="U10" i="3"/>
  <c r="V10" i="3" s="1"/>
  <c r="U126" i="3"/>
  <c r="V126" i="3" s="1"/>
  <c r="AL18" i="25"/>
  <c r="L251" i="25"/>
  <c r="L391" i="25"/>
  <c r="L536" i="25"/>
  <c r="L537" i="25"/>
  <c r="L538" i="25"/>
  <c r="L383" i="25"/>
  <c r="L303" i="25"/>
  <c r="L541" i="25"/>
  <c r="L378" i="25"/>
  <c r="L371" i="25"/>
  <c r="L384" i="25"/>
  <c r="L377" i="25"/>
  <c r="L544" i="25"/>
  <c r="L22" i="25"/>
  <c r="L92" i="25"/>
  <c r="L545" i="25"/>
  <c r="L546" i="25"/>
  <c r="L549" i="25"/>
  <c r="L364" i="25"/>
  <c r="L357" i="25"/>
  <c r="L370" i="25"/>
  <c r="L62" i="25"/>
  <c r="L369" i="25"/>
  <c r="L363" i="25"/>
  <c r="L552" i="25"/>
  <c r="L553" i="25"/>
  <c r="L554" i="25"/>
  <c r="L557" i="25"/>
  <c r="L228" i="25"/>
  <c r="L367" i="25"/>
  <c r="L258" i="25"/>
  <c r="L456" i="25"/>
  <c r="L457" i="25"/>
  <c r="L458" i="25"/>
  <c r="L461" i="25"/>
  <c r="L280" i="25"/>
  <c r="L104" i="25"/>
  <c r="L487" i="25"/>
  <c r="L343" i="25"/>
  <c r="L286" i="25"/>
  <c r="L349" i="25"/>
  <c r="L464" i="25"/>
  <c r="L465" i="25"/>
  <c r="L466" i="25"/>
  <c r="L212" i="25"/>
  <c r="L362" i="25"/>
  <c r="L469" i="25"/>
  <c r="L238" i="25"/>
  <c r="L301" i="25"/>
  <c r="L244" i="25"/>
  <c r="L307" i="25"/>
  <c r="L472" i="25"/>
  <c r="L207" i="25"/>
  <c r="L360" i="25"/>
  <c r="L473" i="25"/>
  <c r="L474" i="25"/>
  <c r="L477" i="25"/>
  <c r="L329" i="25"/>
  <c r="L109" i="25"/>
  <c r="L335" i="25"/>
  <c r="L290" i="25"/>
  <c r="L174" i="25"/>
  <c r="L177" i="25"/>
  <c r="L317" i="25"/>
  <c r="L19" i="25"/>
  <c r="L422" i="25"/>
  <c r="L78" i="25"/>
  <c r="L267" i="25"/>
  <c r="L264" i="25"/>
  <c r="L420" i="25"/>
  <c r="L399" i="25"/>
  <c r="L310" i="25"/>
  <c r="L260" i="25"/>
  <c r="L436" i="25"/>
  <c r="L396" i="25"/>
  <c r="L257" i="25"/>
  <c r="L282" i="25"/>
  <c r="L204" i="25"/>
  <c r="L248" i="25"/>
  <c r="L200" i="25"/>
  <c r="L158" i="25"/>
  <c r="L205" i="25"/>
  <c r="L197" i="25"/>
  <c r="L139" i="25"/>
  <c r="L201" i="25"/>
  <c r="L179" i="25"/>
  <c r="L249" i="25"/>
  <c r="L344" i="25"/>
  <c r="L107" i="25"/>
  <c r="L60" i="25"/>
  <c r="L14" i="25"/>
  <c r="L223" i="25"/>
  <c r="L42" i="25"/>
  <c r="L304" i="25"/>
  <c r="L190" i="25"/>
  <c r="L74" i="25"/>
  <c r="L511" i="25"/>
  <c r="L518" i="25"/>
  <c r="L555" i="25"/>
  <c r="L183" i="25"/>
  <c r="L468" i="25"/>
  <c r="L146" i="25"/>
  <c r="L510" i="25"/>
  <c r="L180" i="25"/>
  <c r="L71" i="25"/>
  <c r="L421" i="25"/>
  <c r="L515" i="25"/>
  <c r="L407" i="25"/>
  <c r="L195" i="25"/>
  <c r="L519" i="25"/>
  <c r="L417" i="25"/>
  <c r="L388" i="25"/>
  <c r="L169" i="25"/>
  <c r="L170" i="25"/>
  <c r="L416" i="25"/>
  <c r="L386" i="25"/>
  <c r="L558" i="25"/>
  <c r="L500" i="25"/>
  <c r="L374" i="25"/>
  <c r="L372" i="25"/>
  <c r="L85" i="25"/>
  <c r="L452" i="25"/>
  <c r="L413" i="25"/>
  <c r="L492" i="25"/>
  <c r="L454" i="25"/>
  <c r="L156" i="25"/>
  <c r="L152" i="25"/>
  <c r="L154" i="25"/>
  <c r="L412" i="25"/>
  <c r="L414" i="25"/>
  <c r="L148" i="25"/>
  <c r="L43" i="25"/>
  <c r="L123" i="25"/>
  <c r="L408" i="25"/>
  <c r="L409" i="25"/>
  <c r="L495" i="25"/>
  <c r="L491" i="25"/>
  <c r="L135" i="25"/>
  <c r="L435" i="25"/>
  <c r="L189" i="25"/>
  <c r="L57" i="25"/>
  <c r="L403" i="25"/>
  <c r="L483" i="25"/>
  <c r="L243" i="25"/>
  <c r="L405" i="25"/>
  <c r="L126" i="25"/>
  <c r="L125" i="25"/>
  <c r="L401" i="25"/>
  <c r="L400" i="25"/>
  <c r="L37" i="25"/>
  <c r="L32" i="25"/>
  <c r="L534" i="25"/>
  <c r="L373" i="25"/>
  <c r="L30" i="25"/>
  <c r="L242" i="25"/>
  <c r="L486" i="25"/>
  <c r="L96" i="25"/>
  <c r="L240" i="25"/>
  <c r="L297" i="25"/>
  <c r="L235" i="25"/>
  <c r="L13" i="25"/>
  <c r="L100" i="25"/>
  <c r="L255" i="25"/>
  <c r="L574" i="25"/>
  <c r="L9" i="25"/>
  <c r="CR12" i="3" l="1"/>
  <c r="C3" i="26"/>
  <c r="BL582" i="3"/>
  <c r="C4" i="26"/>
  <c r="C6" i="26"/>
  <c r="C5" i="26"/>
  <c r="K231" i="25"/>
  <c r="K234" i="25"/>
  <c r="K232" i="25"/>
  <c r="K22" i="25"/>
  <c r="K13" i="25"/>
  <c r="K401" i="25"/>
  <c r="K15" i="25"/>
  <c r="K11" i="25"/>
  <c r="K235" i="25"/>
  <c r="K21" i="25"/>
  <c r="K242" i="25"/>
  <c r="K244" i="25"/>
  <c r="K404" i="25"/>
  <c r="K240" i="25"/>
  <c r="K121" i="25"/>
  <c r="K243" i="25"/>
  <c r="K125" i="25"/>
  <c r="K12" i="25"/>
  <c r="K19" i="25"/>
  <c r="K16" i="25"/>
  <c r="K120" i="25"/>
  <c r="K402" i="25"/>
  <c r="K20" i="25"/>
  <c r="K14" i="25"/>
  <c r="K400" i="25"/>
  <c r="K237" i="25"/>
  <c r="K18" i="25"/>
  <c r="K233" i="25"/>
  <c r="K238" i="25"/>
  <c r="K123" i="25"/>
  <c r="K236" i="25"/>
  <c r="K241" i="25"/>
  <c r="K17" i="25"/>
  <c r="K403" i="25"/>
  <c r="K10" i="25"/>
  <c r="K126" i="25"/>
  <c r="K405" i="25"/>
  <c r="K399" i="25"/>
  <c r="K124" i="25"/>
  <c r="K406" i="25"/>
  <c r="K122" i="25"/>
  <c r="AL19" i="25"/>
  <c r="N9" i="25"/>
  <c r="N574" i="25"/>
  <c r="AI1" i="3" l="1"/>
  <c r="BN582" i="3"/>
  <c r="AI574" i="25"/>
  <c r="AI9" i="25"/>
  <c r="AL21" i="25"/>
  <c r="AL20" i="25"/>
  <c r="BP582" i="3" l="1"/>
  <c r="B7" i="26"/>
  <c r="L220" i="25"/>
  <c r="BR582" i="3" l="1"/>
  <c r="AL23" i="25"/>
  <c r="AL22" i="25"/>
  <c r="N255" i="25"/>
  <c r="L61" i="25"/>
  <c r="L359" i="25"/>
  <c r="L493" i="25"/>
  <c r="L450" i="25"/>
  <c r="L434" i="25"/>
  <c r="L404" i="25"/>
  <c r="L365" i="25"/>
  <c r="L241" i="25"/>
  <c r="L87" i="25"/>
  <c r="L63" i="25"/>
  <c r="L532" i="25"/>
  <c r="L358" i="25"/>
  <c r="L505" i="25"/>
  <c r="L462" i="25"/>
  <c r="L309" i="25"/>
  <c r="L215" i="25"/>
  <c r="L498" i="25"/>
  <c r="L445" i="25"/>
  <c r="L339" i="25"/>
  <c r="L382" i="25"/>
  <c r="L105" i="25"/>
  <c r="L225" i="25"/>
  <c r="L181" i="25"/>
  <c r="L512" i="25"/>
  <c r="L571" i="25"/>
  <c r="L350" i="25"/>
  <c r="L93" i="25"/>
  <c r="L449" i="25"/>
  <c r="L351" i="25"/>
  <c r="L219" i="25"/>
  <c r="L178" i="25"/>
  <c r="L263" i="25"/>
  <c r="L418" i="25"/>
  <c r="L138" i="25"/>
  <c r="L533" i="25"/>
  <c r="L525" i="25"/>
  <c r="L229" i="25"/>
  <c r="L366" i="25"/>
  <c r="L321" i="25"/>
  <c r="L24" i="25"/>
  <c r="L72" i="25"/>
  <c r="L485" i="25"/>
  <c r="L428" i="25"/>
  <c r="L502" i="25"/>
  <c r="L27" i="25"/>
  <c r="L209" i="25"/>
  <c r="L572" i="25"/>
  <c r="L551" i="25"/>
  <c r="L433" i="25"/>
  <c r="L330" i="25"/>
  <c r="L527" i="25"/>
  <c r="L157" i="25"/>
  <c r="L84" i="25"/>
  <c r="L295" i="25"/>
  <c r="L224" i="25"/>
  <c r="L160" i="25"/>
  <c r="L106" i="25"/>
  <c r="L275" i="25"/>
  <c r="L194" i="25"/>
  <c r="L129" i="25"/>
  <c r="L55" i="25"/>
  <c r="L217" i="25"/>
  <c r="L334" i="25"/>
  <c r="L529" i="25"/>
  <c r="L29" i="25"/>
  <c r="L441" i="25"/>
  <c r="L415" i="25"/>
  <c r="L460" i="25"/>
  <c r="L233" i="25"/>
  <c r="L153" i="25"/>
  <c r="L524" i="25"/>
  <c r="L489" i="25"/>
  <c r="L168" i="25"/>
  <c r="L348" i="25"/>
  <c r="L426" i="25"/>
  <c r="L172" i="25"/>
  <c r="L95" i="25"/>
  <c r="L522" i="25"/>
  <c r="L375" i="25"/>
  <c r="L481" i="25"/>
  <c r="L440" i="25"/>
  <c r="L171" i="25"/>
  <c r="L327" i="25"/>
  <c r="L306" i="25"/>
  <c r="L41" i="25"/>
  <c r="L162" i="25"/>
  <c r="L393" i="25"/>
  <c r="L39" i="25"/>
  <c r="L50" i="25"/>
  <c r="L447" i="25"/>
  <c r="L281" i="25"/>
  <c r="L410" i="25"/>
  <c r="L133" i="25"/>
  <c r="L531" i="25"/>
  <c r="L176" i="25"/>
  <c r="L67" i="25"/>
  <c r="L40" i="25"/>
  <c r="L459" i="25"/>
  <c r="L134" i="25"/>
  <c r="L145" i="25"/>
  <c r="L323" i="25"/>
  <c r="L387" i="25"/>
  <c r="L246" i="25"/>
  <c r="L444" i="25"/>
  <c r="L173" i="25"/>
  <c r="L76" i="25"/>
  <c r="L136" i="25"/>
  <c r="L559" i="25"/>
  <c r="L208" i="25"/>
  <c r="L285" i="25"/>
  <c r="L338" i="25"/>
  <c r="L503" i="25"/>
  <c r="L299" i="25"/>
  <c r="L20" i="25"/>
  <c r="L271" i="25"/>
  <c r="L337" i="25"/>
  <c r="L475" i="25"/>
  <c r="L273" i="25"/>
  <c r="L279" i="25"/>
  <c r="L332" i="25"/>
  <c r="L341" i="25"/>
  <c r="L542" i="25"/>
  <c r="L90" i="25"/>
  <c r="L247" i="25"/>
  <c r="L99" i="25"/>
  <c r="L302" i="25"/>
  <c r="L516" i="25"/>
  <c r="L110" i="25"/>
  <c r="L130" i="25"/>
  <c r="L277" i="25"/>
  <c r="L79" i="25"/>
  <c r="L94" i="25"/>
  <c r="L101" i="25"/>
  <c r="L185" i="25"/>
  <c r="L68" i="25"/>
  <c r="L83" i="25"/>
  <c r="L311" i="25"/>
  <c r="L318" i="25"/>
  <c r="L429" i="25"/>
  <c r="L326" i="25"/>
  <c r="L575" i="25"/>
  <c r="L563" i="25"/>
  <c r="L556" i="25"/>
  <c r="L347" i="25"/>
  <c r="L419" i="25"/>
  <c r="L131" i="25"/>
  <c r="L361" i="25"/>
  <c r="L442" i="25"/>
  <c r="L448" i="25"/>
  <c r="L35" i="25"/>
  <c r="L336" i="25"/>
  <c r="L490" i="25"/>
  <c r="L496" i="25"/>
  <c r="L293" i="25"/>
  <c r="L88" i="25"/>
  <c r="L514" i="25"/>
  <c r="L520" i="25"/>
  <c r="L356" i="25"/>
  <c r="L245" i="25"/>
  <c r="L175" i="25"/>
  <c r="L77" i="25"/>
  <c r="L132" i="25"/>
  <c r="L250" i="25"/>
  <c r="L430" i="25"/>
  <c r="L122" i="25"/>
  <c r="L53" i="25"/>
  <c r="L482" i="25"/>
  <c r="L446" i="25"/>
  <c r="L354" i="25"/>
  <c r="L432" i="25"/>
  <c r="L151" i="25"/>
  <c r="L398" i="25"/>
  <c r="L484" i="25"/>
  <c r="L325" i="25"/>
  <c r="L167" i="25"/>
  <c r="L44" i="25"/>
  <c r="L431" i="25"/>
  <c r="L488" i="25"/>
  <c r="L355" i="25"/>
  <c r="L550" i="25"/>
  <c r="L340" i="25"/>
  <c r="L425" i="25"/>
  <c r="L80" i="25"/>
  <c r="L288" i="25"/>
  <c r="L467" i="25"/>
  <c r="L33" i="25"/>
  <c r="L121" i="25"/>
  <c r="L521" i="25"/>
  <c r="L56" i="25"/>
  <c r="L376" i="25"/>
  <c r="L315" i="25"/>
  <c r="L328" i="25"/>
  <c r="L272" i="25"/>
  <c r="L480" i="25"/>
  <c r="L252" i="25"/>
  <c r="L15" i="25"/>
  <c r="L265" i="25"/>
  <c r="L423" i="25"/>
  <c r="L221" i="25"/>
  <c r="L294" i="25"/>
  <c r="L437" i="25"/>
  <c r="L395" i="25"/>
  <c r="L314" i="25"/>
  <c r="L320" i="25"/>
  <c r="L313" i="25"/>
  <c r="L305" i="25"/>
  <c r="L199" i="25"/>
  <c r="L211" i="25"/>
  <c r="L268" i="25"/>
  <c r="L163" i="25"/>
  <c r="L198" i="25"/>
  <c r="L191" i="25"/>
  <c r="L508" i="25"/>
  <c r="L166" i="25"/>
  <c r="L188" i="25"/>
  <c r="L49" i="25"/>
  <c r="L507" i="25"/>
  <c r="L497" i="25"/>
  <c r="L564" i="25"/>
  <c r="L567" i="25"/>
  <c r="L523" i="25"/>
  <c r="L47" i="25"/>
  <c r="L424" i="25"/>
  <c r="L261" i="25"/>
  <c r="L402" i="25"/>
  <c r="L120" i="25"/>
  <c r="L97" i="25"/>
  <c r="L476" i="25"/>
  <c r="L380" i="25"/>
  <c r="L439" i="25"/>
  <c r="L528" i="25"/>
  <c r="L517" i="25"/>
  <c r="L237" i="25"/>
  <c r="L216" i="25"/>
  <c r="L75" i="25"/>
  <c r="L292" i="25"/>
  <c r="L149" i="25"/>
  <c r="L276" i="25"/>
  <c r="L270" i="25"/>
  <c r="L470" i="25"/>
  <c r="L51" i="25"/>
  <c r="L342" i="25"/>
  <c r="L91" i="25"/>
  <c r="L312" i="25"/>
  <c r="L142" i="25"/>
  <c r="L504" i="25"/>
  <c r="L98" i="25"/>
  <c r="L539" i="25"/>
  <c r="L196" i="25"/>
  <c r="L65" i="25"/>
  <c r="L509" i="25"/>
  <c r="L287" i="25"/>
  <c r="L231" i="25"/>
  <c r="L108" i="25"/>
  <c r="L102" i="25"/>
  <c r="L353" i="25"/>
  <c r="L300" i="25"/>
  <c r="L331" i="25"/>
  <c r="L540" i="25"/>
  <c r="L218" i="25"/>
  <c r="L333" i="25"/>
  <c r="L406" i="25"/>
  <c r="L319" i="25"/>
  <c r="L324" i="25"/>
  <c r="L298" i="25"/>
  <c r="L291" i="25"/>
  <c r="L202" i="25"/>
  <c r="L278" i="25"/>
  <c r="L262" i="25"/>
  <c r="L184" i="25"/>
  <c r="N184" i="25" s="1"/>
  <c r="L499" i="25"/>
  <c r="L379" i="25"/>
  <c r="L385" i="25"/>
  <c r="L222" i="25"/>
  <c r="L70" i="25"/>
  <c r="L513" i="25"/>
  <c r="L506" i="25"/>
  <c r="L501" i="25"/>
  <c r="L322" i="25"/>
  <c r="L266" i="25"/>
  <c r="L368" i="25"/>
  <c r="L453" i="25"/>
  <c r="L10" i="25"/>
  <c r="L259" i="25"/>
  <c r="L28" i="25"/>
  <c r="L548" i="25"/>
  <c r="L547" i="25"/>
  <c r="L566" i="25"/>
  <c r="L543" i="25"/>
  <c r="L308" i="25"/>
  <c r="L214" i="25"/>
  <c r="L269" i="25"/>
  <c r="L316" i="25"/>
  <c r="L187" i="25"/>
  <c r="L165" i="25"/>
  <c r="L284" i="25"/>
  <c r="L274" i="25"/>
  <c r="L256" i="25"/>
  <c r="L203" i="25"/>
  <c r="L73" i="25"/>
  <c r="L159" i="25"/>
  <c r="L451" i="25"/>
  <c r="L38" i="25"/>
  <c r="L283" i="25"/>
  <c r="L494" i="25"/>
  <c r="L155" i="25"/>
  <c r="L141" i="25"/>
  <c r="L438" i="25"/>
  <c r="L411" i="25"/>
  <c r="L34" i="25"/>
  <c r="L296" i="25"/>
  <c r="L59" i="25"/>
  <c r="L192" i="25"/>
  <c r="L69" i="25"/>
  <c r="L397" i="25"/>
  <c r="L89" i="25"/>
  <c r="L48" i="25"/>
  <c r="L479" i="25"/>
  <c r="L140" i="25"/>
  <c r="L143" i="25"/>
  <c r="L17" i="25"/>
  <c r="L46" i="25"/>
  <c r="L64" i="25"/>
  <c r="L31" i="25"/>
  <c r="L394" i="25"/>
  <c r="L21" i="25"/>
  <c r="L144" i="25"/>
  <c r="L232" i="25"/>
  <c r="L128" i="25"/>
  <c r="L66" i="25"/>
  <c r="L427" i="25"/>
  <c r="L381" i="25"/>
  <c r="L81" i="25"/>
  <c r="L103" i="25"/>
  <c r="L36" i="25"/>
  <c r="L82" i="25"/>
  <c r="L58" i="25"/>
  <c r="L289" i="25"/>
  <c r="L206" i="25"/>
  <c r="N206" i="25" s="1"/>
  <c r="L455" i="25"/>
  <c r="L443" i="25"/>
  <c r="L52" i="25"/>
  <c r="L463" i="25"/>
  <c r="L127" i="25"/>
  <c r="L193" i="25"/>
  <c r="L392" i="25"/>
  <c r="L345" i="25"/>
  <c r="L236" i="25"/>
  <c r="L471" i="25"/>
  <c r="N471" i="25" s="1"/>
  <c r="L352" i="25"/>
  <c r="N352" i="25" s="1"/>
  <c r="L182" i="25"/>
  <c r="L45" i="25"/>
  <c r="L213" i="25"/>
  <c r="L25" i="25"/>
  <c r="L18" i="25"/>
  <c r="L124" i="25"/>
  <c r="L54" i="25"/>
  <c r="L253" i="25"/>
  <c r="L16" i="25"/>
  <c r="L11" i="25"/>
  <c r="N11" i="25" s="1"/>
  <c r="L478" i="25"/>
  <c r="L86" i="25"/>
  <c r="L23" i="25"/>
  <c r="L239" i="25"/>
  <c r="L210" i="25"/>
  <c r="L234" i="25"/>
  <c r="L12" i="25"/>
  <c r="L535" i="25"/>
  <c r="L254" i="25"/>
  <c r="N254" i="25" s="1"/>
  <c r="L346" i="25"/>
  <c r="N346" i="25" s="1"/>
  <c r="BT582" i="3" l="1"/>
  <c r="AI206" i="25"/>
  <c r="AI352" i="25"/>
  <c r="AI471" i="25"/>
  <c r="AI254" i="25"/>
  <c r="AI184" i="25"/>
  <c r="AI255" i="25"/>
  <c r="AI11" i="25"/>
  <c r="AI346" i="25"/>
  <c r="N535" i="25"/>
  <c r="BV582" i="3" l="1"/>
  <c r="AI535" i="25"/>
  <c r="AL24" i="25"/>
  <c r="AL25" i="25"/>
  <c r="N232" i="25"/>
  <c r="N100" i="25"/>
  <c r="BX582" i="3" l="1"/>
  <c r="AI100" i="25"/>
  <c r="AI232" i="25"/>
  <c r="BZ582" i="3" l="1"/>
  <c r="N143" i="25"/>
  <c r="CA582" i="3" l="1"/>
  <c r="CB582" i="3" s="1"/>
  <c r="AI143" i="25"/>
  <c r="N12" i="25"/>
  <c r="N16" i="25"/>
  <c r="CD582" i="3" l="1"/>
  <c r="CE582" i="3" s="1"/>
  <c r="AI16" i="25"/>
  <c r="AI12" i="25"/>
  <c r="CF582" i="3" l="1"/>
  <c r="CG582" i="3" s="1"/>
  <c r="N13" i="25"/>
  <c r="N140" i="25"/>
  <c r="CH582" i="3" l="1"/>
  <c r="CI582" i="3" s="1"/>
  <c r="AI140" i="25"/>
  <c r="AI13" i="25"/>
  <c r="N234" i="25"/>
  <c r="CJ582" i="3" l="1"/>
  <c r="AI234" i="25"/>
  <c r="CL582" i="3" l="1"/>
  <c r="AR579" i="3"/>
  <c r="N235" i="25"/>
  <c r="CN582" i="3" l="1"/>
  <c r="CO582" i="3" s="1"/>
  <c r="AI235" i="25"/>
  <c r="AS579" i="3"/>
  <c r="AR580" i="3"/>
  <c r="N236" i="25"/>
  <c r="N289" i="25"/>
  <c r="CP582" i="3" l="1"/>
  <c r="AI289" i="25"/>
  <c r="AI236" i="25"/>
  <c r="AT579" i="3"/>
  <c r="AS580" i="3"/>
  <c r="AR581" i="3"/>
  <c r="CT582" i="3" l="1"/>
  <c r="AU579" i="3"/>
  <c r="AV579" i="3" s="1"/>
  <c r="AT580" i="3"/>
  <c r="AS581" i="3"/>
  <c r="N210" i="25"/>
  <c r="N253" i="25"/>
  <c r="AI253" i="25" l="1"/>
  <c r="AI210" i="25"/>
  <c r="AU580" i="3"/>
  <c r="AV580" i="3" s="1"/>
  <c r="AW580" i="3" s="1"/>
  <c r="AT581" i="3"/>
  <c r="N144" i="25"/>
  <c r="N297" i="25"/>
  <c r="AI297" i="25" l="1"/>
  <c r="AI144" i="25"/>
  <c r="AU581" i="3"/>
  <c r="AV581" i="3" s="1"/>
  <c r="AX579" i="3"/>
  <c r="N239" i="25"/>
  <c r="AI239" i="25" l="1"/>
  <c r="AZ579" i="3"/>
  <c r="AX580" i="3"/>
  <c r="N240" i="25"/>
  <c r="AI240" i="25" l="1"/>
  <c r="BB579" i="3"/>
  <c r="AZ580" i="3"/>
  <c r="AX581" i="3"/>
  <c r="N479" i="25"/>
  <c r="AI479" i="25" l="1"/>
  <c r="BD579" i="3"/>
  <c r="BE579" i="3" s="1"/>
  <c r="BA580" i="3"/>
  <c r="BB580" i="3" s="1"/>
  <c r="AZ581" i="3"/>
  <c r="N18" i="25"/>
  <c r="AI18" i="25" l="1"/>
  <c r="BF579" i="3"/>
  <c r="BG579" i="3" s="1"/>
  <c r="BD580" i="3"/>
  <c r="BE580" i="3" s="1"/>
  <c r="BB581" i="3"/>
  <c r="N23" i="25"/>
  <c r="N54" i="25"/>
  <c r="AI23" i="25" l="1"/>
  <c r="AI54" i="25"/>
  <c r="BH579" i="3"/>
  <c r="BF580" i="3"/>
  <c r="BG580" i="3" s="1"/>
  <c r="BD581" i="3"/>
  <c r="BE581" i="3" s="1"/>
  <c r="N96" i="25"/>
  <c r="N345" i="25"/>
  <c r="AI345" i="25" l="1"/>
  <c r="AI96" i="25"/>
  <c r="BJ579" i="3"/>
  <c r="BK579" i="3" s="1"/>
  <c r="BH580" i="3"/>
  <c r="BF581" i="3"/>
  <c r="BG581" i="3" s="1"/>
  <c r="N86" i="25"/>
  <c r="N486" i="25"/>
  <c r="BL579" i="3" l="1"/>
  <c r="AI86" i="25"/>
  <c r="AI486" i="25"/>
  <c r="BJ580" i="3"/>
  <c r="BK580" i="3" s="1"/>
  <c r="BH581" i="3"/>
  <c r="N48" i="25"/>
  <c r="BN579" i="3" l="1"/>
  <c r="BO579" i="3" s="1"/>
  <c r="BL580" i="3"/>
  <c r="AI48" i="25"/>
  <c r="BJ581" i="3"/>
  <c r="BK581" i="3" s="1"/>
  <c r="N21" i="25"/>
  <c r="BP579" i="3" l="1"/>
  <c r="BN580" i="3"/>
  <c r="BL581" i="3"/>
  <c r="AI21" i="25"/>
  <c r="N478" i="25"/>
  <c r="BR579" i="3" l="1"/>
  <c r="BS579" i="3" s="1"/>
  <c r="BP580" i="3"/>
  <c r="BN581" i="3"/>
  <c r="BO581" i="3" s="1"/>
  <c r="AI478" i="25"/>
  <c r="N124" i="25"/>
  <c r="BT579" i="3" l="1"/>
  <c r="BR580" i="3"/>
  <c r="BP581" i="3"/>
  <c r="AI124" i="25"/>
  <c r="N89" i="25"/>
  <c r="BV579" i="3" l="1"/>
  <c r="BT580" i="3"/>
  <c r="BU580" i="3" s="1"/>
  <c r="BR581" i="3"/>
  <c r="AI89" i="25"/>
  <c r="N242" i="25"/>
  <c r="BX579" i="3" l="1"/>
  <c r="BV580" i="3"/>
  <c r="BW580" i="3" s="1"/>
  <c r="BT581" i="3"/>
  <c r="BU581" i="3" s="1"/>
  <c r="AI242" i="25"/>
  <c r="N25" i="25"/>
  <c r="BZ579" i="3" l="1"/>
  <c r="BX580" i="3"/>
  <c r="BV581" i="3"/>
  <c r="AI25" i="25"/>
  <c r="N30" i="25"/>
  <c r="N392" i="25"/>
  <c r="CA579" i="3" l="1"/>
  <c r="CB579" i="3" s="1"/>
  <c r="BZ580" i="3"/>
  <c r="BX581" i="3"/>
  <c r="BY581" i="3" s="1"/>
  <c r="AI392" i="25"/>
  <c r="AI30" i="25"/>
  <c r="N58" i="25"/>
  <c r="N393" i="25"/>
  <c r="CD579" i="3" l="1"/>
  <c r="CA580" i="3"/>
  <c r="CB580" i="3" s="1"/>
  <c r="BZ581" i="3"/>
  <c r="CA581" i="3" s="1"/>
  <c r="AI58" i="25"/>
  <c r="AI393" i="25"/>
  <c r="N394" i="25"/>
  <c r="CE579" i="3" l="1"/>
  <c r="CF579" i="3" s="1"/>
  <c r="CG579" i="3" s="1"/>
  <c r="CD580" i="3"/>
  <c r="CE580" i="3" s="1"/>
  <c r="CB581" i="3"/>
  <c r="AI394" i="25"/>
  <c r="N397" i="25"/>
  <c r="N373" i="25"/>
  <c r="CH579" i="3" l="1"/>
  <c r="CI579" i="3" s="1"/>
  <c r="CF580" i="3"/>
  <c r="CG580" i="3" s="1"/>
  <c r="CD581" i="3"/>
  <c r="CE581" i="3" s="1"/>
  <c r="AI373" i="25"/>
  <c r="AI397" i="25"/>
  <c r="N213" i="25"/>
  <c r="CJ579" i="3" l="1"/>
  <c r="CH580" i="3"/>
  <c r="CI580" i="3" s="1"/>
  <c r="CF581" i="3"/>
  <c r="AI213" i="25"/>
  <c r="N193" i="25"/>
  <c r="N534" i="25"/>
  <c r="CL579" i="3" l="1"/>
  <c r="CJ580" i="3"/>
  <c r="CG581" i="3"/>
  <c r="CH581" i="3" s="1"/>
  <c r="CI581" i="3" s="1"/>
  <c r="AI534" i="25"/>
  <c r="AI193" i="25"/>
  <c r="N67" i="25"/>
  <c r="N82" i="25"/>
  <c r="CN579" i="3" l="1"/>
  <c r="CO579" i="3" s="1"/>
  <c r="AJ579" i="25" s="1"/>
  <c r="CL580" i="3"/>
  <c r="CJ581" i="3"/>
  <c r="AI67" i="25"/>
  <c r="AI82" i="25"/>
  <c r="N31" i="25"/>
  <c r="CP579" i="3" l="1"/>
  <c r="CN580" i="3"/>
  <c r="CO580" i="3" s="1"/>
  <c r="CL581" i="3"/>
  <c r="AI31" i="25"/>
  <c r="N283" i="25"/>
  <c r="CT579" i="3" l="1"/>
  <c r="DP579" i="3" s="1"/>
  <c r="CN581" i="3"/>
  <c r="CO581" i="3" s="1"/>
  <c r="AJ581" i="25" s="1"/>
  <c r="CP580" i="3"/>
  <c r="AJ580" i="25"/>
  <c r="CV579" i="3"/>
  <c r="AI283" i="25"/>
  <c r="N32" i="25"/>
  <c r="CT580" i="3" l="1"/>
  <c r="DP580" i="3" s="1"/>
  <c r="CU579" i="3"/>
  <c r="DA579" i="3" s="1"/>
  <c r="CP581" i="3"/>
  <c r="AI32" i="25"/>
  <c r="N45" i="25"/>
  <c r="CT581" i="3" l="1"/>
  <c r="DP581" i="3" s="1"/>
  <c r="DC579" i="3"/>
  <c r="DO579" i="3" s="1"/>
  <c r="CV580" i="3"/>
  <c r="AI45" i="25"/>
  <c r="N37" i="25"/>
  <c r="CU580" i="3" l="1"/>
  <c r="DA580" i="3" s="1"/>
  <c r="CV581" i="3"/>
  <c r="AI37" i="25"/>
  <c r="N36" i="25"/>
  <c r="DC580" i="3" l="1"/>
  <c r="DO580" i="3" s="1"/>
  <c r="CU581" i="3"/>
  <c r="DA581" i="3" s="1"/>
  <c r="AI36" i="25"/>
  <c r="N49" i="25"/>
  <c r="N64" i="25"/>
  <c r="DC581" i="3" l="1"/>
  <c r="DO581" i="3" s="1"/>
  <c r="AI64" i="25"/>
  <c r="AI49" i="25"/>
  <c r="N69" i="25"/>
  <c r="AI69" i="25" l="1"/>
  <c r="N296" i="25"/>
  <c r="N400" i="25"/>
  <c r="AI400" i="25" l="1"/>
  <c r="AI296" i="25"/>
  <c r="N220" i="25"/>
  <c r="AI220" i="25" l="1"/>
  <c r="N103" i="25"/>
  <c r="N401" i="25"/>
  <c r="AI401" i="25" l="1"/>
  <c r="AI103" i="25"/>
  <c r="N39" i="25"/>
  <c r="N44" i="25"/>
  <c r="AI39" i="25" l="1"/>
  <c r="AI44" i="25"/>
  <c r="N40" i="25"/>
  <c r="AI40" i="25" l="1"/>
  <c r="N182" i="25"/>
  <c r="AI182" i="25" l="1"/>
  <c r="N125" i="25"/>
  <c r="AI125" i="25" l="1"/>
  <c r="N127" i="25"/>
  <c r="AI127" i="25" l="1"/>
  <c r="N126" i="25"/>
  <c r="AI126" i="25" l="1"/>
  <c r="N387" i="25"/>
  <c r="AI387" i="25" l="1"/>
  <c r="N192" i="25"/>
  <c r="AI192" i="25" l="1"/>
  <c r="N34" i="25"/>
  <c r="AI34" i="25" l="1"/>
  <c r="N402" i="25"/>
  <c r="AI402" i="25" l="1"/>
  <c r="N99" i="25"/>
  <c r="N405" i="25"/>
  <c r="AI405" i="25" l="1"/>
  <c r="AI99" i="25"/>
  <c r="N81" i="25"/>
  <c r="N243" i="25"/>
  <c r="AI81" i="25" l="1"/>
  <c r="AI243" i="25"/>
  <c r="N46" i="25"/>
  <c r="AI46" i="25" l="1"/>
  <c r="N50" i="25"/>
  <c r="N38" i="25"/>
  <c r="AI38" i="25" l="1"/>
  <c r="AI50" i="25"/>
  <c r="N459" i="25"/>
  <c r="AI459" i="25" l="1"/>
  <c r="N483" i="25"/>
  <c r="N463" i="25"/>
  <c r="AI463" i="25" l="1"/>
  <c r="AI483" i="25"/>
  <c r="N17" i="25"/>
  <c r="N403" i="25"/>
  <c r="AI17" i="25" l="1"/>
  <c r="AI403" i="25"/>
  <c r="N411" i="25"/>
  <c r="AI411" i="25" l="1"/>
  <c r="N379" i="25"/>
  <c r="N52" i="25"/>
  <c r="AI52" i="25" l="1"/>
  <c r="AI379" i="25"/>
  <c r="N381" i="25"/>
  <c r="AI381" i="25" l="1"/>
  <c r="N188" i="25"/>
  <c r="AI188" i="25" l="1"/>
  <c r="N57" i="25"/>
  <c r="AI57" i="25" l="1"/>
  <c r="N33" i="25"/>
  <c r="N189" i="25"/>
  <c r="AI189" i="25" l="1"/>
  <c r="AI33" i="25"/>
  <c r="N153" i="25"/>
  <c r="AI153" i="25" l="1"/>
  <c r="N447" i="25"/>
  <c r="N427" i="25"/>
  <c r="AI427" i="25" l="1"/>
  <c r="AI447" i="25"/>
  <c r="N59" i="25"/>
  <c r="AI59" i="25" l="1"/>
  <c r="N438" i="25"/>
  <c r="N435" i="25"/>
  <c r="AI435" i="25" l="1"/>
  <c r="AI438" i="25"/>
  <c r="N134" i="25"/>
  <c r="AI134" i="25" l="1"/>
  <c r="N135" i="25"/>
  <c r="N443" i="25"/>
  <c r="AI443" i="25" l="1"/>
  <c r="AI135" i="25"/>
  <c r="N66" i="25"/>
  <c r="N138" i="25"/>
  <c r="AI66" i="25" l="1"/>
  <c r="AI138" i="25"/>
  <c r="N507" i="25"/>
  <c r="AI507" i="25" l="1"/>
  <c r="N451" i="25"/>
  <c r="N491" i="25"/>
  <c r="AI491" i="25" l="1"/>
  <c r="AI451" i="25"/>
  <c r="N455" i="25"/>
  <c r="AI455" i="25" l="1"/>
  <c r="N495" i="25"/>
  <c r="N141" i="25"/>
  <c r="AI141" i="25" l="1"/>
  <c r="AI495" i="25"/>
  <c r="N281" i="25"/>
  <c r="N499" i="25"/>
  <c r="AI281" i="25" l="1"/>
  <c r="AI499" i="25"/>
  <c r="N246" i="25"/>
  <c r="AI246" i="25" l="1"/>
  <c r="N128" i="25"/>
  <c r="N145" i="25"/>
  <c r="AI145" i="25" l="1"/>
  <c r="AI128" i="25"/>
  <c r="N166" i="25"/>
  <c r="AI166" i="25" l="1"/>
  <c r="N43" i="25"/>
  <c r="N123" i="25"/>
  <c r="AI123" i="25" l="1"/>
  <c r="AI43" i="25"/>
  <c r="N409" i="25"/>
  <c r="N408" i="25"/>
  <c r="AI409" i="25" l="1"/>
  <c r="AI408" i="25"/>
  <c r="N167" i="25"/>
  <c r="AI167" i="25" l="1"/>
  <c r="N148" i="25"/>
  <c r="AI148" i="25" l="1"/>
  <c r="N129" i="25"/>
  <c r="N410" i="25"/>
  <c r="AI410" i="25" l="1"/>
  <c r="AI129" i="25"/>
  <c r="N152" i="25"/>
  <c r="AI152" i="25" l="1"/>
  <c r="N154" i="25"/>
  <c r="AI154" i="25" l="1"/>
  <c r="N412" i="25"/>
  <c r="N414" i="25"/>
  <c r="AI414" i="25" l="1"/>
  <c r="AI412" i="25"/>
  <c r="N155" i="25"/>
  <c r="AI155" i="25" l="1"/>
  <c r="N156" i="25"/>
  <c r="N444" i="25"/>
  <c r="AI444" i="25" l="1"/>
  <c r="AI156" i="25"/>
  <c r="N159" i="25"/>
  <c r="AI159" i="25" l="1"/>
  <c r="N452" i="25"/>
  <c r="AI452" i="25" l="1"/>
  <c r="N413" i="25"/>
  <c r="AI413" i="25" l="1"/>
  <c r="N492" i="25"/>
  <c r="AI492" i="25" l="1"/>
  <c r="N454" i="25"/>
  <c r="N494" i="25"/>
  <c r="AI494" i="25" l="1"/>
  <c r="AI454" i="25"/>
  <c r="N85" i="25"/>
  <c r="N162" i="25"/>
  <c r="AI162" i="25" l="1"/>
  <c r="AI85" i="25"/>
  <c r="N95" i="25"/>
  <c r="AI95" i="25" l="1"/>
  <c r="N558" i="25"/>
  <c r="AI558" i="25" l="1"/>
  <c r="N500" i="25"/>
  <c r="AI500" i="25" l="1"/>
  <c r="N374" i="25"/>
  <c r="AI374" i="25" l="1"/>
  <c r="N372" i="25"/>
  <c r="N133" i="25"/>
  <c r="AI133" i="25" l="1"/>
  <c r="AI372" i="25"/>
  <c r="N302" i="25"/>
  <c r="N386" i="25"/>
  <c r="AI386" i="25" l="1"/>
  <c r="AI302" i="25"/>
  <c r="N323" i="25"/>
  <c r="AI323" i="25" l="1"/>
  <c r="N388" i="25"/>
  <c r="AI388" i="25" l="1"/>
  <c r="N169" i="25"/>
  <c r="AI169" i="25" l="1"/>
  <c r="N170" i="25"/>
  <c r="N416" i="25"/>
  <c r="AI416" i="25" l="1"/>
  <c r="AI170" i="25"/>
  <c r="N467" i="25"/>
  <c r="AI467" i="25" l="1"/>
  <c r="N531" i="25"/>
  <c r="N417" i="25"/>
  <c r="AI417" i="25" l="1"/>
  <c r="AI531" i="25"/>
  <c r="N173" i="25"/>
  <c r="AI173" i="25" l="1"/>
  <c r="N515" i="25"/>
  <c r="AI515" i="25" l="1"/>
  <c r="N407" i="25"/>
  <c r="AI407" i="25" l="1"/>
  <c r="N195" i="25"/>
  <c r="N519" i="25"/>
  <c r="AI519" i="25" l="1"/>
  <c r="AI195" i="25"/>
  <c r="N418" i="25"/>
  <c r="AI418" i="25" l="1"/>
  <c r="N421" i="25"/>
  <c r="N55" i="25"/>
  <c r="AI55" i="25" l="1"/>
  <c r="AI421" i="25"/>
  <c r="N176" i="25"/>
  <c r="AI176" i="25" l="1"/>
  <c r="N146" i="25"/>
  <c r="AI146" i="25" l="1"/>
  <c r="N510" i="25"/>
  <c r="AI510" i="25" l="1"/>
  <c r="N180" i="25"/>
  <c r="N71" i="25"/>
  <c r="AI71" i="25" l="1"/>
  <c r="AI180" i="25"/>
  <c r="N508" i="25"/>
  <c r="AI508" i="25" l="1"/>
  <c r="N468" i="25"/>
  <c r="AI468" i="25" l="1"/>
  <c r="N516" i="25"/>
  <c r="AI516" i="25" l="1"/>
  <c r="N470" i="25"/>
  <c r="AI470" i="25" l="1"/>
  <c r="N511" i="25"/>
  <c r="AI511" i="25" l="1"/>
  <c r="N518" i="25"/>
  <c r="AI518" i="25" l="1"/>
  <c r="N555" i="25"/>
  <c r="N183" i="25"/>
  <c r="AI183" i="25" l="1"/>
  <c r="AI555" i="25"/>
  <c r="N261" i="25"/>
  <c r="AI261" i="25" l="1"/>
  <c r="N76" i="25"/>
  <c r="N74" i="25"/>
  <c r="AI74" i="25" l="1"/>
  <c r="AI76" i="25"/>
  <c r="N73" i="25"/>
  <c r="AI73" i="25" l="1"/>
  <c r="N223" i="25"/>
  <c r="AI223" i="25" l="1"/>
  <c r="N42" i="25"/>
  <c r="AI42" i="25" l="1"/>
  <c r="N304" i="25"/>
  <c r="AI304" i="25" l="1"/>
  <c r="N190" i="25"/>
  <c r="AI190" i="25" l="1"/>
  <c r="N191" i="25"/>
  <c r="AI191" i="25" l="1"/>
  <c r="N325" i="25"/>
  <c r="N14" i="25"/>
  <c r="AI14" i="25" l="1"/>
  <c r="AI325" i="25"/>
  <c r="N194" i="25"/>
  <c r="AI194" i="25" l="1"/>
  <c r="N249" i="25"/>
  <c r="AI249" i="25" l="1"/>
  <c r="N344" i="25"/>
  <c r="AI344" i="25" l="1"/>
  <c r="N107" i="25"/>
  <c r="N60" i="25"/>
  <c r="AI60" i="25" l="1"/>
  <c r="AI107" i="25"/>
  <c r="N110" i="25"/>
  <c r="AI110" i="25" l="1"/>
  <c r="N179" i="25"/>
  <c r="AI179" i="25" l="1"/>
  <c r="N203" i="25"/>
  <c r="AI203" i="25" l="1"/>
  <c r="N205" i="25"/>
  <c r="N197" i="25"/>
  <c r="AI197" i="25" l="1"/>
  <c r="AI205" i="25"/>
  <c r="N139" i="25"/>
  <c r="AI139" i="25" l="1"/>
  <c r="N201" i="25"/>
  <c r="AI201" i="25" l="1"/>
  <c r="N136" i="25"/>
  <c r="N158" i="25"/>
  <c r="AI158" i="25" l="1"/>
  <c r="AI136" i="25"/>
  <c r="N130" i="25"/>
  <c r="N275" i="25"/>
  <c r="AI275" i="25" l="1"/>
  <c r="AI130" i="25"/>
  <c r="N282" i="25"/>
  <c r="N204" i="25"/>
  <c r="AI204" i="25" l="1"/>
  <c r="AI282" i="25"/>
  <c r="N248" i="25"/>
  <c r="AI248" i="25" l="1"/>
  <c r="N200" i="25"/>
  <c r="AI200" i="25" l="1"/>
  <c r="N256" i="25"/>
  <c r="AI256" i="25" l="1"/>
  <c r="N257" i="25"/>
  <c r="N559" i="25"/>
  <c r="AI559" i="25" l="1"/>
  <c r="AI257" i="25"/>
  <c r="N198" i="25"/>
  <c r="AI198" i="25" l="1"/>
  <c r="N310" i="25"/>
  <c r="AI310" i="25" l="1"/>
  <c r="N260" i="25"/>
  <c r="AI260" i="25" l="1"/>
  <c r="N436" i="25"/>
  <c r="AI436" i="25" l="1"/>
  <c r="N396" i="25"/>
  <c r="AI396" i="25" l="1"/>
  <c r="N439" i="25"/>
  <c r="AI439" i="25" l="1"/>
  <c r="N399" i="25"/>
  <c r="AI399" i="25" l="1"/>
  <c r="N263" i="25"/>
  <c r="AI263" i="25" l="1"/>
  <c r="N532" i="25"/>
  <c r="AI532" i="25" l="1"/>
  <c r="N78" i="25"/>
  <c r="N267" i="25"/>
  <c r="AI267" i="25" l="1"/>
  <c r="AI78" i="25"/>
  <c r="N264" i="25"/>
  <c r="AI264" i="25" l="1"/>
  <c r="N420" i="25"/>
  <c r="N262" i="25"/>
  <c r="AI262" i="25" l="1"/>
  <c r="AI420" i="25"/>
  <c r="N422" i="25"/>
  <c r="AI422" i="25" l="1"/>
  <c r="N270" i="25"/>
  <c r="N484" i="25"/>
  <c r="AI484" i="25" l="1"/>
  <c r="AI270" i="25"/>
  <c r="N174" i="25"/>
  <c r="N177" i="25"/>
  <c r="AI177" i="25" l="1"/>
  <c r="AI174" i="25"/>
  <c r="N317" i="25"/>
  <c r="AI317" i="25" l="1"/>
  <c r="N19" i="25"/>
  <c r="AI19" i="25" l="1"/>
  <c r="N277" i="25"/>
  <c r="AI277" i="25" l="1"/>
  <c r="N290" i="25"/>
  <c r="AI290" i="25" l="1"/>
  <c r="N274" i="25"/>
  <c r="N278" i="25"/>
  <c r="AI278" i="25" l="1"/>
  <c r="AI274" i="25"/>
  <c r="N163" i="25"/>
  <c r="AI163" i="25" l="1"/>
  <c r="N41" i="25"/>
  <c r="AI41" i="25" l="1"/>
  <c r="N208" i="25"/>
  <c r="N233" i="25"/>
  <c r="AI233" i="25" l="1"/>
  <c r="AI208" i="25"/>
  <c r="N79" i="25"/>
  <c r="AI79" i="25" l="1"/>
  <c r="N106" i="25"/>
  <c r="AI106" i="25" l="1"/>
  <c r="N61" i="25"/>
  <c r="N430" i="25"/>
  <c r="AI430" i="25" l="1"/>
  <c r="AI61" i="25"/>
  <c r="N284" i="25"/>
  <c r="AI284" i="25" l="1"/>
  <c r="N202" i="25"/>
  <c r="AI202" i="25" l="1"/>
  <c r="N285" i="25"/>
  <c r="AI285" i="25" l="1"/>
  <c r="N268" i="25"/>
  <c r="AI268" i="25" l="1"/>
  <c r="N94" i="25"/>
  <c r="AI94" i="25" l="1"/>
  <c r="N288" i="25"/>
  <c r="AI288" i="25" l="1"/>
  <c r="N398" i="25"/>
  <c r="AI398" i="25" l="1"/>
  <c r="N160" i="25"/>
  <c r="AI160" i="25" l="1"/>
  <c r="N424" i="25"/>
  <c r="N87" i="25"/>
  <c r="AI87" i="25" l="1"/>
  <c r="AI424" i="25"/>
  <c r="N338" i="25"/>
  <c r="N165" i="25"/>
  <c r="AI338" i="25" l="1"/>
  <c r="AI165" i="25"/>
  <c r="N101" i="25"/>
  <c r="AI101" i="25" l="1"/>
  <c r="N291" i="25"/>
  <c r="AI291" i="25" l="1"/>
  <c r="N211" i="25"/>
  <c r="AI211" i="25" l="1"/>
  <c r="N276" i="25"/>
  <c r="AI276" i="25" l="1"/>
  <c r="N172" i="25"/>
  <c r="AI172" i="25" l="1"/>
  <c r="N224" i="25"/>
  <c r="AI224" i="25" l="1"/>
  <c r="N503" i="25"/>
  <c r="AI503" i="25" l="1"/>
  <c r="N178" i="25"/>
  <c r="N185" i="25"/>
  <c r="AI185" i="25" l="1"/>
  <c r="AI178" i="25"/>
  <c r="N181" i="25"/>
  <c r="AI181" i="25" l="1"/>
  <c r="N187" i="25"/>
  <c r="N298" i="25"/>
  <c r="AI298" i="25" l="1"/>
  <c r="AI187" i="25"/>
  <c r="N199" i="25"/>
  <c r="AI199" i="25" l="1"/>
  <c r="N80" i="25"/>
  <c r="AI80" i="25" l="1"/>
  <c r="N299" i="25"/>
  <c r="AI299" i="25" l="1"/>
  <c r="N68" i="25"/>
  <c r="N380" i="25"/>
  <c r="AI380" i="25" l="1"/>
  <c r="AI68" i="25"/>
  <c r="N295" i="25"/>
  <c r="AI295" i="25" l="1"/>
  <c r="N47" i="25"/>
  <c r="AI47" i="25" l="1"/>
  <c r="N215" i="25"/>
  <c r="N316" i="25"/>
  <c r="AI316" i="25" l="1"/>
  <c r="AI215" i="25"/>
  <c r="N324" i="25"/>
  <c r="AI324" i="25" l="1"/>
  <c r="N20" i="25"/>
  <c r="AI20" i="25" l="1"/>
  <c r="N305" i="25"/>
  <c r="AI305" i="25" l="1"/>
  <c r="N83" i="25"/>
  <c r="AI83" i="25" l="1"/>
  <c r="N306" i="25"/>
  <c r="AI306" i="25" l="1"/>
  <c r="N460" i="25"/>
  <c r="N84" i="25"/>
  <c r="AI84" i="25" l="1"/>
  <c r="AI460" i="25"/>
  <c r="N250" i="25"/>
  <c r="AI250" i="25" l="1"/>
  <c r="N309" i="25"/>
  <c r="AI309" i="25" l="1"/>
  <c r="N271" i="25"/>
  <c r="AI271" i="25" l="1"/>
  <c r="N269" i="25"/>
  <c r="AI269" i="25" l="1"/>
  <c r="N311" i="25"/>
  <c r="AI311" i="25" l="1"/>
  <c r="N312" i="25"/>
  <c r="N313" i="25"/>
  <c r="AI313" i="25" l="1"/>
  <c r="AI312" i="25"/>
  <c r="N149" i="25"/>
  <c r="AI149" i="25" l="1"/>
  <c r="N151" i="25"/>
  <c r="AI151" i="25" l="1"/>
  <c r="N157" i="25"/>
  <c r="N337" i="25"/>
  <c r="AI337" i="25" l="1"/>
  <c r="AI157" i="25"/>
  <c r="N219" i="25"/>
  <c r="AI219" i="25" l="1"/>
  <c r="N318" i="25"/>
  <c r="AI318" i="25" l="1"/>
  <c r="N339" i="25"/>
  <c r="N214" i="25"/>
  <c r="AI214" i="25" l="1"/>
  <c r="AI339" i="25"/>
  <c r="N319" i="25"/>
  <c r="AI319" i="25" l="1"/>
  <c r="N320" i="25"/>
  <c r="AI320" i="25" l="1"/>
  <c r="N425" i="25"/>
  <c r="AI425" i="25" l="1"/>
  <c r="N475" i="25"/>
  <c r="AI475" i="25" l="1"/>
  <c r="N426" i="25"/>
  <c r="N429" i="25"/>
  <c r="AI429" i="25" l="1"/>
  <c r="AI426" i="25"/>
  <c r="N527" i="25"/>
  <c r="AI527" i="25" l="1"/>
  <c r="N523" i="25"/>
  <c r="AI523" i="25" l="1"/>
  <c r="N404" i="25"/>
  <c r="AI404" i="25" l="1"/>
  <c r="N308" i="25"/>
  <c r="N406" i="25"/>
  <c r="AI406" i="25" l="1"/>
  <c r="AI308" i="25"/>
  <c r="N273" i="25"/>
  <c r="AI273" i="25" l="1"/>
  <c r="N314" i="25"/>
  <c r="AI314" i="25" l="1"/>
  <c r="N326" i="25"/>
  <c r="AI326" i="25" l="1"/>
  <c r="N327" i="25"/>
  <c r="N476" i="25"/>
  <c r="AI476" i="25" l="1"/>
  <c r="AI327" i="25"/>
  <c r="N330" i="25"/>
  <c r="AI330" i="25" l="1"/>
  <c r="N539" i="25"/>
  <c r="AI539" i="25" l="1"/>
  <c r="N571" i="25"/>
  <c r="AI571" i="25" l="1"/>
  <c r="N279" i="25"/>
  <c r="AI279" i="25" l="1"/>
  <c r="N543" i="25"/>
  <c r="N575" i="25"/>
  <c r="AI575" i="25" l="1"/>
  <c r="AI543" i="25"/>
  <c r="N333" i="25"/>
  <c r="AI333" i="25" l="1"/>
  <c r="N395" i="25"/>
  <c r="N292" i="25"/>
  <c r="AI292" i="25" l="1"/>
  <c r="AI395" i="25"/>
  <c r="N432" i="25"/>
  <c r="AI432" i="25" l="1"/>
  <c r="N433" i="25"/>
  <c r="AI433" i="25" l="1"/>
  <c r="N332" i="25"/>
  <c r="AI332" i="25" l="1"/>
  <c r="N334" i="25"/>
  <c r="AI334" i="25" l="1"/>
  <c r="N563" i="25"/>
  <c r="AI563" i="25" l="1"/>
  <c r="N434" i="25"/>
  <c r="AI434" i="25" l="1"/>
  <c r="N566" i="25"/>
  <c r="AI566" i="25" l="1"/>
  <c r="N218" i="25"/>
  <c r="AI218" i="25" l="1"/>
  <c r="N437" i="25"/>
  <c r="AI437" i="25" l="1"/>
  <c r="N340" i="25"/>
  <c r="AI340" i="25" l="1"/>
  <c r="N341" i="25"/>
  <c r="AI341" i="25" l="1"/>
  <c r="N415" i="25"/>
  <c r="AI415" i="25" l="1"/>
  <c r="N556" i="25"/>
  <c r="N551" i="25"/>
  <c r="AI551" i="25" l="1"/>
  <c r="AI556" i="25"/>
  <c r="N567" i="25"/>
  <c r="N462" i="25"/>
  <c r="AI462" i="25" l="1"/>
  <c r="AI567" i="25"/>
  <c r="N547" i="25"/>
  <c r="AI547" i="25" l="1"/>
  <c r="N540" i="25"/>
  <c r="AI540" i="25" l="1"/>
  <c r="N542" i="25"/>
  <c r="AI542" i="25" l="1"/>
  <c r="N294" i="25"/>
  <c r="AI294" i="25" l="1"/>
  <c r="N347" i="25"/>
  <c r="N171" i="25"/>
  <c r="AI171" i="25" l="1"/>
  <c r="AI347" i="25"/>
  <c r="N348" i="25"/>
  <c r="N572" i="25"/>
  <c r="AI348" i="25" l="1"/>
  <c r="AI572" i="25"/>
  <c r="N351" i="25"/>
  <c r="AI351" i="25" l="1"/>
  <c r="N225" i="25"/>
  <c r="AI225" i="25" l="1"/>
  <c r="N90" i="25"/>
  <c r="AI90" i="25" l="1"/>
  <c r="N548" i="25"/>
  <c r="N419" i="25"/>
  <c r="AI419" i="25" l="1"/>
  <c r="AI548" i="25"/>
  <c r="N91" i="25"/>
  <c r="AI91" i="25" l="1"/>
  <c r="N221" i="25"/>
  <c r="N550" i="25"/>
  <c r="AI550" i="25" l="1"/>
  <c r="AI221" i="25"/>
  <c r="N354" i="25"/>
  <c r="AI354" i="25" l="1"/>
  <c r="N209" i="25"/>
  <c r="AI209" i="25" l="1"/>
  <c r="N247" i="25"/>
  <c r="AI247" i="25" l="1"/>
  <c r="N132" i="25"/>
  <c r="AI132" i="25" l="1"/>
  <c r="N358" i="25"/>
  <c r="N131" i="25"/>
  <c r="AI131" i="25" l="1"/>
  <c r="AI358" i="25"/>
  <c r="N28" i="25"/>
  <c r="AI28" i="25" l="1"/>
  <c r="N331" i="25"/>
  <c r="AI331" i="25" l="1"/>
  <c r="N423" i="25"/>
  <c r="AI423" i="25" l="1"/>
  <c r="N75" i="25"/>
  <c r="AI75" i="25" l="1"/>
  <c r="N97" i="25"/>
  <c r="N27" i="25"/>
  <c r="AI27" i="25" l="1"/>
  <c r="AI97" i="25"/>
  <c r="N361" i="25"/>
  <c r="N564" i="25"/>
  <c r="AI564" i="25" l="1"/>
  <c r="AI361" i="25"/>
  <c r="N365" i="25"/>
  <c r="AI365" i="25" l="1"/>
  <c r="N259" i="25"/>
  <c r="N300" i="25"/>
  <c r="AI300" i="25" l="1"/>
  <c r="AI259" i="25"/>
  <c r="N265" i="25"/>
  <c r="AI265" i="25" l="1"/>
  <c r="N440" i="25"/>
  <c r="N441" i="25"/>
  <c r="AI441" i="25" l="1"/>
  <c r="AI440" i="25"/>
  <c r="N442" i="25"/>
  <c r="AI442" i="25" l="1"/>
  <c r="N502" i="25"/>
  <c r="N98" i="25"/>
  <c r="AI98" i="25" l="1"/>
  <c r="AI502" i="25"/>
  <c r="N445" i="25"/>
  <c r="N10" i="25"/>
  <c r="AI445" i="25" l="1"/>
  <c r="AI10" i="25"/>
  <c r="N353" i="25"/>
  <c r="AI353" i="25" l="1"/>
  <c r="N15" i="25"/>
  <c r="AI15" i="25" l="1"/>
  <c r="N355" i="25"/>
  <c r="AI355" i="25" l="1"/>
  <c r="N448" i="25"/>
  <c r="AI448" i="25" l="1"/>
  <c r="N446" i="25"/>
  <c r="N428" i="25"/>
  <c r="AI428" i="25" l="1"/>
  <c r="AI446" i="25"/>
  <c r="N449" i="25"/>
  <c r="N450" i="25"/>
  <c r="AI450" i="25" l="1"/>
  <c r="AI449" i="25"/>
  <c r="N453" i="25"/>
  <c r="N102" i="25"/>
  <c r="AI102" i="25" l="1"/>
  <c r="AI453" i="25"/>
  <c r="N252" i="25"/>
  <c r="AI252" i="25" l="1"/>
  <c r="N35" i="25"/>
  <c r="N216" i="25"/>
  <c r="AI216" i="25" l="1"/>
  <c r="AI35" i="25"/>
  <c r="N168" i="25"/>
  <c r="AI168" i="25" l="1"/>
  <c r="N258" i="25"/>
  <c r="N456" i="25"/>
  <c r="AI456" i="25" l="1"/>
  <c r="AI258" i="25"/>
  <c r="N457" i="25"/>
  <c r="AI457" i="25" l="1"/>
  <c r="N458" i="25"/>
  <c r="AI458" i="25" l="1"/>
  <c r="N461" i="25"/>
  <c r="AI461" i="25" l="1"/>
  <c r="N280" i="25"/>
  <c r="AI280" i="25" l="1"/>
  <c r="N104" i="25"/>
  <c r="N487" i="25"/>
  <c r="AI487" i="25" l="1"/>
  <c r="AI104" i="25"/>
  <c r="N343" i="25"/>
  <c r="AI343" i="25" l="1"/>
  <c r="N286" i="25"/>
  <c r="AI286" i="25" l="1"/>
  <c r="N349" i="25"/>
  <c r="AI349" i="25" l="1"/>
  <c r="N464" i="25"/>
  <c r="AI464" i="25" l="1"/>
  <c r="N465" i="25"/>
  <c r="AI465" i="25" l="1"/>
  <c r="N466" i="25"/>
  <c r="AI466" i="25" l="1"/>
  <c r="N212" i="25"/>
  <c r="AI212" i="25" l="1"/>
  <c r="N362" i="25"/>
  <c r="N469" i="25"/>
  <c r="AI469" i="25" l="1"/>
  <c r="AI362" i="25"/>
  <c r="N238" i="25"/>
  <c r="N301" i="25"/>
  <c r="AI301" i="25" l="1"/>
  <c r="AI238" i="25"/>
  <c r="N244" i="25"/>
  <c r="N307" i="25"/>
  <c r="AI244" i="25" l="1"/>
  <c r="AI307" i="25"/>
  <c r="N472" i="25"/>
  <c r="AI472" i="25" l="1"/>
  <c r="N207" i="25"/>
  <c r="AI207" i="25" l="1"/>
  <c r="N360" i="25"/>
  <c r="N473" i="25"/>
  <c r="AI473" i="25" l="1"/>
  <c r="AI360" i="25"/>
  <c r="N474" i="25"/>
  <c r="AI474" i="25" l="1"/>
  <c r="N477" i="25"/>
  <c r="N329" i="25"/>
  <c r="AI329" i="25" l="1"/>
  <c r="AI477" i="25"/>
  <c r="N109" i="25"/>
  <c r="N335" i="25"/>
  <c r="AI335" i="25" l="1"/>
  <c r="AI109" i="25"/>
  <c r="N105" i="25"/>
  <c r="N368" i="25"/>
  <c r="AI105" i="25" l="1"/>
  <c r="AI368" i="25"/>
  <c r="N108" i="25"/>
  <c r="N480" i="25"/>
  <c r="AI480" i="25" l="1"/>
  <c r="AI108" i="25"/>
  <c r="N481" i="25"/>
  <c r="AI481" i="25" l="1"/>
  <c r="N482" i="25"/>
  <c r="AI482" i="25" l="1"/>
  <c r="N485" i="25"/>
  <c r="AI485" i="25" l="1"/>
  <c r="N336" i="25"/>
  <c r="N93" i="25"/>
  <c r="AI93" i="25" l="1"/>
  <c r="AI336" i="25"/>
  <c r="N63" i="25"/>
  <c r="AI63" i="25" l="1"/>
  <c r="N266" i="25"/>
  <c r="AI266" i="25" l="1"/>
  <c r="N342" i="25"/>
  <c r="AI342" i="25" l="1"/>
  <c r="N272" i="25"/>
  <c r="N488" i="25"/>
  <c r="AI488" i="25" l="1"/>
  <c r="AI272" i="25"/>
  <c r="N489" i="25"/>
  <c r="AI489" i="25" l="1"/>
  <c r="N490" i="25"/>
  <c r="AI490" i="25" l="1"/>
  <c r="N72" i="25"/>
  <c r="AI72" i="25" l="1"/>
  <c r="N77" i="25"/>
  <c r="AI77" i="25" l="1"/>
  <c r="N493" i="25"/>
  <c r="AI493" i="25" l="1"/>
  <c r="N322" i="25"/>
  <c r="AI322" i="25" l="1"/>
  <c r="N231" i="25"/>
  <c r="N328" i="25"/>
  <c r="AI328" i="25" l="1"/>
  <c r="AI231" i="25"/>
  <c r="N237" i="25"/>
  <c r="AI237" i="25" l="1"/>
  <c r="N496" i="25"/>
  <c r="AI496" i="25" l="1"/>
  <c r="N29" i="25"/>
  <c r="AI29" i="25" l="1"/>
  <c r="N24" i="25"/>
  <c r="N497" i="25"/>
  <c r="AI497" i="25" l="1"/>
  <c r="AI24" i="25"/>
  <c r="N498" i="25"/>
  <c r="AI498" i="25" l="1"/>
  <c r="N501" i="25"/>
  <c r="AI501" i="25" l="1"/>
  <c r="N287" i="25"/>
  <c r="N315" i="25"/>
  <c r="AI315" i="25" l="1"/>
  <c r="AI287" i="25"/>
  <c r="N293" i="25"/>
  <c r="AI293" i="25" l="1"/>
  <c r="N375" i="25"/>
  <c r="N53" i="25"/>
  <c r="AI53" i="25" l="1"/>
  <c r="AI375" i="25"/>
  <c r="N321" i="25"/>
  <c r="AI321" i="25" l="1"/>
  <c r="N504" i="25"/>
  <c r="AI504" i="25" l="1"/>
  <c r="N505" i="25"/>
  <c r="AI505" i="25" l="1"/>
  <c r="N506" i="25"/>
  <c r="AI506" i="25" l="1"/>
  <c r="N509" i="25"/>
  <c r="N88" i="25"/>
  <c r="AI88" i="25" l="1"/>
  <c r="AI509" i="25"/>
  <c r="N376" i="25"/>
  <c r="AI376" i="25" l="1"/>
  <c r="N431" i="25"/>
  <c r="N120" i="25"/>
  <c r="AI120" i="25" l="1"/>
  <c r="AI431" i="25"/>
  <c r="N366" i="25"/>
  <c r="AI366" i="25" l="1"/>
  <c r="N175" i="25"/>
  <c r="AI175" i="25" l="1"/>
  <c r="N512" i="25"/>
  <c r="AI512" i="25" l="1"/>
  <c r="N513" i="25"/>
  <c r="AI513" i="25" l="1"/>
  <c r="N514" i="25"/>
  <c r="N51" i="25"/>
  <c r="AI51" i="25" l="1"/>
  <c r="AI514" i="25"/>
  <c r="N56" i="25"/>
  <c r="AI56" i="25" l="1"/>
  <c r="N517" i="25"/>
  <c r="AI517" i="25" l="1"/>
  <c r="N122" i="25"/>
  <c r="N229" i="25"/>
  <c r="AI229" i="25" l="1"/>
  <c r="AI122" i="25"/>
  <c r="N217" i="25"/>
  <c r="AI217" i="25" l="1"/>
  <c r="N241" i="25"/>
  <c r="AI241" i="25" l="1"/>
  <c r="N520" i="25"/>
  <c r="AI520" i="25" l="1"/>
  <c r="N70" i="25"/>
  <c r="AI70" i="25" l="1"/>
  <c r="N65" i="25"/>
  <c r="AI65" i="25" l="1"/>
  <c r="N521" i="25"/>
  <c r="AI521" i="25" l="1"/>
  <c r="N522" i="25"/>
  <c r="AI522" i="25" l="1"/>
  <c r="N524" i="25"/>
  <c r="AI524" i="25" l="1"/>
  <c r="N525" i="25"/>
  <c r="AI525" i="25" l="1"/>
  <c r="N350" i="25"/>
  <c r="AI350" i="25" l="1"/>
  <c r="N356" i="25"/>
  <c r="N359" i="25"/>
  <c r="AI359" i="25" l="1"/>
  <c r="AI356" i="25"/>
  <c r="N222" i="25"/>
  <c r="AI222" i="25" l="1"/>
  <c r="N196" i="25"/>
  <c r="AI196" i="25" l="1"/>
  <c r="N121" i="25"/>
  <c r="AI121" i="25" l="1"/>
  <c r="N528" i="25"/>
  <c r="AI528" i="25" l="1"/>
  <c r="N529" i="25"/>
  <c r="AI529" i="25" l="1"/>
  <c r="N533" i="25"/>
  <c r="AI533" i="25" l="1"/>
  <c r="N245" i="25"/>
  <c r="AI245" i="25" l="1"/>
  <c r="N142" i="25"/>
  <c r="N382" i="25"/>
  <c r="AI382" i="25" l="1"/>
  <c r="AI142" i="25"/>
  <c r="N385" i="25"/>
  <c r="N251" i="25"/>
  <c r="AI385" i="25" l="1"/>
  <c r="AI251" i="25"/>
  <c r="N391" i="25"/>
  <c r="N536" i="25"/>
  <c r="AI391" i="25" l="1"/>
  <c r="AI536" i="25"/>
  <c r="N537" i="25"/>
  <c r="AI537" i="25" l="1"/>
  <c r="N538" i="25"/>
  <c r="N383" i="25"/>
  <c r="AI383" i="25" l="1"/>
  <c r="AI538" i="25"/>
  <c r="N303" i="25"/>
  <c r="AI303" i="25" l="1"/>
  <c r="N541" i="25"/>
  <c r="N378" i="25"/>
  <c r="AI378" i="25" l="1"/>
  <c r="AI541" i="25"/>
  <c r="N371" i="25"/>
  <c r="AI371" i="25" l="1"/>
  <c r="N384" i="25"/>
  <c r="AI384" i="25" l="1"/>
  <c r="N377" i="25"/>
  <c r="AI377" i="25" l="1"/>
  <c r="N544" i="25"/>
  <c r="AI544" i="25" l="1"/>
  <c r="N22" i="25"/>
  <c r="N92" i="25"/>
  <c r="AI92" i="25" l="1"/>
  <c r="AI22" i="25"/>
  <c r="N546" i="25"/>
  <c r="N545" i="25"/>
  <c r="AI545" i="25" l="1"/>
  <c r="AI546" i="25"/>
  <c r="N549" i="25"/>
  <c r="AI549" i="25" l="1"/>
  <c r="N364" i="25"/>
  <c r="AI364" i="25" l="1"/>
  <c r="N357" i="25"/>
  <c r="AI357" i="25" l="1"/>
  <c r="N370" i="25"/>
  <c r="AI370" i="25" l="1"/>
  <c r="N369" i="25"/>
  <c r="AI369" i="25" l="1"/>
  <c r="N363" i="25"/>
  <c r="N552" i="25"/>
  <c r="AI552" i="25" l="1"/>
  <c r="AI363" i="25"/>
  <c r="N553" i="25"/>
  <c r="N554" i="25"/>
  <c r="AI553" i="25" l="1"/>
  <c r="AI554" i="25"/>
  <c r="N557" i="25"/>
  <c r="AI557" i="25" l="1"/>
  <c r="N228" i="25"/>
  <c r="N367" i="25"/>
  <c r="AI367" i="25" l="1"/>
  <c r="AI228" i="25"/>
  <c r="N389" i="25"/>
  <c r="AI389" i="25" l="1"/>
  <c r="N526" i="25"/>
  <c r="N230" i="25"/>
  <c r="AI230" i="25" l="1"/>
  <c r="AI526" i="25"/>
  <c r="N530" i="25"/>
  <c r="AI530" i="25" l="1"/>
  <c r="N560" i="25"/>
  <c r="AI560" i="25" l="1"/>
  <c r="N561" i="25"/>
  <c r="AI561" i="25" l="1"/>
  <c r="N390" i="25"/>
  <c r="N562" i="25"/>
  <c r="AI562" i="25" l="1"/>
  <c r="AI390" i="25"/>
  <c r="N565" i="25"/>
  <c r="AI565" i="25" l="1"/>
  <c r="N161" i="25"/>
  <c r="N147" i="25"/>
  <c r="AI147" i="25" l="1"/>
  <c r="AI161" i="25"/>
  <c r="N164" i="25"/>
  <c r="AI164" i="25" l="1"/>
  <c r="N150" i="25"/>
  <c r="AI150" i="25" l="1"/>
  <c r="N568" i="25"/>
  <c r="AI568" i="25" l="1"/>
  <c r="N569" i="25"/>
  <c r="AI569" i="25" l="1"/>
  <c r="N137" i="25"/>
  <c r="N26" i="25"/>
  <c r="AI26" i="25" l="1"/>
  <c r="AI137" i="25"/>
  <c r="N570" i="25"/>
  <c r="N573" i="25"/>
  <c r="AI573" i="25" l="1"/>
  <c r="AI570" i="25"/>
  <c r="N186" i="25"/>
  <c r="AI186" i="25" l="1"/>
  <c r="N227" i="25"/>
  <c r="N111" i="25"/>
  <c r="AI111" i="25" l="1"/>
  <c r="AI227" i="25"/>
  <c r="N113" i="25"/>
  <c r="AI113" i="25" l="1"/>
  <c r="N226" i="25"/>
  <c r="AI226" i="25" l="1"/>
  <c r="N112" i="25"/>
  <c r="AI112" i="25" l="1"/>
  <c r="N576" i="25"/>
  <c r="N577" i="25"/>
  <c r="AI577" i="25" l="1"/>
  <c r="AI576" i="25"/>
  <c r="N578" i="25"/>
  <c r="AR576" i="3" l="1"/>
  <c r="AS576" i="3" s="1"/>
  <c r="AI578" i="25"/>
  <c r="AR577" i="3"/>
  <c r="AR578" i="3" l="1"/>
  <c r="AS578" i="3" s="1"/>
  <c r="AT576" i="3"/>
  <c r="AS577" i="3"/>
  <c r="AJ582" i="25"/>
  <c r="AU576" i="3" l="1"/>
  <c r="AV576" i="3" s="1"/>
  <c r="AW576" i="3" s="1"/>
  <c r="AT578" i="3"/>
  <c r="AT577" i="3"/>
  <c r="N62" i="25"/>
  <c r="AI62" i="25" l="1"/>
  <c r="AU577" i="3"/>
  <c r="AV577" i="3" s="1"/>
  <c r="AW577" i="3" s="1"/>
  <c r="AU578" i="3"/>
  <c r="AV578" i="3" s="1"/>
  <c r="AR3" i="3"/>
  <c r="AX576" i="3" l="1"/>
  <c r="AS3" i="3"/>
  <c r="AT3" i="3" s="1"/>
  <c r="AZ576" i="3" l="1"/>
  <c r="AV3" i="3"/>
  <c r="AX577" i="3"/>
  <c r="AX578" i="3"/>
  <c r="AR4" i="3"/>
  <c r="BA576" i="3" l="1"/>
  <c r="BB576" i="3" s="1"/>
  <c r="AZ578" i="3"/>
  <c r="AZ577" i="3"/>
  <c r="AX3" i="3"/>
  <c r="AS4" i="3"/>
  <c r="AT4" i="3" s="1"/>
  <c r="AR5" i="3"/>
  <c r="BD576" i="3" l="1"/>
  <c r="BE576" i="3" s="1"/>
  <c r="BB578" i="3"/>
  <c r="BB577" i="3"/>
  <c r="AZ3" i="3"/>
  <c r="AU4" i="3"/>
  <c r="AV4" i="3" s="1"/>
  <c r="AS5" i="3"/>
  <c r="AT5" i="3" s="1"/>
  <c r="AR6" i="3"/>
  <c r="BF576" i="3" l="1"/>
  <c r="BG576" i="3" s="1"/>
  <c r="BD578" i="3"/>
  <c r="BE578" i="3" s="1"/>
  <c r="BD577" i="3"/>
  <c r="BE577" i="3" s="1"/>
  <c r="BB3" i="3"/>
  <c r="AU5" i="3"/>
  <c r="AV5" i="3" s="1"/>
  <c r="AW5" i="3" s="1"/>
  <c r="AX4" i="3"/>
  <c r="AS6" i="3"/>
  <c r="AT6" i="3" s="1"/>
  <c r="AR7" i="3"/>
  <c r="AT7" i="3" s="1"/>
  <c r="BH576" i="3" l="1"/>
  <c r="BF578" i="3"/>
  <c r="BG578" i="3" s="1"/>
  <c r="BF577" i="3"/>
  <c r="BG577" i="3" s="1"/>
  <c r="BD3" i="3"/>
  <c r="AZ4" i="3"/>
  <c r="AV7" i="3"/>
  <c r="AX7" i="3" s="1"/>
  <c r="AU6" i="3"/>
  <c r="AV6" i="3" s="1"/>
  <c r="AR8" i="3"/>
  <c r="BJ576" i="3" l="1"/>
  <c r="BK576" i="3" s="1"/>
  <c r="BH577" i="3"/>
  <c r="BH578" i="3"/>
  <c r="BF3" i="3"/>
  <c r="BH3" i="3" s="1"/>
  <c r="BJ3" i="3" s="1"/>
  <c r="BB4" i="3"/>
  <c r="AZ7" i="3"/>
  <c r="AX5" i="3"/>
  <c r="AS8" i="3"/>
  <c r="AT8" i="3" s="1"/>
  <c r="AR9" i="3"/>
  <c r="AT9" i="3" s="1"/>
  <c r="BL3" i="3" l="1"/>
  <c r="BL576" i="3"/>
  <c r="BJ578" i="3"/>
  <c r="BK578" i="3" s="1"/>
  <c r="BJ577" i="3"/>
  <c r="BK577" i="3" s="1"/>
  <c r="BD4" i="3"/>
  <c r="BB7" i="3"/>
  <c r="AZ5" i="3"/>
  <c r="AU8" i="3"/>
  <c r="AV8" i="3" s="1"/>
  <c r="AW8" i="3" s="1"/>
  <c r="AV9" i="3"/>
  <c r="AX9" i="3" s="1"/>
  <c r="AX6" i="3"/>
  <c r="AR10" i="3"/>
  <c r="BN576" i="3" l="1"/>
  <c r="BN3" i="3"/>
  <c r="BL577" i="3"/>
  <c r="BL578" i="3"/>
  <c r="BE4" i="3"/>
  <c r="BF4" i="3" s="1"/>
  <c r="BD7" i="3"/>
  <c r="BA5" i="3"/>
  <c r="BB5" i="3" s="1"/>
  <c r="BD5" i="3" s="1"/>
  <c r="AZ9" i="3"/>
  <c r="AZ6" i="3"/>
  <c r="AS10" i="3"/>
  <c r="AT10" i="3" s="1"/>
  <c r="AR11" i="3"/>
  <c r="BP3" i="3" l="1"/>
  <c r="BP576" i="3"/>
  <c r="BN577" i="3"/>
  <c r="BN578" i="3"/>
  <c r="BO578" i="3" s="1"/>
  <c r="BG4" i="3"/>
  <c r="BH4" i="3" s="1"/>
  <c r="BI4" i="3" s="1"/>
  <c r="BF7" i="3"/>
  <c r="BE5" i="3"/>
  <c r="BF5" i="3" s="1"/>
  <c r="BG5" i="3" s="1"/>
  <c r="BB9" i="3"/>
  <c r="BB6" i="3"/>
  <c r="AU10" i="3"/>
  <c r="AV10" i="3" s="1"/>
  <c r="AX8" i="3"/>
  <c r="AS11" i="3"/>
  <c r="AT11" i="3" s="1"/>
  <c r="AR12" i="3"/>
  <c r="BR576" i="3" l="1"/>
  <c r="BR3" i="3"/>
  <c r="BP578" i="3"/>
  <c r="BP577" i="3"/>
  <c r="BJ4" i="3"/>
  <c r="BK4" i="3" s="1"/>
  <c r="BH5" i="3"/>
  <c r="BI5" i="3" s="1"/>
  <c r="BH7" i="3"/>
  <c r="BD6" i="3"/>
  <c r="BD9" i="3"/>
  <c r="AZ8" i="3"/>
  <c r="AU11" i="3"/>
  <c r="AV11" i="3" s="1"/>
  <c r="AW11" i="3" s="1"/>
  <c r="AS12" i="3"/>
  <c r="AT12" i="3" s="1"/>
  <c r="AR13" i="3"/>
  <c r="BT3" i="3" l="1"/>
  <c r="BV3" i="3" s="1"/>
  <c r="BT576" i="3"/>
  <c r="BU576" i="3" s="1"/>
  <c r="BR578" i="3"/>
  <c r="BS578" i="3" s="1"/>
  <c r="BR577" i="3"/>
  <c r="BS577" i="3" s="1"/>
  <c r="BL4" i="3"/>
  <c r="BJ5" i="3"/>
  <c r="BK5" i="3" s="1"/>
  <c r="BJ7" i="3"/>
  <c r="BF9" i="3"/>
  <c r="BF6" i="3"/>
  <c r="BB8" i="3"/>
  <c r="AU12" i="3"/>
  <c r="AV12" i="3" s="1"/>
  <c r="AW12" i="3" s="1"/>
  <c r="AX10" i="3"/>
  <c r="AS13" i="3"/>
  <c r="AT13" i="3" s="1"/>
  <c r="AR14" i="3"/>
  <c r="BX3" i="3" l="1"/>
  <c r="BV576" i="3"/>
  <c r="BT578" i="3"/>
  <c r="BT577" i="3"/>
  <c r="BN4" i="3"/>
  <c r="BO4" i="3" s="1"/>
  <c r="BL7" i="3"/>
  <c r="BL5" i="3"/>
  <c r="BH6" i="3"/>
  <c r="BH9" i="3"/>
  <c r="BD8" i="3"/>
  <c r="AZ10" i="3"/>
  <c r="AU13" i="3"/>
  <c r="AV13" i="3" s="1"/>
  <c r="AX11" i="3"/>
  <c r="AS14" i="3"/>
  <c r="AT14" i="3" s="1"/>
  <c r="AU14" i="3" s="1"/>
  <c r="AR15" i="3"/>
  <c r="BZ3" i="3" l="1"/>
  <c r="BX576" i="3"/>
  <c r="BV578" i="3"/>
  <c r="BV577" i="3"/>
  <c r="BW577" i="3" s="1"/>
  <c r="BP4" i="3"/>
  <c r="BN5" i="3"/>
  <c r="BN7" i="3"/>
  <c r="BJ9" i="3"/>
  <c r="BJ6" i="3"/>
  <c r="BF8" i="3"/>
  <c r="BB10" i="3"/>
  <c r="AZ11" i="3"/>
  <c r="AV14" i="3"/>
  <c r="AX14" i="3" s="1"/>
  <c r="AX12" i="3"/>
  <c r="AS15" i="3"/>
  <c r="AT15" i="3" s="1"/>
  <c r="AR16" i="3"/>
  <c r="CB3" i="3" l="1"/>
  <c r="CD3" i="3" s="1"/>
  <c r="BZ576" i="3"/>
  <c r="BX577" i="3"/>
  <c r="BX578" i="3"/>
  <c r="BR4" i="3"/>
  <c r="BP7" i="3"/>
  <c r="BP5" i="3"/>
  <c r="BL6" i="3"/>
  <c r="BL9" i="3"/>
  <c r="BH8" i="3"/>
  <c r="BD10" i="3"/>
  <c r="BE10" i="3" s="1"/>
  <c r="BA11" i="3"/>
  <c r="BB11" i="3" s="1"/>
  <c r="AZ12" i="3"/>
  <c r="AZ14" i="3"/>
  <c r="AU15" i="3"/>
  <c r="AV15" i="3" s="1"/>
  <c r="AW15" i="3" s="1"/>
  <c r="AX13" i="3"/>
  <c r="AS16" i="3"/>
  <c r="AT16" i="3" s="1"/>
  <c r="AR17" i="3"/>
  <c r="CF3" i="3" l="1"/>
  <c r="CH3" i="3" s="1"/>
  <c r="CA576" i="3"/>
  <c r="CB576" i="3" s="1"/>
  <c r="BZ578" i="3"/>
  <c r="BZ577" i="3"/>
  <c r="CA577" i="3" s="1"/>
  <c r="BT4" i="3"/>
  <c r="BR5" i="3"/>
  <c r="BR7" i="3"/>
  <c r="BN9" i="3"/>
  <c r="BN6" i="3"/>
  <c r="BJ8" i="3"/>
  <c r="BF10" i="3"/>
  <c r="BG10" i="3" s="1"/>
  <c r="BD11" i="3"/>
  <c r="BE11" i="3" s="1"/>
  <c r="BB14" i="3"/>
  <c r="BA12" i="3"/>
  <c r="BB12" i="3" s="1"/>
  <c r="AZ13" i="3"/>
  <c r="AV16" i="3"/>
  <c r="AX16" i="3" s="1"/>
  <c r="AS17" i="3"/>
  <c r="AT17" i="3" s="1"/>
  <c r="AR18" i="3"/>
  <c r="AT18" i="3" s="1"/>
  <c r="CJ3" i="3" l="1"/>
  <c r="CD576" i="3"/>
  <c r="CA578" i="3"/>
  <c r="CB578" i="3" s="1"/>
  <c r="CB577" i="3"/>
  <c r="CD577" i="3" s="1"/>
  <c r="BV4" i="3"/>
  <c r="BT5" i="3"/>
  <c r="BT7" i="3"/>
  <c r="BP6" i="3"/>
  <c r="BP9" i="3"/>
  <c r="BL8" i="3"/>
  <c r="BH10" i="3"/>
  <c r="BF11" i="3"/>
  <c r="BG11" i="3" s="1"/>
  <c r="BD12" i="3"/>
  <c r="BE12" i="3" s="1"/>
  <c r="BD14" i="3"/>
  <c r="BB13" i="3"/>
  <c r="AZ16" i="3"/>
  <c r="AV18" i="3"/>
  <c r="AX18" i="3" s="1"/>
  <c r="AU17" i="3"/>
  <c r="AV17" i="3" s="1"/>
  <c r="AX15" i="3"/>
  <c r="AR19" i="3"/>
  <c r="CL3" i="3" l="1"/>
  <c r="CF577" i="3"/>
  <c r="CF576" i="3"/>
  <c r="CG576" i="3" s="1"/>
  <c r="CD578" i="3"/>
  <c r="BX4" i="3"/>
  <c r="BV7" i="3"/>
  <c r="BV5" i="3"/>
  <c r="BW5" i="3" s="1"/>
  <c r="BR9" i="3"/>
  <c r="BR6" i="3"/>
  <c r="BN8" i="3"/>
  <c r="BJ10" i="3"/>
  <c r="BK10" i="3" s="1"/>
  <c r="BH11" i="3"/>
  <c r="BF14" i="3"/>
  <c r="BF12" i="3"/>
  <c r="BG12" i="3" s="1"/>
  <c r="BD13" i="3"/>
  <c r="BE13" i="3" s="1"/>
  <c r="BB16" i="3"/>
  <c r="AZ15" i="3"/>
  <c r="AZ18" i="3"/>
  <c r="AS19" i="3"/>
  <c r="AT19" i="3" s="1"/>
  <c r="AR20" i="3"/>
  <c r="CN3" i="3" l="1"/>
  <c r="CO3" i="3" s="1"/>
  <c r="CH576" i="3"/>
  <c r="CI576" i="3" s="1"/>
  <c r="CH577" i="3"/>
  <c r="CE578" i="3"/>
  <c r="CF578" i="3" s="1"/>
  <c r="CG578" i="3" s="1"/>
  <c r="BZ4" i="3"/>
  <c r="BX5" i="3"/>
  <c r="BX7" i="3"/>
  <c r="BT6" i="3"/>
  <c r="BT9" i="3"/>
  <c r="BP8" i="3"/>
  <c r="BL10" i="3"/>
  <c r="BJ11" i="3"/>
  <c r="BK11" i="3" s="1"/>
  <c r="BH12" i="3"/>
  <c r="BH14" i="3"/>
  <c r="BF13" i="3"/>
  <c r="BG13" i="3" s="1"/>
  <c r="BD16" i="3"/>
  <c r="BB15" i="3"/>
  <c r="BB18" i="3"/>
  <c r="AU19" i="3"/>
  <c r="AV19" i="3" s="1"/>
  <c r="AX17" i="3"/>
  <c r="AS20" i="3"/>
  <c r="AT20" i="3" s="1"/>
  <c r="AR21" i="3"/>
  <c r="AJ3" i="25" l="1"/>
  <c r="AK3" i="25" s="1"/>
  <c r="CP3" i="3"/>
  <c r="CJ577" i="3"/>
  <c r="CJ576" i="3"/>
  <c r="CH578" i="3"/>
  <c r="CI578" i="3" s="1"/>
  <c r="CA4" i="3"/>
  <c r="CB4" i="3" s="1"/>
  <c r="BZ7" i="3"/>
  <c r="BZ5" i="3"/>
  <c r="BV9" i="3"/>
  <c r="BV6" i="3"/>
  <c r="BR8" i="3"/>
  <c r="BN10" i="3"/>
  <c r="BO10" i="3" s="1"/>
  <c r="BL11" i="3"/>
  <c r="BJ12" i="3"/>
  <c r="BK12" i="3" s="1"/>
  <c r="BJ14" i="3"/>
  <c r="BH13" i="3"/>
  <c r="BF16" i="3"/>
  <c r="BD15" i="3"/>
  <c r="BD18" i="3"/>
  <c r="AZ17" i="3"/>
  <c r="AU20" i="3"/>
  <c r="AV20" i="3" s="1"/>
  <c r="AS21" i="3"/>
  <c r="AT21" i="3" s="1"/>
  <c r="AR22" i="3"/>
  <c r="CT3" i="3" l="1"/>
  <c r="DP3" i="3" s="1"/>
  <c r="CL576" i="3"/>
  <c r="CL577" i="3"/>
  <c r="CJ578" i="3"/>
  <c r="CD4" i="3"/>
  <c r="CA5" i="3"/>
  <c r="CB5" i="3" s="1"/>
  <c r="CD5" i="3" s="1"/>
  <c r="CB7" i="3"/>
  <c r="CD7" i="3" s="1"/>
  <c r="BX6" i="3"/>
  <c r="BX9" i="3"/>
  <c r="BT8" i="3"/>
  <c r="BP10" i="3"/>
  <c r="BN11" i="3"/>
  <c r="BL14" i="3"/>
  <c r="BL12" i="3"/>
  <c r="BJ13" i="3"/>
  <c r="BK13" i="3" s="1"/>
  <c r="BH16" i="3"/>
  <c r="BF15" i="3"/>
  <c r="BF18" i="3"/>
  <c r="BB17" i="3"/>
  <c r="AU21" i="3"/>
  <c r="AV21" i="3" s="1"/>
  <c r="AX19" i="3"/>
  <c r="AS22" i="3"/>
  <c r="AT22" i="3" s="1"/>
  <c r="AR23" i="3"/>
  <c r="CV3" i="3" l="1"/>
  <c r="CN577" i="3"/>
  <c r="CO577" i="3" s="1"/>
  <c r="CN576" i="3"/>
  <c r="CO576" i="3" s="1"/>
  <c r="CL578" i="3"/>
  <c r="CF7" i="3"/>
  <c r="CF5" i="3"/>
  <c r="CG5" i="3" s="1"/>
  <c r="CF4" i="3"/>
  <c r="CG4" i="3" s="1"/>
  <c r="BZ9" i="3"/>
  <c r="BZ6" i="3"/>
  <c r="BV8" i="3"/>
  <c r="BR10" i="3"/>
  <c r="BP11" i="3"/>
  <c r="BN12" i="3"/>
  <c r="BN14" i="3"/>
  <c r="BL13" i="3"/>
  <c r="BJ16" i="3"/>
  <c r="BH15" i="3"/>
  <c r="BH18" i="3"/>
  <c r="BD17" i="3"/>
  <c r="BE17" i="3" s="1"/>
  <c r="AZ19" i="3"/>
  <c r="AU22" i="3"/>
  <c r="AV22" i="3" s="1"/>
  <c r="AW22" i="3" s="1"/>
  <c r="AX20" i="3"/>
  <c r="AS23" i="3"/>
  <c r="AT23" i="3" s="1"/>
  <c r="AR24" i="3"/>
  <c r="CU3" i="3" l="1"/>
  <c r="DA3" i="3" s="1"/>
  <c r="CP576" i="3"/>
  <c r="CP577" i="3"/>
  <c r="CN578" i="3"/>
  <c r="CO578" i="3" s="1"/>
  <c r="AJ578" i="25" s="1"/>
  <c r="CH4" i="3"/>
  <c r="CI4" i="3" s="1"/>
  <c r="CH5" i="3"/>
  <c r="CI5" i="3" s="1"/>
  <c r="CH7" i="3"/>
  <c r="CB9" i="3"/>
  <c r="CD9" i="3" s="1"/>
  <c r="CB6" i="3"/>
  <c r="CD6" i="3" s="1"/>
  <c r="BX8" i="3"/>
  <c r="BT10" i="3"/>
  <c r="BR11" i="3"/>
  <c r="BP14" i="3"/>
  <c r="BP12" i="3"/>
  <c r="BN13" i="3"/>
  <c r="BO13" i="3" s="1"/>
  <c r="BL16" i="3"/>
  <c r="BJ18" i="3"/>
  <c r="BJ15" i="3"/>
  <c r="BF17" i="3"/>
  <c r="BG17" i="3" s="1"/>
  <c r="BB19" i="3"/>
  <c r="AZ20" i="3"/>
  <c r="AU23" i="3"/>
  <c r="AV23" i="3" s="1"/>
  <c r="AW23" i="3" s="1"/>
  <c r="AX21" i="3"/>
  <c r="AS24" i="3"/>
  <c r="AT24" i="3" s="1"/>
  <c r="AR25" i="3"/>
  <c r="CT576" i="3" l="1"/>
  <c r="DC3" i="3"/>
  <c r="DB3" i="3" s="1"/>
  <c r="CT577" i="3"/>
  <c r="DP577" i="3" s="1"/>
  <c r="DP576" i="3"/>
  <c r="CP578" i="3"/>
  <c r="CV576" i="3"/>
  <c r="CJ7" i="3"/>
  <c r="CJ5" i="3"/>
  <c r="CJ4" i="3"/>
  <c r="CL4" i="3" s="1"/>
  <c r="CF6" i="3"/>
  <c r="CF9" i="3"/>
  <c r="BZ8" i="3"/>
  <c r="BV10" i="3"/>
  <c r="BT11" i="3"/>
  <c r="BR12" i="3"/>
  <c r="BS12" i="3" s="1"/>
  <c r="BR14" i="3"/>
  <c r="BP13" i="3"/>
  <c r="BN16" i="3"/>
  <c r="BL15" i="3"/>
  <c r="BL18" i="3"/>
  <c r="BH17" i="3"/>
  <c r="BD19" i="3"/>
  <c r="BE19" i="3" s="1"/>
  <c r="BB20" i="3"/>
  <c r="AZ21" i="3"/>
  <c r="AU24" i="3"/>
  <c r="AV24" i="3" s="1"/>
  <c r="AX22" i="3"/>
  <c r="AS25" i="3"/>
  <c r="AT25" i="3" s="1"/>
  <c r="AR26" i="3"/>
  <c r="CT578" i="3" l="1"/>
  <c r="DP578" i="3" s="1"/>
  <c r="DO3" i="3"/>
  <c r="CU576" i="3"/>
  <c r="DA576" i="3" s="1"/>
  <c r="CV577" i="3"/>
  <c r="CN4" i="3"/>
  <c r="CO4" i="3" s="1"/>
  <c r="CL5" i="3"/>
  <c r="CM5" i="3" s="1"/>
  <c r="CL7" i="3"/>
  <c r="CH9" i="3"/>
  <c r="CH6" i="3"/>
  <c r="CB8" i="3"/>
  <c r="CD8" i="3" s="1"/>
  <c r="BX10" i="3"/>
  <c r="BV11" i="3"/>
  <c r="BW11" i="3" s="1"/>
  <c r="BT12" i="3"/>
  <c r="BT14" i="3"/>
  <c r="BR13" i="3"/>
  <c r="BP16" i="3"/>
  <c r="BN18" i="3"/>
  <c r="BN15" i="3"/>
  <c r="BJ17" i="3"/>
  <c r="BK17" i="3" s="1"/>
  <c r="BF19" i="3"/>
  <c r="BG19" i="3" s="1"/>
  <c r="BD20" i="3"/>
  <c r="BB21" i="3"/>
  <c r="AZ22" i="3"/>
  <c r="AU25" i="3"/>
  <c r="AV25" i="3" s="1"/>
  <c r="AW25" i="3" s="1"/>
  <c r="AX23" i="3"/>
  <c r="AS26" i="3"/>
  <c r="AT26" i="3" s="1"/>
  <c r="AR27" i="3"/>
  <c r="AT27" i="3" s="1"/>
  <c r="CV578" i="3" l="1"/>
  <c r="CU578" i="3" s="1"/>
  <c r="DA578" i="3" s="1"/>
  <c r="CU577" i="3"/>
  <c r="DA577" i="3" s="1"/>
  <c r="DC577" i="3" s="1"/>
  <c r="DO577" i="3" s="1"/>
  <c r="DC576" i="3"/>
  <c r="DO576" i="3" s="1"/>
  <c r="AJ4" i="25"/>
  <c r="AK4" i="25" s="1"/>
  <c r="CP4" i="3"/>
  <c r="CN7" i="3"/>
  <c r="CO7" i="3" s="1"/>
  <c r="CN5" i="3"/>
  <c r="CO5" i="3" s="1"/>
  <c r="CJ6" i="3"/>
  <c r="CJ9" i="3"/>
  <c r="CF8" i="3"/>
  <c r="BZ10" i="3"/>
  <c r="BX11" i="3"/>
  <c r="BV14" i="3"/>
  <c r="BV12" i="3"/>
  <c r="BT13" i="3"/>
  <c r="BR16" i="3"/>
  <c r="BP15" i="3"/>
  <c r="BP18" i="3"/>
  <c r="BL17" i="3"/>
  <c r="BH19" i="3"/>
  <c r="BF20" i="3"/>
  <c r="BD21" i="3"/>
  <c r="BE21" i="3" s="1"/>
  <c r="BA22" i="3"/>
  <c r="BB22" i="3" s="1"/>
  <c r="AZ23" i="3"/>
  <c r="AV27" i="3"/>
  <c r="AX27" i="3" s="1"/>
  <c r="AU26" i="3"/>
  <c r="AV26" i="3" s="1"/>
  <c r="AX24" i="3"/>
  <c r="AR28" i="3"/>
  <c r="CT4" i="3" l="1"/>
  <c r="DP4" i="3" s="1"/>
  <c r="DC578" i="3"/>
  <c r="DO578" i="3" s="1"/>
  <c r="AJ7" i="25"/>
  <c r="AK7" i="25" s="1"/>
  <c r="CP7" i="3"/>
  <c r="AJ5" i="25"/>
  <c r="AK5" i="25" s="1"/>
  <c r="CP5" i="3"/>
  <c r="CL9" i="3"/>
  <c r="CL6" i="3"/>
  <c r="CH8" i="3"/>
  <c r="CA10" i="3"/>
  <c r="CB10" i="3" s="1"/>
  <c r="BZ11" i="3"/>
  <c r="BX12" i="3"/>
  <c r="BX14" i="3"/>
  <c r="BV13" i="3"/>
  <c r="BW13" i="3" s="1"/>
  <c r="BT16" i="3"/>
  <c r="BR18" i="3"/>
  <c r="BR15" i="3"/>
  <c r="BN17" i="3"/>
  <c r="BO17" i="3" s="1"/>
  <c r="BJ19" i="3"/>
  <c r="BK19" i="3" s="1"/>
  <c r="BH20" i="3"/>
  <c r="BF21" i="3"/>
  <c r="BG21" i="3" s="1"/>
  <c r="BD22" i="3"/>
  <c r="BE22" i="3" s="1"/>
  <c r="BA23" i="3"/>
  <c r="BB23" i="3" s="1"/>
  <c r="AZ27" i="3"/>
  <c r="AZ24" i="3"/>
  <c r="AX25" i="3"/>
  <c r="AS28" i="3"/>
  <c r="AT28" i="3" s="1"/>
  <c r="AR29" i="3"/>
  <c r="CT5" i="3" l="1"/>
  <c r="CT7" i="3"/>
  <c r="DP7" i="3" s="1"/>
  <c r="CV4" i="3"/>
  <c r="CN6" i="3"/>
  <c r="CO6" i="3" s="1"/>
  <c r="CN9" i="3"/>
  <c r="CO9" i="3" s="1"/>
  <c r="DP5" i="3"/>
  <c r="CJ8" i="3"/>
  <c r="CD10" i="3"/>
  <c r="CA11" i="3"/>
  <c r="CB11" i="3" s="1"/>
  <c r="BZ14" i="3"/>
  <c r="BZ12" i="3"/>
  <c r="BX13" i="3"/>
  <c r="BV16" i="3"/>
  <c r="BT18" i="3"/>
  <c r="BT15" i="3"/>
  <c r="BP17" i="3"/>
  <c r="BL19" i="3"/>
  <c r="BJ20" i="3"/>
  <c r="BH21" i="3"/>
  <c r="BF22" i="3"/>
  <c r="BG22" i="3" s="1"/>
  <c r="BD23" i="3"/>
  <c r="BE23" i="3" s="1"/>
  <c r="BB24" i="3"/>
  <c r="BB27" i="3"/>
  <c r="AZ25" i="3"/>
  <c r="AU28" i="3"/>
  <c r="AV28" i="3" s="1"/>
  <c r="AX26" i="3"/>
  <c r="AS29" i="3"/>
  <c r="AT29" i="3" s="1"/>
  <c r="AR30" i="3"/>
  <c r="CU4" i="3" l="1"/>
  <c r="DA4" i="3" s="1"/>
  <c r="DC4" i="3" s="1"/>
  <c r="DO4" i="3" s="1"/>
  <c r="CV7" i="3"/>
  <c r="CP9" i="3"/>
  <c r="AJ6" i="25"/>
  <c r="AK6" i="25" s="1"/>
  <c r="CP6" i="3"/>
  <c r="AJ9" i="25"/>
  <c r="AK9" i="25" s="1"/>
  <c r="CV5" i="3"/>
  <c r="CL8" i="3"/>
  <c r="CF10" i="3"/>
  <c r="CG10" i="3" s="1"/>
  <c r="CD11" i="3"/>
  <c r="CA12" i="3"/>
  <c r="CB12" i="3" s="1"/>
  <c r="CB14" i="3"/>
  <c r="BZ13" i="3"/>
  <c r="BX16" i="3"/>
  <c r="BV18" i="3"/>
  <c r="BV15" i="3"/>
  <c r="BR17" i="3"/>
  <c r="BN19" i="3"/>
  <c r="BO19" i="3" s="1"/>
  <c r="BL20" i="3"/>
  <c r="BJ21" i="3"/>
  <c r="BK21" i="3" s="1"/>
  <c r="BH22" i="3"/>
  <c r="BF23" i="3"/>
  <c r="BG23" i="3" s="1"/>
  <c r="BD27" i="3"/>
  <c r="BD24" i="3"/>
  <c r="BE24" i="3" s="1"/>
  <c r="BA25" i="3"/>
  <c r="BB25" i="3" s="1"/>
  <c r="AZ26" i="3"/>
  <c r="AU29" i="3"/>
  <c r="AV29" i="3" s="1"/>
  <c r="AW29" i="3" s="1"/>
  <c r="AS30" i="3"/>
  <c r="AT30" i="3" s="1"/>
  <c r="AR31" i="3"/>
  <c r="CU7" i="3" l="1"/>
  <c r="DA7" i="3" s="1"/>
  <c r="DC7" i="3" s="1"/>
  <c r="DO7" i="3" s="1"/>
  <c r="CU5" i="3"/>
  <c r="DA5" i="3" s="1"/>
  <c r="DB4" i="3"/>
  <c r="CT6" i="3"/>
  <c r="DP6" i="3" s="1"/>
  <c r="CT9" i="3"/>
  <c r="DP9" i="3" s="1"/>
  <c r="CN8" i="3"/>
  <c r="CO8" i="3" s="1"/>
  <c r="CH10" i="3"/>
  <c r="CI10" i="3" s="1"/>
  <c r="CF11" i="3"/>
  <c r="CD14" i="3"/>
  <c r="CD12" i="3"/>
  <c r="CA13" i="3"/>
  <c r="CB13" i="3" s="1"/>
  <c r="CD13" i="3" s="1"/>
  <c r="BZ16" i="3"/>
  <c r="BX15" i="3"/>
  <c r="BX18" i="3"/>
  <c r="BT17" i="3"/>
  <c r="BP19" i="3"/>
  <c r="BN20" i="3"/>
  <c r="BL21" i="3"/>
  <c r="BJ22" i="3"/>
  <c r="BK22" i="3" s="1"/>
  <c r="BH23" i="3"/>
  <c r="BF27" i="3"/>
  <c r="BF24" i="3"/>
  <c r="BG24" i="3" s="1"/>
  <c r="BD25" i="3"/>
  <c r="BE25" i="3" s="1"/>
  <c r="BB26" i="3"/>
  <c r="AU30" i="3"/>
  <c r="AV30" i="3" s="1"/>
  <c r="AW30" i="3" s="1"/>
  <c r="AX28" i="3"/>
  <c r="AS31" i="3"/>
  <c r="AT31" i="3" s="1"/>
  <c r="AR32" i="3"/>
  <c r="DB7" i="3" l="1"/>
  <c r="DC5" i="3"/>
  <c r="DO5" i="3" s="1"/>
  <c r="CV9" i="3"/>
  <c r="CV6" i="3"/>
  <c r="CP8" i="3"/>
  <c r="AJ8" i="25"/>
  <c r="AK8" i="25" s="1"/>
  <c r="CJ10" i="3"/>
  <c r="CH11" i="3"/>
  <c r="CF12" i="3"/>
  <c r="CG12" i="3" s="1"/>
  <c r="CF14" i="3"/>
  <c r="CE13" i="3"/>
  <c r="CF13" i="3" s="1"/>
  <c r="CG13" i="3" s="1"/>
  <c r="CB16" i="3"/>
  <c r="CD16" i="3" s="1"/>
  <c r="BZ18" i="3"/>
  <c r="BZ15" i="3"/>
  <c r="BV17" i="3"/>
  <c r="BR19" i="3"/>
  <c r="BS19" i="3" s="1"/>
  <c r="BP20" i="3"/>
  <c r="BN21" i="3"/>
  <c r="BO21" i="3" s="1"/>
  <c r="BL22" i="3"/>
  <c r="BJ23" i="3"/>
  <c r="BK23" i="3" s="1"/>
  <c r="BH24" i="3"/>
  <c r="BH27" i="3"/>
  <c r="BF25" i="3"/>
  <c r="BG25" i="3" s="1"/>
  <c r="BD26" i="3"/>
  <c r="BE26" i="3" s="1"/>
  <c r="AZ28" i="3"/>
  <c r="AU31" i="3"/>
  <c r="AV31" i="3" s="1"/>
  <c r="AX29" i="3"/>
  <c r="AS32" i="3"/>
  <c r="AT32" i="3" s="1"/>
  <c r="AR33" i="3"/>
  <c r="AT33" i="3" s="1"/>
  <c r="CU6" i="3" l="1"/>
  <c r="DA6" i="3" s="1"/>
  <c r="DC6" i="3" s="1"/>
  <c r="DO6" i="3" s="1"/>
  <c r="CU9" i="3"/>
  <c r="DA9" i="3" s="1"/>
  <c r="DB5" i="3"/>
  <c r="CT8" i="3"/>
  <c r="DP8" i="3" s="1"/>
  <c r="CL10" i="3"/>
  <c r="CJ11" i="3"/>
  <c r="CH13" i="3"/>
  <c r="CI13" i="3" s="1"/>
  <c r="CH14" i="3"/>
  <c r="CH12" i="3"/>
  <c r="CI12" i="3" s="1"/>
  <c r="CF16" i="3"/>
  <c r="CB18" i="3"/>
  <c r="CB15" i="3"/>
  <c r="CD15" i="3" s="1"/>
  <c r="BX17" i="3"/>
  <c r="BT19" i="3"/>
  <c r="BR20" i="3"/>
  <c r="BP21" i="3"/>
  <c r="BN22" i="3"/>
  <c r="BL23" i="3"/>
  <c r="BJ24" i="3"/>
  <c r="BK24" i="3" s="1"/>
  <c r="BJ27" i="3"/>
  <c r="BH25" i="3"/>
  <c r="BF26" i="3"/>
  <c r="BG26" i="3" s="1"/>
  <c r="BB28" i="3"/>
  <c r="AZ29" i="3"/>
  <c r="AU32" i="3"/>
  <c r="AV32" i="3" s="1"/>
  <c r="AW32" i="3" s="1"/>
  <c r="AV33" i="3"/>
  <c r="AX33" i="3" s="1"/>
  <c r="AX30" i="3"/>
  <c r="AR34" i="3"/>
  <c r="DC9" i="3" l="1"/>
  <c r="DO9" i="3" s="1"/>
  <c r="DB6" i="3"/>
  <c r="CV8" i="3"/>
  <c r="CN10" i="3"/>
  <c r="CO10" i="3" s="1"/>
  <c r="CL11" i="3"/>
  <c r="CJ12" i="3"/>
  <c r="CJ13" i="3"/>
  <c r="CJ14" i="3"/>
  <c r="CH16" i="3"/>
  <c r="CF15" i="3"/>
  <c r="CD18" i="3"/>
  <c r="BZ17" i="3"/>
  <c r="BV19" i="3"/>
  <c r="BT20" i="3"/>
  <c r="BR21" i="3"/>
  <c r="BS21" i="3" s="1"/>
  <c r="BP22" i="3"/>
  <c r="BN23" i="3"/>
  <c r="BL27" i="3"/>
  <c r="BL24" i="3"/>
  <c r="BJ25" i="3"/>
  <c r="BK25" i="3" s="1"/>
  <c r="BH26" i="3"/>
  <c r="BD28" i="3"/>
  <c r="BE28" i="3" s="1"/>
  <c r="BB29" i="3"/>
  <c r="AZ30" i="3"/>
  <c r="AZ33" i="3"/>
  <c r="AX31" i="3"/>
  <c r="AS34" i="3"/>
  <c r="AT34" i="3" s="1"/>
  <c r="AR35" i="3"/>
  <c r="DB9" i="3" l="1"/>
  <c r="CU8" i="3"/>
  <c r="DA8" i="3" s="1"/>
  <c r="AJ10" i="25"/>
  <c r="AK10" i="25" s="1"/>
  <c r="CP10" i="3"/>
  <c r="CN11" i="3"/>
  <c r="CL14" i="3"/>
  <c r="CL13" i="3"/>
  <c r="CL12" i="3"/>
  <c r="CJ16" i="3"/>
  <c r="CH15" i="3"/>
  <c r="CF18" i="3"/>
  <c r="CA17" i="3"/>
  <c r="CB17" i="3" s="1"/>
  <c r="BX19" i="3"/>
  <c r="BV20" i="3"/>
  <c r="BT21" i="3"/>
  <c r="BR22" i="3"/>
  <c r="BP23" i="3"/>
  <c r="BN24" i="3"/>
  <c r="BO24" i="3" s="1"/>
  <c r="BN27" i="3"/>
  <c r="BL25" i="3"/>
  <c r="BJ26" i="3"/>
  <c r="BK26" i="3" s="1"/>
  <c r="BF28" i="3"/>
  <c r="BG28" i="3" s="1"/>
  <c r="BD29" i="3"/>
  <c r="BB33" i="3"/>
  <c r="BA30" i="3"/>
  <c r="BB30" i="3" s="1"/>
  <c r="AZ31" i="3"/>
  <c r="AU34" i="3"/>
  <c r="AV34" i="3" s="1"/>
  <c r="AX32" i="3"/>
  <c r="AS35" i="3"/>
  <c r="AT35" i="3" s="1"/>
  <c r="AR36" i="3"/>
  <c r="CT10" i="3" l="1"/>
  <c r="DC8" i="3"/>
  <c r="DO8" i="3" s="1"/>
  <c r="CO11" i="3"/>
  <c r="CN12" i="3"/>
  <c r="CO12" i="3" s="1"/>
  <c r="CN13" i="3"/>
  <c r="CO13" i="3" s="1"/>
  <c r="CN14" i="3"/>
  <c r="CO14" i="3" s="1"/>
  <c r="CL16" i="3"/>
  <c r="CJ15" i="3"/>
  <c r="CH18" i="3"/>
  <c r="CD17" i="3"/>
  <c r="BZ19" i="3"/>
  <c r="BX20" i="3"/>
  <c r="BV21" i="3"/>
  <c r="BT22" i="3"/>
  <c r="BR23" i="3"/>
  <c r="BP27" i="3"/>
  <c r="BP24" i="3"/>
  <c r="BN25" i="3"/>
  <c r="BL26" i="3"/>
  <c r="BH28" i="3"/>
  <c r="BF29" i="3"/>
  <c r="BD30" i="3"/>
  <c r="BE30" i="3" s="1"/>
  <c r="BD33" i="3"/>
  <c r="BB31" i="3"/>
  <c r="AZ32" i="3"/>
  <c r="AU35" i="3"/>
  <c r="AV35" i="3" s="1"/>
  <c r="AS36" i="3"/>
  <c r="AT36" i="3" s="1"/>
  <c r="AR37" i="3"/>
  <c r="DB8" i="3" l="1"/>
  <c r="CP14" i="3"/>
  <c r="AJ13" i="25"/>
  <c r="AK13" i="25" s="1"/>
  <c r="AJ12" i="25"/>
  <c r="AK12" i="25" s="1"/>
  <c r="AJ11" i="25"/>
  <c r="AK11" i="25" s="1"/>
  <c r="CP11" i="3"/>
  <c r="CP13" i="3"/>
  <c r="CP12" i="3"/>
  <c r="AJ14" i="25"/>
  <c r="AK14" i="25" s="1"/>
  <c r="CN16" i="3"/>
  <c r="CO16" i="3" s="1"/>
  <c r="CL15" i="3"/>
  <c r="CJ18" i="3"/>
  <c r="CF17" i="3"/>
  <c r="CG17" i="3" s="1"/>
  <c r="CA19" i="3"/>
  <c r="CB19" i="3" s="1"/>
  <c r="BZ20" i="3"/>
  <c r="BX21" i="3"/>
  <c r="BV22" i="3"/>
  <c r="BT23" i="3"/>
  <c r="BR27" i="3"/>
  <c r="BR24" i="3"/>
  <c r="BP25" i="3"/>
  <c r="BN26" i="3"/>
  <c r="BO26" i="3" s="1"/>
  <c r="BJ28" i="3"/>
  <c r="BK28" i="3" s="1"/>
  <c r="BH29" i="3"/>
  <c r="BF33" i="3"/>
  <c r="BF30" i="3"/>
  <c r="BG30" i="3" s="1"/>
  <c r="BD31" i="3"/>
  <c r="BE31" i="3" s="1"/>
  <c r="BA32" i="3"/>
  <c r="BB32" i="3" s="1"/>
  <c r="AU36" i="3"/>
  <c r="AV36" i="3" s="1"/>
  <c r="AW36" i="3" s="1"/>
  <c r="AX34" i="3"/>
  <c r="AS37" i="3"/>
  <c r="AT37" i="3" s="1"/>
  <c r="AR38" i="3"/>
  <c r="CT13" i="3" l="1"/>
  <c r="CT14" i="3"/>
  <c r="CT12" i="3"/>
  <c r="DP12" i="3" s="1"/>
  <c r="CT11" i="3"/>
  <c r="DP11" i="3" s="1"/>
  <c r="AJ16" i="25"/>
  <c r="AK16" i="25" s="1"/>
  <c r="CP16" i="3"/>
  <c r="CN15" i="3"/>
  <c r="CO15" i="3" s="1"/>
  <c r="CL18" i="3"/>
  <c r="CH17" i="3"/>
  <c r="CI17" i="3" s="1"/>
  <c r="CD19" i="3"/>
  <c r="CB20" i="3"/>
  <c r="CD20" i="3" s="1"/>
  <c r="BZ21" i="3"/>
  <c r="BX22" i="3"/>
  <c r="BV23" i="3"/>
  <c r="BT24" i="3"/>
  <c r="BT27" i="3"/>
  <c r="BR25" i="3"/>
  <c r="BP26" i="3"/>
  <c r="BL28" i="3"/>
  <c r="BJ29" i="3"/>
  <c r="BH33" i="3"/>
  <c r="BH30" i="3"/>
  <c r="BF31" i="3"/>
  <c r="BG31" i="3" s="1"/>
  <c r="BD32" i="3"/>
  <c r="BE32" i="3" s="1"/>
  <c r="AZ34" i="3"/>
  <c r="AU37" i="3"/>
  <c r="AV37" i="3" s="1"/>
  <c r="AW37" i="3" s="1"/>
  <c r="AX35" i="3"/>
  <c r="AS38" i="3"/>
  <c r="AT38" i="3" s="1"/>
  <c r="AR39" i="3"/>
  <c r="AT39" i="3" s="1"/>
  <c r="CV12" i="3" l="1"/>
  <c r="CT16" i="3"/>
  <c r="DP16" i="3" s="1"/>
  <c r="CV11" i="3"/>
  <c r="CP15" i="3"/>
  <c r="AJ15" i="25"/>
  <c r="AK15" i="25" s="1"/>
  <c r="CN18" i="3"/>
  <c r="CO18" i="3" s="1"/>
  <c r="CJ17" i="3"/>
  <c r="CF20" i="3"/>
  <c r="CE19" i="3"/>
  <c r="CF19" i="3" s="1"/>
  <c r="CG19" i="3" s="1"/>
  <c r="CA21" i="3"/>
  <c r="CB21" i="3" s="1"/>
  <c r="CD21" i="3" s="1"/>
  <c r="BZ22" i="3"/>
  <c r="BX23" i="3"/>
  <c r="BV27" i="3"/>
  <c r="BV24" i="3"/>
  <c r="BT25" i="3"/>
  <c r="BR26" i="3"/>
  <c r="BS26" i="3" s="1"/>
  <c r="BN28" i="3"/>
  <c r="BO28" i="3" s="1"/>
  <c r="BL29" i="3"/>
  <c r="BJ30" i="3"/>
  <c r="BK30" i="3" s="1"/>
  <c r="BJ33" i="3"/>
  <c r="BH31" i="3"/>
  <c r="BF32" i="3"/>
  <c r="BG32" i="3" s="1"/>
  <c r="BB34" i="3"/>
  <c r="AZ35" i="3"/>
  <c r="AV39" i="3"/>
  <c r="AX39" i="3" s="1"/>
  <c r="AU38" i="3"/>
  <c r="AV38" i="3" s="1"/>
  <c r="AX36" i="3"/>
  <c r="AR40" i="3"/>
  <c r="CU11" i="3" l="1"/>
  <c r="DA11" i="3" s="1"/>
  <c r="CU12" i="3"/>
  <c r="DA12" i="3" s="1"/>
  <c r="CV16" i="3"/>
  <c r="CT15" i="3"/>
  <c r="DP15" i="3" s="1"/>
  <c r="AJ18" i="25"/>
  <c r="AK18" i="25" s="1"/>
  <c r="CP18" i="3"/>
  <c r="CL17" i="3"/>
  <c r="CH20" i="3"/>
  <c r="CH19" i="3"/>
  <c r="CI19" i="3" s="1"/>
  <c r="CE21" i="3"/>
  <c r="CF21" i="3" s="1"/>
  <c r="CG21" i="3" s="1"/>
  <c r="CB22" i="3"/>
  <c r="CD22" i="3" s="1"/>
  <c r="BZ23" i="3"/>
  <c r="BX24" i="3"/>
  <c r="BX27" i="3"/>
  <c r="BV25" i="3"/>
  <c r="BT26" i="3"/>
  <c r="BP28" i="3"/>
  <c r="BN29" i="3"/>
  <c r="BL33" i="3"/>
  <c r="BL30" i="3"/>
  <c r="BJ31" i="3"/>
  <c r="BK31" i="3" s="1"/>
  <c r="BH32" i="3"/>
  <c r="BD34" i="3"/>
  <c r="BE34" i="3" s="1"/>
  <c r="BB35" i="3"/>
  <c r="AZ36" i="3"/>
  <c r="AZ39" i="3"/>
  <c r="AX37" i="3"/>
  <c r="AS40" i="3"/>
  <c r="AT40" i="3" s="1"/>
  <c r="AR41" i="3"/>
  <c r="DC11" i="3" l="1"/>
  <c r="DB11" i="3" s="1"/>
  <c r="DC12" i="3"/>
  <c r="DO12" i="3" s="1"/>
  <c r="CU16" i="3"/>
  <c r="DA16" i="3" s="1"/>
  <c r="CV15" i="3"/>
  <c r="CT18" i="3"/>
  <c r="DP18" i="3" s="1"/>
  <c r="CN17" i="3"/>
  <c r="CO17" i="3" s="1"/>
  <c r="CJ19" i="3"/>
  <c r="CJ20" i="3"/>
  <c r="CH21" i="3"/>
  <c r="CI21" i="3" s="1"/>
  <c r="CF22" i="3"/>
  <c r="CB23" i="3"/>
  <c r="CD23" i="3" s="1"/>
  <c r="BZ27" i="3"/>
  <c r="BZ24" i="3"/>
  <c r="BX25" i="3"/>
  <c r="BV26" i="3"/>
  <c r="BR28" i="3"/>
  <c r="BP29" i="3"/>
  <c r="BN30" i="3"/>
  <c r="BN33" i="3"/>
  <c r="BL31" i="3"/>
  <c r="BJ32" i="3"/>
  <c r="BK32" i="3" s="1"/>
  <c r="BF34" i="3"/>
  <c r="BG34" i="3" s="1"/>
  <c r="BD35" i="3"/>
  <c r="BE35" i="3" s="1"/>
  <c r="BB39" i="3"/>
  <c r="BA36" i="3"/>
  <c r="BB36" i="3" s="1"/>
  <c r="AZ37" i="3"/>
  <c r="AU40" i="3"/>
  <c r="AV40" i="3" s="1"/>
  <c r="AX38" i="3"/>
  <c r="AS41" i="3"/>
  <c r="AT41" i="3" s="1"/>
  <c r="AR42" i="3"/>
  <c r="DO11" i="3" l="1"/>
  <c r="DC16" i="3"/>
  <c r="DO16" i="3" s="1"/>
  <c r="DB12" i="3"/>
  <c r="CU15" i="3"/>
  <c r="DA15" i="3" s="1"/>
  <c r="CV18" i="3"/>
  <c r="CP17" i="3"/>
  <c r="AJ17" i="25"/>
  <c r="AK17" i="25" s="1"/>
  <c r="CL20" i="3"/>
  <c r="CL19" i="3"/>
  <c r="CJ21" i="3"/>
  <c r="CH22" i="3"/>
  <c r="CF23" i="3"/>
  <c r="CA24" i="3"/>
  <c r="CB24" i="3" s="1"/>
  <c r="CB27" i="3"/>
  <c r="CD27" i="3" s="1"/>
  <c r="BZ25" i="3"/>
  <c r="BX26" i="3"/>
  <c r="BS28" i="3"/>
  <c r="BT28" i="3" s="1"/>
  <c r="BV28" i="3" s="1"/>
  <c r="BR29" i="3"/>
  <c r="BP33" i="3"/>
  <c r="BP30" i="3"/>
  <c r="BN31" i="3"/>
  <c r="BO31" i="3" s="1"/>
  <c r="BL32" i="3"/>
  <c r="BH34" i="3"/>
  <c r="BF35" i="3"/>
  <c r="BG35" i="3" s="1"/>
  <c r="BD39" i="3"/>
  <c r="BD36" i="3"/>
  <c r="BE36" i="3" s="1"/>
  <c r="BA37" i="3"/>
  <c r="BB37" i="3" s="1"/>
  <c r="AZ38" i="3"/>
  <c r="AU41" i="3"/>
  <c r="AV41" i="3" s="1"/>
  <c r="AS42" i="3"/>
  <c r="AT42" i="3" s="1"/>
  <c r="AR43" i="3"/>
  <c r="DB16" i="3" l="1"/>
  <c r="DC15" i="3"/>
  <c r="DO15" i="3" s="1"/>
  <c r="CU18" i="3"/>
  <c r="DA18" i="3" s="1"/>
  <c r="DC18" i="3" s="1"/>
  <c r="CT17" i="3"/>
  <c r="CN19" i="3"/>
  <c r="CO19" i="3" s="1"/>
  <c r="CN20" i="3"/>
  <c r="CO20" i="3" s="1"/>
  <c r="CL21" i="3"/>
  <c r="CJ22" i="3"/>
  <c r="CH23" i="3"/>
  <c r="CF27" i="3"/>
  <c r="CD24" i="3"/>
  <c r="CB25" i="3"/>
  <c r="CD25" i="3" s="1"/>
  <c r="BZ26" i="3"/>
  <c r="BX28" i="3"/>
  <c r="BT29" i="3"/>
  <c r="BR30" i="3"/>
  <c r="BR33" i="3"/>
  <c r="BP31" i="3"/>
  <c r="BN32" i="3"/>
  <c r="BJ34" i="3"/>
  <c r="BK34" i="3" s="1"/>
  <c r="BH35" i="3"/>
  <c r="BF39" i="3"/>
  <c r="BF36" i="3"/>
  <c r="BG36" i="3" s="1"/>
  <c r="BD37" i="3"/>
  <c r="BE37" i="3" s="1"/>
  <c r="BB38" i="3"/>
  <c r="AU42" i="3"/>
  <c r="AV42" i="3" s="1"/>
  <c r="AX40" i="3"/>
  <c r="AS43" i="3"/>
  <c r="AT43" i="3" s="1"/>
  <c r="AR44" i="3"/>
  <c r="DB15" i="3" l="1"/>
  <c r="DO18" i="3"/>
  <c r="DB18" i="3"/>
  <c r="CP20" i="3"/>
  <c r="CP19" i="3"/>
  <c r="AJ19" i="25"/>
  <c r="AK19" i="25" s="1"/>
  <c r="AJ20" i="25"/>
  <c r="AK20" i="25" s="1"/>
  <c r="CN21" i="3"/>
  <c r="CO21" i="3" s="1"/>
  <c r="CL22" i="3"/>
  <c r="CJ23" i="3"/>
  <c r="CH27" i="3"/>
  <c r="CF24" i="3"/>
  <c r="CG24" i="3" s="1"/>
  <c r="CF25" i="3"/>
  <c r="CA26" i="3"/>
  <c r="CB26" i="3" s="1"/>
  <c r="BZ28" i="3"/>
  <c r="BV29" i="3"/>
  <c r="BT33" i="3"/>
  <c r="BT30" i="3"/>
  <c r="BR31" i="3"/>
  <c r="BP32" i="3"/>
  <c r="BL34" i="3"/>
  <c r="BJ35" i="3"/>
  <c r="BK35" i="3" s="1"/>
  <c r="BH39" i="3"/>
  <c r="BH36" i="3"/>
  <c r="BF37" i="3"/>
  <c r="BG37" i="3" s="1"/>
  <c r="BD38" i="3"/>
  <c r="BE38" i="3" s="1"/>
  <c r="AZ40" i="3"/>
  <c r="AU43" i="3"/>
  <c r="AV43" i="3" s="1"/>
  <c r="AW43" i="3" s="1"/>
  <c r="AX41" i="3"/>
  <c r="AS44" i="3"/>
  <c r="AT44" i="3" s="1"/>
  <c r="AR45" i="3"/>
  <c r="CT19" i="3" l="1"/>
  <c r="CT20" i="3"/>
  <c r="CP21" i="3"/>
  <c r="AJ21" i="25"/>
  <c r="AK21" i="25" s="1"/>
  <c r="CN22" i="3"/>
  <c r="CO22" i="3" s="1"/>
  <c r="CL23" i="3"/>
  <c r="CJ27" i="3"/>
  <c r="CH25" i="3"/>
  <c r="CH24" i="3"/>
  <c r="CI24" i="3" s="1"/>
  <c r="CD26" i="3"/>
  <c r="CB28" i="3"/>
  <c r="CD28" i="3" s="1"/>
  <c r="BX29" i="3"/>
  <c r="BV30" i="3"/>
  <c r="BV33" i="3"/>
  <c r="BT31" i="3"/>
  <c r="BR32" i="3"/>
  <c r="BN34" i="3"/>
  <c r="BO34" i="3" s="1"/>
  <c r="BL35" i="3"/>
  <c r="BJ39" i="3"/>
  <c r="BJ36" i="3"/>
  <c r="BK36" i="3" s="1"/>
  <c r="BH37" i="3"/>
  <c r="BF38" i="3"/>
  <c r="BG38" i="3" s="1"/>
  <c r="BB40" i="3"/>
  <c r="AZ41" i="3"/>
  <c r="AU44" i="3"/>
  <c r="AV44" i="3" s="1"/>
  <c r="AW44" i="3" s="1"/>
  <c r="AX42" i="3"/>
  <c r="AS45" i="3"/>
  <c r="AT45" i="3" s="1"/>
  <c r="AR46" i="3"/>
  <c r="CT21" i="3" l="1"/>
  <c r="CP22" i="3"/>
  <c r="AJ22" i="25"/>
  <c r="AK22" i="25" s="1"/>
  <c r="CN23" i="3"/>
  <c r="CO23" i="3" s="1"/>
  <c r="CL27" i="3"/>
  <c r="CJ24" i="3"/>
  <c r="CJ25" i="3"/>
  <c r="CF28" i="3"/>
  <c r="CE26" i="3"/>
  <c r="CF26" i="3" s="1"/>
  <c r="CG26" i="3" s="1"/>
  <c r="BZ29" i="3"/>
  <c r="BX30" i="3"/>
  <c r="BX33" i="3"/>
  <c r="BV31" i="3"/>
  <c r="BT32" i="3"/>
  <c r="BP34" i="3"/>
  <c r="BN35" i="3"/>
  <c r="BO35" i="3" s="1"/>
  <c r="BL36" i="3"/>
  <c r="BL39" i="3"/>
  <c r="BJ37" i="3"/>
  <c r="BK37" i="3" s="1"/>
  <c r="BH38" i="3"/>
  <c r="BD40" i="3"/>
  <c r="BE40" i="3" s="1"/>
  <c r="BB41" i="3"/>
  <c r="AZ42" i="3"/>
  <c r="AU45" i="3"/>
  <c r="AV45" i="3" s="1"/>
  <c r="AX43" i="3"/>
  <c r="AS46" i="3"/>
  <c r="AT46" i="3" s="1"/>
  <c r="AR47" i="3"/>
  <c r="CT22" i="3" l="1"/>
  <c r="CP23" i="3"/>
  <c r="AJ23" i="25"/>
  <c r="AK23" i="25" s="1"/>
  <c r="CN27" i="3"/>
  <c r="CO27" i="3" s="1"/>
  <c r="CL25" i="3"/>
  <c r="CL24" i="3"/>
  <c r="CH26" i="3"/>
  <c r="CI26" i="3" s="1"/>
  <c r="CH28" i="3"/>
  <c r="CB29" i="3"/>
  <c r="CD29" i="3" s="1"/>
  <c r="BZ33" i="3"/>
  <c r="BZ30" i="3"/>
  <c r="BX31" i="3"/>
  <c r="BV32" i="3"/>
  <c r="BW32" i="3" s="1"/>
  <c r="BR34" i="3"/>
  <c r="BP35" i="3"/>
  <c r="BN36" i="3"/>
  <c r="BN39" i="3"/>
  <c r="BL37" i="3"/>
  <c r="BJ38" i="3"/>
  <c r="BK38" i="3" s="1"/>
  <c r="BF40" i="3"/>
  <c r="BG40" i="3" s="1"/>
  <c r="BD41" i="3"/>
  <c r="BE41" i="3" s="1"/>
  <c r="BB42" i="3"/>
  <c r="AZ43" i="3"/>
  <c r="AU46" i="3"/>
  <c r="AV46" i="3" s="1"/>
  <c r="AW46" i="3" s="1"/>
  <c r="AX44" i="3"/>
  <c r="AS47" i="3"/>
  <c r="AT47" i="3" s="1"/>
  <c r="AR48" i="3"/>
  <c r="CT23" i="3" l="1"/>
  <c r="CP27" i="3"/>
  <c r="AJ27" i="25"/>
  <c r="CN24" i="3"/>
  <c r="CO24" i="3" s="1"/>
  <c r="CN25" i="3"/>
  <c r="CO25" i="3" s="1"/>
  <c r="CJ28" i="3"/>
  <c r="CJ26" i="3"/>
  <c r="CF29" i="3"/>
  <c r="CA30" i="3"/>
  <c r="CB30" i="3" s="1"/>
  <c r="CD30" i="3" s="1"/>
  <c r="CE30" i="3" s="1"/>
  <c r="CB33" i="3"/>
  <c r="CD33" i="3" s="1"/>
  <c r="BZ31" i="3"/>
  <c r="BX32" i="3"/>
  <c r="BT34" i="3"/>
  <c r="BR35" i="3"/>
  <c r="BP36" i="3"/>
  <c r="BP39" i="3"/>
  <c r="BN37" i="3"/>
  <c r="BL38" i="3"/>
  <c r="BH40" i="3"/>
  <c r="BF41" i="3"/>
  <c r="BG41" i="3" s="1"/>
  <c r="BD42" i="3"/>
  <c r="BE42" i="3" s="1"/>
  <c r="BA43" i="3"/>
  <c r="BB43" i="3" s="1"/>
  <c r="AZ44" i="3"/>
  <c r="AU47" i="3"/>
  <c r="AV47" i="3" s="1"/>
  <c r="AX45" i="3"/>
  <c r="AS48" i="3"/>
  <c r="AT48" i="3" s="1"/>
  <c r="AR49" i="3"/>
  <c r="CT27" i="3" l="1"/>
  <c r="CP25" i="3"/>
  <c r="CP24" i="3"/>
  <c r="AJ24" i="25"/>
  <c r="AK24" i="25" s="1"/>
  <c r="AJ25" i="25"/>
  <c r="CL26" i="3"/>
  <c r="CL28" i="3"/>
  <c r="CH29" i="3"/>
  <c r="CF33" i="3"/>
  <c r="CF30" i="3"/>
  <c r="CA31" i="3"/>
  <c r="CB31" i="3" s="1"/>
  <c r="BZ32" i="3"/>
  <c r="BV34" i="3"/>
  <c r="BW34" i="3" s="1"/>
  <c r="BT35" i="3"/>
  <c r="BR39" i="3"/>
  <c r="BR36" i="3"/>
  <c r="BP37" i="3"/>
  <c r="BN38" i="3"/>
  <c r="BO38" i="3" s="1"/>
  <c r="BJ40" i="3"/>
  <c r="BK40" i="3" s="1"/>
  <c r="BH41" i="3"/>
  <c r="BF42" i="3"/>
  <c r="BG42" i="3" s="1"/>
  <c r="BD43" i="3"/>
  <c r="BE43" i="3" s="1"/>
  <c r="BA44" i="3"/>
  <c r="BB44" i="3" s="1"/>
  <c r="AZ45" i="3"/>
  <c r="AU48" i="3"/>
  <c r="AV48" i="3" s="1"/>
  <c r="AX46" i="3"/>
  <c r="AS49" i="3"/>
  <c r="AT49" i="3" s="1"/>
  <c r="AR50" i="3"/>
  <c r="CT24" i="3" l="1"/>
  <c r="CT25" i="3"/>
  <c r="CN28" i="3"/>
  <c r="CO28" i="3" s="1"/>
  <c r="CN26" i="3"/>
  <c r="CO26" i="3" s="1"/>
  <c r="CJ29" i="3"/>
  <c r="CH30" i="3"/>
  <c r="CH33" i="3"/>
  <c r="CD31" i="3"/>
  <c r="CA32" i="3"/>
  <c r="CB32" i="3" s="1"/>
  <c r="BX34" i="3"/>
  <c r="BV35" i="3"/>
  <c r="BT36" i="3"/>
  <c r="BT39" i="3"/>
  <c r="BR37" i="3"/>
  <c r="BP38" i="3"/>
  <c r="BL40" i="3"/>
  <c r="BJ41" i="3"/>
  <c r="BK41" i="3" s="1"/>
  <c r="BH42" i="3"/>
  <c r="BF43" i="3"/>
  <c r="BG43" i="3" s="1"/>
  <c r="BD44" i="3"/>
  <c r="BE44" i="3" s="1"/>
  <c r="BB45" i="3"/>
  <c r="AZ46" i="3"/>
  <c r="AU49" i="3"/>
  <c r="AV49" i="3" s="1"/>
  <c r="AX47" i="3"/>
  <c r="AS50" i="3"/>
  <c r="AT50" i="3" s="1"/>
  <c r="AR51" i="3"/>
  <c r="CP26" i="3" l="1"/>
  <c r="CP28" i="3"/>
  <c r="AJ28" i="25"/>
  <c r="AJ26" i="25"/>
  <c r="CL29" i="3"/>
  <c r="CJ30" i="3"/>
  <c r="CJ33" i="3"/>
  <c r="CF31" i="3"/>
  <c r="CG31" i="3" s="1"/>
  <c r="CD32" i="3"/>
  <c r="BZ34" i="3"/>
  <c r="BX35" i="3"/>
  <c r="BV39" i="3"/>
  <c r="BV36" i="3"/>
  <c r="BT37" i="3"/>
  <c r="BU37" i="3" s="1"/>
  <c r="BR38" i="3"/>
  <c r="BN40" i="3"/>
  <c r="BO40" i="3" s="1"/>
  <c r="BL41" i="3"/>
  <c r="BJ42" i="3"/>
  <c r="BK42" i="3" s="1"/>
  <c r="BH43" i="3"/>
  <c r="BF44" i="3"/>
  <c r="BG44" i="3" s="1"/>
  <c r="BD45" i="3"/>
  <c r="BE45" i="3" s="1"/>
  <c r="BA46" i="3"/>
  <c r="BB46" i="3" s="1"/>
  <c r="AZ47" i="3"/>
  <c r="AU50" i="3"/>
  <c r="AV50" i="3" s="1"/>
  <c r="AW50" i="3" s="1"/>
  <c r="AX48" i="3"/>
  <c r="AS51" i="3"/>
  <c r="AT51" i="3" s="1"/>
  <c r="AR52" i="3"/>
  <c r="CT28" i="3" l="1"/>
  <c r="CT26" i="3"/>
  <c r="CN29" i="3"/>
  <c r="CO29" i="3" s="1"/>
  <c r="CL33" i="3"/>
  <c r="CL30" i="3"/>
  <c r="CH31" i="3"/>
  <c r="CI31" i="3" s="1"/>
  <c r="CF32" i="3"/>
  <c r="CG32" i="3" s="1"/>
  <c r="CA34" i="3"/>
  <c r="CB34" i="3" s="1"/>
  <c r="CD34" i="3" s="1"/>
  <c r="BZ35" i="3"/>
  <c r="BX36" i="3"/>
  <c r="BX39" i="3"/>
  <c r="BV37" i="3"/>
  <c r="BT38" i="3"/>
  <c r="BP40" i="3"/>
  <c r="BN41" i="3"/>
  <c r="BO41" i="3" s="1"/>
  <c r="BL42" i="3"/>
  <c r="BJ43" i="3"/>
  <c r="BK43" i="3" s="1"/>
  <c r="BH44" i="3"/>
  <c r="BF45" i="3"/>
  <c r="BG45" i="3" s="1"/>
  <c r="BD46" i="3"/>
  <c r="BE46" i="3" s="1"/>
  <c r="BB47" i="3"/>
  <c r="AZ48" i="3"/>
  <c r="AU51" i="3"/>
  <c r="AV51" i="3" s="1"/>
  <c r="AW51" i="3" s="1"/>
  <c r="AX49" i="3"/>
  <c r="AS52" i="3"/>
  <c r="AT52" i="3" s="1"/>
  <c r="AR53" i="3"/>
  <c r="CP29" i="3" l="1"/>
  <c r="AJ29" i="25"/>
  <c r="CN30" i="3"/>
  <c r="CO30" i="3" s="1"/>
  <c r="CN33" i="3"/>
  <c r="CO33" i="3" s="1"/>
  <c r="CJ31" i="3"/>
  <c r="CH32" i="3"/>
  <c r="CI32" i="3" s="1"/>
  <c r="CE34" i="3"/>
  <c r="CF34" i="3" s="1"/>
  <c r="CB35" i="3"/>
  <c r="CD35" i="3" s="1"/>
  <c r="BZ39" i="3"/>
  <c r="BZ36" i="3"/>
  <c r="BX37" i="3"/>
  <c r="BV38" i="3"/>
  <c r="BR40" i="3"/>
  <c r="BS40" i="3" s="1"/>
  <c r="BP41" i="3"/>
  <c r="BN42" i="3"/>
  <c r="BO42" i="3" s="1"/>
  <c r="BL43" i="3"/>
  <c r="BJ44" i="3"/>
  <c r="BH45" i="3"/>
  <c r="BF46" i="3"/>
  <c r="BG46" i="3" s="1"/>
  <c r="BD47" i="3"/>
  <c r="BE47" i="3" s="1"/>
  <c r="BB48" i="3"/>
  <c r="AZ49" i="3"/>
  <c r="AU52" i="3"/>
  <c r="AV52" i="3" s="1"/>
  <c r="AX50" i="3"/>
  <c r="AS53" i="3"/>
  <c r="AT53" i="3" s="1"/>
  <c r="AR54" i="3"/>
  <c r="CT29" i="3" l="1"/>
  <c r="AJ33" i="25"/>
  <c r="CP30" i="3"/>
  <c r="AJ30" i="25"/>
  <c r="CP33" i="3"/>
  <c r="CL31" i="3"/>
  <c r="CJ32" i="3"/>
  <c r="CH34" i="3"/>
  <c r="CF35" i="3"/>
  <c r="CB36" i="3"/>
  <c r="CB39" i="3"/>
  <c r="BZ37" i="3"/>
  <c r="CA37" i="3" s="1"/>
  <c r="BX38" i="3"/>
  <c r="BT40" i="3"/>
  <c r="BR41" i="3"/>
  <c r="BP42" i="3"/>
  <c r="BN43" i="3"/>
  <c r="BL44" i="3"/>
  <c r="BJ45" i="3"/>
  <c r="BK45" i="3" s="1"/>
  <c r="BH46" i="3"/>
  <c r="BF47" i="3"/>
  <c r="BG47" i="3" s="1"/>
  <c r="BD48" i="3"/>
  <c r="BB49" i="3"/>
  <c r="AZ50" i="3"/>
  <c r="AU53" i="3"/>
  <c r="AV53" i="3" s="1"/>
  <c r="AW53" i="3" s="1"/>
  <c r="AX51" i="3"/>
  <c r="AS54" i="3"/>
  <c r="AT54" i="3" s="1"/>
  <c r="AR55" i="3"/>
  <c r="CT33" i="3" l="1"/>
  <c r="CT30" i="3"/>
  <c r="CN31" i="3"/>
  <c r="CO31" i="3" s="1"/>
  <c r="CL32" i="3"/>
  <c r="CJ34" i="3"/>
  <c r="CH35" i="3"/>
  <c r="CD39" i="3"/>
  <c r="CD36" i="3"/>
  <c r="CB37" i="3"/>
  <c r="BZ38" i="3"/>
  <c r="BV40" i="3"/>
  <c r="BT41" i="3"/>
  <c r="BU41" i="3" s="1"/>
  <c r="BR42" i="3"/>
  <c r="BS42" i="3" s="1"/>
  <c r="BP43" i="3"/>
  <c r="BN44" i="3"/>
  <c r="BL45" i="3"/>
  <c r="BJ46" i="3"/>
  <c r="BH47" i="3"/>
  <c r="BF48" i="3"/>
  <c r="BD49" i="3"/>
  <c r="BE49" i="3" s="1"/>
  <c r="BA50" i="3"/>
  <c r="BB50" i="3" s="1"/>
  <c r="AZ51" i="3"/>
  <c r="AU54" i="3"/>
  <c r="AV54" i="3" s="1"/>
  <c r="AX52" i="3"/>
  <c r="AS55" i="3"/>
  <c r="AT55" i="3" s="1"/>
  <c r="AR56" i="3"/>
  <c r="CP31" i="3" l="1"/>
  <c r="AJ31" i="25"/>
  <c r="CM32" i="3"/>
  <c r="CN32" i="3" s="1"/>
  <c r="CO32" i="3" s="1"/>
  <c r="CL34" i="3"/>
  <c r="CJ35" i="3"/>
  <c r="CF36" i="3"/>
  <c r="CF39" i="3"/>
  <c r="CD37" i="3"/>
  <c r="CE37" i="3" s="1"/>
  <c r="CA38" i="3"/>
  <c r="CB38" i="3" s="1"/>
  <c r="CD38" i="3" s="1"/>
  <c r="BX40" i="3"/>
  <c r="BV41" i="3"/>
  <c r="BT42" i="3"/>
  <c r="BR43" i="3"/>
  <c r="BP44" i="3"/>
  <c r="BN45" i="3"/>
  <c r="BO45" i="3" s="1"/>
  <c r="BL46" i="3"/>
  <c r="BJ47" i="3"/>
  <c r="BK47" i="3" s="1"/>
  <c r="BH48" i="3"/>
  <c r="BF49" i="3"/>
  <c r="BG49" i="3" s="1"/>
  <c r="BD50" i="3"/>
  <c r="BE50" i="3" s="1"/>
  <c r="BA51" i="3"/>
  <c r="BB51" i="3" s="1"/>
  <c r="AZ52" i="3"/>
  <c r="AU55" i="3"/>
  <c r="AV55" i="3" s="1"/>
  <c r="AX53" i="3"/>
  <c r="AS56" i="3"/>
  <c r="AT56" i="3" s="1"/>
  <c r="AR57" i="3"/>
  <c r="CT31" i="3" l="1"/>
  <c r="CP32" i="3"/>
  <c r="AJ32" i="25"/>
  <c r="CN34" i="3"/>
  <c r="CO34" i="3" s="1"/>
  <c r="CL35" i="3"/>
  <c r="CH39" i="3"/>
  <c r="CH36" i="3"/>
  <c r="CF37" i="3"/>
  <c r="CG37" i="3" s="1"/>
  <c r="CF38" i="3"/>
  <c r="BZ40" i="3"/>
  <c r="BX41" i="3"/>
  <c r="BV42" i="3"/>
  <c r="BT43" i="3"/>
  <c r="BR44" i="3"/>
  <c r="BP45" i="3"/>
  <c r="BN46" i="3"/>
  <c r="BL47" i="3"/>
  <c r="BJ48" i="3"/>
  <c r="BH49" i="3"/>
  <c r="BF50" i="3"/>
  <c r="BG50" i="3" s="1"/>
  <c r="BD51" i="3"/>
  <c r="BE51" i="3" s="1"/>
  <c r="BB52" i="3"/>
  <c r="AZ53" i="3"/>
  <c r="AU56" i="3"/>
  <c r="AV56" i="3" s="1"/>
  <c r="AX54" i="3"/>
  <c r="AS57" i="3"/>
  <c r="AT57" i="3" s="1"/>
  <c r="AR58" i="3"/>
  <c r="CT32" i="3" l="1"/>
  <c r="CP34" i="3"/>
  <c r="AJ34" i="25"/>
  <c r="CN35" i="3"/>
  <c r="CO35" i="3" s="1"/>
  <c r="CJ36" i="3"/>
  <c r="CJ39" i="3"/>
  <c r="CH37" i="3"/>
  <c r="CI37" i="3" s="1"/>
  <c r="CH38" i="3"/>
  <c r="CA40" i="3"/>
  <c r="CB40" i="3" s="1"/>
  <c r="BZ41" i="3"/>
  <c r="BX42" i="3"/>
  <c r="BV43" i="3"/>
  <c r="BT44" i="3"/>
  <c r="BR45" i="3"/>
  <c r="BP46" i="3"/>
  <c r="BN47" i="3"/>
  <c r="BL48" i="3"/>
  <c r="BJ49" i="3"/>
  <c r="BK49" i="3" s="1"/>
  <c r="BH50" i="3"/>
  <c r="BF51" i="3"/>
  <c r="BG51" i="3" s="1"/>
  <c r="BD52" i="3"/>
  <c r="BE52" i="3" s="1"/>
  <c r="BA53" i="3"/>
  <c r="BB53" i="3" s="1"/>
  <c r="AZ54" i="3"/>
  <c r="AU57" i="3"/>
  <c r="AV57" i="3" s="1"/>
  <c r="AW57" i="3" s="1"/>
  <c r="AX55" i="3"/>
  <c r="AS58" i="3"/>
  <c r="AT58" i="3" s="1"/>
  <c r="AR59" i="3"/>
  <c r="CT34" i="3" l="1"/>
  <c r="CP35" i="3"/>
  <c r="AJ35" i="25"/>
  <c r="CL39" i="3"/>
  <c r="CL36" i="3"/>
  <c r="CJ38" i="3"/>
  <c r="CJ37" i="3"/>
  <c r="CD40" i="3"/>
  <c r="CA41" i="3"/>
  <c r="CB41" i="3" s="1"/>
  <c r="CD41" i="3" s="1"/>
  <c r="BZ42" i="3"/>
  <c r="BX43" i="3"/>
  <c r="BV44" i="3"/>
  <c r="BT45" i="3"/>
  <c r="BR46" i="3"/>
  <c r="BP47" i="3"/>
  <c r="BN48" i="3"/>
  <c r="BL49" i="3"/>
  <c r="BJ50" i="3"/>
  <c r="BK50" i="3" s="1"/>
  <c r="BH51" i="3"/>
  <c r="BF52" i="3"/>
  <c r="BG52" i="3" s="1"/>
  <c r="BD53" i="3"/>
  <c r="BE53" i="3" s="1"/>
  <c r="BB54" i="3"/>
  <c r="AZ55" i="3"/>
  <c r="AU58" i="3"/>
  <c r="AV58" i="3" s="1"/>
  <c r="AW58" i="3" s="1"/>
  <c r="AX56" i="3"/>
  <c r="AS59" i="3"/>
  <c r="AT59" i="3" s="1"/>
  <c r="AR60" i="3"/>
  <c r="CT35" i="3" l="1"/>
  <c r="CN36" i="3"/>
  <c r="CO36" i="3" s="1"/>
  <c r="CN39" i="3"/>
  <c r="CO39" i="3" s="1"/>
  <c r="CL38" i="3"/>
  <c r="CL37" i="3"/>
  <c r="CE41" i="3"/>
  <c r="CF41" i="3" s="1"/>
  <c r="CG41" i="3" s="1"/>
  <c r="CE40" i="3"/>
  <c r="CF40" i="3" s="1"/>
  <c r="CG40" i="3" s="1"/>
  <c r="CA42" i="3"/>
  <c r="CB42" i="3" s="1"/>
  <c r="CD42" i="3" s="1"/>
  <c r="BZ43" i="3"/>
  <c r="BX44" i="3"/>
  <c r="BV45" i="3"/>
  <c r="BT46" i="3"/>
  <c r="BR47" i="3"/>
  <c r="BP48" i="3"/>
  <c r="BN49" i="3"/>
  <c r="BO49" i="3" s="1"/>
  <c r="BL50" i="3"/>
  <c r="BJ51" i="3"/>
  <c r="BK51" i="3" s="1"/>
  <c r="BH52" i="3"/>
  <c r="BF53" i="3"/>
  <c r="BG53" i="3" s="1"/>
  <c r="BD54" i="3"/>
  <c r="BE54" i="3" s="1"/>
  <c r="BB55" i="3"/>
  <c r="AZ56" i="3"/>
  <c r="AU59" i="3"/>
  <c r="AV59" i="3" s="1"/>
  <c r="AX57" i="3"/>
  <c r="AS60" i="3"/>
  <c r="AT60" i="3" s="1"/>
  <c r="AR61" i="3"/>
  <c r="AJ39" i="25" l="1"/>
  <c r="AJ36" i="25"/>
  <c r="CP36" i="3"/>
  <c r="CN38" i="3"/>
  <c r="CO38" i="3" s="1"/>
  <c r="CN37" i="3"/>
  <c r="CO37" i="3" s="1"/>
  <c r="CP39" i="3"/>
  <c r="CH40" i="3"/>
  <c r="CI40" i="3" s="1"/>
  <c r="CH41" i="3"/>
  <c r="CI41" i="3" s="1"/>
  <c r="CE42" i="3"/>
  <c r="CF42" i="3" s="1"/>
  <c r="CG42" i="3" s="1"/>
  <c r="CB43" i="3"/>
  <c r="CD43" i="3" s="1"/>
  <c r="BZ44" i="3"/>
  <c r="BX45" i="3"/>
  <c r="BV46" i="3"/>
  <c r="BT47" i="3"/>
  <c r="BR48" i="3"/>
  <c r="BP49" i="3"/>
  <c r="BN50" i="3"/>
  <c r="BL51" i="3"/>
  <c r="BJ52" i="3"/>
  <c r="BK52" i="3" s="1"/>
  <c r="BH53" i="3"/>
  <c r="BF54" i="3"/>
  <c r="BG54" i="3" s="1"/>
  <c r="BD55" i="3"/>
  <c r="BE55" i="3" s="1"/>
  <c r="BB56" i="3"/>
  <c r="AZ57" i="3"/>
  <c r="AU60" i="3"/>
  <c r="AV60" i="3" s="1"/>
  <c r="AW60" i="3" s="1"/>
  <c r="AX58" i="3"/>
  <c r="AS61" i="3"/>
  <c r="AT61" i="3" s="1"/>
  <c r="AR62" i="3"/>
  <c r="CT39" i="3" l="1"/>
  <c r="CT36" i="3"/>
  <c r="CP37" i="3"/>
  <c r="CP38" i="3"/>
  <c r="AJ37" i="25"/>
  <c r="AJ38" i="25"/>
  <c r="CJ41" i="3"/>
  <c r="CJ40" i="3"/>
  <c r="CH42" i="3"/>
  <c r="CI42" i="3" s="1"/>
  <c r="CF43" i="3"/>
  <c r="CB44" i="3"/>
  <c r="CD44" i="3" s="1"/>
  <c r="BZ45" i="3"/>
  <c r="BX46" i="3"/>
  <c r="BV47" i="3"/>
  <c r="BT48" i="3"/>
  <c r="BR49" i="3"/>
  <c r="BS49" i="3" s="1"/>
  <c r="BP50" i="3"/>
  <c r="BN51" i="3"/>
  <c r="BL52" i="3"/>
  <c r="BJ53" i="3"/>
  <c r="BK53" i="3" s="1"/>
  <c r="BH54" i="3"/>
  <c r="BF55" i="3"/>
  <c r="BG55" i="3" s="1"/>
  <c r="BD56" i="3"/>
  <c r="BA57" i="3"/>
  <c r="BB57" i="3" s="1"/>
  <c r="AZ58" i="3"/>
  <c r="AU61" i="3"/>
  <c r="AV61" i="3" s="1"/>
  <c r="AX59" i="3"/>
  <c r="AS62" i="3"/>
  <c r="AT62" i="3" s="1"/>
  <c r="AR63" i="3"/>
  <c r="CT38" i="3" l="1"/>
  <c r="CT37" i="3"/>
  <c r="CL40" i="3"/>
  <c r="CL41" i="3"/>
  <c r="CJ42" i="3"/>
  <c r="CH43" i="3"/>
  <c r="CF44" i="3"/>
  <c r="CA45" i="3"/>
  <c r="CB45" i="3" s="1"/>
  <c r="BZ46" i="3"/>
  <c r="BX47" i="3"/>
  <c r="BV48" i="3"/>
  <c r="BT49" i="3"/>
  <c r="BR50" i="3"/>
  <c r="BP51" i="3"/>
  <c r="BN52" i="3"/>
  <c r="BO52" i="3" s="1"/>
  <c r="BL53" i="3"/>
  <c r="BJ54" i="3"/>
  <c r="BK54" i="3" s="1"/>
  <c r="BH55" i="3"/>
  <c r="BF56" i="3"/>
  <c r="BD57" i="3"/>
  <c r="BE57" i="3" s="1"/>
  <c r="BA58" i="3"/>
  <c r="BB58" i="3" s="1"/>
  <c r="AZ59" i="3"/>
  <c r="AU62" i="3"/>
  <c r="AV62" i="3" s="1"/>
  <c r="AX60" i="3"/>
  <c r="AS63" i="3"/>
  <c r="AT63" i="3" s="1"/>
  <c r="AR64" i="3"/>
  <c r="CN41" i="3" l="1"/>
  <c r="CO41" i="3" s="1"/>
  <c r="CN40" i="3"/>
  <c r="CO40" i="3" s="1"/>
  <c r="CL42" i="3"/>
  <c r="CJ43" i="3"/>
  <c r="CH44" i="3"/>
  <c r="CD45" i="3"/>
  <c r="CB46" i="3"/>
  <c r="CD46" i="3" s="1"/>
  <c r="BZ47" i="3"/>
  <c r="BX48" i="3"/>
  <c r="BV49" i="3"/>
  <c r="BT50" i="3"/>
  <c r="BR51" i="3"/>
  <c r="BP52" i="3"/>
  <c r="BN53" i="3"/>
  <c r="BL54" i="3"/>
  <c r="BJ55" i="3"/>
  <c r="BK55" i="3" s="1"/>
  <c r="BH56" i="3"/>
  <c r="BF57" i="3"/>
  <c r="BG57" i="3" s="1"/>
  <c r="BD58" i="3"/>
  <c r="BE58" i="3" s="1"/>
  <c r="BB59" i="3"/>
  <c r="AZ60" i="3"/>
  <c r="AU63" i="3"/>
  <c r="AV63" i="3" s="1"/>
  <c r="AX61" i="3"/>
  <c r="AS64" i="3"/>
  <c r="AT64" i="3" s="1"/>
  <c r="AR65" i="3"/>
  <c r="AT65" i="3" s="1"/>
  <c r="CP40" i="3" l="1"/>
  <c r="CP41" i="3"/>
  <c r="AJ41" i="25"/>
  <c r="AJ40" i="25"/>
  <c r="CN42" i="3"/>
  <c r="CO42" i="3" s="1"/>
  <c r="CL43" i="3"/>
  <c r="CJ44" i="3"/>
  <c r="CF46" i="3"/>
  <c r="CF45" i="3"/>
  <c r="CG45" i="3" s="1"/>
  <c r="CB47" i="3"/>
  <c r="BZ48" i="3"/>
  <c r="BX49" i="3"/>
  <c r="BV50" i="3"/>
  <c r="BW50" i="3" s="1"/>
  <c r="BT51" i="3"/>
  <c r="BU51" i="3" s="1"/>
  <c r="BR52" i="3"/>
  <c r="BP53" i="3"/>
  <c r="BN54" i="3"/>
  <c r="BO54" i="3" s="1"/>
  <c r="BL55" i="3"/>
  <c r="BJ56" i="3"/>
  <c r="BH57" i="3"/>
  <c r="BF58" i="3"/>
  <c r="BG58" i="3" s="1"/>
  <c r="BD59" i="3"/>
  <c r="BE59" i="3" s="1"/>
  <c r="BA60" i="3"/>
  <c r="BB60" i="3" s="1"/>
  <c r="AZ61" i="3"/>
  <c r="AV65" i="3"/>
  <c r="AX65" i="3" s="1"/>
  <c r="AU64" i="3"/>
  <c r="AV64" i="3" s="1"/>
  <c r="AW64" i="3" s="1"/>
  <c r="AX62" i="3"/>
  <c r="AR66" i="3"/>
  <c r="CT41" i="3" l="1"/>
  <c r="CT40" i="3"/>
  <c r="CP42" i="3"/>
  <c r="AJ42" i="25"/>
  <c r="CN43" i="3"/>
  <c r="CO43" i="3" s="1"/>
  <c r="CL44" i="3"/>
  <c r="CH45" i="3"/>
  <c r="CI45" i="3" s="1"/>
  <c r="CH46" i="3"/>
  <c r="CD47" i="3"/>
  <c r="CB48" i="3"/>
  <c r="CD48" i="3" s="1"/>
  <c r="BZ49" i="3"/>
  <c r="CA49" i="3" s="1"/>
  <c r="BX50" i="3"/>
  <c r="BV51" i="3"/>
  <c r="BT52" i="3"/>
  <c r="BR53" i="3"/>
  <c r="BP54" i="3"/>
  <c r="BN55" i="3"/>
  <c r="BO55" i="3" s="1"/>
  <c r="BL56" i="3"/>
  <c r="BJ57" i="3"/>
  <c r="BK57" i="3" s="1"/>
  <c r="BH58" i="3"/>
  <c r="BF59" i="3"/>
  <c r="BG59" i="3" s="1"/>
  <c r="BD60" i="3"/>
  <c r="BE60" i="3" s="1"/>
  <c r="BB61" i="3"/>
  <c r="AZ62" i="3"/>
  <c r="AZ65" i="3"/>
  <c r="AX63" i="3"/>
  <c r="AS66" i="3"/>
  <c r="AT66" i="3" s="1"/>
  <c r="AR67" i="3"/>
  <c r="CT42" i="3" l="1"/>
  <c r="CP43" i="3"/>
  <c r="AJ43" i="25"/>
  <c r="CN44" i="3"/>
  <c r="CO44" i="3" s="1"/>
  <c r="CJ46" i="3"/>
  <c r="CJ45" i="3"/>
  <c r="CF48" i="3"/>
  <c r="CF47" i="3"/>
  <c r="CB49" i="3"/>
  <c r="CD49" i="3" s="1"/>
  <c r="BZ50" i="3"/>
  <c r="BX51" i="3"/>
  <c r="BV52" i="3"/>
  <c r="BT53" i="3"/>
  <c r="BR54" i="3"/>
  <c r="BS54" i="3" s="1"/>
  <c r="BP55" i="3"/>
  <c r="BN56" i="3"/>
  <c r="BL57" i="3"/>
  <c r="BJ58" i="3"/>
  <c r="BK58" i="3" s="1"/>
  <c r="BH59" i="3"/>
  <c r="BF60" i="3"/>
  <c r="BG60" i="3" s="1"/>
  <c r="BD61" i="3"/>
  <c r="BB65" i="3"/>
  <c r="BB62" i="3"/>
  <c r="AZ63" i="3"/>
  <c r="AU66" i="3"/>
  <c r="AV66" i="3" s="1"/>
  <c r="AX64" i="3"/>
  <c r="AS67" i="3"/>
  <c r="AT67" i="3" s="1"/>
  <c r="AR68" i="3"/>
  <c r="CT43" i="3" l="1"/>
  <c r="CP44" i="3"/>
  <c r="AJ44" i="25"/>
  <c r="CL45" i="3"/>
  <c r="CL46" i="3"/>
  <c r="CH47" i="3"/>
  <c r="CH48" i="3"/>
  <c r="CF49" i="3"/>
  <c r="CA50" i="3"/>
  <c r="CB50" i="3" s="1"/>
  <c r="BZ51" i="3"/>
  <c r="BX52" i="3"/>
  <c r="BV53" i="3"/>
  <c r="BT54" i="3"/>
  <c r="BR55" i="3"/>
  <c r="BP56" i="3"/>
  <c r="BN57" i="3"/>
  <c r="BL58" i="3"/>
  <c r="BJ59" i="3"/>
  <c r="BK59" i="3" s="1"/>
  <c r="BH60" i="3"/>
  <c r="BF61" i="3"/>
  <c r="BD62" i="3"/>
  <c r="BE62" i="3" s="1"/>
  <c r="BD65" i="3"/>
  <c r="BB63" i="3"/>
  <c r="AZ64" i="3"/>
  <c r="AU67" i="3"/>
  <c r="AV67" i="3" s="1"/>
  <c r="AW67" i="3" s="1"/>
  <c r="AS68" i="3"/>
  <c r="AT68" i="3" s="1"/>
  <c r="AR69" i="3"/>
  <c r="CT44" i="3" l="1"/>
  <c r="CN45" i="3"/>
  <c r="CO45" i="3" s="1"/>
  <c r="CN46" i="3"/>
  <c r="CO46" i="3" s="1"/>
  <c r="CJ48" i="3"/>
  <c r="CJ47" i="3"/>
  <c r="CH49" i="3"/>
  <c r="CD50" i="3"/>
  <c r="CA51" i="3"/>
  <c r="CB51" i="3" s="1"/>
  <c r="CD51" i="3" s="1"/>
  <c r="BZ52" i="3"/>
  <c r="BX53" i="3"/>
  <c r="BV54" i="3"/>
  <c r="BT55" i="3"/>
  <c r="BU55" i="3" s="1"/>
  <c r="BR56" i="3"/>
  <c r="BP57" i="3"/>
  <c r="BN58" i="3"/>
  <c r="BL59" i="3"/>
  <c r="BJ60" i="3"/>
  <c r="BK60" i="3" s="1"/>
  <c r="BH61" i="3"/>
  <c r="BF65" i="3"/>
  <c r="BF62" i="3"/>
  <c r="BG62" i="3" s="1"/>
  <c r="BD63" i="3"/>
  <c r="BE63" i="3" s="1"/>
  <c r="BA64" i="3"/>
  <c r="BB64" i="3" s="1"/>
  <c r="AU68" i="3"/>
  <c r="AV68" i="3" s="1"/>
  <c r="AX66" i="3"/>
  <c r="AS69" i="3"/>
  <c r="AT69" i="3" s="1"/>
  <c r="AR70" i="3"/>
  <c r="AJ46" i="25" l="1"/>
  <c r="AJ45" i="25"/>
  <c r="CP45" i="3"/>
  <c r="CP46" i="3"/>
  <c r="CL47" i="3"/>
  <c r="CL48" i="3"/>
  <c r="CJ49" i="3"/>
  <c r="CF51" i="3"/>
  <c r="CF50" i="3"/>
  <c r="CB52" i="3"/>
  <c r="CD52" i="3" s="1"/>
  <c r="BZ53" i="3"/>
  <c r="BX54" i="3"/>
  <c r="BV55" i="3"/>
  <c r="BW55" i="3" s="1"/>
  <c r="BT56" i="3"/>
  <c r="BR57" i="3"/>
  <c r="BP58" i="3"/>
  <c r="BN59" i="3"/>
  <c r="BO59" i="3" s="1"/>
  <c r="BL60" i="3"/>
  <c r="BJ61" i="3"/>
  <c r="BH62" i="3"/>
  <c r="BH65" i="3"/>
  <c r="BF63" i="3"/>
  <c r="BG63" i="3" s="1"/>
  <c r="BD64" i="3"/>
  <c r="BE64" i="3" s="1"/>
  <c r="AZ66" i="3"/>
  <c r="AU69" i="3"/>
  <c r="AV69" i="3" s="1"/>
  <c r="AX67" i="3"/>
  <c r="AS70" i="3"/>
  <c r="AT70" i="3" s="1"/>
  <c r="AR71" i="3"/>
  <c r="CT46" i="3" l="1"/>
  <c r="CT45" i="3"/>
  <c r="CN48" i="3"/>
  <c r="CO48" i="3" s="1"/>
  <c r="CN47" i="3"/>
  <c r="CO47" i="3" s="1"/>
  <c r="CL49" i="3"/>
  <c r="CH50" i="3"/>
  <c r="CH51" i="3"/>
  <c r="CF52" i="3"/>
  <c r="CB53" i="3"/>
  <c r="BZ54" i="3"/>
  <c r="BX55" i="3"/>
  <c r="BV56" i="3"/>
  <c r="BT57" i="3"/>
  <c r="BR58" i="3"/>
  <c r="BP59" i="3"/>
  <c r="BN60" i="3"/>
  <c r="BL61" i="3"/>
  <c r="BJ65" i="3"/>
  <c r="BJ62" i="3"/>
  <c r="BK62" i="3" s="1"/>
  <c r="BH63" i="3"/>
  <c r="BF64" i="3"/>
  <c r="BG64" i="3" s="1"/>
  <c r="BB66" i="3"/>
  <c r="AZ67" i="3"/>
  <c r="AU70" i="3"/>
  <c r="AV70" i="3" s="1"/>
  <c r="AX68" i="3"/>
  <c r="AS71" i="3"/>
  <c r="AT71" i="3" s="1"/>
  <c r="AR72" i="3"/>
  <c r="CP47" i="3" l="1"/>
  <c r="CP48" i="3"/>
  <c r="AJ48" i="25"/>
  <c r="AJ47" i="25"/>
  <c r="CN49" i="3"/>
  <c r="CO49" i="3" s="1"/>
  <c r="CJ51" i="3"/>
  <c r="CJ50" i="3"/>
  <c r="CH52" i="3"/>
  <c r="CD53" i="3"/>
  <c r="CA54" i="3"/>
  <c r="CB54" i="3" s="1"/>
  <c r="BZ55" i="3"/>
  <c r="BX56" i="3"/>
  <c r="BV57" i="3"/>
  <c r="BW57" i="3" s="1"/>
  <c r="BT58" i="3"/>
  <c r="BU58" i="3" s="1"/>
  <c r="BR59" i="3"/>
  <c r="BP60" i="3"/>
  <c r="BN61" i="3"/>
  <c r="BL62" i="3"/>
  <c r="BL65" i="3"/>
  <c r="BJ63" i="3"/>
  <c r="BK63" i="3" s="1"/>
  <c r="BH64" i="3"/>
  <c r="BD66" i="3"/>
  <c r="BE66" i="3" s="1"/>
  <c r="BA67" i="3"/>
  <c r="BB67" i="3" s="1"/>
  <c r="AZ68" i="3"/>
  <c r="AU71" i="3"/>
  <c r="AV71" i="3" s="1"/>
  <c r="AW71" i="3" s="1"/>
  <c r="AX69" i="3"/>
  <c r="AS72" i="3"/>
  <c r="AT72" i="3" s="1"/>
  <c r="AR73" i="3"/>
  <c r="CT48" i="3" l="1"/>
  <c r="CT47" i="3"/>
  <c r="CP49" i="3"/>
  <c r="AJ49" i="25"/>
  <c r="CL50" i="3"/>
  <c r="CL51" i="3"/>
  <c r="CJ52" i="3"/>
  <c r="CF53" i="3"/>
  <c r="CD54" i="3"/>
  <c r="CA55" i="3"/>
  <c r="CB55" i="3" s="1"/>
  <c r="BZ56" i="3"/>
  <c r="BX57" i="3"/>
  <c r="BV58" i="3"/>
  <c r="BT59" i="3"/>
  <c r="BR60" i="3"/>
  <c r="BP61" i="3"/>
  <c r="BN62" i="3"/>
  <c r="BO62" i="3" s="1"/>
  <c r="BN65" i="3"/>
  <c r="BL63" i="3"/>
  <c r="BJ64" i="3"/>
  <c r="BK64" i="3" s="1"/>
  <c r="BF66" i="3"/>
  <c r="BG66" i="3" s="1"/>
  <c r="BD67" i="3"/>
  <c r="BE67" i="3" s="1"/>
  <c r="BB68" i="3"/>
  <c r="AZ69" i="3"/>
  <c r="AU72" i="3"/>
  <c r="AV72" i="3" s="1"/>
  <c r="AW72" i="3" s="1"/>
  <c r="AX70" i="3"/>
  <c r="AS73" i="3"/>
  <c r="AT73" i="3" s="1"/>
  <c r="AR74" i="3"/>
  <c r="CT49" i="3" l="1"/>
  <c r="CN51" i="3"/>
  <c r="CO51" i="3" s="1"/>
  <c r="CN50" i="3"/>
  <c r="CO50" i="3" s="1"/>
  <c r="CL52" i="3"/>
  <c r="CH53" i="3"/>
  <c r="CE54" i="3"/>
  <c r="CF54" i="3" s="1"/>
  <c r="CG54" i="3" s="1"/>
  <c r="CD55" i="3"/>
  <c r="CB56" i="3"/>
  <c r="CD56" i="3" s="1"/>
  <c r="BZ57" i="3"/>
  <c r="BX58" i="3"/>
  <c r="BV59" i="3"/>
  <c r="BT60" i="3"/>
  <c r="BU60" i="3" s="1"/>
  <c r="BR61" i="3"/>
  <c r="BP65" i="3"/>
  <c r="BP62" i="3"/>
  <c r="BN63" i="3"/>
  <c r="BO63" i="3" s="1"/>
  <c r="BL64" i="3"/>
  <c r="BH66" i="3"/>
  <c r="BF67" i="3"/>
  <c r="BG67" i="3" s="1"/>
  <c r="BD68" i="3"/>
  <c r="BE68" i="3" s="1"/>
  <c r="BB69" i="3"/>
  <c r="AZ70" i="3"/>
  <c r="AU73" i="3"/>
  <c r="AV73" i="3" s="1"/>
  <c r="AX71" i="3"/>
  <c r="AS74" i="3"/>
  <c r="AT74" i="3" s="1"/>
  <c r="AR75" i="3"/>
  <c r="CP50" i="3" l="1"/>
  <c r="CP51" i="3"/>
  <c r="AJ50" i="25"/>
  <c r="AJ51" i="25"/>
  <c r="CN52" i="3"/>
  <c r="CO52" i="3" s="1"/>
  <c r="CJ53" i="3"/>
  <c r="CH54" i="3"/>
  <c r="CI54" i="3" s="1"/>
  <c r="CF56" i="3"/>
  <c r="CE55" i="3"/>
  <c r="CF55" i="3" s="1"/>
  <c r="CG55" i="3" s="1"/>
  <c r="CA57" i="3"/>
  <c r="CB57" i="3" s="1"/>
  <c r="BZ58" i="3"/>
  <c r="BX59" i="3"/>
  <c r="BV60" i="3"/>
  <c r="BT61" i="3"/>
  <c r="BR62" i="3"/>
  <c r="BR65" i="3"/>
  <c r="BP63" i="3"/>
  <c r="BN64" i="3"/>
  <c r="BJ66" i="3"/>
  <c r="BK66" i="3" s="1"/>
  <c r="BH67" i="3"/>
  <c r="BF68" i="3"/>
  <c r="BG68" i="3" s="1"/>
  <c r="BD69" i="3"/>
  <c r="BE69" i="3" s="1"/>
  <c r="BB70" i="3"/>
  <c r="AZ71" i="3"/>
  <c r="AU74" i="3"/>
  <c r="AV74" i="3" s="1"/>
  <c r="AW74" i="3" s="1"/>
  <c r="AX72" i="3"/>
  <c r="AS75" i="3"/>
  <c r="AT75" i="3" s="1"/>
  <c r="AR76" i="3"/>
  <c r="CT51" i="3" l="1"/>
  <c r="CT50" i="3"/>
  <c r="CP52" i="3"/>
  <c r="AJ52" i="25"/>
  <c r="CL53" i="3"/>
  <c r="CJ54" i="3"/>
  <c r="CH55" i="3"/>
  <c r="CI55" i="3" s="1"/>
  <c r="CH56" i="3"/>
  <c r="CD57" i="3"/>
  <c r="CA58" i="3"/>
  <c r="CB58" i="3" s="1"/>
  <c r="BZ59" i="3"/>
  <c r="BX60" i="3"/>
  <c r="BV61" i="3"/>
  <c r="BT65" i="3"/>
  <c r="BT62" i="3"/>
  <c r="BU62" i="3" s="1"/>
  <c r="BR63" i="3"/>
  <c r="BS63" i="3" s="1"/>
  <c r="BP64" i="3"/>
  <c r="BL66" i="3"/>
  <c r="BJ67" i="3"/>
  <c r="BK67" i="3" s="1"/>
  <c r="BH68" i="3"/>
  <c r="BF69" i="3"/>
  <c r="BG69" i="3" s="1"/>
  <c r="BD70" i="3"/>
  <c r="BE70" i="3" s="1"/>
  <c r="BA71" i="3"/>
  <c r="BB71" i="3" s="1"/>
  <c r="AZ72" i="3"/>
  <c r="AU75" i="3"/>
  <c r="AV75" i="3" s="1"/>
  <c r="AX73" i="3"/>
  <c r="AS76" i="3"/>
  <c r="AT76" i="3" s="1"/>
  <c r="AR77" i="3"/>
  <c r="CT52" i="3" l="1"/>
  <c r="CN53" i="3"/>
  <c r="CO53" i="3" s="1"/>
  <c r="CL54" i="3"/>
  <c r="CJ56" i="3"/>
  <c r="CJ55" i="3"/>
  <c r="CF57" i="3"/>
  <c r="CG57" i="3" s="1"/>
  <c r="CD58" i="3"/>
  <c r="CE58" i="3" s="1"/>
  <c r="CA59" i="3"/>
  <c r="CB59" i="3" s="1"/>
  <c r="CD59" i="3" s="1"/>
  <c r="BZ60" i="3"/>
  <c r="BX61" i="3"/>
  <c r="BV62" i="3"/>
  <c r="BW62" i="3" s="1"/>
  <c r="BV65" i="3"/>
  <c r="BT63" i="3"/>
  <c r="BR64" i="3"/>
  <c r="BN66" i="3"/>
  <c r="BO66" i="3" s="1"/>
  <c r="BL67" i="3"/>
  <c r="BJ68" i="3"/>
  <c r="BK68" i="3" s="1"/>
  <c r="BH69" i="3"/>
  <c r="BF70" i="3"/>
  <c r="BG70" i="3" s="1"/>
  <c r="BD71" i="3"/>
  <c r="BE71" i="3" s="1"/>
  <c r="BA72" i="3"/>
  <c r="BB72" i="3" s="1"/>
  <c r="AZ73" i="3"/>
  <c r="AU76" i="3"/>
  <c r="AV76" i="3" s="1"/>
  <c r="AX74" i="3"/>
  <c r="AS77" i="3"/>
  <c r="AT77" i="3" s="1"/>
  <c r="AR78" i="3"/>
  <c r="AS78" i="3" s="1"/>
  <c r="CP53" i="3" l="1"/>
  <c r="AJ53" i="25"/>
  <c r="CN54" i="3"/>
  <c r="CO54" i="3" s="1"/>
  <c r="CL55" i="3"/>
  <c r="CL56" i="3"/>
  <c r="CH57" i="3"/>
  <c r="CI57" i="3" s="1"/>
  <c r="CF59" i="3"/>
  <c r="CF58" i="3"/>
  <c r="CG58" i="3" s="1"/>
  <c r="CB60" i="3"/>
  <c r="CD60" i="3" s="1"/>
  <c r="BZ61" i="3"/>
  <c r="BX65" i="3"/>
  <c r="BX62" i="3"/>
  <c r="BV63" i="3"/>
  <c r="BT64" i="3"/>
  <c r="BP66" i="3"/>
  <c r="BN67" i="3"/>
  <c r="BL68" i="3"/>
  <c r="BJ69" i="3"/>
  <c r="BK69" i="3" s="1"/>
  <c r="BH70" i="3"/>
  <c r="BF71" i="3"/>
  <c r="BG71" i="3" s="1"/>
  <c r="BD72" i="3"/>
  <c r="BE72" i="3" s="1"/>
  <c r="BB73" i="3"/>
  <c r="AZ74" i="3"/>
  <c r="AU77" i="3"/>
  <c r="AV77" i="3" s="1"/>
  <c r="AX75" i="3"/>
  <c r="AT78" i="3"/>
  <c r="AR79" i="3"/>
  <c r="CT53" i="3" l="1"/>
  <c r="CP54" i="3"/>
  <c r="AJ54" i="25"/>
  <c r="CN56" i="3"/>
  <c r="CO56" i="3" s="1"/>
  <c r="CN55" i="3"/>
  <c r="CO55" i="3" s="1"/>
  <c r="CJ57" i="3"/>
  <c r="CH58" i="3"/>
  <c r="CI58" i="3" s="1"/>
  <c r="CH59" i="3"/>
  <c r="CF60" i="3"/>
  <c r="CB61" i="3"/>
  <c r="CD61" i="3" s="1"/>
  <c r="BZ65" i="3"/>
  <c r="BZ62" i="3"/>
  <c r="BX63" i="3"/>
  <c r="BV64" i="3"/>
  <c r="BR66" i="3"/>
  <c r="BP67" i="3"/>
  <c r="BN68" i="3"/>
  <c r="BO68" i="3" s="1"/>
  <c r="BL69" i="3"/>
  <c r="BJ70" i="3"/>
  <c r="BK70" i="3" s="1"/>
  <c r="BH71" i="3"/>
  <c r="BF72" i="3"/>
  <c r="BG72" i="3" s="1"/>
  <c r="BD73" i="3"/>
  <c r="BE73" i="3" s="1"/>
  <c r="BA74" i="3"/>
  <c r="BB74" i="3" s="1"/>
  <c r="AZ75" i="3"/>
  <c r="AU78" i="3"/>
  <c r="AV78" i="3" s="1"/>
  <c r="AW78" i="3" s="1"/>
  <c r="AX76" i="3"/>
  <c r="AS79" i="3"/>
  <c r="AT79" i="3" s="1"/>
  <c r="AR80" i="3"/>
  <c r="CT54" i="3" l="1"/>
  <c r="CP55" i="3"/>
  <c r="CP56" i="3"/>
  <c r="AJ56" i="25"/>
  <c r="AJ55" i="25"/>
  <c r="CL57" i="3"/>
  <c r="CJ59" i="3"/>
  <c r="CJ58" i="3"/>
  <c r="CH60" i="3"/>
  <c r="CF61" i="3"/>
  <c r="CA62" i="3"/>
  <c r="CB62" i="3" s="1"/>
  <c r="CD62" i="3" s="1"/>
  <c r="CE62" i="3" s="1"/>
  <c r="CB65" i="3"/>
  <c r="CD65" i="3" s="1"/>
  <c r="BZ63" i="3"/>
  <c r="BX64" i="3"/>
  <c r="BT66" i="3"/>
  <c r="BR67" i="3"/>
  <c r="BP68" i="3"/>
  <c r="BN69" i="3"/>
  <c r="BO69" i="3" s="1"/>
  <c r="BL70" i="3"/>
  <c r="BJ71" i="3"/>
  <c r="BK71" i="3" s="1"/>
  <c r="BH72" i="3"/>
  <c r="BF73" i="3"/>
  <c r="BG73" i="3" s="1"/>
  <c r="BD74" i="3"/>
  <c r="BE74" i="3" s="1"/>
  <c r="BB75" i="3"/>
  <c r="AZ76" i="3"/>
  <c r="AU79" i="3"/>
  <c r="AV79" i="3" s="1"/>
  <c r="AW79" i="3" s="1"/>
  <c r="AX77" i="3"/>
  <c r="AS80" i="3"/>
  <c r="AT80" i="3" s="1"/>
  <c r="AR81" i="3"/>
  <c r="CT56" i="3" l="1"/>
  <c r="CT55" i="3"/>
  <c r="CN57" i="3"/>
  <c r="CO57" i="3" s="1"/>
  <c r="CL58" i="3"/>
  <c r="CL59" i="3"/>
  <c r="CJ60" i="3"/>
  <c r="CH61" i="3"/>
  <c r="CF65" i="3"/>
  <c r="CF62" i="3"/>
  <c r="CG62" i="3" s="1"/>
  <c r="CA63" i="3"/>
  <c r="CB63" i="3" s="1"/>
  <c r="CD63" i="3" s="1"/>
  <c r="BZ64" i="3"/>
  <c r="BV66" i="3"/>
  <c r="BT67" i="3"/>
  <c r="BU67" i="3" s="1"/>
  <c r="BR68" i="3"/>
  <c r="BS68" i="3" s="1"/>
  <c r="BP69" i="3"/>
  <c r="BN70" i="3"/>
  <c r="BO70" i="3" s="1"/>
  <c r="BL71" i="3"/>
  <c r="BJ72" i="3"/>
  <c r="BK72" i="3" s="1"/>
  <c r="BH73" i="3"/>
  <c r="BF74" i="3"/>
  <c r="BG74" i="3" s="1"/>
  <c r="BD75" i="3"/>
  <c r="BE75" i="3" s="1"/>
  <c r="BB76" i="3"/>
  <c r="AZ77" i="3"/>
  <c r="AU80" i="3"/>
  <c r="AV80" i="3" s="1"/>
  <c r="AX78" i="3"/>
  <c r="AS81" i="3"/>
  <c r="AT81" i="3" s="1"/>
  <c r="AR82" i="3"/>
  <c r="CP57" i="3" l="1"/>
  <c r="AJ57" i="25"/>
  <c r="CN59" i="3"/>
  <c r="CO59" i="3" s="1"/>
  <c r="CN58" i="3"/>
  <c r="CO58" i="3" s="1"/>
  <c r="CL60" i="3"/>
  <c r="CJ61" i="3"/>
  <c r="CH62" i="3"/>
  <c r="CI62" i="3" s="1"/>
  <c r="CH65" i="3"/>
  <c r="CE63" i="3"/>
  <c r="CF63" i="3" s="1"/>
  <c r="CG63" i="3" s="1"/>
  <c r="CB64" i="3"/>
  <c r="CD64" i="3" s="1"/>
  <c r="BX66" i="3"/>
  <c r="BV67" i="3"/>
  <c r="BW67" i="3" s="1"/>
  <c r="BT68" i="3"/>
  <c r="BR69" i="3"/>
  <c r="BP70" i="3"/>
  <c r="BN71" i="3"/>
  <c r="BL72" i="3"/>
  <c r="BJ73" i="3"/>
  <c r="BK73" i="3" s="1"/>
  <c r="BH74" i="3"/>
  <c r="BF75" i="3"/>
  <c r="BG75" i="3" s="1"/>
  <c r="BD76" i="3"/>
  <c r="BE76" i="3" s="1"/>
  <c r="BB77" i="3"/>
  <c r="AZ78" i="3"/>
  <c r="AU81" i="3"/>
  <c r="AV81" i="3" s="1"/>
  <c r="AW81" i="3" s="1"/>
  <c r="AX79" i="3"/>
  <c r="AS82" i="3"/>
  <c r="AT82" i="3" s="1"/>
  <c r="AR83" i="3"/>
  <c r="CT57" i="3" l="1"/>
  <c r="CP58" i="3"/>
  <c r="CP59" i="3"/>
  <c r="AJ59" i="25"/>
  <c r="AJ58" i="25"/>
  <c r="CN60" i="3"/>
  <c r="CO60" i="3" s="1"/>
  <c r="CL61" i="3"/>
  <c r="CJ65" i="3"/>
  <c r="CJ62" i="3"/>
  <c r="CH63" i="3"/>
  <c r="CI63" i="3" s="1"/>
  <c r="CF64" i="3"/>
  <c r="BZ66" i="3"/>
  <c r="BX67" i="3"/>
  <c r="BV68" i="3"/>
  <c r="BT69" i="3"/>
  <c r="BU69" i="3" s="1"/>
  <c r="BR70" i="3"/>
  <c r="BP71" i="3"/>
  <c r="BN72" i="3"/>
  <c r="BL73" i="3"/>
  <c r="BJ74" i="3"/>
  <c r="BK74" i="3" s="1"/>
  <c r="BH75" i="3"/>
  <c r="BF76" i="3"/>
  <c r="BG76" i="3" s="1"/>
  <c r="BD77" i="3"/>
  <c r="BE77" i="3" s="1"/>
  <c r="BB78" i="3"/>
  <c r="AZ79" i="3"/>
  <c r="AU82" i="3"/>
  <c r="AV82" i="3" s="1"/>
  <c r="AX80" i="3"/>
  <c r="AS83" i="3"/>
  <c r="AT83" i="3" s="1"/>
  <c r="AR84" i="3"/>
  <c r="CT59" i="3" l="1"/>
  <c r="CT58" i="3"/>
  <c r="CP60" i="3"/>
  <c r="AJ60" i="25"/>
  <c r="CN61" i="3"/>
  <c r="CO61" i="3" s="1"/>
  <c r="CL62" i="3"/>
  <c r="CL65" i="3"/>
  <c r="CJ63" i="3"/>
  <c r="CH64" i="3"/>
  <c r="CB66" i="3"/>
  <c r="CD66" i="3" s="1"/>
  <c r="BZ67" i="3"/>
  <c r="BX68" i="3"/>
  <c r="BV69" i="3"/>
  <c r="BW69" i="3" s="1"/>
  <c r="BT70" i="3"/>
  <c r="BR71" i="3"/>
  <c r="BP72" i="3"/>
  <c r="BN73" i="3"/>
  <c r="BO73" i="3" s="1"/>
  <c r="BL74" i="3"/>
  <c r="BJ75" i="3"/>
  <c r="BK75" i="3" s="1"/>
  <c r="BH76" i="3"/>
  <c r="BF77" i="3"/>
  <c r="BG77" i="3" s="1"/>
  <c r="BD78" i="3"/>
  <c r="BA79" i="3"/>
  <c r="BB79" i="3" s="1"/>
  <c r="AZ80" i="3"/>
  <c r="AU83" i="3"/>
  <c r="AV83" i="3" s="1"/>
  <c r="AX81" i="3"/>
  <c r="AS84" i="3"/>
  <c r="AT84" i="3" s="1"/>
  <c r="AR85" i="3"/>
  <c r="CT60" i="3" l="1"/>
  <c r="CP61" i="3"/>
  <c r="AJ61" i="25"/>
  <c r="CN65" i="3"/>
  <c r="CO65" i="3" s="1"/>
  <c r="CN62" i="3"/>
  <c r="CO62" i="3" s="1"/>
  <c r="CL63" i="3"/>
  <c r="CJ64" i="3"/>
  <c r="CF66" i="3"/>
  <c r="CA67" i="3"/>
  <c r="CB67" i="3" s="1"/>
  <c r="CD67" i="3" s="1"/>
  <c r="BZ68" i="3"/>
  <c r="BX69" i="3"/>
  <c r="BV70" i="3"/>
  <c r="BT71" i="3"/>
  <c r="BR72" i="3"/>
  <c r="BP73" i="3"/>
  <c r="BN74" i="3"/>
  <c r="BL75" i="3"/>
  <c r="BJ76" i="3"/>
  <c r="BK76" i="3" s="1"/>
  <c r="BH77" i="3"/>
  <c r="BF78" i="3"/>
  <c r="BD79" i="3"/>
  <c r="BE79" i="3" s="1"/>
  <c r="BB80" i="3"/>
  <c r="AZ81" i="3"/>
  <c r="AU84" i="3"/>
  <c r="AV84" i="3" s="1"/>
  <c r="AX82" i="3"/>
  <c r="AS85" i="3"/>
  <c r="AT85" i="3" s="1"/>
  <c r="AR86" i="3"/>
  <c r="CT61" i="3" l="1"/>
  <c r="AJ62" i="25"/>
  <c r="CP65" i="3"/>
  <c r="AJ65" i="25"/>
  <c r="CP62" i="3"/>
  <c r="CN63" i="3"/>
  <c r="CO63" i="3" s="1"/>
  <c r="CL64" i="3"/>
  <c r="CH66" i="3"/>
  <c r="CF67" i="3"/>
  <c r="CG67" i="3" s="1"/>
  <c r="CA68" i="3"/>
  <c r="CB68" i="3" s="1"/>
  <c r="CD68" i="3" s="1"/>
  <c r="BZ69" i="3"/>
  <c r="BX70" i="3"/>
  <c r="BV71" i="3"/>
  <c r="BW71" i="3" s="1"/>
  <c r="BT72" i="3"/>
  <c r="BR73" i="3"/>
  <c r="BP74" i="3"/>
  <c r="BN75" i="3"/>
  <c r="BO75" i="3" s="1"/>
  <c r="BL76" i="3"/>
  <c r="BJ77" i="3"/>
  <c r="BK77" i="3" s="1"/>
  <c r="BH78" i="3"/>
  <c r="BF79" i="3"/>
  <c r="BG79" i="3" s="1"/>
  <c r="BD80" i="3"/>
  <c r="BE80" i="3" s="1"/>
  <c r="BA81" i="3"/>
  <c r="BB81" i="3" s="1"/>
  <c r="AZ82" i="3"/>
  <c r="AU85" i="3"/>
  <c r="AV85" i="3" s="1"/>
  <c r="AW85" i="3" s="1"/>
  <c r="AX83" i="3"/>
  <c r="AS86" i="3"/>
  <c r="AT86" i="3" s="1"/>
  <c r="AR87" i="3"/>
  <c r="CT62" i="3" l="1"/>
  <c r="CT65" i="3"/>
  <c r="CP63" i="3"/>
  <c r="AJ63" i="25"/>
  <c r="CN64" i="3"/>
  <c r="CO64" i="3" s="1"/>
  <c r="CJ66" i="3"/>
  <c r="CH67" i="3"/>
  <c r="CI67" i="3" s="1"/>
  <c r="CF68" i="3"/>
  <c r="CA69" i="3"/>
  <c r="CB69" i="3" s="1"/>
  <c r="BZ70" i="3"/>
  <c r="BX71" i="3"/>
  <c r="BV72" i="3"/>
  <c r="BT73" i="3"/>
  <c r="BR74" i="3"/>
  <c r="BP75" i="3"/>
  <c r="BN76" i="3"/>
  <c r="BO76" i="3" s="1"/>
  <c r="BL77" i="3"/>
  <c r="BJ78" i="3"/>
  <c r="BH79" i="3"/>
  <c r="BF80" i="3"/>
  <c r="BG80" i="3" s="1"/>
  <c r="BD81" i="3"/>
  <c r="BE81" i="3" s="1"/>
  <c r="BB82" i="3"/>
  <c r="AZ83" i="3"/>
  <c r="AU86" i="3"/>
  <c r="AV86" i="3" s="1"/>
  <c r="AW86" i="3" s="1"/>
  <c r="AX84" i="3"/>
  <c r="AS87" i="3"/>
  <c r="AT87" i="3" s="1"/>
  <c r="AR88" i="3"/>
  <c r="CT63" i="3" l="1"/>
  <c r="AJ64" i="25"/>
  <c r="CP64" i="3"/>
  <c r="CL66" i="3"/>
  <c r="CJ67" i="3"/>
  <c r="CH68" i="3"/>
  <c r="CD69" i="3"/>
  <c r="CB70" i="3"/>
  <c r="CD70" i="3" s="1"/>
  <c r="BZ71" i="3"/>
  <c r="BX72" i="3"/>
  <c r="BV73" i="3"/>
  <c r="BT74" i="3"/>
  <c r="BU74" i="3" s="1"/>
  <c r="BR75" i="3"/>
  <c r="BP76" i="3"/>
  <c r="BN77" i="3"/>
  <c r="BO77" i="3" s="1"/>
  <c r="BL78" i="3"/>
  <c r="BJ79" i="3"/>
  <c r="BK79" i="3" s="1"/>
  <c r="BH80" i="3"/>
  <c r="BF81" i="3"/>
  <c r="BG81" i="3" s="1"/>
  <c r="BD82" i="3"/>
  <c r="BB83" i="3"/>
  <c r="AZ84" i="3"/>
  <c r="AU87" i="3"/>
  <c r="AV87" i="3" s="1"/>
  <c r="AX85" i="3"/>
  <c r="AS88" i="3"/>
  <c r="AT88" i="3" s="1"/>
  <c r="AR89" i="3"/>
  <c r="CT64" i="3" l="1"/>
  <c r="CN66" i="3"/>
  <c r="CO66" i="3" s="1"/>
  <c r="CL67" i="3"/>
  <c r="CJ68" i="3"/>
  <c r="CF70" i="3"/>
  <c r="CE69" i="3"/>
  <c r="CF69" i="3" s="1"/>
  <c r="CG69" i="3" s="1"/>
  <c r="CA71" i="3"/>
  <c r="CB71" i="3" s="1"/>
  <c r="CD71" i="3" s="1"/>
  <c r="BZ72" i="3"/>
  <c r="BX73" i="3"/>
  <c r="BV74" i="3"/>
  <c r="BW74" i="3" s="1"/>
  <c r="BT75" i="3"/>
  <c r="BR76" i="3"/>
  <c r="BP77" i="3"/>
  <c r="BN78" i="3"/>
  <c r="BL79" i="3"/>
  <c r="BJ80" i="3"/>
  <c r="BK80" i="3" s="1"/>
  <c r="BH81" i="3"/>
  <c r="BF82" i="3"/>
  <c r="BD83" i="3"/>
  <c r="BE83" i="3" s="1"/>
  <c r="BB84" i="3"/>
  <c r="AZ85" i="3"/>
  <c r="AU88" i="3"/>
  <c r="AV88" i="3" s="1"/>
  <c r="AW88" i="3" s="1"/>
  <c r="AX86" i="3"/>
  <c r="AS89" i="3"/>
  <c r="AT89" i="3" s="1"/>
  <c r="AR90" i="3"/>
  <c r="CP66" i="3" l="1"/>
  <c r="AJ66" i="25"/>
  <c r="CM67" i="3"/>
  <c r="CN67" i="3" s="1"/>
  <c r="CO67" i="3" s="1"/>
  <c r="CL68" i="3"/>
  <c r="CH69" i="3"/>
  <c r="CI69" i="3" s="1"/>
  <c r="CH70" i="3"/>
  <c r="CF71" i="3"/>
  <c r="CG71" i="3" s="1"/>
  <c r="CB72" i="3"/>
  <c r="BZ73" i="3"/>
  <c r="BX74" i="3"/>
  <c r="BV75" i="3"/>
  <c r="BT76" i="3"/>
  <c r="BU76" i="3" s="1"/>
  <c r="BR77" i="3"/>
  <c r="BS77" i="3" s="1"/>
  <c r="BP78" i="3"/>
  <c r="BN79" i="3"/>
  <c r="BL80" i="3"/>
  <c r="BJ81" i="3"/>
  <c r="BK81" i="3" s="1"/>
  <c r="BH82" i="3"/>
  <c r="BF83" i="3"/>
  <c r="BG83" i="3" s="1"/>
  <c r="BD84" i="3"/>
  <c r="BA85" i="3"/>
  <c r="BB85" i="3" s="1"/>
  <c r="AZ86" i="3"/>
  <c r="AU89" i="3"/>
  <c r="AV89" i="3" s="1"/>
  <c r="AX87" i="3"/>
  <c r="AS90" i="3"/>
  <c r="AT90" i="3" s="1"/>
  <c r="AR91" i="3"/>
  <c r="CT66" i="3" l="1"/>
  <c r="CP67" i="3"/>
  <c r="AJ67" i="25"/>
  <c r="CN68" i="3"/>
  <c r="CO68" i="3" s="1"/>
  <c r="CJ70" i="3"/>
  <c r="CJ69" i="3"/>
  <c r="CH71" i="3"/>
  <c r="CI71" i="3" s="1"/>
  <c r="CD72" i="3"/>
  <c r="CA73" i="3"/>
  <c r="CB73" i="3" s="1"/>
  <c r="CD73" i="3" s="1"/>
  <c r="BZ74" i="3"/>
  <c r="BX75" i="3"/>
  <c r="BV76" i="3"/>
  <c r="BW76" i="3" s="1"/>
  <c r="BT77" i="3"/>
  <c r="BR78" i="3"/>
  <c r="BP79" i="3"/>
  <c r="BN80" i="3"/>
  <c r="BO80" i="3" s="1"/>
  <c r="BL81" i="3"/>
  <c r="BJ82" i="3"/>
  <c r="BH83" i="3"/>
  <c r="BF84" i="3"/>
  <c r="BD85" i="3"/>
  <c r="BE85" i="3" s="1"/>
  <c r="BA86" i="3"/>
  <c r="BB86" i="3" s="1"/>
  <c r="AZ87" i="3"/>
  <c r="AU90" i="3"/>
  <c r="AV90" i="3" s="1"/>
  <c r="AX88" i="3"/>
  <c r="AS91" i="3"/>
  <c r="AT91" i="3" s="1"/>
  <c r="AR92" i="3"/>
  <c r="CT67" i="3" l="1"/>
  <c r="CP68" i="3"/>
  <c r="AJ68" i="25"/>
  <c r="CL69" i="3"/>
  <c r="CL70" i="3"/>
  <c r="CJ71" i="3"/>
  <c r="CF73" i="3"/>
  <c r="CG73" i="3" s="1"/>
  <c r="CF72" i="3"/>
  <c r="CA74" i="3"/>
  <c r="CB74" i="3" s="1"/>
  <c r="BZ75" i="3"/>
  <c r="BX76" i="3"/>
  <c r="BV77" i="3"/>
  <c r="BT78" i="3"/>
  <c r="BR79" i="3"/>
  <c r="BP80" i="3"/>
  <c r="BN81" i="3"/>
  <c r="BL82" i="3"/>
  <c r="BJ83" i="3"/>
  <c r="BK83" i="3" s="1"/>
  <c r="BH84" i="3"/>
  <c r="BF85" i="3"/>
  <c r="BG85" i="3" s="1"/>
  <c r="BD86" i="3"/>
  <c r="BE86" i="3" s="1"/>
  <c r="BB87" i="3"/>
  <c r="AZ88" i="3"/>
  <c r="AU91" i="3"/>
  <c r="AV91" i="3" s="1"/>
  <c r="AX89" i="3"/>
  <c r="AS92" i="3"/>
  <c r="AT92" i="3" s="1"/>
  <c r="AR93" i="3"/>
  <c r="CT68" i="3" l="1"/>
  <c r="CN70" i="3"/>
  <c r="CO70" i="3" s="1"/>
  <c r="CN69" i="3"/>
  <c r="CO69" i="3" s="1"/>
  <c r="CL71" i="3"/>
  <c r="CH72" i="3"/>
  <c r="CH73" i="3"/>
  <c r="CI73" i="3" s="1"/>
  <c r="CD74" i="3"/>
  <c r="CB75" i="3"/>
  <c r="CD75" i="3" s="1"/>
  <c r="BZ76" i="3"/>
  <c r="BX77" i="3"/>
  <c r="BV78" i="3"/>
  <c r="BT79" i="3"/>
  <c r="BU79" i="3" s="1"/>
  <c r="BR80" i="3"/>
  <c r="BP81" i="3"/>
  <c r="BN82" i="3"/>
  <c r="BL83" i="3"/>
  <c r="BJ84" i="3"/>
  <c r="BH85" i="3"/>
  <c r="BF86" i="3"/>
  <c r="BG86" i="3" s="1"/>
  <c r="BD87" i="3"/>
  <c r="BE87" i="3" s="1"/>
  <c r="BB88" i="3"/>
  <c r="AZ89" i="3"/>
  <c r="AU92" i="3"/>
  <c r="AV92" i="3" s="1"/>
  <c r="AW92" i="3" s="1"/>
  <c r="AX90" i="3"/>
  <c r="AS93" i="3"/>
  <c r="AT93" i="3" s="1"/>
  <c r="AR94" i="3"/>
  <c r="AJ69" i="25" l="1"/>
  <c r="CP70" i="3"/>
  <c r="CP69" i="3"/>
  <c r="AJ70" i="25"/>
  <c r="CN71" i="3"/>
  <c r="CO71" i="3" s="1"/>
  <c r="CJ73" i="3"/>
  <c r="CJ72" i="3"/>
  <c r="CF75" i="3"/>
  <c r="CF74" i="3"/>
  <c r="CG74" i="3" s="1"/>
  <c r="CA76" i="3"/>
  <c r="CB76" i="3" s="1"/>
  <c r="CD76" i="3" s="1"/>
  <c r="BZ77" i="3"/>
  <c r="BX78" i="3"/>
  <c r="BV79" i="3"/>
  <c r="BT80" i="3"/>
  <c r="BR81" i="3"/>
  <c r="BP82" i="3"/>
  <c r="BN83" i="3"/>
  <c r="BO83" i="3" s="1"/>
  <c r="BL84" i="3"/>
  <c r="BJ85" i="3"/>
  <c r="BK85" i="3" s="1"/>
  <c r="BH86" i="3"/>
  <c r="BF87" i="3"/>
  <c r="BG87" i="3" s="1"/>
  <c r="BD88" i="3"/>
  <c r="BB89" i="3"/>
  <c r="AZ90" i="3"/>
  <c r="AU93" i="3"/>
  <c r="AV93" i="3" s="1"/>
  <c r="AW93" i="3" s="1"/>
  <c r="AX91" i="3"/>
  <c r="AS94" i="3"/>
  <c r="AT94" i="3" s="1"/>
  <c r="AR95" i="3"/>
  <c r="AT95" i="3" s="1"/>
  <c r="CT70" i="3" l="1"/>
  <c r="CT69" i="3"/>
  <c r="CP71" i="3"/>
  <c r="AJ71" i="25"/>
  <c r="CL72" i="3"/>
  <c r="CL73" i="3"/>
  <c r="CH74" i="3"/>
  <c r="CI74" i="3" s="1"/>
  <c r="CH75" i="3"/>
  <c r="CE76" i="3"/>
  <c r="CF76" i="3" s="1"/>
  <c r="CG76" i="3" s="1"/>
  <c r="CA77" i="3"/>
  <c r="CB77" i="3" s="1"/>
  <c r="CD77" i="3" s="1"/>
  <c r="BZ78" i="3"/>
  <c r="BX79" i="3"/>
  <c r="BV80" i="3"/>
  <c r="BT81" i="3"/>
  <c r="BU81" i="3" s="1"/>
  <c r="BR82" i="3"/>
  <c r="BP83" i="3"/>
  <c r="BN84" i="3"/>
  <c r="BL85" i="3"/>
  <c r="BJ86" i="3"/>
  <c r="BK86" i="3" s="1"/>
  <c r="BH87" i="3"/>
  <c r="BF88" i="3"/>
  <c r="BD89" i="3"/>
  <c r="BE89" i="3" s="1"/>
  <c r="BB90" i="3"/>
  <c r="AZ91" i="3"/>
  <c r="AV95" i="3"/>
  <c r="AX95" i="3" s="1"/>
  <c r="AU94" i="3"/>
  <c r="AV94" i="3" s="1"/>
  <c r="AX92" i="3"/>
  <c r="AR96" i="3"/>
  <c r="CT71" i="3" l="1"/>
  <c r="CV69" i="3"/>
  <c r="CN73" i="3"/>
  <c r="CO73" i="3" s="1"/>
  <c r="CN72" i="3"/>
  <c r="CO72" i="3" s="1"/>
  <c r="CJ75" i="3"/>
  <c r="CJ74" i="3"/>
  <c r="CH76" i="3"/>
  <c r="CI76" i="3" s="1"/>
  <c r="CE77" i="3"/>
  <c r="CF77" i="3" s="1"/>
  <c r="CG77" i="3" s="1"/>
  <c r="CB78" i="3"/>
  <c r="CD78" i="3" s="1"/>
  <c r="BZ79" i="3"/>
  <c r="BX80" i="3"/>
  <c r="BV81" i="3"/>
  <c r="BW81" i="3" s="1"/>
  <c r="BT82" i="3"/>
  <c r="BR83" i="3"/>
  <c r="BP84" i="3"/>
  <c r="BN85" i="3"/>
  <c r="BL86" i="3"/>
  <c r="BJ87" i="3"/>
  <c r="BK87" i="3" s="1"/>
  <c r="BH88" i="3"/>
  <c r="BF89" i="3"/>
  <c r="BG89" i="3" s="1"/>
  <c r="BD90" i="3"/>
  <c r="BE90" i="3" s="1"/>
  <c r="BB91" i="3"/>
  <c r="AZ95" i="3"/>
  <c r="AZ92" i="3"/>
  <c r="AX93" i="3"/>
  <c r="AS96" i="3"/>
  <c r="AT96" i="3" s="1"/>
  <c r="AR97" i="3"/>
  <c r="CP72" i="3" l="1"/>
  <c r="CP73" i="3"/>
  <c r="AJ72" i="25"/>
  <c r="AJ73" i="25"/>
  <c r="CL74" i="3"/>
  <c r="CL75" i="3"/>
  <c r="CJ76" i="3"/>
  <c r="CH77" i="3"/>
  <c r="CI77" i="3" s="1"/>
  <c r="CF78" i="3"/>
  <c r="CA79" i="3"/>
  <c r="CB79" i="3" s="1"/>
  <c r="CD79" i="3" s="1"/>
  <c r="CE79" i="3" s="1"/>
  <c r="BZ80" i="3"/>
  <c r="BX81" i="3"/>
  <c r="BV82" i="3"/>
  <c r="BT83" i="3"/>
  <c r="BU83" i="3" s="1"/>
  <c r="BR84" i="3"/>
  <c r="BP85" i="3"/>
  <c r="BN86" i="3"/>
  <c r="BL87" i="3"/>
  <c r="BJ88" i="3"/>
  <c r="BH89" i="3"/>
  <c r="BF90" i="3"/>
  <c r="BG90" i="3" s="1"/>
  <c r="BD91" i="3"/>
  <c r="BE91" i="3" s="1"/>
  <c r="BB95" i="3"/>
  <c r="BA92" i="3"/>
  <c r="BB92" i="3" s="1"/>
  <c r="AZ93" i="3"/>
  <c r="AU96" i="3"/>
  <c r="AV96" i="3" s="1"/>
  <c r="AX94" i="3"/>
  <c r="AS97" i="3"/>
  <c r="AT97" i="3" s="1"/>
  <c r="AR98" i="3"/>
  <c r="CT73" i="3" l="1"/>
  <c r="CT72" i="3"/>
  <c r="CN75" i="3"/>
  <c r="CO75" i="3" s="1"/>
  <c r="CN74" i="3"/>
  <c r="CO74" i="3" s="1"/>
  <c r="CL76" i="3"/>
  <c r="CJ77" i="3"/>
  <c r="CH78" i="3"/>
  <c r="CF79" i="3"/>
  <c r="CA80" i="3"/>
  <c r="CB80" i="3" s="1"/>
  <c r="CD80" i="3" s="1"/>
  <c r="BZ81" i="3"/>
  <c r="BX82" i="3"/>
  <c r="BV83" i="3"/>
  <c r="BW83" i="3" s="1"/>
  <c r="BT84" i="3"/>
  <c r="BR85" i="3"/>
  <c r="BP86" i="3"/>
  <c r="BN87" i="3"/>
  <c r="BO87" i="3" s="1"/>
  <c r="BL88" i="3"/>
  <c r="BJ89" i="3"/>
  <c r="BK89" i="3" s="1"/>
  <c r="BH90" i="3"/>
  <c r="BF91" i="3"/>
  <c r="BG91" i="3" s="1"/>
  <c r="BD92" i="3"/>
  <c r="BE92" i="3" s="1"/>
  <c r="BD95" i="3"/>
  <c r="BA93" i="3"/>
  <c r="BB93" i="3" s="1"/>
  <c r="AZ94" i="3"/>
  <c r="AU97" i="3"/>
  <c r="AV97" i="3" s="1"/>
  <c r="AS98" i="3"/>
  <c r="AT98" i="3" s="1"/>
  <c r="AR105" i="3"/>
  <c r="AR99" i="3"/>
  <c r="CP74" i="3" l="1"/>
  <c r="CP75" i="3"/>
  <c r="AJ75" i="25"/>
  <c r="AJ74" i="25"/>
  <c r="CN76" i="3"/>
  <c r="CO76" i="3" s="1"/>
  <c r="CL77" i="3"/>
  <c r="CJ78" i="3"/>
  <c r="CH79" i="3"/>
  <c r="CF80" i="3"/>
  <c r="CG80" i="3" s="1"/>
  <c r="CB81" i="3"/>
  <c r="CD81" i="3" s="1"/>
  <c r="BZ82" i="3"/>
  <c r="BX83" i="3"/>
  <c r="BV84" i="3"/>
  <c r="BT85" i="3"/>
  <c r="BR86" i="3"/>
  <c r="BP87" i="3"/>
  <c r="BN88" i="3"/>
  <c r="BL89" i="3"/>
  <c r="BJ90" i="3"/>
  <c r="BK90" i="3" s="1"/>
  <c r="BH91" i="3"/>
  <c r="BF95" i="3"/>
  <c r="BF92" i="3"/>
  <c r="BG92" i="3" s="1"/>
  <c r="BD93" i="3"/>
  <c r="BE93" i="3" s="1"/>
  <c r="BB94" i="3"/>
  <c r="AU98" i="3"/>
  <c r="AV98" i="3" s="1"/>
  <c r="AX96" i="3"/>
  <c r="AS99" i="3"/>
  <c r="AT99" i="3" s="1"/>
  <c r="AS105" i="3"/>
  <c r="AR106" i="3"/>
  <c r="AR100" i="3"/>
  <c r="CT75" i="3" l="1"/>
  <c r="CT74" i="3"/>
  <c r="CP76" i="3"/>
  <c r="AJ76" i="25"/>
  <c r="CN77" i="3"/>
  <c r="CO77" i="3" s="1"/>
  <c r="CL78" i="3"/>
  <c r="CJ79" i="3"/>
  <c r="CH80" i="3"/>
  <c r="CI80" i="3" s="1"/>
  <c r="CF81" i="3"/>
  <c r="CB82" i="3"/>
  <c r="CD82" i="3" s="1"/>
  <c r="BZ83" i="3"/>
  <c r="BX84" i="3"/>
  <c r="BV85" i="3"/>
  <c r="BW85" i="3" s="1"/>
  <c r="BT86" i="3"/>
  <c r="BR87" i="3"/>
  <c r="BP88" i="3"/>
  <c r="BN89" i="3"/>
  <c r="BO89" i="3" s="1"/>
  <c r="BL90" i="3"/>
  <c r="BJ91" i="3"/>
  <c r="BK91" i="3" s="1"/>
  <c r="BH92" i="3"/>
  <c r="BH95" i="3"/>
  <c r="BF93" i="3"/>
  <c r="BG93" i="3" s="1"/>
  <c r="BD94" i="3"/>
  <c r="BE94" i="3" s="1"/>
  <c r="AZ96" i="3"/>
  <c r="AU99" i="3"/>
  <c r="AV99" i="3" s="1"/>
  <c r="AW99" i="3" s="1"/>
  <c r="AX97" i="3"/>
  <c r="AT105" i="3"/>
  <c r="AS100" i="3"/>
  <c r="AS106" i="3"/>
  <c r="AR107" i="3"/>
  <c r="AR101" i="3"/>
  <c r="CT76" i="3" l="1"/>
  <c r="CP77" i="3"/>
  <c r="AJ77" i="25"/>
  <c r="CN78" i="3"/>
  <c r="CO78" i="3" s="1"/>
  <c r="CL79" i="3"/>
  <c r="CJ80" i="3"/>
  <c r="CH81" i="3"/>
  <c r="CF82" i="3"/>
  <c r="CA83" i="3"/>
  <c r="CB83" i="3" s="1"/>
  <c r="CD83" i="3" s="1"/>
  <c r="BZ84" i="3"/>
  <c r="BX85" i="3"/>
  <c r="BV86" i="3"/>
  <c r="BT87" i="3"/>
  <c r="BR88" i="3"/>
  <c r="BP89" i="3"/>
  <c r="BN90" i="3"/>
  <c r="BO90" i="3" s="1"/>
  <c r="BL91" i="3"/>
  <c r="BJ92" i="3"/>
  <c r="BK92" i="3" s="1"/>
  <c r="BJ95" i="3"/>
  <c r="BH93" i="3"/>
  <c r="BF94" i="3"/>
  <c r="BG94" i="3" s="1"/>
  <c r="BB96" i="3"/>
  <c r="AZ97" i="3"/>
  <c r="AU105" i="3"/>
  <c r="AV105" i="3" s="1"/>
  <c r="AX98" i="3"/>
  <c r="AT100" i="3"/>
  <c r="AS101" i="3"/>
  <c r="AT101" i="3" s="1"/>
  <c r="AT106" i="3"/>
  <c r="AU106" i="3" s="1"/>
  <c r="AS107" i="3"/>
  <c r="AR102" i="3"/>
  <c r="CT77" i="3" l="1"/>
  <c r="CP78" i="3"/>
  <c r="AJ78" i="25"/>
  <c r="CN79" i="3"/>
  <c r="CO79" i="3" s="1"/>
  <c r="CL80" i="3"/>
  <c r="CJ81" i="3"/>
  <c r="CH82" i="3"/>
  <c r="CE83" i="3"/>
  <c r="CF83" i="3" s="1"/>
  <c r="CG83" i="3" s="1"/>
  <c r="CB84" i="3"/>
  <c r="CD84" i="3" s="1"/>
  <c r="BZ85" i="3"/>
  <c r="CA85" i="3" s="1"/>
  <c r="BX86" i="3"/>
  <c r="BV87" i="3"/>
  <c r="BT88" i="3"/>
  <c r="BR89" i="3"/>
  <c r="BS89" i="3" s="1"/>
  <c r="BP90" i="3"/>
  <c r="BN91" i="3"/>
  <c r="BO91" i="3" s="1"/>
  <c r="BL92" i="3"/>
  <c r="BL95" i="3"/>
  <c r="BJ93" i="3"/>
  <c r="BK93" i="3" s="1"/>
  <c r="BH94" i="3"/>
  <c r="BD96" i="3"/>
  <c r="BE96" i="3" s="1"/>
  <c r="BB97" i="3"/>
  <c r="AZ98" i="3"/>
  <c r="AU101" i="3"/>
  <c r="AV101" i="3" s="1"/>
  <c r="AV106" i="3"/>
  <c r="AW106" i="3" s="1"/>
  <c r="AU100" i="3"/>
  <c r="AV100" i="3" s="1"/>
  <c r="AW100" i="3" s="1"/>
  <c r="AX99" i="3"/>
  <c r="AT107" i="3"/>
  <c r="AS102" i="3"/>
  <c r="AT102" i="3" s="1"/>
  <c r="AR103" i="3"/>
  <c r="CT78" i="3" l="1"/>
  <c r="CP79" i="3"/>
  <c r="AJ79" i="25"/>
  <c r="CN80" i="3"/>
  <c r="CO80" i="3" s="1"/>
  <c r="CL81" i="3"/>
  <c r="CJ82" i="3"/>
  <c r="CH83" i="3"/>
  <c r="CI83" i="3" s="1"/>
  <c r="CF84" i="3"/>
  <c r="CB85" i="3"/>
  <c r="CD85" i="3" s="1"/>
  <c r="BZ86" i="3"/>
  <c r="BX87" i="3"/>
  <c r="BV88" i="3"/>
  <c r="BT89" i="3"/>
  <c r="BR90" i="3"/>
  <c r="BP91" i="3"/>
  <c r="BN92" i="3"/>
  <c r="BN95" i="3"/>
  <c r="BL93" i="3"/>
  <c r="BJ94" i="3"/>
  <c r="BK94" i="3" s="1"/>
  <c r="BF96" i="3"/>
  <c r="BG96" i="3" s="1"/>
  <c r="BD97" i="3"/>
  <c r="BB98" i="3"/>
  <c r="AZ99" i="3"/>
  <c r="AU102" i="3"/>
  <c r="AV102" i="3" s="1"/>
  <c r="AW102" i="3" s="1"/>
  <c r="AU107" i="3"/>
  <c r="AV107" i="3" s="1"/>
  <c r="AW107" i="3" s="1"/>
  <c r="AX105" i="3"/>
  <c r="AS103" i="3"/>
  <c r="AT103" i="3" s="1"/>
  <c r="AR104" i="3"/>
  <c r="CT79" i="3" l="1"/>
  <c r="CP80" i="3"/>
  <c r="AJ80" i="25"/>
  <c r="CN81" i="3"/>
  <c r="CO81" i="3" s="1"/>
  <c r="CL82" i="3"/>
  <c r="CJ83" i="3"/>
  <c r="CH84" i="3"/>
  <c r="CF85" i="3"/>
  <c r="CB86" i="3"/>
  <c r="CD86" i="3" s="1"/>
  <c r="BZ87" i="3"/>
  <c r="BX88" i="3"/>
  <c r="BV89" i="3"/>
  <c r="BT90" i="3"/>
  <c r="BR91" i="3"/>
  <c r="BS91" i="3" s="1"/>
  <c r="BP92" i="3"/>
  <c r="BP95" i="3"/>
  <c r="BN93" i="3"/>
  <c r="BL94" i="3"/>
  <c r="BH96" i="3"/>
  <c r="BF97" i="3"/>
  <c r="BD98" i="3"/>
  <c r="BE98" i="3" s="1"/>
  <c r="BA99" i="3"/>
  <c r="BB99" i="3" s="1"/>
  <c r="AZ105" i="3"/>
  <c r="AU103" i="3"/>
  <c r="AV103" i="3" s="1"/>
  <c r="AX101" i="3"/>
  <c r="AX100" i="3"/>
  <c r="AX106" i="3"/>
  <c r="AS104" i="3"/>
  <c r="AT104" i="3" s="1"/>
  <c r="CT80" i="3" l="1"/>
  <c r="CP81" i="3"/>
  <c r="AJ81" i="25"/>
  <c r="CN82" i="3"/>
  <c r="CO82" i="3" s="1"/>
  <c r="CL83" i="3"/>
  <c r="CJ84" i="3"/>
  <c r="CH85" i="3"/>
  <c r="CF86" i="3"/>
  <c r="CA87" i="3"/>
  <c r="CB87" i="3" s="1"/>
  <c r="CD87" i="3" s="1"/>
  <c r="BZ88" i="3"/>
  <c r="BX89" i="3"/>
  <c r="BV90" i="3"/>
  <c r="BT91" i="3"/>
  <c r="BR95" i="3"/>
  <c r="BR92" i="3"/>
  <c r="BP93" i="3"/>
  <c r="BN94" i="3"/>
  <c r="BO94" i="3" s="1"/>
  <c r="BJ96" i="3"/>
  <c r="BK96" i="3" s="1"/>
  <c r="BH97" i="3"/>
  <c r="BF98" i="3"/>
  <c r="BG98" i="3" s="1"/>
  <c r="BD99" i="3"/>
  <c r="BE99" i="3" s="1"/>
  <c r="BB105" i="3"/>
  <c r="AZ106" i="3"/>
  <c r="AZ100" i="3"/>
  <c r="AZ101" i="3"/>
  <c r="AU104" i="3"/>
  <c r="AV104" i="3" s="1"/>
  <c r="AX107" i="3"/>
  <c r="AX102" i="3"/>
  <c r="AR108" i="3"/>
  <c r="CT81" i="3" l="1"/>
  <c r="AJ82" i="25"/>
  <c r="CP82" i="3"/>
  <c r="CN83" i="3"/>
  <c r="CO83" i="3" s="1"/>
  <c r="CL84" i="3"/>
  <c r="CJ85" i="3"/>
  <c r="CH86" i="3"/>
  <c r="CF87" i="3"/>
  <c r="CG87" i="3" s="1"/>
  <c r="CB88" i="3"/>
  <c r="CD88" i="3" s="1"/>
  <c r="BZ89" i="3"/>
  <c r="BX90" i="3"/>
  <c r="BV91" i="3"/>
  <c r="BT92" i="3"/>
  <c r="BT95" i="3"/>
  <c r="BR93" i="3"/>
  <c r="BP94" i="3"/>
  <c r="BL96" i="3"/>
  <c r="BJ97" i="3"/>
  <c r="BH98" i="3"/>
  <c r="BF99" i="3"/>
  <c r="BG99" i="3" s="1"/>
  <c r="BD105" i="3"/>
  <c r="BB101" i="3"/>
  <c r="BB106" i="3"/>
  <c r="BA100" i="3"/>
  <c r="BB100" i="3" s="1"/>
  <c r="AZ102" i="3"/>
  <c r="AZ107" i="3"/>
  <c r="AX103" i="3"/>
  <c r="AS108" i="3"/>
  <c r="AT108" i="3" s="1"/>
  <c r="AR109" i="3"/>
  <c r="AT109" i="3" s="1"/>
  <c r="CT82" i="3" l="1"/>
  <c r="CP83" i="3"/>
  <c r="AJ83" i="25"/>
  <c r="CN84" i="3"/>
  <c r="CO84" i="3" s="1"/>
  <c r="CL85" i="3"/>
  <c r="CJ86" i="3"/>
  <c r="CH87" i="3"/>
  <c r="CI87" i="3" s="1"/>
  <c r="CF88" i="3"/>
  <c r="CB89" i="3"/>
  <c r="CD89" i="3" s="1"/>
  <c r="BZ90" i="3"/>
  <c r="BX91" i="3"/>
  <c r="BV95" i="3"/>
  <c r="BV92" i="3"/>
  <c r="BW92" i="3" s="1"/>
  <c r="BT93" i="3"/>
  <c r="BU93" i="3" s="1"/>
  <c r="BR94" i="3"/>
  <c r="BN96" i="3"/>
  <c r="BO96" i="3" s="1"/>
  <c r="BL97" i="3"/>
  <c r="BJ98" i="3"/>
  <c r="BK98" i="3" s="1"/>
  <c r="BH99" i="3"/>
  <c r="BF105" i="3"/>
  <c r="BD100" i="3"/>
  <c r="BE100" i="3" s="1"/>
  <c r="BD101" i="3"/>
  <c r="BE101" i="3" s="1"/>
  <c r="BD106" i="3"/>
  <c r="BA107" i="3"/>
  <c r="BB107" i="3" s="1"/>
  <c r="BA102" i="3"/>
  <c r="BB102" i="3" s="1"/>
  <c r="AZ103" i="3"/>
  <c r="AU108" i="3"/>
  <c r="AV108" i="3" s="1"/>
  <c r="AV109" i="3"/>
  <c r="AX109" i="3" s="1"/>
  <c r="AX104" i="3"/>
  <c r="AR110" i="3"/>
  <c r="CT83" i="3" l="1"/>
  <c r="CP84" i="3"/>
  <c r="AJ84" i="25"/>
  <c r="CN85" i="3"/>
  <c r="CO85" i="3" s="1"/>
  <c r="CL86" i="3"/>
  <c r="CJ87" i="3"/>
  <c r="CH88" i="3"/>
  <c r="CF89" i="3"/>
  <c r="CB90" i="3"/>
  <c r="CD90" i="3" s="1"/>
  <c r="BZ91" i="3"/>
  <c r="BX92" i="3"/>
  <c r="BX95" i="3"/>
  <c r="BV93" i="3"/>
  <c r="BT94" i="3"/>
  <c r="CV63" i="3"/>
  <c r="DP63" i="3"/>
  <c r="CV29" i="3"/>
  <c r="DP29" i="3"/>
  <c r="CV67" i="3"/>
  <c r="DP67" i="3"/>
  <c r="CV78" i="3"/>
  <c r="DP78" i="3"/>
  <c r="CV51" i="3"/>
  <c r="DP51" i="3"/>
  <c r="CV37" i="3"/>
  <c r="DP37" i="3"/>
  <c r="CV40" i="3"/>
  <c r="DP40" i="3"/>
  <c r="CV43" i="3"/>
  <c r="DP43" i="3"/>
  <c r="CV70" i="3"/>
  <c r="DP70" i="3"/>
  <c r="CV30" i="3"/>
  <c r="DP30" i="3"/>
  <c r="CV64" i="3"/>
  <c r="DP64" i="3"/>
  <c r="CV74" i="3"/>
  <c r="DP74" i="3"/>
  <c r="CV79" i="3"/>
  <c r="DP79" i="3"/>
  <c r="CV23" i="3"/>
  <c r="DP23" i="3"/>
  <c r="CV81" i="3"/>
  <c r="DP81" i="3"/>
  <c r="CV49" i="3"/>
  <c r="DP49" i="3"/>
  <c r="CV58" i="3"/>
  <c r="DP58" i="3"/>
  <c r="CV14" i="3"/>
  <c r="DP14" i="3"/>
  <c r="CV54" i="3"/>
  <c r="DP54" i="3"/>
  <c r="CV71" i="3"/>
  <c r="DP71" i="3"/>
  <c r="CV44" i="3"/>
  <c r="DP44" i="3"/>
  <c r="CV57" i="3"/>
  <c r="DP57" i="3"/>
  <c r="CV72" i="3"/>
  <c r="DP72" i="3"/>
  <c r="CV28" i="3"/>
  <c r="DP28" i="3"/>
  <c r="CV21" i="3"/>
  <c r="DP21" i="3"/>
  <c r="CV32" i="3"/>
  <c r="DP32" i="3"/>
  <c r="CV53" i="3"/>
  <c r="DP53" i="3"/>
  <c r="CV25" i="3"/>
  <c r="DP25" i="3"/>
  <c r="CV46" i="3"/>
  <c r="DP46" i="3"/>
  <c r="CV65" i="3"/>
  <c r="DP65" i="3"/>
  <c r="CV77" i="3"/>
  <c r="DP77" i="3"/>
  <c r="CV36" i="3"/>
  <c r="DP36" i="3"/>
  <c r="CV35" i="3"/>
  <c r="DP35" i="3"/>
  <c r="CV60" i="3"/>
  <c r="DP60" i="3"/>
  <c r="CV39" i="3"/>
  <c r="DP39" i="3"/>
  <c r="CV50" i="3"/>
  <c r="DP50" i="3"/>
  <c r="CV47" i="3"/>
  <c r="DP47" i="3"/>
  <c r="BP96" i="3"/>
  <c r="BN97" i="3"/>
  <c r="BL98" i="3"/>
  <c r="BJ99" i="3"/>
  <c r="BK99" i="3" s="1"/>
  <c r="BH105" i="3"/>
  <c r="BF106" i="3"/>
  <c r="BF101" i="3"/>
  <c r="BG101" i="3" s="1"/>
  <c r="BF100" i="3"/>
  <c r="BG100" i="3" s="1"/>
  <c r="BD102" i="3"/>
  <c r="BE102" i="3" s="1"/>
  <c r="BD107" i="3"/>
  <c r="BE107" i="3" s="1"/>
  <c r="BB103" i="3"/>
  <c r="AZ104" i="3"/>
  <c r="AZ109" i="3"/>
  <c r="AS110" i="3"/>
  <c r="AT110" i="3" s="1"/>
  <c r="AR111" i="3"/>
  <c r="CT84" i="3" l="1"/>
  <c r="CU47" i="3"/>
  <c r="CU35" i="3"/>
  <c r="DA35" i="3" s="1"/>
  <c r="CU46" i="3"/>
  <c r="DA46" i="3" s="1"/>
  <c r="CU21" i="3"/>
  <c r="DA21" i="3" s="1"/>
  <c r="CU44" i="3"/>
  <c r="DA44" i="3" s="1"/>
  <c r="CU58" i="3"/>
  <c r="DA58" i="3" s="1"/>
  <c r="CU79" i="3"/>
  <c r="DA79" i="3" s="1"/>
  <c r="CU70" i="3"/>
  <c r="DA70" i="3" s="1"/>
  <c r="CU51" i="3"/>
  <c r="DA51" i="3" s="1"/>
  <c r="CU63" i="3"/>
  <c r="DA63" i="3" s="1"/>
  <c r="CU50" i="3"/>
  <c r="DA50" i="3" s="1"/>
  <c r="CU36" i="3"/>
  <c r="DA36" i="3" s="1"/>
  <c r="CU25" i="3"/>
  <c r="DA25" i="3" s="1"/>
  <c r="CU28" i="3"/>
  <c r="DA28" i="3" s="1"/>
  <c r="CU71" i="3"/>
  <c r="DA71" i="3" s="1"/>
  <c r="CU49" i="3"/>
  <c r="DA49" i="3" s="1"/>
  <c r="CU74" i="3"/>
  <c r="CU43" i="3"/>
  <c r="DA43" i="3" s="1"/>
  <c r="CU78" i="3"/>
  <c r="DA78" i="3" s="1"/>
  <c r="CU39" i="3"/>
  <c r="DA39" i="3" s="1"/>
  <c r="CU77" i="3"/>
  <c r="DA77" i="3" s="1"/>
  <c r="CU53" i="3"/>
  <c r="DA53" i="3" s="1"/>
  <c r="CU72" i="3"/>
  <c r="DA72" i="3" s="1"/>
  <c r="CU54" i="3"/>
  <c r="DA54" i="3" s="1"/>
  <c r="CU81" i="3"/>
  <c r="DA81" i="3" s="1"/>
  <c r="CU64" i="3"/>
  <c r="DA64" i="3" s="1"/>
  <c r="CU40" i="3"/>
  <c r="DA40" i="3" s="1"/>
  <c r="CU67" i="3"/>
  <c r="DA67" i="3" s="1"/>
  <c r="CU60" i="3"/>
  <c r="DA60" i="3" s="1"/>
  <c r="CU32" i="3"/>
  <c r="DA32" i="3" s="1"/>
  <c r="CU57" i="3"/>
  <c r="DA57" i="3" s="1"/>
  <c r="CU14" i="3"/>
  <c r="DA14" i="3" s="1"/>
  <c r="CU23" i="3"/>
  <c r="DA23" i="3" s="1"/>
  <c r="CU30" i="3"/>
  <c r="DA30" i="3" s="1"/>
  <c r="CU37" i="3"/>
  <c r="DA37" i="3" s="1"/>
  <c r="CU29" i="3"/>
  <c r="DA29" i="3" s="1"/>
  <c r="CP85" i="3"/>
  <c r="DA47" i="3"/>
  <c r="DA74" i="3"/>
  <c r="AJ85" i="25"/>
  <c r="CN86" i="3"/>
  <c r="CO86" i="3" s="1"/>
  <c r="CU65" i="3"/>
  <c r="CL87" i="3"/>
  <c r="CJ88" i="3"/>
  <c r="CH89" i="3"/>
  <c r="CF90" i="3"/>
  <c r="CA91" i="3"/>
  <c r="CB91" i="3" s="1"/>
  <c r="BZ95" i="3"/>
  <c r="BZ92" i="3"/>
  <c r="CA92" i="3" s="1"/>
  <c r="BX93" i="3"/>
  <c r="BV94" i="3"/>
  <c r="BR96" i="3"/>
  <c r="BS96" i="3" s="1"/>
  <c r="BP97" i="3"/>
  <c r="BN98" i="3"/>
  <c r="BO98" i="3" s="1"/>
  <c r="BL99" i="3"/>
  <c r="BJ105" i="3"/>
  <c r="BH100" i="3"/>
  <c r="BH101" i="3"/>
  <c r="BH106" i="3"/>
  <c r="BF107" i="3"/>
  <c r="BG107" i="3" s="1"/>
  <c r="BF102" i="3"/>
  <c r="BG102" i="3" s="1"/>
  <c r="BD103" i="3"/>
  <c r="BE103" i="3" s="1"/>
  <c r="BB109" i="3"/>
  <c r="BB104" i="3"/>
  <c r="AU110" i="3"/>
  <c r="AV110" i="3" s="1"/>
  <c r="AX108" i="3"/>
  <c r="AS111" i="3"/>
  <c r="AT111" i="3" s="1"/>
  <c r="AR112" i="3"/>
  <c r="CT85" i="3" l="1"/>
  <c r="DP85" i="3" s="1"/>
  <c r="DC72" i="3"/>
  <c r="DO72" i="3" s="1"/>
  <c r="DC49" i="3"/>
  <c r="DO49" i="3" s="1"/>
  <c r="DC70" i="3"/>
  <c r="DO70" i="3" s="1"/>
  <c r="DC29" i="3"/>
  <c r="DO29" i="3" s="1"/>
  <c r="DC53" i="3"/>
  <c r="DO53" i="3" s="1"/>
  <c r="DC71" i="3"/>
  <c r="DO71" i="3" s="1"/>
  <c r="DC79" i="3"/>
  <c r="DO79" i="3" s="1"/>
  <c r="DC37" i="3"/>
  <c r="DO37" i="3" s="1"/>
  <c r="DC77" i="3"/>
  <c r="DB77" i="3" s="1"/>
  <c r="DC28" i="3"/>
  <c r="DO28" i="3" s="1"/>
  <c r="DC58" i="3"/>
  <c r="DO58" i="3" s="1"/>
  <c r="DC30" i="3"/>
  <c r="DO30" i="3" s="1"/>
  <c r="DC67" i="3"/>
  <c r="DO67" i="3" s="1"/>
  <c r="DC39" i="3"/>
  <c r="DO39" i="3" s="1"/>
  <c r="DC25" i="3"/>
  <c r="DO25" i="3" s="1"/>
  <c r="DC44" i="3"/>
  <c r="DO44" i="3" s="1"/>
  <c r="DC23" i="3"/>
  <c r="DO23" i="3" s="1"/>
  <c r="DC40" i="3"/>
  <c r="DO40" i="3" s="1"/>
  <c r="DC60" i="3"/>
  <c r="DO60" i="3" s="1"/>
  <c r="DC36" i="3"/>
  <c r="DO36" i="3" s="1"/>
  <c r="DC21" i="3"/>
  <c r="DO21" i="3" s="1"/>
  <c r="DC14" i="3"/>
  <c r="DO14" i="3" s="1"/>
  <c r="DC64" i="3"/>
  <c r="DO64" i="3" s="1"/>
  <c r="DC78" i="3"/>
  <c r="DO78" i="3" s="1"/>
  <c r="DC50" i="3"/>
  <c r="DO50" i="3" s="1"/>
  <c r="DC46" i="3"/>
  <c r="DO46" i="3" s="1"/>
  <c r="DC57" i="3"/>
  <c r="DO57" i="3" s="1"/>
  <c r="DC81" i="3"/>
  <c r="DO81" i="3" s="1"/>
  <c r="DC43" i="3"/>
  <c r="DO43" i="3" s="1"/>
  <c r="DC63" i="3"/>
  <c r="DO63" i="3" s="1"/>
  <c r="DC35" i="3"/>
  <c r="DO35" i="3" s="1"/>
  <c r="DC32" i="3"/>
  <c r="DB32" i="3" s="1"/>
  <c r="DC54" i="3"/>
  <c r="DO54" i="3" s="1"/>
  <c r="DC74" i="3"/>
  <c r="DO74" i="3" s="1"/>
  <c r="DC51" i="3"/>
  <c r="DO51" i="3" s="1"/>
  <c r="DC47" i="3"/>
  <c r="DO47" i="3" s="1"/>
  <c r="CP86" i="3"/>
  <c r="DA65" i="3"/>
  <c r="AJ86" i="25"/>
  <c r="CV85" i="3"/>
  <c r="CN87" i="3"/>
  <c r="CO87" i="3" s="1"/>
  <c r="CL88" i="3"/>
  <c r="CJ89" i="3"/>
  <c r="CH90" i="3"/>
  <c r="CD91" i="3"/>
  <c r="CB92" i="3"/>
  <c r="CB95" i="3"/>
  <c r="BZ93" i="3"/>
  <c r="BX94" i="3"/>
  <c r="BT96" i="3"/>
  <c r="BR97" i="3"/>
  <c r="BP98" i="3"/>
  <c r="BN99" i="3"/>
  <c r="BL105" i="3"/>
  <c r="BJ106" i="3"/>
  <c r="BJ101" i="3"/>
  <c r="BK101" i="3" s="1"/>
  <c r="BJ100" i="3"/>
  <c r="BK100" i="3" s="1"/>
  <c r="BH102" i="3"/>
  <c r="BH107" i="3"/>
  <c r="BF103" i="3"/>
  <c r="BG103" i="3" s="1"/>
  <c r="BD104" i="3"/>
  <c r="BE104" i="3" s="1"/>
  <c r="BD109" i="3"/>
  <c r="AZ108" i="3"/>
  <c r="AU111" i="3"/>
  <c r="AV111" i="3" s="1"/>
  <c r="AS112" i="3"/>
  <c r="AT112" i="3" s="1"/>
  <c r="AR113" i="3"/>
  <c r="DB49" i="3" l="1"/>
  <c r="CU85" i="3"/>
  <c r="DA85" i="3" s="1"/>
  <c r="DB25" i="3"/>
  <c r="DO77" i="3"/>
  <c r="DB23" i="3"/>
  <c r="DB67" i="3"/>
  <c r="DB72" i="3"/>
  <c r="DB79" i="3"/>
  <c r="DB70" i="3"/>
  <c r="DB57" i="3"/>
  <c r="DB58" i="3"/>
  <c r="DB64" i="3"/>
  <c r="DB60" i="3"/>
  <c r="DB51" i="3"/>
  <c r="DB44" i="3"/>
  <c r="DB54" i="3"/>
  <c r="DB43" i="3"/>
  <c r="DB21" i="3"/>
  <c r="DB50" i="3"/>
  <c r="DB53" i="3"/>
  <c r="DB40" i="3"/>
  <c r="DB28" i="3"/>
  <c r="DB71" i="3"/>
  <c r="DB81" i="3"/>
  <c r="DO32" i="3"/>
  <c r="DB37" i="3"/>
  <c r="DB30" i="3"/>
  <c r="DB78" i="3"/>
  <c r="DB36" i="3"/>
  <c r="DB29" i="3"/>
  <c r="DB74" i="3"/>
  <c r="DB39" i="3"/>
  <c r="DB46" i="3"/>
  <c r="DB63" i="3"/>
  <c r="DB14" i="3"/>
  <c r="DB47" i="3"/>
  <c r="DB35" i="3"/>
  <c r="DC65" i="3"/>
  <c r="DO65" i="3" s="1"/>
  <c r="CT86" i="3"/>
  <c r="DP86" i="3" s="1"/>
  <c r="CP87" i="3"/>
  <c r="AJ87" i="25"/>
  <c r="CN88" i="3"/>
  <c r="CO88" i="3" s="1"/>
  <c r="CL89" i="3"/>
  <c r="CJ90" i="3"/>
  <c r="CE91" i="3"/>
  <c r="CF91" i="3" s="1"/>
  <c r="CG91" i="3" s="1"/>
  <c r="CD95" i="3"/>
  <c r="CD92" i="3"/>
  <c r="CA93" i="3"/>
  <c r="CB93" i="3" s="1"/>
  <c r="CD93" i="3" s="1"/>
  <c r="CE93" i="3" s="1"/>
  <c r="BZ94" i="3"/>
  <c r="BV96" i="3"/>
  <c r="BT97" i="3"/>
  <c r="CV68" i="3"/>
  <c r="DP68" i="3"/>
  <c r="BR98" i="3"/>
  <c r="BS98" i="3" s="1"/>
  <c r="BP99" i="3"/>
  <c r="BN105" i="3"/>
  <c r="BL100" i="3"/>
  <c r="BL101" i="3"/>
  <c r="BL106" i="3"/>
  <c r="BJ107" i="3"/>
  <c r="BK107" i="3" s="1"/>
  <c r="BJ102" i="3"/>
  <c r="BK102" i="3" s="1"/>
  <c r="BH103" i="3"/>
  <c r="BF109" i="3"/>
  <c r="BF104" i="3"/>
  <c r="BG104" i="3" s="1"/>
  <c r="BB108" i="3"/>
  <c r="AU112" i="3"/>
  <c r="AV112" i="3" s="1"/>
  <c r="AX110" i="3"/>
  <c r="AS113" i="3"/>
  <c r="AT113" i="3" s="1"/>
  <c r="AR114" i="3"/>
  <c r="AR115" i="3"/>
  <c r="CU68" i="3" l="1"/>
  <c r="DA68" i="3" s="1"/>
  <c r="DB65" i="3"/>
  <c r="DC85" i="3"/>
  <c r="DO85" i="3" s="1"/>
  <c r="CV86" i="3"/>
  <c r="CT87" i="3"/>
  <c r="CP88" i="3"/>
  <c r="AJ88" i="25"/>
  <c r="CN89" i="3"/>
  <c r="CO89" i="3" s="1"/>
  <c r="CL90" i="3"/>
  <c r="CH91" i="3"/>
  <c r="CI91" i="3" s="1"/>
  <c r="CF93" i="3"/>
  <c r="CG93" i="3" s="1"/>
  <c r="CF92" i="3"/>
  <c r="CF95" i="3"/>
  <c r="CB94" i="3"/>
  <c r="CD94" i="3" s="1"/>
  <c r="BX96" i="3"/>
  <c r="BV97" i="3"/>
  <c r="BT98" i="3"/>
  <c r="BR99" i="3"/>
  <c r="BP105" i="3"/>
  <c r="BN101" i="3"/>
  <c r="BO101" i="3" s="1"/>
  <c r="BN106" i="3"/>
  <c r="BN100" i="3"/>
  <c r="BL102" i="3"/>
  <c r="BL107" i="3"/>
  <c r="BJ103" i="3"/>
  <c r="BK103" i="3" s="1"/>
  <c r="BH104" i="3"/>
  <c r="BH109" i="3"/>
  <c r="BD108" i="3"/>
  <c r="BE108" i="3" s="1"/>
  <c r="AZ110" i="3"/>
  <c r="AU113" i="3"/>
  <c r="AV113" i="3" s="1"/>
  <c r="AW113" i="3" s="1"/>
  <c r="AX111" i="3"/>
  <c r="AS114" i="3"/>
  <c r="AT114" i="3" s="1"/>
  <c r="AS115" i="3"/>
  <c r="AR116" i="3"/>
  <c r="CU86" i="3" l="1"/>
  <c r="DA86" i="3" s="1"/>
  <c r="DC86" i="3" s="1"/>
  <c r="DO86" i="3" s="1"/>
  <c r="DB85" i="3"/>
  <c r="DC68" i="3"/>
  <c r="DO68" i="3" s="1"/>
  <c r="CT88" i="3"/>
  <c r="DP88" i="3" s="1"/>
  <c r="CP89" i="3"/>
  <c r="AJ89" i="25"/>
  <c r="CN90" i="3"/>
  <c r="CO90" i="3" s="1"/>
  <c r="CJ91" i="3"/>
  <c r="CH95" i="3"/>
  <c r="CH92" i="3"/>
  <c r="CH93" i="3"/>
  <c r="CI93" i="3" s="1"/>
  <c r="CF94" i="3"/>
  <c r="BZ96" i="3"/>
  <c r="BX97" i="3"/>
  <c r="BV98" i="3"/>
  <c r="BT99" i="3"/>
  <c r="BR105" i="3"/>
  <c r="BP101" i="3"/>
  <c r="BP106" i="3"/>
  <c r="BP100" i="3"/>
  <c r="BN107" i="3"/>
  <c r="BN102" i="3"/>
  <c r="BL103" i="3"/>
  <c r="BJ109" i="3"/>
  <c r="BJ104" i="3"/>
  <c r="BK104" i="3" s="1"/>
  <c r="BF108" i="3"/>
  <c r="BG108" i="3" s="1"/>
  <c r="BB110" i="3"/>
  <c r="AZ111" i="3"/>
  <c r="AU114" i="3"/>
  <c r="AV114" i="3" s="1"/>
  <c r="AX112" i="3"/>
  <c r="AS116" i="3"/>
  <c r="AT116" i="3" s="1"/>
  <c r="AT115" i="3"/>
  <c r="AR117" i="3"/>
  <c r="CT89" i="3" l="1"/>
  <c r="DB68" i="3"/>
  <c r="DB86" i="3"/>
  <c r="CV88" i="3"/>
  <c r="CP90" i="3"/>
  <c r="AJ90" i="25"/>
  <c r="CL91" i="3"/>
  <c r="CJ93" i="3"/>
  <c r="CJ92" i="3"/>
  <c r="CJ95" i="3"/>
  <c r="CH94" i="3"/>
  <c r="CA96" i="3"/>
  <c r="CB96" i="3" s="1"/>
  <c r="BZ97" i="3"/>
  <c r="BX98" i="3"/>
  <c r="BV99" i="3"/>
  <c r="BW99" i="3" s="1"/>
  <c r="BT105" i="3"/>
  <c r="BR101" i="3"/>
  <c r="BR100" i="3"/>
  <c r="BR106" i="3"/>
  <c r="BP102" i="3"/>
  <c r="BP107" i="3"/>
  <c r="BN103" i="3"/>
  <c r="BO103" i="3" s="1"/>
  <c r="BL104" i="3"/>
  <c r="BL109" i="3"/>
  <c r="BH108" i="3"/>
  <c r="BD110" i="3"/>
  <c r="BE110" i="3" s="1"/>
  <c r="BB111" i="3"/>
  <c r="AZ112" i="3"/>
  <c r="AV115" i="3"/>
  <c r="AX115" i="3" s="1"/>
  <c r="AU116" i="3"/>
  <c r="AV116" i="3" s="1"/>
  <c r="AX113" i="3"/>
  <c r="AS117" i="3"/>
  <c r="AT117" i="3" s="1"/>
  <c r="AR118" i="3"/>
  <c r="CT90" i="3" l="1"/>
  <c r="CU88" i="3"/>
  <c r="DA88" i="3" s="1"/>
  <c r="CN91" i="3"/>
  <c r="CO91" i="3" s="1"/>
  <c r="CL95" i="3"/>
  <c r="CL92" i="3"/>
  <c r="CL93" i="3"/>
  <c r="CJ94" i="3"/>
  <c r="CD96" i="3"/>
  <c r="CB97" i="3"/>
  <c r="CD97" i="3" s="1"/>
  <c r="BZ98" i="3"/>
  <c r="BX99" i="3"/>
  <c r="BV105" i="3"/>
  <c r="BT100" i="3"/>
  <c r="BU100" i="3" s="1"/>
  <c r="BT101" i="3"/>
  <c r="BT106" i="3"/>
  <c r="BR102" i="3"/>
  <c r="BR107" i="3"/>
  <c r="BP103" i="3"/>
  <c r="BN104" i="3"/>
  <c r="BO104" i="3" s="1"/>
  <c r="BN109" i="3"/>
  <c r="BJ108" i="3"/>
  <c r="BK108" i="3" s="1"/>
  <c r="BF110" i="3"/>
  <c r="BG110" i="3" s="1"/>
  <c r="BD111" i="3"/>
  <c r="BE111" i="3" s="1"/>
  <c r="BB112" i="3"/>
  <c r="AZ113" i="3"/>
  <c r="AZ115" i="3"/>
  <c r="AU117" i="3"/>
  <c r="AV117" i="3" s="1"/>
  <c r="AW117" i="3" s="1"/>
  <c r="AX114" i="3"/>
  <c r="AS118" i="3"/>
  <c r="AT118" i="3" s="1"/>
  <c r="AR119" i="3"/>
  <c r="DC88" i="3" l="1"/>
  <c r="DO88" i="3" s="1"/>
  <c r="CP91" i="3"/>
  <c r="AJ91" i="25"/>
  <c r="CN92" i="3"/>
  <c r="CO92" i="3" s="1"/>
  <c r="CN93" i="3"/>
  <c r="CO93" i="3" s="1"/>
  <c r="CN95" i="3"/>
  <c r="CO95" i="3" s="1"/>
  <c r="CL94" i="3"/>
  <c r="CF97" i="3"/>
  <c r="CE96" i="3"/>
  <c r="CF96" i="3" s="1"/>
  <c r="CG96" i="3" s="1"/>
  <c r="CA98" i="3"/>
  <c r="CB98" i="3" s="1"/>
  <c r="CD98" i="3" s="1"/>
  <c r="CE98" i="3" s="1"/>
  <c r="BZ99" i="3"/>
  <c r="BX105" i="3"/>
  <c r="BV101" i="3"/>
  <c r="BV100" i="3"/>
  <c r="BV106" i="3"/>
  <c r="BT107" i="3"/>
  <c r="BU107" i="3" s="1"/>
  <c r="BT102" i="3"/>
  <c r="BR103" i="3"/>
  <c r="BS103" i="3" s="1"/>
  <c r="BP109" i="3"/>
  <c r="BP104" i="3"/>
  <c r="BL108" i="3"/>
  <c r="BH110" i="3"/>
  <c r="BF111" i="3"/>
  <c r="BG111" i="3" s="1"/>
  <c r="BD112" i="3"/>
  <c r="BE112" i="3" s="1"/>
  <c r="BB115" i="3"/>
  <c r="BA113" i="3"/>
  <c r="BB113" i="3" s="1"/>
  <c r="AZ114" i="3"/>
  <c r="AU118" i="3"/>
  <c r="AV118" i="3" s="1"/>
  <c r="AX116" i="3"/>
  <c r="AS119" i="3"/>
  <c r="AT119" i="3" s="1"/>
  <c r="CT91" i="3" l="1"/>
  <c r="DB88" i="3"/>
  <c r="AJ95" i="25"/>
  <c r="CP93" i="3"/>
  <c r="CP92" i="3"/>
  <c r="AJ92" i="25"/>
  <c r="AJ93" i="25"/>
  <c r="CN94" i="3"/>
  <c r="CO94" i="3" s="1"/>
  <c r="CP95" i="3"/>
  <c r="CH97" i="3"/>
  <c r="CH96" i="3"/>
  <c r="CI96" i="3" s="1"/>
  <c r="CF98" i="3"/>
  <c r="CA99" i="3"/>
  <c r="CB99" i="3" s="1"/>
  <c r="CD99" i="3" s="1"/>
  <c r="BZ105" i="3"/>
  <c r="BX100" i="3"/>
  <c r="BX101" i="3"/>
  <c r="BX106" i="3"/>
  <c r="BV102" i="3"/>
  <c r="BV107" i="3"/>
  <c r="BT103" i="3"/>
  <c r="BR104" i="3"/>
  <c r="BR109" i="3"/>
  <c r="BN108" i="3"/>
  <c r="BO108" i="3" s="1"/>
  <c r="BJ110" i="3"/>
  <c r="BK110" i="3" s="1"/>
  <c r="BH111" i="3"/>
  <c r="BF112" i="3"/>
  <c r="BG112" i="3" s="1"/>
  <c r="BD113" i="3"/>
  <c r="BE113" i="3" s="1"/>
  <c r="BD115" i="3"/>
  <c r="BB114" i="3"/>
  <c r="AZ116" i="3"/>
  <c r="AU119" i="3"/>
  <c r="AV119" i="3" s="1"/>
  <c r="AX117" i="3"/>
  <c r="AR120" i="3"/>
  <c r="CT93" i="3" l="1"/>
  <c r="CT95" i="3"/>
  <c r="DP95" i="3" s="1"/>
  <c r="CT92" i="3"/>
  <c r="DP92" i="3" s="1"/>
  <c r="DP93" i="3"/>
  <c r="CP94" i="3"/>
  <c r="AJ94" i="25"/>
  <c r="CJ96" i="3"/>
  <c r="CJ97" i="3"/>
  <c r="CH98" i="3"/>
  <c r="CF99" i="3"/>
  <c r="CG99" i="3" s="1"/>
  <c r="CB105" i="3"/>
  <c r="BZ106" i="3"/>
  <c r="BZ101" i="3"/>
  <c r="BZ100" i="3"/>
  <c r="BX107" i="3"/>
  <c r="BX102" i="3"/>
  <c r="BV103" i="3"/>
  <c r="BT109" i="3"/>
  <c r="BT104" i="3"/>
  <c r="BU104" i="3" s="1"/>
  <c r="BP108" i="3"/>
  <c r="BL110" i="3"/>
  <c r="BJ111" i="3"/>
  <c r="BK111" i="3" s="1"/>
  <c r="BH112" i="3"/>
  <c r="BF115" i="3"/>
  <c r="BF113" i="3"/>
  <c r="BG113" i="3" s="1"/>
  <c r="BD114" i="3"/>
  <c r="BE114" i="3" s="1"/>
  <c r="BB116" i="3"/>
  <c r="AZ117" i="3"/>
  <c r="AX118" i="3"/>
  <c r="AS120" i="3"/>
  <c r="AT120" i="3" s="1"/>
  <c r="AR121" i="3"/>
  <c r="AT121" i="3" s="1"/>
  <c r="CT94" i="3" l="1"/>
  <c r="CV95" i="3"/>
  <c r="CV92" i="3"/>
  <c r="CV93" i="3"/>
  <c r="CL97" i="3"/>
  <c r="CL96" i="3"/>
  <c r="CJ98" i="3"/>
  <c r="CH99" i="3"/>
  <c r="CI99" i="3" s="1"/>
  <c r="CD105" i="3"/>
  <c r="CB101" i="3"/>
  <c r="CD101" i="3" s="1"/>
  <c r="CB106" i="3"/>
  <c r="CB100" i="3"/>
  <c r="BZ102" i="3"/>
  <c r="BZ107" i="3"/>
  <c r="BX103" i="3"/>
  <c r="BV104" i="3"/>
  <c r="BW104" i="3" s="1"/>
  <c r="BV109" i="3"/>
  <c r="BR108" i="3"/>
  <c r="BN110" i="3"/>
  <c r="BO110" i="3" s="1"/>
  <c r="BL111" i="3"/>
  <c r="BJ112" i="3"/>
  <c r="BK112" i="3" s="1"/>
  <c r="BH113" i="3"/>
  <c r="BH115" i="3"/>
  <c r="BF114" i="3"/>
  <c r="BG114" i="3" s="1"/>
  <c r="BD116" i="3"/>
  <c r="BE116" i="3" s="1"/>
  <c r="BA117" i="3"/>
  <c r="BB117" i="3" s="1"/>
  <c r="AZ118" i="3"/>
  <c r="AV121" i="3"/>
  <c r="AX121" i="3" s="1"/>
  <c r="AU120" i="3"/>
  <c r="AV120" i="3" s="1"/>
  <c r="AX119" i="3"/>
  <c r="AR122" i="3"/>
  <c r="CU93" i="3" l="1"/>
  <c r="DA93" i="3" s="1"/>
  <c r="CU92" i="3"/>
  <c r="DA92" i="3" s="1"/>
  <c r="DC92" i="3" s="1"/>
  <c r="DO92" i="3" s="1"/>
  <c r="CU95" i="3"/>
  <c r="DA95" i="3" s="1"/>
  <c r="CN96" i="3"/>
  <c r="CO96" i="3" s="1"/>
  <c r="CN97" i="3"/>
  <c r="CO97" i="3" s="1"/>
  <c r="CL98" i="3"/>
  <c r="CJ99" i="3"/>
  <c r="CF101" i="3"/>
  <c r="CF105" i="3"/>
  <c r="CD106" i="3"/>
  <c r="CD100" i="3"/>
  <c r="CA107" i="3"/>
  <c r="CB107" i="3" s="1"/>
  <c r="CB102" i="3"/>
  <c r="BZ103" i="3"/>
  <c r="BX104" i="3"/>
  <c r="BX109" i="3"/>
  <c r="BT108" i="3"/>
  <c r="BP110" i="3"/>
  <c r="BN111" i="3"/>
  <c r="BO111" i="3" s="1"/>
  <c r="BL112" i="3"/>
  <c r="BJ115" i="3"/>
  <c r="BJ113" i="3"/>
  <c r="BK113" i="3" s="1"/>
  <c r="BH114" i="3"/>
  <c r="BI114" i="3" s="1"/>
  <c r="BF116" i="3"/>
  <c r="BG116" i="3" s="1"/>
  <c r="BD117" i="3"/>
  <c r="BE117" i="3" s="1"/>
  <c r="BB118" i="3"/>
  <c r="AZ119" i="3"/>
  <c r="AZ121" i="3"/>
  <c r="AS122" i="3"/>
  <c r="AT122" i="3" s="1"/>
  <c r="AR123" i="3"/>
  <c r="DC93" i="3" l="1"/>
  <c r="DB93" i="3" s="1"/>
  <c r="DC95" i="3"/>
  <c r="DB95" i="3" s="1"/>
  <c r="DB92" i="3"/>
  <c r="CP97" i="3"/>
  <c r="CP96" i="3"/>
  <c r="AJ97" i="25"/>
  <c r="AJ96" i="25"/>
  <c r="CN98" i="3"/>
  <c r="CO98" i="3" s="1"/>
  <c r="CL99" i="3"/>
  <c r="CH105" i="3"/>
  <c r="CH101" i="3"/>
  <c r="CF100" i="3"/>
  <c r="CF106" i="3"/>
  <c r="CD107" i="3"/>
  <c r="CE107" i="3" s="1"/>
  <c r="CD102" i="3"/>
  <c r="CA103" i="3"/>
  <c r="CB103" i="3" s="1"/>
  <c r="CD103" i="3" s="1"/>
  <c r="BZ109" i="3"/>
  <c r="BZ104" i="3"/>
  <c r="BV108" i="3"/>
  <c r="BR110" i="3"/>
  <c r="BS110" i="3" s="1"/>
  <c r="BP111" i="3"/>
  <c r="BN112" i="3"/>
  <c r="BO112" i="3" s="1"/>
  <c r="BL115" i="3"/>
  <c r="BL113" i="3"/>
  <c r="BJ114" i="3"/>
  <c r="BK114" i="3" s="1"/>
  <c r="BH116" i="3"/>
  <c r="BI116" i="3" s="1"/>
  <c r="BF117" i="3"/>
  <c r="BG117" i="3" s="1"/>
  <c r="BD118" i="3"/>
  <c r="BB121" i="3"/>
  <c r="BB119" i="3"/>
  <c r="AU122" i="3"/>
  <c r="AV122" i="3" s="1"/>
  <c r="AX120" i="3"/>
  <c r="AS123" i="3"/>
  <c r="AT123" i="3" s="1"/>
  <c r="AR124" i="3"/>
  <c r="CT96" i="3" l="1"/>
  <c r="CV96" i="3" s="1"/>
  <c r="CT97" i="3"/>
  <c r="DO95" i="3"/>
  <c r="DO93" i="3"/>
  <c r="DP96" i="3"/>
  <c r="CP98" i="3"/>
  <c r="AJ98" i="25"/>
  <c r="CN99" i="3"/>
  <c r="CO99" i="3" s="1"/>
  <c r="CJ101" i="3"/>
  <c r="CJ105" i="3"/>
  <c r="CH106" i="3"/>
  <c r="CH100" i="3"/>
  <c r="CF102" i="3"/>
  <c r="CF107" i="3"/>
  <c r="CG107" i="3" s="1"/>
  <c r="CE103" i="3"/>
  <c r="CF103" i="3" s="1"/>
  <c r="CG103" i="3" s="1"/>
  <c r="CA104" i="3"/>
  <c r="CB104" i="3" s="1"/>
  <c r="CB109" i="3"/>
  <c r="CD109" i="3" s="1"/>
  <c r="BX108" i="3"/>
  <c r="BT110" i="3"/>
  <c r="BR111" i="3"/>
  <c r="BP112" i="3"/>
  <c r="BN115" i="3"/>
  <c r="BN113" i="3"/>
  <c r="BL114" i="3"/>
  <c r="BJ116" i="3"/>
  <c r="BK116" i="3" s="1"/>
  <c r="BH117" i="3"/>
  <c r="BI117" i="3" s="1"/>
  <c r="BF118" i="3"/>
  <c r="BD119" i="3"/>
  <c r="BE119" i="3" s="1"/>
  <c r="BD121" i="3"/>
  <c r="AZ120" i="3"/>
  <c r="AU123" i="3"/>
  <c r="AV123" i="3" s="1"/>
  <c r="AS124" i="3"/>
  <c r="AT124" i="3" s="1"/>
  <c r="AR125" i="3"/>
  <c r="CT98" i="3" l="1"/>
  <c r="CU96" i="3"/>
  <c r="DA96" i="3" s="1"/>
  <c r="CP99" i="3"/>
  <c r="AJ99" i="25"/>
  <c r="CL105" i="3"/>
  <c r="CL101" i="3"/>
  <c r="CJ100" i="3"/>
  <c r="CJ106" i="3"/>
  <c r="CH102" i="3"/>
  <c r="CH107" i="3"/>
  <c r="CI107" i="3" s="1"/>
  <c r="CH103" i="3"/>
  <c r="CI103" i="3" s="1"/>
  <c r="CF109" i="3"/>
  <c r="CD104" i="3"/>
  <c r="BZ108" i="3"/>
  <c r="BV110" i="3"/>
  <c r="BT111" i="3"/>
  <c r="BU111" i="3" s="1"/>
  <c r="BR112" i="3"/>
  <c r="BS112" i="3" s="1"/>
  <c r="BP113" i="3"/>
  <c r="BP115" i="3"/>
  <c r="BN114" i="3"/>
  <c r="BO114" i="3" s="1"/>
  <c r="BL116" i="3"/>
  <c r="BJ117" i="3"/>
  <c r="BK117" i="3" s="1"/>
  <c r="BH118" i="3"/>
  <c r="BF121" i="3"/>
  <c r="BF119" i="3"/>
  <c r="BG119" i="3" s="1"/>
  <c r="BB120" i="3"/>
  <c r="AU124" i="3"/>
  <c r="AV124" i="3" s="1"/>
  <c r="AW124" i="3" s="1"/>
  <c r="AX122" i="3"/>
  <c r="AS125" i="3"/>
  <c r="AT125" i="3" s="1"/>
  <c r="AR126" i="3"/>
  <c r="AT126" i="3" s="1"/>
  <c r="CT99" i="3" l="1"/>
  <c r="DP99" i="3" s="1"/>
  <c r="DC96" i="3"/>
  <c r="DO96" i="3" s="1"/>
  <c r="CN101" i="3"/>
  <c r="CO101" i="3" s="1"/>
  <c r="CN105" i="3"/>
  <c r="CO105" i="3" s="1"/>
  <c r="CL100" i="3"/>
  <c r="CL106" i="3"/>
  <c r="CJ103" i="3"/>
  <c r="CJ107" i="3"/>
  <c r="CJ102" i="3"/>
  <c r="CH109" i="3"/>
  <c r="CE104" i="3"/>
  <c r="CF104" i="3" s="1"/>
  <c r="CA108" i="3"/>
  <c r="CB108" i="3" s="1"/>
  <c r="CD108" i="3" s="1"/>
  <c r="BX110" i="3"/>
  <c r="BV111" i="3"/>
  <c r="BT112" i="3"/>
  <c r="BR115" i="3"/>
  <c r="BR113" i="3"/>
  <c r="BP114" i="3"/>
  <c r="BN116" i="3"/>
  <c r="BO116" i="3" s="1"/>
  <c r="BL117" i="3"/>
  <c r="BJ118" i="3"/>
  <c r="BH119" i="3"/>
  <c r="BI119" i="3" s="1"/>
  <c r="BH121" i="3"/>
  <c r="BD120" i="3"/>
  <c r="BE120" i="3" s="1"/>
  <c r="AZ122" i="3"/>
  <c r="AV126" i="3"/>
  <c r="AX126" i="3" s="1"/>
  <c r="AU125" i="3"/>
  <c r="AV125" i="3" s="1"/>
  <c r="AX123" i="3"/>
  <c r="AR127" i="3"/>
  <c r="DB96" i="3" l="1"/>
  <c r="CV99" i="3"/>
  <c r="AJ105" i="25"/>
  <c r="CP101" i="3"/>
  <c r="CP105" i="3"/>
  <c r="AJ101" i="25"/>
  <c r="CN106" i="3"/>
  <c r="CO106" i="3" s="1"/>
  <c r="CN100" i="3"/>
  <c r="CO100" i="3" s="1"/>
  <c r="CL103" i="3"/>
  <c r="CL102" i="3"/>
  <c r="CL107" i="3"/>
  <c r="CJ109" i="3"/>
  <c r="CH104" i="3"/>
  <c r="CF108" i="3"/>
  <c r="BZ110" i="3"/>
  <c r="CA110" i="3" s="1"/>
  <c r="BX111" i="3"/>
  <c r="BV112" i="3"/>
  <c r="BT113" i="3"/>
  <c r="BT115" i="3"/>
  <c r="BR114" i="3"/>
  <c r="BP116" i="3"/>
  <c r="BN117" i="3"/>
  <c r="BL118" i="3"/>
  <c r="BJ121" i="3"/>
  <c r="BJ119" i="3"/>
  <c r="BK119" i="3" s="1"/>
  <c r="BF120" i="3"/>
  <c r="BG120" i="3" s="1"/>
  <c r="BB122" i="3"/>
  <c r="AZ126" i="3"/>
  <c r="AZ123" i="3"/>
  <c r="AX124" i="3"/>
  <c r="AS127" i="3"/>
  <c r="AT127" i="3" s="1"/>
  <c r="AR128" i="3"/>
  <c r="CT105" i="3" l="1"/>
  <c r="CT101" i="3"/>
  <c r="CU99" i="3"/>
  <c r="DA99" i="3" s="1"/>
  <c r="AJ100" i="25"/>
  <c r="CP106" i="3"/>
  <c r="AJ106" i="25"/>
  <c r="CP100" i="3"/>
  <c r="CN103" i="3"/>
  <c r="CO103" i="3" s="1"/>
  <c r="CN107" i="3"/>
  <c r="CO107" i="3" s="1"/>
  <c r="CN102" i="3"/>
  <c r="CO102" i="3" s="1"/>
  <c r="CL109" i="3"/>
  <c r="CJ104" i="3"/>
  <c r="CH108" i="3"/>
  <c r="CB110" i="3"/>
  <c r="CD110" i="3" s="1"/>
  <c r="CE110" i="3" s="1"/>
  <c r="BZ111" i="3"/>
  <c r="BX112" i="3"/>
  <c r="BV115" i="3"/>
  <c r="BV113" i="3"/>
  <c r="BW113" i="3" s="1"/>
  <c r="BT114" i="3"/>
  <c r="BR116" i="3"/>
  <c r="BS116" i="3" s="1"/>
  <c r="BP117" i="3"/>
  <c r="BN118" i="3"/>
  <c r="BL119" i="3"/>
  <c r="BL121" i="3"/>
  <c r="BH120" i="3"/>
  <c r="BD122" i="3"/>
  <c r="BE122" i="3" s="1"/>
  <c r="BB123" i="3"/>
  <c r="BB126" i="3"/>
  <c r="AZ124" i="3"/>
  <c r="AU127" i="3"/>
  <c r="AV127" i="3" s="1"/>
  <c r="AX125" i="3"/>
  <c r="AS128" i="3"/>
  <c r="AT128" i="3" s="1"/>
  <c r="AR129" i="3"/>
  <c r="CT106" i="3" l="1"/>
  <c r="DC99" i="3"/>
  <c r="DO99" i="3" s="1"/>
  <c r="CT100" i="3"/>
  <c r="DP100" i="3" s="1"/>
  <c r="DP106" i="3"/>
  <c r="CV106" i="3"/>
  <c r="CP107" i="3"/>
  <c r="CP103" i="3"/>
  <c r="CP102" i="3"/>
  <c r="AJ107" i="25"/>
  <c r="AJ103" i="25"/>
  <c r="CV100" i="3"/>
  <c r="AJ102" i="25"/>
  <c r="CN109" i="3"/>
  <c r="CO109" i="3" s="1"/>
  <c r="CL104" i="3"/>
  <c r="CJ108" i="3"/>
  <c r="CF110" i="3"/>
  <c r="CG110" i="3" s="1"/>
  <c r="CB111" i="3"/>
  <c r="CD111" i="3" s="1"/>
  <c r="BZ112" i="3"/>
  <c r="BX113" i="3"/>
  <c r="BX115" i="3"/>
  <c r="BV114" i="3"/>
  <c r="BT116" i="3"/>
  <c r="BR117" i="3"/>
  <c r="BP118" i="3"/>
  <c r="BN119" i="3"/>
  <c r="BO119" i="3" s="1"/>
  <c r="BN121" i="3"/>
  <c r="BJ120" i="3"/>
  <c r="BK120" i="3" s="1"/>
  <c r="BF122" i="3"/>
  <c r="BG122" i="3" s="1"/>
  <c r="BD126" i="3"/>
  <c r="BD123" i="3"/>
  <c r="BE123" i="3" s="1"/>
  <c r="BA124" i="3"/>
  <c r="BB124" i="3" s="1"/>
  <c r="AZ125" i="3"/>
  <c r="AU128" i="3"/>
  <c r="AV128" i="3" s="1"/>
  <c r="AS129" i="3"/>
  <c r="AT129" i="3" s="1"/>
  <c r="AR130" i="3"/>
  <c r="CT107" i="3" l="1"/>
  <c r="DP107" i="3" s="1"/>
  <c r="CT103" i="3"/>
  <c r="DB99" i="3"/>
  <c r="CU106" i="3"/>
  <c r="DA106" i="3" s="1"/>
  <c r="DC106" i="3" s="1"/>
  <c r="DO106" i="3" s="1"/>
  <c r="CU100" i="3"/>
  <c r="DA100" i="3" s="1"/>
  <c r="CT102" i="3"/>
  <c r="DP102" i="3" s="1"/>
  <c r="CP109" i="3"/>
  <c r="AJ109" i="25"/>
  <c r="CN104" i="3"/>
  <c r="CO104" i="3" s="1"/>
  <c r="CL108" i="3"/>
  <c r="CH110" i="3"/>
  <c r="CI110" i="3" s="1"/>
  <c r="CF111" i="3"/>
  <c r="CA112" i="3"/>
  <c r="CB112" i="3" s="1"/>
  <c r="CD112" i="3" s="1"/>
  <c r="BZ115" i="3"/>
  <c r="BZ113" i="3"/>
  <c r="BX114" i="3"/>
  <c r="BV116" i="3"/>
  <c r="BT117" i="3"/>
  <c r="BU117" i="3" s="1"/>
  <c r="BR118" i="3"/>
  <c r="BP119" i="3"/>
  <c r="BP121" i="3"/>
  <c r="BL120" i="3"/>
  <c r="BH122" i="3"/>
  <c r="BF126" i="3"/>
  <c r="BF123" i="3"/>
  <c r="BG123" i="3" s="1"/>
  <c r="BD124" i="3"/>
  <c r="BE124" i="3" s="1"/>
  <c r="BB125" i="3"/>
  <c r="AU129" i="3"/>
  <c r="AV129" i="3" s="1"/>
  <c r="AX127" i="3"/>
  <c r="AW128" i="3"/>
  <c r="AS130" i="3"/>
  <c r="AT130" i="3" s="1"/>
  <c r="AR131" i="3"/>
  <c r="AT131" i="3" s="1"/>
  <c r="CV107" i="3" l="1"/>
  <c r="CU107" i="3" s="1"/>
  <c r="DA107" i="3" s="1"/>
  <c r="DC107" i="3" s="1"/>
  <c r="DB106" i="3"/>
  <c r="DC100" i="3"/>
  <c r="DO100" i="3" s="1"/>
  <c r="CV102" i="3"/>
  <c r="CT109" i="3"/>
  <c r="DP109" i="3" s="1"/>
  <c r="CP104" i="3"/>
  <c r="AJ104" i="25"/>
  <c r="CN108" i="3"/>
  <c r="CO108" i="3" s="1"/>
  <c r="CJ110" i="3"/>
  <c r="CH111" i="3"/>
  <c r="CE112" i="3"/>
  <c r="CF112" i="3" s="1"/>
  <c r="CG112" i="3" s="1"/>
  <c r="CA113" i="3"/>
  <c r="CB113" i="3" s="1"/>
  <c r="CB115" i="3"/>
  <c r="CD115" i="3" s="1"/>
  <c r="BZ114" i="3"/>
  <c r="BX116" i="3"/>
  <c r="BV117" i="3"/>
  <c r="BW117" i="3" s="1"/>
  <c r="BT118" i="3"/>
  <c r="BR121" i="3"/>
  <c r="BR119" i="3"/>
  <c r="BS119" i="3" s="1"/>
  <c r="BN120" i="3"/>
  <c r="BO120" i="3" s="1"/>
  <c r="BJ122" i="3"/>
  <c r="BK122" i="3" s="1"/>
  <c r="BH123" i="3"/>
  <c r="BH126" i="3"/>
  <c r="BF124" i="3"/>
  <c r="BG124" i="3" s="1"/>
  <c r="BD125" i="3"/>
  <c r="BE125" i="3" s="1"/>
  <c r="AZ127" i="3"/>
  <c r="AU130" i="3"/>
  <c r="AV130" i="3" s="1"/>
  <c r="AV131" i="3"/>
  <c r="AX131" i="3" s="1"/>
  <c r="AX128" i="3"/>
  <c r="AR132" i="3"/>
  <c r="CT104" i="3" l="1"/>
  <c r="CU102" i="3"/>
  <c r="DA102" i="3" s="1"/>
  <c r="DC102" i="3" s="1"/>
  <c r="DB102" i="3" s="1"/>
  <c r="DB100" i="3"/>
  <c r="CV109" i="3"/>
  <c r="DO107" i="3"/>
  <c r="DB107" i="3"/>
  <c r="CP108" i="3"/>
  <c r="AJ108" i="25"/>
  <c r="CL110" i="3"/>
  <c r="CJ111" i="3"/>
  <c r="CH112" i="3"/>
  <c r="CI112" i="3" s="1"/>
  <c r="CF115" i="3"/>
  <c r="CD113" i="3"/>
  <c r="CA114" i="3"/>
  <c r="CB114" i="3" s="1"/>
  <c r="CD114" i="3" s="1"/>
  <c r="BZ116" i="3"/>
  <c r="BX117" i="3"/>
  <c r="BV118" i="3"/>
  <c r="BT119" i="3"/>
  <c r="BT121" i="3"/>
  <c r="BP120" i="3"/>
  <c r="BL122" i="3"/>
  <c r="BJ126" i="3"/>
  <c r="BJ123" i="3"/>
  <c r="BK123" i="3" s="1"/>
  <c r="BH124" i="3"/>
  <c r="BF125" i="3"/>
  <c r="BG125" i="3" s="1"/>
  <c r="BB127" i="3"/>
  <c r="AZ128" i="3"/>
  <c r="AZ131" i="3"/>
  <c r="AX129" i="3"/>
  <c r="AS132" i="3"/>
  <c r="AT132" i="3" s="1"/>
  <c r="AR133" i="3"/>
  <c r="AT133" i="3" s="1"/>
  <c r="CT108" i="3" l="1"/>
  <c r="CU109" i="3"/>
  <c r="DA109" i="3" s="1"/>
  <c r="DC109" i="3" s="1"/>
  <c r="DO109" i="3" s="1"/>
  <c r="DO102" i="3"/>
  <c r="CN110" i="3"/>
  <c r="CO110" i="3" s="1"/>
  <c r="CL111" i="3"/>
  <c r="CJ112" i="3"/>
  <c r="CH115" i="3"/>
  <c r="CF113" i="3"/>
  <c r="CE114" i="3"/>
  <c r="CF114" i="3" s="1"/>
  <c r="CG114" i="3" s="1"/>
  <c r="CA116" i="3"/>
  <c r="CB116" i="3" s="1"/>
  <c r="BZ117" i="3"/>
  <c r="BX118" i="3"/>
  <c r="BV119" i="3"/>
  <c r="BV121" i="3"/>
  <c r="BR120" i="3"/>
  <c r="BN122" i="3"/>
  <c r="BO122" i="3" s="1"/>
  <c r="BL123" i="3"/>
  <c r="BL126" i="3"/>
  <c r="BJ124" i="3"/>
  <c r="BK124" i="3" s="1"/>
  <c r="BH125" i="3"/>
  <c r="BD127" i="3"/>
  <c r="BE127" i="3" s="1"/>
  <c r="BB128" i="3"/>
  <c r="BB131" i="3"/>
  <c r="AZ129" i="3"/>
  <c r="AV133" i="3"/>
  <c r="AX133" i="3" s="1"/>
  <c r="AU132" i="3"/>
  <c r="AV132" i="3" s="1"/>
  <c r="AX130" i="3"/>
  <c r="AR134" i="3"/>
  <c r="DB109" i="3" l="1"/>
  <c r="CP110" i="3"/>
  <c r="AJ110" i="25"/>
  <c r="CN111" i="3"/>
  <c r="CO111" i="3" s="1"/>
  <c r="CL112" i="3"/>
  <c r="CJ115" i="3"/>
  <c r="CH114" i="3"/>
  <c r="CI114" i="3" s="1"/>
  <c r="CH113" i="3"/>
  <c r="CD116" i="3"/>
  <c r="CA117" i="3"/>
  <c r="CB117" i="3" s="1"/>
  <c r="CD117" i="3" s="1"/>
  <c r="BZ118" i="3"/>
  <c r="BX121" i="3"/>
  <c r="BX119" i="3"/>
  <c r="BT120" i="3"/>
  <c r="BP122" i="3"/>
  <c r="BN126" i="3"/>
  <c r="BN123" i="3"/>
  <c r="BO123" i="3" s="1"/>
  <c r="BL124" i="3"/>
  <c r="BJ125" i="3"/>
  <c r="BK125" i="3" s="1"/>
  <c r="BF127" i="3"/>
  <c r="BG127" i="3" s="1"/>
  <c r="BD128" i="3"/>
  <c r="BE128" i="3" s="1"/>
  <c r="BD131" i="3"/>
  <c r="BB129" i="3"/>
  <c r="AZ130" i="3"/>
  <c r="AZ133" i="3"/>
  <c r="AS134" i="3"/>
  <c r="AT134" i="3" s="1"/>
  <c r="AR135" i="3"/>
  <c r="AT135" i="3" s="1"/>
  <c r="CT110" i="3" l="1"/>
  <c r="DP110" i="3" s="1"/>
  <c r="CP111" i="3"/>
  <c r="AJ111" i="25"/>
  <c r="CN112" i="3"/>
  <c r="CO112" i="3" s="1"/>
  <c r="CL115" i="3"/>
  <c r="CJ113" i="3"/>
  <c r="CJ114" i="3"/>
  <c r="CF117" i="3"/>
  <c r="CG117" i="3" s="1"/>
  <c r="CE116" i="3"/>
  <c r="CF116" i="3" s="1"/>
  <c r="CG116" i="3" s="1"/>
  <c r="CB118" i="3"/>
  <c r="CD118" i="3" s="1"/>
  <c r="BZ119" i="3"/>
  <c r="BZ121" i="3"/>
  <c r="BV120" i="3"/>
  <c r="BR122" i="3"/>
  <c r="BS122" i="3" s="1"/>
  <c r="BP123" i="3"/>
  <c r="BP126" i="3"/>
  <c r="BN124" i="3"/>
  <c r="BL125" i="3"/>
  <c r="BH127" i="3"/>
  <c r="BF131" i="3"/>
  <c r="BF128" i="3"/>
  <c r="BG128" i="3" s="1"/>
  <c r="BD129" i="3"/>
  <c r="BE129" i="3" s="1"/>
  <c r="BB133" i="3"/>
  <c r="BB130" i="3"/>
  <c r="AV135" i="3"/>
  <c r="AX135" i="3" s="1"/>
  <c r="AU134" i="3"/>
  <c r="AV134" i="3" s="1"/>
  <c r="AX132" i="3"/>
  <c r="AR136" i="3"/>
  <c r="CT111" i="3" l="1"/>
  <c r="CV110" i="3"/>
  <c r="CP112" i="3"/>
  <c r="AJ112" i="25"/>
  <c r="CN115" i="3"/>
  <c r="CO115" i="3" s="1"/>
  <c r="CL114" i="3"/>
  <c r="CL113" i="3"/>
  <c r="CH116" i="3"/>
  <c r="CI116" i="3" s="1"/>
  <c r="CH117" i="3"/>
  <c r="CI117" i="3" s="1"/>
  <c r="CF118" i="3"/>
  <c r="CA119" i="3"/>
  <c r="CB119" i="3" s="1"/>
  <c r="CB121" i="3"/>
  <c r="BX120" i="3"/>
  <c r="BT122" i="3"/>
  <c r="BR126" i="3"/>
  <c r="BR123" i="3"/>
  <c r="BP124" i="3"/>
  <c r="BN125" i="3"/>
  <c r="BO125" i="3" s="1"/>
  <c r="BJ127" i="3"/>
  <c r="BK127" i="3" s="1"/>
  <c r="BH128" i="3"/>
  <c r="BH131" i="3"/>
  <c r="BF129" i="3"/>
  <c r="BG129" i="3" s="1"/>
  <c r="BD133" i="3"/>
  <c r="BD130" i="3"/>
  <c r="BE130" i="3" s="1"/>
  <c r="AZ132" i="3"/>
  <c r="AZ135" i="3"/>
  <c r="AS136" i="3"/>
  <c r="AT136" i="3" s="1"/>
  <c r="AR137" i="3"/>
  <c r="CT112" i="3" l="1"/>
  <c r="CU110" i="3"/>
  <c r="DA110" i="3" s="1"/>
  <c r="CP115" i="3"/>
  <c r="AJ115" i="25"/>
  <c r="CN113" i="3"/>
  <c r="CO113" i="3" s="1"/>
  <c r="CN114" i="3"/>
  <c r="CO114" i="3" s="1"/>
  <c r="CJ117" i="3"/>
  <c r="CJ116" i="3"/>
  <c r="CH118" i="3"/>
  <c r="CD121" i="3"/>
  <c r="CD119" i="3"/>
  <c r="BZ120" i="3"/>
  <c r="BV122" i="3"/>
  <c r="BT126" i="3"/>
  <c r="BT123" i="3"/>
  <c r="BU123" i="3" s="1"/>
  <c r="BR124" i="3"/>
  <c r="BP125" i="3"/>
  <c r="BL127" i="3"/>
  <c r="BJ128" i="3"/>
  <c r="BK128" i="3" s="1"/>
  <c r="BJ131" i="3"/>
  <c r="BH129" i="3"/>
  <c r="BF133" i="3"/>
  <c r="BF130" i="3"/>
  <c r="BG130" i="3" s="1"/>
  <c r="BB135" i="3"/>
  <c r="BB132" i="3"/>
  <c r="AU136" i="3"/>
  <c r="AV136" i="3" s="1"/>
  <c r="AX134" i="3"/>
  <c r="AS137" i="3"/>
  <c r="AT137" i="3" s="1"/>
  <c r="AR138" i="3"/>
  <c r="CT115" i="3" l="1"/>
  <c r="DC110" i="3"/>
  <c r="DO110" i="3" s="1"/>
  <c r="AJ114" i="25"/>
  <c r="AJ113" i="25"/>
  <c r="CP113" i="3"/>
  <c r="CP114" i="3"/>
  <c r="CL116" i="3"/>
  <c r="CL117" i="3"/>
  <c r="CJ118" i="3"/>
  <c r="CF121" i="3"/>
  <c r="CE119" i="3"/>
  <c r="CF119" i="3" s="1"/>
  <c r="CG119" i="3" s="1"/>
  <c r="CA120" i="3"/>
  <c r="CB120" i="3" s="1"/>
  <c r="BX122" i="3"/>
  <c r="BV123" i="3"/>
  <c r="BV126" i="3"/>
  <c r="BT124" i="3"/>
  <c r="BU124" i="3" s="1"/>
  <c r="BR125" i="3"/>
  <c r="BS125" i="3" s="1"/>
  <c r="BN127" i="3"/>
  <c r="BO127" i="3" s="1"/>
  <c r="BL131" i="3"/>
  <c r="BL128" i="3"/>
  <c r="BJ129" i="3"/>
  <c r="BK129" i="3" s="1"/>
  <c r="BH130" i="3"/>
  <c r="BH133" i="3"/>
  <c r="BD132" i="3"/>
  <c r="BE132" i="3" s="1"/>
  <c r="BD135" i="3"/>
  <c r="AZ134" i="3"/>
  <c r="AU137" i="3"/>
  <c r="AV137" i="3" s="1"/>
  <c r="AS138" i="3"/>
  <c r="AT138" i="3" s="1"/>
  <c r="AR139" i="3"/>
  <c r="CT114" i="3" l="1"/>
  <c r="DB110" i="3"/>
  <c r="CT113" i="3"/>
  <c r="DP113" i="3" s="1"/>
  <c r="CN117" i="3"/>
  <c r="CO117" i="3" s="1"/>
  <c r="CM116" i="3"/>
  <c r="CN116" i="3" s="1"/>
  <c r="CO116" i="3" s="1"/>
  <c r="CL118" i="3"/>
  <c r="CH121" i="3"/>
  <c r="CH119" i="3"/>
  <c r="CI119" i="3" s="1"/>
  <c r="CD120" i="3"/>
  <c r="BZ122" i="3"/>
  <c r="BX123" i="3"/>
  <c r="BX126" i="3"/>
  <c r="BV124" i="3"/>
  <c r="BW124" i="3" s="1"/>
  <c r="BT125" i="3"/>
  <c r="BP127" i="3"/>
  <c r="BN128" i="3"/>
  <c r="BN131" i="3"/>
  <c r="BL129" i="3"/>
  <c r="BJ130" i="3"/>
  <c r="BK130" i="3" s="1"/>
  <c r="BJ133" i="3"/>
  <c r="BF135" i="3"/>
  <c r="BF132" i="3"/>
  <c r="BG132" i="3" s="1"/>
  <c r="BB134" i="3"/>
  <c r="AV138" i="3"/>
  <c r="AX138" i="3" s="1"/>
  <c r="AX136" i="3"/>
  <c r="AS139" i="3"/>
  <c r="AT139" i="3" s="1"/>
  <c r="AR140" i="3"/>
  <c r="CV113" i="3" l="1"/>
  <c r="CP116" i="3"/>
  <c r="AJ117" i="25"/>
  <c r="CP117" i="3"/>
  <c r="AJ116" i="25"/>
  <c r="CN118" i="3"/>
  <c r="CO118" i="3" s="1"/>
  <c r="CJ119" i="3"/>
  <c r="CJ121" i="3"/>
  <c r="CE120" i="3"/>
  <c r="CF120" i="3" s="1"/>
  <c r="CG120" i="3" s="1"/>
  <c r="CA122" i="3"/>
  <c r="CB122" i="3" s="1"/>
  <c r="BZ126" i="3"/>
  <c r="BZ123" i="3"/>
  <c r="BX124" i="3"/>
  <c r="BV125" i="3"/>
  <c r="BR127" i="3"/>
  <c r="BP128" i="3"/>
  <c r="BP131" i="3"/>
  <c r="BN129" i="3"/>
  <c r="BO129" i="3" s="1"/>
  <c r="BL133" i="3"/>
  <c r="BL130" i="3"/>
  <c r="BH132" i="3"/>
  <c r="BH135" i="3"/>
  <c r="BD134" i="3"/>
  <c r="BE134" i="3" s="1"/>
  <c r="AZ136" i="3"/>
  <c r="AZ138" i="3"/>
  <c r="AU139" i="3"/>
  <c r="AV139" i="3" s="1"/>
  <c r="AX137" i="3"/>
  <c r="AS140" i="3"/>
  <c r="AT140" i="3" s="1"/>
  <c r="AR141" i="3"/>
  <c r="CT117" i="3" l="1"/>
  <c r="CT116" i="3"/>
  <c r="DP116" i="3" s="1"/>
  <c r="CU113" i="3"/>
  <c r="DA113" i="3" s="1"/>
  <c r="DP117" i="3"/>
  <c r="CP118" i="3"/>
  <c r="AJ118" i="25"/>
  <c r="CL121" i="3"/>
  <c r="CL119" i="3"/>
  <c r="CH120" i="3"/>
  <c r="CI120" i="3" s="1"/>
  <c r="CD122" i="3"/>
  <c r="CA123" i="3"/>
  <c r="CB123" i="3" s="1"/>
  <c r="CB126" i="3"/>
  <c r="CD126" i="3" s="1"/>
  <c r="BZ124" i="3"/>
  <c r="BX125" i="3"/>
  <c r="BY125" i="3" s="1"/>
  <c r="BT127" i="3"/>
  <c r="BR131" i="3"/>
  <c r="BR128" i="3"/>
  <c r="BP129" i="3"/>
  <c r="BN133" i="3"/>
  <c r="BN130" i="3"/>
  <c r="BJ135" i="3"/>
  <c r="BJ132" i="3"/>
  <c r="BK132" i="3" s="1"/>
  <c r="BF134" i="3"/>
  <c r="BG134" i="3" s="1"/>
  <c r="BB138" i="3"/>
  <c r="BB136" i="3"/>
  <c r="AZ137" i="3"/>
  <c r="AU140" i="3"/>
  <c r="AV140" i="3" s="1"/>
  <c r="AW140" i="3" s="1"/>
  <c r="AS141" i="3"/>
  <c r="AT141" i="3" s="1"/>
  <c r="AR142" i="3"/>
  <c r="AS142" i="3" s="1"/>
  <c r="CV116" i="3" l="1"/>
  <c r="CU116" i="3" s="1"/>
  <c r="DA116" i="3" s="1"/>
  <c r="DC113" i="3"/>
  <c r="DB113" i="3" s="1"/>
  <c r="CT118" i="3"/>
  <c r="DP118" i="3" s="1"/>
  <c r="CV117" i="3"/>
  <c r="CN119" i="3"/>
  <c r="CO119" i="3" s="1"/>
  <c r="CN121" i="3"/>
  <c r="CO121" i="3" s="1"/>
  <c r="CJ120" i="3"/>
  <c r="CF126" i="3"/>
  <c r="CE122" i="3"/>
  <c r="CF122" i="3" s="1"/>
  <c r="CG122" i="3" s="1"/>
  <c r="CD123" i="3"/>
  <c r="CA124" i="3"/>
  <c r="CB124" i="3" s="1"/>
  <c r="BZ125" i="3"/>
  <c r="BV127" i="3"/>
  <c r="BT131" i="3"/>
  <c r="BT128" i="3"/>
  <c r="BU128" i="3" s="1"/>
  <c r="BR129" i="3"/>
  <c r="BS129" i="3" s="1"/>
  <c r="BP133" i="3"/>
  <c r="BP130" i="3"/>
  <c r="BL132" i="3"/>
  <c r="BL135" i="3"/>
  <c r="BH134" i="3"/>
  <c r="BD136" i="3"/>
  <c r="BE136" i="3" s="1"/>
  <c r="BD138" i="3"/>
  <c r="BB137" i="3"/>
  <c r="AU141" i="3"/>
  <c r="AV141" i="3" s="1"/>
  <c r="AX139" i="3"/>
  <c r="AT142" i="3"/>
  <c r="AU142" i="3" s="1"/>
  <c r="AR143" i="3"/>
  <c r="DO113" i="3" l="1"/>
  <c r="CU117" i="3"/>
  <c r="DA117" i="3" s="1"/>
  <c r="DC117" i="3" s="1"/>
  <c r="DB117" i="3" s="1"/>
  <c r="DC116" i="3"/>
  <c r="DO116" i="3" s="1"/>
  <c r="CV118" i="3"/>
  <c r="AJ121" i="25"/>
  <c r="CP119" i="3"/>
  <c r="AJ119" i="25"/>
  <c r="CP121" i="3"/>
  <c r="CL120" i="3"/>
  <c r="CH122" i="3"/>
  <c r="CI122" i="3" s="1"/>
  <c r="CH126" i="3"/>
  <c r="CE123" i="3"/>
  <c r="CF123" i="3" s="1"/>
  <c r="CG123" i="3" s="1"/>
  <c r="CD124" i="3"/>
  <c r="CA125" i="3"/>
  <c r="CB125" i="3" s="1"/>
  <c r="BX127" i="3"/>
  <c r="BV128" i="3"/>
  <c r="BV131" i="3"/>
  <c r="BT129" i="3"/>
  <c r="BR130" i="3"/>
  <c r="BR133" i="3"/>
  <c r="BN135" i="3"/>
  <c r="BN132" i="3"/>
  <c r="BO132" i="3" s="1"/>
  <c r="BJ134" i="3"/>
  <c r="BF138" i="3"/>
  <c r="BF136" i="3"/>
  <c r="BG136" i="3" s="1"/>
  <c r="BD137" i="3"/>
  <c r="AZ139" i="3"/>
  <c r="AV142" i="3"/>
  <c r="AW142" i="3" s="1"/>
  <c r="AX140" i="3"/>
  <c r="AS143" i="3"/>
  <c r="AT143" i="3" s="1"/>
  <c r="AR144" i="3"/>
  <c r="CT119" i="3" l="1"/>
  <c r="CU118" i="3"/>
  <c r="DA118" i="3" s="1"/>
  <c r="DC118" i="3" s="1"/>
  <c r="DO118" i="3" s="1"/>
  <c r="DO117" i="3"/>
  <c r="DB116" i="3"/>
  <c r="CT121" i="3"/>
  <c r="DP121" i="3" s="1"/>
  <c r="CN120" i="3"/>
  <c r="CO120" i="3" s="1"/>
  <c r="CJ126" i="3"/>
  <c r="CJ122" i="3"/>
  <c r="CH123" i="3"/>
  <c r="CI123" i="3" s="1"/>
  <c r="CF124" i="3"/>
  <c r="CD125" i="3"/>
  <c r="CE125" i="3" s="1"/>
  <c r="BZ127" i="3"/>
  <c r="BX131" i="3"/>
  <c r="BX128" i="3"/>
  <c r="BV129" i="3"/>
  <c r="BT133" i="3"/>
  <c r="BT130" i="3"/>
  <c r="BP132" i="3"/>
  <c r="BP135" i="3"/>
  <c r="BL134" i="3"/>
  <c r="BH136" i="3"/>
  <c r="BH138" i="3"/>
  <c r="BF137" i="3"/>
  <c r="BB139" i="3"/>
  <c r="AZ140" i="3"/>
  <c r="AU143" i="3"/>
  <c r="AV143" i="3" s="1"/>
  <c r="AX141" i="3"/>
  <c r="AS144" i="3"/>
  <c r="AT144" i="3" s="1"/>
  <c r="AR145" i="3"/>
  <c r="DB118" i="3" l="1"/>
  <c r="CV121" i="3"/>
  <c r="CP120" i="3"/>
  <c r="AJ120" i="25"/>
  <c r="CL122" i="3"/>
  <c r="CL126" i="3"/>
  <c r="CJ123" i="3"/>
  <c r="CH124" i="3"/>
  <c r="CF125" i="3"/>
  <c r="CG125" i="3" s="1"/>
  <c r="CA127" i="3"/>
  <c r="CB127" i="3" s="1"/>
  <c r="BZ128" i="3"/>
  <c r="CA128" i="3" s="1"/>
  <c r="BZ131" i="3"/>
  <c r="BX129" i="3"/>
  <c r="BV130" i="3"/>
  <c r="BV133" i="3"/>
  <c r="BR135" i="3"/>
  <c r="BR132" i="3"/>
  <c r="BS132" i="3" s="1"/>
  <c r="BN134" i="3"/>
  <c r="BJ138" i="3"/>
  <c r="BJ136" i="3"/>
  <c r="BK136" i="3" s="1"/>
  <c r="BH137" i="3"/>
  <c r="BD139" i="3"/>
  <c r="BA140" i="3"/>
  <c r="BB140" i="3" s="1"/>
  <c r="AZ141" i="3"/>
  <c r="AU144" i="3"/>
  <c r="AV144" i="3" s="1"/>
  <c r="AX142" i="3"/>
  <c r="AS145" i="3"/>
  <c r="AT145" i="3" s="1"/>
  <c r="AR146" i="3"/>
  <c r="CT120" i="3" l="1"/>
  <c r="CU121" i="3"/>
  <c r="DA121" i="3" s="1"/>
  <c r="CN126" i="3"/>
  <c r="CO126" i="3" s="1"/>
  <c r="CN122" i="3"/>
  <c r="CO122" i="3" s="1"/>
  <c r="CL123" i="3"/>
  <c r="CJ124" i="3"/>
  <c r="CH125" i="3"/>
  <c r="CI125" i="3" s="1"/>
  <c r="CD127" i="3"/>
  <c r="CB131" i="3"/>
  <c r="CD131" i="3" s="1"/>
  <c r="BZ129" i="3"/>
  <c r="BX133" i="3"/>
  <c r="BX130" i="3"/>
  <c r="BT132" i="3"/>
  <c r="BT135" i="3"/>
  <c r="BP134" i="3"/>
  <c r="BL136" i="3"/>
  <c r="BL138" i="3"/>
  <c r="BJ137" i="3"/>
  <c r="BF139" i="3"/>
  <c r="BD140" i="3"/>
  <c r="BE140" i="3" s="1"/>
  <c r="BB141" i="3"/>
  <c r="AZ142" i="3"/>
  <c r="AU145" i="3"/>
  <c r="AV145" i="3" s="1"/>
  <c r="AW145" i="3" s="1"/>
  <c r="AX143" i="3"/>
  <c r="AS146" i="3"/>
  <c r="AT146" i="3" s="1"/>
  <c r="AR147" i="3"/>
  <c r="DC121" i="3" l="1"/>
  <c r="DB121" i="3" s="1"/>
  <c r="AJ122" i="25"/>
  <c r="CP126" i="3"/>
  <c r="AJ126" i="25"/>
  <c r="CP122" i="3"/>
  <c r="CN123" i="3"/>
  <c r="CO123" i="3" s="1"/>
  <c r="CL124" i="3"/>
  <c r="CJ125" i="3"/>
  <c r="CF131" i="3"/>
  <c r="CE127" i="3"/>
  <c r="CF127" i="3" s="1"/>
  <c r="CG127" i="3" s="1"/>
  <c r="CB129" i="3"/>
  <c r="CD129" i="3" s="1"/>
  <c r="BZ133" i="3"/>
  <c r="BZ130" i="3"/>
  <c r="BV132" i="3"/>
  <c r="BV135" i="3"/>
  <c r="BR134" i="3"/>
  <c r="BN138" i="3"/>
  <c r="BN136" i="3"/>
  <c r="BO136" i="3" s="1"/>
  <c r="BL137" i="3"/>
  <c r="BH139" i="3"/>
  <c r="BF140" i="3"/>
  <c r="BG140" i="3" s="1"/>
  <c r="BD141" i="3"/>
  <c r="BE141" i="3" s="1"/>
  <c r="BB142" i="3"/>
  <c r="AZ143" i="3"/>
  <c r="AU146" i="3"/>
  <c r="AV146" i="3" s="1"/>
  <c r="AX144" i="3"/>
  <c r="AS147" i="3"/>
  <c r="AT147" i="3" s="1"/>
  <c r="AR148" i="3"/>
  <c r="DO121" i="3" l="1"/>
  <c r="CT122" i="3"/>
  <c r="DP122" i="3" s="1"/>
  <c r="CT126" i="3"/>
  <c r="DP126" i="3" s="1"/>
  <c r="AJ123" i="25"/>
  <c r="CP123" i="3"/>
  <c r="CN124" i="3"/>
  <c r="CO124" i="3" s="1"/>
  <c r="CL125" i="3"/>
  <c r="CH127" i="3"/>
  <c r="CI127" i="3" s="1"/>
  <c r="CH131" i="3"/>
  <c r="CF129" i="3"/>
  <c r="CB130" i="3"/>
  <c r="CD130" i="3" s="1"/>
  <c r="CB133" i="3"/>
  <c r="CD133" i="3" s="1"/>
  <c r="BX135" i="3"/>
  <c r="BX132" i="3"/>
  <c r="BY132" i="3" s="1"/>
  <c r="BT134" i="3"/>
  <c r="BP136" i="3"/>
  <c r="BP138" i="3"/>
  <c r="BN137" i="3"/>
  <c r="BJ139" i="3"/>
  <c r="BH140" i="3"/>
  <c r="BF141" i="3"/>
  <c r="BG141" i="3" s="1"/>
  <c r="BD142" i="3"/>
  <c r="BE142" i="3" s="1"/>
  <c r="BB143" i="3"/>
  <c r="AZ144" i="3"/>
  <c r="AU147" i="3"/>
  <c r="AV147" i="3" s="1"/>
  <c r="AW147" i="3" s="1"/>
  <c r="AX145" i="3"/>
  <c r="AS148" i="3"/>
  <c r="AT148" i="3" s="1"/>
  <c r="AR149" i="3"/>
  <c r="AT149" i="3" s="1"/>
  <c r="CT123" i="3" l="1"/>
  <c r="CV122" i="3"/>
  <c r="CV126" i="3"/>
  <c r="CP124" i="3"/>
  <c r="AJ124" i="25"/>
  <c r="CN125" i="3"/>
  <c r="CO125" i="3" s="1"/>
  <c r="CJ131" i="3"/>
  <c r="CJ127" i="3"/>
  <c r="CH129" i="3"/>
  <c r="CF133" i="3"/>
  <c r="CF130" i="3"/>
  <c r="BZ132" i="3"/>
  <c r="BZ135" i="3"/>
  <c r="BV134" i="3"/>
  <c r="BR138" i="3"/>
  <c r="BR136" i="3"/>
  <c r="BS136" i="3" s="1"/>
  <c r="BP137" i="3"/>
  <c r="BL139" i="3"/>
  <c r="BJ140" i="3"/>
  <c r="BK140" i="3" s="1"/>
  <c r="BH141" i="3"/>
  <c r="BF142" i="3"/>
  <c r="BG142" i="3" s="1"/>
  <c r="BD143" i="3"/>
  <c r="BB144" i="3"/>
  <c r="AZ145" i="3"/>
  <c r="AU148" i="3"/>
  <c r="AV148" i="3" s="1"/>
  <c r="AV149" i="3"/>
  <c r="AX149" i="3" s="1"/>
  <c r="AX146" i="3"/>
  <c r="AR150" i="3"/>
  <c r="CU126" i="3" l="1"/>
  <c r="DA126" i="3" s="1"/>
  <c r="DC126" i="3" s="1"/>
  <c r="DO126" i="3" s="1"/>
  <c r="CU122" i="3"/>
  <c r="DA122" i="3" s="1"/>
  <c r="DC122" i="3" s="1"/>
  <c r="DO122" i="3" s="1"/>
  <c r="CT124" i="3"/>
  <c r="DP124" i="3" s="1"/>
  <c r="CP125" i="3"/>
  <c r="AJ125" i="25"/>
  <c r="CL127" i="3"/>
  <c r="CL131" i="3"/>
  <c r="CJ129" i="3"/>
  <c r="CH133" i="3"/>
  <c r="CH130" i="3"/>
  <c r="CA132" i="3"/>
  <c r="CB132" i="3" s="1"/>
  <c r="CD132" i="3" s="1"/>
  <c r="CE132" i="3" s="1"/>
  <c r="CB135" i="3"/>
  <c r="CD135" i="3" s="1"/>
  <c r="BX134" i="3"/>
  <c r="BT136" i="3"/>
  <c r="BT138" i="3"/>
  <c r="BR137" i="3"/>
  <c r="BN139" i="3"/>
  <c r="BL140" i="3"/>
  <c r="BJ141" i="3"/>
  <c r="BK141" i="3" s="1"/>
  <c r="BH142" i="3"/>
  <c r="BF143" i="3"/>
  <c r="BD144" i="3"/>
  <c r="BE144" i="3" s="1"/>
  <c r="BA145" i="3"/>
  <c r="BB145" i="3" s="1"/>
  <c r="AZ146" i="3"/>
  <c r="AZ149" i="3"/>
  <c r="AX147" i="3"/>
  <c r="AS150" i="3"/>
  <c r="AT150" i="3" s="1"/>
  <c r="AR151" i="3"/>
  <c r="DB126" i="3" l="1"/>
  <c r="DB122" i="3"/>
  <c r="CV124" i="3"/>
  <c r="CT125" i="3"/>
  <c r="DP125" i="3" s="1"/>
  <c r="CN131" i="3"/>
  <c r="CO131" i="3" s="1"/>
  <c r="CN127" i="3"/>
  <c r="CO127" i="3" s="1"/>
  <c r="CL129" i="3"/>
  <c r="CJ130" i="3"/>
  <c r="CJ133" i="3"/>
  <c r="CF135" i="3"/>
  <c r="CF132" i="3"/>
  <c r="CG132" i="3" s="1"/>
  <c r="BZ134" i="3"/>
  <c r="BV138" i="3"/>
  <c r="BV136" i="3"/>
  <c r="BT137" i="3"/>
  <c r="BP139" i="3"/>
  <c r="BN140" i="3"/>
  <c r="BL141" i="3"/>
  <c r="BJ142" i="3"/>
  <c r="BK142" i="3" s="1"/>
  <c r="BH143" i="3"/>
  <c r="BF144" i="3"/>
  <c r="BG144" i="3" s="1"/>
  <c r="BD145" i="3"/>
  <c r="BE145" i="3" s="1"/>
  <c r="BB149" i="3"/>
  <c r="BB146" i="3"/>
  <c r="AZ147" i="3"/>
  <c r="AU150" i="3"/>
  <c r="AV150" i="3" s="1"/>
  <c r="AX148" i="3"/>
  <c r="AS151" i="3"/>
  <c r="AT151" i="3" s="1"/>
  <c r="AR152" i="3"/>
  <c r="CU124" i="3" l="1"/>
  <c r="DA124" i="3" s="1"/>
  <c r="CV125" i="3"/>
  <c r="AJ127" i="25"/>
  <c r="CP131" i="3"/>
  <c r="AJ131" i="25"/>
  <c r="CP127" i="3"/>
  <c r="CN129" i="3"/>
  <c r="CO129" i="3" s="1"/>
  <c r="CL133" i="3"/>
  <c r="CL130" i="3"/>
  <c r="CH135" i="3"/>
  <c r="CH132" i="3"/>
  <c r="CI132" i="3" s="1"/>
  <c r="CB134" i="3"/>
  <c r="CD134" i="3" s="1"/>
  <c r="BX136" i="3"/>
  <c r="BX138" i="3"/>
  <c r="BV137" i="3"/>
  <c r="BR139" i="3"/>
  <c r="BP140" i="3"/>
  <c r="BN141" i="3"/>
  <c r="BO141" i="3" s="1"/>
  <c r="BL142" i="3"/>
  <c r="BJ143" i="3"/>
  <c r="BH144" i="3"/>
  <c r="BF145" i="3"/>
  <c r="BG145" i="3" s="1"/>
  <c r="BD149" i="3"/>
  <c r="BD146" i="3"/>
  <c r="BE146" i="3" s="1"/>
  <c r="BA147" i="3"/>
  <c r="BB147" i="3" s="1"/>
  <c r="AZ148" i="3"/>
  <c r="AU151" i="3"/>
  <c r="AV151" i="3" s="1"/>
  <c r="AS152" i="3"/>
  <c r="AT152" i="3" s="1"/>
  <c r="AR153" i="3"/>
  <c r="CT127" i="3" l="1"/>
  <c r="CT131" i="3"/>
  <c r="DC124" i="3"/>
  <c r="DO124" i="3" s="1"/>
  <c r="CU125" i="3"/>
  <c r="DA125" i="3" s="1"/>
  <c r="DC125" i="3" s="1"/>
  <c r="DO125" i="3" s="1"/>
  <c r="CP129" i="3"/>
  <c r="AJ129" i="25"/>
  <c r="CN133" i="3"/>
  <c r="CO133" i="3" s="1"/>
  <c r="CN130" i="3"/>
  <c r="CO130" i="3" s="1"/>
  <c r="CJ132" i="3"/>
  <c r="CJ135" i="3"/>
  <c r="CF134" i="3"/>
  <c r="BZ138" i="3"/>
  <c r="BZ136" i="3"/>
  <c r="BX137" i="3"/>
  <c r="BT139" i="3"/>
  <c r="BR140" i="3"/>
  <c r="BS140" i="3" s="1"/>
  <c r="BP141" i="3"/>
  <c r="BN142" i="3"/>
  <c r="BL143" i="3"/>
  <c r="BJ144" i="3"/>
  <c r="BK144" i="3" s="1"/>
  <c r="BH145" i="3"/>
  <c r="BF149" i="3"/>
  <c r="BF146" i="3"/>
  <c r="BG146" i="3" s="1"/>
  <c r="BD147" i="3"/>
  <c r="BE147" i="3" s="1"/>
  <c r="BB148" i="3"/>
  <c r="AU152" i="3"/>
  <c r="AV152" i="3" s="1"/>
  <c r="AW152" i="3" s="1"/>
  <c r="AX150" i="3"/>
  <c r="AS153" i="3"/>
  <c r="AT153" i="3" s="1"/>
  <c r="AR154" i="3"/>
  <c r="DB124" i="3" l="1"/>
  <c r="CT129" i="3"/>
  <c r="DB125" i="3"/>
  <c r="CP130" i="3"/>
  <c r="CP133" i="3"/>
  <c r="AJ133" i="25"/>
  <c r="AJ130" i="25"/>
  <c r="CL135" i="3"/>
  <c r="CL132" i="3"/>
  <c r="CH134" i="3"/>
  <c r="CB136" i="3"/>
  <c r="CB138" i="3"/>
  <c r="CD138" i="3" s="1"/>
  <c r="BZ137" i="3"/>
  <c r="BV139" i="3"/>
  <c r="BT140" i="3"/>
  <c r="BR141" i="3"/>
  <c r="BP142" i="3"/>
  <c r="BN143" i="3"/>
  <c r="BL144" i="3"/>
  <c r="BJ145" i="3"/>
  <c r="BK145" i="3" s="1"/>
  <c r="BH146" i="3"/>
  <c r="BH149" i="3"/>
  <c r="BF147" i="3"/>
  <c r="BG147" i="3" s="1"/>
  <c r="BD148" i="3"/>
  <c r="BE148" i="3" s="1"/>
  <c r="AZ150" i="3"/>
  <c r="AU153" i="3"/>
  <c r="AV153" i="3" s="1"/>
  <c r="AX151" i="3"/>
  <c r="AS154" i="3"/>
  <c r="AT154" i="3" s="1"/>
  <c r="AR155" i="3"/>
  <c r="CT133" i="3" l="1"/>
  <c r="CT130" i="3"/>
  <c r="CN132" i="3"/>
  <c r="CO132" i="3" s="1"/>
  <c r="CN135" i="3"/>
  <c r="CO135" i="3" s="1"/>
  <c r="CJ134" i="3"/>
  <c r="CF138" i="3"/>
  <c r="CD136" i="3"/>
  <c r="CB137" i="3"/>
  <c r="CD137" i="3" s="1"/>
  <c r="BX139" i="3"/>
  <c r="BV140" i="3"/>
  <c r="BT141" i="3"/>
  <c r="BR142" i="3"/>
  <c r="BP143" i="3"/>
  <c r="BN144" i="3"/>
  <c r="BO144" i="3" s="1"/>
  <c r="BL145" i="3"/>
  <c r="BJ146" i="3"/>
  <c r="BK146" i="3" s="1"/>
  <c r="BJ149" i="3"/>
  <c r="BH147" i="3"/>
  <c r="BF148" i="3"/>
  <c r="BG148" i="3" s="1"/>
  <c r="BB150" i="3"/>
  <c r="AZ151" i="3"/>
  <c r="AU154" i="3"/>
  <c r="AV154" i="3" s="1"/>
  <c r="AW154" i="3" s="1"/>
  <c r="AX152" i="3"/>
  <c r="AS155" i="3"/>
  <c r="AT155" i="3" s="1"/>
  <c r="AR156" i="3"/>
  <c r="AJ135" i="25" l="1"/>
  <c r="AJ132" i="25"/>
  <c r="CP132" i="3"/>
  <c r="CP135" i="3"/>
  <c r="CL134" i="3"/>
  <c r="CH138" i="3"/>
  <c r="CF137" i="3"/>
  <c r="CF136" i="3"/>
  <c r="BZ139" i="3"/>
  <c r="BX140" i="3"/>
  <c r="BV141" i="3"/>
  <c r="BT142" i="3"/>
  <c r="BU142" i="3" s="1"/>
  <c r="BR143" i="3"/>
  <c r="BP144" i="3"/>
  <c r="BN145" i="3"/>
  <c r="BL149" i="3"/>
  <c r="BL146" i="3"/>
  <c r="BJ147" i="3"/>
  <c r="BK147" i="3" s="1"/>
  <c r="BH148" i="3"/>
  <c r="BD150" i="3"/>
  <c r="BE150" i="3" s="1"/>
  <c r="BB151" i="3"/>
  <c r="AZ152" i="3"/>
  <c r="AU155" i="3"/>
  <c r="AV155" i="3" s="1"/>
  <c r="AS156" i="3"/>
  <c r="AT156" i="3" s="1"/>
  <c r="AX153" i="3"/>
  <c r="AR157" i="3"/>
  <c r="CT135" i="3" l="1"/>
  <c r="CT132" i="3"/>
  <c r="CN134" i="3"/>
  <c r="CO134" i="3" s="1"/>
  <c r="CJ138" i="3"/>
  <c r="CH137" i="3"/>
  <c r="CH136" i="3"/>
  <c r="CB139" i="3"/>
  <c r="CD139" i="3" s="1"/>
  <c r="BZ140" i="3"/>
  <c r="BX141" i="3"/>
  <c r="BV142" i="3"/>
  <c r="BT143" i="3"/>
  <c r="BR144" i="3"/>
  <c r="BP145" i="3"/>
  <c r="BN146" i="3"/>
  <c r="BO146" i="3" s="1"/>
  <c r="BN149" i="3"/>
  <c r="BL147" i="3"/>
  <c r="BJ148" i="3"/>
  <c r="BK148" i="3" s="1"/>
  <c r="BF150" i="3"/>
  <c r="BG150" i="3" s="1"/>
  <c r="BD151" i="3"/>
  <c r="BE151" i="3" s="1"/>
  <c r="BA152" i="3"/>
  <c r="BB152" i="3" s="1"/>
  <c r="AZ153" i="3"/>
  <c r="AU156" i="3"/>
  <c r="AV156" i="3" s="1"/>
  <c r="AW156" i="3" s="1"/>
  <c r="AX154" i="3"/>
  <c r="AS157" i="3"/>
  <c r="AT157" i="3" s="1"/>
  <c r="AR158" i="3"/>
  <c r="CP134" i="3" l="1"/>
  <c r="AJ134" i="25"/>
  <c r="CL138" i="3"/>
  <c r="CJ136" i="3"/>
  <c r="CJ137" i="3"/>
  <c r="CF139" i="3"/>
  <c r="CB140" i="3"/>
  <c r="BZ141" i="3"/>
  <c r="BX142" i="3"/>
  <c r="BV143" i="3"/>
  <c r="BT144" i="3"/>
  <c r="BU144" i="3" s="1"/>
  <c r="BR145" i="3"/>
  <c r="BP149" i="3"/>
  <c r="BP146" i="3"/>
  <c r="BN147" i="3"/>
  <c r="BL148" i="3"/>
  <c r="BH150" i="3"/>
  <c r="BF151" i="3"/>
  <c r="BG151" i="3" s="1"/>
  <c r="BD152" i="3"/>
  <c r="BE152" i="3" s="1"/>
  <c r="BB153" i="3"/>
  <c r="AZ154" i="3"/>
  <c r="AU157" i="3"/>
  <c r="AV157" i="3" s="1"/>
  <c r="AX155" i="3"/>
  <c r="AX156" i="3"/>
  <c r="AS158" i="3"/>
  <c r="AT158" i="3" s="1"/>
  <c r="AR159" i="3"/>
  <c r="AT159" i="3" s="1"/>
  <c r="CT134" i="3" l="1"/>
  <c r="CN138" i="3"/>
  <c r="CO138" i="3" s="1"/>
  <c r="CL137" i="3"/>
  <c r="CL136" i="3"/>
  <c r="CH139" i="3"/>
  <c r="CD140" i="3"/>
  <c r="CA141" i="3"/>
  <c r="CB141" i="3" s="1"/>
  <c r="CD141" i="3" s="1"/>
  <c r="BZ142" i="3"/>
  <c r="CA142" i="3" s="1"/>
  <c r="CB128" i="3" s="1"/>
  <c r="CD128" i="3" s="1"/>
  <c r="CF128" i="3" s="1"/>
  <c r="CH128" i="3" s="1"/>
  <c r="CJ128" i="3" s="1"/>
  <c r="CL128" i="3" s="1"/>
  <c r="CN128" i="3" s="1"/>
  <c r="CO128" i="3" s="1"/>
  <c r="BX143" i="3"/>
  <c r="BV144" i="3"/>
  <c r="BT145" i="3"/>
  <c r="BU145" i="3" s="1"/>
  <c r="BR146" i="3"/>
  <c r="BS146" i="3" s="1"/>
  <c r="BR149" i="3"/>
  <c r="BP147" i="3"/>
  <c r="BN148" i="3"/>
  <c r="BO148" i="3" s="1"/>
  <c r="BJ150" i="3"/>
  <c r="BK150" i="3" s="1"/>
  <c r="BH151" i="3"/>
  <c r="BF152" i="3"/>
  <c r="BG152" i="3" s="1"/>
  <c r="BD153" i="3"/>
  <c r="BE153" i="3" s="1"/>
  <c r="BB154" i="3"/>
  <c r="AZ156" i="3"/>
  <c r="AZ155" i="3"/>
  <c r="AV159" i="3"/>
  <c r="AX159" i="3" s="1"/>
  <c r="AU158" i="3"/>
  <c r="AV158" i="3" s="1"/>
  <c r="AR160" i="3"/>
  <c r="CP128" i="3" l="1"/>
  <c r="AJ128" i="25"/>
  <c r="CP138" i="3"/>
  <c r="AJ138" i="25"/>
  <c r="CN137" i="3"/>
  <c r="CO137" i="3" s="1"/>
  <c r="CN136" i="3"/>
  <c r="CO136" i="3" s="1"/>
  <c r="CJ139" i="3"/>
  <c r="CF141" i="3"/>
  <c r="CF140" i="3"/>
  <c r="CB142" i="3"/>
  <c r="CD142" i="3" s="1"/>
  <c r="BZ143" i="3"/>
  <c r="BX144" i="3"/>
  <c r="BV145" i="3"/>
  <c r="BW145" i="3" s="1"/>
  <c r="BT146" i="3"/>
  <c r="BT149" i="3"/>
  <c r="BR147" i="3"/>
  <c r="BS147" i="3" s="1"/>
  <c r="BP148" i="3"/>
  <c r="BL150" i="3"/>
  <c r="BJ151" i="3"/>
  <c r="BK151" i="3" s="1"/>
  <c r="BH152" i="3"/>
  <c r="BF153" i="3"/>
  <c r="BG153" i="3" s="1"/>
  <c r="BD154" i="3"/>
  <c r="BB155" i="3"/>
  <c r="BB156" i="3"/>
  <c r="AZ159" i="3"/>
  <c r="AX157" i="3"/>
  <c r="AS160" i="3"/>
  <c r="AT160" i="3" s="1"/>
  <c r="AR161" i="3"/>
  <c r="CT138" i="3" l="1"/>
  <c r="CT128" i="3"/>
  <c r="DP128" i="3" s="1"/>
  <c r="CP136" i="3"/>
  <c r="AJ137" i="25"/>
  <c r="CP137" i="3"/>
  <c r="AJ136" i="25"/>
  <c r="CL139" i="3"/>
  <c r="CH140" i="3"/>
  <c r="CH141" i="3"/>
  <c r="CF142" i="3"/>
  <c r="CG142" i="3" s="1"/>
  <c r="CB143" i="3"/>
  <c r="CD143" i="3" s="1"/>
  <c r="BZ144" i="3"/>
  <c r="BX145" i="3"/>
  <c r="BV149" i="3"/>
  <c r="BV146" i="3"/>
  <c r="BT147" i="3"/>
  <c r="BR148" i="3"/>
  <c r="BN150" i="3"/>
  <c r="BO150" i="3" s="1"/>
  <c r="BL151" i="3"/>
  <c r="BJ152" i="3"/>
  <c r="BK152" i="3" s="1"/>
  <c r="BH153" i="3"/>
  <c r="BF154" i="3"/>
  <c r="BD156" i="3"/>
  <c r="BD155" i="3"/>
  <c r="BE155" i="3" s="1"/>
  <c r="BB159" i="3"/>
  <c r="AZ157" i="3"/>
  <c r="AU160" i="3"/>
  <c r="AV160" i="3" s="1"/>
  <c r="AX158" i="3"/>
  <c r="AS161" i="3"/>
  <c r="AT161" i="3" s="1"/>
  <c r="AR162" i="3"/>
  <c r="CT137" i="3" l="1"/>
  <c r="CT136" i="3"/>
  <c r="CV128" i="3"/>
  <c r="CN139" i="3"/>
  <c r="CO139" i="3" s="1"/>
  <c r="CJ141" i="3"/>
  <c r="CJ140" i="3"/>
  <c r="CH142" i="3"/>
  <c r="CI142" i="3" s="1"/>
  <c r="CF143" i="3"/>
  <c r="CA144" i="3"/>
  <c r="CB144" i="3" s="1"/>
  <c r="CD144" i="3" s="1"/>
  <c r="BZ145" i="3"/>
  <c r="BX146" i="3"/>
  <c r="BY146" i="3" s="1"/>
  <c r="BX149" i="3"/>
  <c r="BV147" i="3"/>
  <c r="BT148" i="3"/>
  <c r="BP150" i="3"/>
  <c r="BN151" i="3"/>
  <c r="BO151" i="3" s="1"/>
  <c r="BL152" i="3"/>
  <c r="BJ153" i="3"/>
  <c r="BH154" i="3"/>
  <c r="BF156" i="3"/>
  <c r="BF155" i="3"/>
  <c r="BG155" i="3" s="1"/>
  <c r="BD159" i="3"/>
  <c r="BB157" i="3"/>
  <c r="AZ158" i="3"/>
  <c r="AU161" i="3"/>
  <c r="AV161" i="3" s="1"/>
  <c r="AW161" i="3" s="1"/>
  <c r="AS162" i="3"/>
  <c r="AT162" i="3" s="1"/>
  <c r="AR163" i="3"/>
  <c r="CU128" i="3" l="1"/>
  <c r="DA128" i="3" s="1"/>
  <c r="DC128" i="3" s="1"/>
  <c r="DO128" i="3" s="1"/>
  <c r="CP139" i="3"/>
  <c r="AJ139" i="25"/>
  <c r="CL140" i="3"/>
  <c r="CL141" i="3"/>
  <c r="CJ142" i="3"/>
  <c r="CH143" i="3"/>
  <c r="CE144" i="3"/>
  <c r="CF144" i="3" s="1"/>
  <c r="CA145" i="3"/>
  <c r="CB145" i="3" s="1"/>
  <c r="CD145" i="3" s="1"/>
  <c r="BZ149" i="3"/>
  <c r="BZ146" i="3"/>
  <c r="BX147" i="3"/>
  <c r="BV148" i="3"/>
  <c r="BR150" i="3"/>
  <c r="BS150" i="3" s="1"/>
  <c r="BP151" i="3"/>
  <c r="BN152" i="3"/>
  <c r="BL153" i="3"/>
  <c r="BJ154" i="3"/>
  <c r="BH155" i="3"/>
  <c r="BH156" i="3"/>
  <c r="BF159" i="3"/>
  <c r="BD157" i="3"/>
  <c r="BB158" i="3"/>
  <c r="AU162" i="3"/>
  <c r="AV162" i="3" s="1"/>
  <c r="AX160" i="3"/>
  <c r="AS163" i="3"/>
  <c r="AT163" i="3" s="1"/>
  <c r="AR164" i="3"/>
  <c r="CT139" i="3" l="1"/>
  <c r="DB128" i="3"/>
  <c r="CN141" i="3"/>
  <c r="CO141" i="3" s="1"/>
  <c r="CN140" i="3"/>
  <c r="CO140" i="3" s="1"/>
  <c r="CL142" i="3"/>
  <c r="CJ143" i="3"/>
  <c r="CH144" i="3"/>
  <c r="CF145" i="3"/>
  <c r="CG145" i="3" s="1"/>
  <c r="CA146" i="3"/>
  <c r="CB146" i="3" s="1"/>
  <c r="CD146" i="3" s="1"/>
  <c r="CE146" i="3" s="1"/>
  <c r="CB149" i="3"/>
  <c r="BZ147" i="3"/>
  <c r="BX148" i="3"/>
  <c r="BT150" i="3"/>
  <c r="BR151" i="3"/>
  <c r="BP152" i="3"/>
  <c r="BN153" i="3"/>
  <c r="BL154" i="3"/>
  <c r="BJ156" i="3"/>
  <c r="BJ155" i="3"/>
  <c r="BH159" i="3"/>
  <c r="BF157" i="3"/>
  <c r="BD158" i="3"/>
  <c r="BE158" i="3" s="1"/>
  <c r="AZ160" i="3"/>
  <c r="AU163" i="3"/>
  <c r="AV163" i="3" s="1"/>
  <c r="AX161" i="3"/>
  <c r="AS164" i="3"/>
  <c r="AT164" i="3" s="1"/>
  <c r="AR165" i="3"/>
  <c r="CP140" i="3" l="1"/>
  <c r="CP141" i="3"/>
  <c r="AJ141" i="25"/>
  <c r="AJ140" i="25"/>
  <c r="CN142" i="3"/>
  <c r="CO142" i="3" s="1"/>
  <c r="CL143" i="3"/>
  <c r="CJ144" i="3"/>
  <c r="CH145" i="3"/>
  <c r="CI145" i="3" s="1"/>
  <c r="CF146" i="3"/>
  <c r="CG146" i="3" s="1"/>
  <c r="CD149" i="3"/>
  <c r="CA147" i="3"/>
  <c r="CB147" i="3" s="1"/>
  <c r="BZ148" i="3"/>
  <c r="CA148" i="3" s="1"/>
  <c r="BV150" i="3"/>
  <c r="BT151" i="3"/>
  <c r="BU151" i="3" s="1"/>
  <c r="BR152" i="3"/>
  <c r="BP153" i="3"/>
  <c r="BN154" i="3"/>
  <c r="BL155" i="3"/>
  <c r="BL156" i="3"/>
  <c r="BJ159" i="3"/>
  <c r="BH157" i="3"/>
  <c r="BF158" i="3"/>
  <c r="BG158" i="3" s="1"/>
  <c r="BB160" i="3"/>
  <c r="AZ161" i="3"/>
  <c r="AU164" i="3"/>
  <c r="AV164" i="3" s="1"/>
  <c r="AX162" i="3"/>
  <c r="AW163" i="3"/>
  <c r="AS165" i="3"/>
  <c r="AT165" i="3" s="1"/>
  <c r="AR166" i="3"/>
  <c r="CT141" i="3" l="1"/>
  <c r="CT140" i="3"/>
  <c r="CP142" i="3"/>
  <c r="AJ142" i="25"/>
  <c r="CN143" i="3"/>
  <c r="CO143" i="3" s="1"/>
  <c r="AJ143" i="25" s="1"/>
  <c r="CL144" i="3"/>
  <c r="CJ145" i="3"/>
  <c r="CH146" i="3"/>
  <c r="CI146" i="3" s="1"/>
  <c r="CF149" i="3"/>
  <c r="CD147" i="3"/>
  <c r="CB148" i="3"/>
  <c r="CD148" i="3" s="1"/>
  <c r="BX150" i="3"/>
  <c r="BV151" i="3"/>
  <c r="BT152" i="3"/>
  <c r="BU152" i="3" s="1"/>
  <c r="BR153" i="3"/>
  <c r="BP154" i="3"/>
  <c r="BN156" i="3"/>
  <c r="BN155" i="3"/>
  <c r="BL159" i="3"/>
  <c r="BJ157" i="3"/>
  <c r="BH158" i="3"/>
  <c r="BD160" i="3"/>
  <c r="BE160" i="3" s="1"/>
  <c r="BA161" i="3"/>
  <c r="BB161" i="3" s="1"/>
  <c r="AZ162" i="3"/>
  <c r="AU165" i="3"/>
  <c r="AV165" i="3" s="1"/>
  <c r="AX163" i="3"/>
  <c r="AS166" i="3"/>
  <c r="AT166" i="3" s="1"/>
  <c r="AR167" i="3"/>
  <c r="CT142" i="3" l="1"/>
  <c r="CP143" i="3"/>
  <c r="CN144" i="3"/>
  <c r="CO144" i="3" s="1"/>
  <c r="CL145" i="3"/>
  <c r="CJ146" i="3"/>
  <c r="CH149" i="3"/>
  <c r="CF147" i="3"/>
  <c r="CE148" i="3"/>
  <c r="CF148" i="3" s="1"/>
  <c r="CG148" i="3" s="1"/>
  <c r="BZ150" i="3"/>
  <c r="BX151" i="3"/>
  <c r="BV152" i="3"/>
  <c r="BT153" i="3"/>
  <c r="BR154" i="3"/>
  <c r="BP155" i="3"/>
  <c r="BP156" i="3"/>
  <c r="BN159" i="3"/>
  <c r="BL157" i="3"/>
  <c r="BJ158" i="3"/>
  <c r="BK158" i="3" s="1"/>
  <c r="BF160" i="3"/>
  <c r="BG160" i="3" s="1"/>
  <c r="BD161" i="3"/>
  <c r="BB162" i="3"/>
  <c r="AZ163" i="3"/>
  <c r="AU166" i="3"/>
  <c r="AV166" i="3" s="1"/>
  <c r="AW166" i="3" s="1"/>
  <c r="AX164" i="3"/>
  <c r="AS167" i="3"/>
  <c r="AT167" i="3" s="1"/>
  <c r="AR168" i="3"/>
  <c r="CT143" i="3" l="1"/>
  <c r="CP144" i="3"/>
  <c r="AJ144" i="25"/>
  <c r="CN145" i="3"/>
  <c r="CO145" i="3" s="1"/>
  <c r="CL146" i="3"/>
  <c r="CJ149" i="3"/>
  <c r="CH147" i="3"/>
  <c r="CH148" i="3"/>
  <c r="CI148" i="3" s="1"/>
  <c r="CA150" i="3"/>
  <c r="CB150" i="3" s="1"/>
  <c r="BZ151" i="3"/>
  <c r="BX152" i="3"/>
  <c r="BV153" i="3"/>
  <c r="BT154" i="3"/>
  <c r="BR155" i="3"/>
  <c r="BR156" i="3"/>
  <c r="BP159" i="3"/>
  <c r="BN157" i="3"/>
  <c r="BL158" i="3"/>
  <c r="BH160" i="3"/>
  <c r="BF161" i="3"/>
  <c r="BD162" i="3"/>
  <c r="BE162" i="3" s="1"/>
  <c r="BB163" i="3"/>
  <c r="AZ164" i="3"/>
  <c r="AU167" i="3"/>
  <c r="AV167" i="3" s="1"/>
  <c r="AX165" i="3"/>
  <c r="AS168" i="3"/>
  <c r="AT168" i="3" s="1"/>
  <c r="AR169" i="3"/>
  <c r="CT144" i="3" l="1"/>
  <c r="CP145" i="3"/>
  <c r="AJ145" i="25"/>
  <c r="CN146" i="3"/>
  <c r="CO146" i="3" s="1"/>
  <c r="CL149" i="3"/>
  <c r="CJ148" i="3"/>
  <c r="CJ147" i="3"/>
  <c r="CD150" i="3"/>
  <c r="CA151" i="3"/>
  <c r="CB151" i="3" s="1"/>
  <c r="CD151" i="3" s="1"/>
  <c r="BZ152" i="3"/>
  <c r="BX153" i="3"/>
  <c r="BV154" i="3"/>
  <c r="BT156" i="3"/>
  <c r="BT155" i="3"/>
  <c r="BR159" i="3"/>
  <c r="BP157" i="3"/>
  <c r="BN158" i="3"/>
  <c r="BO158" i="3" s="1"/>
  <c r="BJ160" i="3"/>
  <c r="BK160" i="3" s="1"/>
  <c r="BH161" i="3"/>
  <c r="BF162" i="3"/>
  <c r="BG162" i="3" s="1"/>
  <c r="BD163" i="3"/>
  <c r="BE163" i="3" s="1"/>
  <c r="BB164" i="3"/>
  <c r="AZ165" i="3"/>
  <c r="AU168" i="3"/>
  <c r="AV168" i="3" s="1"/>
  <c r="AW168" i="3" s="1"/>
  <c r="AX166" i="3"/>
  <c r="AS169" i="3"/>
  <c r="AT169" i="3" s="1"/>
  <c r="AR170" i="3"/>
  <c r="CT145" i="3" l="1"/>
  <c r="CP146" i="3"/>
  <c r="AJ146" i="25"/>
  <c r="CN149" i="3"/>
  <c r="CO149" i="3" s="1"/>
  <c r="CL147" i="3"/>
  <c r="CL148" i="3"/>
  <c r="CF150" i="3"/>
  <c r="CE151" i="3"/>
  <c r="CF151" i="3" s="1"/>
  <c r="CG151" i="3" s="1"/>
  <c r="CB152" i="3"/>
  <c r="CD152" i="3" s="1"/>
  <c r="BZ153" i="3"/>
  <c r="BX154" i="3"/>
  <c r="BV155" i="3"/>
  <c r="BV156" i="3"/>
  <c r="BT159" i="3"/>
  <c r="BR157" i="3"/>
  <c r="BP158" i="3"/>
  <c r="BL160" i="3"/>
  <c r="BJ161" i="3"/>
  <c r="BH162" i="3"/>
  <c r="BF163" i="3"/>
  <c r="BG163" i="3" s="1"/>
  <c r="BD164" i="3"/>
  <c r="BB165" i="3"/>
  <c r="AZ166" i="3"/>
  <c r="AU169" i="3"/>
  <c r="AV169" i="3" s="1"/>
  <c r="AX167" i="3"/>
  <c r="AS170" i="3"/>
  <c r="AT170" i="3" s="1"/>
  <c r="AU170" i="3" s="1"/>
  <c r="AR171" i="3"/>
  <c r="CT146" i="3" l="1"/>
  <c r="CP149" i="3"/>
  <c r="AJ149" i="25"/>
  <c r="CN148" i="3"/>
  <c r="CO148" i="3" s="1"/>
  <c r="CN147" i="3"/>
  <c r="CO147" i="3" s="1"/>
  <c r="CH151" i="3"/>
  <c r="CI151" i="3" s="1"/>
  <c r="CH150" i="3"/>
  <c r="CF152" i="3"/>
  <c r="CB153" i="3"/>
  <c r="CD153" i="3" s="1"/>
  <c r="BZ154" i="3"/>
  <c r="BX156" i="3"/>
  <c r="BX155" i="3"/>
  <c r="BV159" i="3"/>
  <c r="BT157" i="3"/>
  <c r="BR158" i="3"/>
  <c r="BN160" i="3"/>
  <c r="BO160" i="3" s="1"/>
  <c r="BL161" i="3"/>
  <c r="BJ162" i="3"/>
  <c r="BK162" i="3" s="1"/>
  <c r="BH163" i="3"/>
  <c r="BF164" i="3"/>
  <c r="BD165" i="3"/>
  <c r="BE165" i="3" s="1"/>
  <c r="BA166" i="3"/>
  <c r="BB166" i="3" s="1"/>
  <c r="AZ167" i="3"/>
  <c r="AV170" i="3"/>
  <c r="AX168" i="3"/>
  <c r="AS171" i="3"/>
  <c r="AT171" i="3" s="1"/>
  <c r="AR172" i="3"/>
  <c r="CT149" i="3" l="1"/>
  <c r="AJ147" i="25"/>
  <c r="CP148" i="3"/>
  <c r="AJ148" i="25"/>
  <c r="CP147" i="3"/>
  <c r="CJ150" i="3"/>
  <c r="CJ151" i="3"/>
  <c r="CH152" i="3"/>
  <c r="CF153" i="3"/>
  <c r="CB154" i="3"/>
  <c r="BZ155" i="3"/>
  <c r="BZ156" i="3"/>
  <c r="BX159" i="3"/>
  <c r="BV157" i="3"/>
  <c r="BT158" i="3"/>
  <c r="BP160" i="3"/>
  <c r="BN161" i="3"/>
  <c r="BL162" i="3"/>
  <c r="BJ163" i="3"/>
  <c r="BK163" i="3" s="1"/>
  <c r="BH164" i="3"/>
  <c r="BF165" i="3"/>
  <c r="BG165" i="3" s="1"/>
  <c r="BD166" i="3"/>
  <c r="BE166" i="3" s="1"/>
  <c r="BB167" i="3"/>
  <c r="AZ168" i="3"/>
  <c r="AW170" i="3"/>
  <c r="AX170" i="3" s="1"/>
  <c r="AU171" i="3"/>
  <c r="AV171" i="3" s="1"/>
  <c r="AX169" i="3"/>
  <c r="AS172" i="3"/>
  <c r="AT172" i="3" s="1"/>
  <c r="AR173" i="3"/>
  <c r="CT147" i="3" l="1"/>
  <c r="CT148" i="3"/>
  <c r="CL151" i="3"/>
  <c r="CL150" i="3"/>
  <c r="CJ152" i="3"/>
  <c r="CH153" i="3"/>
  <c r="CD154" i="3"/>
  <c r="CB156" i="3"/>
  <c r="CD156" i="3" s="1"/>
  <c r="CB155" i="3"/>
  <c r="BZ159" i="3"/>
  <c r="BX157" i="3"/>
  <c r="BV158" i="3"/>
  <c r="BR160" i="3"/>
  <c r="BS160" i="3" s="1"/>
  <c r="BP161" i="3"/>
  <c r="BN162" i="3"/>
  <c r="BO162" i="3" s="1"/>
  <c r="BL163" i="3"/>
  <c r="BJ164" i="3"/>
  <c r="BH165" i="3"/>
  <c r="BF166" i="3"/>
  <c r="BG166" i="3" s="1"/>
  <c r="BD167" i="3"/>
  <c r="BA168" i="3"/>
  <c r="BB168" i="3" s="1"/>
  <c r="AZ170" i="3"/>
  <c r="AZ169" i="3"/>
  <c r="AU172" i="3"/>
  <c r="AV172" i="3" s="1"/>
  <c r="AS173" i="3"/>
  <c r="AT173" i="3" s="1"/>
  <c r="AR174" i="3"/>
  <c r="CN151" i="3" l="1"/>
  <c r="CO151" i="3" s="1"/>
  <c r="CN150" i="3"/>
  <c r="CO150" i="3" s="1"/>
  <c r="CL152" i="3"/>
  <c r="CJ153" i="3"/>
  <c r="CF156" i="3"/>
  <c r="CF154" i="3"/>
  <c r="CD155" i="3"/>
  <c r="CB159" i="3"/>
  <c r="CD159" i="3" s="1"/>
  <c r="BZ157" i="3"/>
  <c r="BX158" i="3"/>
  <c r="BT160" i="3"/>
  <c r="BR161" i="3"/>
  <c r="BP162" i="3"/>
  <c r="BN163" i="3"/>
  <c r="BL164" i="3"/>
  <c r="BJ165" i="3"/>
  <c r="BK165" i="3" s="1"/>
  <c r="BH166" i="3"/>
  <c r="BF167" i="3"/>
  <c r="BD168" i="3"/>
  <c r="BE168" i="3" s="1"/>
  <c r="BB169" i="3"/>
  <c r="BB170" i="3"/>
  <c r="AU173" i="3"/>
  <c r="AV173" i="3" s="1"/>
  <c r="AW173" i="3" s="1"/>
  <c r="AX171" i="3"/>
  <c r="AS174" i="3"/>
  <c r="AT174" i="3" s="1"/>
  <c r="AR175" i="3"/>
  <c r="CP150" i="3" l="1"/>
  <c r="CP151" i="3"/>
  <c r="AJ150" i="25"/>
  <c r="AJ151" i="25"/>
  <c r="CN152" i="3"/>
  <c r="CO152" i="3" s="1"/>
  <c r="CL153" i="3"/>
  <c r="CH154" i="3"/>
  <c r="CH156" i="3"/>
  <c r="CF159" i="3"/>
  <c r="CF155" i="3"/>
  <c r="CB157" i="3"/>
  <c r="CD157" i="3" s="1"/>
  <c r="BZ158" i="3"/>
  <c r="BV160" i="3"/>
  <c r="BT161" i="3"/>
  <c r="BR162" i="3"/>
  <c r="BP163" i="3"/>
  <c r="BN164" i="3"/>
  <c r="BL165" i="3"/>
  <c r="BJ166" i="3"/>
  <c r="BK166" i="3" s="1"/>
  <c r="BH167" i="3"/>
  <c r="BF168" i="3"/>
  <c r="BG168" i="3" s="1"/>
  <c r="BD170" i="3"/>
  <c r="BE170" i="3" s="1"/>
  <c r="BD169" i="3"/>
  <c r="BE169" i="3" s="1"/>
  <c r="AZ171" i="3"/>
  <c r="AU174" i="3"/>
  <c r="AV174" i="3" s="1"/>
  <c r="AX172" i="3"/>
  <c r="AS175" i="3"/>
  <c r="AT175" i="3" s="1"/>
  <c r="AR176" i="3"/>
  <c r="CT150" i="3" l="1"/>
  <c r="CT151" i="3"/>
  <c r="CP152" i="3"/>
  <c r="AJ152" i="25"/>
  <c r="CN153" i="3"/>
  <c r="CO153" i="3" s="1"/>
  <c r="CJ156" i="3"/>
  <c r="CJ154" i="3"/>
  <c r="CH155" i="3"/>
  <c r="CH159" i="3"/>
  <c r="CF157" i="3"/>
  <c r="CB158" i="3"/>
  <c r="CD158" i="3" s="1"/>
  <c r="BX160" i="3"/>
  <c r="BY160" i="3" s="1"/>
  <c r="BV161" i="3"/>
  <c r="BT162" i="3"/>
  <c r="BR163" i="3"/>
  <c r="BP164" i="3"/>
  <c r="BN165" i="3"/>
  <c r="BO165" i="3" s="1"/>
  <c r="BL166" i="3"/>
  <c r="BJ167" i="3"/>
  <c r="BH168" i="3"/>
  <c r="BF170" i="3"/>
  <c r="BG170" i="3" s="1"/>
  <c r="BF169" i="3"/>
  <c r="BG169" i="3" s="1"/>
  <c r="BB171" i="3"/>
  <c r="AZ172" i="3"/>
  <c r="AU175" i="3"/>
  <c r="AV175" i="3" s="1"/>
  <c r="AW175" i="3" s="1"/>
  <c r="AX173" i="3"/>
  <c r="AS176" i="3"/>
  <c r="AT176" i="3" s="1"/>
  <c r="AR177" i="3"/>
  <c r="CT152" i="3" l="1"/>
  <c r="CP153" i="3"/>
  <c r="AJ153" i="25"/>
  <c r="CL154" i="3"/>
  <c r="CL156" i="3"/>
  <c r="CJ155" i="3"/>
  <c r="CJ159" i="3"/>
  <c r="CH157" i="3"/>
  <c r="CF158" i="3"/>
  <c r="BZ160" i="3"/>
  <c r="BX161" i="3"/>
  <c r="BV162" i="3"/>
  <c r="BT163" i="3"/>
  <c r="BU163" i="3" s="1"/>
  <c r="BR164" i="3"/>
  <c r="BP165" i="3"/>
  <c r="BN166" i="3"/>
  <c r="BL167" i="3"/>
  <c r="BJ168" i="3"/>
  <c r="BK168" i="3" s="1"/>
  <c r="BH169" i="3"/>
  <c r="BH170" i="3"/>
  <c r="BD171" i="3"/>
  <c r="BE171" i="3" s="1"/>
  <c r="BB172" i="3"/>
  <c r="AZ173" i="3"/>
  <c r="AU176" i="3"/>
  <c r="AV176" i="3" s="1"/>
  <c r="AX174" i="3"/>
  <c r="AS177" i="3"/>
  <c r="AT177" i="3" s="1"/>
  <c r="AR178" i="3"/>
  <c r="AT178" i="3" s="1"/>
  <c r="CT153" i="3" l="1"/>
  <c r="CN156" i="3"/>
  <c r="CO156" i="3" s="1"/>
  <c r="CN154" i="3"/>
  <c r="CO154" i="3" s="1"/>
  <c r="CL159" i="3"/>
  <c r="CL155" i="3"/>
  <c r="CJ157" i="3"/>
  <c r="CH158" i="3"/>
  <c r="CA160" i="3"/>
  <c r="CB160" i="3" s="1"/>
  <c r="CD160" i="3" s="1"/>
  <c r="CE160" i="3" s="1"/>
  <c r="BZ161" i="3"/>
  <c r="BX162" i="3"/>
  <c r="BV163" i="3"/>
  <c r="BT164" i="3"/>
  <c r="BR165" i="3"/>
  <c r="BP166" i="3"/>
  <c r="BN167" i="3"/>
  <c r="BL168" i="3"/>
  <c r="BJ169" i="3"/>
  <c r="BK169" i="3" s="1"/>
  <c r="BJ170" i="3"/>
  <c r="BK170" i="3" s="1"/>
  <c r="BF171" i="3"/>
  <c r="BG171" i="3" s="1"/>
  <c r="BD172" i="3"/>
  <c r="BA173" i="3"/>
  <c r="BB173" i="3" s="1"/>
  <c r="AZ174" i="3"/>
  <c r="AU177" i="3"/>
  <c r="AV177" i="3" s="1"/>
  <c r="AV178" i="3"/>
  <c r="AX178" i="3" s="1"/>
  <c r="AX175" i="3"/>
  <c r="AR179" i="3"/>
  <c r="CP154" i="3" l="1"/>
  <c r="AJ156" i="25"/>
  <c r="AJ154" i="25"/>
  <c r="CP156" i="3"/>
  <c r="CN155" i="3"/>
  <c r="CO155" i="3" s="1"/>
  <c r="CN159" i="3"/>
  <c r="CO159" i="3" s="1"/>
  <c r="CL157" i="3"/>
  <c r="CJ158" i="3"/>
  <c r="CF160" i="3"/>
  <c r="CG160" i="3" s="1"/>
  <c r="CB161" i="3"/>
  <c r="CD161" i="3" s="1"/>
  <c r="BZ162" i="3"/>
  <c r="BX163" i="3"/>
  <c r="BV164" i="3"/>
  <c r="BT165" i="3"/>
  <c r="BU165" i="3" s="1"/>
  <c r="BR166" i="3"/>
  <c r="BP167" i="3"/>
  <c r="BN168" i="3"/>
  <c r="BL170" i="3"/>
  <c r="BL169" i="3"/>
  <c r="BH171" i="3"/>
  <c r="BF172" i="3"/>
  <c r="BD173" i="3"/>
  <c r="BE173" i="3" s="1"/>
  <c r="BB174" i="3"/>
  <c r="AZ175" i="3"/>
  <c r="AZ178" i="3"/>
  <c r="AX176" i="3"/>
  <c r="AW177" i="3"/>
  <c r="AS179" i="3"/>
  <c r="AT179" i="3" s="1"/>
  <c r="AR180" i="3"/>
  <c r="AT180" i="3" s="1"/>
  <c r="CT156" i="3" l="1"/>
  <c r="CT154" i="3"/>
  <c r="CP159" i="3"/>
  <c r="CP155" i="3"/>
  <c r="AJ159" i="25"/>
  <c r="AJ155" i="25"/>
  <c r="CN157" i="3"/>
  <c r="CO157" i="3" s="1"/>
  <c r="CL158" i="3"/>
  <c r="CH160" i="3"/>
  <c r="CI160" i="3" s="1"/>
  <c r="CF161" i="3"/>
  <c r="CA162" i="3"/>
  <c r="CB162" i="3" s="1"/>
  <c r="CD162" i="3" s="1"/>
  <c r="BZ163" i="3"/>
  <c r="BX164" i="3"/>
  <c r="BV165" i="3"/>
  <c r="BT166" i="3"/>
  <c r="BR167" i="3"/>
  <c r="BP168" i="3"/>
  <c r="BN169" i="3"/>
  <c r="BO169" i="3" s="1"/>
  <c r="BN170" i="3"/>
  <c r="BJ171" i="3"/>
  <c r="BH172" i="3"/>
  <c r="BF173" i="3"/>
  <c r="BG173" i="3" s="1"/>
  <c r="BD174" i="3"/>
  <c r="BE174" i="3" s="1"/>
  <c r="BB178" i="3"/>
  <c r="BA175" i="3"/>
  <c r="BB175" i="3" s="1"/>
  <c r="AZ176" i="3"/>
  <c r="AV180" i="3"/>
  <c r="AX180" i="3" s="1"/>
  <c r="AU179" i="3"/>
  <c r="AV179" i="3" s="1"/>
  <c r="AX177" i="3"/>
  <c r="AR181" i="3"/>
  <c r="CT155" i="3" l="1"/>
  <c r="CT159" i="3"/>
  <c r="CP157" i="3"/>
  <c r="CN158" i="3"/>
  <c r="CO158" i="3" s="1"/>
  <c r="AJ158" i="25" s="1"/>
  <c r="AJ157" i="25"/>
  <c r="CJ160" i="3"/>
  <c r="CH161" i="3"/>
  <c r="CF162" i="3"/>
  <c r="CA163" i="3"/>
  <c r="CB163" i="3" s="1"/>
  <c r="BZ164" i="3"/>
  <c r="BX165" i="3"/>
  <c r="BV166" i="3"/>
  <c r="BT167" i="3"/>
  <c r="BR168" i="3"/>
  <c r="BS168" i="3" s="1"/>
  <c r="BP169" i="3"/>
  <c r="BP170" i="3"/>
  <c r="BL171" i="3"/>
  <c r="BJ172" i="3"/>
  <c r="BH173" i="3"/>
  <c r="BF174" i="3"/>
  <c r="BG174" i="3" s="1"/>
  <c r="BD175" i="3"/>
  <c r="BE175" i="3" s="1"/>
  <c r="BD178" i="3"/>
  <c r="BB176" i="3"/>
  <c r="AZ177" i="3"/>
  <c r="AZ180" i="3"/>
  <c r="AS181" i="3"/>
  <c r="AT181" i="3" s="1"/>
  <c r="AR182" i="3"/>
  <c r="CT157" i="3" l="1"/>
  <c r="CP158" i="3"/>
  <c r="CL160" i="3"/>
  <c r="CJ161" i="3"/>
  <c r="CH162" i="3"/>
  <c r="CD163" i="3"/>
  <c r="CB164" i="3"/>
  <c r="CD164" i="3" s="1"/>
  <c r="BZ165" i="3"/>
  <c r="BX166" i="3"/>
  <c r="BV167" i="3"/>
  <c r="BT168" i="3"/>
  <c r="BR169" i="3"/>
  <c r="BR170" i="3"/>
  <c r="BN171" i="3"/>
  <c r="BL172" i="3"/>
  <c r="BJ173" i="3"/>
  <c r="BK173" i="3" s="1"/>
  <c r="BH174" i="3"/>
  <c r="BF178" i="3"/>
  <c r="BF175" i="3"/>
  <c r="BG175" i="3" s="1"/>
  <c r="BD176" i="3"/>
  <c r="BE176" i="3" s="1"/>
  <c r="BB177" i="3"/>
  <c r="BB180" i="3"/>
  <c r="AU181" i="3"/>
  <c r="AV181" i="3" s="1"/>
  <c r="AX179" i="3"/>
  <c r="AS182" i="3"/>
  <c r="AT182" i="3" s="1"/>
  <c r="AR183" i="3"/>
  <c r="CT158" i="3" l="1"/>
  <c r="CN160" i="3"/>
  <c r="CO160" i="3" s="1"/>
  <c r="CL161" i="3"/>
  <c r="CJ162" i="3"/>
  <c r="CF164" i="3"/>
  <c r="CF163" i="3"/>
  <c r="CG163" i="3" s="1"/>
  <c r="CA165" i="3"/>
  <c r="CB165" i="3" s="1"/>
  <c r="BZ166" i="3"/>
  <c r="BX167" i="3"/>
  <c r="BV168" i="3"/>
  <c r="BT170" i="3"/>
  <c r="BU170" i="3" s="1"/>
  <c r="BT169" i="3"/>
  <c r="BP171" i="3"/>
  <c r="BN172" i="3"/>
  <c r="BL173" i="3"/>
  <c r="BJ174" i="3"/>
  <c r="BK174" i="3" s="1"/>
  <c r="BH175" i="3"/>
  <c r="BH178" i="3"/>
  <c r="BF176" i="3"/>
  <c r="BG176" i="3" s="1"/>
  <c r="BD180" i="3"/>
  <c r="BD177" i="3"/>
  <c r="BE177" i="3" s="1"/>
  <c r="AZ179" i="3"/>
  <c r="AU182" i="3"/>
  <c r="AV182" i="3" s="1"/>
  <c r="AW182" i="3" s="1"/>
  <c r="AS183" i="3"/>
  <c r="AT183" i="3" s="1"/>
  <c r="AR184" i="3"/>
  <c r="CP160" i="3" l="1"/>
  <c r="AJ160" i="25"/>
  <c r="CN161" i="3"/>
  <c r="CO161" i="3" s="1"/>
  <c r="CL162" i="3"/>
  <c r="CH163" i="3"/>
  <c r="CI163" i="3" s="1"/>
  <c r="CH164" i="3"/>
  <c r="CD165" i="3"/>
  <c r="CB166" i="3"/>
  <c r="CD166" i="3" s="1"/>
  <c r="BZ167" i="3"/>
  <c r="BX168" i="3"/>
  <c r="BV170" i="3"/>
  <c r="BV169" i="3"/>
  <c r="BR171" i="3"/>
  <c r="BP172" i="3"/>
  <c r="BN173" i="3"/>
  <c r="BL174" i="3"/>
  <c r="BJ175" i="3"/>
  <c r="BK175" i="3" s="1"/>
  <c r="BJ178" i="3"/>
  <c r="BH176" i="3"/>
  <c r="BF180" i="3"/>
  <c r="BF177" i="3"/>
  <c r="BG177" i="3" s="1"/>
  <c r="BB179" i="3"/>
  <c r="AU183" i="3"/>
  <c r="AV183" i="3" s="1"/>
  <c r="AX181" i="3"/>
  <c r="AS184" i="3"/>
  <c r="AT184" i="3" s="1"/>
  <c r="AR185" i="3"/>
  <c r="CT160" i="3" l="1"/>
  <c r="AJ161" i="25"/>
  <c r="CP161" i="3"/>
  <c r="CN162" i="3"/>
  <c r="CO162" i="3" s="1"/>
  <c r="CJ164" i="3"/>
  <c r="CJ163" i="3"/>
  <c r="CF166" i="3"/>
  <c r="CE165" i="3"/>
  <c r="CF165" i="3" s="1"/>
  <c r="CG165" i="3" s="1"/>
  <c r="CB167" i="3"/>
  <c r="CD167" i="3" s="1"/>
  <c r="BZ168" i="3"/>
  <c r="BX169" i="3"/>
  <c r="BX170" i="3"/>
  <c r="BT171" i="3"/>
  <c r="BR172" i="3"/>
  <c r="BP173" i="3"/>
  <c r="BN174" i="3"/>
  <c r="BO174" i="3" s="1"/>
  <c r="BL178" i="3"/>
  <c r="BL175" i="3"/>
  <c r="BJ176" i="3"/>
  <c r="BH177" i="3"/>
  <c r="BH180" i="3"/>
  <c r="BD179" i="3"/>
  <c r="BE179" i="3" s="1"/>
  <c r="AZ181" i="3"/>
  <c r="AU184" i="3"/>
  <c r="AV184" i="3" s="1"/>
  <c r="AX182" i="3"/>
  <c r="AS185" i="3"/>
  <c r="AT185" i="3" s="1"/>
  <c r="AR186" i="3"/>
  <c r="CT161" i="3" l="1"/>
  <c r="CP162" i="3"/>
  <c r="AJ162" i="25"/>
  <c r="CL163" i="3"/>
  <c r="CL164" i="3"/>
  <c r="CH165" i="3"/>
  <c r="CI165" i="3" s="1"/>
  <c r="CH166" i="3"/>
  <c r="CF167" i="3"/>
  <c r="CA168" i="3"/>
  <c r="CB168" i="3" s="1"/>
  <c r="CD168" i="3" s="1"/>
  <c r="BZ170" i="3"/>
  <c r="BZ169" i="3"/>
  <c r="BV171" i="3"/>
  <c r="BT172" i="3"/>
  <c r="BR173" i="3"/>
  <c r="BP174" i="3"/>
  <c r="BN178" i="3"/>
  <c r="BN175" i="3"/>
  <c r="BL176" i="3"/>
  <c r="BJ180" i="3"/>
  <c r="BJ177" i="3"/>
  <c r="BK177" i="3" s="1"/>
  <c r="BF179" i="3"/>
  <c r="BG179" i="3" s="1"/>
  <c r="BB181" i="3"/>
  <c r="AZ182" i="3"/>
  <c r="AU185" i="3"/>
  <c r="AV185" i="3" s="1"/>
  <c r="AX183" i="3"/>
  <c r="AW184" i="3"/>
  <c r="AS186" i="3"/>
  <c r="AT186" i="3" s="1"/>
  <c r="AR187" i="3"/>
  <c r="CT162" i="3" l="1"/>
  <c r="CN163" i="3"/>
  <c r="CO163" i="3" s="1"/>
  <c r="CN164" i="3"/>
  <c r="CO164" i="3" s="1"/>
  <c r="CJ166" i="3"/>
  <c r="CJ165" i="3"/>
  <c r="CH167" i="3"/>
  <c r="CF168" i="3"/>
  <c r="CG168" i="3" s="1"/>
  <c r="CA169" i="3"/>
  <c r="CB169" i="3" s="1"/>
  <c r="CD169" i="3" s="1"/>
  <c r="CA170" i="3"/>
  <c r="CB170" i="3" s="1"/>
  <c r="BX171" i="3"/>
  <c r="BV172" i="3"/>
  <c r="BT173" i="3"/>
  <c r="BU173" i="3" s="1"/>
  <c r="BR174" i="3"/>
  <c r="BS174" i="3" s="1"/>
  <c r="BP178" i="3"/>
  <c r="BP175" i="3"/>
  <c r="BN176" i="3"/>
  <c r="BL177" i="3"/>
  <c r="BL180" i="3"/>
  <c r="BH179" i="3"/>
  <c r="BD181" i="3"/>
  <c r="BE181" i="3" s="1"/>
  <c r="BA182" i="3"/>
  <c r="BB182" i="3" s="1"/>
  <c r="AZ183" i="3"/>
  <c r="AU186" i="3"/>
  <c r="AV186" i="3" s="1"/>
  <c r="AX184" i="3"/>
  <c r="AS187" i="3"/>
  <c r="AT187" i="3" s="1"/>
  <c r="AR188" i="3"/>
  <c r="CP164" i="3" l="1"/>
  <c r="CP163" i="3"/>
  <c r="AJ163" i="25"/>
  <c r="AJ164" i="25"/>
  <c r="CL165" i="3"/>
  <c r="CL166" i="3"/>
  <c r="CJ167" i="3"/>
  <c r="CH168" i="3"/>
  <c r="CI168" i="3" s="1"/>
  <c r="CE169" i="3"/>
  <c r="CF169" i="3" s="1"/>
  <c r="CG169" i="3" s="1"/>
  <c r="CD170" i="3"/>
  <c r="BZ171" i="3"/>
  <c r="BX172" i="3"/>
  <c r="BV173" i="3"/>
  <c r="BW173" i="3" s="1"/>
  <c r="BT174" i="3"/>
  <c r="BR175" i="3"/>
  <c r="BS175" i="3" s="1"/>
  <c r="BR178" i="3"/>
  <c r="BP176" i="3"/>
  <c r="BN177" i="3"/>
  <c r="BN180" i="3"/>
  <c r="BJ179" i="3"/>
  <c r="BF181" i="3"/>
  <c r="BG181" i="3" s="1"/>
  <c r="BD182" i="3"/>
  <c r="BE182" i="3" s="1"/>
  <c r="BB183" i="3"/>
  <c r="AZ184" i="3"/>
  <c r="AU187" i="3"/>
  <c r="AV187" i="3" s="1"/>
  <c r="AW187" i="3" s="1"/>
  <c r="AX185" i="3"/>
  <c r="AS188" i="3"/>
  <c r="AT188" i="3" s="1"/>
  <c r="AR189" i="3"/>
  <c r="CT163" i="3" l="1"/>
  <c r="CT164" i="3"/>
  <c r="CN166" i="3"/>
  <c r="CO166" i="3" s="1"/>
  <c r="CN165" i="3"/>
  <c r="CO165" i="3" s="1"/>
  <c r="CL167" i="3"/>
  <c r="CJ168" i="3"/>
  <c r="CH169" i="3"/>
  <c r="CI169" i="3" s="1"/>
  <c r="CF170" i="3"/>
  <c r="CG170" i="3" s="1"/>
  <c r="CB171" i="3"/>
  <c r="CD171" i="3" s="1"/>
  <c r="BZ172" i="3"/>
  <c r="BX173" i="3"/>
  <c r="BV174" i="3"/>
  <c r="BT178" i="3"/>
  <c r="BT175" i="3"/>
  <c r="BR176" i="3"/>
  <c r="BP180" i="3"/>
  <c r="BP177" i="3"/>
  <c r="BL179" i="3"/>
  <c r="BH181" i="3"/>
  <c r="BF182" i="3"/>
  <c r="BG182" i="3" s="1"/>
  <c r="BD183" i="3"/>
  <c r="BE183" i="3" s="1"/>
  <c r="BB184" i="3"/>
  <c r="AZ185" i="3"/>
  <c r="AU188" i="3"/>
  <c r="AV188" i="3" s="1"/>
  <c r="AX186" i="3"/>
  <c r="AS189" i="3"/>
  <c r="AT189" i="3" s="1"/>
  <c r="AR190" i="3"/>
  <c r="CP165" i="3" l="1"/>
  <c r="AJ166" i="25"/>
  <c r="AJ165" i="25"/>
  <c r="CP166" i="3"/>
  <c r="CN167" i="3"/>
  <c r="CO167" i="3" s="1"/>
  <c r="CL168" i="3"/>
  <c r="CJ169" i="3"/>
  <c r="CH170" i="3"/>
  <c r="CI170" i="3" s="1"/>
  <c r="CF171" i="3"/>
  <c r="CB172" i="3"/>
  <c r="CD172" i="3" s="1"/>
  <c r="BZ173" i="3"/>
  <c r="BX174" i="3"/>
  <c r="BY174" i="3" s="1"/>
  <c r="BV175" i="3"/>
  <c r="BV178" i="3"/>
  <c r="BT176" i="3"/>
  <c r="BR177" i="3"/>
  <c r="BR180" i="3"/>
  <c r="BN179" i="3"/>
  <c r="BJ181" i="3"/>
  <c r="BK181" i="3" s="1"/>
  <c r="BH182" i="3"/>
  <c r="BF183" i="3"/>
  <c r="BG183" i="3" s="1"/>
  <c r="BD184" i="3"/>
  <c r="BE184" i="3" s="1"/>
  <c r="BB185" i="3"/>
  <c r="AZ186" i="3"/>
  <c r="AU189" i="3"/>
  <c r="AV189" i="3" s="1"/>
  <c r="AW189" i="3" s="1"/>
  <c r="AX187" i="3"/>
  <c r="AS190" i="3"/>
  <c r="AT190" i="3" s="1"/>
  <c r="AR191" i="3"/>
  <c r="AT191" i="3" s="1"/>
  <c r="CT166" i="3" l="1"/>
  <c r="CT165" i="3"/>
  <c r="CP167" i="3"/>
  <c r="AJ167" i="25"/>
  <c r="CN168" i="3"/>
  <c r="CO168" i="3" s="1"/>
  <c r="CL169" i="3"/>
  <c r="CJ170" i="3"/>
  <c r="CH171" i="3"/>
  <c r="CF172" i="3"/>
  <c r="CA173" i="3"/>
  <c r="CB173" i="3" s="1"/>
  <c r="BZ174" i="3"/>
  <c r="BX175" i="3"/>
  <c r="BX178" i="3"/>
  <c r="BV176" i="3"/>
  <c r="BT177" i="3"/>
  <c r="BU177" i="3" s="1"/>
  <c r="BT180" i="3"/>
  <c r="BP179" i="3"/>
  <c r="BL181" i="3"/>
  <c r="BJ182" i="3"/>
  <c r="BK182" i="3" s="1"/>
  <c r="BH183" i="3"/>
  <c r="BF184" i="3"/>
  <c r="BG184" i="3" s="1"/>
  <c r="BD185" i="3"/>
  <c r="BE185" i="3" s="1"/>
  <c r="BB186" i="3"/>
  <c r="AZ187" i="3"/>
  <c r="AV191" i="3"/>
  <c r="AX191" i="3" s="1"/>
  <c r="AU190" i="3"/>
  <c r="AV190" i="3" s="1"/>
  <c r="AX188" i="3"/>
  <c r="AR192" i="3"/>
  <c r="CT167" i="3" l="1"/>
  <c r="CP168" i="3"/>
  <c r="AJ168" i="25"/>
  <c r="CN169" i="3"/>
  <c r="CO169" i="3" s="1"/>
  <c r="CL170" i="3"/>
  <c r="CJ171" i="3"/>
  <c r="CH172" i="3"/>
  <c r="CD173" i="3"/>
  <c r="CA174" i="3"/>
  <c r="CB174" i="3" s="1"/>
  <c r="CD174" i="3" s="1"/>
  <c r="CE174" i="3" s="1"/>
  <c r="BZ178" i="3"/>
  <c r="BZ175" i="3"/>
  <c r="BX176" i="3"/>
  <c r="BV177" i="3"/>
  <c r="BV180" i="3"/>
  <c r="BR179" i="3"/>
  <c r="BN181" i="3"/>
  <c r="BO181" i="3" s="1"/>
  <c r="BL182" i="3"/>
  <c r="BJ183" i="3"/>
  <c r="BK183" i="3" s="1"/>
  <c r="BH184" i="3"/>
  <c r="BF185" i="3"/>
  <c r="BG185" i="3" s="1"/>
  <c r="BD186" i="3"/>
  <c r="BE186" i="3" s="1"/>
  <c r="BA187" i="3"/>
  <c r="BB187" i="3" s="1"/>
  <c r="AZ188" i="3"/>
  <c r="AZ191" i="3"/>
  <c r="AX189" i="3"/>
  <c r="AS192" i="3"/>
  <c r="AT192" i="3" s="1"/>
  <c r="AR193" i="3"/>
  <c r="CT168" i="3" l="1"/>
  <c r="CP169" i="3"/>
  <c r="AJ169" i="25"/>
  <c r="CN170" i="3"/>
  <c r="CO170" i="3" s="1"/>
  <c r="CL171" i="3"/>
  <c r="CJ172" i="3"/>
  <c r="CF174" i="3"/>
  <c r="CG174" i="3" s="1"/>
  <c r="CF173" i="3"/>
  <c r="CB175" i="3"/>
  <c r="CD175" i="3" s="1"/>
  <c r="CB178" i="3"/>
  <c r="BZ176" i="3"/>
  <c r="BX180" i="3"/>
  <c r="BX177" i="3"/>
  <c r="BT179" i="3"/>
  <c r="BP181" i="3"/>
  <c r="BN182" i="3"/>
  <c r="BL183" i="3"/>
  <c r="BJ184" i="3"/>
  <c r="BK184" i="3" s="1"/>
  <c r="BH185" i="3"/>
  <c r="BF186" i="3"/>
  <c r="BG186" i="3" s="1"/>
  <c r="BD187" i="3"/>
  <c r="BB188" i="3"/>
  <c r="BB191" i="3"/>
  <c r="AZ189" i="3"/>
  <c r="AU192" i="3"/>
  <c r="AV192" i="3" s="1"/>
  <c r="AX190" i="3"/>
  <c r="AS193" i="3"/>
  <c r="AT193" i="3" s="1"/>
  <c r="AR194" i="3"/>
  <c r="CT169" i="3" l="1"/>
  <c r="CP170" i="3"/>
  <c r="AJ170" i="25"/>
  <c r="CN171" i="3"/>
  <c r="CO171" i="3" s="1"/>
  <c r="CL172" i="3"/>
  <c r="CH173" i="3"/>
  <c r="CH174" i="3"/>
  <c r="CI174" i="3" s="1"/>
  <c r="CF175" i="3"/>
  <c r="CD178" i="3"/>
  <c r="CB176" i="3"/>
  <c r="CD176" i="3" s="1"/>
  <c r="BZ177" i="3"/>
  <c r="BZ180" i="3"/>
  <c r="BV179" i="3"/>
  <c r="BR181" i="3"/>
  <c r="BP182" i="3"/>
  <c r="BN183" i="3"/>
  <c r="BO183" i="3" s="1"/>
  <c r="BL184" i="3"/>
  <c r="BJ185" i="3"/>
  <c r="BK185" i="3" s="1"/>
  <c r="BH186" i="3"/>
  <c r="BF187" i="3"/>
  <c r="BD188" i="3"/>
  <c r="BE188" i="3" s="1"/>
  <c r="BD191" i="3"/>
  <c r="BB189" i="3"/>
  <c r="AZ190" i="3"/>
  <c r="AU193" i="3"/>
  <c r="AV193" i="3" s="1"/>
  <c r="AS194" i="3"/>
  <c r="AT194" i="3" s="1"/>
  <c r="AR195" i="3"/>
  <c r="CT170" i="3" l="1"/>
  <c r="CP171" i="3"/>
  <c r="AJ171" i="25"/>
  <c r="CN172" i="3"/>
  <c r="CO172" i="3" s="1"/>
  <c r="CJ174" i="3"/>
  <c r="CJ173" i="3"/>
  <c r="CH175" i="3"/>
  <c r="CF176" i="3"/>
  <c r="CF178" i="3"/>
  <c r="CA177" i="3"/>
  <c r="CB177" i="3" s="1"/>
  <c r="CB180" i="3"/>
  <c r="CD180" i="3" s="1"/>
  <c r="BX179" i="3"/>
  <c r="BT181" i="3"/>
  <c r="BR182" i="3"/>
  <c r="BS182" i="3" s="1"/>
  <c r="BP183" i="3"/>
  <c r="BN184" i="3"/>
  <c r="BL185" i="3"/>
  <c r="BJ186" i="3"/>
  <c r="BK186" i="3" s="1"/>
  <c r="BH187" i="3"/>
  <c r="BF191" i="3"/>
  <c r="BF188" i="3"/>
  <c r="BG188" i="3" s="1"/>
  <c r="BD189" i="3"/>
  <c r="BB190" i="3"/>
  <c r="AU194" i="3"/>
  <c r="AV194" i="3" s="1"/>
  <c r="AW194" i="3" s="1"/>
  <c r="AX192" i="3"/>
  <c r="AS195" i="3"/>
  <c r="AT195" i="3" s="1"/>
  <c r="AR196" i="3"/>
  <c r="CT171" i="3" l="1"/>
  <c r="CP172" i="3"/>
  <c r="AJ172" i="25"/>
  <c r="CL173" i="3"/>
  <c r="CL174" i="3"/>
  <c r="CJ175" i="3"/>
  <c r="CH178" i="3"/>
  <c r="CH176" i="3"/>
  <c r="CF180" i="3"/>
  <c r="CD177" i="3"/>
  <c r="BZ179" i="3"/>
  <c r="BV181" i="3"/>
  <c r="BT182" i="3"/>
  <c r="BR183" i="3"/>
  <c r="BP184" i="3"/>
  <c r="BN185" i="3"/>
  <c r="BO185" i="3" s="1"/>
  <c r="BL186" i="3"/>
  <c r="BJ187" i="3"/>
  <c r="BH188" i="3"/>
  <c r="BH191" i="3"/>
  <c r="BF189" i="3"/>
  <c r="BD190" i="3"/>
  <c r="BE190" i="3" s="1"/>
  <c r="AZ192" i="3"/>
  <c r="AU195" i="3"/>
  <c r="AV195" i="3" s="1"/>
  <c r="AX193" i="3"/>
  <c r="AS196" i="3"/>
  <c r="AT196" i="3" s="1"/>
  <c r="AR197" i="3"/>
  <c r="CT172" i="3" l="1"/>
  <c r="CN174" i="3"/>
  <c r="CO174" i="3" s="1"/>
  <c r="AJ174" i="25" s="1"/>
  <c r="CN173" i="3"/>
  <c r="CO173" i="3" s="1"/>
  <c r="CL175" i="3"/>
  <c r="CJ178" i="3"/>
  <c r="CJ176" i="3"/>
  <c r="CH180" i="3"/>
  <c r="CF177" i="3"/>
  <c r="CB179" i="3"/>
  <c r="CD179" i="3" s="1"/>
  <c r="BX181" i="3"/>
  <c r="BV182" i="3"/>
  <c r="BT183" i="3"/>
  <c r="BR184" i="3"/>
  <c r="BP185" i="3"/>
  <c r="BN186" i="3"/>
  <c r="BO186" i="3" s="1"/>
  <c r="BL187" i="3"/>
  <c r="BJ191" i="3"/>
  <c r="BJ188" i="3"/>
  <c r="BK188" i="3" s="1"/>
  <c r="BH189" i="3"/>
  <c r="BF190" i="3"/>
  <c r="BG190" i="3" s="1"/>
  <c r="BB192" i="3"/>
  <c r="AZ193" i="3"/>
  <c r="AU196" i="3"/>
  <c r="AV196" i="3" s="1"/>
  <c r="AW196" i="3" s="1"/>
  <c r="AX194" i="3"/>
  <c r="AS197" i="3"/>
  <c r="AT197" i="3" s="1"/>
  <c r="AR198" i="3"/>
  <c r="CP173" i="3" l="1"/>
  <c r="CP174" i="3"/>
  <c r="AJ173" i="25"/>
  <c r="CN175" i="3"/>
  <c r="CO175" i="3" s="1"/>
  <c r="CL176" i="3"/>
  <c r="CL178" i="3"/>
  <c r="CJ180" i="3"/>
  <c r="CH177" i="3"/>
  <c r="CF179" i="3"/>
  <c r="BZ181" i="3"/>
  <c r="BX182" i="3"/>
  <c r="BV183" i="3"/>
  <c r="BT184" i="3"/>
  <c r="BU184" i="3" s="1"/>
  <c r="BR185" i="3"/>
  <c r="BS185" i="3" s="1"/>
  <c r="BP186" i="3"/>
  <c r="BN187" i="3"/>
  <c r="BL191" i="3"/>
  <c r="BL188" i="3"/>
  <c r="BJ189" i="3"/>
  <c r="BH190" i="3"/>
  <c r="BD192" i="3"/>
  <c r="BE192" i="3" s="1"/>
  <c r="BB193" i="3"/>
  <c r="AZ194" i="3"/>
  <c r="AU197" i="3"/>
  <c r="AV197" i="3" s="1"/>
  <c r="AX195" i="3"/>
  <c r="AS198" i="3"/>
  <c r="AT198" i="3" s="1"/>
  <c r="AR199" i="3"/>
  <c r="CT174" i="3" l="1"/>
  <c r="CT173" i="3"/>
  <c r="AJ175" i="25"/>
  <c r="CP175" i="3"/>
  <c r="CN176" i="3"/>
  <c r="CO176" i="3" s="1"/>
  <c r="CN178" i="3"/>
  <c r="CO178" i="3" s="1"/>
  <c r="CL180" i="3"/>
  <c r="CJ177" i="3"/>
  <c r="CH179" i="3"/>
  <c r="CB181" i="3"/>
  <c r="CD181" i="3" s="1"/>
  <c r="BZ182" i="3"/>
  <c r="BX183" i="3"/>
  <c r="BV184" i="3"/>
  <c r="BT185" i="3"/>
  <c r="BR186" i="3"/>
  <c r="BP187" i="3"/>
  <c r="BN191" i="3"/>
  <c r="BN188" i="3"/>
  <c r="BO188" i="3" s="1"/>
  <c r="BL189" i="3"/>
  <c r="BJ190" i="3"/>
  <c r="BK190" i="3" s="1"/>
  <c r="BF192" i="3"/>
  <c r="BG192" i="3" s="1"/>
  <c r="BD193" i="3"/>
  <c r="BE193" i="3" s="1"/>
  <c r="BA194" i="3"/>
  <c r="BB194" i="3" s="1"/>
  <c r="AZ195" i="3"/>
  <c r="AU198" i="3"/>
  <c r="AV198" i="3" s="1"/>
  <c r="AX196" i="3"/>
  <c r="AS199" i="3"/>
  <c r="AT199" i="3" s="1"/>
  <c r="AR200" i="3"/>
  <c r="CT175" i="3" l="1"/>
  <c r="AJ178" i="25"/>
  <c r="CP176" i="3"/>
  <c r="AJ176" i="25"/>
  <c r="CP178" i="3"/>
  <c r="CN180" i="3"/>
  <c r="CO180" i="3" s="1"/>
  <c r="CL177" i="3"/>
  <c r="CJ179" i="3"/>
  <c r="CF181" i="3"/>
  <c r="CA182" i="3"/>
  <c r="CB182" i="3" s="1"/>
  <c r="CD182" i="3" s="1"/>
  <c r="BZ183" i="3"/>
  <c r="BX184" i="3"/>
  <c r="BV185" i="3"/>
  <c r="BT186" i="3"/>
  <c r="BU186" i="3" s="1"/>
  <c r="BR187" i="3"/>
  <c r="BP191" i="3"/>
  <c r="BP188" i="3"/>
  <c r="BN189" i="3"/>
  <c r="BL190" i="3"/>
  <c r="BH192" i="3"/>
  <c r="BF193" i="3"/>
  <c r="BG193" i="3" s="1"/>
  <c r="BD194" i="3"/>
  <c r="BE194" i="3" s="1"/>
  <c r="BB195" i="3"/>
  <c r="AZ196" i="3"/>
  <c r="AU199" i="3"/>
  <c r="AV199" i="3" s="1"/>
  <c r="AX197" i="3"/>
  <c r="AW198" i="3"/>
  <c r="AS200" i="3"/>
  <c r="AT200" i="3" s="1"/>
  <c r="AR201" i="3"/>
  <c r="CT178" i="3" l="1"/>
  <c r="CT176" i="3"/>
  <c r="CP180" i="3"/>
  <c r="AJ180" i="25"/>
  <c r="CN177" i="3"/>
  <c r="CO177" i="3" s="1"/>
  <c r="CL179" i="3"/>
  <c r="CH181" i="3"/>
  <c r="CF182" i="3"/>
  <c r="CG182" i="3" s="1"/>
  <c r="CA183" i="3"/>
  <c r="CB183" i="3" s="1"/>
  <c r="BZ184" i="3"/>
  <c r="BX185" i="3"/>
  <c r="BV186" i="3"/>
  <c r="BT187" i="3"/>
  <c r="BR188" i="3"/>
  <c r="BS188" i="3" s="1"/>
  <c r="BR191" i="3"/>
  <c r="BP189" i="3"/>
  <c r="BN190" i="3"/>
  <c r="BO190" i="3" s="1"/>
  <c r="BJ192" i="3"/>
  <c r="BK192" i="3" s="1"/>
  <c r="BH193" i="3"/>
  <c r="BF194" i="3"/>
  <c r="BG194" i="3" s="1"/>
  <c r="BD195" i="3"/>
  <c r="BA196" i="3"/>
  <c r="BB196" i="3" s="1"/>
  <c r="AZ197" i="3"/>
  <c r="AU200" i="3"/>
  <c r="AV200" i="3" s="1"/>
  <c r="AX198" i="3"/>
  <c r="AS201" i="3"/>
  <c r="AT201" i="3" s="1"/>
  <c r="AR202" i="3"/>
  <c r="CT180" i="3" l="1"/>
  <c r="CP177" i="3"/>
  <c r="AJ177" i="25"/>
  <c r="CN179" i="3"/>
  <c r="CO179" i="3" s="1"/>
  <c r="CJ181" i="3"/>
  <c r="CH182" i="3"/>
  <c r="CI182" i="3" s="1"/>
  <c r="CD183" i="3"/>
  <c r="CB184" i="3"/>
  <c r="BZ185" i="3"/>
  <c r="BX186" i="3"/>
  <c r="BV187" i="3"/>
  <c r="BT191" i="3"/>
  <c r="BT188" i="3"/>
  <c r="BR189" i="3"/>
  <c r="BP190" i="3"/>
  <c r="BL192" i="3"/>
  <c r="BJ193" i="3"/>
  <c r="BK193" i="3" s="1"/>
  <c r="BH194" i="3"/>
  <c r="BF195" i="3"/>
  <c r="BD196" i="3"/>
  <c r="BE196" i="3" s="1"/>
  <c r="BB197" i="3"/>
  <c r="AZ198" i="3"/>
  <c r="AU201" i="3"/>
  <c r="AV201" i="3" s="1"/>
  <c r="AW201" i="3" s="1"/>
  <c r="AX199" i="3"/>
  <c r="AS202" i="3"/>
  <c r="AT202" i="3" s="1"/>
  <c r="AR203" i="3"/>
  <c r="CT177" i="3" l="1"/>
  <c r="CP179" i="3"/>
  <c r="AJ179" i="25"/>
  <c r="CL181" i="3"/>
  <c r="CJ182" i="3"/>
  <c r="CE183" i="3"/>
  <c r="CF183" i="3" s="1"/>
  <c r="CG183" i="3" s="1"/>
  <c r="CD184" i="3"/>
  <c r="CB185" i="3"/>
  <c r="CD185" i="3" s="1"/>
  <c r="BZ186" i="3"/>
  <c r="BX187" i="3"/>
  <c r="BV188" i="3"/>
  <c r="BV191" i="3"/>
  <c r="BT189" i="3"/>
  <c r="BR190" i="3"/>
  <c r="BN192" i="3"/>
  <c r="BO192" i="3" s="1"/>
  <c r="BL193" i="3"/>
  <c r="BJ194" i="3"/>
  <c r="BK194" i="3" s="1"/>
  <c r="BH195" i="3"/>
  <c r="BF196" i="3"/>
  <c r="BG196" i="3" s="1"/>
  <c r="BD197" i="3"/>
  <c r="BE197" i="3" s="1"/>
  <c r="BB198" i="3"/>
  <c r="AZ199" i="3"/>
  <c r="AU202" i="3"/>
  <c r="AV202" i="3" s="1"/>
  <c r="AX200" i="3"/>
  <c r="AS203" i="3"/>
  <c r="AT203" i="3" s="1"/>
  <c r="AR204" i="3"/>
  <c r="CT179" i="3" l="1"/>
  <c r="CN181" i="3"/>
  <c r="CO181" i="3" s="1"/>
  <c r="CL182" i="3"/>
  <c r="CH183" i="3"/>
  <c r="CI183" i="3" s="1"/>
  <c r="CF185" i="3"/>
  <c r="CF184" i="3"/>
  <c r="CA186" i="3"/>
  <c r="CB186" i="3" s="1"/>
  <c r="CD186" i="3" s="1"/>
  <c r="BZ187" i="3"/>
  <c r="BX191" i="3"/>
  <c r="BX188" i="3"/>
  <c r="BY188" i="3" s="1"/>
  <c r="BV189" i="3"/>
  <c r="BT190" i="3"/>
  <c r="BP192" i="3"/>
  <c r="BN193" i="3"/>
  <c r="BO193" i="3" s="1"/>
  <c r="BL194" i="3"/>
  <c r="BJ195" i="3"/>
  <c r="BH196" i="3"/>
  <c r="BF197" i="3"/>
  <c r="BG197" i="3" s="1"/>
  <c r="BD198" i="3"/>
  <c r="BE198" i="3" s="1"/>
  <c r="BB199" i="3"/>
  <c r="AZ200" i="3"/>
  <c r="AU203" i="3"/>
  <c r="AV203" i="3" s="1"/>
  <c r="AW203" i="3" s="1"/>
  <c r="AX201" i="3"/>
  <c r="AS204" i="3"/>
  <c r="AT204" i="3" s="1"/>
  <c r="AR205" i="3"/>
  <c r="CP181" i="3" l="1"/>
  <c r="AJ181" i="25"/>
  <c r="CN182" i="3"/>
  <c r="CO182" i="3" s="1"/>
  <c r="CJ183" i="3"/>
  <c r="CH184" i="3"/>
  <c r="CH185" i="3"/>
  <c r="CE186" i="3"/>
  <c r="CF186" i="3" s="1"/>
  <c r="CG186" i="3" s="1"/>
  <c r="CB187" i="3"/>
  <c r="CD187" i="3" s="1"/>
  <c r="BZ188" i="3"/>
  <c r="BZ191" i="3"/>
  <c r="BX189" i="3"/>
  <c r="BV190" i="3"/>
  <c r="BR192" i="3"/>
  <c r="BS192" i="3" s="1"/>
  <c r="BP193" i="3"/>
  <c r="BN194" i="3"/>
  <c r="BL195" i="3"/>
  <c r="BJ196" i="3"/>
  <c r="BK196" i="3" s="1"/>
  <c r="BH197" i="3"/>
  <c r="BF198" i="3"/>
  <c r="BG198" i="3" s="1"/>
  <c r="BD199" i="3"/>
  <c r="BE199" i="3" s="1"/>
  <c r="BB200" i="3"/>
  <c r="AZ201" i="3"/>
  <c r="AU204" i="3"/>
  <c r="AV204" i="3" s="1"/>
  <c r="AX202" i="3"/>
  <c r="AS205" i="3"/>
  <c r="AT205" i="3" s="1"/>
  <c r="AR206" i="3"/>
  <c r="CT181" i="3" l="1"/>
  <c r="CP182" i="3"/>
  <c r="AJ182" i="25"/>
  <c r="CL183" i="3"/>
  <c r="CJ185" i="3"/>
  <c r="CJ184" i="3"/>
  <c r="CH186" i="3"/>
  <c r="CI186" i="3" s="1"/>
  <c r="CF187" i="3"/>
  <c r="CA188" i="3"/>
  <c r="CB188" i="3" s="1"/>
  <c r="CB191" i="3"/>
  <c r="CD191" i="3" s="1"/>
  <c r="BZ189" i="3"/>
  <c r="BX190" i="3"/>
  <c r="BT192" i="3"/>
  <c r="BR193" i="3"/>
  <c r="BP194" i="3"/>
  <c r="BN195" i="3"/>
  <c r="BL196" i="3"/>
  <c r="BJ197" i="3"/>
  <c r="BH198" i="3"/>
  <c r="BF199" i="3"/>
  <c r="BG199" i="3" s="1"/>
  <c r="BD200" i="3"/>
  <c r="BE200" i="3" s="1"/>
  <c r="BA201" i="3"/>
  <c r="BB201" i="3" s="1"/>
  <c r="AZ202" i="3"/>
  <c r="AU205" i="3"/>
  <c r="AV205" i="3" s="1"/>
  <c r="AX203" i="3"/>
  <c r="AS206" i="3"/>
  <c r="AT206" i="3" s="1"/>
  <c r="AR207" i="3"/>
  <c r="CT182" i="3" l="1"/>
  <c r="CN183" i="3"/>
  <c r="CO183" i="3" s="1"/>
  <c r="CL184" i="3"/>
  <c r="CL185" i="3"/>
  <c r="CJ186" i="3"/>
  <c r="CH187" i="3"/>
  <c r="CF191" i="3"/>
  <c r="CD188" i="3"/>
  <c r="CE188" i="3" s="1"/>
  <c r="CB189" i="3"/>
  <c r="BZ190" i="3"/>
  <c r="BV192" i="3"/>
  <c r="BT193" i="3"/>
  <c r="BU193" i="3" s="1"/>
  <c r="BR194" i="3"/>
  <c r="BP195" i="3"/>
  <c r="BN196" i="3"/>
  <c r="BL197" i="3"/>
  <c r="BJ198" i="3"/>
  <c r="BK198" i="3" s="1"/>
  <c r="BH199" i="3"/>
  <c r="BF200" i="3"/>
  <c r="BG200" i="3" s="1"/>
  <c r="BD201" i="3"/>
  <c r="BE201" i="3" s="1"/>
  <c r="BB202" i="3"/>
  <c r="AZ203" i="3"/>
  <c r="AV206" i="3"/>
  <c r="AX206" i="3" s="1"/>
  <c r="AX204" i="3"/>
  <c r="AW205" i="3"/>
  <c r="AS207" i="3"/>
  <c r="AT207" i="3" s="1"/>
  <c r="AR208" i="3"/>
  <c r="AT208" i="3" s="1"/>
  <c r="CP183" i="3" l="1"/>
  <c r="AJ183" i="25"/>
  <c r="CN184" i="3"/>
  <c r="CO184" i="3" s="1"/>
  <c r="CN185" i="3"/>
  <c r="CO185" i="3" s="1"/>
  <c r="CL186" i="3"/>
  <c r="CJ187" i="3"/>
  <c r="CH191" i="3"/>
  <c r="CF188" i="3"/>
  <c r="CG188" i="3" s="1"/>
  <c r="CD189" i="3"/>
  <c r="CB190" i="3"/>
  <c r="CD190" i="3" s="1"/>
  <c r="BX192" i="3"/>
  <c r="BV193" i="3"/>
  <c r="BT194" i="3"/>
  <c r="BU194" i="3" s="1"/>
  <c r="BR195" i="3"/>
  <c r="BP196" i="3"/>
  <c r="BN197" i="3"/>
  <c r="BL198" i="3"/>
  <c r="BJ199" i="3"/>
  <c r="BK199" i="3" s="1"/>
  <c r="BH200" i="3"/>
  <c r="BF201" i="3"/>
  <c r="BG201" i="3" s="1"/>
  <c r="BD202" i="3"/>
  <c r="BE202" i="3" s="1"/>
  <c r="BA203" i="3"/>
  <c r="BB203" i="3" s="1"/>
  <c r="AZ204" i="3"/>
  <c r="AZ206" i="3"/>
  <c r="AV208" i="3"/>
  <c r="AX208" i="3" s="1"/>
  <c r="AU207" i="3"/>
  <c r="AV207" i="3" s="1"/>
  <c r="AX205" i="3"/>
  <c r="AR209" i="3"/>
  <c r="CT183" i="3" l="1"/>
  <c r="CP185" i="3"/>
  <c r="AJ184" i="25"/>
  <c r="CP184" i="3"/>
  <c r="CN186" i="3"/>
  <c r="CO186" i="3" s="1"/>
  <c r="AJ185" i="25"/>
  <c r="CL187" i="3"/>
  <c r="CJ191" i="3"/>
  <c r="CH188" i="3"/>
  <c r="CI188" i="3" s="1"/>
  <c r="CF189" i="3"/>
  <c r="CF190" i="3"/>
  <c r="BZ192" i="3"/>
  <c r="BX193" i="3"/>
  <c r="BV194" i="3"/>
  <c r="BW194" i="3" s="1"/>
  <c r="BT195" i="3"/>
  <c r="BR196" i="3"/>
  <c r="BS196" i="3" s="1"/>
  <c r="BP197" i="3"/>
  <c r="BN198" i="3"/>
  <c r="BL199" i="3"/>
  <c r="BJ200" i="3"/>
  <c r="BK200" i="3" s="1"/>
  <c r="BH201" i="3"/>
  <c r="BF202" i="3"/>
  <c r="BG202" i="3" s="1"/>
  <c r="BD203" i="3"/>
  <c r="BE203" i="3" s="1"/>
  <c r="BB204" i="3"/>
  <c r="BB206" i="3"/>
  <c r="AZ205" i="3"/>
  <c r="AZ208" i="3"/>
  <c r="AS209" i="3"/>
  <c r="AT209" i="3" s="1"/>
  <c r="CT184" i="3" l="1"/>
  <c r="CT185" i="3"/>
  <c r="CP186" i="3"/>
  <c r="AJ186" i="25"/>
  <c r="CN187" i="3"/>
  <c r="CO187" i="3" s="1"/>
  <c r="CL191" i="3"/>
  <c r="CJ188" i="3"/>
  <c r="CH190" i="3"/>
  <c r="CH189" i="3"/>
  <c r="CA192" i="3"/>
  <c r="CB192" i="3" s="1"/>
  <c r="CD192" i="3" s="1"/>
  <c r="BZ193" i="3"/>
  <c r="BX194" i="3"/>
  <c r="BV195" i="3"/>
  <c r="BT196" i="3"/>
  <c r="BR197" i="3"/>
  <c r="BP198" i="3"/>
  <c r="BN199" i="3"/>
  <c r="BO199" i="3" s="1"/>
  <c r="BL200" i="3"/>
  <c r="BJ201" i="3"/>
  <c r="BK201" i="3" s="1"/>
  <c r="BH202" i="3"/>
  <c r="BF203" i="3"/>
  <c r="BG203" i="3" s="1"/>
  <c r="BD204" i="3"/>
  <c r="BE204" i="3" s="1"/>
  <c r="BD206" i="3"/>
  <c r="BB208" i="3"/>
  <c r="BB205" i="3"/>
  <c r="AU209" i="3"/>
  <c r="AV209" i="3" s="1"/>
  <c r="AX207" i="3"/>
  <c r="AR210" i="3"/>
  <c r="AR212" i="3"/>
  <c r="CT186" i="3" l="1"/>
  <c r="AJ187" i="25"/>
  <c r="CP187" i="3"/>
  <c r="CN191" i="3"/>
  <c r="CO191" i="3" s="1"/>
  <c r="CL188" i="3"/>
  <c r="CJ189" i="3"/>
  <c r="CJ190" i="3"/>
  <c r="CE192" i="3"/>
  <c r="CF192" i="3" s="1"/>
  <c r="CG192" i="3" s="1"/>
  <c r="CA193" i="3"/>
  <c r="CB193" i="3" s="1"/>
  <c r="CD193" i="3" s="1"/>
  <c r="BZ194" i="3"/>
  <c r="BX195" i="3"/>
  <c r="BV196" i="3"/>
  <c r="BT197" i="3"/>
  <c r="BR198" i="3"/>
  <c r="BP199" i="3"/>
  <c r="BN200" i="3"/>
  <c r="BO200" i="3" s="1"/>
  <c r="BL201" i="3"/>
  <c r="BJ202" i="3"/>
  <c r="BK202" i="3" s="1"/>
  <c r="BH203" i="3"/>
  <c r="BF206" i="3"/>
  <c r="BF204" i="3"/>
  <c r="BG204" i="3" s="1"/>
  <c r="BD208" i="3"/>
  <c r="BD205" i="3"/>
  <c r="BE205" i="3" s="1"/>
  <c r="AZ207" i="3"/>
  <c r="AS212" i="3"/>
  <c r="AT212" i="3" s="1"/>
  <c r="AS210" i="3"/>
  <c r="AT210" i="3" s="1"/>
  <c r="AR211" i="3"/>
  <c r="AR213" i="3"/>
  <c r="CT187" i="3" l="1"/>
  <c r="CP191" i="3"/>
  <c r="AJ191" i="25"/>
  <c r="CN188" i="3"/>
  <c r="CO188" i="3" s="1"/>
  <c r="CL190" i="3"/>
  <c r="CL189" i="3"/>
  <c r="CH192" i="3"/>
  <c r="CI192" i="3" s="1"/>
  <c r="CE193" i="3"/>
  <c r="CF193" i="3" s="1"/>
  <c r="CG193" i="3" s="1"/>
  <c r="CA194" i="3"/>
  <c r="CB194" i="3" s="1"/>
  <c r="CD194" i="3" s="1"/>
  <c r="BZ195" i="3"/>
  <c r="BX196" i="3"/>
  <c r="BV197" i="3"/>
  <c r="BT198" i="3"/>
  <c r="BU198" i="3" s="1"/>
  <c r="BR199" i="3"/>
  <c r="BS199" i="3" s="1"/>
  <c r="BP200" i="3"/>
  <c r="BN201" i="3"/>
  <c r="BL202" i="3"/>
  <c r="BJ203" i="3"/>
  <c r="BK203" i="3" s="1"/>
  <c r="BH204" i="3"/>
  <c r="BH206" i="3"/>
  <c r="BF208" i="3"/>
  <c r="BF205" i="3"/>
  <c r="BG205" i="3" s="1"/>
  <c r="BB207" i="3"/>
  <c r="AU210" i="3"/>
  <c r="AV210" i="3" s="1"/>
  <c r="AW210" i="3" s="1"/>
  <c r="AU212" i="3"/>
  <c r="AV212" i="3" s="1"/>
  <c r="AX209" i="3"/>
  <c r="AS213" i="3"/>
  <c r="AT213" i="3" s="1"/>
  <c r="AS211" i="3"/>
  <c r="AT211" i="3" s="1"/>
  <c r="CT191" i="3" l="1"/>
  <c r="AJ188" i="25"/>
  <c r="CP188" i="3"/>
  <c r="CN189" i="3"/>
  <c r="CO189" i="3" s="1"/>
  <c r="CN190" i="3"/>
  <c r="CO190" i="3" s="1"/>
  <c r="CJ192" i="3"/>
  <c r="CH193" i="3"/>
  <c r="CI193" i="3" s="1"/>
  <c r="CF194" i="3"/>
  <c r="CG194" i="3" s="1"/>
  <c r="CB195" i="3"/>
  <c r="CD195" i="3" s="1"/>
  <c r="BZ196" i="3"/>
  <c r="BX197" i="3"/>
  <c r="BV198" i="3"/>
  <c r="BT199" i="3"/>
  <c r="BR200" i="3"/>
  <c r="BP201" i="3"/>
  <c r="BN202" i="3"/>
  <c r="BO202" i="3" s="1"/>
  <c r="BL203" i="3"/>
  <c r="BJ206" i="3"/>
  <c r="BJ204" i="3"/>
  <c r="BK204" i="3" s="1"/>
  <c r="BH205" i="3"/>
  <c r="BH208" i="3"/>
  <c r="BD207" i="3"/>
  <c r="AZ209" i="3"/>
  <c r="AU213" i="3"/>
  <c r="AV213" i="3" s="1"/>
  <c r="AU211" i="3"/>
  <c r="AV211" i="3" s="1"/>
  <c r="AW212" i="3"/>
  <c r="AR214" i="3"/>
  <c r="CT188" i="3" l="1"/>
  <c r="CP190" i="3"/>
  <c r="CP189" i="3"/>
  <c r="AJ189" i="25"/>
  <c r="AJ190" i="25"/>
  <c r="CL192" i="3"/>
  <c r="CJ193" i="3"/>
  <c r="CH194" i="3"/>
  <c r="CI194" i="3" s="1"/>
  <c r="CF195" i="3"/>
  <c r="CB196" i="3"/>
  <c r="CD196" i="3" s="1"/>
  <c r="BZ197" i="3"/>
  <c r="BX198" i="3"/>
  <c r="BV199" i="3"/>
  <c r="BT200" i="3"/>
  <c r="BR201" i="3"/>
  <c r="BP202" i="3"/>
  <c r="BN203" i="3"/>
  <c r="BL204" i="3"/>
  <c r="BL206" i="3"/>
  <c r="BJ205" i="3"/>
  <c r="BK205" i="3" s="1"/>
  <c r="BJ208" i="3"/>
  <c r="BF207" i="3"/>
  <c r="BB209" i="3"/>
  <c r="AX212" i="3"/>
  <c r="AX210" i="3"/>
  <c r="AS214" i="3"/>
  <c r="AT214" i="3" s="1"/>
  <c r="AR215" i="3"/>
  <c r="CT189" i="3" l="1"/>
  <c r="CT190" i="3"/>
  <c r="CM192" i="3"/>
  <c r="CN192" i="3" s="1"/>
  <c r="CO192" i="3" s="1"/>
  <c r="CL193" i="3"/>
  <c r="CJ194" i="3"/>
  <c r="CH195" i="3"/>
  <c r="CF196" i="3"/>
  <c r="CB197" i="3"/>
  <c r="CD197" i="3" s="1"/>
  <c r="BZ198" i="3"/>
  <c r="BX199" i="3"/>
  <c r="BV200" i="3"/>
  <c r="BT201" i="3"/>
  <c r="BU201" i="3" s="1"/>
  <c r="BR202" i="3"/>
  <c r="BS202" i="3" s="1"/>
  <c r="BP203" i="3"/>
  <c r="BN206" i="3"/>
  <c r="BN204" i="3"/>
  <c r="BO204" i="3" s="1"/>
  <c r="BL208" i="3"/>
  <c r="BL205" i="3"/>
  <c r="BH207" i="3"/>
  <c r="BD209" i="3"/>
  <c r="BE209" i="3" s="1"/>
  <c r="AZ210" i="3"/>
  <c r="AZ212" i="3"/>
  <c r="AU214" i="3"/>
  <c r="AV214" i="3" s="1"/>
  <c r="AX211" i="3"/>
  <c r="AX213" i="3"/>
  <c r="AS215" i="3"/>
  <c r="AT215" i="3" s="1"/>
  <c r="AR216" i="3"/>
  <c r="CP192" i="3" l="1"/>
  <c r="AJ192" i="25"/>
  <c r="CN193" i="3"/>
  <c r="CO193" i="3" s="1"/>
  <c r="CL194" i="3"/>
  <c r="CJ195" i="3"/>
  <c r="CH196" i="3"/>
  <c r="CF197" i="3"/>
  <c r="CA198" i="3"/>
  <c r="CB198" i="3" s="1"/>
  <c r="CD198" i="3" s="1"/>
  <c r="BZ199" i="3"/>
  <c r="BX200" i="3"/>
  <c r="BV201" i="3"/>
  <c r="BW201" i="3" s="1"/>
  <c r="BT202" i="3"/>
  <c r="BR203" i="3"/>
  <c r="BS203" i="3" s="1"/>
  <c r="BP206" i="3"/>
  <c r="BP204" i="3"/>
  <c r="BN205" i="3"/>
  <c r="BN208" i="3"/>
  <c r="BJ207" i="3"/>
  <c r="BF209" i="3"/>
  <c r="BG209" i="3" s="1"/>
  <c r="BB212" i="3"/>
  <c r="BB210" i="3"/>
  <c r="AZ211" i="3"/>
  <c r="AZ213" i="3"/>
  <c r="AU215" i="3"/>
  <c r="AV215" i="3" s="1"/>
  <c r="AW215" i="3" s="1"/>
  <c r="AS216" i="3"/>
  <c r="AT216" i="3" s="1"/>
  <c r="AR217" i="3"/>
  <c r="CT192" i="3" l="1"/>
  <c r="CP193" i="3"/>
  <c r="AJ193" i="25"/>
  <c r="CN194" i="3"/>
  <c r="CO194" i="3" s="1"/>
  <c r="CL195" i="3"/>
  <c r="CJ196" i="3"/>
  <c r="CH197" i="3"/>
  <c r="CF198" i="3"/>
  <c r="CG198" i="3" s="1"/>
  <c r="CA199" i="3"/>
  <c r="CB199" i="3" s="1"/>
  <c r="CD199" i="3" s="1"/>
  <c r="BZ200" i="3"/>
  <c r="BX201" i="3"/>
  <c r="BV202" i="3"/>
  <c r="BT203" i="3"/>
  <c r="BR204" i="3"/>
  <c r="BR206" i="3"/>
  <c r="BP208" i="3"/>
  <c r="BP205" i="3"/>
  <c r="BL207" i="3"/>
  <c r="BH209" i="3"/>
  <c r="BD210" i="3"/>
  <c r="BD212" i="3"/>
  <c r="BE212" i="3" s="1"/>
  <c r="BB211" i="3"/>
  <c r="BB213" i="3"/>
  <c r="AU216" i="3"/>
  <c r="AV216" i="3" s="1"/>
  <c r="AX214" i="3"/>
  <c r="AS217" i="3"/>
  <c r="AT217" i="3" s="1"/>
  <c r="AR218" i="3"/>
  <c r="CT193" i="3" l="1"/>
  <c r="CP194" i="3"/>
  <c r="AJ194" i="25"/>
  <c r="CN195" i="3"/>
  <c r="CO195" i="3" s="1"/>
  <c r="CL196" i="3"/>
  <c r="CJ197" i="3"/>
  <c r="CH198" i="3"/>
  <c r="CI198" i="3" s="1"/>
  <c r="CE199" i="3"/>
  <c r="CF199" i="3" s="1"/>
  <c r="CG199" i="3" s="1"/>
  <c r="CB200" i="3"/>
  <c r="CD200" i="3" s="1"/>
  <c r="BZ201" i="3"/>
  <c r="CA201" i="3" s="1"/>
  <c r="BX202" i="3"/>
  <c r="BY202" i="3" s="1"/>
  <c r="BV203" i="3"/>
  <c r="BT206" i="3"/>
  <c r="BT204" i="3"/>
  <c r="BR205" i="3"/>
  <c r="BR208" i="3"/>
  <c r="BN207" i="3"/>
  <c r="BJ209" i="3"/>
  <c r="BK209" i="3" s="1"/>
  <c r="BF210" i="3"/>
  <c r="BF212" i="3"/>
  <c r="BG212" i="3" s="1"/>
  <c r="BD213" i="3"/>
  <c r="BE213" i="3" s="1"/>
  <c r="BD211" i="3"/>
  <c r="BE211" i="3" s="1"/>
  <c r="AZ214" i="3"/>
  <c r="AU217" i="3"/>
  <c r="AV217" i="3" s="1"/>
  <c r="AW217" i="3" s="1"/>
  <c r="AX215" i="3"/>
  <c r="AS218" i="3"/>
  <c r="AT218" i="3" s="1"/>
  <c r="AR219" i="3"/>
  <c r="CT194" i="3" l="1"/>
  <c r="CP195" i="3"/>
  <c r="AJ195" i="25"/>
  <c r="CN196" i="3"/>
  <c r="CO196" i="3" s="1"/>
  <c r="CL197" i="3"/>
  <c r="CJ198" i="3"/>
  <c r="CH199" i="3"/>
  <c r="CI199" i="3" s="1"/>
  <c r="CF200" i="3"/>
  <c r="CB201" i="3"/>
  <c r="CD201" i="3" s="1"/>
  <c r="BZ202" i="3"/>
  <c r="BX203" i="3"/>
  <c r="BV204" i="3"/>
  <c r="BV206" i="3"/>
  <c r="BT208" i="3"/>
  <c r="BT205" i="3"/>
  <c r="BU205" i="3" s="1"/>
  <c r="BP207" i="3"/>
  <c r="BL209" i="3"/>
  <c r="BH212" i="3"/>
  <c r="BH210" i="3"/>
  <c r="BF213" i="3"/>
  <c r="BG213" i="3" s="1"/>
  <c r="BF211" i="3"/>
  <c r="BG211" i="3" s="1"/>
  <c r="BB214" i="3"/>
  <c r="AZ215" i="3"/>
  <c r="AU218" i="3"/>
  <c r="AV218" i="3" s="1"/>
  <c r="AX216" i="3"/>
  <c r="AS219" i="3"/>
  <c r="AT219" i="3" s="1"/>
  <c r="AR220" i="3"/>
  <c r="CT195" i="3" l="1"/>
  <c r="CP196" i="3"/>
  <c r="AJ196" i="25"/>
  <c r="CN197" i="3"/>
  <c r="CO197" i="3" s="1"/>
  <c r="CL198" i="3"/>
  <c r="CJ199" i="3"/>
  <c r="CH200" i="3"/>
  <c r="CF201" i="3"/>
  <c r="CG201" i="3" s="1"/>
  <c r="CA202" i="3"/>
  <c r="CB202" i="3" s="1"/>
  <c r="CD202" i="3" s="1"/>
  <c r="CE202" i="3" s="1"/>
  <c r="BZ203" i="3"/>
  <c r="BX206" i="3"/>
  <c r="BX204" i="3"/>
  <c r="BV205" i="3"/>
  <c r="BV208" i="3"/>
  <c r="BR207" i="3"/>
  <c r="BN209" i="3"/>
  <c r="BO209" i="3" s="1"/>
  <c r="BJ210" i="3"/>
  <c r="BJ212" i="3"/>
  <c r="BK212" i="3" s="1"/>
  <c r="BH211" i="3"/>
  <c r="BH213" i="3"/>
  <c r="BD214" i="3"/>
  <c r="BA215" i="3"/>
  <c r="BB215" i="3" s="1"/>
  <c r="AZ216" i="3"/>
  <c r="AU219" i="3"/>
  <c r="AV219" i="3" s="1"/>
  <c r="AX217" i="3"/>
  <c r="AS220" i="3"/>
  <c r="AT220" i="3" s="1"/>
  <c r="AR221" i="3"/>
  <c r="CT196" i="3" l="1"/>
  <c r="AJ197" i="25"/>
  <c r="CP197" i="3"/>
  <c r="CN198" i="3"/>
  <c r="CO198" i="3" s="1"/>
  <c r="CL199" i="3"/>
  <c r="CJ200" i="3"/>
  <c r="CH201" i="3"/>
  <c r="CI201" i="3" s="1"/>
  <c r="CF202" i="3"/>
  <c r="CG202" i="3" s="1"/>
  <c r="CA203" i="3"/>
  <c r="CB203" i="3" s="1"/>
  <c r="BZ204" i="3"/>
  <c r="BZ206" i="3"/>
  <c r="BX208" i="3"/>
  <c r="BX205" i="3"/>
  <c r="BT207" i="3"/>
  <c r="BP209" i="3"/>
  <c r="BL212" i="3"/>
  <c r="BL210" i="3"/>
  <c r="BJ213" i="3"/>
  <c r="BK213" i="3" s="1"/>
  <c r="BJ211" i="3"/>
  <c r="BK211" i="3" s="1"/>
  <c r="BF214" i="3"/>
  <c r="BD215" i="3"/>
  <c r="BE215" i="3" s="1"/>
  <c r="BB216" i="3"/>
  <c r="AZ217" i="3"/>
  <c r="AU220" i="3"/>
  <c r="AV220" i="3" s="1"/>
  <c r="AX218" i="3"/>
  <c r="AW219" i="3"/>
  <c r="AS221" i="3"/>
  <c r="AT221" i="3" s="1"/>
  <c r="AR222" i="3"/>
  <c r="CT197" i="3" l="1"/>
  <c r="CP198" i="3"/>
  <c r="AJ198" i="25"/>
  <c r="CM199" i="3"/>
  <c r="CN199" i="3" s="1"/>
  <c r="CO199" i="3" s="1"/>
  <c r="CL200" i="3"/>
  <c r="CJ201" i="3"/>
  <c r="CH202" i="3"/>
  <c r="CI202" i="3" s="1"/>
  <c r="CD203" i="3"/>
  <c r="CA204" i="3"/>
  <c r="CB204" i="3" s="1"/>
  <c r="CD204" i="3" s="1"/>
  <c r="CB206" i="3"/>
  <c r="CD206" i="3" s="1"/>
  <c r="BZ205" i="3"/>
  <c r="BZ208" i="3"/>
  <c r="BV207" i="3"/>
  <c r="BR209" i="3"/>
  <c r="BS209" i="3" s="1"/>
  <c r="BN210" i="3"/>
  <c r="BN212" i="3"/>
  <c r="BL213" i="3"/>
  <c r="BL211" i="3"/>
  <c r="BH214" i="3"/>
  <c r="BF215" i="3"/>
  <c r="BG215" i="3" s="1"/>
  <c r="BD216" i="3"/>
  <c r="BE216" i="3" s="1"/>
  <c r="BA217" i="3"/>
  <c r="BB217" i="3" s="1"/>
  <c r="AZ218" i="3"/>
  <c r="AU221" i="3"/>
  <c r="AV221" i="3" s="1"/>
  <c r="AX219" i="3"/>
  <c r="AS222" i="3"/>
  <c r="AT222" i="3" s="1"/>
  <c r="CT198" i="3" l="1"/>
  <c r="CP199" i="3"/>
  <c r="AJ199" i="25"/>
  <c r="CN200" i="3"/>
  <c r="CO200" i="3" s="1"/>
  <c r="CL201" i="3"/>
  <c r="CJ202" i="3"/>
  <c r="CF206" i="3"/>
  <c r="CF203" i="3"/>
  <c r="CG203" i="3" s="1"/>
  <c r="CE204" i="3"/>
  <c r="CF204" i="3" s="1"/>
  <c r="CG204" i="3" s="1"/>
  <c r="CA205" i="3"/>
  <c r="CB205" i="3" s="1"/>
  <c r="CB208" i="3"/>
  <c r="BX207" i="3"/>
  <c r="BT209" i="3"/>
  <c r="BP212" i="3"/>
  <c r="BP210" i="3"/>
  <c r="BN213" i="3"/>
  <c r="BO213" i="3" s="1"/>
  <c r="BN211" i="3"/>
  <c r="BO211" i="3" s="1"/>
  <c r="BJ214" i="3"/>
  <c r="BH215" i="3"/>
  <c r="BF216" i="3"/>
  <c r="BG216" i="3" s="1"/>
  <c r="BD217" i="3"/>
  <c r="BE217" i="3" s="1"/>
  <c r="BB218" i="3"/>
  <c r="AZ219" i="3"/>
  <c r="AU222" i="3"/>
  <c r="AV222" i="3" s="1"/>
  <c r="AW222" i="3" s="1"/>
  <c r="AX220" i="3"/>
  <c r="AR223" i="3"/>
  <c r="AR225" i="3"/>
  <c r="CT199" i="3" l="1"/>
  <c r="CP200" i="3"/>
  <c r="AJ200" i="25"/>
  <c r="CN201" i="3"/>
  <c r="CO201" i="3" s="1"/>
  <c r="CL202" i="3"/>
  <c r="CH204" i="3"/>
  <c r="CI204" i="3" s="1"/>
  <c r="CH203" i="3"/>
  <c r="CI203" i="3" s="1"/>
  <c r="CH206" i="3"/>
  <c r="CD208" i="3"/>
  <c r="CD205" i="3"/>
  <c r="BZ207" i="3"/>
  <c r="BV209" i="3"/>
  <c r="BR210" i="3"/>
  <c r="BR212" i="3"/>
  <c r="BP213" i="3"/>
  <c r="BP211" i="3"/>
  <c r="BL214" i="3"/>
  <c r="BJ215" i="3"/>
  <c r="BK215" i="3" s="1"/>
  <c r="BH216" i="3"/>
  <c r="BF217" i="3"/>
  <c r="BG217" i="3" s="1"/>
  <c r="BD218" i="3"/>
  <c r="BE218" i="3" s="1"/>
  <c r="BB219" i="3"/>
  <c r="AZ220" i="3"/>
  <c r="AX221" i="3"/>
  <c r="AS225" i="3"/>
  <c r="AS223" i="3"/>
  <c r="AR224" i="3"/>
  <c r="AR226" i="3"/>
  <c r="CT200" i="3" l="1"/>
  <c r="CP201" i="3"/>
  <c r="AJ201" i="25"/>
  <c r="CN202" i="3"/>
  <c r="CO202" i="3" s="1"/>
  <c r="CJ206" i="3"/>
  <c r="CJ203" i="3"/>
  <c r="CJ204" i="3"/>
  <c r="CF205" i="3"/>
  <c r="CG205" i="3" s="1"/>
  <c r="CF208" i="3"/>
  <c r="CB207" i="3"/>
  <c r="CD207" i="3" s="1"/>
  <c r="BX209" i="3"/>
  <c r="BY209" i="3" s="1"/>
  <c r="BT212" i="3"/>
  <c r="BU212" i="3" s="1"/>
  <c r="BT210" i="3"/>
  <c r="BR211" i="3"/>
  <c r="BR213" i="3"/>
  <c r="BS213" i="3" s="1"/>
  <c r="BN214" i="3"/>
  <c r="BL215" i="3"/>
  <c r="BJ216" i="3"/>
  <c r="BH217" i="3"/>
  <c r="BF218" i="3"/>
  <c r="BG218" i="3" s="1"/>
  <c r="BD219" i="3"/>
  <c r="BE219" i="3" s="1"/>
  <c r="BB220" i="3"/>
  <c r="AZ221" i="3"/>
  <c r="AX222" i="3"/>
  <c r="AT223" i="3"/>
  <c r="AT225" i="3"/>
  <c r="AS226" i="3"/>
  <c r="AS224" i="3"/>
  <c r="AR227" i="3"/>
  <c r="AR228" i="3"/>
  <c r="CT201" i="3" l="1"/>
  <c r="CP202" i="3"/>
  <c r="AJ202" i="25"/>
  <c r="CL204" i="3"/>
  <c r="CL203" i="3"/>
  <c r="CL206" i="3"/>
  <c r="CH208" i="3"/>
  <c r="CH205" i="3"/>
  <c r="CI205" i="3" s="1"/>
  <c r="CF207" i="3"/>
  <c r="BZ209" i="3"/>
  <c r="BV210" i="3"/>
  <c r="BV212" i="3"/>
  <c r="BT213" i="3"/>
  <c r="BT211" i="3"/>
  <c r="BP214" i="3"/>
  <c r="BN215" i="3"/>
  <c r="BL216" i="3"/>
  <c r="BJ217" i="3"/>
  <c r="BK217" i="3" s="1"/>
  <c r="BH218" i="3"/>
  <c r="BF219" i="3"/>
  <c r="BG219" i="3" s="1"/>
  <c r="BD220" i="3"/>
  <c r="BE220" i="3" s="1"/>
  <c r="BB221" i="3"/>
  <c r="AZ222" i="3"/>
  <c r="AU225" i="3"/>
  <c r="AV225" i="3" s="1"/>
  <c r="AU223" i="3"/>
  <c r="AV223" i="3" s="1"/>
  <c r="AT224" i="3"/>
  <c r="AT226" i="3"/>
  <c r="AS228" i="3"/>
  <c r="AT228" i="3" s="1"/>
  <c r="AS227" i="3"/>
  <c r="CT202" i="3" l="1"/>
  <c r="CN203" i="3"/>
  <c r="CO203" i="3" s="1"/>
  <c r="CN204" i="3"/>
  <c r="CO204" i="3" s="1"/>
  <c r="CN206" i="3"/>
  <c r="CO206" i="3" s="1"/>
  <c r="CJ205" i="3"/>
  <c r="CJ208" i="3"/>
  <c r="CH207" i="3"/>
  <c r="CB209" i="3"/>
  <c r="CD209" i="3" s="1"/>
  <c r="BX212" i="3"/>
  <c r="BX210" i="3"/>
  <c r="BV213" i="3"/>
  <c r="BV211" i="3"/>
  <c r="BR214" i="3"/>
  <c r="BP215" i="3"/>
  <c r="BN216" i="3"/>
  <c r="BL217" i="3"/>
  <c r="BJ218" i="3"/>
  <c r="BH219" i="3"/>
  <c r="BF220" i="3"/>
  <c r="BG220" i="3" s="1"/>
  <c r="BD221" i="3"/>
  <c r="BE221" i="3" s="1"/>
  <c r="BA222" i="3"/>
  <c r="BB222" i="3" s="1"/>
  <c r="AU228" i="3"/>
  <c r="AV228" i="3" s="1"/>
  <c r="AU224" i="3"/>
  <c r="AV224" i="3" s="1"/>
  <c r="AW224" i="3" s="1"/>
  <c r="AV226" i="3"/>
  <c r="AX226" i="3" s="1"/>
  <c r="AX225" i="3"/>
  <c r="AT227" i="3"/>
  <c r="AR229" i="3"/>
  <c r="CP206" i="3" l="1"/>
  <c r="AJ204" i="25"/>
  <c r="CP203" i="3"/>
  <c r="AJ203" i="25"/>
  <c r="CP204" i="3"/>
  <c r="AJ206" i="25"/>
  <c r="CL208" i="3"/>
  <c r="CL205" i="3"/>
  <c r="CJ207" i="3"/>
  <c r="CF209" i="3"/>
  <c r="BZ210" i="3"/>
  <c r="BZ212" i="3"/>
  <c r="BX211" i="3"/>
  <c r="BX213" i="3"/>
  <c r="BT214" i="3"/>
  <c r="BR215" i="3"/>
  <c r="BP216" i="3"/>
  <c r="BN217" i="3"/>
  <c r="BL218" i="3"/>
  <c r="BJ219" i="3"/>
  <c r="BK219" i="3" s="1"/>
  <c r="BH220" i="3"/>
  <c r="BF221" i="3"/>
  <c r="BG221" i="3" s="1"/>
  <c r="BD222" i="3"/>
  <c r="BE222" i="3" s="1"/>
  <c r="AZ225" i="3"/>
  <c r="AZ226" i="3"/>
  <c r="AU227" i="3"/>
  <c r="AV227" i="3" s="1"/>
  <c r="AX223" i="3"/>
  <c r="AS229" i="3"/>
  <c r="AR230" i="3"/>
  <c r="AT230" i="3" s="1"/>
  <c r="CT204" i="3" l="1"/>
  <c r="CT203" i="3"/>
  <c r="CT206" i="3"/>
  <c r="CN205" i="3"/>
  <c r="CO205" i="3" s="1"/>
  <c r="CN208" i="3"/>
  <c r="CO208" i="3" s="1"/>
  <c r="CL207" i="3"/>
  <c r="CH209" i="3"/>
  <c r="CA212" i="3"/>
  <c r="CB212" i="3" s="1"/>
  <c r="CB210" i="3"/>
  <c r="CD210" i="3" s="1"/>
  <c r="BZ213" i="3"/>
  <c r="BZ211" i="3"/>
  <c r="BV214" i="3"/>
  <c r="BT215" i="3"/>
  <c r="BU215" i="3" s="1"/>
  <c r="BR216" i="3"/>
  <c r="BP217" i="3"/>
  <c r="BN218" i="3"/>
  <c r="BL219" i="3"/>
  <c r="BJ220" i="3"/>
  <c r="BK220" i="3" s="1"/>
  <c r="BH221" i="3"/>
  <c r="BF222" i="3"/>
  <c r="BG222" i="3" s="1"/>
  <c r="BB226" i="3"/>
  <c r="BB225" i="3"/>
  <c r="AZ223" i="3"/>
  <c r="AV230" i="3"/>
  <c r="AX230" i="3" s="1"/>
  <c r="AX228" i="3"/>
  <c r="AX224" i="3"/>
  <c r="AT229" i="3"/>
  <c r="AR231" i="3"/>
  <c r="AJ208" i="25" l="1"/>
  <c r="AJ205" i="25"/>
  <c r="CP205" i="3"/>
  <c r="CP208" i="3"/>
  <c r="CN207" i="3"/>
  <c r="CO207" i="3" s="1"/>
  <c r="CJ209" i="3"/>
  <c r="CF210" i="3"/>
  <c r="CD212" i="3"/>
  <c r="CB213" i="3"/>
  <c r="CB211" i="3"/>
  <c r="CD211" i="3" s="1"/>
  <c r="BX214" i="3"/>
  <c r="BV215" i="3"/>
  <c r="BW215" i="3" s="1"/>
  <c r="BT216" i="3"/>
  <c r="BR217" i="3"/>
  <c r="BS217" i="3" s="1"/>
  <c r="BP218" i="3"/>
  <c r="BN219" i="3"/>
  <c r="BL220" i="3"/>
  <c r="BJ221" i="3"/>
  <c r="BK221" i="3" s="1"/>
  <c r="BH222" i="3"/>
  <c r="BD225" i="3"/>
  <c r="BE225" i="3" s="1"/>
  <c r="BD226" i="3"/>
  <c r="BB223" i="3"/>
  <c r="AZ228" i="3"/>
  <c r="AZ224" i="3"/>
  <c r="AZ230" i="3"/>
  <c r="AU229" i="3"/>
  <c r="AV229" i="3" s="1"/>
  <c r="AX227" i="3"/>
  <c r="AS231" i="3"/>
  <c r="AR232" i="3"/>
  <c r="AT232" i="3" s="1"/>
  <c r="CT208" i="3" l="1"/>
  <c r="CT205" i="3"/>
  <c r="CP207" i="3"/>
  <c r="AJ207" i="25"/>
  <c r="CL209" i="3"/>
  <c r="CH210" i="3"/>
  <c r="CF211" i="3"/>
  <c r="CF212" i="3"/>
  <c r="CD213" i="3"/>
  <c r="BZ214" i="3"/>
  <c r="BX215" i="3"/>
  <c r="BV216" i="3"/>
  <c r="BT217" i="3"/>
  <c r="BR218" i="3"/>
  <c r="BP219" i="3"/>
  <c r="BN220" i="3"/>
  <c r="BO220" i="3" s="1"/>
  <c r="BL221" i="3"/>
  <c r="BJ222" i="3"/>
  <c r="BK222" i="3" s="1"/>
  <c r="BF226" i="3"/>
  <c r="BF225" i="3"/>
  <c r="BG225" i="3" s="1"/>
  <c r="BD223" i="3"/>
  <c r="BE223" i="3" s="1"/>
  <c r="BB230" i="3"/>
  <c r="BB228" i="3"/>
  <c r="BA224" i="3"/>
  <c r="BB224" i="3" s="1"/>
  <c r="AZ227" i="3"/>
  <c r="AV232" i="3"/>
  <c r="AX232" i="3" s="1"/>
  <c r="AT231" i="3"/>
  <c r="AR233" i="3"/>
  <c r="CT207" i="3" l="1"/>
  <c r="CN209" i="3"/>
  <c r="CO209" i="3" s="1"/>
  <c r="CJ210" i="3"/>
  <c r="CH212" i="3"/>
  <c r="CH211" i="3"/>
  <c r="CF213" i="3"/>
  <c r="CB214" i="3"/>
  <c r="CD214" i="3" s="1"/>
  <c r="BZ215" i="3"/>
  <c r="BX216" i="3"/>
  <c r="BV217" i="3"/>
  <c r="BT218" i="3"/>
  <c r="BR219" i="3"/>
  <c r="BP220" i="3"/>
  <c r="BN221" i="3"/>
  <c r="BO221" i="3" s="1"/>
  <c r="BL222" i="3"/>
  <c r="BH225" i="3"/>
  <c r="BI225" i="3" s="1"/>
  <c r="BH226" i="3"/>
  <c r="BF223" i="3"/>
  <c r="BG223" i="3" s="1"/>
  <c r="BD230" i="3"/>
  <c r="BD224" i="3"/>
  <c r="BE224" i="3" s="1"/>
  <c r="BD228" i="3"/>
  <c r="BE228" i="3" s="1"/>
  <c r="BB227" i="3"/>
  <c r="AZ232" i="3"/>
  <c r="AU231" i="3"/>
  <c r="AV231" i="3" s="1"/>
  <c r="AX229" i="3"/>
  <c r="AS233" i="3"/>
  <c r="AR234" i="3"/>
  <c r="CP209" i="3" l="1"/>
  <c r="AJ209" i="25"/>
  <c r="CL210" i="3"/>
  <c r="CJ211" i="3"/>
  <c r="CJ212" i="3"/>
  <c r="CH213" i="3"/>
  <c r="CF214" i="3"/>
  <c r="CA215" i="3"/>
  <c r="CB215" i="3" s="1"/>
  <c r="BZ216" i="3"/>
  <c r="BX217" i="3"/>
  <c r="BV218" i="3"/>
  <c r="BT219" i="3"/>
  <c r="BU219" i="3" s="1"/>
  <c r="BR220" i="3"/>
  <c r="BS220" i="3" s="1"/>
  <c r="BP221" i="3"/>
  <c r="BN222" i="3"/>
  <c r="BJ226" i="3"/>
  <c r="BJ225" i="3"/>
  <c r="BK225" i="3" s="1"/>
  <c r="BH223" i="3"/>
  <c r="BF230" i="3"/>
  <c r="BF228" i="3"/>
  <c r="BG228" i="3" s="1"/>
  <c r="BF224" i="3"/>
  <c r="BG224" i="3" s="1"/>
  <c r="BD227" i="3"/>
  <c r="BE227" i="3" s="1"/>
  <c r="BB232" i="3"/>
  <c r="AZ229" i="3"/>
  <c r="AT233" i="3"/>
  <c r="AS234" i="3"/>
  <c r="AR235" i="3"/>
  <c r="CT209" i="3" l="1"/>
  <c r="CN210" i="3"/>
  <c r="CO210" i="3" s="1"/>
  <c r="CL211" i="3"/>
  <c r="CL212" i="3"/>
  <c r="CJ213" i="3"/>
  <c r="CH214" i="3"/>
  <c r="CD215" i="3"/>
  <c r="CB216" i="3"/>
  <c r="CD216" i="3" s="1"/>
  <c r="BZ217" i="3"/>
  <c r="BX218" i="3"/>
  <c r="BV219" i="3"/>
  <c r="BT220" i="3"/>
  <c r="BR221" i="3"/>
  <c r="BP222" i="3"/>
  <c r="BL225" i="3"/>
  <c r="BL226" i="3"/>
  <c r="BJ223" i="3"/>
  <c r="BK223" i="3" s="1"/>
  <c r="BH230" i="3"/>
  <c r="BH224" i="3"/>
  <c r="BH228" i="3"/>
  <c r="BI228" i="3" s="1"/>
  <c r="BF227" i="3"/>
  <c r="BG227" i="3" s="1"/>
  <c r="BD232" i="3"/>
  <c r="BB229" i="3"/>
  <c r="AU233" i="3"/>
  <c r="AV233" i="3" s="1"/>
  <c r="AX231" i="3"/>
  <c r="AT234" i="3"/>
  <c r="AS235" i="3"/>
  <c r="AR236" i="3"/>
  <c r="CP210" i="3" l="1"/>
  <c r="AJ210" i="25"/>
  <c r="CN212" i="3"/>
  <c r="CO212" i="3" s="1"/>
  <c r="CN211" i="3"/>
  <c r="CO211" i="3" s="1"/>
  <c r="CL213" i="3"/>
  <c r="CJ214" i="3"/>
  <c r="CF216" i="3"/>
  <c r="CF215" i="3"/>
  <c r="CG215" i="3" s="1"/>
  <c r="CA217" i="3"/>
  <c r="CB217" i="3" s="1"/>
  <c r="BZ218" i="3"/>
  <c r="BX219" i="3"/>
  <c r="BV220" i="3"/>
  <c r="BT221" i="3"/>
  <c r="BU221" i="3" s="1"/>
  <c r="BR222" i="3"/>
  <c r="BN226" i="3"/>
  <c r="BN225" i="3"/>
  <c r="BO225" i="3" s="1"/>
  <c r="BL223" i="3"/>
  <c r="BJ224" i="3"/>
  <c r="BK224" i="3" s="1"/>
  <c r="BJ230" i="3"/>
  <c r="BJ228" i="3"/>
  <c r="BK228" i="3" s="1"/>
  <c r="BH227" i="3"/>
  <c r="BI227" i="3" s="1"/>
  <c r="BF232" i="3"/>
  <c r="BD229" i="3"/>
  <c r="BE229" i="3" s="1"/>
  <c r="AZ231" i="3"/>
  <c r="AU234" i="3"/>
  <c r="AV234" i="3" s="1"/>
  <c r="AW234" i="3" s="1"/>
  <c r="AT235" i="3"/>
  <c r="AS236" i="3"/>
  <c r="AR237" i="3"/>
  <c r="CT210" i="3" l="1"/>
  <c r="CP211" i="3"/>
  <c r="CP212" i="3"/>
  <c r="AJ212" i="25"/>
  <c r="AJ211" i="25"/>
  <c r="CN213" i="3"/>
  <c r="CO213" i="3" s="1"/>
  <c r="CL214" i="3"/>
  <c r="CH215" i="3"/>
  <c r="CI215" i="3" s="1"/>
  <c r="CH216" i="3"/>
  <c r="CD217" i="3"/>
  <c r="CB218" i="3"/>
  <c r="BZ219" i="3"/>
  <c r="BX220" i="3"/>
  <c r="BV221" i="3"/>
  <c r="BT222" i="3"/>
  <c r="BU222" i="3" s="1"/>
  <c r="BP225" i="3"/>
  <c r="BP226" i="3"/>
  <c r="BN223" i="3"/>
  <c r="BO223" i="3" s="1"/>
  <c r="BL228" i="3"/>
  <c r="BL230" i="3"/>
  <c r="BL224" i="3"/>
  <c r="BJ227" i="3"/>
  <c r="BK227" i="3" s="1"/>
  <c r="BH232" i="3"/>
  <c r="BF229" i="3"/>
  <c r="BG229" i="3" s="1"/>
  <c r="BB231" i="3"/>
  <c r="AU235" i="3"/>
  <c r="AV235" i="3" s="1"/>
  <c r="AW235" i="3" s="1"/>
  <c r="AX233" i="3"/>
  <c r="AT236" i="3"/>
  <c r="AS237" i="3"/>
  <c r="AR238" i="3"/>
  <c r="CT212" i="3" l="1"/>
  <c r="CT211" i="3"/>
  <c r="AJ213" i="25"/>
  <c r="CP213" i="3"/>
  <c r="CN214" i="3"/>
  <c r="CO214" i="3" s="1"/>
  <c r="CJ216" i="3"/>
  <c r="CJ215" i="3"/>
  <c r="CF217" i="3"/>
  <c r="CG217" i="3" s="1"/>
  <c r="CD218" i="3"/>
  <c r="CA219" i="3"/>
  <c r="CB219" i="3" s="1"/>
  <c r="BZ220" i="3"/>
  <c r="BX221" i="3"/>
  <c r="BV222" i="3"/>
  <c r="BW222" i="3" s="1"/>
  <c r="BR226" i="3"/>
  <c r="BR225" i="3"/>
  <c r="BP223" i="3"/>
  <c r="BN224" i="3"/>
  <c r="BN228" i="3"/>
  <c r="BO228" i="3" s="1"/>
  <c r="BN230" i="3"/>
  <c r="BL227" i="3"/>
  <c r="BJ232" i="3"/>
  <c r="BH229" i="3"/>
  <c r="BI229" i="3" s="1"/>
  <c r="BD231" i="3"/>
  <c r="BE231" i="3" s="1"/>
  <c r="AZ233" i="3"/>
  <c r="AU236" i="3"/>
  <c r="AV236" i="3" s="1"/>
  <c r="AX234" i="3"/>
  <c r="AT237" i="3"/>
  <c r="AS238" i="3"/>
  <c r="AR239" i="3"/>
  <c r="CT213" i="3" l="1"/>
  <c r="CP214" i="3"/>
  <c r="AJ214" i="25"/>
  <c r="CL215" i="3"/>
  <c r="CL216" i="3"/>
  <c r="CH217" i="3"/>
  <c r="CI217" i="3" s="1"/>
  <c r="CF218" i="3"/>
  <c r="CD219" i="3"/>
  <c r="CB220" i="3"/>
  <c r="BZ221" i="3"/>
  <c r="BX222" i="3"/>
  <c r="BT225" i="3"/>
  <c r="BT226" i="3"/>
  <c r="BR223" i="3"/>
  <c r="BS223" i="3" s="1"/>
  <c r="BP228" i="3"/>
  <c r="BP224" i="3"/>
  <c r="BP230" i="3"/>
  <c r="BN227" i="3"/>
  <c r="BO227" i="3" s="1"/>
  <c r="BL232" i="3"/>
  <c r="BJ229" i="3"/>
  <c r="BK229" i="3" s="1"/>
  <c r="BF231" i="3"/>
  <c r="BG231" i="3" s="1"/>
  <c r="BB233" i="3"/>
  <c r="AZ234" i="3"/>
  <c r="AU237" i="3"/>
  <c r="AV237" i="3" s="1"/>
  <c r="AW237" i="3" s="1"/>
  <c r="AX235" i="3"/>
  <c r="AT238" i="3"/>
  <c r="AS239" i="3"/>
  <c r="AR240" i="3"/>
  <c r="CT214" i="3" l="1"/>
  <c r="CN216" i="3"/>
  <c r="CO216" i="3" s="1"/>
  <c r="AJ216" i="25" s="1"/>
  <c r="CN215" i="3"/>
  <c r="CO215" i="3" s="1"/>
  <c r="CJ217" i="3"/>
  <c r="CH218" i="3"/>
  <c r="CF219" i="3"/>
  <c r="CG219" i="3" s="1"/>
  <c r="CD220" i="3"/>
  <c r="CA221" i="3"/>
  <c r="CB221" i="3" s="1"/>
  <c r="CD221" i="3" s="1"/>
  <c r="BZ222" i="3"/>
  <c r="BV226" i="3"/>
  <c r="BV225" i="3"/>
  <c r="BT223" i="3"/>
  <c r="BR228" i="3"/>
  <c r="BR224" i="3"/>
  <c r="BS224" i="3" s="1"/>
  <c r="BR230" i="3"/>
  <c r="BP227" i="3"/>
  <c r="BN232" i="3"/>
  <c r="BL229" i="3"/>
  <c r="BH231" i="3"/>
  <c r="BD233" i="3"/>
  <c r="BE233" i="3" s="1"/>
  <c r="BB234" i="3"/>
  <c r="AZ235" i="3"/>
  <c r="AU238" i="3"/>
  <c r="AV238" i="3" s="1"/>
  <c r="AX236" i="3"/>
  <c r="AT239" i="3"/>
  <c r="AS240" i="3"/>
  <c r="AR241" i="3"/>
  <c r="CP215" i="3" l="1"/>
  <c r="CP216" i="3"/>
  <c r="AJ215" i="25"/>
  <c r="CL217" i="3"/>
  <c r="CJ218" i="3"/>
  <c r="CH219" i="3"/>
  <c r="CI219" i="3" s="1"/>
  <c r="CF220" i="3"/>
  <c r="CE221" i="3"/>
  <c r="CF221" i="3" s="1"/>
  <c r="CG221" i="3" s="1"/>
  <c r="CA222" i="3"/>
  <c r="CB222" i="3" s="1"/>
  <c r="BX225" i="3"/>
  <c r="BX226" i="3"/>
  <c r="BV223" i="3"/>
  <c r="BW223" i="3" s="1"/>
  <c r="BT228" i="3"/>
  <c r="BT230" i="3"/>
  <c r="BT224" i="3"/>
  <c r="BR227" i="3"/>
  <c r="BS227" i="3" s="1"/>
  <c r="BP232" i="3"/>
  <c r="BN229" i="3"/>
  <c r="BO229" i="3" s="1"/>
  <c r="BJ231" i="3"/>
  <c r="BK231" i="3" s="1"/>
  <c r="BF233" i="3"/>
  <c r="BG233" i="3" s="1"/>
  <c r="BD234" i="3"/>
  <c r="BA235" i="3"/>
  <c r="BB235" i="3" s="1"/>
  <c r="BD235" i="3" s="1"/>
  <c r="BE235" i="3" s="1"/>
  <c r="AZ236" i="3"/>
  <c r="AV239" i="3"/>
  <c r="AX239" i="3" s="1"/>
  <c r="AX237" i="3"/>
  <c r="AT240" i="3"/>
  <c r="AS241" i="3"/>
  <c r="AR242" i="3"/>
  <c r="CT216" i="3" l="1"/>
  <c r="CT215" i="3"/>
  <c r="CN217" i="3"/>
  <c r="CO217" i="3" s="1"/>
  <c r="AJ217" i="25" s="1"/>
  <c r="CL218" i="3"/>
  <c r="CJ219" i="3"/>
  <c r="CH221" i="3"/>
  <c r="CI221" i="3" s="1"/>
  <c r="CH220" i="3"/>
  <c r="CD222" i="3"/>
  <c r="BZ226" i="3"/>
  <c r="BZ225" i="3"/>
  <c r="CA225" i="3" s="1"/>
  <c r="BX223" i="3"/>
  <c r="BY223" i="3" s="1"/>
  <c r="BV228" i="3"/>
  <c r="BV230" i="3"/>
  <c r="BV224" i="3"/>
  <c r="BT227" i="3"/>
  <c r="BR232" i="3"/>
  <c r="BP229" i="3"/>
  <c r="BL231" i="3"/>
  <c r="BH233" i="3"/>
  <c r="BF234" i="3"/>
  <c r="BF235" i="3"/>
  <c r="BG235" i="3" s="1"/>
  <c r="BB236" i="3"/>
  <c r="AZ239" i="3"/>
  <c r="AZ237" i="3"/>
  <c r="AU240" i="3"/>
  <c r="AV240" i="3" s="1"/>
  <c r="AX238" i="3"/>
  <c r="AT241" i="3"/>
  <c r="AS242" i="3"/>
  <c r="AR243" i="3"/>
  <c r="CP217" i="3" l="1"/>
  <c r="CN218" i="3"/>
  <c r="CO218" i="3" s="1"/>
  <c r="CL219" i="3"/>
  <c r="CJ220" i="3"/>
  <c r="CJ221" i="3"/>
  <c r="CF222" i="3"/>
  <c r="CG222" i="3" s="1"/>
  <c r="CB225" i="3"/>
  <c r="CD225" i="3" s="1"/>
  <c r="CB226" i="3"/>
  <c r="CD226" i="3" s="1"/>
  <c r="BZ223" i="3"/>
  <c r="CA223" i="3" s="1"/>
  <c r="BX224" i="3"/>
  <c r="BX228" i="3"/>
  <c r="BX230" i="3"/>
  <c r="BV227" i="3"/>
  <c r="BT232" i="3"/>
  <c r="BR229" i="3"/>
  <c r="BN231" i="3"/>
  <c r="BO231" i="3" s="1"/>
  <c r="BJ233" i="3"/>
  <c r="BK233" i="3" s="1"/>
  <c r="BH234" i="3"/>
  <c r="BH235" i="3"/>
  <c r="BD236" i="3"/>
  <c r="BE236" i="3" s="1"/>
  <c r="BB239" i="3"/>
  <c r="BB237" i="3"/>
  <c r="AZ238" i="3"/>
  <c r="AU241" i="3"/>
  <c r="AV241" i="3" s="1"/>
  <c r="AT242" i="3"/>
  <c r="AS243" i="3"/>
  <c r="AR244" i="3"/>
  <c r="AT244" i="3" s="1"/>
  <c r="CT217" i="3" l="1"/>
  <c r="CP218" i="3"/>
  <c r="AJ218" i="25"/>
  <c r="CN219" i="3"/>
  <c r="CO219" i="3" s="1"/>
  <c r="CL221" i="3"/>
  <c r="CL220" i="3"/>
  <c r="CH222" i="3"/>
  <c r="CI222" i="3" s="1"/>
  <c r="CF226" i="3"/>
  <c r="CF225" i="3"/>
  <c r="CG225" i="3" s="1"/>
  <c r="CB223" i="3"/>
  <c r="BZ228" i="3"/>
  <c r="BZ224" i="3"/>
  <c r="BZ230" i="3"/>
  <c r="BX227" i="3"/>
  <c r="BV232" i="3"/>
  <c r="BT229" i="3"/>
  <c r="BP231" i="3"/>
  <c r="BL233" i="3"/>
  <c r="BJ235" i="3"/>
  <c r="BK235" i="3" s="1"/>
  <c r="BJ234" i="3"/>
  <c r="BF236" i="3"/>
  <c r="BG236" i="3" s="1"/>
  <c r="BD239" i="3"/>
  <c r="BD237" i="3"/>
  <c r="BB238" i="3"/>
  <c r="AV244" i="3"/>
  <c r="AX244" i="3" s="1"/>
  <c r="AV242" i="3"/>
  <c r="AX240" i="3"/>
  <c r="AT243" i="3"/>
  <c r="AR245" i="3"/>
  <c r="CT218" i="3" l="1"/>
  <c r="CP219" i="3"/>
  <c r="AJ219" i="25"/>
  <c r="CN221" i="3"/>
  <c r="CO221" i="3" s="1"/>
  <c r="CN220" i="3"/>
  <c r="CO220" i="3" s="1"/>
  <c r="CJ222" i="3"/>
  <c r="CH225" i="3"/>
  <c r="CI225" i="3" s="1"/>
  <c r="CH226" i="3"/>
  <c r="CD223" i="3"/>
  <c r="CE223" i="3" s="1"/>
  <c r="CB224" i="3"/>
  <c r="CB228" i="3"/>
  <c r="CD228" i="3" s="1"/>
  <c r="CB230" i="3"/>
  <c r="BZ227" i="3"/>
  <c r="BX232" i="3"/>
  <c r="BV229" i="3"/>
  <c r="BR231" i="3"/>
  <c r="BN233" i="3"/>
  <c r="BO233" i="3" s="1"/>
  <c r="BL235" i="3"/>
  <c r="BL234" i="3"/>
  <c r="BH236" i="3"/>
  <c r="BF239" i="3"/>
  <c r="BF237" i="3"/>
  <c r="BD238" i="3"/>
  <c r="BE238" i="3" s="1"/>
  <c r="AZ240" i="3"/>
  <c r="AZ244" i="3"/>
  <c r="AX242" i="3"/>
  <c r="AU243" i="3"/>
  <c r="AV243" i="3" s="1"/>
  <c r="AX241" i="3"/>
  <c r="AS245" i="3"/>
  <c r="AR246" i="3"/>
  <c r="CT219" i="3" l="1"/>
  <c r="CP220" i="3"/>
  <c r="AJ221" i="25"/>
  <c r="AJ220" i="25"/>
  <c r="CP221" i="3"/>
  <c r="CL222" i="3"/>
  <c r="CJ226" i="3"/>
  <c r="CJ225" i="3"/>
  <c r="CF228" i="3"/>
  <c r="CF223" i="3"/>
  <c r="CG223" i="3" s="1"/>
  <c r="CD224" i="3"/>
  <c r="CD230" i="3"/>
  <c r="CA227" i="3"/>
  <c r="CB227" i="3" s="1"/>
  <c r="CD227" i="3" s="1"/>
  <c r="BZ232" i="3"/>
  <c r="BX229" i="3"/>
  <c r="BZ229" i="3" s="1"/>
  <c r="BT231" i="3"/>
  <c r="BP233" i="3"/>
  <c r="BN234" i="3"/>
  <c r="BN235" i="3"/>
  <c r="BJ236" i="3"/>
  <c r="BK236" i="3" s="1"/>
  <c r="BH239" i="3"/>
  <c r="BH237" i="3"/>
  <c r="BF238" i="3"/>
  <c r="BG238" i="3" s="1"/>
  <c r="BB244" i="3"/>
  <c r="BB240" i="3"/>
  <c r="AZ241" i="3"/>
  <c r="AZ242" i="3"/>
  <c r="AT245" i="3"/>
  <c r="AS246" i="3"/>
  <c r="AR247" i="3"/>
  <c r="CT221" i="3" l="1"/>
  <c r="CT220" i="3"/>
  <c r="CN222" i="3"/>
  <c r="CO222" i="3" s="1"/>
  <c r="CL225" i="3"/>
  <c r="CL226" i="3"/>
  <c r="CH223" i="3"/>
  <c r="CI223" i="3" s="1"/>
  <c r="CH228" i="3"/>
  <c r="CF230" i="3"/>
  <c r="CF224" i="3"/>
  <c r="CE227" i="3"/>
  <c r="CF227" i="3" s="1"/>
  <c r="CG227" i="3" s="1"/>
  <c r="CB229" i="3"/>
  <c r="CD229" i="3" s="1"/>
  <c r="CB232" i="3"/>
  <c r="CD232" i="3" s="1"/>
  <c r="BV231" i="3"/>
  <c r="BR233" i="3"/>
  <c r="BS233" i="3" s="1"/>
  <c r="BP235" i="3"/>
  <c r="BP234" i="3"/>
  <c r="BL236" i="3"/>
  <c r="BJ239" i="3"/>
  <c r="BJ237" i="3"/>
  <c r="BH238" i="3"/>
  <c r="BD240" i="3"/>
  <c r="BD244" i="3"/>
  <c r="BB241" i="3"/>
  <c r="BB242" i="3"/>
  <c r="AU245" i="3"/>
  <c r="AV245" i="3" s="1"/>
  <c r="AX243" i="3"/>
  <c r="AT246" i="3"/>
  <c r="AS247" i="3"/>
  <c r="AR248" i="3"/>
  <c r="CP222" i="3" l="1"/>
  <c r="AJ222" i="25"/>
  <c r="CN226" i="3"/>
  <c r="CO226" i="3" s="1"/>
  <c r="CN225" i="3"/>
  <c r="CO225" i="3" s="1"/>
  <c r="CJ228" i="3"/>
  <c r="CJ223" i="3"/>
  <c r="CH224" i="3"/>
  <c r="CH230" i="3"/>
  <c r="CH227" i="3"/>
  <c r="CI227" i="3" s="1"/>
  <c r="CF232" i="3"/>
  <c r="CF229" i="3"/>
  <c r="BX231" i="3"/>
  <c r="BT233" i="3"/>
  <c r="BR234" i="3"/>
  <c r="BR235" i="3"/>
  <c r="BS235" i="3" s="1"/>
  <c r="BN236" i="3"/>
  <c r="BO236" i="3" s="1"/>
  <c r="BL237" i="3"/>
  <c r="BL239" i="3"/>
  <c r="BJ238" i="3"/>
  <c r="BK238" i="3" s="1"/>
  <c r="BF240" i="3"/>
  <c r="BF244" i="3"/>
  <c r="BD241" i="3"/>
  <c r="BE241" i="3" s="1"/>
  <c r="BD242" i="3"/>
  <c r="AZ243" i="3"/>
  <c r="AU246" i="3"/>
  <c r="AV246" i="3" s="1"/>
  <c r="AT247" i="3"/>
  <c r="AS248" i="3"/>
  <c r="AR249" i="3"/>
  <c r="CT222" i="3" l="1"/>
  <c r="CP225" i="3"/>
  <c r="CP226" i="3"/>
  <c r="AJ225" i="25"/>
  <c r="AJ226" i="25"/>
  <c r="CL223" i="3"/>
  <c r="CL228" i="3"/>
  <c r="CJ227" i="3"/>
  <c r="CJ230" i="3"/>
  <c r="CJ224" i="3"/>
  <c r="CH229" i="3"/>
  <c r="CH232" i="3"/>
  <c r="BZ231" i="3"/>
  <c r="BV233" i="3"/>
  <c r="BT235" i="3"/>
  <c r="BT234" i="3"/>
  <c r="BP236" i="3"/>
  <c r="BN239" i="3"/>
  <c r="BN237" i="3"/>
  <c r="BL238" i="3"/>
  <c r="BH244" i="3"/>
  <c r="BH240" i="3"/>
  <c r="BF242" i="3"/>
  <c r="BF241" i="3"/>
  <c r="BG241" i="3" s="1"/>
  <c r="BB243" i="3"/>
  <c r="AU247" i="3"/>
  <c r="AV247" i="3" s="1"/>
  <c r="AX245" i="3"/>
  <c r="AW246" i="3"/>
  <c r="AT248" i="3"/>
  <c r="AS249" i="3"/>
  <c r="AR250" i="3"/>
  <c r="CT225" i="3" l="1"/>
  <c r="CV225" i="3" s="1"/>
  <c r="CT226" i="3"/>
  <c r="DP226" i="3" s="1"/>
  <c r="DP225" i="3"/>
  <c r="CN228" i="3"/>
  <c r="CO228" i="3" s="1"/>
  <c r="CN223" i="3"/>
  <c r="CO223" i="3" s="1"/>
  <c r="CL230" i="3"/>
  <c r="CL227" i="3"/>
  <c r="CL224" i="3"/>
  <c r="CJ232" i="3"/>
  <c r="CJ229" i="3"/>
  <c r="CA231" i="3"/>
  <c r="CB231" i="3" s="1"/>
  <c r="BX233" i="3"/>
  <c r="BV234" i="3"/>
  <c r="BV235" i="3"/>
  <c r="BR236" i="3"/>
  <c r="BS236" i="3" s="1"/>
  <c r="BP237" i="3"/>
  <c r="BP239" i="3"/>
  <c r="BN238" i="3"/>
  <c r="BO238" i="3" s="1"/>
  <c r="BJ240" i="3"/>
  <c r="BJ244" i="3"/>
  <c r="BH242" i="3"/>
  <c r="BH241" i="3"/>
  <c r="BD243" i="3"/>
  <c r="BE243" i="3" s="1"/>
  <c r="AZ245" i="3"/>
  <c r="AU248" i="3"/>
  <c r="AV248" i="3" s="1"/>
  <c r="AX246" i="3"/>
  <c r="AT249" i="3"/>
  <c r="AS250" i="3"/>
  <c r="AR251" i="3"/>
  <c r="CU225" i="3" l="1"/>
  <c r="DA225" i="3" s="1"/>
  <c r="CV226" i="3"/>
  <c r="CP223" i="3"/>
  <c r="CP228" i="3"/>
  <c r="AJ228" i="25"/>
  <c r="AJ223" i="25"/>
  <c r="CN230" i="3"/>
  <c r="CO230" i="3" s="1"/>
  <c r="CN224" i="3"/>
  <c r="CO224" i="3" s="1"/>
  <c r="CM227" i="3"/>
  <c r="CN227" i="3" s="1"/>
  <c r="CO227" i="3" s="1"/>
  <c r="CL229" i="3"/>
  <c r="CL232" i="3"/>
  <c r="CD231" i="3"/>
  <c r="BZ233" i="3"/>
  <c r="BX235" i="3"/>
  <c r="BX234" i="3"/>
  <c r="BT236" i="3"/>
  <c r="BR239" i="3"/>
  <c r="BR237" i="3"/>
  <c r="BP238" i="3"/>
  <c r="BL244" i="3"/>
  <c r="BL240" i="3"/>
  <c r="BJ242" i="3"/>
  <c r="BJ241" i="3"/>
  <c r="BK241" i="3" s="1"/>
  <c r="BF243" i="3"/>
  <c r="BG243" i="3" s="1"/>
  <c r="BB245" i="3"/>
  <c r="AY246" i="3"/>
  <c r="AZ246" i="3" s="1"/>
  <c r="AU249" i="3"/>
  <c r="AV249" i="3" s="1"/>
  <c r="AW249" i="3" s="1"/>
  <c r="AX247" i="3"/>
  <c r="AT250" i="3"/>
  <c r="AS251" i="3"/>
  <c r="AR252" i="3"/>
  <c r="CT228" i="3" l="1"/>
  <c r="CU226" i="3"/>
  <c r="DA226" i="3" s="1"/>
  <c r="DC226" i="3" s="1"/>
  <c r="DB226" i="3" s="1"/>
  <c r="DC225" i="3"/>
  <c r="DO225" i="3" s="1"/>
  <c r="CT223" i="3"/>
  <c r="CP227" i="3"/>
  <c r="CP224" i="3"/>
  <c r="CP230" i="3"/>
  <c r="AJ230" i="25"/>
  <c r="CN232" i="3"/>
  <c r="CO232" i="3" s="1"/>
  <c r="CN229" i="3"/>
  <c r="CO229" i="3" s="1"/>
  <c r="AJ227" i="25"/>
  <c r="AJ224" i="25"/>
  <c r="CF231" i="3"/>
  <c r="CG231" i="3" s="1"/>
  <c r="CA233" i="3"/>
  <c r="CB233" i="3" s="1"/>
  <c r="BZ234" i="3"/>
  <c r="BZ235" i="3"/>
  <c r="BV236" i="3"/>
  <c r="BW236" i="3" s="1"/>
  <c r="BT237" i="3"/>
  <c r="BT239" i="3"/>
  <c r="BR238" i="3"/>
  <c r="BN240" i="3"/>
  <c r="BN244" i="3"/>
  <c r="BL241" i="3"/>
  <c r="BL242" i="3"/>
  <c r="BH243" i="3"/>
  <c r="BD245" i="3"/>
  <c r="BE245" i="3" s="1"/>
  <c r="BB246" i="3"/>
  <c r="AZ247" i="3"/>
  <c r="AU250" i="3"/>
  <c r="AV250" i="3" s="1"/>
  <c r="AX248" i="3"/>
  <c r="AT251" i="3"/>
  <c r="AS252" i="3"/>
  <c r="AR253" i="3"/>
  <c r="AT253" i="3" s="1"/>
  <c r="CT224" i="3" l="1"/>
  <c r="CT230" i="3"/>
  <c r="DB225" i="3"/>
  <c r="DO226" i="3"/>
  <c r="AJ229" i="25"/>
  <c r="CP232" i="3"/>
  <c r="AJ232" i="25"/>
  <c r="CP229" i="3"/>
  <c r="CH231" i="3"/>
  <c r="CI231" i="3" s="1"/>
  <c r="CD233" i="3"/>
  <c r="CB235" i="3"/>
  <c r="CD235" i="3" s="1"/>
  <c r="CB234" i="3"/>
  <c r="CD234" i="3" s="1"/>
  <c r="BX236" i="3"/>
  <c r="BY236" i="3" s="1"/>
  <c r="BV239" i="3"/>
  <c r="BV237" i="3"/>
  <c r="BT238" i="3"/>
  <c r="BP244" i="3"/>
  <c r="BP240" i="3"/>
  <c r="BN241" i="3"/>
  <c r="BO241" i="3" s="1"/>
  <c r="BN242" i="3"/>
  <c r="BJ243" i="3"/>
  <c r="BK243" i="3" s="1"/>
  <c r="BF245" i="3"/>
  <c r="BG245" i="3" s="1"/>
  <c r="BD246" i="3"/>
  <c r="BE246" i="3" s="1"/>
  <c r="BB247" i="3"/>
  <c r="AZ248" i="3"/>
  <c r="AV253" i="3"/>
  <c r="AX253" i="3" s="1"/>
  <c r="AU251" i="3"/>
  <c r="AV251" i="3" s="1"/>
  <c r="AW251" i="3" s="1"/>
  <c r="AX249" i="3"/>
  <c r="AT252" i="3"/>
  <c r="AR254" i="3"/>
  <c r="CT229" i="3" l="1"/>
  <c r="CT232" i="3"/>
  <c r="CJ231" i="3"/>
  <c r="CF234" i="3"/>
  <c r="CF235" i="3"/>
  <c r="CE233" i="3"/>
  <c r="CF233" i="3" s="1"/>
  <c r="CG233" i="3" s="1"/>
  <c r="BZ236" i="3"/>
  <c r="BX237" i="3"/>
  <c r="BX239" i="3"/>
  <c r="BV238" i="3"/>
  <c r="BR240" i="3"/>
  <c r="BR244" i="3"/>
  <c r="BP242" i="3"/>
  <c r="BP241" i="3"/>
  <c r="BL243" i="3"/>
  <c r="BH245" i="3"/>
  <c r="BF246" i="3"/>
  <c r="BG246" i="3" s="1"/>
  <c r="BD247" i="3"/>
  <c r="BB248" i="3"/>
  <c r="AZ249" i="3"/>
  <c r="AZ253" i="3"/>
  <c r="AU252" i="3"/>
  <c r="AV252" i="3" s="1"/>
  <c r="AX250" i="3"/>
  <c r="AS254" i="3"/>
  <c r="AR255" i="3"/>
  <c r="CL231" i="3" l="1"/>
  <c r="CH233" i="3"/>
  <c r="CI233" i="3" s="1"/>
  <c r="CH235" i="3"/>
  <c r="CH234" i="3"/>
  <c r="CA236" i="3"/>
  <c r="CB236" i="3" s="1"/>
  <c r="CD236" i="3" s="1"/>
  <c r="BZ239" i="3"/>
  <c r="BZ237" i="3"/>
  <c r="BX238" i="3"/>
  <c r="BT244" i="3"/>
  <c r="BT240" i="3"/>
  <c r="BR242" i="3"/>
  <c r="BR241" i="3"/>
  <c r="BN243" i="3"/>
  <c r="BO243" i="3" s="1"/>
  <c r="BJ245" i="3"/>
  <c r="BK245" i="3" s="1"/>
  <c r="BH246" i="3"/>
  <c r="BF247" i="3"/>
  <c r="BD248" i="3"/>
  <c r="BE248" i="3" s="1"/>
  <c r="BB253" i="3"/>
  <c r="BA249" i="3"/>
  <c r="BB249" i="3" s="1"/>
  <c r="AZ250" i="3"/>
  <c r="AX251" i="3"/>
  <c r="AT254" i="3"/>
  <c r="AS255" i="3"/>
  <c r="AR256" i="3"/>
  <c r="CN231" i="3" l="1"/>
  <c r="CO231" i="3" s="1"/>
  <c r="CJ234" i="3"/>
  <c r="CJ235" i="3"/>
  <c r="CJ233" i="3"/>
  <c r="CF236" i="3"/>
  <c r="CB237" i="3"/>
  <c r="CB239" i="3"/>
  <c r="CD239" i="3" s="1"/>
  <c r="BZ238" i="3"/>
  <c r="BV240" i="3"/>
  <c r="BV244" i="3"/>
  <c r="BT241" i="3"/>
  <c r="BT242" i="3"/>
  <c r="BP243" i="3"/>
  <c r="BL245" i="3"/>
  <c r="BJ246" i="3"/>
  <c r="BH247" i="3"/>
  <c r="BF248" i="3"/>
  <c r="BG248" i="3" s="1"/>
  <c r="BD253" i="3"/>
  <c r="BD249" i="3"/>
  <c r="BE249" i="3" s="1"/>
  <c r="BB250" i="3"/>
  <c r="AZ251" i="3"/>
  <c r="AU254" i="3"/>
  <c r="AV254" i="3" s="1"/>
  <c r="AX252" i="3"/>
  <c r="AT255" i="3"/>
  <c r="AS256" i="3"/>
  <c r="AR257" i="3"/>
  <c r="AT257" i="3" s="1"/>
  <c r="CP231" i="3" l="1"/>
  <c r="AJ231" i="25"/>
  <c r="CL233" i="3"/>
  <c r="CL235" i="3"/>
  <c r="CL234" i="3"/>
  <c r="CH236" i="3"/>
  <c r="CF239" i="3"/>
  <c r="CD237" i="3"/>
  <c r="CA238" i="3"/>
  <c r="CB238" i="3" s="1"/>
  <c r="BX244" i="3"/>
  <c r="BX240" i="3"/>
  <c r="BV242" i="3"/>
  <c r="BV241" i="3"/>
  <c r="BR243" i="3"/>
  <c r="BS243" i="3" s="1"/>
  <c r="BN245" i="3"/>
  <c r="BO245" i="3" s="1"/>
  <c r="BL246" i="3"/>
  <c r="BJ247" i="3"/>
  <c r="BH248" i="3"/>
  <c r="BF253" i="3"/>
  <c r="BF249" i="3"/>
  <c r="BG249" i="3" s="1"/>
  <c r="BD250" i="3"/>
  <c r="BE250" i="3" s="1"/>
  <c r="BA251" i="3"/>
  <c r="BB251" i="3" s="1"/>
  <c r="AZ252" i="3"/>
  <c r="AV257" i="3"/>
  <c r="AX257" i="3" s="1"/>
  <c r="AU255" i="3"/>
  <c r="AV255" i="3" s="1"/>
  <c r="AT256" i="3"/>
  <c r="AR258" i="3"/>
  <c r="CT231" i="3" l="1"/>
  <c r="CN234" i="3"/>
  <c r="CO234" i="3" s="1"/>
  <c r="CN235" i="3"/>
  <c r="CO235" i="3" s="1"/>
  <c r="CM233" i="3"/>
  <c r="CN233" i="3" s="1"/>
  <c r="CO233" i="3" s="1"/>
  <c r="CJ236" i="3"/>
  <c r="CH239" i="3"/>
  <c r="CF237" i="3"/>
  <c r="CD238" i="3"/>
  <c r="BZ240" i="3"/>
  <c r="BZ244" i="3"/>
  <c r="BX241" i="3"/>
  <c r="BX242" i="3"/>
  <c r="BT243" i="3"/>
  <c r="BP245" i="3"/>
  <c r="BN246" i="3"/>
  <c r="BL247" i="3"/>
  <c r="BJ248" i="3"/>
  <c r="BK248" i="3" s="1"/>
  <c r="BH249" i="3"/>
  <c r="BH253" i="3"/>
  <c r="BF250" i="3"/>
  <c r="BG250" i="3" s="1"/>
  <c r="BD251" i="3"/>
  <c r="BE251" i="3" s="1"/>
  <c r="BB252" i="3"/>
  <c r="AZ257" i="3"/>
  <c r="AU256" i="3"/>
  <c r="AV256" i="3" s="1"/>
  <c r="AW256" i="3" s="1"/>
  <c r="AX254" i="3"/>
  <c r="AS258" i="3"/>
  <c r="AR259" i="3"/>
  <c r="CP233" i="3" l="1"/>
  <c r="CP235" i="3"/>
  <c r="AJ234" i="25"/>
  <c r="CP234" i="3"/>
  <c r="AJ235" i="25"/>
  <c r="AJ233" i="25"/>
  <c r="CL236" i="3"/>
  <c r="CJ239" i="3"/>
  <c r="CH237" i="3"/>
  <c r="CF238" i="3"/>
  <c r="CG238" i="3" s="1"/>
  <c r="CB244" i="3"/>
  <c r="CB240" i="3"/>
  <c r="CD240" i="3" s="1"/>
  <c r="BZ241" i="3"/>
  <c r="BZ242" i="3"/>
  <c r="BV243" i="3"/>
  <c r="BW243" i="3" s="1"/>
  <c r="BR245" i="3"/>
  <c r="BP246" i="3"/>
  <c r="BN247" i="3"/>
  <c r="BL248" i="3"/>
  <c r="BJ249" i="3"/>
  <c r="BK249" i="3" s="1"/>
  <c r="BJ253" i="3"/>
  <c r="BH250" i="3"/>
  <c r="BF251" i="3"/>
  <c r="BG251" i="3" s="1"/>
  <c r="BD252" i="3"/>
  <c r="BE252" i="3" s="1"/>
  <c r="BB257" i="3"/>
  <c r="AZ254" i="3"/>
  <c r="AX255" i="3"/>
  <c r="AT258" i="3"/>
  <c r="AS259" i="3"/>
  <c r="AR260" i="3"/>
  <c r="CT234" i="3" l="1"/>
  <c r="CT235" i="3"/>
  <c r="CT233" i="3"/>
  <c r="CN236" i="3"/>
  <c r="CO236" i="3" s="1"/>
  <c r="AJ236" i="25" s="1"/>
  <c r="CL239" i="3"/>
  <c r="CJ237" i="3"/>
  <c r="CH238" i="3"/>
  <c r="CI238" i="3" s="1"/>
  <c r="CF240" i="3"/>
  <c r="CD244" i="3"/>
  <c r="CA241" i="3"/>
  <c r="CB241" i="3" s="1"/>
  <c r="CB242" i="3"/>
  <c r="CD242" i="3" s="1"/>
  <c r="BX243" i="3"/>
  <c r="BY243" i="3" s="1"/>
  <c r="BT245" i="3"/>
  <c r="BR246" i="3"/>
  <c r="BP247" i="3"/>
  <c r="BN248" i="3"/>
  <c r="BO248" i="3" s="1"/>
  <c r="BL253" i="3"/>
  <c r="BL249" i="3"/>
  <c r="BJ250" i="3"/>
  <c r="BK250" i="3" s="1"/>
  <c r="BH251" i="3"/>
  <c r="BF252" i="3"/>
  <c r="BG252" i="3" s="1"/>
  <c r="BD257" i="3"/>
  <c r="BB254" i="3"/>
  <c r="AZ255" i="3"/>
  <c r="AU258" i="3"/>
  <c r="AV258" i="3" s="1"/>
  <c r="AW258" i="3" s="1"/>
  <c r="AX256" i="3"/>
  <c r="AT259" i="3"/>
  <c r="AS260" i="3"/>
  <c r="AR261" i="3"/>
  <c r="CP236" i="3" l="1"/>
  <c r="CN239" i="3"/>
  <c r="CO239" i="3" s="1"/>
  <c r="CL237" i="3"/>
  <c r="CJ238" i="3"/>
  <c r="CH240" i="3"/>
  <c r="CF244" i="3"/>
  <c r="CF242" i="3"/>
  <c r="CD241" i="3"/>
  <c r="BZ243" i="3"/>
  <c r="BV245" i="3"/>
  <c r="BT246" i="3"/>
  <c r="BR247" i="3"/>
  <c r="BP248" i="3"/>
  <c r="BN249" i="3"/>
  <c r="BN253" i="3"/>
  <c r="BL250" i="3"/>
  <c r="BJ251" i="3"/>
  <c r="BK251" i="3" s="1"/>
  <c r="BH252" i="3"/>
  <c r="BF257" i="3"/>
  <c r="BD254" i="3"/>
  <c r="BE254" i="3" s="1"/>
  <c r="BB255" i="3"/>
  <c r="AZ256" i="3"/>
  <c r="AU259" i="3"/>
  <c r="AV259" i="3" s="1"/>
  <c r="AT260" i="3"/>
  <c r="AS261" i="3"/>
  <c r="AR262" i="3"/>
  <c r="CT236" i="3" l="1"/>
  <c r="CP239" i="3"/>
  <c r="AJ239" i="25"/>
  <c r="CN237" i="3"/>
  <c r="CO237" i="3" s="1"/>
  <c r="CL238" i="3"/>
  <c r="CJ240" i="3"/>
  <c r="CH242" i="3"/>
  <c r="CH244" i="3"/>
  <c r="CE241" i="3"/>
  <c r="CF241" i="3" s="1"/>
  <c r="CG241" i="3" s="1"/>
  <c r="CB243" i="3"/>
  <c r="CD243" i="3" s="1"/>
  <c r="BX245" i="3"/>
  <c r="BV246" i="3"/>
  <c r="BT247" i="3"/>
  <c r="BR248" i="3"/>
  <c r="BP253" i="3"/>
  <c r="BP249" i="3"/>
  <c r="BN250" i="3"/>
  <c r="BO250" i="3" s="1"/>
  <c r="BL251" i="3"/>
  <c r="BJ252" i="3"/>
  <c r="BK252" i="3" s="1"/>
  <c r="BH257" i="3"/>
  <c r="BF254" i="3"/>
  <c r="BG254" i="3" s="1"/>
  <c r="BD255" i="3"/>
  <c r="BE255" i="3" s="1"/>
  <c r="BB256" i="3"/>
  <c r="AU260" i="3"/>
  <c r="AV260" i="3" s="1"/>
  <c r="AX258" i="3"/>
  <c r="AT261" i="3"/>
  <c r="AS262" i="3"/>
  <c r="AR263" i="3"/>
  <c r="CT239" i="3" l="1"/>
  <c r="CP237" i="3"/>
  <c r="AJ237" i="25"/>
  <c r="CN238" i="3"/>
  <c r="CO238" i="3" s="1"/>
  <c r="CL240" i="3"/>
  <c r="CJ244" i="3"/>
  <c r="CJ242" i="3"/>
  <c r="CH241" i="3"/>
  <c r="CI241" i="3" s="1"/>
  <c r="CF243" i="3"/>
  <c r="BZ245" i="3"/>
  <c r="BX246" i="3"/>
  <c r="BV247" i="3"/>
  <c r="BT248" i="3"/>
  <c r="BR253" i="3"/>
  <c r="BR249" i="3"/>
  <c r="BS249" i="3" s="1"/>
  <c r="BP250" i="3"/>
  <c r="BN251" i="3"/>
  <c r="BL252" i="3"/>
  <c r="BJ257" i="3"/>
  <c r="BH254" i="3"/>
  <c r="BF255" i="3"/>
  <c r="BG255" i="3" s="1"/>
  <c r="BD256" i="3"/>
  <c r="AZ258" i="3"/>
  <c r="AU261" i="3"/>
  <c r="AV261" i="3" s="1"/>
  <c r="AX259" i="3"/>
  <c r="AW260" i="3"/>
  <c r="AT262" i="3"/>
  <c r="AS263" i="3"/>
  <c r="AR264" i="3"/>
  <c r="CT237" i="3" l="1"/>
  <c r="AJ238" i="25"/>
  <c r="CP238" i="3"/>
  <c r="CN240" i="3"/>
  <c r="CO240" i="3" s="1"/>
  <c r="CL242" i="3"/>
  <c r="CL244" i="3"/>
  <c r="CJ241" i="3"/>
  <c r="CH243" i="3"/>
  <c r="CA245" i="3"/>
  <c r="CB245" i="3" s="1"/>
  <c r="CD245" i="3" s="1"/>
  <c r="BZ246" i="3"/>
  <c r="BX247" i="3"/>
  <c r="BV248" i="3"/>
  <c r="BT253" i="3"/>
  <c r="BT249" i="3"/>
  <c r="BR250" i="3"/>
  <c r="BS250" i="3" s="1"/>
  <c r="BP251" i="3"/>
  <c r="BN252" i="3"/>
  <c r="BO252" i="3" s="1"/>
  <c r="BL257" i="3"/>
  <c r="BJ254" i="3"/>
  <c r="BK254" i="3" s="1"/>
  <c r="BH255" i="3"/>
  <c r="BF256" i="3"/>
  <c r="BA258" i="3"/>
  <c r="BB258" i="3" s="1"/>
  <c r="AZ259" i="3"/>
  <c r="AU262" i="3"/>
  <c r="AV262" i="3" s="1"/>
  <c r="AX260" i="3"/>
  <c r="AY260" i="3" s="1"/>
  <c r="AT263" i="3"/>
  <c r="AS264" i="3"/>
  <c r="AR265" i="3"/>
  <c r="CT238" i="3" l="1"/>
  <c r="CP240" i="3"/>
  <c r="AJ240" i="25"/>
  <c r="CN244" i="3"/>
  <c r="CO244" i="3" s="1"/>
  <c r="CN242" i="3"/>
  <c r="CO242" i="3" s="1"/>
  <c r="CL241" i="3"/>
  <c r="CJ243" i="3"/>
  <c r="CF245" i="3"/>
  <c r="CG245" i="3" s="1"/>
  <c r="CB246" i="3"/>
  <c r="CD246" i="3" s="1"/>
  <c r="BZ247" i="3"/>
  <c r="BX248" i="3"/>
  <c r="BV249" i="3"/>
  <c r="BV253" i="3"/>
  <c r="BT250" i="3"/>
  <c r="BR251" i="3"/>
  <c r="BP252" i="3"/>
  <c r="BN257" i="3"/>
  <c r="BL254" i="3"/>
  <c r="BJ255" i="3"/>
  <c r="BK255" i="3" s="1"/>
  <c r="BH256" i="3"/>
  <c r="BD258" i="3"/>
  <c r="BE258" i="3" s="1"/>
  <c r="BB259" i="3"/>
  <c r="AZ260" i="3"/>
  <c r="AU263" i="3"/>
  <c r="AV263" i="3" s="1"/>
  <c r="AW263" i="3" s="1"/>
  <c r="AX261" i="3"/>
  <c r="AT264" i="3"/>
  <c r="AS265" i="3"/>
  <c r="AR266" i="3"/>
  <c r="CT240" i="3" l="1"/>
  <c r="CP242" i="3"/>
  <c r="CP244" i="3"/>
  <c r="AJ244" i="25"/>
  <c r="AJ242" i="25"/>
  <c r="CN241" i="3"/>
  <c r="CO241" i="3" s="1"/>
  <c r="CL243" i="3"/>
  <c r="CH245" i="3"/>
  <c r="CI245" i="3" s="1"/>
  <c r="CF246" i="3"/>
  <c r="CB247" i="3"/>
  <c r="CD247" i="3" s="1"/>
  <c r="BZ248" i="3"/>
  <c r="BX253" i="3"/>
  <c r="BX249" i="3"/>
  <c r="BV250" i="3"/>
  <c r="BW250" i="3" s="1"/>
  <c r="BT251" i="3"/>
  <c r="BR252" i="3"/>
  <c r="BP257" i="3"/>
  <c r="BN254" i="3"/>
  <c r="BO254" i="3" s="1"/>
  <c r="BL255" i="3"/>
  <c r="BJ256" i="3"/>
  <c r="BF258" i="3"/>
  <c r="BG258" i="3" s="1"/>
  <c r="BD259" i="3"/>
  <c r="BB260" i="3"/>
  <c r="AZ261" i="3"/>
  <c r="AU264" i="3"/>
  <c r="AV264" i="3" s="1"/>
  <c r="AX262" i="3"/>
  <c r="AT265" i="3"/>
  <c r="AS266" i="3"/>
  <c r="AR267" i="3"/>
  <c r="CT244" i="3" l="1"/>
  <c r="CT242" i="3"/>
  <c r="CP241" i="3"/>
  <c r="AJ241" i="25"/>
  <c r="CN243" i="3"/>
  <c r="CO243" i="3" s="1"/>
  <c r="CJ245" i="3"/>
  <c r="CH246" i="3"/>
  <c r="CF247" i="3"/>
  <c r="CA248" i="3"/>
  <c r="CB248" i="3" s="1"/>
  <c r="CD248" i="3" s="1"/>
  <c r="BZ249" i="3"/>
  <c r="BZ253" i="3"/>
  <c r="BX250" i="3"/>
  <c r="BY250" i="3" s="1"/>
  <c r="BV251" i="3"/>
  <c r="BT252" i="3"/>
  <c r="BR257" i="3"/>
  <c r="BP254" i="3"/>
  <c r="BN255" i="3"/>
  <c r="BO255" i="3" s="1"/>
  <c r="BL256" i="3"/>
  <c r="BH258" i="3"/>
  <c r="BF259" i="3"/>
  <c r="BD260" i="3"/>
  <c r="BE260" i="3" s="1"/>
  <c r="BB261" i="3"/>
  <c r="AZ262" i="3"/>
  <c r="AU265" i="3"/>
  <c r="AV265" i="3" s="1"/>
  <c r="AW265" i="3" s="1"/>
  <c r="AX263" i="3"/>
  <c r="AT266" i="3"/>
  <c r="AS267" i="3"/>
  <c r="AR268" i="3"/>
  <c r="CT241" i="3" l="1"/>
  <c r="CP243" i="3"/>
  <c r="AJ243" i="25"/>
  <c r="CL245" i="3"/>
  <c r="CJ246" i="3"/>
  <c r="CH247" i="3"/>
  <c r="CE248" i="3"/>
  <c r="CF248" i="3" s="1"/>
  <c r="CG248" i="3" s="1"/>
  <c r="CA249" i="3"/>
  <c r="CB249" i="3" s="1"/>
  <c r="CB253" i="3"/>
  <c r="BZ250" i="3"/>
  <c r="BX251" i="3"/>
  <c r="BV252" i="3"/>
  <c r="BT257" i="3"/>
  <c r="BR254" i="3"/>
  <c r="BS254" i="3" s="1"/>
  <c r="BP255" i="3"/>
  <c r="BN256" i="3"/>
  <c r="BJ258" i="3"/>
  <c r="BK258" i="3" s="1"/>
  <c r="BH259" i="3"/>
  <c r="BF260" i="3"/>
  <c r="BG260" i="3" s="1"/>
  <c r="BD261" i="3"/>
  <c r="BE261" i="3" s="1"/>
  <c r="BB262" i="3"/>
  <c r="AZ263" i="3"/>
  <c r="AU266" i="3"/>
  <c r="AV266" i="3" s="1"/>
  <c r="AX264" i="3"/>
  <c r="AT267" i="3"/>
  <c r="AS268" i="3"/>
  <c r="AR269" i="3"/>
  <c r="CT243" i="3" l="1"/>
  <c r="CN245" i="3"/>
  <c r="CO245" i="3" s="1"/>
  <c r="CL246" i="3"/>
  <c r="CJ247" i="3"/>
  <c r="CH248" i="3"/>
  <c r="CI248" i="3" s="1"/>
  <c r="CD253" i="3"/>
  <c r="CD249" i="3"/>
  <c r="CA250" i="3"/>
  <c r="CB250" i="3" s="1"/>
  <c r="BZ251" i="3"/>
  <c r="BX252" i="3"/>
  <c r="BV257" i="3"/>
  <c r="BT254" i="3"/>
  <c r="BR255" i="3"/>
  <c r="BP256" i="3"/>
  <c r="BL258" i="3"/>
  <c r="BJ259" i="3"/>
  <c r="BH260" i="3"/>
  <c r="BF261" i="3"/>
  <c r="BG261" i="3" s="1"/>
  <c r="BD262" i="3"/>
  <c r="BE262" i="3" s="1"/>
  <c r="BA263" i="3"/>
  <c r="BB263" i="3" s="1"/>
  <c r="AZ264" i="3"/>
  <c r="AU267" i="3"/>
  <c r="AV267" i="3" s="1"/>
  <c r="AX265" i="3"/>
  <c r="AT268" i="3"/>
  <c r="AS269" i="3"/>
  <c r="AR270" i="3"/>
  <c r="CP245" i="3" l="1"/>
  <c r="AJ245" i="25"/>
  <c r="CN246" i="3"/>
  <c r="CO246" i="3" s="1"/>
  <c r="CL247" i="3"/>
  <c r="CJ248" i="3"/>
  <c r="CF249" i="3"/>
  <c r="CG249" i="3" s="1"/>
  <c r="CF253" i="3"/>
  <c r="CD250" i="3"/>
  <c r="CE250" i="3" s="1"/>
  <c r="CB251" i="3"/>
  <c r="CD251" i="3" s="1"/>
  <c r="BZ252" i="3"/>
  <c r="BX257" i="3"/>
  <c r="BV254" i="3"/>
  <c r="BT255" i="3"/>
  <c r="BR256" i="3"/>
  <c r="BN258" i="3"/>
  <c r="BL259" i="3"/>
  <c r="BJ260" i="3"/>
  <c r="BK260" i="3" s="1"/>
  <c r="BH261" i="3"/>
  <c r="BF262" i="3"/>
  <c r="BG262" i="3" s="1"/>
  <c r="BD263" i="3"/>
  <c r="BE263" i="3" s="1"/>
  <c r="BB264" i="3"/>
  <c r="AZ265" i="3"/>
  <c r="AU268" i="3"/>
  <c r="AV268" i="3" s="1"/>
  <c r="AX266" i="3"/>
  <c r="AW267" i="3"/>
  <c r="AT269" i="3"/>
  <c r="AS270" i="3"/>
  <c r="AR271" i="3"/>
  <c r="CT245" i="3" l="1"/>
  <c r="CP246" i="3"/>
  <c r="AJ246" i="25"/>
  <c r="CN247" i="3"/>
  <c r="CO247" i="3" s="1"/>
  <c r="CL248" i="3"/>
  <c r="CH253" i="3"/>
  <c r="CH249" i="3"/>
  <c r="CI249" i="3" s="1"/>
  <c r="CF251" i="3"/>
  <c r="CF250" i="3"/>
  <c r="CG250" i="3" s="1"/>
  <c r="CA252" i="3"/>
  <c r="CB252" i="3" s="1"/>
  <c r="BZ257" i="3"/>
  <c r="BX254" i="3"/>
  <c r="BV255" i="3"/>
  <c r="BT256" i="3"/>
  <c r="BP258" i="3"/>
  <c r="BN259" i="3"/>
  <c r="BL260" i="3"/>
  <c r="BJ261" i="3"/>
  <c r="BK261" i="3" s="1"/>
  <c r="BH262" i="3"/>
  <c r="BF263" i="3"/>
  <c r="BG263" i="3" s="1"/>
  <c r="BD264" i="3"/>
  <c r="BE264" i="3" s="1"/>
  <c r="BA265" i="3"/>
  <c r="BB265" i="3" s="1"/>
  <c r="AZ266" i="3"/>
  <c r="AU269" i="3"/>
  <c r="AV269" i="3" s="1"/>
  <c r="AX267" i="3"/>
  <c r="AY267" i="3" s="1"/>
  <c r="AT270" i="3"/>
  <c r="AS271" i="3"/>
  <c r="AR272" i="3"/>
  <c r="AT272" i="3" s="1"/>
  <c r="CT246" i="3" l="1"/>
  <c r="CP247" i="3"/>
  <c r="AJ247" i="25"/>
  <c r="CN248" i="3"/>
  <c r="CO248" i="3" s="1"/>
  <c r="CJ249" i="3"/>
  <c r="CJ253" i="3"/>
  <c r="CH251" i="3"/>
  <c r="CH250" i="3"/>
  <c r="CI250" i="3" s="1"/>
  <c r="CD252" i="3"/>
  <c r="CB257" i="3"/>
  <c r="CD257" i="3" s="1"/>
  <c r="BZ254" i="3"/>
  <c r="CA254" i="3" s="1"/>
  <c r="BX255" i="3"/>
  <c r="BV256" i="3"/>
  <c r="BR258" i="3"/>
  <c r="BP259" i="3"/>
  <c r="BN260" i="3"/>
  <c r="BL261" i="3"/>
  <c r="BJ262" i="3"/>
  <c r="BK262" i="3" s="1"/>
  <c r="BH263" i="3"/>
  <c r="BF264" i="3"/>
  <c r="BG264" i="3" s="1"/>
  <c r="BD265" i="3"/>
  <c r="BE265" i="3" s="1"/>
  <c r="BB266" i="3"/>
  <c r="AZ267" i="3"/>
  <c r="AV272" i="3"/>
  <c r="AX272" i="3" s="1"/>
  <c r="AU270" i="3"/>
  <c r="AV270" i="3" s="1"/>
  <c r="AW270" i="3" s="1"/>
  <c r="AX268" i="3"/>
  <c r="AT271" i="3"/>
  <c r="AR273" i="3"/>
  <c r="CT247" i="3" l="1"/>
  <c r="CP248" i="3"/>
  <c r="AJ248" i="25"/>
  <c r="CL253" i="3"/>
  <c r="CL249" i="3"/>
  <c r="CJ251" i="3"/>
  <c r="CJ250" i="3"/>
  <c r="CF257" i="3"/>
  <c r="CF252" i="3"/>
  <c r="CG252" i="3" s="1"/>
  <c r="CB254" i="3"/>
  <c r="CD254" i="3" s="1"/>
  <c r="BZ255" i="3"/>
  <c r="BX256" i="3"/>
  <c r="BT258" i="3"/>
  <c r="BR259" i="3"/>
  <c r="BP260" i="3"/>
  <c r="BN261" i="3"/>
  <c r="BO261" i="3" s="1"/>
  <c r="BL262" i="3"/>
  <c r="BJ263" i="3"/>
  <c r="BK263" i="3" s="1"/>
  <c r="BH264" i="3"/>
  <c r="BF265" i="3"/>
  <c r="BG265" i="3" s="1"/>
  <c r="BD266" i="3"/>
  <c r="BE266" i="3" s="1"/>
  <c r="BB267" i="3"/>
  <c r="AZ272" i="3"/>
  <c r="AZ268" i="3"/>
  <c r="AU271" i="3"/>
  <c r="AV271" i="3" s="1"/>
  <c r="AX269" i="3"/>
  <c r="AS273" i="3"/>
  <c r="AR274" i="3"/>
  <c r="CT248" i="3" l="1"/>
  <c r="CN249" i="3"/>
  <c r="CO249" i="3" s="1"/>
  <c r="CN253" i="3"/>
  <c r="CO253" i="3" s="1"/>
  <c r="CL251" i="3"/>
  <c r="CL250" i="3"/>
  <c r="CH252" i="3"/>
  <c r="CH257" i="3"/>
  <c r="CF254" i="3"/>
  <c r="CA255" i="3"/>
  <c r="CB255" i="3" s="1"/>
  <c r="BZ256" i="3"/>
  <c r="BV258" i="3"/>
  <c r="BT259" i="3"/>
  <c r="BR260" i="3"/>
  <c r="BS260" i="3" s="1"/>
  <c r="BP261" i="3"/>
  <c r="BN262" i="3"/>
  <c r="BO262" i="3" s="1"/>
  <c r="BL263" i="3"/>
  <c r="BJ264" i="3"/>
  <c r="BK264" i="3" s="1"/>
  <c r="BH265" i="3"/>
  <c r="BF266" i="3"/>
  <c r="BG266" i="3" s="1"/>
  <c r="BD267" i="3"/>
  <c r="BE267" i="3" s="1"/>
  <c r="BB268" i="3"/>
  <c r="BB272" i="3"/>
  <c r="AZ269" i="3"/>
  <c r="AX270" i="3"/>
  <c r="AT273" i="3"/>
  <c r="AS274" i="3"/>
  <c r="AR275" i="3"/>
  <c r="CP253" i="3" l="1"/>
  <c r="CP249" i="3"/>
  <c r="AJ249" i="25"/>
  <c r="AJ253" i="25"/>
  <c r="CN250" i="3"/>
  <c r="CO250" i="3" s="1"/>
  <c r="CN251" i="3"/>
  <c r="CO251" i="3" s="1"/>
  <c r="CJ257" i="3"/>
  <c r="CJ252" i="3"/>
  <c r="CH254" i="3"/>
  <c r="CD255" i="3"/>
  <c r="CB256" i="3"/>
  <c r="CD256" i="3" s="1"/>
  <c r="BX258" i="3"/>
  <c r="BV259" i="3"/>
  <c r="BT260" i="3"/>
  <c r="BR261" i="3"/>
  <c r="BS261" i="3" s="1"/>
  <c r="BP262" i="3"/>
  <c r="BN263" i="3"/>
  <c r="BL264" i="3"/>
  <c r="BJ265" i="3"/>
  <c r="BK265" i="3" s="1"/>
  <c r="BH266" i="3"/>
  <c r="BF267" i="3"/>
  <c r="BG267" i="3" s="1"/>
  <c r="BD268" i="3"/>
  <c r="BE268" i="3" s="1"/>
  <c r="BD272" i="3"/>
  <c r="BB269" i="3"/>
  <c r="AZ270" i="3"/>
  <c r="AU273" i="3"/>
  <c r="AV273" i="3" s="1"/>
  <c r="AX271" i="3"/>
  <c r="AT274" i="3"/>
  <c r="AS275" i="3"/>
  <c r="AR276" i="3"/>
  <c r="CT249" i="3" l="1"/>
  <c r="CT253" i="3"/>
  <c r="CP251" i="3"/>
  <c r="CP250" i="3"/>
  <c r="AJ251" i="25"/>
  <c r="AJ250" i="25"/>
  <c r="CL252" i="3"/>
  <c r="CL257" i="3"/>
  <c r="CJ254" i="3"/>
  <c r="CF256" i="3"/>
  <c r="CF255" i="3"/>
  <c r="BZ258" i="3"/>
  <c r="BX259" i="3"/>
  <c r="BV260" i="3"/>
  <c r="BT261" i="3"/>
  <c r="BR262" i="3"/>
  <c r="BP263" i="3"/>
  <c r="BN264" i="3"/>
  <c r="BO264" i="3" s="1"/>
  <c r="BL265" i="3"/>
  <c r="BJ266" i="3"/>
  <c r="BK266" i="3" s="1"/>
  <c r="BH267" i="3"/>
  <c r="BF272" i="3"/>
  <c r="BF268" i="3"/>
  <c r="BG268" i="3" s="1"/>
  <c r="BD269" i="3"/>
  <c r="BE269" i="3" s="1"/>
  <c r="BA270" i="3"/>
  <c r="BB270" i="3" s="1"/>
  <c r="AZ271" i="3"/>
  <c r="AU274" i="3"/>
  <c r="AV274" i="3" s="1"/>
  <c r="AT275" i="3"/>
  <c r="AS276" i="3"/>
  <c r="AR277" i="3"/>
  <c r="AT277" i="3" s="1"/>
  <c r="CT251" i="3" l="1"/>
  <c r="CT250" i="3"/>
  <c r="CN257" i="3"/>
  <c r="CO257" i="3" s="1"/>
  <c r="CN252" i="3"/>
  <c r="CO252" i="3" s="1"/>
  <c r="CL254" i="3"/>
  <c r="CH255" i="3"/>
  <c r="CH256" i="3"/>
  <c r="CA258" i="3"/>
  <c r="CB258" i="3" s="1"/>
  <c r="BZ259" i="3"/>
  <c r="BX260" i="3"/>
  <c r="BV261" i="3"/>
  <c r="BT262" i="3"/>
  <c r="BR263" i="3"/>
  <c r="BS263" i="3" s="1"/>
  <c r="BP264" i="3"/>
  <c r="BN265" i="3"/>
  <c r="BL266" i="3"/>
  <c r="BJ267" i="3"/>
  <c r="BK267" i="3" s="1"/>
  <c r="BH268" i="3"/>
  <c r="BH272" i="3"/>
  <c r="BF269" i="3"/>
  <c r="BG269" i="3" s="1"/>
  <c r="BD270" i="3"/>
  <c r="BE270" i="3" s="1"/>
  <c r="BB271" i="3"/>
  <c r="AV277" i="3"/>
  <c r="AX277" i="3" s="1"/>
  <c r="AU275" i="3"/>
  <c r="AV275" i="3" s="1"/>
  <c r="AX273" i="3"/>
  <c r="AW274" i="3"/>
  <c r="AT276" i="3"/>
  <c r="AR278" i="3"/>
  <c r="CP252" i="3" l="1"/>
  <c r="AJ257" i="25"/>
  <c r="CP257" i="3"/>
  <c r="AJ252" i="25"/>
  <c r="CN254" i="3"/>
  <c r="CO254" i="3" s="1"/>
  <c r="CJ256" i="3"/>
  <c r="CJ255" i="3"/>
  <c r="CD258" i="3"/>
  <c r="CE258" i="3" s="1"/>
  <c r="CB259" i="3"/>
  <c r="CD259" i="3" s="1"/>
  <c r="BZ260" i="3"/>
  <c r="BX261" i="3"/>
  <c r="BV262" i="3"/>
  <c r="BT263" i="3"/>
  <c r="BR264" i="3"/>
  <c r="BS264" i="3" s="1"/>
  <c r="BP265" i="3"/>
  <c r="BN266" i="3"/>
  <c r="BO266" i="3" s="1"/>
  <c r="BL267" i="3"/>
  <c r="BJ268" i="3"/>
  <c r="BK268" i="3" s="1"/>
  <c r="BJ272" i="3"/>
  <c r="BH269" i="3"/>
  <c r="BF270" i="3"/>
  <c r="BG270" i="3" s="1"/>
  <c r="BD271" i="3"/>
  <c r="BE271" i="3" s="1"/>
  <c r="AZ273" i="3"/>
  <c r="AZ277" i="3"/>
  <c r="AU276" i="3"/>
  <c r="AV276" i="3" s="1"/>
  <c r="AX274" i="3"/>
  <c r="AY274" i="3" s="1"/>
  <c r="AS278" i="3"/>
  <c r="AR279" i="3"/>
  <c r="CT257" i="3" l="1"/>
  <c r="CT252" i="3"/>
  <c r="CP254" i="3"/>
  <c r="AJ254" i="25"/>
  <c r="CL255" i="3"/>
  <c r="CL256" i="3"/>
  <c r="CF259" i="3"/>
  <c r="CF258" i="3"/>
  <c r="CG258" i="3" s="1"/>
  <c r="CB260" i="3"/>
  <c r="CD260" i="3" s="1"/>
  <c r="BZ261" i="3"/>
  <c r="BX262" i="3"/>
  <c r="BV263" i="3"/>
  <c r="BT264" i="3"/>
  <c r="BR265" i="3"/>
  <c r="BP266" i="3"/>
  <c r="BN267" i="3"/>
  <c r="BL272" i="3"/>
  <c r="BL268" i="3"/>
  <c r="BJ269" i="3"/>
  <c r="BK269" i="3" s="1"/>
  <c r="BH270" i="3"/>
  <c r="BF271" i="3"/>
  <c r="BG271" i="3" s="1"/>
  <c r="BB277" i="3"/>
  <c r="BB273" i="3"/>
  <c r="AZ274" i="3"/>
  <c r="AX275" i="3"/>
  <c r="AT278" i="3"/>
  <c r="AS279" i="3"/>
  <c r="AR280" i="3"/>
  <c r="CT254" i="3" l="1"/>
  <c r="CN256" i="3"/>
  <c r="CO256" i="3" s="1"/>
  <c r="CN255" i="3"/>
  <c r="CO255" i="3" s="1"/>
  <c r="CH258" i="3"/>
  <c r="CI258" i="3" s="1"/>
  <c r="CH259" i="3"/>
  <c r="CF260" i="3"/>
  <c r="CA261" i="3"/>
  <c r="CB261" i="3" s="1"/>
  <c r="BZ262" i="3"/>
  <c r="BX263" i="3"/>
  <c r="BV264" i="3"/>
  <c r="BW264" i="3" s="1"/>
  <c r="BT265" i="3"/>
  <c r="BR266" i="3"/>
  <c r="BP267" i="3"/>
  <c r="BN268" i="3"/>
  <c r="BO268" i="3" s="1"/>
  <c r="BN272" i="3"/>
  <c r="BL269" i="3"/>
  <c r="BJ270" i="3"/>
  <c r="BH271" i="3"/>
  <c r="BD273" i="3"/>
  <c r="BE273" i="3" s="1"/>
  <c r="BD277" i="3"/>
  <c r="BB274" i="3"/>
  <c r="AZ275" i="3"/>
  <c r="AU278" i="3"/>
  <c r="AV278" i="3" s="1"/>
  <c r="AX276" i="3"/>
  <c r="AT279" i="3"/>
  <c r="AS280" i="3"/>
  <c r="AR281" i="3"/>
  <c r="CP255" i="3" l="1"/>
  <c r="CP256" i="3"/>
  <c r="AJ256" i="25"/>
  <c r="AJ255" i="25"/>
  <c r="CJ259" i="3"/>
  <c r="CJ258" i="3"/>
  <c r="CH260" i="3"/>
  <c r="CD261" i="3"/>
  <c r="CE261" i="3" s="1"/>
  <c r="CA262" i="3"/>
  <c r="CB262" i="3" s="1"/>
  <c r="BZ263" i="3"/>
  <c r="BX264" i="3"/>
  <c r="BY264" i="3" s="1"/>
  <c r="BV265" i="3"/>
  <c r="BT266" i="3"/>
  <c r="BR267" i="3"/>
  <c r="BS267" i="3" s="1"/>
  <c r="BP272" i="3"/>
  <c r="BP268" i="3"/>
  <c r="BQ268" i="3" s="1"/>
  <c r="BN269" i="3"/>
  <c r="BO269" i="3" s="1"/>
  <c r="BL270" i="3"/>
  <c r="BJ271" i="3"/>
  <c r="BK271" i="3" s="1"/>
  <c r="BF277" i="3"/>
  <c r="BF273" i="3"/>
  <c r="BG273" i="3" s="1"/>
  <c r="BD274" i="3"/>
  <c r="BE274" i="3" s="1"/>
  <c r="BB275" i="3"/>
  <c r="AZ276" i="3"/>
  <c r="AU279" i="3"/>
  <c r="AV279" i="3" s="1"/>
  <c r="AW279" i="3" s="1"/>
  <c r="AT280" i="3"/>
  <c r="AS281" i="3"/>
  <c r="AR282" i="3"/>
  <c r="CT256" i="3" l="1"/>
  <c r="CT255" i="3"/>
  <c r="CL258" i="3"/>
  <c r="CL259" i="3"/>
  <c r="CJ260" i="3"/>
  <c r="CF261" i="3"/>
  <c r="CG261" i="3" s="1"/>
  <c r="CD262" i="3"/>
  <c r="CA263" i="3"/>
  <c r="CB263" i="3" s="1"/>
  <c r="BZ264" i="3"/>
  <c r="BX265" i="3"/>
  <c r="BV266" i="3"/>
  <c r="BT267" i="3"/>
  <c r="BR268" i="3"/>
  <c r="BR272" i="3"/>
  <c r="BP269" i="3"/>
  <c r="BN270" i="3"/>
  <c r="BL271" i="3"/>
  <c r="BH273" i="3"/>
  <c r="BH277" i="3"/>
  <c r="BF274" i="3"/>
  <c r="BG274" i="3" s="1"/>
  <c r="BD275" i="3"/>
  <c r="BE275" i="3" s="1"/>
  <c r="BB276" i="3"/>
  <c r="AU280" i="3"/>
  <c r="AV280" i="3" s="1"/>
  <c r="AX278" i="3"/>
  <c r="AT281" i="3"/>
  <c r="AS282" i="3"/>
  <c r="AR283" i="3"/>
  <c r="CN259" i="3" l="1"/>
  <c r="CO259" i="3" s="1"/>
  <c r="CN258" i="3"/>
  <c r="CO258" i="3" s="1"/>
  <c r="CL260" i="3"/>
  <c r="CH261" i="3"/>
  <c r="CI261" i="3" s="1"/>
  <c r="CE262" i="3"/>
  <c r="CF262" i="3" s="1"/>
  <c r="CG262" i="3" s="1"/>
  <c r="CD263" i="3"/>
  <c r="CA264" i="3"/>
  <c r="CB264" i="3" s="1"/>
  <c r="CD264" i="3" s="1"/>
  <c r="BZ265" i="3"/>
  <c r="BX266" i="3"/>
  <c r="BV267" i="3"/>
  <c r="BW267" i="3" s="1"/>
  <c r="BT272" i="3"/>
  <c r="BT268" i="3"/>
  <c r="BR269" i="3"/>
  <c r="BP270" i="3"/>
  <c r="BN271" i="3"/>
  <c r="BO271" i="3" s="1"/>
  <c r="BJ277" i="3"/>
  <c r="BJ273" i="3"/>
  <c r="BK273" i="3" s="1"/>
  <c r="BH274" i="3"/>
  <c r="BF275" i="3"/>
  <c r="BG275" i="3" s="1"/>
  <c r="BD276" i="3"/>
  <c r="BE276" i="3" s="1"/>
  <c r="AZ278" i="3"/>
  <c r="AU281" i="3"/>
  <c r="AV281" i="3" s="1"/>
  <c r="AX279" i="3"/>
  <c r="AT282" i="3"/>
  <c r="AS283" i="3"/>
  <c r="AR284" i="3"/>
  <c r="CP258" i="3" l="1"/>
  <c r="AJ259" i="25"/>
  <c r="CP259" i="3"/>
  <c r="AJ258" i="25"/>
  <c r="CN260" i="3"/>
  <c r="CO260" i="3" s="1"/>
  <c r="CJ261" i="3"/>
  <c r="CH262" i="3"/>
  <c r="CI262" i="3" s="1"/>
  <c r="CF264" i="3"/>
  <c r="CF263" i="3"/>
  <c r="CG263" i="3" s="1"/>
  <c r="CA265" i="3"/>
  <c r="CB265" i="3" s="1"/>
  <c r="CD265" i="3" s="1"/>
  <c r="CE265" i="3" s="1"/>
  <c r="BZ266" i="3"/>
  <c r="BX267" i="3"/>
  <c r="BV268" i="3"/>
  <c r="BV272" i="3"/>
  <c r="BT269" i="3"/>
  <c r="BR270" i="3"/>
  <c r="BP271" i="3"/>
  <c r="BL273" i="3"/>
  <c r="BL277" i="3"/>
  <c r="BJ274" i="3"/>
  <c r="BK274" i="3" s="1"/>
  <c r="BH275" i="3"/>
  <c r="BF276" i="3"/>
  <c r="BG276" i="3" s="1"/>
  <c r="BB278" i="3"/>
  <c r="AZ279" i="3"/>
  <c r="AU282" i="3"/>
  <c r="AV282" i="3" s="1"/>
  <c r="AX280" i="3"/>
  <c r="AW281" i="3"/>
  <c r="AT283" i="3"/>
  <c r="AS284" i="3"/>
  <c r="AR285" i="3"/>
  <c r="CT259" i="3" l="1"/>
  <c r="CT258" i="3"/>
  <c r="CP260" i="3"/>
  <c r="AJ260" i="25"/>
  <c r="CL261" i="3"/>
  <c r="CJ262" i="3"/>
  <c r="CH263" i="3"/>
  <c r="CI263" i="3" s="1"/>
  <c r="CH264" i="3"/>
  <c r="CF265" i="3"/>
  <c r="CA266" i="3"/>
  <c r="CB266" i="3" s="1"/>
  <c r="CD266" i="3" s="1"/>
  <c r="BZ267" i="3"/>
  <c r="BX272" i="3"/>
  <c r="BX268" i="3"/>
  <c r="BV269" i="3"/>
  <c r="BT270" i="3"/>
  <c r="BR271" i="3"/>
  <c r="BS271" i="3" s="1"/>
  <c r="BN277" i="3"/>
  <c r="BN273" i="3"/>
  <c r="BO273" i="3" s="1"/>
  <c r="BL274" i="3"/>
  <c r="BJ275" i="3"/>
  <c r="BK275" i="3" s="1"/>
  <c r="BH276" i="3"/>
  <c r="BD278" i="3"/>
  <c r="BE278" i="3" s="1"/>
  <c r="BA279" i="3"/>
  <c r="BB279" i="3" s="1"/>
  <c r="AZ280" i="3"/>
  <c r="AU283" i="3"/>
  <c r="AV283" i="3" s="1"/>
  <c r="AX281" i="3"/>
  <c r="AY281" i="3" s="1"/>
  <c r="AT284" i="3"/>
  <c r="AS285" i="3"/>
  <c r="AR286" i="3"/>
  <c r="CT260" i="3" l="1"/>
  <c r="CN261" i="3"/>
  <c r="CO261" i="3" s="1"/>
  <c r="CL262" i="3"/>
  <c r="CJ264" i="3"/>
  <c r="CJ263" i="3"/>
  <c r="CH265" i="3"/>
  <c r="CF266" i="3"/>
  <c r="CG266" i="3" s="1"/>
  <c r="CA267" i="3"/>
  <c r="CB267" i="3" s="1"/>
  <c r="BZ268" i="3"/>
  <c r="BZ272" i="3"/>
  <c r="BX269" i="3"/>
  <c r="BV270" i="3"/>
  <c r="BT271" i="3"/>
  <c r="BP273" i="3"/>
  <c r="BP277" i="3"/>
  <c r="BN274" i="3"/>
  <c r="BL275" i="3"/>
  <c r="BJ276" i="3"/>
  <c r="BF278" i="3"/>
  <c r="BG278" i="3" s="1"/>
  <c r="BD279" i="3"/>
  <c r="BE279" i="3" s="1"/>
  <c r="BB280" i="3"/>
  <c r="AZ281" i="3"/>
  <c r="AU284" i="3"/>
  <c r="AV284" i="3" s="1"/>
  <c r="AW284" i="3" s="1"/>
  <c r="AX282" i="3"/>
  <c r="AT285" i="3"/>
  <c r="AS286" i="3"/>
  <c r="AR287" i="3"/>
  <c r="CP261" i="3" l="1"/>
  <c r="AJ261" i="25"/>
  <c r="CN262" i="3"/>
  <c r="CO262" i="3" s="1"/>
  <c r="CL263" i="3"/>
  <c r="CL264" i="3"/>
  <c r="CJ265" i="3"/>
  <c r="CH266" i="3"/>
  <c r="CI266" i="3" s="1"/>
  <c r="CD267" i="3"/>
  <c r="CB272" i="3"/>
  <c r="CD272" i="3" s="1"/>
  <c r="CB268" i="3"/>
  <c r="BZ269" i="3"/>
  <c r="BX270" i="3"/>
  <c r="BV271" i="3"/>
  <c r="BW271" i="3" s="1"/>
  <c r="BR277" i="3"/>
  <c r="BR273" i="3"/>
  <c r="BP274" i="3"/>
  <c r="BN275" i="3"/>
  <c r="BO275" i="3" s="1"/>
  <c r="BL276" i="3"/>
  <c r="BH278" i="3"/>
  <c r="BF279" i="3"/>
  <c r="BG279" i="3" s="1"/>
  <c r="BD280" i="3"/>
  <c r="BE280" i="3" s="1"/>
  <c r="BB281" i="3"/>
  <c r="AZ282" i="3"/>
  <c r="AU285" i="3"/>
  <c r="AV285" i="3" s="1"/>
  <c r="AX283" i="3"/>
  <c r="AT286" i="3"/>
  <c r="AS287" i="3"/>
  <c r="AR288" i="3"/>
  <c r="CT261" i="3" l="1"/>
  <c r="CP262" i="3"/>
  <c r="AJ262" i="25"/>
  <c r="CN264" i="3"/>
  <c r="CO264" i="3" s="1"/>
  <c r="CN263" i="3"/>
  <c r="CO263" i="3" s="1"/>
  <c r="CL265" i="3"/>
  <c r="CJ266" i="3"/>
  <c r="CF272" i="3"/>
  <c r="CF267" i="3"/>
  <c r="CD268" i="3"/>
  <c r="CA269" i="3"/>
  <c r="CB269" i="3" s="1"/>
  <c r="BZ270" i="3"/>
  <c r="BX271" i="3"/>
  <c r="BY271" i="3" s="1"/>
  <c r="BT273" i="3"/>
  <c r="BT277" i="3"/>
  <c r="BR274" i="3"/>
  <c r="BS274" i="3" s="1"/>
  <c r="BP275" i="3"/>
  <c r="BN276" i="3"/>
  <c r="BJ278" i="3"/>
  <c r="BK278" i="3" s="1"/>
  <c r="BH279" i="3"/>
  <c r="BF280" i="3"/>
  <c r="BG280" i="3" s="1"/>
  <c r="BD281" i="3"/>
  <c r="BE281" i="3" s="1"/>
  <c r="BB282" i="3"/>
  <c r="AZ283" i="3"/>
  <c r="AU286" i="3"/>
  <c r="AV286" i="3" s="1"/>
  <c r="AW286" i="3" s="1"/>
  <c r="AX284" i="3"/>
  <c r="AT287" i="3"/>
  <c r="AS288" i="3"/>
  <c r="AR289" i="3"/>
  <c r="AR290" i="3"/>
  <c r="CT262" i="3" l="1"/>
  <c r="CP263" i="3"/>
  <c r="CP264" i="3"/>
  <c r="AJ263" i="25"/>
  <c r="AJ264" i="25"/>
  <c r="CN265" i="3"/>
  <c r="CO265" i="3" s="1"/>
  <c r="CL266" i="3"/>
  <c r="CH267" i="3"/>
  <c r="CH272" i="3"/>
  <c r="CF268" i="3"/>
  <c r="CD269" i="3"/>
  <c r="CB270" i="3"/>
  <c r="BZ271" i="3"/>
  <c r="CA271" i="3" s="1"/>
  <c r="BV277" i="3"/>
  <c r="BV273" i="3"/>
  <c r="BT274" i="3"/>
  <c r="BR275" i="3"/>
  <c r="BP276" i="3"/>
  <c r="BL278" i="3"/>
  <c r="BJ279" i="3"/>
  <c r="BK279" i="3" s="1"/>
  <c r="BH280" i="3"/>
  <c r="BF281" i="3"/>
  <c r="BG281" i="3" s="1"/>
  <c r="BD282" i="3"/>
  <c r="BB283" i="3"/>
  <c r="AZ284" i="3"/>
  <c r="AU287" i="3"/>
  <c r="AV287" i="3" s="1"/>
  <c r="AX285" i="3"/>
  <c r="AT288" i="3"/>
  <c r="AS290" i="3"/>
  <c r="AS289" i="3"/>
  <c r="AR291" i="3"/>
  <c r="CT264" i="3" l="1"/>
  <c r="CT263" i="3"/>
  <c r="CP265" i="3"/>
  <c r="AJ265" i="25"/>
  <c r="CN266" i="3"/>
  <c r="CO266" i="3" s="1"/>
  <c r="CJ272" i="3"/>
  <c r="CJ267" i="3"/>
  <c r="CH268" i="3"/>
  <c r="CF269" i="3"/>
  <c r="CD270" i="3"/>
  <c r="CB271" i="3"/>
  <c r="CD271" i="3" s="1"/>
  <c r="BX273" i="3"/>
  <c r="BX277" i="3"/>
  <c r="BV274" i="3"/>
  <c r="BW274" i="3" s="1"/>
  <c r="BT275" i="3"/>
  <c r="BR276" i="3"/>
  <c r="BN278" i="3"/>
  <c r="BO278" i="3" s="1"/>
  <c r="BL279" i="3"/>
  <c r="BJ280" i="3"/>
  <c r="BK280" i="3" s="1"/>
  <c r="BH281" i="3"/>
  <c r="BF282" i="3"/>
  <c r="BD283" i="3"/>
  <c r="BE283" i="3" s="1"/>
  <c r="BA284" i="3"/>
  <c r="BB284" i="3" s="1"/>
  <c r="AZ285" i="3"/>
  <c r="AU288" i="3"/>
  <c r="AV288" i="3" s="1"/>
  <c r="AX286" i="3"/>
  <c r="AT290" i="3"/>
  <c r="AT289" i="3"/>
  <c r="AS291" i="3"/>
  <c r="AR292" i="3"/>
  <c r="CT265" i="3" l="1"/>
  <c r="CP266" i="3"/>
  <c r="AJ266" i="25"/>
  <c r="CL267" i="3"/>
  <c r="CL272" i="3"/>
  <c r="CJ268" i="3"/>
  <c r="CH269" i="3"/>
  <c r="CF271" i="3"/>
  <c r="CF270" i="3"/>
  <c r="BZ277" i="3"/>
  <c r="BZ273" i="3"/>
  <c r="BX274" i="3"/>
  <c r="BV275" i="3"/>
  <c r="BT276" i="3"/>
  <c r="BP278" i="3"/>
  <c r="BN279" i="3"/>
  <c r="BL280" i="3"/>
  <c r="BJ281" i="3"/>
  <c r="BK281" i="3" s="1"/>
  <c r="BH282" i="3"/>
  <c r="BF283" i="3"/>
  <c r="BG283" i="3" s="1"/>
  <c r="BD284" i="3"/>
  <c r="BE284" i="3" s="1"/>
  <c r="BB285" i="3"/>
  <c r="AZ286" i="3"/>
  <c r="AU289" i="3"/>
  <c r="AV289" i="3" s="1"/>
  <c r="AU290" i="3"/>
  <c r="AV290" i="3" s="1"/>
  <c r="AX287" i="3"/>
  <c r="AW288" i="3"/>
  <c r="AT291" i="3"/>
  <c r="AS292" i="3"/>
  <c r="AR293" i="3"/>
  <c r="CT266" i="3" l="1"/>
  <c r="CN272" i="3"/>
  <c r="CO272" i="3" s="1"/>
  <c r="CN267" i="3"/>
  <c r="CO267" i="3" s="1"/>
  <c r="CL268" i="3"/>
  <c r="CJ269" i="3"/>
  <c r="CH270" i="3"/>
  <c r="CH271" i="3"/>
  <c r="CB273" i="3"/>
  <c r="CB277" i="3"/>
  <c r="CD277" i="3" s="1"/>
  <c r="BZ274" i="3"/>
  <c r="BX275" i="3"/>
  <c r="BV276" i="3"/>
  <c r="BR278" i="3"/>
  <c r="BS278" i="3" s="1"/>
  <c r="BP279" i="3"/>
  <c r="BN280" i="3"/>
  <c r="BO280" i="3" s="1"/>
  <c r="BL281" i="3"/>
  <c r="BJ282" i="3"/>
  <c r="BH283" i="3"/>
  <c r="BF284" i="3"/>
  <c r="BG284" i="3" s="1"/>
  <c r="BD285" i="3"/>
  <c r="BE285" i="3" s="1"/>
  <c r="BA286" i="3"/>
  <c r="BB286" i="3" s="1"/>
  <c r="AZ287" i="3"/>
  <c r="AU291" i="3"/>
  <c r="AV291" i="3" s="1"/>
  <c r="AW291" i="3" s="1"/>
  <c r="AX288" i="3"/>
  <c r="AY288" i="3" s="1"/>
  <c r="AT292" i="3"/>
  <c r="AS293" i="3"/>
  <c r="AR294" i="3"/>
  <c r="CP267" i="3" l="1"/>
  <c r="AJ272" i="25"/>
  <c r="CP272" i="3"/>
  <c r="AJ267" i="25"/>
  <c r="CN268" i="3"/>
  <c r="CO268" i="3" s="1"/>
  <c r="CL269" i="3"/>
  <c r="CJ271" i="3"/>
  <c r="CJ270" i="3"/>
  <c r="CF277" i="3"/>
  <c r="CD273" i="3"/>
  <c r="CA274" i="3"/>
  <c r="CB274" i="3" s="1"/>
  <c r="BZ275" i="3"/>
  <c r="BX276" i="3"/>
  <c r="BT278" i="3"/>
  <c r="BR279" i="3"/>
  <c r="BP280" i="3"/>
  <c r="BN281" i="3"/>
  <c r="BL282" i="3"/>
  <c r="BJ283" i="3"/>
  <c r="BK283" i="3" s="1"/>
  <c r="BH284" i="3"/>
  <c r="BF285" i="3"/>
  <c r="BG285" i="3" s="1"/>
  <c r="BD286" i="3"/>
  <c r="BB287" i="3"/>
  <c r="AZ288" i="3"/>
  <c r="AU292" i="3"/>
  <c r="AV292" i="3" s="1"/>
  <c r="AX289" i="3"/>
  <c r="AX290" i="3"/>
  <c r="AT293" i="3"/>
  <c r="AS294" i="3"/>
  <c r="AR295" i="3"/>
  <c r="CT272" i="3" l="1"/>
  <c r="CT267" i="3"/>
  <c r="CP268" i="3"/>
  <c r="AJ268" i="25"/>
  <c r="CN269" i="3"/>
  <c r="CO269" i="3" s="1"/>
  <c r="AJ269" i="25" s="1"/>
  <c r="CL271" i="3"/>
  <c r="CL270" i="3"/>
  <c r="CH277" i="3"/>
  <c r="CF273" i="3"/>
  <c r="CD274" i="3"/>
  <c r="CB275" i="3"/>
  <c r="CD275" i="3" s="1"/>
  <c r="BZ276" i="3"/>
  <c r="BV278" i="3"/>
  <c r="BW278" i="3" s="1"/>
  <c r="BT279" i="3"/>
  <c r="BR280" i="3"/>
  <c r="BP281" i="3"/>
  <c r="BN282" i="3"/>
  <c r="BL283" i="3"/>
  <c r="BJ284" i="3"/>
  <c r="BK284" i="3" s="1"/>
  <c r="BH285" i="3"/>
  <c r="BF286" i="3"/>
  <c r="BD287" i="3"/>
  <c r="BE287" i="3" s="1"/>
  <c r="BB288" i="3"/>
  <c r="AZ290" i="3"/>
  <c r="AZ289" i="3"/>
  <c r="AU293" i="3"/>
  <c r="AV293" i="3" s="1"/>
  <c r="AW293" i="3" s="1"/>
  <c r="AX291" i="3"/>
  <c r="AT294" i="3"/>
  <c r="AS295" i="3"/>
  <c r="AR296" i="3"/>
  <c r="CT268" i="3" l="1"/>
  <c r="CP269" i="3"/>
  <c r="CN270" i="3"/>
  <c r="CO270" i="3" s="1"/>
  <c r="CN271" i="3"/>
  <c r="CO271" i="3" s="1"/>
  <c r="CJ277" i="3"/>
  <c r="CH273" i="3"/>
  <c r="CF275" i="3"/>
  <c r="CF274" i="3"/>
  <c r="CG274" i="3" s="1"/>
  <c r="CB276" i="3"/>
  <c r="BX278" i="3"/>
  <c r="BY278" i="3" s="1"/>
  <c r="BV279" i="3"/>
  <c r="BT280" i="3"/>
  <c r="BR281" i="3"/>
  <c r="BS281" i="3" s="1"/>
  <c r="BP282" i="3"/>
  <c r="BN283" i="3"/>
  <c r="BO283" i="3" s="1"/>
  <c r="BL284" i="3"/>
  <c r="BJ285" i="3"/>
  <c r="BK285" i="3" s="1"/>
  <c r="BH286" i="3"/>
  <c r="BF287" i="3"/>
  <c r="BG287" i="3" s="1"/>
  <c r="BD288" i="3"/>
  <c r="BE288" i="3" s="1"/>
  <c r="BB290" i="3"/>
  <c r="BB289" i="3"/>
  <c r="AZ291" i="3"/>
  <c r="AU294" i="3"/>
  <c r="AV294" i="3" s="1"/>
  <c r="AX292" i="3"/>
  <c r="AT295" i="3"/>
  <c r="AS296" i="3"/>
  <c r="AR297" i="3"/>
  <c r="CT269" i="3" l="1"/>
  <c r="AJ271" i="25"/>
  <c r="AJ270" i="25"/>
  <c r="CP270" i="3"/>
  <c r="CP271" i="3"/>
  <c r="CL277" i="3"/>
  <c r="CJ273" i="3"/>
  <c r="CH274" i="3"/>
  <c r="CI274" i="3" s="1"/>
  <c r="CH275" i="3"/>
  <c r="CD276" i="3"/>
  <c r="BZ278" i="3"/>
  <c r="BX279" i="3"/>
  <c r="BV280" i="3"/>
  <c r="BT281" i="3"/>
  <c r="BR282" i="3"/>
  <c r="BP283" i="3"/>
  <c r="BN284" i="3"/>
  <c r="BL285" i="3"/>
  <c r="BJ286" i="3"/>
  <c r="BH287" i="3"/>
  <c r="BF288" i="3"/>
  <c r="BG288" i="3" s="1"/>
  <c r="BD290" i="3"/>
  <c r="BE290" i="3" s="1"/>
  <c r="BD289" i="3"/>
  <c r="BE289" i="3" s="1"/>
  <c r="BA291" i="3"/>
  <c r="BB291" i="3" s="1"/>
  <c r="AZ292" i="3"/>
  <c r="AU295" i="3"/>
  <c r="AV295" i="3" s="1"/>
  <c r="AX293" i="3"/>
  <c r="AT296" i="3"/>
  <c r="AS297" i="3"/>
  <c r="AR298" i="3"/>
  <c r="CT271" i="3" l="1"/>
  <c r="CT270" i="3"/>
  <c r="CN277" i="3"/>
  <c r="CO277" i="3" s="1"/>
  <c r="CL273" i="3"/>
  <c r="CJ275" i="3"/>
  <c r="CJ274" i="3"/>
  <c r="CF276" i="3"/>
  <c r="CA278" i="3"/>
  <c r="CB278" i="3" s="1"/>
  <c r="BZ279" i="3"/>
  <c r="BX280" i="3"/>
  <c r="BV281" i="3"/>
  <c r="BW281" i="3" s="1"/>
  <c r="BT282" i="3"/>
  <c r="BR283" i="3"/>
  <c r="BP284" i="3"/>
  <c r="BN285" i="3"/>
  <c r="BO285" i="3" s="1"/>
  <c r="BL286" i="3"/>
  <c r="BJ287" i="3"/>
  <c r="BH288" i="3"/>
  <c r="BF289" i="3"/>
  <c r="BG289" i="3" s="1"/>
  <c r="BF290" i="3"/>
  <c r="BG290" i="3" s="1"/>
  <c r="BD291" i="3"/>
  <c r="BE291" i="3" s="1"/>
  <c r="BB292" i="3"/>
  <c r="AZ293" i="3"/>
  <c r="AU296" i="3"/>
  <c r="AV296" i="3" s="1"/>
  <c r="AX294" i="3"/>
  <c r="AW295" i="3"/>
  <c r="AT297" i="3"/>
  <c r="AS298" i="3"/>
  <c r="AR299" i="3"/>
  <c r="AJ277" i="25" l="1"/>
  <c r="CP277" i="3"/>
  <c r="CN273" i="3"/>
  <c r="CO273" i="3" s="1"/>
  <c r="CL274" i="3"/>
  <c r="CL275" i="3"/>
  <c r="CH276" i="3"/>
  <c r="CD278" i="3"/>
  <c r="CE278" i="3" s="1"/>
  <c r="CB279" i="3"/>
  <c r="CD279" i="3" s="1"/>
  <c r="BZ280" i="3"/>
  <c r="BX281" i="3"/>
  <c r="BV282" i="3"/>
  <c r="BT283" i="3"/>
  <c r="BR284" i="3"/>
  <c r="BS284" i="3" s="1"/>
  <c r="BP285" i="3"/>
  <c r="BN286" i="3"/>
  <c r="BL287" i="3"/>
  <c r="BJ288" i="3"/>
  <c r="BK288" i="3" s="1"/>
  <c r="BH290" i="3"/>
  <c r="BH289" i="3"/>
  <c r="BF291" i="3"/>
  <c r="BG291" i="3" s="1"/>
  <c r="BD292" i="3"/>
  <c r="BA293" i="3"/>
  <c r="BB293" i="3" s="1"/>
  <c r="AZ294" i="3"/>
  <c r="AU297" i="3"/>
  <c r="AV297" i="3" s="1"/>
  <c r="AX295" i="3"/>
  <c r="AY295" i="3" s="1"/>
  <c r="AT298" i="3"/>
  <c r="AS299" i="3"/>
  <c r="AR300" i="3"/>
  <c r="CT277" i="3" l="1"/>
  <c r="AJ273" i="25"/>
  <c r="CP273" i="3"/>
  <c r="CN274" i="3"/>
  <c r="CO274" i="3" s="1"/>
  <c r="CN275" i="3"/>
  <c r="CO275" i="3" s="1"/>
  <c r="CJ276" i="3"/>
  <c r="CF279" i="3"/>
  <c r="CF278" i="3"/>
  <c r="CA280" i="3"/>
  <c r="CB280" i="3" s="1"/>
  <c r="BZ281" i="3"/>
  <c r="BX282" i="3"/>
  <c r="BV283" i="3"/>
  <c r="BT284" i="3"/>
  <c r="BR285" i="3"/>
  <c r="BS285" i="3" s="1"/>
  <c r="BP286" i="3"/>
  <c r="BN287" i="3"/>
  <c r="BL288" i="3"/>
  <c r="BJ290" i="3"/>
  <c r="BK290" i="3" s="1"/>
  <c r="BJ289" i="3"/>
  <c r="BK289" i="3" s="1"/>
  <c r="BH291" i="3"/>
  <c r="BF292" i="3"/>
  <c r="BD293" i="3"/>
  <c r="BE293" i="3" s="1"/>
  <c r="BB294" i="3"/>
  <c r="AZ295" i="3"/>
  <c r="AU298" i="3"/>
  <c r="AV298" i="3" s="1"/>
  <c r="AW298" i="3" s="1"/>
  <c r="AX296" i="3"/>
  <c r="AT299" i="3"/>
  <c r="AS300" i="3"/>
  <c r="AR301" i="3"/>
  <c r="CT273" i="3" l="1"/>
  <c r="CP275" i="3"/>
  <c r="CP274" i="3"/>
  <c r="AJ274" i="25"/>
  <c r="AJ275" i="25"/>
  <c r="CL276" i="3"/>
  <c r="CH278" i="3"/>
  <c r="CH279" i="3"/>
  <c r="CD280" i="3"/>
  <c r="CA281" i="3"/>
  <c r="CB281" i="3" s="1"/>
  <c r="BZ282" i="3"/>
  <c r="BX283" i="3"/>
  <c r="BV284" i="3"/>
  <c r="BT285" i="3"/>
  <c r="BR286" i="3"/>
  <c r="BP287" i="3"/>
  <c r="BN288" i="3"/>
  <c r="BL289" i="3"/>
  <c r="BL290" i="3"/>
  <c r="BJ291" i="3"/>
  <c r="BK291" i="3" s="1"/>
  <c r="BH292" i="3"/>
  <c r="BF293" i="3"/>
  <c r="BG293" i="3" s="1"/>
  <c r="BD294" i="3"/>
  <c r="BE294" i="3" s="1"/>
  <c r="BB295" i="3"/>
  <c r="AZ296" i="3"/>
  <c r="AU299" i="3"/>
  <c r="AV299" i="3" s="1"/>
  <c r="AX297" i="3"/>
  <c r="AT300" i="3"/>
  <c r="AS301" i="3"/>
  <c r="AR302" i="3"/>
  <c r="AT302" i="3" s="1"/>
  <c r="CT275" i="3" l="1"/>
  <c r="CT274" i="3"/>
  <c r="CN276" i="3"/>
  <c r="CO276" i="3" s="1"/>
  <c r="CJ279" i="3"/>
  <c r="CJ278" i="3"/>
  <c r="CF280" i="3"/>
  <c r="CG280" i="3" s="1"/>
  <c r="CD281" i="3"/>
  <c r="CB282" i="3"/>
  <c r="CD282" i="3" s="1"/>
  <c r="BZ283" i="3"/>
  <c r="BX284" i="3"/>
  <c r="BV285" i="3"/>
  <c r="BW285" i="3" s="1"/>
  <c r="BT286" i="3"/>
  <c r="BR287" i="3"/>
  <c r="BP288" i="3"/>
  <c r="BN289" i="3"/>
  <c r="BO289" i="3" s="1"/>
  <c r="BN290" i="3"/>
  <c r="BO290" i="3" s="1"/>
  <c r="BL291" i="3"/>
  <c r="BJ292" i="3"/>
  <c r="BH293" i="3"/>
  <c r="BF294" i="3"/>
  <c r="BG294" i="3" s="1"/>
  <c r="BD295" i="3"/>
  <c r="BE295" i="3" s="1"/>
  <c r="BB296" i="3"/>
  <c r="AZ297" i="3"/>
  <c r="AV302" i="3"/>
  <c r="AX302" i="3" s="1"/>
  <c r="AU300" i="3"/>
  <c r="AV300" i="3" s="1"/>
  <c r="AW300" i="3" s="1"/>
  <c r="AX298" i="3"/>
  <c r="AT301" i="3"/>
  <c r="AR303" i="3"/>
  <c r="AJ276" i="25" l="1"/>
  <c r="CP276" i="3"/>
  <c r="CL278" i="3"/>
  <c r="CL279" i="3"/>
  <c r="CH280" i="3"/>
  <c r="CI280" i="3" s="1"/>
  <c r="CF282" i="3"/>
  <c r="CF281" i="3"/>
  <c r="CG281" i="3" s="1"/>
  <c r="CA283" i="3"/>
  <c r="CB283" i="3" s="1"/>
  <c r="BZ284" i="3"/>
  <c r="BX285" i="3"/>
  <c r="BY285" i="3" s="1"/>
  <c r="BV286" i="3"/>
  <c r="BT287" i="3"/>
  <c r="BR288" i="3"/>
  <c r="BS288" i="3" s="1"/>
  <c r="BP290" i="3"/>
  <c r="BP289" i="3"/>
  <c r="BN291" i="3"/>
  <c r="BL292" i="3"/>
  <c r="BJ293" i="3"/>
  <c r="BK293" i="3" s="1"/>
  <c r="BH294" i="3"/>
  <c r="BF295" i="3"/>
  <c r="BG295" i="3" s="1"/>
  <c r="BD296" i="3"/>
  <c r="BB297" i="3"/>
  <c r="AZ298" i="3"/>
  <c r="AZ302" i="3"/>
  <c r="AU301" i="3"/>
  <c r="AV301" i="3" s="1"/>
  <c r="AX299" i="3"/>
  <c r="AS303" i="3"/>
  <c r="AR304" i="3"/>
  <c r="CT276" i="3" l="1"/>
  <c r="CN279" i="3"/>
  <c r="CO279" i="3" s="1"/>
  <c r="CN278" i="3"/>
  <c r="CO278" i="3" s="1"/>
  <c r="CJ280" i="3"/>
  <c r="CH281" i="3"/>
  <c r="CI281" i="3" s="1"/>
  <c r="CH282" i="3"/>
  <c r="CD283" i="3"/>
  <c r="CE283" i="3" s="1"/>
  <c r="CA284" i="3"/>
  <c r="CB284" i="3" s="1"/>
  <c r="BZ285" i="3"/>
  <c r="BX286" i="3"/>
  <c r="BV287" i="3"/>
  <c r="BT288" i="3"/>
  <c r="BR289" i="3"/>
  <c r="BR290" i="3"/>
  <c r="BP291" i="3"/>
  <c r="BN292" i="3"/>
  <c r="BL293" i="3"/>
  <c r="BJ294" i="3"/>
  <c r="BK294" i="3" s="1"/>
  <c r="BH295" i="3"/>
  <c r="BF296" i="3"/>
  <c r="BD297" i="3"/>
  <c r="BB302" i="3"/>
  <c r="BA298" i="3"/>
  <c r="BB298" i="3" s="1"/>
  <c r="AZ299" i="3"/>
  <c r="AX300" i="3"/>
  <c r="AT303" i="3"/>
  <c r="AS304" i="3"/>
  <c r="AR305" i="3"/>
  <c r="CP278" i="3" l="1"/>
  <c r="CP279" i="3"/>
  <c r="AJ279" i="25"/>
  <c r="AJ278" i="25"/>
  <c r="CL280" i="3"/>
  <c r="CJ282" i="3"/>
  <c r="CJ281" i="3"/>
  <c r="CF283" i="3"/>
  <c r="CD284" i="3"/>
  <c r="CA285" i="3"/>
  <c r="CB285" i="3" s="1"/>
  <c r="BZ286" i="3"/>
  <c r="BX287" i="3"/>
  <c r="BV288" i="3"/>
  <c r="BW288" i="3" s="1"/>
  <c r="BT290" i="3"/>
  <c r="BT289" i="3"/>
  <c r="BR291" i="3"/>
  <c r="BS291" i="3" s="1"/>
  <c r="BP292" i="3"/>
  <c r="BN293" i="3"/>
  <c r="BL294" i="3"/>
  <c r="BJ295" i="3"/>
  <c r="BK295" i="3" s="1"/>
  <c r="BH296" i="3"/>
  <c r="BF297" i="3"/>
  <c r="BD298" i="3"/>
  <c r="BE298" i="3" s="1"/>
  <c r="BD302" i="3"/>
  <c r="BB299" i="3"/>
  <c r="AZ300" i="3"/>
  <c r="AU303" i="3"/>
  <c r="AV303" i="3" s="1"/>
  <c r="AX301" i="3"/>
  <c r="AT304" i="3"/>
  <c r="AS305" i="3"/>
  <c r="AR306" i="3"/>
  <c r="CT279" i="3" l="1"/>
  <c r="CT278" i="3"/>
  <c r="CN280" i="3"/>
  <c r="CO280" i="3" s="1"/>
  <c r="CL281" i="3"/>
  <c r="CL282" i="3"/>
  <c r="CH283" i="3"/>
  <c r="CF284" i="3"/>
  <c r="CG284" i="3" s="1"/>
  <c r="CD285" i="3"/>
  <c r="CE285" i="3" s="1"/>
  <c r="CB286" i="3"/>
  <c r="CD286" i="3" s="1"/>
  <c r="BZ287" i="3"/>
  <c r="BX288" i="3"/>
  <c r="BV290" i="3"/>
  <c r="BV289" i="3"/>
  <c r="BT291" i="3"/>
  <c r="BR292" i="3"/>
  <c r="BP293" i="3"/>
  <c r="BN294" i="3"/>
  <c r="BO294" i="3" s="1"/>
  <c r="BL295" i="3"/>
  <c r="BJ296" i="3"/>
  <c r="BH297" i="3"/>
  <c r="BF302" i="3"/>
  <c r="BF298" i="3"/>
  <c r="BG298" i="3" s="1"/>
  <c r="BD299" i="3"/>
  <c r="BE299" i="3" s="1"/>
  <c r="BA300" i="3"/>
  <c r="BB300" i="3" s="1"/>
  <c r="AZ301" i="3"/>
  <c r="AU304" i="3"/>
  <c r="AV304" i="3" s="1"/>
  <c r="AT305" i="3"/>
  <c r="AS306" i="3"/>
  <c r="AR307" i="3"/>
  <c r="CP280" i="3" l="1"/>
  <c r="AJ280" i="25"/>
  <c r="CN281" i="3"/>
  <c r="CO281" i="3" s="1"/>
  <c r="CN282" i="3"/>
  <c r="CO282" i="3" s="1"/>
  <c r="CJ283" i="3"/>
  <c r="CH284" i="3"/>
  <c r="CI284" i="3" s="1"/>
  <c r="CF286" i="3"/>
  <c r="CF285" i="3"/>
  <c r="CB287" i="3"/>
  <c r="CD287" i="3" s="1"/>
  <c r="BZ288" i="3"/>
  <c r="BX289" i="3"/>
  <c r="BX290" i="3"/>
  <c r="BV291" i="3"/>
  <c r="BT292" i="3"/>
  <c r="BR293" i="3"/>
  <c r="BP294" i="3"/>
  <c r="BN295" i="3"/>
  <c r="BL296" i="3"/>
  <c r="BJ297" i="3"/>
  <c r="BH302" i="3"/>
  <c r="BH298" i="3"/>
  <c r="BF299" i="3"/>
  <c r="BG299" i="3" s="1"/>
  <c r="BD300" i="3"/>
  <c r="BE300" i="3" s="1"/>
  <c r="BB301" i="3"/>
  <c r="AU305" i="3"/>
  <c r="AV305" i="3" s="1"/>
  <c r="AW305" i="3" s="1"/>
  <c r="AX303" i="3"/>
  <c r="AT306" i="3"/>
  <c r="AS307" i="3"/>
  <c r="AR308" i="3"/>
  <c r="CT280" i="3" l="1"/>
  <c r="CP282" i="3"/>
  <c r="CP281" i="3"/>
  <c r="AJ282" i="25"/>
  <c r="AJ281" i="25"/>
  <c r="CL283" i="3"/>
  <c r="CJ284" i="3"/>
  <c r="CH285" i="3"/>
  <c r="CH286" i="3"/>
  <c r="CF287" i="3"/>
  <c r="CA288" i="3"/>
  <c r="CB288" i="3" s="1"/>
  <c r="BZ290" i="3"/>
  <c r="BZ289" i="3"/>
  <c r="BX291" i="3"/>
  <c r="BV292" i="3"/>
  <c r="BT293" i="3"/>
  <c r="BR294" i="3"/>
  <c r="BP295" i="3"/>
  <c r="BN296" i="3"/>
  <c r="BL297" i="3"/>
  <c r="BJ298" i="3"/>
  <c r="BK298" i="3" s="1"/>
  <c r="BJ302" i="3"/>
  <c r="BH299" i="3"/>
  <c r="BF300" i="3"/>
  <c r="BG300" i="3" s="1"/>
  <c r="BD301" i="3"/>
  <c r="AZ303" i="3"/>
  <c r="AU306" i="3"/>
  <c r="AV306" i="3" s="1"/>
  <c r="AX304" i="3"/>
  <c r="AT307" i="3"/>
  <c r="AS308" i="3"/>
  <c r="AR309" i="3"/>
  <c r="CT282" i="3" l="1"/>
  <c r="CT281" i="3"/>
  <c r="CN283" i="3"/>
  <c r="CO283" i="3" s="1"/>
  <c r="CL284" i="3"/>
  <c r="CJ285" i="3"/>
  <c r="CJ286" i="3"/>
  <c r="CH287" i="3"/>
  <c r="CD288" i="3"/>
  <c r="CA290" i="3"/>
  <c r="CB290" i="3" s="1"/>
  <c r="CD290" i="3" s="1"/>
  <c r="CB289" i="3"/>
  <c r="CD289" i="3" s="1"/>
  <c r="BZ291" i="3"/>
  <c r="BX292" i="3"/>
  <c r="BV293" i="3"/>
  <c r="BT294" i="3"/>
  <c r="BR295" i="3"/>
  <c r="BS295" i="3" s="1"/>
  <c r="BP296" i="3"/>
  <c r="BN297" i="3"/>
  <c r="BL302" i="3"/>
  <c r="BL298" i="3"/>
  <c r="BJ299" i="3"/>
  <c r="BK299" i="3" s="1"/>
  <c r="BH300" i="3"/>
  <c r="BF301" i="3"/>
  <c r="BB303" i="3"/>
  <c r="AZ304" i="3"/>
  <c r="AU307" i="3"/>
  <c r="AV307" i="3" s="1"/>
  <c r="AW307" i="3" s="1"/>
  <c r="AX305" i="3"/>
  <c r="AT308" i="3"/>
  <c r="AS309" i="3"/>
  <c r="AR310" i="3"/>
  <c r="CP283" i="3" l="1"/>
  <c r="AJ283" i="25"/>
  <c r="CN284" i="3"/>
  <c r="CO284" i="3" s="1"/>
  <c r="CL286" i="3"/>
  <c r="CL285" i="3"/>
  <c r="CJ287" i="3"/>
  <c r="CF289" i="3"/>
  <c r="CF288" i="3"/>
  <c r="CE290" i="3"/>
  <c r="CF290" i="3" s="1"/>
  <c r="CG290" i="3" s="1"/>
  <c r="CB291" i="3"/>
  <c r="CD291" i="3" s="1"/>
  <c r="BZ292" i="3"/>
  <c r="BX293" i="3"/>
  <c r="BV294" i="3"/>
  <c r="BT295" i="3"/>
  <c r="BR296" i="3"/>
  <c r="BP297" i="3"/>
  <c r="BN302" i="3"/>
  <c r="BN298" i="3"/>
  <c r="BL299" i="3"/>
  <c r="BJ300" i="3"/>
  <c r="BK300" i="3" s="1"/>
  <c r="BH301" i="3"/>
  <c r="BD303" i="3"/>
  <c r="BE303" i="3" s="1"/>
  <c r="BB304" i="3"/>
  <c r="AZ305" i="3"/>
  <c r="AU308" i="3"/>
  <c r="AV308" i="3" s="1"/>
  <c r="AX306" i="3"/>
  <c r="AT309" i="3"/>
  <c r="AS310" i="3"/>
  <c r="AR311" i="3"/>
  <c r="CT283" i="3" l="1"/>
  <c r="CP284" i="3"/>
  <c r="AJ284" i="25"/>
  <c r="CN285" i="3"/>
  <c r="CO285" i="3" s="1"/>
  <c r="CN286" i="3"/>
  <c r="CO286" i="3" s="1"/>
  <c r="CL287" i="3"/>
  <c r="CH290" i="3"/>
  <c r="CI290" i="3" s="1"/>
  <c r="CH288" i="3"/>
  <c r="CH289" i="3"/>
  <c r="CF291" i="3"/>
  <c r="CB292" i="3"/>
  <c r="CD292" i="3" s="1"/>
  <c r="BZ293" i="3"/>
  <c r="BX294" i="3"/>
  <c r="BV295" i="3"/>
  <c r="BW295" i="3" s="1"/>
  <c r="BT296" i="3"/>
  <c r="BR297" i="3"/>
  <c r="BP298" i="3"/>
  <c r="BP302" i="3"/>
  <c r="BN299" i="3"/>
  <c r="BO299" i="3" s="1"/>
  <c r="BL300" i="3"/>
  <c r="BJ301" i="3"/>
  <c r="BF303" i="3"/>
  <c r="BG303" i="3" s="1"/>
  <c r="BD304" i="3"/>
  <c r="BE304" i="3" s="1"/>
  <c r="BA305" i="3"/>
  <c r="BB305" i="3" s="1"/>
  <c r="AZ306" i="3"/>
  <c r="AU309" i="3"/>
  <c r="AV309" i="3" s="1"/>
  <c r="AX307" i="3"/>
  <c r="AT310" i="3"/>
  <c r="AS311" i="3"/>
  <c r="AR312" i="3"/>
  <c r="CT284" i="3" l="1"/>
  <c r="CP286" i="3"/>
  <c r="CP285" i="3"/>
  <c r="AJ285" i="25"/>
  <c r="AJ286" i="25"/>
  <c r="CN287" i="3"/>
  <c r="CO287" i="3" s="1"/>
  <c r="CJ289" i="3"/>
  <c r="CJ288" i="3"/>
  <c r="CJ290" i="3"/>
  <c r="CH291" i="3"/>
  <c r="CF292" i="3"/>
  <c r="CA293" i="3"/>
  <c r="CB293" i="3" s="1"/>
  <c r="BZ294" i="3"/>
  <c r="BX295" i="3"/>
  <c r="BV296" i="3"/>
  <c r="BT297" i="3"/>
  <c r="BR298" i="3"/>
  <c r="BS298" i="3" s="1"/>
  <c r="BR302" i="3"/>
  <c r="BP299" i="3"/>
  <c r="BN300" i="3"/>
  <c r="BL301" i="3"/>
  <c r="BH303" i="3"/>
  <c r="BF304" i="3"/>
  <c r="BG304" i="3" s="1"/>
  <c r="BD305" i="3"/>
  <c r="BE305" i="3" s="1"/>
  <c r="BB306" i="3"/>
  <c r="AZ307" i="3"/>
  <c r="AV310" i="3"/>
  <c r="AX310" i="3" s="1"/>
  <c r="AX308" i="3"/>
  <c r="AW309" i="3"/>
  <c r="AT311" i="3"/>
  <c r="AS312" i="3"/>
  <c r="AR313" i="3"/>
  <c r="CT285" i="3" l="1"/>
  <c r="CT286" i="3"/>
  <c r="CP287" i="3"/>
  <c r="AJ287" i="25"/>
  <c r="CL290" i="3"/>
  <c r="CL288" i="3"/>
  <c r="CL289" i="3"/>
  <c r="CJ291" i="3"/>
  <c r="CH292" i="3"/>
  <c r="CD293" i="3"/>
  <c r="CE293" i="3" s="1"/>
  <c r="CA294" i="3"/>
  <c r="CB294" i="3" s="1"/>
  <c r="BZ295" i="3"/>
  <c r="BX296" i="3"/>
  <c r="BV297" i="3"/>
  <c r="BT302" i="3"/>
  <c r="BT298" i="3"/>
  <c r="BR299" i="3"/>
  <c r="BS299" i="3" s="1"/>
  <c r="BP300" i="3"/>
  <c r="BN301" i="3"/>
  <c r="BJ303" i="3"/>
  <c r="BK303" i="3" s="1"/>
  <c r="BH304" i="3"/>
  <c r="BF305" i="3"/>
  <c r="BG305" i="3" s="1"/>
  <c r="BD306" i="3"/>
  <c r="BA307" i="3"/>
  <c r="BB307" i="3" s="1"/>
  <c r="AZ308" i="3"/>
  <c r="AZ310" i="3"/>
  <c r="AU311" i="3"/>
  <c r="AV311" i="3" s="1"/>
  <c r="AX309" i="3"/>
  <c r="AY309" i="3" s="1"/>
  <c r="AT312" i="3"/>
  <c r="AS313" i="3"/>
  <c r="AR314" i="3"/>
  <c r="CT287" i="3" l="1"/>
  <c r="CN288" i="3"/>
  <c r="CO288" i="3" s="1"/>
  <c r="AJ288" i="25" s="1"/>
  <c r="CN290" i="3"/>
  <c r="CO290" i="3" s="1"/>
  <c r="CN289" i="3"/>
  <c r="CO289" i="3" s="1"/>
  <c r="AJ289" i="25" s="1"/>
  <c r="CL291" i="3"/>
  <c r="CJ292" i="3"/>
  <c r="CF293" i="3"/>
  <c r="CG293" i="3" s="1"/>
  <c r="CD294" i="3"/>
  <c r="CA295" i="3"/>
  <c r="CB295" i="3" s="1"/>
  <c r="BZ296" i="3"/>
  <c r="BX297" i="3"/>
  <c r="BV302" i="3"/>
  <c r="BV298" i="3"/>
  <c r="BT299" i="3"/>
  <c r="BR300" i="3"/>
  <c r="BP301" i="3"/>
  <c r="BL303" i="3"/>
  <c r="BJ304" i="3"/>
  <c r="BK304" i="3" s="1"/>
  <c r="BH305" i="3"/>
  <c r="BF306" i="3"/>
  <c r="BD307" i="3"/>
  <c r="BE307" i="3" s="1"/>
  <c r="BB310" i="3"/>
  <c r="BB308" i="3"/>
  <c r="AZ309" i="3"/>
  <c r="AU312" i="3"/>
  <c r="AV312" i="3" s="1"/>
  <c r="AW312" i="3" s="1"/>
  <c r="AT313" i="3"/>
  <c r="AS314" i="3"/>
  <c r="AR315" i="3"/>
  <c r="CP289" i="3" l="1"/>
  <c r="CP290" i="3"/>
  <c r="CP288" i="3"/>
  <c r="AJ290" i="25"/>
  <c r="CN291" i="3"/>
  <c r="CO291" i="3" s="1"/>
  <c r="CL292" i="3"/>
  <c r="CH293" i="3"/>
  <c r="CI293" i="3" s="1"/>
  <c r="CF294" i="3"/>
  <c r="CG294" i="3" s="1"/>
  <c r="CD295" i="3"/>
  <c r="CB296" i="3"/>
  <c r="CD296" i="3" s="1"/>
  <c r="BZ297" i="3"/>
  <c r="BX298" i="3"/>
  <c r="BX302" i="3"/>
  <c r="BV299" i="3"/>
  <c r="BW299" i="3" s="1"/>
  <c r="BT300" i="3"/>
  <c r="BR301" i="3"/>
  <c r="BN303" i="3"/>
  <c r="BO303" i="3" s="1"/>
  <c r="BL304" i="3"/>
  <c r="BJ305" i="3"/>
  <c r="BK305" i="3" s="1"/>
  <c r="BH306" i="3"/>
  <c r="BF307" i="3"/>
  <c r="BG307" i="3" s="1"/>
  <c r="BD308" i="3"/>
  <c r="BE308" i="3" s="1"/>
  <c r="BD310" i="3"/>
  <c r="BB309" i="3"/>
  <c r="AU313" i="3"/>
  <c r="AV313" i="3" s="1"/>
  <c r="AX311" i="3"/>
  <c r="AT314" i="3"/>
  <c r="AU314" i="3" s="1"/>
  <c r="AS315" i="3"/>
  <c r="AR316" i="3"/>
  <c r="CT288" i="3" l="1"/>
  <c r="CT290" i="3"/>
  <c r="CT289" i="3"/>
  <c r="CP291" i="3"/>
  <c r="AJ291" i="25"/>
  <c r="CN292" i="3"/>
  <c r="CO292" i="3" s="1"/>
  <c r="CJ293" i="3"/>
  <c r="CH294" i="3"/>
  <c r="CI294" i="3" s="1"/>
  <c r="CF296" i="3"/>
  <c r="CF295" i="3"/>
  <c r="CG295" i="3" s="1"/>
  <c r="CB297" i="3"/>
  <c r="CD297" i="3" s="1"/>
  <c r="BZ302" i="3"/>
  <c r="BZ298" i="3"/>
  <c r="BX299" i="3"/>
  <c r="BV300" i="3"/>
  <c r="BT301" i="3"/>
  <c r="BP303" i="3"/>
  <c r="BN304" i="3"/>
  <c r="BO304" i="3" s="1"/>
  <c r="BL305" i="3"/>
  <c r="BJ306" i="3"/>
  <c r="BH307" i="3"/>
  <c r="BF310" i="3"/>
  <c r="BF308" i="3"/>
  <c r="BG308" i="3" s="1"/>
  <c r="BD309" i="3"/>
  <c r="AZ311" i="3"/>
  <c r="AV314" i="3"/>
  <c r="AW314" i="3" s="1"/>
  <c r="AX312" i="3"/>
  <c r="AT315" i="3"/>
  <c r="AS316" i="3"/>
  <c r="AR317" i="3"/>
  <c r="CT291" i="3" l="1"/>
  <c r="CP292" i="3"/>
  <c r="AJ292" i="25"/>
  <c r="CL293" i="3"/>
  <c r="CJ294" i="3"/>
  <c r="CH295" i="3"/>
  <c r="CI295" i="3" s="1"/>
  <c r="CH296" i="3"/>
  <c r="CF297" i="3"/>
  <c r="CA298" i="3"/>
  <c r="CB298" i="3" s="1"/>
  <c r="CB302" i="3"/>
  <c r="CD302" i="3" s="1"/>
  <c r="BZ299" i="3"/>
  <c r="BX300" i="3"/>
  <c r="BV301" i="3"/>
  <c r="BR303" i="3"/>
  <c r="BS303" i="3" s="1"/>
  <c r="BP304" i="3"/>
  <c r="BN305" i="3"/>
  <c r="BL306" i="3"/>
  <c r="BJ307" i="3"/>
  <c r="BK307" i="3" s="1"/>
  <c r="BH308" i="3"/>
  <c r="BH310" i="3"/>
  <c r="BF309" i="3"/>
  <c r="BB311" i="3"/>
  <c r="AZ312" i="3"/>
  <c r="AU315" i="3"/>
  <c r="AV315" i="3" s="1"/>
  <c r="AX313" i="3"/>
  <c r="AT316" i="3"/>
  <c r="AS317" i="3"/>
  <c r="AR318" i="3"/>
  <c r="CT292" i="3" l="1"/>
  <c r="CN293" i="3"/>
  <c r="CO293" i="3" s="1"/>
  <c r="CL294" i="3"/>
  <c r="CJ296" i="3"/>
  <c r="CJ295" i="3"/>
  <c r="CH297" i="3"/>
  <c r="CF302" i="3"/>
  <c r="CD298" i="3"/>
  <c r="CB299" i="3"/>
  <c r="CD299" i="3" s="1"/>
  <c r="BZ300" i="3"/>
  <c r="BX301" i="3"/>
  <c r="BT303" i="3"/>
  <c r="BR304" i="3"/>
  <c r="BP305" i="3"/>
  <c r="BN306" i="3"/>
  <c r="BL307" i="3"/>
  <c r="BJ308" i="3"/>
  <c r="BK308" i="3" s="1"/>
  <c r="BJ310" i="3"/>
  <c r="BH309" i="3"/>
  <c r="BD311" i="3"/>
  <c r="BE311" i="3" s="1"/>
  <c r="BA312" i="3"/>
  <c r="BB312" i="3" s="1"/>
  <c r="AZ313" i="3"/>
  <c r="AU316" i="3"/>
  <c r="AV316" i="3" s="1"/>
  <c r="AX314" i="3"/>
  <c r="AT317" i="3"/>
  <c r="AS318" i="3"/>
  <c r="AR319" i="3"/>
  <c r="AJ293" i="25" l="1"/>
  <c r="CP293" i="3"/>
  <c r="CN294" i="3"/>
  <c r="CO294" i="3" s="1"/>
  <c r="CL295" i="3"/>
  <c r="CL296" i="3"/>
  <c r="CJ297" i="3"/>
  <c r="CH302" i="3"/>
  <c r="CF298" i="3"/>
  <c r="CG298" i="3" s="1"/>
  <c r="CF299" i="3"/>
  <c r="CA300" i="3"/>
  <c r="CB300" i="3" s="1"/>
  <c r="BZ301" i="3"/>
  <c r="BV303" i="3"/>
  <c r="BT304" i="3"/>
  <c r="BR305" i="3"/>
  <c r="BS305" i="3" s="1"/>
  <c r="BP306" i="3"/>
  <c r="BN307" i="3"/>
  <c r="BL308" i="3"/>
  <c r="BL310" i="3"/>
  <c r="BJ309" i="3"/>
  <c r="BF311" i="3"/>
  <c r="BG311" i="3" s="1"/>
  <c r="BD312" i="3"/>
  <c r="BE312" i="3" s="1"/>
  <c r="BB313" i="3"/>
  <c r="AZ314" i="3"/>
  <c r="AU317" i="3"/>
  <c r="AV317" i="3" s="1"/>
  <c r="AX315" i="3"/>
  <c r="AW316" i="3"/>
  <c r="AT318" i="3"/>
  <c r="AS319" i="3"/>
  <c r="AR320" i="3"/>
  <c r="CT293" i="3" l="1"/>
  <c r="CP294" i="3"/>
  <c r="AJ294" i="25"/>
  <c r="CN295" i="3"/>
  <c r="CO295" i="3" s="1"/>
  <c r="CN296" i="3"/>
  <c r="CO296" i="3" s="1"/>
  <c r="CL297" i="3"/>
  <c r="CJ302" i="3"/>
  <c r="CH299" i="3"/>
  <c r="CH298" i="3"/>
  <c r="CI298" i="3" s="1"/>
  <c r="CD300" i="3"/>
  <c r="CE300" i="3" s="1"/>
  <c r="CB301" i="3"/>
  <c r="CD301" i="3" s="1"/>
  <c r="BX303" i="3"/>
  <c r="BV304" i="3"/>
  <c r="BT305" i="3"/>
  <c r="BR306" i="3"/>
  <c r="BP307" i="3"/>
  <c r="BN310" i="3"/>
  <c r="BN308" i="3"/>
  <c r="BO308" i="3" s="1"/>
  <c r="BL309" i="3"/>
  <c r="BH311" i="3"/>
  <c r="BF312" i="3"/>
  <c r="BG312" i="3" s="1"/>
  <c r="BD313" i="3"/>
  <c r="BE313" i="3" s="1"/>
  <c r="BB314" i="3"/>
  <c r="AZ315" i="3"/>
  <c r="AU318" i="3"/>
  <c r="AV318" i="3" s="1"/>
  <c r="AX316" i="3"/>
  <c r="AY316" i="3" s="1"/>
  <c r="AT319" i="3"/>
  <c r="AS320" i="3"/>
  <c r="AR321" i="3"/>
  <c r="CT294" i="3" l="1"/>
  <c r="CP296" i="3"/>
  <c r="CP295" i="3"/>
  <c r="AJ296" i="25"/>
  <c r="AJ295" i="25"/>
  <c r="CN297" i="3"/>
  <c r="CO297" i="3" s="1"/>
  <c r="CL302" i="3"/>
  <c r="CJ299" i="3"/>
  <c r="CJ298" i="3"/>
  <c r="CF301" i="3"/>
  <c r="CF300" i="3"/>
  <c r="CG300" i="3" s="1"/>
  <c r="BZ303" i="3"/>
  <c r="BX304" i="3"/>
  <c r="BV305" i="3"/>
  <c r="BT306" i="3"/>
  <c r="BR307" i="3"/>
  <c r="BP310" i="3"/>
  <c r="BP308" i="3"/>
  <c r="BN309" i="3"/>
  <c r="BJ311" i="3"/>
  <c r="BK311" i="3" s="1"/>
  <c r="BH312" i="3"/>
  <c r="BF313" i="3"/>
  <c r="BG313" i="3" s="1"/>
  <c r="BD314" i="3"/>
  <c r="BB315" i="3"/>
  <c r="AZ316" i="3"/>
  <c r="AU319" i="3"/>
  <c r="AV319" i="3" s="1"/>
  <c r="AW319" i="3" s="1"/>
  <c r="AX317" i="3"/>
  <c r="AT320" i="3"/>
  <c r="AS321" i="3"/>
  <c r="AR322" i="3"/>
  <c r="CT296" i="3" l="1"/>
  <c r="CT295" i="3"/>
  <c r="CP297" i="3"/>
  <c r="AJ297" i="25"/>
  <c r="CN302" i="3"/>
  <c r="CO302" i="3" s="1"/>
  <c r="CL298" i="3"/>
  <c r="CL299" i="3"/>
  <c r="CH300" i="3"/>
  <c r="CI300" i="3" s="1"/>
  <c r="CH301" i="3"/>
  <c r="CA303" i="3"/>
  <c r="CB303" i="3" s="1"/>
  <c r="CD303" i="3" s="1"/>
  <c r="BZ304" i="3"/>
  <c r="BX305" i="3"/>
  <c r="BV306" i="3"/>
  <c r="BT307" i="3"/>
  <c r="BR310" i="3"/>
  <c r="BR308" i="3"/>
  <c r="BP309" i="3"/>
  <c r="BL311" i="3"/>
  <c r="BJ312" i="3"/>
  <c r="BK312" i="3" s="1"/>
  <c r="BH313" i="3"/>
  <c r="BF314" i="3"/>
  <c r="BD315" i="3"/>
  <c r="BE315" i="3" s="1"/>
  <c r="BB316" i="3"/>
  <c r="AZ317" i="3"/>
  <c r="AU320" i="3"/>
  <c r="AV320" i="3" s="1"/>
  <c r="AX318" i="3"/>
  <c r="AT321" i="3"/>
  <c r="AS322" i="3"/>
  <c r="AR323" i="3"/>
  <c r="CT297" i="3" l="1"/>
  <c r="CP302" i="3"/>
  <c r="AJ302" i="25"/>
  <c r="CN299" i="3"/>
  <c r="CO299" i="3" s="1"/>
  <c r="CN298" i="3"/>
  <c r="CO298" i="3" s="1"/>
  <c r="CJ301" i="3"/>
  <c r="CJ300" i="3"/>
  <c r="CE303" i="3"/>
  <c r="CF303" i="3" s="1"/>
  <c r="CG303" i="3" s="1"/>
  <c r="CA304" i="3"/>
  <c r="CB304" i="3" s="1"/>
  <c r="CD304" i="3" s="1"/>
  <c r="BZ305" i="3"/>
  <c r="BX306" i="3"/>
  <c r="BV307" i="3"/>
  <c r="BT308" i="3"/>
  <c r="BT310" i="3"/>
  <c r="BR309" i="3"/>
  <c r="BN311" i="3"/>
  <c r="BO311" i="3" s="1"/>
  <c r="BL312" i="3"/>
  <c r="BJ313" i="3"/>
  <c r="BK313" i="3" s="1"/>
  <c r="BH314" i="3"/>
  <c r="BF315" i="3"/>
  <c r="BG315" i="3" s="1"/>
  <c r="BD316" i="3"/>
  <c r="BE316" i="3" s="1"/>
  <c r="BB317" i="3"/>
  <c r="AZ318" i="3"/>
  <c r="AU321" i="3"/>
  <c r="AV321" i="3" s="1"/>
  <c r="AW321" i="3" s="1"/>
  <c r="AX319" i="3"/>
  <c r="AT322" i="3"/>
  <c r="AS323" i="3"/>
  <c r="AR324" i="3"/>
  <c r="AR325" i="3"/>
  <c r="CT302" i="3" l="1"/>
  <c r="AJ298" i="25"/>
  <c r="CP299" i="3"/>
  <c r="CP298" i="3"/>
  <c r="AJ299" i="25"/>
  <c r="CL300" i="3"/>
  <c r="CL301" i="3"/>
  <c r="CH303" i="3"/>
  <c r="CI303" i="3" s="1"/>
  <c r="CF304" i="3"/>
  <c r="CB305" i="3"/>
  <c r="CD305" i="3" s="1"/>
  <c r="BZ306" i="3"/>
  <c r="BX307" i="3"/>
  <c r="BV310" i="3"/>
  <c r="BV308" i="3"/>
  <c r="BT309" i="3"/>
  <c r="BP311" i="3"/>
  <c r="BN312" i="3"/>
  <c r="BL313" i="3"/>
  <c r="BJ314" i="3"/>
  <c r="BH315" i="3"/>
  <c r="BF316" i="3"/>
  <c r="BG316" i="3" s="1"/>
  <c r="BD317" i="3"/>
  <c r="BE317" i="3" s="1"/>
  <c r="BB318" i="3"/>
  <c r="AZ319" i="3"/>
  <c r="AU322" i="3"/>
  <c r="AV322" i="3" s="1"/>
  <c r="AX320" i="3"/>
  <c r="AT323" i="3"/>
  <c r="AS324" i="3"/>
  <c r="AS325" i="3"/>
  <c r="AR326" i="3"/>
  <c r="CT298" i="3" l="1"/>
  <c r="CT299" i="3"/>
  <c r="CN301" i="3"/>
  <c r="CO301" i="3" s="1"/>
  <c r="CN300" i="3"/>
  <c r="CO300" i="3" s="1"/>
  <c r="CJ303" i="3"/>
  <c r="CH304" i="3"/>
  <c r="CF305" i="3"/>
  <c r="CB306" i="3"/>
  <c r="CD306" i="3" s="1"/>
  <c r="BZ307" i="3"/>
  <c r="BX308" i="3"/>
  <c r="BX310" i="3"/>
  <c r="BV309" i="3"/>
  <c r="BR311" i="3"/>
  <c r="BP312" i="3"/>
  <c r="BN313" i="3"/>
  <c r="BO313" i="3" s="1"/>
  <c r="BL314" i="3"/>
  <c r="BJ315" i="3"/>
  <c r="BK315" i="3" s="1"/>
  <c r="BH316" i="3"/>
  <c r="BF317" i="3"/>
  <c r="BG317" i="3" s="1"/>
  <c r="BD318" i="3"/>
  <c r="BE318" i="3" s="1"/>
  <c r="BA319" i="3"/>
  <c r="BB319" i="3" s="1"/>
  <c r="AZ320" i="3"/>
  <c r="AU323" i="3"/>
  <c r="AV323" i="3" s="1"/>
  <c r="AX321" i="3"/>
  <c r="AT325" i="3"/>
  <c r="AT324" i="3"/>
  <c r="AS326" i="3"/>
  <c r="AR327" i="3"/>
  <c r="CP300" i="3" l="1"/>
  <c r="CP301" i="3"/>
  <c r="AJ301" i="25"/>
  <c r="AJ300" i="25"/>
  <c r="CL303" i="3"/>
  <c r="CJ304" i="3"/>
  <c r="CH305" i="3"/>
  <c r="CF306" i="3"/>
  <c r="CA307" i="3"/>
  <c r="CB307" i="3" s="1"/>
  <c r="BZ310" i="3"/>
  <c r="BZ308" i="3"/>
  <c r="BX309" i="3"/>
  <c r="BT311" i="3"/>
  <c r="BR312" i="3"/>
  <c r="BS312" i="3" s="1"/>
  <c r="BP313" i="3"/>
  <c r="BN314" i="3"/>
  <c r="BL315" i="3"/>
  <c r="BJ316" i="3"/>
  <c r="BK316" i="3" s="1"/>
  <c r="BH317" i="3"/>
  <c r="BF318" i="3"/>
  <c r="BG318" i="3" s="1"/>
  <c r="BD319" i="3"/>
  <c r="BE319" i="3" s="1"/>
  <c r="BB320" i="3"/>
  <c r="AZ321" i="3"/>
  <c r="AU324" i="3"/>
  <c r="AV324" i="3" s="1"/>
  <c r="AU325" i="3"/>
  <c r="AV325" i="3" s="1"/>
  <c r="AX322" i="3"/>
  <c r="AW323" i="3"/>
  <c r="AT326" i="3"/>
  <c r="AS327" i="3"/>
  <c r="AR328" i="3"/>
  <c r="CT301" i="3" l="1"/>
  <c r="CT300" i="3"/>
  <c r="CN303" i="3"/>
  <c r="CO303" i="3" s="1"/>
  <c r="CL304" i="3"/>
  <c r="CJ305" i="3"/>
  <c r="CH306" i="3"/>
  <c r="CD307" i="3"/>
  <c r="CE307" i="3" s="1"/>
  <c r="CA308" i="3"/>
  <c r="CB308" i="3" s="1"/>
  <c r="CD308" i="3" s="1"/>
  <c r="CB310" i="3"/>
  <c r="CD310" i="3" s="1"/>
  <c r="BZ309" i="3"/>
  <c r="BV311" i="3"/>
  <c r="BT312" i="3"/>
  <c r="BR313" i="3"/>
  <c r="BS313" i="3" s="1"/>
  <c r="BP314" i="3"/>
  <c r="BN315" i="3"/>
  <c r="BO315" i="3" s="1"/>
  <c r="BL316" i="3"/>
  <c r="BJ317" i="3"/>
  <c r="BK317" i="3" s="1"/>
  <c r="BH318" i="3"/>
  <c r="BF319" i="3"/>
  <c r="BG319" i="3" s="1"/>
  <c r="BD320" i="3"/>
  <c r="BE320" i="3" s="1"/>
  <c r="BA321" i="3"/>
  <c r="BB321" i="3" s="1"/>
  <c r="AZ322" i="3"/>
  <c r="AU326" i="3"/>
  <c r="AV326" i="3" s="1"/>
  <c r="AW326" i="3" s="1"/>
  <c r="AX323" i="3"/>
  <c r="AY323" i="3" s="1"/>
  <c r="AT327" i="3"/>
  <c r="AS328" i="3"/>
  <c r="AR329" i="3"/>
  <c r="CP303" i="3" l="1"/>
  <c r="AJ303" i="25"/>
  <c r="CN304" i="3"/>
  <c r="CO304" i="3" s="1"/>
  <c r="CL305" i="3"/>
  <c r="CJ306" i="3"/>
  <c r="CF310" i="3"/>
  <c r="CF308" i="3"/>
  <c r="CG308" i="3" s="1"/>
  <c r="CF307" i="3"/>
  <c r="CG307" i="3" s="1"/>
  <c r="CB309" i="3"/>
  <c r="CD309" i="3" s="1"/>
  <c r="BX311" i="3"/>
  <c r="BV312" i="3"/>
  <c r="BT313" i="3"/>
  <c r="BR314" i="3"/>
  <c r="BP315" i="3"/>
  <c r="BN316" i="3"/>
  <c r="BL317" i="3"/>
  <c r="BJ318" i="3"/>
  <c r="BK318" i="3" s="1"/>
  <c r="BH319" i="3"/>
  <c r="BF320" i="3"/>
  <c r="BG320" i="3" s="1"/>
  <c r="BD321" i="3"/>
  <c r="BE321" i="3" s="1"/>
  <c r="BB322" i="3"/>
  <c r="AZ323" i="3"/>
  <c r="AU327" i="3"/>
  <c r="AV327" i="3" s="1"/>
  <c r="AX325" i="3"/>
  <c r="AX324" i="3"/>
  <c r="AT328" i="3"/>
  <c r="AS329" i="3"/>
  <c r="AR330" i="3"/>
  <c r="CT303" i="3" l="1"/>
  <c r="CP304" i="3"/>
  <c r="AJ304" i="25"/>
  <c r="CN305" i="3"/>
  <c r="CO305" i="3" s="1"/>
  <c r="CL306" i="3"/>
  <c r="CH307" i="3"/>
  <c r="CI307" i="3" s="1"/>
  <c r="CH308" i="3"/>
  <c r="CH310" i="3"/>
  <c r="CF309" i="3"/>
  <c r="BZ311" i="3"/>
  <c r="BX312" i="3"/>
  <c r="BV313" i="3"/>
  <c r="BT314" i="3"/>
  <c r="BR315" i="3"/>
  <c r="BP316" i="3"/>
  <c r="BN317" i="3"/>
  <c r="BO317" i="3" s="1"/>
  <c r="BL318" i="3"/>
  <c r="BJ319" i="3"/>
  <c r="BK319" i="3" s="1"/>
  <c r="BH320" i="3"/>
  <c r="BF321" i="3"/>
  <c r="BG321" i="3" s="1"/>
  <c r="BD322" i="3"/>
  <c r="BE322" i="3" s="1"/>
  <c r="BB323" i="3"/>
  <c r="AZ325" i="3"/>
  <c r="AZ324" i="3"/>
  <c r="AU328" i="3"/>
  <c r="AV328" i="3" s="1"/>
  <c r="AW328" i="3" s="1"/>
  <c r="AX326" i="3"/>
  <c r="AT329" i="3"/>
  <c r="AS330" i="3"/>
  <c r="AR331" i="3"/>
  <c r="CT304" i="3" l="1"/>
  <c r="CP305" i="3"/>
  <c r="AJ305" i="25"/>
  <c r="CN306" i="3"/>
  <c r="CO306" i="3" s="1"/>
  <c r="CJ310" i="3"/>
  <c r="CJ308" i="3"/>
  <c r="CJ307" i="3"/>
  <c r="CH309" i="3"/>
  <c r="CA311" i="3"/>
  <c r="CB311" i="3" s="1"/>
  <c r="CD311" i="3" s="1"/>
  <c r="BZ312" i="3"/>
  <c r="BX313" i="3"/>
  <c r="BV314" i="3"/>
  <c r="BT315" i="3"/>
  <c r="BR316" i="3"/>
  <c r="BS316" i="3" s="1"/>
  <c r="BP317" i="3"/>
  <c r="BN318" i="3"/>
  <c r="BO318" i="3" s="1"/>
  <c r="BL319" i="3"/>
  <c r="BJ320" i="3"/>
  <c r="BK320" i="3" s="1"/>
  <c r="BH321" i="3"/>
  <c r="BF322" i="3"/>
  <c r="BG322" i="3" s="1"/>
  <c r="BD323" i="3"/>
  <c r="BE323" i="3" s="1"/>
  <c r="BB324" i="3"/>
  <c r="BB325" i="3"/>
  <c r="AZ326" i="3"/>
  <c r="AU329" i="3"/>
  <c r="AV329" i="3" s="1"/>
  <c r="AX327" i="3"/>
  <c r="AT330" i="3"/>
  <c r="AS331" i="3"/>
  <c r="AR332" i="3"/>
  <c r="CT305" i="3" l="1"/>
  <c r="CP306" i="3"/>
  <c r="AJ306" i="25"/>
  <c r="CL307" i="3"/>
  <c r="CL308" i="3"/>
  <c r="CL310" i="3"/>
  <c r="CJ309" i="3"/>
  <c r="CE311" i="3"/>
  <c r="CF311" i="3" s="1"/>
  <c r="CG311" i="3" s="1"/>
  <c r="CA312" i="3"/>
  <c r="CB312" i="3" s="1"/>
  <c r="CD312" i="3" s="1"/>
  <c r="BZ313" i="3"/>
  <c r="BX314" i="3"/>
  <c r="BV315" i="3"/>
  <c r="BT316" i="3"/>
  <c r="BR317" i="3"/>
  <c r="BS317" i="3" s="1"/>
  <c r="BP318" i="3"/>
  <c r="BN319" i="3"/>
  <c r="BL320" i="3"/>
  <c r="BJ321" i="3"/>
  <c r="BK321" i="3" s="1"/>
  <c r="BH322" i="3"/>
  <c r="BF323" i="3"/>
  <c r="BG323" i="3" s="1"/>
  <c r="BD324" i="3"/>
  <c r="BE324" i="3" s="1"/>
  <c r="BD325" i="3"/>
  <c r="BE325" i="3" s="1"/>
  <c r="BA326" i="3"/>
  <c r="BB326" i="3" s="1"/>
  <c r="AZ327" i="3"/>
  <c r="AU330" i="3"/>
  <c r="AV330" i="3" s="1"/>
  <c r="AX328" i="3"/>
  <c r="AT331" i="3"/>
  <c r="AS332" i="3"/>
  <c r="AR333" i="3"/>
  <c r="CT306" i="3" l="1"/>
  <c r="CN308" i="3"/>
  <c r="CO308" i="3" s="1"/>
  <c r="CN307" i="3"/>
  <c r="CO307" i="3" s="1"/>
  <c r="CN310" i="3"/>
  <c r="CO310" i="3" s="1"/>
  <c r="CL309" i="3"/>
  <c r="CH311" i="3"/>
  <c r="CI311" i="3" s="1"/>
  <c r="CF312" i="3"/>
  <c r="CG312" i="3" s="1"/>
  <c r="CB313" i="3"/>
  <c r="CD313" i="3" s="1"/>
  <c r="BZ314" i="3"/>
  <c r="BX315" i="3"/>
  <c r="BV316" i="3"/>
  <c r="BW316" i="3" s="1"/>
  <c r="BT317" i="3"/>
  <c r="BR318" i="3"/>
  <c r="BP319" i="3"/>
  <c r="BN320" i="3"/>
  <c r="BO320" i="3" s="1"/>
  <c r="BL321" i="3"/>
  <c r="BJ322" i="3"/>
  <c r="BK322" i="3" s="1"/>
  <c r="BH323" i="3"/>
  <c r="BF325" i="3"/>
  <c r="BG325" i="3" s="1"/>
  <c r="BF324" i="3"/>
  <c r="BG324" i="3" s="1"/>
  <c r="BD326" i="3"/>
  <c r="BE326" i="3" s="1"/>
  <c r="BB327" i="3"/>
  <c r="AZ328" i="3"/>
  <c r="AU331" i="3"/>
  <c r="AV331" i="3" s="1"/>
  <c r="AX329" i="3"/>
  <c r="AW330" i="3"/>
  <c r="AT332" i="3"/>
  <c r="AS333" i="3"/>
  <c r="AR334" i="3"/>
  <c r="AJ310" i="25" l="1"/>
  <c r="CP307" i="3"/>
  <c r="CP308" i="3"/>
  <c r="AJ308" i="25"/>
  <c r="AJ307" i="25"/>
  <c r="CN309" i="3"/>
  <c r="CO309" i="3" s="1"/>
  <c r="CP310" i="3"/>
  <c r="CJ311" i="3"/>
  <c r="CH312" i="3"/>
  <c r="CI312" i="3" s="1"/>
  <c r="CF313" i="3"/>
  <c r="CB314" i="3"/>
  <c r="CD314" i="3" s="1"/>
  <c r="BZ315" i="3"/>
  <c r="BX316" i="3"/>
  <c r="BV317" i="3"/>
  <c r="BT318" i="3"/>
  <c r="BR319" i="3"/>
  <c r="BP320" i="3"/>
  <c r="BN321" i="3"/>
  <c r="BL322" i="3"/>
  <c r="BJ323" i="3"/>
  <c r="BK323" i="3" s="1"/>
  <c r="BH325" i="3"/>
  <c r="BH324" i="3"/>
  <c r="BF326" i="3"/>
  <c r="BG326" i="3" s="1"/>
  <c r="BD327" i="3"/>
  <c r="BE327" i="3" s="1"/>
  <c r="BA328" i="3"/>
  <c r="BB328" i="3" s="1"/>
  <c r="AZ329" i="3"/>
  <c r="AU332" i="3"/>
  <c r="AV332" i="3" s="1"/>
  <c r="AX330" i="3"/>
  <c r="AY330" i="3" s="1"/>
  <c r="AT333" i="3"/>
  <c r="AS334" i="3"/>
  <c r="AR335" i="3"/>
  <c r="CT310" i="3" l="1"/>
  <c r="CT308" i="3"/>
  <c r="CT307" i="3"/>
  <c r="CP309" i="3"/>
  <c r="AJ309" i="25"/>
  <c r="CL311" i="3"/>
  <c r="CJ312" i="3"/>
  <c r="CH313" i="3"/>
  <c r="CF314" i="3"/>
  <c r="CA315" i="3"/>
  <c r="CB315" i="3" s="1"/>
  <c r="CD315" i="3" s="1"/>
  <c r="BZ316" i="3"/>
  <c r="BX317" i="3"/>
  <c r="BV318" i="3"/>
  <c r="BT319" i="3"/>
  <c r="BR320" i="3"/>
  <c r="BS320" i="3" s="1"/>
  <c r="BP321" i="3"/>
  <c r="BN322" i="3"/>
  <c r="BO322" i="3" s="1"/>
  <c r="BL323" i="3"/>
  <c r="BJ325" i="3"/>
  <c r="BK325" i="3" s="1"/>
  <c r="BJ324" i="3"/>
  <c r="BK324" i="3" s="1"/>
  <c r="BH326" i="3"/>
  <c r="BF327" i="3"/>
  <c r="BG327" i="3" s="1"/>
  <c r="BD328" i="3"/>
  <c r="BE328" i="3" s="1"/>
  <c r="BB329" i="3"/>
  <c r="AZ330" i="3"/>
  <c r="AU333" i="3"/>
  <c r="AV333" i="3" s="1"/>
  <c r="AW333" i="3" s="1"/>
  <c r="AX331" i="3"/>
  <c r="AT334" i="3"/>
  <c r="AS335" i="3"/>
  <c r="AR336" i="3"/>
  <c r="CT309" i="3" l="1"/>
  <c r="CN311" i="3"/>
  <c r="CO311" i="3" s="1"/>
  <c r="CL312" i="3"/>
  <c r="CJ313" i="3"/>
  <c r="CH314" i="3"/>
  <c r="CF315" i="3"/>
  <c r="CA316" i="3"/>
  <c r="CB316" i="3" s="1"/>
  <c r="BZ317" i="3"/>
  <c r="BX318" i="3"/>
  <c r="BV319" i="3"/>
  <c r="BT320" i="3"/>
  <c r="BR321" i="3"/>
  <c r="BP322" i="3"/>
  <c r="BN323" i="3"/>
  <c r="BL324" i="3"/>
  <c r="BL325" i="3"/>
  <c r="BJ326" i="3"/>
  <c r="BK326" i="3" s="1"/>
  <c r="BH327" i="3"/>
  <c r="BF328" i="3"/>
  <c r="BG328" i="3" s="1"/>
  <c r="BD329" i="3"/>
  <c r="BB330" i="3"/>
  <c r="AZ331" i="3"/>
  <c r="AV334" i="3"/>
  <c r="AX334" i="3" s="1"/>
  <c r="AX332" i="3"/>
  <c r="AT335" i="3"/>
  <c r="AS336" i="3"/>
  <c r="AR337" i="3"/>
  <c r="CP311" i="3" l="1"/>
  <c r="AJ311" i="25"/>
  <c r="CN312" i="3"/>
  <c r="CO312" i="3" s="1"/>
  <c r="CL313" i="3"/>
  <c r="CJ314" i="3"/>
  <c r="CH315" i="3"/>
  <c r="CD316" i="3"/>
  <c r="CB317" i="3"/>
  <c r="CD317" i="3" s="1"/>
  <c r="BZ318" i="3"/>
  <c r="BX319" i="3"/>
  <c r="BV320" i="3"/>
  <c r="BW320" i="3" s="1"/>
  <c r="BT321" i="3"/>
  <c r="BR322" i="3"/>
  <c r="BP323" i="3"/>
  <c r="BN324" i="3"/>
  <c r="BO324" i="3" s="1"/>
  <c r="BN325" i="3"/>
  <c r="BO325" i="3" s="1"/>
  <c r="BL326" i="3"/>
  <c r="BJ327" i="3"/>
  <c r="BK327" i="3" s="1"/>
  <c r="BH328" i="3"/>
  <c r="BF329" i="3"/>
  <c r="BD330" i="3"/>
  <c r="BE330" i="3" s="1"/>
  <c r="BB331" i="3"/>
  <c r="AZ332" i="3"/>
  <c r="AZ334" i="3"/>
  <c r="AU335" i="3"/>
  <c r="AV335" i="3" s="1"/>
  <c r="AW335" i="3" s="1"/>
  <c r="AX333" i="3"/>
  <c r="AT336" i="3"/>
  <c r="AS337" i="3"/>
  <c r="AR338" i="3"/>
  <c r="CT311" i="3" l="1"/>
  <c r="CP312" i="3"/>
  <c r="AJ312" i="25"/>
  <c r="CN313" i="3"/>
  <c r="CO313" i="3" s="1"/>
  <c r="CL314" i="3"/>
  <c r="CJ315" i="3"/>
  <c r="CF317" i="3"/>
  <c r="CF316" i="3"/>
  <c r="CG316" i="3" s="1"/>
  <c r="CA318" i="3"/>
  <c r="CB318" i="3" s="1"/>
  <c r="CD318" i="3" s="1"/>
  <c r="BZ319" i="3"/>
  <c r="BX320" i="3"/>
  <c r="BY320" i="3" s="1"/>
  <c r="BV321" i="3"/>
  <c r="BT322" i="3"/>
  <c r="BR323" i="3"/>
  <c r="BS323" i="3" s="1"/>
  <c r="BP325" i="3"/>
  <c r="BP324" i="3"/>
  <c r="BN326" i="3"/>
  <c r="BL327" i="3"/>
  <c r="BJ328" i="3"/>
  <c r="BK328" i="3" s="1"/>
  <c r="BH329" i="3"/>
  <c r="BF330" i="3"/>
  <c r="BG330" i="3" s="1"/>
  <c r="BD331" i="3"/>
  <c r="BE331" i="3" s="1"/>
  <c r="BB334" i="3"/>
  <c r="BB332" i="3"/>
  <c r="AZ333" i="3"/>
  <c r="AU336" i="3"/>
  <c r="AV336" i="3" s="1"/>
  <c r="AT337" i="3"/>
  <c r="AS338" i="3"/>
  <c r="AR339" i="3"/>
  <c r="CT312" i="3" l="1"/>
  <c r="CP313" i="3"/>
  <c r="AJ313" i="25"/>
  <c r="CN314" i="3"/>
  <c r="CO314" i="3" s="1"/>
  <c r="CL315" i="3"/>
  <c r="CH316" i="3"/>
  <c r="CI316" i="3" s="1"/>
  <c r="CH317" i="3"/>
  <c r="CF318" i="3"/>
  <c r="CB319" i="3"/>
  <c r="CD319" i="3" s="1"/>
  <c r="BZ320" i="3"/>
  <c r="BX321" i="3"/>
  <c r="BV322" i="3"/>
  <c r="BT323" i="3"/>
  <c r="BR324" i="3"/>
  <c r="BR325" i="3"/>
  <c r="BP326" i="3"/>
  <c r="BN327" i="3"/>
  <c r="BO327" i="3" s="1"/>
  <c r="BL328" i="3"/>
  <c r="BJ329" i="3"/>
  <c r="BH330" i="3"/>
  <c r="BF331" i="3"/>
  <c r="BG331" i="3" s="1"/>
  <c r="BD332" i="3"/>
  <c r="BE332" i="3" s="1"/>
  <c r="BD334" i="3"/>
  <c r="BA333" i="3"/>
  <c r="BB333" i="3" s="1"/>
  <c r="AU337" i="3"/>
  <c r="AV337" i="3" s="1"/>
  <c r="AX335" i="3"/>
  <c r="AT338" i="3"/>
  <c r="AS339" i="3"/>
  <c r="AR340" i="3"/>
  <c r="AR341" i="3"/>
  <c r="CT313" i="3" l="1"/>
  <c r="CP314" i="3"/>
  <c r="AJ314" i="25"/>
  <c r="CN315" i="3"/>
  <c r="CO315" i="3" s="1"/>
  <c r="CJ317" i="3"/>
  <c r="CJ316" i="3"/>
  <c r="CH318" i="3"/>
  <c r="CF319" i="3"/>
  <c r="CA320" i="3"/>
  <c r="CB320" i="3" s="1"/>
  <c r="CD320" i="3" s="1"/>
  <c r="CE320" i="3" s="1"/>
  <c r="BZ321" i="3"/>
  <c r="BX322" i="3"/>
  <c r="BV323" i="3"/>
  <c r="BW323" i="3" s="1"/>
  <c r="BT324" i="3"/>
  <c r="BT325" i="3"/>
  <c r="BR326" i="3"/>
  <c r="BS326" i="3" s="1"/>
  <c r="BP327" i="3"/>
  <c r="BN328" i="3"/>
  <c r="BL329" i="3"/>
  <c r="BJ330" i="3"/>
  <c r="BH331" i="3"/>
  <c r="BF334" i="3"/>
  <c r="BF332" i="3"/>
  <c r="BG332" i="3" s="1"/>
  <c r="BD333" i="3"/>
  <c r="BE333" i="3" s="1"/>
  <c r="AZ335" i="3"/>
  <c r="AU338" i="3"/>
  <c r="AV338" i="3" s="1"/>
  <c r="AX336" i="3"/>
  <c r="AW337" i="3"/>
  <c r="AT339" i="3"/>
  <c r="AS341" i="3"/>
  <c r="AS340" i="3"/>
  <c r="AR342" i="3"/>
  <c r="CT314" i="3" l="1"/>
  <c r="CP315" i="3"/>
  <c r="AJ315" i="25"/>
  <c r="CL316" i="3"/>
  <c r="CL317" i="3"/>
  <c r="CJ318" i="3"/>
  <c r="CH319" i="3"/>
  <c r="CF320" i="3"/>
  <c r="CG320" i="3" s="1"/>
  <c r="CB321" i="3"/>
  <c r="CD321" i="3" s="1"/>
  <c r="BZ322" i="3"/>
  <c r="BX323" i="3"/>
  <c r="BV325" i="3"/>
  <c r="BV324" i="3"/>
  <c r="BT326" i="3"/>
  <c r="BR327" i="3"/>
  <c r="BP328" i="3"/>
  <c r="BN329" i="3"/>
  <c r="BL330" i="3"/>
  <c r="BJ331" i="3"/>
  <c r="BK331" i="3" s="1"/>
  <c r="BH334" i="3"/>
  <c r="BH332" i="3"/>
  <c r="BF333" i="3"/>
  <c r="BG333" i="3" s="1"/>
  <c r="BA335" i="3"/>
  <c r="BB335" i="3" s="1"/>
  <c r="AZ336" i="3"/>
  <c r="AU339" i="3"/>
  <c r="AV339" i="3" s="1"/>
  <c r="AX337" i="3"/>
  <c r="AY337" i="3" s="1"/>
  <c r="AT340" i="3"/>
  <c r="AT341" i="3"/>
  <c r="AS342" i="3"/>
  <c r="AR343" i="3"/>
  <c r="CT315" i="3" l="1"/>
  <c r="CN316" i="3"/>
  <c r="CO316" i="3" s="1"/>
  <c r="CN317" i="3"/>
  <c r="CO317" i="3" s="1"/>
  <c r="CL318" i="3"/>
  <c r="CJ319" i="3"/>
  <c r="CH320" i="3"/>
  <c r="CI320" i="3" s="1"/>
  <c r="CF321" i="3"/>
  <c r="CA322" i="3"/>
  <c r="CB322" i="3" s="1"/>
  <c r="CD322" i="3" s="1"/>
  <c r="BZ323" i="3"/>
  <c r="CA323" i="3" s="1"/>
  <c r="BX324" i="3"/>
  <c r="BX325" i="3"/>
  <c r="BV326" i="3"/>
  <c r="BT327" i="3"/>
  <c r="BR328" i="3"/>
  <c r="BP329" i="3"/>
  <c r="BN330" i="3"/>
  <c r="BL331" i="3"/>
  <c r="BJ332" i="3"/>
  <c r="BK332" i="3" s="1"/>
  <c r="BJ334" i="3"/>
  <c r="BH333" i="3"/>
  <c r="BD335" i="3"/>
  <c r="BE335" i="3" s="1"/>
  <c r="BB336" i="3"/>
  <c r="AZ337" i="3"/>
  <c r="AU341" i="3"/>
  <c r="AV341" i="3" s="1"/>
  <c r="AU340" i="3"/>
  <c r="AV340" i="3" s="1"/>
  <c r="AW340" i="3" s="1"/>
  <c r="AX338" i="3"/>
  <c r="AT342" i="3"/>
  <c r="AS343" i="3"/>
  <c r="AR344" i="3"/>
  <c r="CP317" i="3" l="1"/>
  <c r="CP316" i="3"/>
  <c r="AJ317" i="25"/>
  <c r="AJ316" i="25"/>
  <c r="CN318" i="3"/>
  <c r="CO318" i="3" s="1"/>
  <c r="CL319" i="3"/>
  <c r="CJ320" i="3"/>
  <c r="CH321" i="3"/>
  <c r="CF322" i="3"/>
  <c r="CG322" i="3" s="1"/>
  <c r="CB323" i="3"/>
  <c r="CD323" i="3" s="1"/>
  <c r="BZ325" i="3"/>
  <c r="BZ324" i="3"/>
  <c r="BX326" i="3"/>
  <c r="BV327" i="3"/>
  <c r="BT328" i="3"/>
  <c r="BR329" i="3"/>
  <c r="BP330" i="3"/>
  <c r="BN331" i="3"/>
  <c r="BO331" i="3" s="1"/>
  <c r="BL334" i="3"/>
  <c r="BL332" i="3"/>
  <c r="BJ333" i="3"/>
  <c r="BK333" i="3" s="1"/>
  <c r="BF335" i="3"/>
  <c r="BG335" i="3" s="1"/>
  <c r="BD336" i="3"/>
  <c r="BE336" i="3" s="1"/>
  <c r="BB337" i="3"/>
  <c r="AZ338" i="3"/>
  <c r="AU342" i="3"/>
  <c r="AV342" i="3" s="1"/>
  <c r="AW342" i="3" s="1"/>
  <c r="AX339" i="3"/>
  <c r="AT343" i="3"/>
  <c r="AS344" i="3"/>
  <c r="AR345" i="3"/>
  <c r="CT317" i="3" l="1"/>
  <c r="CT316" i="3"/>
  <c r="CP318" i="3"/>
  <c r="AJ318" i="25"/>
  <c r="CN319" i="3"/>
  <c r="CO319" i="3" s="1"/>
  <c r="CL320" i="3"/>
  <c r="CJ321" i="3"/>
  <c r="CH322" i="3"/>
  <c r="CI322" i="3" s="1"/>
  <c r="CF323" i="3"/>
  <c r="CA325" i="3"/>
  <c r="CB325" i="3" s="1"/>
  <c r="CD325" i="3" s="1"/>
  <c r="CB324" i="3"/>
  <c r="BZ326" i="3"/>
  <c r="BX327" i="3"/>
  <c r="BV328" i="3"/>
  <c r="BT329" i="3"/>
  <c r="BR330" i="3"/>
  <c r="BP331" i="3"/>
  <c r="BN334" i="3"/>
  <c r="BN332" i="3"/>
  <c r="BO332" i="3" s="1"/>
  <c r="BL333" i="3"/>
  <c r="BH335" i="3"/>
  <c r="BF336" i="3"/>
  <c r="BG336" i="3" s="1"/>
  <c r="BD337" i="3"/>
  <c r="BE337" i="3" s="1"/>
  <c r="BB338" i="3"/>
  <c r="AZ339" i="3"/>
  <c r="AU343" i="3"/>
  <c r="AV343" i="3" s="1"/>
  <c r="AX340" i="3"/>
  <c r="AX341" i="3"/>
  <c r="AT344" i="3"/>
  <c r="AS345" i="3"/>
  <c r="AR346" i="3"/>
  <c r="CT318" i="3" l="1"/>
  <c r="CP319" i="3"/>
  <c r="AJ319" i="25"/>
  <c r="CN320" i="3"/>
  <c r="CO320" i="3" s="1"/>
  <c r="CL321" i="3"/>
  <c r="CJ322" i="3"/>
  <c r="CH323" i="3"/>
  <c r="CE325" i="3"/>
  <c r="CF325" i="3" s="1"/>
  <c r="CG325" i="3" s="1"/>
  <c r="CD324" i="3"/>
  <c r="CA326" i="3"/>
  <c r="CB326" i="3" s="1"/>
  <c r="BZ327" i="3"/>
  <c r="BX328" i="3"/>
  <c r="BV329" i="3"/>
  <c r="BT330" i="3"/>
  <c r="BR331" i="3"/>
  <c r="BS331" i="3" s="1"/>
  <c r="BP332" i="3"/>
  <c r="BP334" i="3"/>
  <c r="BN333" i="3"/>
  <c r="BJ335" i="3"/>
  <c r="BK335" i="3" s="1"/>
  <c r="BH336" i="3"/>
  <c r="BF337" i="3"/>
  <c r="BG337" i="3" s="1"/>
  <c r="BD338" i="3"/>
  <c r="BE338" i="3" s="1"/>
  <c r="BB339" i="3"/>
  <c r="AZ340" i="3"/>
  <c r="AZ341" i="3"/>
  <c r="AU344" i="3"/>
  <c r="AV344" i="3" s="1"/>
  <c r="AX342" i="3"/>
  <c r="AT345" i="3"/>
  <c r="AS346" i="3"/>
  <c r="AR347" i="3"/>
  <c r="CT319" i="3" l="1"/>
  <c r="CP320" i="3"/>
  <c r="AJ320" i="25"/>
  <c r="CN321" i="3"/>
  <c r="CO321" i="3" s="1"/>
  <c r="CL322" i="3"/>
  <c r="CJ323" i="3"/>
  <c r="CH325" i="3"/>
  <c r="CI325" i="3" s="1"/>
  <c r="CF324" i="3"/>
  <c r="CD326" i="3"/>
  <c r="CB327" i="3"/>
  <c r="CD327" i="3" s="1"/>
  <c r="BZ328" i="3"/>
  <c r="BX329" i="3"/>
  <c r="BV330" i="3"/>
  <c r="BT331" i="3"/>
  <c r="BR334" i="3"/>
  <c r="BR332" i="3"/>
  <c r="BP333" i="3"/>
  <c r="BL335" i="3"/>
  <c r="BJ336" i="3"/>
  <c r="BK336" i="3" s="1"/>
  <c r="BH337" i="3"/>
  <c r="BF338" i="3"/>
  <c r="BG338" i="3" s="1"/>
  <c r="BD339" i="3"/>
  <c r="BB341" i="3"/>
  <c r="BA340" i="3"/>
  <c r="BB340" i="3" s="1"/>
  <c r="AZ342" i="3"/>
  <c r="AU345" i="3"/>
  <c r="AV345" i="3" s="1"/>
  <c r="AX343" i="3"/>
  <c r="AW344" i="3"/>
  <c r="AT346" i="3"/>
  <c r="AS347" i="3"/>
  <c r="AR348" i="3"/>
  <c r="CT320" i="3" l="1"/>
  <c r="CP321" i="3"/>
  <c r="AJ321" i="25"/>
  <c r="CN322" i="3"/>
  <c r="CO322" i="3" s="1"/>
  <c r="CL323" i="3"/>
  <c r="CJ325" i="3"/>
  <c r="CH324" i="3"/>
  <c r="CF326" i="3"/>
  <c r="CF327" i="3"/>
  <c r="CA328" i="3"/>
  <c r="CB328" i="3" s="1"/>
  <c r="CD328" i="3" s="1"/>
  <c r="CE328" i="3" s="1"/>
  <c r="BZ329" i="3"/>
  <c r="BX330" i="3"/>
  <c r="BV331" i="3"/>
  <c r="BT332" i="3"/>
  <c r="BT334" i="3"/>
  <c r="BR333" i="3"/>
  <c r="BS333" i="3" s="1"/>
  <c r="BN335" i="3"/>
  <c r="BL336" i="3"/>
  <c r="BJ337" i="3"/>
  <c r="BK337" i="3" s="1"/>
  <c r="BH338" i="3"/>
  <c r="BF339" i="3"/>
  <c r="BD341" i="3"/>
  <c r="BE341" i="3" s="1"/>
  <c r="BD340" i="3"/>
  <c r="BE340" i="3" s="1"/>
  <c r="BA342" i="3"/>
  <c r="BB342" i="3" s="1"/>
  <c r="AZ343" i="3"/>
  <c r="AU346" i="3"/>
  <c r="AV346" i="3" s="1"/>
  <c r="AX344" i="3"/>
  <c r="AY344" i="3" s="1"/>
  <c r="AT347" i="3"/>
  <c r="AS348" i="3"/>
  <c r="AR349" i="3"/>
  <c r="CT321" i="3" l="1"/>
  <c r="CP322" i="3"/>
  <c r="AJ322" i="25"/>
  <c r="CN323" i="3"/>
  <c r="CO323" i="3" s="1"/>
  <c r="CL325" i="3"/>
  <c r="CJ324" i="3"/>
  <c r="CH327" i="3"/>
  <c r="CH326" i="3"/>
  <c r="CF328" i="3"/>
  <c r="CB329" i="3"/>
  <c r="CD329" i="3" s="1"/>
  <c r="BZ330" i="3"/>
  <c r="BX331" i="3"/>
  <c r="BV334" i="3"/>
  <c r="BV332" i="3"/>
  <c r="BT333" i="3"/>
  <c r="BP335" i="3"/>
  <c r="BN336" i="3"/>
  <c r="BO336" i="3" s="1"/>
  <c r="BL337" i="3"/>
  <c r="BJ338" i="3"/>
  <c r="BK338" i="3" s="1"/>
  <c r="BH339" i="3"/>
  <c r="BF340" i="3"/>
  <c r="BG340" i="3" s="1"/>
  <c r="BF341" i="3"/>
  <c r="BG341" i="3" s="1"/>
  <c r="BD342" i="3"/>
  <c r="BE342" i="3" s="1"/>
  <c r="BB343" i="3"/>
  <c r="AZ344" i="3"/>
  <c r="AU347" i="3"/>
  <c r="AV347" i="3" s="1"/>
  <c r="AW347" i="3" s="1"/>
  <c r="AX345" i="3"/>
  <c r="AT348" i="3"/>
  <c r="AS349" i="3"/>
  <c r="AR350" i="3"/>
  <c r="AR351" i="3"/>
  <c r="CT322" i="3" l="1"/>
  <c r="CP323" i="3"/>
  <c r="AJ323" i="25"/>
  <c r="CN325" i="3"/>
  <c r="CO325" i="3" s="1"/>
  <c r="CL324" i="3"/>
  <c r="CJ326" i="3"/>
  <c r="CJ327" i="3"/>
  <c r="CH328" i="3"/>
  <c r="CF329" i="3"/>
  <c r="CB330" i="3"/>
  <c r="CD330" i="3" s="1"/>
  <c r="BZ331" i="3"/>
  <c r="BX332" i="3"/>
  <c r="BX334" i="3"/>
  <c r="BV333" i="3"/>
  <c r="BR335" i="3"/>
  <c r="BP336" i="3"/>
  <c r="BN337" i="3"/>
  <c r="BL338" i="3"/>
  <c r="BJ339" i="3"/>
  <c r="BH340" i="3"/>
  <c r="BH341" i="3"/>
  <c r="BF342" i="3"/>
  <c r="BG342" i="3" s="1"/>
  <c r="BD343" i="3"/>
  <c r="BE343" i="3" s="1"/>
  <c r="BB344" i="3"/>
  <c r="AZ345" i="3"/>
  <c r="AU348" i="3"/>
  <c r="AV348" i="3" s="1"/>
  <c r="AX346" i="3"/>
  <c r="AT349" i="3"/>
  <c r="AS351" i="3"/>
  <c r="AS350" i="3"/>
  <c r="AR352" i="3"/>
  <c r="CT323" i="3" l="1"/>
  <c r="AJ325" i="25"/>
  <c r="CP325" i="3"/>
  <c r="CN324" i="3"/>
  <c r="CO324" i="3" s="1"/>
  <c r="CL327" i="3"/>
  <c r="CL326" i="3"/>
  <c r="CJ328" i="3"/>
  <c r="CH329" i="3"/>
  <c r="CF330" i="3"/>
  <c r="CA331" i="3"/>
  <c r="CB331" i="3" s="1"/>
  <c r="CD331" i="3" s="1"/>
  <c r="BZ334" i="3"/>
  <c r="BZ332" i="3"/>
  <c r="BX333" i="3"/>
  <c r="BT335" i="3"/>
  <c r="BR336" i="3"/>
  <c r="BP337" i="3"/>
  <c r="BN338" i="3"/>
  <c r="BO338" i="3" s="1"/>
  <c r="BL339" i="3"/>
  <c r="BJ340" i="3"/>
  <c r="BK340" i="3" s="1"/>
  <c r="BJ341" i="3"/>
  <c r="BK341" i="3" s="1"/>
  <c r="BH342" i="3"/>
  <c r="BF343" i="3"/>
  <c r="BG343" i="3" s="1"/>
  <c r="BD344" i="3"/>
  <c r="BE344" i="3" s="1"/>
  <c r="BB345" i="3"/>
  <c r="AZ346" i="3"/>
  <c r="AU349" i="3"/>
  <c r="AV349" i="3" s="1"/>
  <c r="AW349" i="3" s="1"/>
  <c r="AX347" i="3"/>
  <c r="AT351" i="3"/>
  <c r="AT350" i="3"/>
  <c r="AS352" i="3"/>
  <c r="AR353" i="3"/>
  <c r="CT325" i="3" l="1"/>
  <c r="CP324" i="3"/>
  <c r="AJ324" i="25"/>
  <c r="CN326" i="3"/>
  <c r="CO326" i="3" s="1"/>
  <c r="CN327" i="3"/>
  <c r="CO327" i="3" s="1"/>
  <c r="CL328" i="3"/>
  <c r="CJ329" i="3"/>
  <c r="CH330" i="3"/>
  <c r="CE331" i="3"/>
  <c r="CF331" i="3" s="1"/>
  <c r="CG331" i="3" s="1"/>
  <c r="CA332" i="3"/>
  <c r="CB332" i="3" s="1"/>
  <c r="CB334" i="3"/>
  <c r="BZ333" i="3"/>
  <c r="BV335" i="3"/>
  <c r="BT336" i="3"/>
  <c r="BR337" i="3"/>
  <c r="BS337" i="3" s="1"/>
  <c r="BP338" i="3"/>
  <c r="BN339" i="3"/>
  <c r="BL341" i="3"/>
  <c r="BL340" i="3"/>
  <c r="BJ342" i="3"/>
  <c r="BK342" i="3" s="1"/>
  <c r="BH343" i="3"/>
  <c r="BF344" i="3"/>
  <c r="BG344" i="3" s="1"/>
  <c r="BD345" i="3"/>
  <c r="BE345" i="3" s="1"/>
  <c r="BB346" i="3"/>
  <c r="AZ347" i="3"/>
  <c r="AU350" i="3"/>
  <c r="AV350" i="3" s="1"/>
  <c r="AU351" i="3"/>
  <c r="AV351" i="3" s="1"/>
  <c r="AX348" i="3"/>
  <c r="AT352" i="3"/>
  <c r="AS353" i="3"/>
  <c r="AR354" i="3"/>
  <c r="CT324" i="3" l="1"/>
  <c r="AJ327" i="25"/>
  <c r="CP326" i="3"/>
  <c r="AJ326" i="25"/>
  <c r="CP327" i="3"/>
  <c r="CN328" i="3"/>
  <c r="CO328" i="3" s="1"/>
  <c r="CL329" i="3"/>
  <c r="CJ330" i="3"/>
  <c r="CH331" i="3"/>
  <c r="CI331" i="3" s="1"/>
  <c r="CD334" i="3"/>
  <c r="CD332" i="3"/>
  <c r="CA333" i="3"/>
  <c r="CB333" i="3" s="1"/>
  <c r="CD333" i="3" s="1"/>
  <c r="BX335" i="3"/>
  <c r="BV336" i="3"/>
  <c r="BT337" i="3"/>
  <c r="BR338" i="3"/>
  <c r="BS338" i="3" s="1"/>
  <c r="BP339" i="3"/>
  <c r="BN340" i="3"/>
  <c r="BN341" i="3"/>
  <c r="BO341" i="3" s="1"/>
  <c r="BL342" i="3"/>
  <c r="BJ343" i="3"/>
  <c r="BK343" i="3" s="1"/>
  <c r="BH344" i="3"/>
  <c r="BF345" i="3"/>
  <c r="BG345" i="3" s="1"/>
  <c r="BD346" i="3"/>
  <c r="BE346" i="3" s="1"/>
  <c r="BA347" i="3"/>
  <c r="BB347" i="3" s="1"/>
  <c r="AZ348" i="3"/>
  <c r="AU352" i="3"/>
  <c r="AV352" i="3" s="1"/>
  <c r="AX349" i="3"/>
  <c r="AW351" i="3"/>
  <c r="AT353" i="3"/>
  <c r="AS354" i="3"/>
  <c r="AR355" i="3"/>
  <c r="CT327" i="3" l="1"/>
  <c r="CT326" i="3"/>
  <c r="CP328" i="3"/>
  <c r="AJ328" i="25"/>
  <c r="CN329" i="3"/>
  <c r="CO329" i="3" s="1"/>
  <c r="CL330" i="3"/>
  <c r="CJ331" i="3"/>
  <c r="CF333" i="3"/>
  <c r="CG333" i="3" s="1"/>
  <c r="CF334" i="3"/>
  <c r="CE332" i="3"/>
  <c r="CF332" i="3" s="1"/>
  <c r="BZ335" i="3"/>
  <c r="CA335" i="3" s="1"/>
  <c r="BX336" i="3"/>
  <c r="BV337" i="3"/>
  <c r="BW337" i="3" s="1"/>
  <c r="BT338" i="3"/>
  <c r="BR339" i="3"/>
  <c r="BP341" i="3"/>
  <c r="BP340" i="3"/>
  <c r="BN342" i="3"/>
  <c r="BL343" i="3"/>
  <c r="BJ344" i="3"/>
  <c r="BK344" i="3" s="1"/>
  <c r="BH345" i="3"/>
  <c r="BF346" i="3"/>
  <c r="BG346" i="3" s="1"/>
  <c r="BD347" i="3"/>
  <c r="BE347" i="3" s="1"/>
  <c r="BB348" i="3"/>
  <c r="AZ349" i="3"/>
  <c r="AU353" i="3"/>
  <c r="AV353" i="3" s="1"/>
  <c r="AX350" i="3"/>
  <c r="AX351" i="3"/>
  <c r="AY351" i="3" s="1"/>
  <c r="AT354" i="3"/>
  <c r="AS355" i="3"/>
  <c r="AR356" i="3"/>
  <c r="CT328" i="3" l="1"/>
  <c r="CP329" i="3"/>
  <c r="AJ329" i="25"/>
  <c r="CN330" i="3"/>
  <c r="CO330" i="3" s="1"/>
  <c r="CL331" i="3"/>
  <c r="CH332" i="3"/>
  <c r="CH334" i="3"/>
  <c r="CH333" i="3"/>
  <c r="CI333" i="3" s="1"/>
  <c r="CB335" i="3"/>
  <c r="CD335" i="3" s="1"/>
  <c r="BZ336" i="3"/>
  <c r="BX337" i="3"/>
  <c r="BV338" i="3"/>
  <c r="BT339" i="3"/>
  <c r="BR340" i="3"/>
  <c r="BS340" i="3" s="1"/>
  <c r="BR341" i="3"/>
  <c r="BS341" i="3" s="1"/>
  <c r="BP342" i="3"/>
  <c r="BN343" i="3"/>
  <c r="BO343" i="3" s="1"/>
  <c r="BL344" i="3"/>
  <c r="BJ345" i="3"/>
  <c r="BK345" i="3" s="1"/>
  <c r="BH346" i="3"/>
  <c r="BF347" i="3"/>
  <c r="BG347" i="3" s="1"/>
  <c r="BD348" i="3"/>
  <c r="BE348" i="3" s="1"/>
  <c r="BA349" i="3"/>
  <c r="BB349" i="3" s="1"/>
  <c r="AZ350" i="3"/>
  <c r="AZ351" i="3"/>
  <c r="AU354" i="3"/>
  <c r="AV354" i="3" s="1"/>
  <c r="AW354" i="3" s="1"/>
  <c r="AX352" i="3"/>
  <c r="AT355" i="3"/>
  <c r="AS356" i="3"/>
  <c r="AR357" i="3"/>
  <c r="CT329" i="3" l="1"/>
  <c r="AJ330" i="25"/>
  <c r="CP330" i="3"/>
  <c r="CM331" i="3"/>
  <c r="CN331" i="3" s="1"/>
  <c r="CO331" i="3" s="1"/>
  <c r="CJ333" i="3"/>
  <c r="CJ334" i="3"/>
  <c r="CJ332" i="3"/>
  <c r="CF335" i="3"/>
  <c r="CA336" i="3"/>
  <c r="CB336" i="3" s="1"/>
  <c r="CD336" i="3" s="1"/>
  <c r="BZ337" i="3"/>
  <c r="BX338" i="3"/>
  <c r="BV339" i="3"/>
  <c r="BT341" i="3"/>
  <c r="BT340" i="3"/>
  <c r="BR342" i="3"/>
  <c r="BP343" i="3"/>
  <c r="BN344" i="3"/>
  <c r="BL345" i="3"/>
  <c r="BJ346" i="3"/>
  <c r="BK346" i="3" s="1"/>
  <c r="BH347" i="3"/>
  <c r="BF348" i="3"/>
  <c r="BG348" i="3" s="1"/>
  <c r="BD349" i="3"/>
  <c r="BE349" i="3" s="1"/>
  <c r="BB351" i="3"/>
  <c r="BB350" i="3"/>
  <c r="AZ352" i="3"/>
  <c r="AU355" i="3"/>
  <c r="AV355" i="3" s="1"/>
  <c r="AX353" i="3"/>
  <c r="AT356" i="3"/>
  <c r="AS357" i="3"/>
  <c r="AR358" i="3"/>
  <c r="CT330" i="3" l="1"/>
  <c r="CP331" i="3"/>
  <c r="AJ331" i="25"/>
  <c r="CL332" i="3"/>
  <c r="CL334" i="3"/>
  <c r="CL333" i="3"/>
  <c r="CH335" i="3"/>
  <c r="CF336" i="3"/>
  <c r="CG336" i="3" s="1"/>
  <c r="CA337" i="3"/>
  <c r="CB337" i="3" s="1"/>
  <c r="BZ338" i="3"/>
  <c r="BX339" i="3"/>
  <c r="BV341" i="3"/>
  <c r="BW341" i="3" s="1"/>
  <c r="BV340" i="3"/>
  <c r="BT342" i="3"/>
  <c r="BR343" i="3"/>
  <c r="BP344" i="3"/>
  <c r="BN345" i="3"/>
  <c r="BO345" i="3" s="1"/>
  <c r="BL346" i="3"/>
  <c r="BJ347" i="3"/>
  <c r="BK347" i="3" s="1"/>
  <c r="BH348" i="3"/>
  <c r="BF349" i="3"/>
  <c r="BG349" i="3" s="1"/>
  <c r="BD351" i="3"/>
  <c r="BE351" i="3" s="1"/>
  <c r="BD350" i="3"/>
  <c r="BE350" i="3" s="1"/>
  <c r="BB352" i="3"/>
  <c r="AZ353" i="3"/>
  <c r="AU356" i="3"/>
  <c r="AV356" i="3" s="1"/>
  <c r="AW356" i="3" s="1"/>
  <c r="AX354" i="3"/>
  <c r="AT357" i="3"/>
  <c r="AS358" i="3"/>
  <c r="AR359" i="3"/>
  <c r="CT331" i="3" l="1"/>
  <c r="CN333" i="3"/>
  <c r="CO333" i="3" s="1"/>
  <c r="CN334" i="3"/>
  <c r="CO334" i="3" s="1"/>
  <c r="CN332" i="3"/>
  <c r="CO332" i="3" s="1"/>
  <c r="CJ335" i="3"/>
  <c r="CH336" i="3"/>
  <c r="CI336" i="3" s="1"/>
  <c r="CD337" i="3"/>
  <c r="CB338" i="3"/>
  <c r="BZ339" i="3"/>
  <c r="BX341" i="3"/>
  <c r="BY341" i="3" s="1"/>
  <c r="BX340" i="3"/>
  <c r="BV342" i="3"/>
  <c r="BT343" i="3"/>
  <c r="BR344" i="3"/>
  <c r="BS344" i="3" s="1"/>
  <c r="BP345" i="3"/>
  <c r="BN346" i="3"/>
  <c r="BO346" i="3" s="1"/>
  <c r="BL347" i="3"/>
  <c r="BJ348" i="3"/>
  <c r="BK348" i="3" s="1"/>
  <c r="BH349" i="3"/>
  <c r="BF351" i="3"/>
  <c r="BG351" i="3" s="1"/>
  <c r="BF350" i="3"/>
  <c r="BG350" i="3" s="1"/>
  <c r="BD352" i="3"/>
  <c r="BE352" i="3" s="1"/>
  <c r="BB353" i="3"/>
  <c r="AZ354" i="3"/>
  <c r="AU357" i="3"/>
  <c r="AV357" i="3" s="1"/>
  <c r="AX355" i="3"/>
  <c r="AT358" i="3"/>
  <c r="AS359" i="3"/>
  <c r="AR360" i="3"/>
  <c r="AR361" i="3"/>
  <c r="CP332" i="3" l="1"/>
  <c r="CP334" i="3"/>
  <c r="CP333" i="3"/>
  <c r="AJ333" i="25"/>
  <c r="AJ334" i="25"/>
  <c r="AJ332" i="25"/>
  <c r="CL335" i="3"/>
  <c r="CJ336" i="3"/>
  <c r="CF337" i="3"/>
  <c r="CG337" i="3" s="1"/>
  <c r="CD338" i="3"/>
  <c r="CB339" i="3"/>
  <c r="BZ340" i="3"/>
  <c r="BZ341" i="3"/>
  <c r="BX342" i="3"/>
  <c r="BV343" i="3"/>
  <c r="BT344" i="3"/>
  <c r="BR345" i="3"/>
  <c r="BS345" i="3" s="1"/>
  <c r="BP346" i="3"/>
  <c r="BN347" i="3"/>
  <c r="BL348" i="3"/>
  <c r="BJ349" i="3"/>
  <c r="BK349" i="3" s="1"/>
  <c r="BH350" i="3"/>
  <c r="BH351" i="3"/>
  <c r="BF352" i="3"/>
  <c r="BG352" i="3" s="1"/>
  <c r="BD353" i="3"/>
  <c r="BE353" i="3" s="1"/>
  <c r="BA354" i="3"/>
  <c r="BB354" i="3" s="1"/>
  <c r="AZ355" i="3"/>
  <c r="AU358" i="3"/>
  <c r="AV358" i="3" s="1"/>
  <c r="AX356" i="3"/>
  <c r="AT359" i="3"/>
  <c r="AS361" i="3"/>
  <c r="AS360" i="3"/>
  <c r="AR362" i="3"/>
  <c r="CT333" i="3" l="1"/>
  <c r="CT334" i="3"/>
  <c r="CT332" i="3"/>
  <c r="CN335" i="3"/>
  <c r="CO335" i="3" s="1"/>
  <c r="AJ335" i="25" s="1"/>
  <c r="CL336" i="3"/>
  <c r="CH337" i="3"/>
  <c r="CI337" i="3" s="1"/>
  <c r="CF338" i="3"/>
  <c r="CD339" i="3"/>
  <c r="CA341" i="3"/>
  <c r="CB341" i="3" s="1"/>
  <c r="CA340" i="3"/>
  <c r="CB340" i="3" s="1"/>
  <c r="BZ342" i="3"/>
  <c r="BX343" i="3"/>
  <c r="BV344" i="3"/>
  <c r="BW344" i="3" s="1"/>
  <c r="BT345" i="3"/>
  <c r="BR346" i="3"/>
  <c r="BP347" i="3"/>
  <c r="BN348" i="3"/>
  <c r="BO348" i="3" s="1"/>
  <c r="BL349" i="3"/>
  <c r="BJ350" i="3"/>
  <c r="BK350" i="3" s="1"/>
  <c r="BJ351" i="3"/>
  <c r="BK351" i="3" s="1"/>
  <c r="BH352" i="3"/>
  <c r="BF353" i="3"/>
  <c r="BG353" i="3" s="1"/>
  <c r="BD354" i="3"/>
  <c r="BE354" i="3" s="1"/>
  <c r="BB355" i="3"/>
  <c r="AZ356" i="3"/>
  <c r="AU359" i="3"/>
  <c r="AV359" i="3" s="1"/>
  <c r="AX357" i="3"/>
  <c r="AW358" i="3"/>
  <c r="AT360" i="3"/>
  <c r="AT361" i="3"/>
  <c r="AS362" i="3"/>
  <c r="AR363" i="3"/>
  <c r="CP335" i="3" l="1"/>
  <c r="CN336" i="3"/>
  <c r="CO336" i="3" s="1"/>
  <c r="CJ337" i="3"/>
  <c r="CH338" i="3"/>
  <c r="CF339" i="3"/>
  <c r="CD340" i="3"/>
  <c r="CD341" i="3"/>
  <c r="CE341" i="3" s="1"/>
  <c r="CA342" i="3"/>
  <c r="CB342" i="3" s="1"/>
  <c r="BZ343" i="3"/>
  <c r="BX344" i="3"/>
  <c r="BV345" i="3"/>
  <c r="BT346" i="3"/>
  <c r="BR347" i="3"/>
  <c r="BS347" i="3" s="1"/>
  <c r="BP348" i="3"/>
  <c r="BN349" i="3"/>
  <c r="BL350" i="3"/>
  <c r="BL351" i="3"/>
  <c r="BJ352" i="3"/>
  <c r="BK352" i="3" s="1"/>
  <c r="BH353" i="3"/>
  <c r="BF354" i="3"/>
  <c r="BG354" i="3" s="1"/>
  <c r="BD355" i="3"/>
  <c r="BA356" i="3"/>
  <c r="BB356" i="3" s="1"/>
  <c r="AZ357" i="3"/>
  <c r="AU360" i="3"/>
  <c r="AV360" i="3" s="1"/>
  <c r="AU361" i="3"/>
  <c r="AV361" i="3" s="1"/>
  <c r="AW361" i="3" s="1"/>
  <c r="AX358" i="3"/>
  <c r="AY358" i="3" s="1"/>
  <c r="AT362" i="3"/>
  <c r="AS363" i="3"/>
  <c r="AR364" i="3"/>
  <c r="CT335" i="3" l="1"/>
  <c r="CP336" i="3"/>
  <c r="AJ336" i="25"/>
  <c r="CL337" i="3"/>
  <c r="CJ338" i="3"/>
  <c r="CH339" i="3"/>
  <c r="CF341" i="3"/>
  <c r="CG341" i="3" s="1"/>
  <c r="CF340" i="3"/>
  <c r="CD342" i="3"/>
  <c r="CE342" i="3" s="1"/>
  <c r="CA343" i="3"/>
  <c r="CB343" i="3" s="1"/>
  <c r="BZ344" i="3"/>
  <c r="BX345" i="3"/>
  <c r="BV346" i="3"/>
  <c r="BT347" i="3"/>
  <c r="BR348" i="3"/>
  <c r="BS348" i="3" s="1"/>
  <c r="BP349" i="3"/>
  <c r="BN351" i="3"/>
  <c r="BN350" i="3"/>
  <c r="BO350" i="3" s="1"/>
  <c r="BL352" i="3"/>
  <c r="BJ353" i="3"/>
  <c r="BK353" i="3" s="1"/>
  <c r="BH354" i="3"/>
  <c r="BF355" i="3"/>
  <c r="BD356" i="3"/>
  <c r="BE356" i="3" s="1"/>
  <c r="BB357" i="3"/>
  <c r="AZ358" i="3"/>
  <c r="AU362" i="3"/>
  <c r="AV362" i="3" s="1"/>
  <c r="AX359" i="3"/>
  <c r="AT363" i="3"/>
  <c r="AS364" i="3"/>
  <c r="AR365" i="3"/>
  <c r="CT336" i="3" l="1"/>
  <c r="CN337" i="3"/>
  <c r="CO337" i="3" s="1"/>
  <c r="CL338" i="3"/>
  <c r="CJ339" i="3"/>
  <c r="CH340" i="3"/>
  <c r="CH341" i="3"/>
  <c r="CI341" i="3" s="1"/>
  <c r="CF342" i="3"/>
  <c r="CG342" i="3" s="1"/>
  <c r="CD343" i="3"/>
  <c r="CA344" i="3"/>
  <c r="CB344" i="3" s="1"/>
  <c r="BZ345" i="3"/>
  <c r="BX346" i="3"/>
  <c r="BV347" i="3"/>
  <c r="BT348" i="3"/>
  <c r="BR349" i="3"/>
  <c r="BP351" i="3"/>
  <c r="BP350" i="3"/>
  <c r="BN352" i="3"/>
  <c r="BO352" i="3" s="1"/>
  <c r="BL353" i="3"/>
  <c r="BJ354" i="3"/>
  <c r="BH355" i="3"/>
  <c r="BF356" i="3"/>
  <c r="BG356" i="3" s="1"/>
  <c r="BD357" i="3"/>
  <c r="BE357" i="3" s="1"/>
  <c r="BB358" i="3"/>
  <c r="AZ359" i="3"/>
  <c r="AU363" i="3"/>
  <c r="AV363" i="3" s="1"/>
  <c r="AW363" i="3" s="1"/>
  <c r="AX361" i="3"/>
  <c r="AX360" i="3"/>
  <c r="AT364" i="3"/>
  <c r="AS365" i="3"/>
  <c r="AR366" i="3"/>
  <c r="CP337" i="3" l="1"/>
  <c r="AJ337" i="25"/>
  <c r="CN338" i="3"/>
  <c r="CO338" i="3" s="1"/>
  <c r="CL339" i="3"/>
  <c r="CJ340" i="3"/>
  <c r="CJ341" i="3"/>
  <c r="CH342" i="3"/>
  <c r="CI342" i="3" s="1"/>
  <c r="CF343" i="3"/>
  <c r="CD344" i="3"/>
  <c r="CA345" i="3"/>
  <c r="CB345" i="3" s="1"/>
  <c r="CD345" i="3" s="1"/>
  <c r="BZ346" i="3"/>
  <c r="BX347" i="3"/>
  <c r="BV348" i="3"/>
  <c r="BW348" i="3" s="1"/>
  <c r="BT349" i="3"/>
  <c r="BR350" i="3"/>
  <c r="BR351" i="3"/>
  <c r="BS351" i="3" s="1"/>
  <c r="BP352" i="3"/>
  <c r="BN353" i="3"/>
  <c r="BO353" i="3" s="1"/>
  <c r="BL354" i="3"/>
  <c r="BJ355" i="3"/>
  <c r="BH356" i="3"/>
  <c r="BF357" i="3"/>
  <c r="BG357" i="3" s="1"/>
  <c r="BD358" i="3"/>
  <c r="BE358" i="3" s="1"/>
  <c r="BB359" i="3"/>
  <c r="AZ361" i="3"/>
  <c r="AZ360" i="3"/>
  <c r="AU364" i="3"/>
  <c r="AV364" i="3" s="1"/>
  <c r="AX362" i="3"/>
  <c r="AT365" i="3"/>
  <c r="AS366" i="3"/>
  <c r="AR367" i="3"/>
  <c r="CT337" i="3" l="1"/>
  <c r="CP338" i="3"/>
  <c r="AJ338" i="25"/>
  <c r="CN339" i="3"/>
  <c r="CO339" i="3" s="1"/>
  <c r="CL341" i="3"/>
  <c r="CL340" i="3"/>
  <c r="CJ342" i="3"/>
  <c r="CH343" i="3"/>
  <c r="CF344" i="3"/>
  <c r="CG344" i="3" s="1"/>
  <c r="CE345" i="3"/>
  <c r="CF345" i="3" s="1"/>
  <c r="CG345" i="3" s="1"/>
  <c r="CA346" i="3"/>
  <c r="CB346" i="3" s="1"/>
  <c r="CD346" i="3" s="1"/>
  <c r="BZ347" i="3"/>
  <c r="BX348" i="3"/>
  <c r="BY348" i="3" s="1"/>
  <c r="BV349" i="3"/>
  <c r="BT351" i="3"/>
  <c r="BT350" i="3"/>
  <c r="BR352" i="3"/>
  <c r="BS352" i="3" s="1"/>
  <c r="BP353" i="3"/>
  <c r="BN354" i="3"/>
  <c r="BL355" i="3"/>
  <c r="BJ356" i="3"/>
  <c r="BK356" i="3" s="1"/>
  <c r="BH357" i="3"/>
  <c r="BF358" i="3"/>
  <c r="BG358" i="3" s="1"/>
  <c r="BD359" i="3"/>
  <c r="BE359" i="3" s="1"/>
  <c r="BB360" i="3"/>
  <c r="BA361" i="3"/>
  <c r="BB361" i="3" s="1"/>
  <c r="AZ362" i="3"/>
  <c r="AU365" i="3"/>
  <c r="AV365" i="3" s="1"/>
  <c r="AX363" i="3"/>
  <c r="AT366" i="3"/>
  <c r="AS367" i="3"/>
  <c r="AR368" i="3"/>
  <c r="CT338" i="3" l="1"/>
  <c r="CP339" i="3"/>
  <c r="AJ339" i="25"/>
  <c r="CN340" i="3"/>
  <c r="CO340" i="3" s="1"/>
  <c r="CN341" i="3"/>
  <c r="CO341" i="3" s="1"/>
  <c r="CL342" i="3"/>
  <c r="CJ343" i="3"/>
  <c r="CH345" i="3"/>
  <c r="CI345" i="3" s="1"/>
  <c r="CH344" i="3"/>
  <c r="CI344" i="3" s="1"/>
  <c r="CE346" i="3"/>
  <c r="CF346" i="3" s="1"/>
  <c r="CG346" i="3" s="1"/>
  <c r="CB347" i="3"/>
  <c r="CD347" i="3" s="1"/>
  <c r="BZ348" i="3"/>
  <c r="BX349" i="3"/>
  <c r="BV350" i="3"/>
  <c r="BV351" i="3"/>
  <c r="BW351" i="3" s="1"/>
  <c r="BT352" i="3"/>
  <c r="BR353" i="3"/>
  <c r="BP354" i="3"/>
  <c r="BN355" i="3"/>
  <c r="BL356" i="3"/>
  <c r="BJ357" i="3"/>
  <c r="BK357" i="3" s="1"/>
  <c r="BH358" i="3"/>
  <c r="BF359" i="3"/>
  <c r="BG359" i="3" s="1"/>
  <c r="BD360" i="3"/>
  <c r="BE360" i="3" s="1"/>
  <c r="BD361" i="3"/>
  <c r="BE361" i="3" s="1"/>
  <c r="BB362" i="3"/>
  <c r="AZ363" i="3"/>
  <c r="AU366" i="3"/>
  <c r="AV366" i="3" s="1"/>
  <c r="AX364" i="3"/>
  <c r="AW365" i="3"/>
  <c r="AT367" i="3"/>
  <c r="AS368" i="3"/>
  <c r="AR369" i="3"/>
  <c r="CT339" i="3" l="1"/>
  <c r="AJ341" i="25"/>
  <c r="CP340" i="3"/>
  <c r="AJ340" i="25"/>
  <c r="CP341" i="3"/>
  <c r="CN342" i="3"/>
  <c r="CO342" i="3" s="1"/>
  <c r="CL343" i="3"/>
  <c r="CJ344" i="3"/>
  <c r="CJ345" i="3"/>
  <c r="CH346" i="3"/>
  <c r="CI346" i="3" s="1"/>
  <c r="CF347" i="3"/>
  <c r="CA348" i="3"/>
  <c r="CB348" i="3" s="1"/>
  <c r="BZ349" i="3"/>
  <c r="BX350" i="3"/>
  <c r="BX351" i="3"/>
  <c r="BV352" i="3"/>
  <c r="BT353" i="3"/>
  <c r="BR354" i="3"/>
  <c r="BP355" i="3"/>
  <c r="BN356" i="3"/>
  <c r="BL357" i="3"/>
  <c r="BJ358" i="3"/>
  <c r="BK358" i="3" s="1"/>
  <c r="BH359" i="3"/>
  <c r="BF361" i="3"/>
  <c r="BG361" i="3" s="1"/>
  <c r="BF360" i="3"/>
  <c r="BG360" i="3" s="1"/>
  <c r="BD362" i="3"/>
  <c r="BE362" i="3" s="1"/>
  <c r="BA363" i="3"/>
  <c r="BB363" i="3" s="1"/>
  <c r="AZ364" i="3"/>
  <c r="AU367" i="3"/>
  <c r="AV367" i="3" s="1"/>
  <c r="AX365" i="3"/>
  <c r="AY365" i="3" s="1"/>
  <c r="AT368" i="3"/>
  <c r="AS369" i="3"/>
  <c r="AR370" i="3"/>
  <c r="CT340" i="3" l="1"/>
  <c r="CT341" i="3"/>
  <c r="CP342" i="3"/>
  <c r="AJ342" i="25"/>
  <c r="CN343" i="3"/>
  <c r="CO343" i="3" s="1"/>
  <c r="CL345" i="3"/>
  <c r="CL344" i="3"/>
  <c r="CJ346" i="3"/>
  <c r="CH347" i="3"/>
  <c r="CD348" i="3"/>
  <c r="CA349" i="3"/>
  <c r="CB349" i="3" s="1"/>
  <c r="CD349" i="3" s="1"/>
  <c r="CE349" i="3" s="1"/>
  <c r="BZ351" i="3"/>
  <c r="BZ350" i="3"/>
  <c r="BX352" i="3"/>
  <c r="BV353" i="3"/>
  <c r="BT354" i="3"/>
  <c r="BR355" i="3"/>
  <c r="BP356" i="3"/>
  <c r="BN357" i="3"/>
  <c r="BO357" i="3" s="1"/>
  <c r="BL358" i="3"/>
  <c r="BJ359" i="3"/>
  <c r="BK359" i="3" s="1"/>
  <c r="BH360" i="3"/>
  <c r="BH361" i="3"/>
  <c r="BF362" i="3"/>
  <c r="BG362" i="3" s="1"/>
  <c r="BD363" i="3"/>
  <c r="BE363" i="3" s="1"/>
  <c r="BB364" i="3"/>
  <c r="AZ365" i="3"/>
  <c r="AU368" i="3"/>
  <c r="AV368" i="3" s="1"/>
  <c r="AW368" i="3" s="1"/>
  <c r="AX366" i="3"/>
  <c r="AT369" i="3"/>
  <c r="AS370" i="3"/>
  <c r="AR371" i="3"/>
  <c r="AR372" i="3"/>
  <c r="CT342" i="3" l="1"/>
  <c r="CP343" i="3"/>
  <c r="AJ343" i="25"/>
  <c r="CN344" i="3"/>
  <c r="CO344" i="3" s="1"/>
  <c r="CN345" i="3"/>
  <c r="CO345" i="3" s="1"/>
  <c r="CL346" i="3"/>
  <c r="CJ347" i="3"/>
  <c r="CF349" i="3"/>
  <c r="CF348" i="3"/>
  <c r="CA351" i="3"/>
  <c r="CB351" i="3" s="1"/>
  <c r="CA350" i="3"/>
  <c r="CB350" i="3" s="1"/>
  <c r="CD350" i="3" s="1"/>
  <c r="BZ352" i="3"/>
  <c r="BX353" i="3"/>
  <c r="BV354" i="3"/>
  <c r="BT355" i="3"/>
  <c r="BR356" i="3"/>
  <c r="BP357" i="3"/>
  <c r="BN358" i="3"/>
  <c r="BL359" i="3"/>
  <c r="BJ360" i="3"/>
  <c r="BK360" i="3" s="1"/>
  <c r="BJ361" i="3"/>
  <c r="BK361" i="3" s="1"/>
  <c r="BH362" i="3"/>
  <c r="BF363" i="3"/>
  <c r="BG363" i="3" s="1"/>
  <c r="BD364" i="3"/>
  <c r="BE364" i="3" s="1"/>
  <c r="BB365" i="3"/>
  <c r="AZ366" i="3"/>
  <c r="AU369" i="3"/>
  <c r="AV369" i="3" s="1"/>
  <c r="AX367" i="3"/>
  <c r="AT370" i="3"/>
  <c r="AS372" i="3"/>
  <c r="AS371" i="3"/>
  <c r="AR373" i="3"/>
  <c r="CT343" i="3" l="1"/>
  <c r="AJ345" i="25"/>
  <c r="CP344" i="3"/>
  <c r="AJ344" i="25"/>
  <c r="CP345" i="3"/>
  <c r="CN346" i="3"/>
  <c r="CO346" i="3" s="1"/>
  <c r="CL347" i="3"/>
  <c r="CH348" i="3"/>
  <c r="CH349" i="3"/>
  <c r="CF350" i="3"/>
  <c r="CG350" i="3" s="1"/>
  <c r="CD351" i="3"/>
  <c r="CA352" i="3"/>
  <c r="CB352" i="3" s="1"/>
  <c r="BZ353" i="3"/>
  <c r="BX354" i="3"/>
  <c r="BV355" i="3"/>
  <c r="BT356" i="3"/>
  <c r="BR357" i="3"/>
  <c r="BP358" i="3"/>
  <c r="BN359" i="3"/>
  <c r="BO359" i="3" s="1"/>
  <c r="BL361" i="3"/>
  <c r="BL360" i="3"/>
  <c r="BJ362" i="3"/>
  <c r="BK362" i="3" s="1"/>
  <c r="BH363" i="3"/>
  <c r="BF364" i="3"/>
  <c r="BG364" i="3" s="1"/>
  <c r="BD365" i="3"/>
  <c r="BE365" i="3" s="1"/>
  <c r="BB366" i="3"/>
  <c r="AZ367" i="3"/>
  <c r="AU370" i="3"/>
  <c r="AV370" i="3" s="1"/>
  <c r="AW370" i="3" s="1"/>
  <c r="AX368" i="3"/>
  <c r="AT371" i="3"/>
  <c r="AT372" i="3"/>
  <c r="AS373" i="3"/>
  <c r="AR374" i="3"/>
  <c r="CT345" i="3" l="1"/>
  <c r="CT344" i="3"/>
  <c r="CP346" i="3"/>
  <c r="AJ346" i="25"/>
  <c r="CN347" i="3"/>
  <c r="CO347" i="3" s="1"/>
  <c r="CJ349" i="3"/>
  <c r="CJ348" i="3"/>
  <c r="CH350" i="3"/>
  <c r="CI350" i="3" s="1"/>
  <c r="CF351" i="3"/>
  <c r="CG351" i="3" s="1"/>
  <c r="CD352" i="3"/>
  <c r="CA353" i="3"/>
  <c r="CB353" i="3" s="1"/>
  <c r="CD353" i="3" s="1"/>
  <c r="BZ354" i="3"/>
  <c r="BX355" i="3"/>
  <c r="BV356" i="3"/>
  <c r="BT357" i="3"/>
  <c r="BR358" i="3"/>
  <c r="BS358" i="3" s="1"/>
  <c r="BP359" i="3"/>
  <c r="BN360" i="3"/>
  <c r="BO360" i="3" s="1"/>
  <c r="BN361" i="3"/>
  <c r="BL362" i="3"/>
  <c r="BJ363" i="3"/>
  <c r="BK363" i="3" s="1"/>
  <c r="BH364" i="3"/>
  <c r="BF365" i="3"/>
  <c r="BG365" i="3" s="1"/>
  <c r="BD366" i="3"/>
  <c r="BE366" i="3" s="1"/>
  <c r="BB367" i="3"/>
  <c r="AZ368" i="3"/>
  <c r="AU372" i="3"/>
  <c r="AV372" i="3" s="1"/>
  <c r="AU371" i="3"/>
  <c r="AV371" i="3" s="1"/>
  <c r="AX369" i="3"/>
  <c r="AT373" i="3"/>
  <c r="AS374" i="3"/>
  <c r="AR375" i="3"/>
  <c r="CT346" i="3" l="1"/>
  <c r="CP347" i="3"/>
  <c r="AJ347" i="25"/>
  <c r="CL348" i="3"/>
  <c r="CL349" i="3"/>
  <c r="CJ350" i="3"/>
  <c r="CH351" i="3"/>
  <c r="CI351" i="3" s="1"/>
  <c r="CE353" i="3"/>
  <c r="CF353" i="3" s="1"/>
  <c r="CG353" i="3" s="1"/>
  <c r="CE352" i="3"/>
  <c r="CF352" i="3" s="1"/>
  <c r="CG352" i="3" s="1"/>
  <c r="CB354" i="3"/>
  <c r="CD354" i="3" s="1"/>
  <c r="BZ355" i="3"/>
  <c r="BX356" i="3"/>
  <c r="BV357" i="3"/>
  <c r="BT358" i="3"/>
  <c r="BR359" i="3"/>
  <c r="BS359" i="3" s="1"/>
  <c r="BP360" i="3"/>
  <c r="BP361" i="3"/>
  <c r="BN362" i="3"/>
  <c r="BO362" i="3" s="1"/>
  <c r="BL363" i="3"/>
  <c r="BJ364" i="3"/>
  <c r="BK364" i="3" s="1"/>
  <c r="BH365" i="3"/>
  <c r="BF366" i="3"/>
  <c r="BG366" i="3" s="1"/>
  <c r="BD367" i="3"/>
  <c r="BE367" i="3" s="1"/>
  <c r="BA368" i="3"/>
  <c r="BB368" i="3" s="1"/>
  <c r="AZ369" i="3"/>
  <c r="AU373" i="3"/>
  <c r="AV373" i="3" s="1"/>
  <c r="AX370" i="3"/>
  <c r="AW372" i="3"/>
  <c r="AT374" i="3"/>
  <c r="AS375" i="3"/>
  <c r="AR376" i="3"/>
  <c r="CT347" i="3" l="1"/>
  <c r="CN349" i="3"/>
  <c r="CO349" i="3" s="1"/>
  <c r="CN348" i="3"/>
  <c r="CO348" i="3" s="1"/>
  <c r="CL350" i="3"/>
  <c r="CJ351" i="3"/>
  <c r="CH352" i="3"/>
  <c r="CI352" i="3" s="1"/>
  <c r="CH353" i="3"/>
  <c r="CI353" i="3" s="1"/>
  <c r="CF354" i="3"/>
  <c r="CB355" i="3"/>
  <c r="CD355" i="3" s="1"/>
  <c r="BZ356" i="3"/>
  <c r="BX357" i="3"/>
  <c r="BV358" i="3"/>
  <c r="BW358" i="3" s="1"/>
  <c r="BT359" i="3"/>
  <c r="BR361" i="3"/>
  <c r="BS361" i="3" s="1"/>
  <c r="BR360" i="3"/>
  <c r="BP362" i="3"/>
  <c r="BN363" i="3"/>
  <c r="BL364" i="3"/>
  <c r="BJ365" i="3"/>
  <c r="BK365" i="3" s="1"/>
  <c r="BH366" i="3"/>
  <c r="BF367" i="3"/>
  <c r="BG367" i="3" s="1"/>
  <c r="BD368" i="3"/>
  <c r="BE368" i="3" s="1"/>
  <c r="BB369" i="3"/>
  <c r="AZ370" i="3"/>
  <c r="AU374" i="3"/>
  <c r="AV374" i="3" s="1"/>
  <c r="AX372" i="3"/>
  <c r="AY372" i="3" s="1"/>
  <c r="AX371" i="3"/>
  <c r="AT375" i="3"/>
  <c r="AS376" i="3"/>
  <c r="AR377" i="3"/>
  <c r="CP348" i="3" l="1"/>
  <c r="CP349" i="3"/>
  <c r="AJ349" i="25"/>
  <c r="AJ348" i="25"/>
  <c r="CN350" i="3"/>
  <c r="CO350" i="3" s="1"/>
  <c r="CL351" i="3"/>
  <c r="CJ352" i="3"/>
  <c r="CJ353" i="3"/>
  <c r="CH354" i="3"/>
  <c r="CF355" i="3"/>
  <c r="CA356" i="3"/>
  <c r="CB356" i="3" s="1"/>
  <c r="CD356" i="3" s="1"/>
  <c r="CE356" i="3" s="1"/>
  <c r="BZ357" i="3"/>
  <c r="BX358" i="3"/>
  <c r="BV359" i="3"/>
  <c r="BT360" i="3"/>
  <c r="BT361" i="3"/>
  <c r="BR362" i="3"/>
  <c r="BS362" i="3" s="1"/>
  <c r="BP363" i="3"/>
  <c r="BN364" i="3"/>
  <c r="BO364" i="3" s="1"/>
  <c r="BL365" i="3"/>
  <c r="BJ366" i="3"/>
  <c r="BK366" i="3" s="1"/>
  <c r="BH367" i="3"/>
  <c r="BF368" i="3"/>
  <c r="BG368" i="3" s="1"/>
  <c r="BD369" i="3"/>
  <c r="BE369" i="3" s="1"/>
  <c r="BA370" i="3"/>
  <c r="BB370" i="3" s="1"/>
  <c r="AZ371" i="3"/>
  <c r="AZ372" i="3"/>
  <c r="AU375" i="3"/>
  <c r="AV375" i="3" s="1"/>
  <c r="AW375" i="3" s="1"/>
  <c r="AX373" i="3"/>
  <c r="AT376" i="3"/>
  <c r="AS377" i="3"/>
  <c r="AR378" i="3"/>
  <c r="CT349" i="3" l="1"/>
  <c r="CT348" i="3"/>
  <c r="CP350" i="3"/>
  <c r="AJ350" i="25"/>
  <c r="CN351" i="3"/>
  <c r="CO351" i="3" s="1"/>
  <c r="CL353" i="3"/>
  <c r="CL352" i="3"/>
  <c r="CJ354" i="3"/>
  <c r="CH355" i="3"/>
  <c r="CF356" i="3"/>
  <c r="CG356" i="3" s="1"/>
  <c r="CA357" i="3"/>
  <c r="CB357" i="3" s="1"/>
  <c r="BZ358" i="3"/>
  <c r="BX359" i="3"/>
  <c r="BV361" i="3"/>
  <c r="BV360" i="3"/>
  <c r="BT362" i="3"/>
  <c r="BR363" i="3"/>
  <c r="BP364" i="3"/>
  <c r="BN365" i="3"/>
  <c r="BL366" i="3"/>
  <c r="BJ367" i="3"/>
  <c r="BK367" i="3" s="1"/>
  <c r="BH368" i="3"/>
  <c r="BF369" i="3"/>
  <c r="BG369" i="3" s="1"/>
  <c r="BD370" i="3"/>
  <c r="BE370" i="3" s="1"/>
  <c r="BB372" i="3"/>
  <c r="BB371" i="3"/>
  <c r="AZ373" i="3"/>
  <c r="AU376" i="3"/>
  <c r="AV376" i="3" s="1"/>
  <c r="AX374" i="3"/>
  <c r="AT377" i="3"/>
  <c r="AS378" i="3"/>
  <c r="AR379" i="3"/>
  <c r="CT350" i="3" l="1"/>
  <c r="CP351" i="3"/>
  <c r="AJ351" i="25"/>
  <c r="CN353" i="3"/>
  <c r="CO353" i="3" s="1"/>
  <c r="CN352" i="3"/>
  <c r="CO352" i="3" s="1"/>
  <c r="CL354" i="3"/>
  <c r="CJ355" i="3"/>
  <c r="CH356" i="3"/>
  <c r="CI356" i="3" s="1"/>
  <c r="CD357" i="3"/>
  <c r="CA358" i="3"/>
  <c r="CB358" i="3" s="1"/>
  <c r="CD358" i="3" s="1"/>
  <c r="BZ359" i="3"/>
  <c r="BX360" i="3"/>
  <c r="BX361" i="3"/>
  <c r="BV362" i="3"/>
  <c r="BW362" i="3" s="1"/>
  <c r="BT363" i="3"/>
  <c r="BR364" i="3"/>
  <c r="BP365" i="3"/>
  <c r="BN366" i="3"/>
  <c r="BO366" i="3" s="1"/>
  <c r="BL367" i="3"/>
  <c r="BJ368" i="3"/>
  <c r="BH369" i="3"/>
  <c r="BF370" i="3"/>
  <c r="BG370" i="3" s="1"/>
  <c r="BD371" i="3"/>
  <c r="BE371" i="3" s="1"/>
  <c r="BD372" i="3"/>
  <c r="BE372" i="3" s="1"/>
  <c r="BB373" i="3"/>
  <c r="AZ374" i="3"/>
  <c r="AU377" i="3"/>
  <c r="AV377" i="3" s="1"/>
  <c r="AW377" i="3" s="1"/>
  <c r="AX375" i="3"/>
  <c r="AT378" i="3"/>
  <c r="AS379" i="3"/>
  <c r="AR380" i="3"/>
  <c r="CT351" i="3" l="1"/>
  <c r="CP352" i="3"/>
  <c r="CP353" i="3"/>
  <c r="AJ352" i="25"/>
  <c r="AJ353" i="25"/>
  <c r="CN354" i="3"/>
  <c r="CO354" i="3" s="1"/>
  <c r="CL355" i="3"/>
  <c r="CJ356" i="3"/>
  <c r="CF358" i="3"/>
  <c r="CG358" i="3" s="1"/>
  <c r="CF357" i="3"/>
  <c r="CA359" i="3"/>
  <c r="CB359" i="3" s="1"/>
  <c r="CD359" i="3" s="1"/>
  <c r="BZ361" i="3"/>
  <c r="BZ360" i="3"/>
  <c r="BX362" i="3"/>
  <c r="BY362" i="3" s="1"/>
  <c r="BV363" i="3"/>
  <c r="BT364" i="3"/>
  <c r="BR365" i="3"/>
  <c r="BS365" i="3" s="1"/>
  <c r="BP366" i="3"/>
  <c r="BN367" i="3"/>
  <c r="BO367" i="3" s="1"/>
  <c r="BL368" i="3"/>
  <c r="BJ369" i="3"/>
  <c r="BK369" i="3" s="1"/>
  <c r="BH370" i="3"/>
  <c r="BF372" i="3"/>
  <c r="BG372" i="3" s="1"/>
  <c r="BF371" i="3"/>
  <c r="BG371" i="3" s="1"/>
  <c r="BD373" i="3"/>
  <c r="BE373" i="3" s="1"/>
  <c r="BB374" i="3"/>
  <c r="AZ375" i="3"/>
  <c r="AU378" i="3"/>
  <c r="AV378" i="3" s="1"/>
  <c r="AX376" i="3"/>
  <c r="AT379" i="3"/>
  <c r="AS380" i="3"/>
  <c r="AR381" i="3"/>
  <c r="CT353" i="3" l="1"/>
  <c r="CT352" i="3"/>
  <c r="CP354" i="3"/>
  <c r="AJ354" i="25"/>
  <c r="CN355" i="3"/>
  <c r="CO355" i="3" s="1"/>
  <c r="CL356" i="3"/>
  <c r="CH357" i="3"/>
  <c r="CH358" i="3"/>
  <c r="CI358" i="3" s="1"/>
  <c r="CE359" i="3"/>
  <c r="CF359" i="3" s="1"/>
  <c r="CG359" i="3" s="1"/>
  <c r="CA360" i="3"/>
  <c r="CB360" i="3" s="1"/>
  <c r="CA361" i="3"/>
  <c r="CB361" i="3" s="1"/>
  <c r="BZ362" i="3"/>
  <c r="BX363" i="3"/>
  <c r="BV364" i="3"/>
  <c r="BT365" i="3"/>
  <c r="BR366" i="3"/>
  <c r="BS366" i="3" s="1"/>
  <c r="BP367" i="3"/>
  <c r="BN368" i="3"/>
  <c r="BL369" i="3"/>
  <c r="BJ370" i="3"/>
  <c r="BK370" i="3" s="1"/>
  <c r="BH371" i="3"/>
  <c r="BH372" i="3"/>
  <c r="BF373" i="3"/>
  <c r="BG373" i="3" s="1"/>
  <c r="BD374" i="3"/>
  <c r="BE374" i="3" s="1"/>
  <c r="BA375" i="3"/>
  <c r="BB375" i="3" s="1"/>
  <c r="AZ376" i="3"/>
  <c r="AU379" i="3"/>
  <c r="AV379" i="3" s="1"/>
  <c r="AX377" i="3"/>
  <c r="AT380" i="3"/>
  <c r="AS381" i="3"/>
  <c r="AR382" i="3"/>
  <c r="CT354" i="3" l="1"/>
  <c r="CP355" i="3"/>
  <c r="AJ355" i="25"/>
  <c r="CN356" i="3"/>
  <c r="CO356" i="3" s="1"/>
  <c r="CJ358" i="3"/>
  <c r="CJ357" i="3"/>
  <c r="CH359" i="3"/>
  <c r="CI359" i="3" s="1"/>
  <c r="CD361" i="3"/>
  <c r="CD360" i="3"/>
  <c r="CA362" i="3"/>
  <c r="CB362" i="3" s="1"/>
  <c r="CD362" i="3" s="1"/>
  <c r="CE362" i="3" s="1"/>
  <c r="BZ363" i="3"/>
  <c r="BX364" i="3"/>
  <c r="BV365" i="3"/>
  <c r="BW365" i="3" s="1"/>
  <c r="BT366" i="3"/>
  <c r="BR367" i="3"/>
  <c r="BP368" i="3"/>
  <c r="BN369" i="3"/>
  <c r="BO369" i="3" s="1"/>
  <c r="BL370" i="3"/>
  <c r="BJ371" i="3"/>
  <c r="BK371" i="3" s="1"/>
  <c r="BJ372" i="3"/>
  <c r="BK372" i="3" s="1"/>
  <c r="BH373" i="3"/>
  <c r="BF374" i="3"/>
  <c r="BG374" i="3" s="1"/>
  <c r="BD375" i="3"/>
  <c r="BE375" i="3" s="1"/>
  <c r="BB376" i="3"/>
  <c r="AZ377" i="3"/>
  <c r="AU380" i="3"/>
  <c r="AV380" i="3" s="1"/>
  <c r="AX378" i="3"/>
  <c r="AW379" i="3"/>
  <c r="AT381" i="3"/>
  <c r="AS382" i="3"/>
  <c r="AR383" i="3"/>
  <c r="AR384" i="3"/>
  <c r="AS384" i="3" s="1"/>
  <c r="CT355" i="3" l="1"/>
  <c r="CP356" i="3"/>
  <c r="AJ356" i="25"/>
  <c r="CL357" i="3"/>
  <c r="CL358" i="3"/>
  <c r="CJ359" i="3"/>
  <c r="CF362" i="3"/>
  <c r="CG362" i="3" s="1"/>
  <c r="CF361" i="3"/>
  <c r="CG361" i="3" s="1"/>
  <c r="CE360" i="3"/>
  <c r="CF360" i="3" s="1"/>
  <c r="CG360" i="3" s="1"/>
  <c r="CA363" i="3"/>
  <c r="CB363" i="3" s="1"/>
  <c r="BZ364" i="3"/>
  <c r="BX365" i="3"/>
  <c r="BV366" i="3"/>
  <c r="BT367" i="3"/>
  <c r="BR368" i="3"/>
  <c r="BP369" i="3"/>
  <c r="BN370" i="3"/>
  <c r="BL372" i="3"/>
  <c r="BL371" i="3"/>
  <c r="BJ373" i="3"/>
  <c r="BK373" i="3" s="1"/>
  <c r="BH374" i="3"/>
  <c r="BF375" i="3"/>
  <c r="BG375" i="3" s="1"/>
  <c r="BD376" i="3"/>
  <c r="BE376" i="3" s="1"/>
  <c r="BA377" i="3"/>
  <c r="BB377" i="3" s="1"/>
  <c r="AZ378" i="3"/>
  <c r="AU381" i="3"/>
  <c r="AV381" i="3" s="1"/>
  <c r="AX379" i="3"/>
  <c r="AY379" i="3" s="1"/>
  <c r="AT382" i="3"/>
  <c r="AS383" i="3"/>
  <c r="AR385" i="3"/>
  <c r="CT356" i="3" l="1"/>
  <c r="CN358" i="3"/>
  <c r="CO358" i="3" s="1"/>
  <c r="CN357" i="3"/>
  <c r="CO357" i="3" s="1"/>
  <c r="CL359" i="3"/>
  <c r="CM359" i="3" s="1"/>
  <c r="CH360" i="3"/>
  <c r="CI360" i="3" s="1"/>
  <c r="CH361" i="3"/>
  <c r="CI361" i="3" s="1"/>
  <c r="CH362" i="3"/>
  <c r="CI362" i="3" s="1"/>
  <c r="CD363" i="3"/>
  <c r="CE363" i="3" s="1"/>
  <c r="CA364" i="3"/>
  <c r="CB364" i="3" s="1"/>
  <c r="CD364" i="3" s="1"/>
  <c r="BZ365" i="3"/>
  <c r="BX366" i="3"/>
  <c r="BV367" i="3"/>
  <c r="BT368" i="3"/>
  <c r="BR369" i="3"/>
  <c r="BS369" i="3" s="1"/>
  <c r="BP370" i="3"/>
  <c r="BN372" i="3"/>
  <c r="BN371" i="3"/>
  <c r="BO371" i="3" s="1"/>
  <c r="BL373" i="3"/>
  <c r="BJ374" i="3"/>
  <c r="BK374" i="3" s="1"/>
  <c r="BH375" i="3"/>
  <c r="BF376" i="3"/>
  <c r="BG376" i="3" s="1"/>
  <c r="BD377" i="3"/>
  <c r="BB378" i="3"/>
  <c r="AZ379" i="3"/>
  <c r="AU382" i="3"/>
  <c r="AV382" i="3" s="1"/>
  <c r="AW382" i="3" s="1"/>
  <c r="AX380" i="3"/>
  <c r="AT383" i="3"/>
  <c r="AT384" i="3"/>
  <c r="AS385" i="3"/>
  <c r="AR386" i="3"/>
  <c r="AT386" i="3" s="1"/>
  <c r="AJ357" i="25" l="1"/>
  <c r="CP358" i="3"/>
  <c r="AJ358" i="25"/>
  <c r="CP357" i="3"/>
  <c r="CN359" i="3"/>
  <c r="CO359" i="3" s="1"/>
  <c r="CJ362" i="3"/>
  <c r="CJ361" i="3"/>
  <c r="CJ360" i="3"/>
  <c r="CF364" i="3"/>
  <c r="CG364" i="3" s="1"/>
  <c r="CF363" i="3"/>
  <c r="CG363" i="3" s="1"/>
  <c r="CA365" i="3"/>
  <c r="CB365" i="3" s="1"/>
  <c r="CD365" i="3" s="1"/>
  <c r="BZ366" i="3"/>
  <c r="BX367" i="3"/>
  <c r="BV368" i="3"/>
  <c r="BT369" i="3"/>
  <c r="BR370" i="3"/>
  <c r="BP371" i="3"/>
  <c r="BP372" i="3"/>
  <c r="BN373" i="3"/>
  <c r="BO373" i="3" s="1"/>
  <c r="BL374" i="3"/>
  <c r="BJ375" i="3"/>
  <c r="BK375" i="3" s="1"/>
  <c r="BH376" i="3"/>
  <c r="BF377" i="3"/>
  <c r="BD378" i="3"/>
  <c r="BE378" i="3" s="1"/>
  <c r="BB379" i="3"/>
  <c r="AZ380" i="3"/>
  <c r="AV386" i="3"/>
  <c r="AX386" i="3" s="1"/>
  <c r="AV384" i="3"/>
  <c r="AU383" i="3"/>
  <c r="AV383" i="3" s="1"/>
  <c r="AX381" i="3"/>
  <c r="AT385" i="3"/>
  <c r="AR387" i="3"/>
  <c r="CT357" i="3" l="1"/>
  <c r="CT358" i="3"/>
  <c r="CP359" i="3"/>
  <c r="AJ359" i="25"/>
  <c r="CL360" i="3"/>
  <c r="CL361" i="3"/>
  <c r="CL362" i="3"/>
  <c r="CH363" i="3"/>
  <c r="CI363" i="3" s="1"/>
  <c r="CH364" i="3"/>
  <c r="CI364" i="3" s="1"/>
  <c r="CF365" i="3"/>
  <c r="CG365" i="3" s="1"/>
  <c r="CA366" i="3"/>
  <c r="CB366" i="3" s="1"/>
  <c r="BZ367" i="3"/>
  <c r="BX368" i="3"/>
  <c r="BV369" i="3"/>
  <c r="BW369" i="3" s="1"/>
  <c r="BT370" i="3"/>
  <c r="BR372" i="3"/>
  <c r="BS372" i="3" s="1"/>
  <c r="BR371" i="3"/>
  <c r="BP373" i="3"/>
  <c r="BN374" i="3"/>
  <c r="BO374" i="3" s="1"/>
  <c r="BL375" i="3"/>
  <c r="BJ376" i="3"/>
  <c r="BK376" i="3" s="1"/>
  <c r="BH377" i="3"/>
  <c r="BF378" i="3"/>
  <c r="BG378" i="3" s="1"/>
  <c r="BD379" i="3"/>
  <c r="BE379" i="3" s="1"/>
  <c r="BB380" i="3"/>
  <c r="AZ381" i="3"/>
  <c r="AZ386" i="3"/>
  <c r="AX384" i="3"/>
  <c r="AU385" i="3"/>
  <c r="AV385" i="3" s="1"/>
  <c r="AX382" i="3"/>
  <c r="AS387" i="3"/>
  <c r="AR388" i="3"/>
  <c r="CT359" i="3" l="1"/>
  <c r="CN362" i="3"/>
  <c r="CO362" i="3" s="1"/>
  <c r="CN361" i="3"/>
  <c r="CO361" i="3" s="1"/>
  <c r="CN360" i="3"/>
  <c r="CO360" i="3" s="1"/>
  <c r="CJ364" i="3"/>
  <c r="CJ363" i="3"/>
  <c r="CH365" i="3"/>
  <c r="CI365" i="3" s="1"/>
  <c r="CD366" i="3"/>
  <c r="CA367" i="3"/>
  <c r="CB367" i="3" s="1"/>
  <c r="CD367" i="3" s="1"/>
  <c r="BZ368" i="3"/>
  <c r="BX369" i="3"/>
  <c r="BY369" i="3" s="1"/>
  <c r="BV370" i="3"/>
  <c r="BT371" i="3"/>
  <c r="BT372" i="3"/>
  <c r="BR373" i="3"/>
  <c r="BP374" i="3"/>
  <c r="BN375" i="3"/>
  <c r="BL376" i="3"/>
  <c r="BJ377" i="3"/>
  <c r="BH378" i="3"/>
  <c r="BF379" i="3"/>
  <c r="BG379" i="3" s="1"/>
  <c r="BD380" i="3"/>
  <c r="BE380" i="3" s="1"/>
  <c r="BB381" i="3"/>
  <c r="BB386" i="3"/>
  <c r="AZ382" i="3"/>
  <c r="AZ384" i="3"/>
  <c r="AX383" i="3"/>
  <c r="AT387" i="3"/>
  <c r="AS388" i="3"/>
  <c r="AR389" i="3"/>
  <c r="CP360" i="3" l="1"/>
  <c r="AJ361" i="25"/>
  <c r="CP362" i="3"/>
  <c r="AJ362" i="25"/>
  <c r="AJ360" i="25"/>
  <c r="CP361" i="3"/>
  <c r="CL363" i="3"/>
  <c r="CL364" i="3"/>
  <c r="CJ365" i="3"/>
  <c r="CE367" i="3"/>
  <c r="CF367" i="3" s="1"/>
  <c r="CG367" i="3" s="1"/>
  <c r="CE366" i="3"/>
  <c r="CF366" i="3" s="1"/>
  <c r="CG366" i="3" s="1"/>
  <c r="CB368" i="3"/>
  <c r="CD368" i="3" s="1"/>
  <c r="BZ369" i="3"/>
  <c r="BX370" i="3"/>
  <c r="BV372" i="3"/>
  <c r="BW372" i="3" s="1"/>
  <c r="BV371" i="3"/>
  <c r="BT373" i="3"/>
  <c r="BR374" i="3"/>
  <c r="BP375" i="3"/>
  <c r="BN376" i="3"/>
  <c r="BO376" i="3" s="1"/>
  <c r="BL377" i="3"/>
  <c r="BJ378" i="3"/>
  <c r="BK378" i="3" s="1"/>
  <c r="BH379" i="3"/>
  <c r="BF380" i="3"/>
  <c r="BG380" i="3" s="1"/>
  <c r="BD386" i="3"/>
  <c r="BD381" i="3"/>
  <c r="BE381" i="3" s="1"/>
  <c r="BB384" i="3"/>
  <c r="BA382" i="3"/>
  <c r="BB382" i="3" s="1"/>
  <c r="AZ383" i="3"/>
  <c r="AU387" i="3"/>
  <c r="AV387" i="3" s="1"/>
  <c r="AX385" i="3"/>
  <c r="AT388" i="3"/>
  <c r="AS389" i="3"/>
  <c r="AR390" i="3"/>
  <c r="CT361" i="3" l="1"/>
  <c r="CT362" i="3"/>
  <c r="CT360" i="3"/>
  <c r="CN364" i="3"/>
  <c r="CO364" i="3" s="1"/>
  <c r="CN363" i="3"/>
  <c r="CO363" i="3" s="1"/>
  <c r="CL365" i="3"/>
  <c r="CH366" i="3"/>
  <c r="CI366" i="3" s="1"/>
  <c r="CH367" i="3"/>
  <c r="CI367" i="3" s="1"/>
  <c r="CF368" i="3"/>
  <c r="CB369" i="3"/>
  <c r="CD369" i="3" s="1"/>
  <c r="BZ370" i="3"/>
  <c r="BX371" i="3"/>
  <c r="BX372" i="3"/>
  <c r="BV373" i="3"/>
  <c r="BT374" i="3"/>
  <c r="BR375" i="3"/>
  <c r="BS375" i="3" s="1"/>
  <c r="BP376" i="3"/>
  <c r="BN377" i="3"/>
  <c r="BL378" i="3"/>
  <c r="BJ379" i="3"/>
  <c r="BK379" i="3" s="1"/>
  <c r="BH380" i="3"/>
  <c r="BF386" i="3"/>
  <c r="BF381" i="3"/>
  <c r="BG381" i="3" s="1"/>
  <c r="BD382" i="3"/>
  <c r="BE382" i="3" s="1"/>
  <c r="BD384" i="3"/>
  <c r="BB383" i="3"/>
  <c r="AZ385" i="3"/>
  <c r="AU388" i="3"/>
  <c r="AV388" i="3" s="1"/>
  <c r="AT389" i="3"/>
  <c r="AS390" i="3"/>
  <c r="AR391" i="3"/>
  <c r="AR392" i="3"/>
  <c r="CP363" i="3" l="1"/>
  <c r="CP364" i="3"/>
  <c r="AJ364" i="25"/>
  <c r="AJ363" i="25"/>
  <c r="CN365" i="3"/>
  <c r="CO365" i="3" s="1"/>
  <c r="CJ367" i="3"/>
  <c r="CJ366" i="3"/>
  <c r="CH368" i="3"/>
  <c r="CF369" i="3"/>
  <c r="CA370" i="3"/>
  <c r="CB370" i="3" s="1"/>
  <c r="BZ372" i="3"/>
  <c r="CA372" i="3" s="1"/>
  <c r="BZ371" i="3"/>
  <c r="BX373" i="3"/>
  <c r="BV374" i="3"/>
  <c r="BT375" i="3"/>
  <c r="BR376" i="3"/>
  <c r="BS376" i="3" s="1"/>
  <c r="BP377" i="3"/>
  <c r="BN378" i="3"/>
  <c r="BO378" i="3" s="1"/>
  <c r="BL379" i="3"/>
  <c r="BJ380" i="3"/>
  <c r="BK380" i="3" s="1"/>
  <c r="BH381" i="3"/>
  <c r="BH386" i="3"/>
  <c r="BF384" i="3"/>
  <c r="BF382" i="3"/>
  <c r="BG382" i="3" s="1"/>
  <c r="BD383" i="3"/>
  <c r="BE383" i="3" s="1"/>
  <c r="BB385" i="3"/>
  <c r="AU389" i="3"/>
  <c r="AV389" i="3" s="1"/>
  <c r="AW389" i="3" s="1"/>
  <c r="AX387" i="3"/>
  <c r="AT390" i="3"/>
  <c r="AS391" i="3"/>
  <c r="AS392" i="3"/>
  <c r="AR393" i="3"/>
  <c r="AT393" i="3" s="1"/>
  <c r="CT364" i="3" l="1"/>
  <c r="CT363" i="3"/>
  <c r="CP365" i="3"/>
  <c r="AJ365" i="25"/>
  <c r="CL366" i="3"/>
  <c r="CL367" i="3"/>
  <c r="CJ368" i="3"/>
  <c r="CH369" i="3"/>
  <c r="CD370" i="3"/>
  <c r="CE370" i="3" s="1"/>
  <c r="CA371" i="3"/>
  <c r="CB371" i="3" s="1"/>
  <c r="CB372" i="3"/>
  <c r="CD372" i="3" s="1"/>
  <c r="BZ373" i="3"/>
  <c r="BX374" i="3"/>
  <c r="BV375" i="3"/>
  <c r="BT376" i="3"/>
  <c r="BR377" i="3"/>
  <c r="BP378" i="3"/>
  <c r="BN379" i="3"/>
  <c r="BL380" i="3"/>
  <c r="BJ381" i="3"/>
  <c r="BK381" i="3" s="1"/>
  <c r="BJ386" i="3"/>
  <c r="BH382" i="3"/>
  <c r="BH384" i="3"/>
  <c r="BF383" i="3"/>
  <c r="BG383" i="3" s="1"/>
  <c r="BD385" i="3"/>
  <c r="BE385" i="3" s="1"/>
  <c r="AZ387" i="3"/>
  <c r="AV393" i="3"/>
  <c r="AX393" i="3" s="1"/>
  <c r="AU390" i="3"/>
  <c r="AV390" i="3" s="1"/>
  <c r="AX388" i="3"/>
  <c r="AT391" i="3"/>
  <c r="AT392" i="3"/>
  <c r="CT365" i="3" l="1"/>
  <c r="CN367" i="3"/>
  <c r="CO367" i="3" s="1"/>
  <c r="CM366" i="3"/>
  <c r="CN366" i="3" s="1"/>
  <c r="CO366" i="3" s="1"/>
  <c r="CL368" i="3"/>
  <c r="CJ369" i="3"/>
  <c r="CF372" i="3"/>
  <c r="CF370" i="3"/>
  <c r="CG370" i="3" s="1"/>
  <c r="CD371" i="3"/>
  <c r="CB373" i="3"/>
  <c r="CD373" i="3" s="1"/>
  <c r="BZ374" i="3"/>
  <c r="BX375" i="3"/>
  <c r="BV376" i="3"/>
  <c r="BW376" i="3" s="1"/>
  <c r="BT377" i="3"/>
  <c r="BR378" i="3"/>
  <c r="BP379" i="3"/>
  <c r="BN380" i="3"/>
  <c r="BO380" i="3" s="1"/>
  <c r="BL386" i="3"/>
  <c r="BL381" i="3"/>
  <c r="BJ382" i="3"/>
  <c r="BK382" i="3" s="1"/>
  <c r="BJ384" i="3"/>
  <c r="BH383" i="3"/>
  <c r="BF385" i="3"/>
  <c r="BG385" i="3" s="1"/>
  <c r="BB387" i="3"/>
  <c r="AZ388" i="3"/>
  <c r="AZ393" i="3"/>
  <c r="AU392" i="3"/>
  <c r="AV392" i="3" s="1"/>
  <c r="AW392" i="3" s="1"/>
  <c r="AU391" i="3"/>
  <c r="AV391" i="3" s="1"/>
  <c r="AW391" i="3" s="1"/>
  <c r="AX389" i="3"/>
  <c r="AR394" i="3"/>
  <c r="AR395" i="3"/>
  <c r="CP366" i="3" l="1"/>
  <c r="CP367" i="3"/>
  <c r="AJ366" i="25"/>
  <c r="AJ367" i="25"/>
  <c r="CN368" i="3"/>
  <c r="CO368" i="3" s="1"/>
  <c r="CL369" i="3"/>
  <c r="CH370" i="3"/>
  <c r="CI370" i="3" s="1"/>
  <c r="CH372" i="3"/>
  <c r="CF373" i="3"/>
  <c r="CF371" i="3"/>
  <c r="CG371" i="3" s="1"/>
  <c r="CA374" i="3"/>
  <c r="CB374" i="3" s="1"/>
  <c r="BZ375" i="3"/>
  <c r="BX376" i="3"/>
  <c r="BY376" i="3" s="1"/>
  <c r="BV377" i="3"/>
  <c r="BT378" i="3"/>
  <c r="BR379" i="3"/>
  <c r="BS379" i="3" s="1"/>
  <c r="BP380" i="3"/>
  <c r="BN381" i="3"/>
  <c r="BO381" i="3" s="1"/>
  <c r="BN386" i="3"/>
  <c r="BL384" i="3"/>
  <c r="BL382" i="3"/>
  <c r="BJ383" i="3"/>
  <c r="BK383" i="3" s="1"/>
  <c r="BH385" i="3"/>
  <c r="BD387" i="3"/>
  <c r="BB393" i="3"/>
  <c r="BB388" i="3"/>
  <c r="AZ389" i="3"/>
  <c r="AX390" i="3"/>
  <c r="AS394" i="3"/>
  <c r="AS395" i="3"/>
  <c r="AR396" i="3"/>
  <c r="CT366" i="3" l="1"/>
  <c r="CT367" i="3"/>
  <c r="AJ368" i="25"/>
  <c r="CP368" i="3"/>
  <c r="CN369" i="3"/>
  <c r="CO369" i="3" s="1"/>
  <c r="CJ372" i="3"/>
  <c r="CJ370" i="3"/>
  <c r="CH371" i="3"/>
  <c r="CI371" i="3" s="1"/>
  <c r="CH373" i="3"/>
  <c r="CD374" i="3"/>
  <c r="CA375" i="3"/>
  <c r="CB375" i="3" s="1"/>
  <c r="CD375" i="3" s="1"/>
  <c r="BZ376" i="3"/>
  <c r="CA376" i="3" s="1"/>
  <c r="BX377" i="3"/>
  <c r="BV378" i="3"/>
  <c r="BT379" i="3"/>
  <c r="BR380" i="3"/>
  <c r="BS380" i="3" s="1"/>
  <c r="BP386" i="3"/>
  <c r="BP381" i="3"/>
  <c r="BN382" i="3"/>
  <c r="BN384" i="3"/>
  <c r="BL383" i="3"/>
  <c r="BJ385" i="3"/>
  <c r="BK385" i="3" s="1"/>
  <c r="BF387" i="3"/>
  <c r="BD388" i="3"/>
  <c r="BE388" i="3" s="1"/>
  <c r="BD393" i="3"/>
  <c r="BA389" i="3"/>
  <c r="BB389" i="3" s="1"/>
  <c r="AZ390" i="3"/>
  <c r="AX391" i="3"/>
  <c r="AX392" i="3"/>
  <c r="AT394" i="3"/>
  <c r="AU394" i="3" s="1"/>
  <c r="AT395" i="3"/>
  <c r="AS396" i="3"/>
  <c r="AR397" i="3"/>
  <c r="CT368" i="3" l="1"/>
  <c r="CP369" i="3"/>
  <c r="AJ369" i="25"/>
  <c r="CL370" i="3"/>
  <c r="CL372" i="3"/>
  <c r="CJ373" i="3"/>
  <c r="CJ371" i="3"/>
  <c r="CF375" i="3"/>
  <c r="CG375" i="3" s="1"/>
  <c r="CE374" i="3"/>
  <c r="CF374" i="3" s="1"/>
  <c r="CG374" i="3" s="1"/>
  <c r="CB376" i="3"/>
  <c r="CD376" i="3" s="1"/>
  <c r="CE376" i="3" s="1"/>
  <c r="BZ377" i="3"/>
  <c r="BX378" i="3"/>
  <c r="BV379" i="3"/>
  <c r="BW379" i="3" s="1"/>
  <c r="BT380" i="3"/>
  <c r="BR381" i="3"/>
  <c r="BR386" i="3"/>
  <c r="BP382" i="3"/>
  <c r="BP384" i="3"/>
  <c r="BN383" i="3"/>
  <c r="BO383" i="3" s="1"/>
  <c r="BL385" i="3"/>
  <c r="BH387" i="3"/>
  <c r="BF393" i="3"/>
  <c r="BF388" i="3"/>
  <c r="BG388" i="3" s="1"/>
  <c r="BD389" i="3"/>
  <c r="BE389" i="3" s="1"/>
  <c r="BB390" i="3"/>
  <c r="AZ391" i="3"/>
  <c r="AZ392" i="3"/>
  <c r="AV394" i="3"/>
  <c r="AU395" i="3"/>
  <c r="AV395" i="3" s="1"/>
  <c r="AT396" i="3"/>
  <c r="AS397" i="3"/>
  <c r="AR398" i="3"/>
  <c r="CT369" i="3" l="1"/>
  <c r="CN372" i="3"/>
  <c r="CO372" i="3" s="1"/>
  <c r="CN370" i="3"/>
  <c r="CO370" i="3" s="1"/>
  <c r="CL373" i="3"/>
  <c r="CL371" i="3"/>
  <c r="CH374" i="3"/>
  <c r="CI374" i="3" s="1"/>
  <c r="CH375" i="3"/>
  <c r="CI375" i="3" s="1"/>
  <c r="CF376" i="3"/>
  <c r="CG376" i="3" s="1"/>
  <c r="CB377" i="3"/>
  <c r="CD377" i="3" s="1"/>
  <c r="BZ378" i="3"/>
  <c r="BX379" i="3"/>
  <c r="BV380" i="3"/>
  <c r="BT386" i="3"/>
  <c r="BT381" i="3"/>
  <c r="BR384" i="3"/>
  <c r="BR382" i="3"/>
  <c r="BS382" i="3" s="1"/>
  <c r="BP383" i="3"/>
  <c r="BN385" i="3"/>
  <c r="BO385" i="3" s="1"/>
  <c r="BJ387" i="3"/>
  <c r="BH393" i="3"/>
  <c r="BH388" i="3"/>
  <c r="BF389" i="3"/>
  <c r="BG389" i="3" s="1"/>
  <c r="BD390" i="3"/>
  <c r="BE390" i="3" s="1"/>
  <c r="BB392" i="3"/>
  <c r="BA391" i="3"/>
  <c r="BB391" i="3" s="1"/>
  <c r="AU396" i="3"/>
  <c r="AV396" i="3" s="1"/>
  <c r="AW396" i="3" s="1"/>
  <c r="AT397" i="3"/>
  <c r="AS398" i="3"/>
  <c r="AR399" i="3"/>
  <c r="AT399" i="3" s="1"/>
  <c r="AR400" i="3"/>
  <c r="CP370" i="3" l="1"/>
  <c r="CP372" i="3"/>
  <c r="AJ372" i="25"/>
  <c r="AJ370" i="25"/>
  <c r="CN371" i="3"/>
  <c r="CO371" i="3" s="1"/>
  <c r="CN373" i="3"/>
  <c r="CO373" i="3" s="1"/>
  <c r="CJ375" i="3"/>
  <c r="CJ374" i="3"/>
  <c r="CH376" i="3"/>
  <c r="CI376" i="3" s="1"/>
  <c r="CF377" i="3"/>
  <c r="CA378" i="3"/>
  <c r="CB378" i="3" s="1"/>
  <c r="BZ379" i="3"/>
  <c r="BX380" i="3"/>
  <c r="BV381" i="3"/>
  <c r="BV386" i="3"/>
  <c r="BT382" i="3"/>
  <c r="BT384" i="3"/>
  <c r="BR383" i="3"/>
  <c r="BS383" i="3" s="1"/>
  <c r="BP385" i="3"/>
  <c r="BL387" i="3"/>
  <c r="BJ388" i="3"/>
  <c r="BK388" i="3" s="1"/>
  <c r="BJ393" i="3"/>
  <c r="BH389" i="3"/>
  <c r="BF390" i="3"/>
  <c r="BG390" i="3" s="1"/>
  <c r="BD391" i="3"/>
  <c r="BE391" i="3" s="1"/>
  <c r="BD392" i="3"/>
  <c r="BE392" i="3" s="1"/>
  <c r="AU397" i="3"/>
  <c r="AV397" i="3" s="1"/>
  <c r="AV399" i="3"/>
  <c r="AX399" i="3" s="1"/>
  <c r="AX395" i="3"/>
  <c r="AX394" i="3"/>
  <c r="AT398" i="3"/>
  <c r="AS400" i="3"/>
  <c r="AR401" i="3"/>
  <c r="AT401" i="3" s="1"/>
  <c r="CT372" i="3" l="1"/>
  <c r="CT370" i="3"/>
  <c r="AJ371" i="25"/>
  <c r="CP373" i="3"/>
  <c r="AJ373" i="25"/>
  <c r="CP371" i="3"/>
  <c r="CL374" i="3"/>
  <c r="CL375" i="3"/>
  <c r="CJ376" i="3"/>
  <c r="CH377" i="3"/>
  <c r="CD378" i="3"/>
  <c r="CA379" i="3"/>
  <c r="CB379" i="3" s="1"/>
  <c r="BZ380" i="3"/>
  <c r="BX386" i="3"/>
  <c r="BX381" i="3"/>
  <c r="BV382" i="3"/>
  <c r="BV384" i="3"/>
  <c r="BT383" i="3"/>
  <c r="BR385" i="3"/>
  <c r="BN387" i="3"/>
  <c r="BL393" i="3"/>
  <c r="BL388" i="3"/>
  <c r="BJ389" i="3"/>
  <c r="BK389" i="3" s="1"/>
  <c r="BH390" i="3"/>
  <c r="BF392" i="3"/>
  <c r="BG392" i="3" s="1"/>
  <c r="BF391" i="3"/>
  <c r="BG391" i="3" s="1"/>
  <c r="AZ399" i="3"/>
  <c r="AZ394" i="3"/>
  <c r="AZ395" i="3"/>
  <c r="AV401" i="3"/>
  <c r="AX401" i="3" s="1"/>
  <c r="AU398" i="3"/>
  <c r="AV398" i="3" s="1"/>
  <c r="AW398" i="3" s="1"/>
  <c r="AX396" i="3"/>
  <c r="AT400" i="3"/>
  <c r="AR402" i="3"/>
  <c r="CT373" i="3" l="1"/>
  <c r="CT371" i="3"/>
  <c r="CN375" i="3"/>
  <c r="CO375" i="3" s="1"/>
  <c r="CN374" i="3"/>
  <c r="CO374" i="3" s="1"/>
  <c r="CL376" i="3"/>
  <c r="CJ377" i="3"/>
  <c r="CF378" i="3"/>
  <c r="CD379" i="3"/>
  <c r="CA380" i="3"/>
  <c r="CB380" i="3" s="1"/>
  <c r="BZ381" i="3"/>
  <c r="BZ386" i="3"/>
  <c r="BX384" i="3"/>
  <c r="BX382" i="3"/>
  <c r="BV383" i="3"/>
  <c r="BW383" i="3" s="1"/>
  <c r="BT385" i="3"/>
  <c r="BP387" i="3"/>
  <c r="BN388" i="3"/>
  <c r="BO388" i="3" s="1"/>
  <c r="BN393" i="3"/>
  <c r="BL389" i="3"/>
  <c r="BJ390" i="3"/>
  <c r="BK390" i="3" s="1"/>
  <c r="BH391" i="3"/>
  <c r="BH392" i="3"/>
  <c r="BI392" i="3" s="1"/>
  <c r="BB394" i="3"/>
  <c r="BB395" i="3"/>
  <c r="BB399" i="3"/>
  <c r="AZ401" i="3"/>
  <c r="AZ396" i="3"/>
  <c r="AU400" i="3"/>
  <c r="AV400" i="3" s="1"/>
  <c r="AW400" i="3" s="1"/>
  <c r="AX397" i="3"/>
  <c r="AS402" i="3"/>
  <c r="AR403" i="3"/>
  <c r="AJ374" i="25" l="1"/>
  <c r="CP375" i="3"/>
  <c r="AJ375" i="25"/>
  <c r="CP374" i="3"/>
  <c r="CN376" i="3"/>
  <c r="CO376" i="3" s="1"/>
  <c r="CL377" i="3"/>
  <c r="CH378" i="3"/>
  <c r="CF379" i="3"/>
  <c r="CD380" i="3"/>
  <c r="CA381" i="3"/>
  <c r="CB381" i="3" s="1"/>
  <c r="CB386" i="3"/>
  <c r="CD386" i="3" s="1"/>
  <c r="BZ382" i="3"/>
  <c r="BZ384" i="3"/>
  <c r="BX383" i="3"/>
  <c r="BY383" i="3" s="1"/>
  <c r="BV385" i="3"/>
  <c r="BR387" i="3"/>
  <c r="BP393" i="3"/>
  <c r="BP388" i="3"/>
  <c r="BN389" i="3"/>
  <c r="BL390" i="3"/>
  <c r="BJ391" i="3"/>
  <c r="BK391" i="3" s="1"/>
  <c r="BJ392" i="3"/>
  <c r="BK392" i="3" s="1"/>
  <c r="BD399" i="3"/>
  <c r="BD395" i="3"/>
  <c r="BE395" i="3" s="1"/>
  <c r="BD394" i="3"/>
  <c r="BB401" i="3"/>
  <c r="BB396" i="3"/>
  <c r="AZ397" i="3"/>
  <c r="AX398" i="3"/>
  <c r="AT402" i="3"/>
  <c r="AS403" i="3"/>
  <c r="AR404" i="3"/>
  <c r="CT374" i="3" l="1"/>
  <c r="CT375" i="3"/>
  <c r="CP376" i="3"/>
  <c r="AJ376" i="25"/>
  <c r="CN377" i="3"/>
  <c r="CO377" i="3" s="1"/>
  <c r="CJ378" i="3"/>
  <c r="CH379" i="3"/>
  <c r="CF386" i="3"/>
  <c r="CE380" i="3"/>
  <c r="CF380" i="3" s="1"/>
  <c r="CG380" i="3" s="1"/>
  <c r="CD381" i="3"/>
  <c r="CA382" i="3"/>
  <c r="CB382" i="3" s="1"/>
  <c r="CD382" i="3" s="1"/>
  <c r="CB384" i="3"/>
  <c r="CD384" i="3" s="1"/>
  <c r="BZ383" i="3"/>
  <c r="BX385" i="3"/>
  <c r="BT387" i="3"/>
  <c r="BR388" i="3"/>
  <c r="BR393" i="3"/>
  <c r="BP389" i="3"/>
  <c r="BN390" i="3"/>
  <c r="BO390" i="3" s="1"/>
  <c r="BL391" i="3"/>
  <c r="BL392" i="3"/>
  <c r="BF394" i="3"/>
  <c r="BF399" i="3"/>
  <c r="BF395" i="3"/>
  <c r="BG395" i="3" s="1"/>
  <c r="BD396" i="3"/>
  <c r="BD401" i="3"/>
  <c r="BB397" i="3"/>
  <c r="AZ398" i="3"/>
  <c r="AU402" i="3"/>
  <c r="AV402" i="3" s="1"/>
  <c r="AX400" i="3"/>
  <c r="AT403" i="3"/>
  <c r="AS404" i="3"/>
  <c r="AR405" i="3"/>
  <c r="CT376" i="3" l="1"/>
  <c r="CP377" i="3"/>
  <c r="AJ377" i="25"/>
  <c r="CL378" i="3"/>
  <c r="CJ379" i="3"/>
  <c r="CH380" i="3"/>
  <c r="CI380" i="3" s="1"/>
  <c r="CH386" i="3"/>
  <c r="CF382" i="3"/>
  <c r="CG382" i="3" s="1"/>
  <c r="CF384" i="3"/>
  <c r="CE381" i="3"/>
  <c r="CF381" i="3" s="1"/>
  <c r="CG381" i="3" s="1"/>
  <c r="CA383" i="3"/>
  <c r="CB383" i="3" s="1"/>
  <c r="CD383" i="3" s="1"/>
  <c r="CE383" i="3" s="1"/>
  <c r="BZ385" i="3"/>
  <c r="BV387" i="3"/>
  <c r="BT388" i="3"/>
  <c r="BT393" i="3"/>
  <c r="BR389" i="3"/>
  <c r="BS389" i="3" s="1"/>
  <c r="BP390" i="3"/>
  <c r="BN391" i="3"/>
  <c r="BN392" i="3"/>
  <c r="BH395" i="3"/>
  <c r="BI395" i="3" s="1"/>
  <c r="BH399" i="3"/>
  <c r="BH394" i="3"/>
  <c r="BF401" i="3"/>
  <c r="BF396" i="3"/>
  <c r="BD397" i="3"/>
  <c r="BE397" i="3" s="1"/>
  <c r="BA398" i="3"/>
  <c r="BB398" i="3" s="1"/>
  <c r="AZ400" i="3"/>
  <c r="AU403" i="3"/>
  <c r="AV403" i="3" s="1"/>
  <c r="AT404" i="3"/>
  <c r="AS405" i="3"/>
  <c r="AR406" i="3"/>
  <c r="CT377" i="3" l="1"/>
  <c r="CN378" i="3"/>
  <c r="CO378" i="3" s="1"/>
  <c r="CL379" i="3"/>
  <c r="CJ386" i="3"/>
  <c r="CJ380" i="3"/>
  <c r="CH382" i="3"/>
  <c r="CI382" i="3" s="1"/>
  <c r="CH384" i="3"/>
  <c r="CH381" i="3"/>
  <c r="CI381" i="3" s="1"/>
  <c r="CF383" i="3"/>
  <c r="CG383" i="3" s="1"/>
  <c r="CA385" i="3"/>
  <c r="CB385" i="3" s="1"/>
  <c r="CD385" i="3" s="1"/>
  <c r="BX387" i="3"/>
  <c r="BV393" i="3"/>
  <c r="BV388" i="3"/>
  <c r="BT389" i="3"/>
  <c r="BR390" i="3"/>
  <c r="BP392" i="3"/>
  <c r="BP391" i="3"/>
  <c r="BJ394" i="3"/>
  <c r="BJ399" i="3"/>
  <c r="BJ395" i="3"/>
  <c r="BK395" i="3" s="1"/>
  <c r="BH401" i="3"/>
  <c r="BH396" i="3"/>
  <c r="BF397" i="3"/>
  <c r="BG397" i="3" s="1"/>
  <c r="BD398" i="3"/>
  <c r="BE398" i="3" s="1"/>
  <c r="BA400" i="3"/>
  <c r="BB400" i="3" s="1"/>
  <c r="AU404" i="3"/>
  <c r="AV404" i="3" s="1"/>
  <c r="AW404" i="3" s="1"/>
  <c r="AX402" i="3"/>
  <c r="AT405" i="3"/>
  <c r="AS406" i="3"/>
  <c r="AR407" i="3"/>
  <c r="CP378" i="3" l="1"/>
  <c r="AJ378" i="25"/>
  <c r="CN379" i="3"/>
  <c r="CO379" i="3" s="1"/>
  <c r="CL380" i="3"/>
  <c r="CL386" i="3"/>
  <c r="CJ382" i="3"/>
  <c r="CJ381" i="3"/>
  <c r="CJ384" i="3"/>
  <c r="CH383" i="3"/>
  <c r="CI383" i="3" s="1"/>
  <c r="CF385" i="3"/>
  <c r="CG385" i="3" s="1"/>
  <c r="BZ387" i="3"/>
  <c r="BX388" i="3"/>
  <c r="BX393" i="3"/>
  <c r="BV389" i="3"/>
  <c r="BT390" i="3"/>
  <c r="BR391" i="3"/>
  <c r="BR392" i="3"/>
  <c r="BS392" i="3" s="1"/>
  <c r="BL395" i="3"/>
  <c r="BL399" i="3"/>
  <c r="BL394" i="3"/>
  <c r="BJ401" i="3"/>
  <c r="BJ396" i="3"/>
  <c r="BH397" i="3"/>
  <c r="BI397" i="3" s="1"/>
  <c r="BF398" i="3"/>
  <c r="BG398" i="3" s="1"/>
  <c r="BD400" i="3"/>
  <c r="BE400" i="3" s="1"/>
  <c r="AZ402" i="3"/>
  <c r="AU405" i="3"/>
  <c r="AV405" i="3" s="1"/>
  <c r="AX403" i="3"/>
  <c r="AT406" i="3"/>
  <c r="AS407" i="3"/>
  <c r="AR408" i="3"/>
  <c r="AT408" i="3" s="1"/>
  <c r="CT378" i="3" l="1"/>
  <c r="CP379" i="3"/>
  <c r="AJ379" i="25"/>
  <c r="CN386" i="3"/>
  <c r="CO386" i="3" s="1"/>
  <c r="CM380" i="3"/>
  <c r="CN380" i="3" s="1"/>
  <c r="CO380" i="3" s="1"/>
  <c r="CL382" i="3"/>
  <c r="CL384" i="3"/>
  <c r="CL381" i="3"/>
  <c r="CJ383" i="3"/>
  <c r="CH385" i="3"/>
  <c r="CI385" i="3" s="1"/>
  <c r="CB387" i="3"/>
  <c r="CD387" i="3" s="1"/>
  <c r="BZ393" i="3"/>
  <c r="BZ388" i="3"/>
  <c r="BX389" i="3"/>
  <c r="BV390" i="3"/>
  <c r="BT392" i="3"/>
  <c r="BT391" i="3"/>
  <c r="BN399" i="3"/>
  <c r="BN394" i="3"/>
  <c r="BN395" i="3"/>
  <c r="BO395" i="3" s="1"/>
  <c r="BL396" i="3"/>
  <c r="BL401" i="3"/>
  <c r="BJ397" i="3"/>
  <c r="BK397" i="3" s="1"/>
  <c r="BH398" i="3"/>
  <c r="BI398" i="3" s="1"/>
  <c r="BF400" i="3"/>
  <c r="BG400" i="3" s="1"/>
  <c r="BB402" i="3"/>
  <c r="AZ403" i="3"/>
  <c r="AV408" i="3"/>
  <c r="AU406" i="3"/>
  <c r="AV406" i="3" s="1"/>
  <c r="AW406" i="3" s="1"/>
  <c r="AX404" i="3"/>
  <c r="AT407" i="3"/>
  <c r="AR409" i="3"/>
  <c r="AT409" i="3" s="1"/>
  <c r="CT379" i="3" l="1"/>
  <c r="CP380" i="3"/>
  <c r="AJ386" i="25"/>
  <c r="CP386" i="3"/>
  <c r="AJ380" i="25"/>
  <c r="CN382" i="3"/>
  <c r="CO382" i="3" s="1"/>
  <c r="CN381" i="3"/>
  <c r="CO381" i="3" s="1"/>
  <c r="CN384" i="3"/>
  <c r="CO384" i="3" s="1"/>
  <c r="CL383" i="3"/>
  <c r="CJ385" i="3"/>
  <c r="CF387" i="3"/>
  <c r="CA388" i="3"/>
  <c r="CB388" i="3" s="1"/>
  <c r="CB393" i="3"/>
  <c r="CD393" i="3" s="1"/>
  <c r="BZ389" i="3"/>
  <c r="BX390" i="3"/>
  <c r="BV391" i="3"/>
  <c r="BV392" i="3"/>
  <c r="BP395" i="3"/>
  <c r="BP394" i="3"/>
  <c r="BP399" i="3"/>
  <c r="BN401" i="3"/>
  <c r="BN396" i="3"/>
  <c r="BL397" i="3"/>
  <c r="BN397" i="3" s="1"/>
  <c r="BO397" i="3" s="1"/>
  <c r="BJ398" i="3"/>
  <c r="BK398" i="3" s="1"/>
  <c r="BH400" i="3"/>
  <c r="BD402" i="3"/>
  <c r="BE402" i="3" s="1"/>
  <c r="BB403" i="3"/>
  <c r="AZ404" i="3"/>
  <c r="AX408" i="3"/>
  <c r="AU407" i="3"/>
  <c r="AV407" i="3" s="1"/>
  <c r="AW407" i="3" s="1"/>
  <c r="AV409" i="3"/>
  <c r="AX405" i="3"/>
  <c r="AR410" i="3"/>
  <c r="CT386" i="3" l="1"/>
  <c r="CT380" i="3"/>
  <c r="AJ382" i="25"/>
  <c r="CP381" i="3"/>
  <c r="AJ384" i="25"/>
  <c r="CP382" i="3"/>
  <c r="AJ381" i="25"/>
  <c r="CN383" i="3"/>
  <c r="CO383" i="3" s="1"/>
  <c r="CP384" i="3"/>
  <c r="CL385" i="3"/>
  <c r="CH387" i="3"/>
  <c r="CF393" i="3"/>
  <c r="CD388" i="3"/>
  <c r="CA389" i="3"/>
  <c r="CB389" i="3" s="1"/>
  <c r="BZ390" i="3"/>
  <c r="BX392" i="3"/>
  <c r="BX391" i="3"/>
  <c r="BR394" i="3"/>
  <c r="BR395" i="3"/>
  <c r="BS395" i="3" s="1"/>
  <c r="BR399" i="3"/>
  <c r="BP396" i="3"/>
  <c r="BP397" i="3"/>
  <c r="BP401" i="3"/>
  <c r="BL398" i="3"/>
  <c r="BJ400" i="3"/>
  <c r="BK400" i="3" s="1"/>
  <c r="BF402" i="3"/>
  <c r="BG402" i="3" s="1"/>
  <c r="BD403" i="3"/>
  <c r="BE403" i="3" s="1"/>
  <c r="BA404" i="3"/>
  <c r="BB404" i="3" s="1"/>
  <c r="AZ405" i="3"/>
  <c r="AZ408" i="3"/>
  <c r="AX409" i="3"/>
  <c r="AX406" i="3"/>
  <c r="AS410" i="3"/>
  <c r="AR411" i="3"/>
  <c r="CT382" i="3" l="1"/>
  <c r="CT384" i="3"/>
  <c r="CT381" i="3"/>
  <c r="CP383" i="3"/>
  <c r="AJ383" i="25"/>
  <c r="CN385" i="3"/>
  <c r="CO385" i="3" s="1"/>
  <c r="CJ387" i="3"/>
  <c r="CH393" i="3"/>
  <c r="CE388" i="3"/>
  <c r="CF388" i="3" s="1"/>
  <c r="CG388" i="3" s="1"/>
  <c r="CD389" i="3"/>
  <c r="CB390" i="3"/>
  <c r="CD390" i="3" s="1"/>
  <c r="BZ391" i="3"/>
  <c r="BZ392" i="3"/>
  <c r="BT399" i="3"/>
  <c r="BT395" i="3"/>
  <c r="BT394" i="3"/>
  <c r="BR397" i="3"/>
  <c r="BR401" i="3"/>
  <c r="BR396" i="3"/>
  <c r="BN398" i="3"/>
  <c r="BL400" i="3"/>
  <c r="BH402" i="3"/>
  <c r="BF403" i="3"/>
  <c r="BG403" i="3" s="1"/>
  <c r="BD404" i="3"/>
  <c r="BE404" i="3" s="1"/>
  <c r="BB405" i="3"/>
  <c r="BB408" i="3"/>
  <c r="AZ406" i="3"/>
  <c r="AZ409" i="3"/>
  <c r="AX407" i="3"/>
  <c r="AT410" i="3"/>
  <c r="AS411" i="3"/>
  <c r="AR412" i="3"/>
  <c r="CT383" i="3" l="1"/>
  <c r="CP385" i="3"/>
  <c r="AJ385" i="25"/>
  <c r="CL387" i="3"/>
  <c r="CJ393" i="3"/>
  <c r="CH388" i="3"/>
  <c r="CI388" i="3" s="1"/>
  <c r="CF390" i="3"/>
  <c r="CF389" i="3"/>
  <c r="CG389" i="3" s="1"/>
  <c r="CA392" i="3"/>
  <c r="CB392" i="3" s="1"/>
  <c r="CD392" i="3" s="1"/>
  <c r="CA391" i="3"/>
  <c r="CB391" i="3" s="1"/>
  <c r="BV395" i="3"/>
  <c r="BV399" i="3"/>
  <c r="BV394" i="3"/>
  <c r="BT396" i="3"/>
  <c r="BT401" i="3"/>
  <c r="BT397" i="3"/>
  <c r="BU397" i="3" s="1"/>
  <c r="BP398" i="3"/>
  <c r="BN400" i="3"/>
  <c r="BJ402" i="3"/>
  <c r="BK402" i="3" s="1"/>
  <c r="BH403" i="3"/>
  <c r="BF404" i="3"/>
  <c r="BG404" i="3" s="1"/>
  <c r="BD408" i="3"/>
  <c r="BD405" i="3"/>
  <c r="BE405" i="3" s="1"/>
  <c r="BB409" i="3"/>
  <c r="BA406" i="3"/>
  <c r="BB406" i="3" s="1"/>
  <c r="AZ407" i="3"/>
  <c r="AU410" i="3"/>
  <c r="AV410" i="3" s="1"/>
  <c r="AT411" i="3"/>
  <c r="AS412" i="3"/>
  <c r="AR413" i="3"/>
  <c r="AR414" i="3"/>
  <c r="CT385" i="3" l="1"/>
  <c r="CN387" i="3"/>
  <c r="CO387" i="3" s="1"/>
  <c r="CL393" i="3"/>
  <c r="CJ388" i="3"/>
  <c r="CH389" i="3"/>
  <c r="CI389" i="3" s="1"/>
  <c r="CH390" i="3"/>
  <c r="CF392" i="3"/>
  <c r="CG392" i="3" s="1"/>
  <c r="CD391" i="3"/>
  <c r="CE391" i="3" s="1"/>
  <c r="BX394" i="3"/>
  <c r="BX399" i="3"/>
  <c r="BX395" i="3"/>
  <c r="BV397" i="3"/>
  <c r="BV401" i="3"/>
  <c r="BV396" i="3"/>
  <c r="BR398" i="3"/>
  <c r="BP400" i="3"/>
  <c r="BL402" i="3"/>
  <c r="BJ403" i="3"/>
  <c r="BK403" i="3" s="1"/>
  <c r="BH404" i="3"/>
  <c r="BF408" i="3"/>
  <c r="BF405" i="3"/>
  <c r="BG405" i="3" s="1"/>
  <c r="BD409" i="3"/>
  <c r="BD406" i="3"/>
  <c r="BE406" i="3" s="1"/>
  <c r="BB407" i="3"/>
  <c r="AU411" i="3"/>
  <c r="AV411" i="3" s="1"/>
  <c r="AT412" i="3"/>
  <c r="AS413" i="3"/>
  <c r="AS414" i="3"/>
  <c r="AR415" i="3"/>
  <c r="AT415" i="3" s="1"/>
  <c r="CN393" i="3" l="1"/>
  <c r="CO393" i="3" s="1"/>
  <c r="CP387" i="3"/>
  <c r="AJ387" i="25"/>
  <c r="CL388" i="3"/>
  <c r="CJ390" i="3"/>
  <c r="CJ389" i="3"/>
  <c r="CH392" i="3"/>
  <c r="CI392" i="3" s="1"/>
  <c r="CF391" i="3"/>
  <c r="CG391" i="3" s="1"/>
  <c r="BZ399" i="3"/>
  <c r="BZ395" i="3"/>
  <c r="BZ394" i="3"/>
  <c r="BX401" i="3"/>
  <c r="BX397" i="3"/>
  <c r="BY397" i="3" s="1"/>
  <c r="BX396" i="3"/>
  <c r="BT398" i="3"/>
  <c r="BR400" i="3"/>
  <c r="BN402" i="3"/>
  <c r="BO402" i="3" s="1"/>
  <c r="BL403" i="3"/>
  <c r="BJ404" i="3"/>
  <c r="BK404" i="3" s="1"/>
  <c r="BH408" i="3"/>
  <c r="BH405" i="3"/>
  <c r="BF409" i="3"/>
  <c r="BF406" i="3"/>
  <c r="BG406" i="3" s="1"/>
  <c r="BD407" i="3"/>
  <c r="BE407" i="3" s="1"/>
  <c r="AV415" i="3"/>
  <c r="AU412" i="3"/>
  <c r="AV412" i="3" s="1"/>
  <c r="AW412" i="3" s="1"/>
  <c r="AX410" i="3"/>
  <c r="AT413" i="3"/>
  <c r="AT414" i="3"/>
  <c r="AU414" i="3" s="1"/>
  <c r="AR416" i="3"/>
  <c r="CT387" i="3" l="1"/>
  <c r="CP393" i="3"/>
  <c r="AJ393" i="25"/>
  <c r="CN388" i="3"/>
  <c r="CO388" i="3" s="1"/>
  <c r="CL389" i="3"/>
  <c r="CL390" i="3"/>
  <c r="CJ392" i="3"/>
  <c r="CH391" i="3"/>
  <c r="CI391" i="3" s="1"/>
  <c r="CB394" i="3"/>
  <c r="CD394" i="3" s="1"/>
  <c r="CB395" i="3"/>
  <c r="CB399" i="3"/>
  <c r="CD399" i="3" s="1"/>
  <c r="BZ396" i="3"/>
  <c r="BZ397" i="3"/>
  <c r="BZ401" i="3"/>
  <c r="BV398" i="3"/>
  <c r="BT400" i="3"/>
  <c r="BU400" i="3" s="1"/>
  <c r="BP402" i="3"/>
  <c r="BN403" i="3"/>
  <c r="BO403" i="3" s="1"/>
  <c r="BL404" i="3"/>
  <c r="BJ408" i="3"/>
  <c r="BJ405" i="3"/>
  <c r="BK405" i="3" s="1"/>
  <c r="BH406" i="3"/>
  <c r="BH409" i="3"/>
  <c r="BF407" i="3"/>
  <c r="BG407" i="3" s="1"/>
  <c r="AZ410" i="3"/>
  <c r="AX415" i="3"/>
  <c r="AU413" i="3"/>
  <c r="AV413" i="3" s="1"/>
  <c r="AV414" i="3"/>
  <c r="AX411" i="3"/>
  <c r="AS416" i="3"/>
  <c r="AR417" i="3"/>
  <c r="CT393" i="3" l="1"/>
  <c r="DP393" i="3" s="1"/>
  <c r="CP388" i="3"/>
  <c r="AJ388" i="25"/>
  <c r="CN390" i="3"/>
  <c r="CO390" i="3" s="1"/>
  <c r="AJ390" i="25" s="1"/>
  <c r="CN389" i="3"/>
  <c r="CO389" i="3" s="1"/>
  <c r="CL392" i="3"/>
  <c r="CJ391" i="3"/>
  <c r="CF399" i="3"/>
  <c r="CF394" i="3"/>
  <c r="CD395" i="3"/>
  <c r="CB401" i="3"/>
  <c r="CD401" i="3" s="1"/>
  <c r="CB397" i="3"/>
  <c r="CB396" i="3"/>
  <c r="CD396" i="3" s="1"/>
  <c r="BX398" i="3"/>
  <c r="BV400" i="3"/>
  <c r="BR402" i="3"/>
  <c r="BS402" i="3" s="1"/>
  <c r="BP403" i="3"/>
  <c r="BN404" i="3"/>
  <c r="BL405" i="3"/>
  <c r="BL408" i="3"/>
  <c r="BJ406" i="3"/>
  <c r="BK406" i="3" s="1"/>
  <c r="BJ409" i="3"/>
  <c r="BH407" i="3"/>
  <c r="BB410" i="3"/>
  <c r="AZ411" i="3"/>
  <c r="AZ415" i="3"/>
  <c r="AX412" i="3"/>
  <c r="AT416" i="3"/>
  <c r="AS417" i="3"/>
  <c r="AR418" i="3"/>
  <c r="CV393" i="3" l="1"/>
  <c r="CT388" i="3"/>
  <c r="CP390" i="3"/>
  <c r="CP389" i="3"/>
  <c r="AJ389" i="25"/>
  <c r="CN392" i="3"/>
  <c r="CO392" i="3" s="1"/>
  <c r="CL391" i="3"/>
  <c r="CH394" i="3"/>
  <c r="CH399" i="3"/>
  <c r="CF395" i="3"/>
  <c r="CF396" i="3"/>
  <c r="CF401" i="3"/>
  <c r="CD397" i="3"/>
  <c r="BZ398" i="3"/>
  <c r="BX400" i="3"/>
  <c r="BT402" i="3"/>
  <c r="BR403" i="3"/>
  <c r="BS403" i="3" s="1"/>
  <c r="BP404" i="3"/>
  <c r="BN405" i="3"/>
  <c r="BO405" i="3" s="1"/>
  <c r="BN408" i="3"/>
  <c r="BL409" i="3"/>
  <c r="BL406" i="3"/>
  <c r="BJ407" i="3"/>
  <c r="BK407" i="3" s="1"/>
  <c r="BD410" i="3"/>
  <c r="BE410" i="3" s="1"/>
  <c r="BB415" i="3"/>
  <c r="BB411" i="3"/>
  <c r="AZ412" i="3"/>
  <c r="AU416" i="3"/>
  <c r="AV416" i="3" s="1"/>
  <c r="AW416" i="3" s="1"/>
  <c r="AX413" i="3"/>
  <c r="AX414" i="3"/>
  <c r="AT417" i="3"/>
  <c r="AS418" i="3"/>
  <c r="AR419" i="3"/>
  <c r="AT419" i="3" s="1"/>
  <c r="CT390" i="3" l="1"/>
  <c r="CU393" i="3"/>
  <c r="DA393" i="3" s="1"/>
  <c r="CT389" i="3"/>
  <c r="CN391" i="3"/>
  <c r="CO391" i="3" s="1"/>
  <c r="CP392" i="3"/>
  <c r="AJ392" i="25"/>
  <c r="CJ399" i="3"/>
  <c r="CJ394" i="3"/>
  <c r="CH401" i="3"/>
  <c r="CH396" i="3"/>
  <c r="CH395" i="3"/>
  <c r="CF397" i="3"/>
  <c r="CA398" i="3"/>
  <c r="CB398" i="3" s="1"/>
  <c r="CD398" i="3" s="1"/>
  <c r="CE398" i="3" s="1"/>
  <c r="BZ400" i="3"/>
  <c r="BV402" i="3"/>
  <c r="BT403" i="3"/>
  <c r="BR404" i="3"/>
  <c r="BP408" i="3"/>
  <c r="BP405" i="3"/>
  <c r="BN409" i="3"/>
  <c r="BN406" i="3"/>
  <c r="BL407" i="3"/>
  <c r="BF410" i="3"/>
  <c r="BG410" i="3" s="1"/>
  <c r="BD411" i="3"/>
  <c r="BE411" i="3" s="1"/>
  <c r="BD415" i="3"/>
  <c r="BA412" i="3"/>
  <c r="BB412" i="3" s="1"/>
  <c r="AZ414" i="3"/>
  <c r="AZ413" i="3"/>
  <c r="AU417" i="3"/>
  <c r="AV417" i="3" s="1"/>
  <c r="AW417" i="3" s="1"/>
  <c r="AV419" i="3"/>
  <c r="AT418" i="3"/>
  <c r="AR420" i="3"/>
  <c r="CT392" i="3" l="1"/>
  <c r="DP392" i="3" s="1"/>
  <c r="DC393" i="3"/>
  <c r="DB393" i="3" s="1"/>
  <c r="AJ391" i="25"/>
  <c r="CP391" i="3"/>
  <c r="CV392" i="3"/>
  <c r="CL394" i="3"/>
  <c r="CL399" i="3"/>
  <c r="CJ395" i="3"/>
  <c r="CJ396" i="3"/>
  <c r="CJ401" i="3"/>
  <c r="CH397" i="3"/>
  <c r="CF398" i="3"/>
  <c r="CG398" i="3" s="1"/>
  <c r="CA400" i="3"/>
  <c r="CB400" i="3" s="1"/>
  <c r="CD400" i="3" s="1"/>
  <c r="BX402" i="3"/>
  <c r="BV403" i="3"/>
  <c r="BT404" i="3"/>
  <c r="BU404" i="3" s="1"/>
  <c r="BR405" i="3"/>
  <c r="BR408" i="3"/>
  <c r="BP409" i="3"/>
  <c r="BP406" i="3"/>
  <c r="BN407" i="3"/>
  <c r="BH410" i="3"/>
  <c r="BF415" i="3"/>
  <c r="BF411" i="3"/>
  <c r="BG411" i="3" s="1"/>
  <c r="BD412" i="3"/>
  <c r="BB413" i="3"/>
  <c r="BB414" i="3"/>
  <c r="AX419" i="3"/>
  <c r="AU418" i="3"/>
  <c r="AV418" i="3" s="1"/>
  <c r="AX416" i="3"/>
  <c r="AS420" i="3"/>
  <c r="AR421" i="3"/>
  <c r="DO393" i="3" l="1"/>
  <c r="CU392" i="3"/>
  <c r="DA392" i="3" s="1"/>
  <c r="CT391" i="3"/>
  <c r="CN399" i="3"/>
  <c r="CO399" i="3" s="1"/>
  <c r="AJ399" i="25" s="1"/>
  <c r="CN394" i="3"/>
  <c r="CO394" i="3" s="1"/>
  <c r="CL401" i="3"/>
  <c r="CL395" i="3"/>
  <c r="CL396" i="3"/>
  <c r="CJ397" i="3"/>
  <c r="CH398" i="3"/>
  <c r="CI398" i="3" s="1"/>
  <c r="CF400" i="3"/>
  <c r="CG400" i="3" s="1"/>
  <c r="BZ402" i="3"/>
  <c r="BX403" i="3"/>
  <c r="BV404" i="3"/>
  <c r="BW404" i="3" s="1"/>
  <c r="BT408" i="3"/>
  <c r="BT405" i="3"/>
  <c r="BU405" i="3" s="1"/>
  <c r="BR406" i="3"/>
  <c r="BR409" i="3"/>
  <c r="BP407" i="3"/>
  <c r="BJ410" i="3"/>
  <c r="BK410" i="3" s="1"/>
  <c r="BH411" i="3"/>
  <c r="BH415" i="3"/>
  <c r="BF412" i="3"/>
  <c r="BD414" i="3"/>
  <c r="BD413" i="3"/>
  <c r="BE413" i="3" s="1"/>
  <c r="AZ416" i="3"/>
  <c r="AZ419" i="3"/>
  <c r="AX417" i="3"/>
  <c r="AT420" i="3"/>
  <c r="AS421" i="3"/>
  <c r="AR422" i="3"/>
  <c r="DC392" i="3" l="1"/>
  <c r="DB392" i="3" s="1"/>
  <c r="CP394" i="3"/>
  <c r="CP399" i="3"/>
  <c r="AJ394" i="25"/>
  <c r="CN395" i="3"/>
  <c r="CO395" i="3" s="1"/>
  <c r="CN401" i="3"/>
  <c r="CO401" i="3" s="1"/>
  <c r="CN396" i="3"/>
  <c r="CO396" i="3" s="1"/>
  <c r="CL397" i="3"/>
  <c r="CJ398" i="3"/>
  <c r="CH400" i="3"/>
  <c r="CI400" i="3" s="1"/>
  <c r="CA402" i="3"/>
  <c r="CB402" i="3" s="1"/>
  <c r="BZ403" i="3"/>
  <c r="CA403" i="3" s="1"/>
  <c r="BX404" i="3"/>
  <c r="BV405" i="3"/>
  <c r="BV408" i="3"/>
  <c r="BT409" i="3"/>
  <c r="BT406" i="3"/>
  <c r="BR407" i="3"/>
  <c r="BS407" i="3" s="1"/>
  <c r="BL410" i="3"/>
  <c r="BJ411" i="3"/>
  <c r="BK411" i="3" s="1"/>
  <c r="BJ415" i="3"/>
  <c r="BH412" i="3"/>
  <c r="BF414" i="3"/>
  <c r="BF413" i="3"/>
  <c r="BG413" i="3" s="1"/>
  <c r="BB419" i="3"/>
  <c r="BB416" i="3"/>
  <c r="AZ417" i="3"/>
  <c r="AU420" i="3"/>
  <c r="AV420" i="3" s="1"/>
  <c r="AX418" i="3"/>
  <c r="AT421" i="3"/>
  <c r="AS422" i="3"/>
  <c r="AR423" i="3"/>
  <c r="CT399" i="3" l="1"/>
  <c r="DO392" i="3"/>
  <c r="CT394" i="3"/>
  <c r="DP394" i="3" s="1"/>
  <c r="CP401" i="3"/>
  <c r="AJ395" i="25"/>
  <c r="CP396" i="3"/>
  <c r="CP395" i="3"/>
  <c r="AJ396" i="25"/>
  <c r="AJ401" i="25"/>
  <c r="CN397" i="3"/>
  <c r="CO397" i="3" s="1"/>
  <c r="CL398" i="3"/>
  <c r="CJ400" i="3"/>
  <c r="CD402" i="3"/>
  <c r="CB403" i="3"/>
  <c r="CD403" i="3" s="1"/>
  <c r="BZ404" i="3"/>
  <c r="BX408" i="3"/>
  <c r="BX405" i="3"/>
  <c r="BY405" i="3" s="1"/>
  <c r="BV409" i="3"/>
  <c r="BV406" i="3"/>
  <c r="BT407" i="3"/>
  <c r="BN410" i="3"/>
  <c r="BO410" i="3" s="1"/>
  <c r="BL411" i="3"/>
  <c r="BL415" i="3"/>
  <c r="BJ412" i="3"/>
  <c r="BH413" i="3"/>
  <c r="BH414" i="3"/>
  <c r="BD416" i="3"/>
  <c r="BD419" i="3"/>
  <c r="BB417" i="3"/>
  <c r="AZ418" i="3"/>
  <c r="AU421" i="3"/>
  <c r="AV421" i="3" s="1"/>
  <c r="AT422" i="3"/>
  <c r="AS423" i="3"/>
  <c r="AR424" i="3"/>
  <c r="CT396" i="3" l="1"/>
  <c r="CT401" i="3"/>
  <c r="CV394" i="3"/>
  <c r="CT395" i="3"/>
  <c r="DP395" i="3" s="1"/>
  <c r="CP397" i="3"/>
  <c r="AJ397" i="25"/>
  <c r="CN398" i="3"/>
  <c r="CO398" i="3" s="1"/>
  <c r="CL400" i="3"/>
  <c r="CF403" i="3"/>
  <c r="CE402" i="3"/>
  <c r="CF402" i="3" s="1"/>
  <c r="CG402" i="3" s="1"/>
  <c r="CA404" i="3"/>
  <c r="CB404" i="3" s="1"/>
  <c r="CD404" i="3" s="1"/>
  <c r="CE404" i="3" s="1"/>
  <c r="BZ405" i="3"/>
  <c r="BZ408" i="3"/>
  <c r="BX406" i="3"/>
  <c r="BX409" i="3"/>
  <c r="BV407" i="3"/>
  <c r="BP410" i="3"/>
  <c r="BN415" i="3"/>
  <c r="BN411" i="3"/>
  <c r="BO411" i="3" s="1"/>
  <c r="BL412" i="3"/>
  <c r="BJ414" i="3"/>
  <c r="BJ413" i="3"/>
  <c r="BK413" i="3" s="1"/>
  <c r="BF419" i="3"/>
  <c r="BF416" i="3"/>
  <c r="BD417" i="3"/>
  <c r="BE417" i="3" s="1"/>
  <c r="BB418" i="3"/>
  <c r="AU422" i="3"/>
  <c r="AV422" i="3" s="1"/>
  <c r="AW422" i="3" s="1"/>
  <c r="AX420" i="3"/>
  <c r="AT423" i="3"/>
  <c r="AS424" i="3"/>
  <c r="AR425" i="3"/>
  <c r="CT397" i="3" l="1"/>
  <c r="CU394" i="3"/>
  <c r="DA394" i="3" s="1"/>
  <c r="CV395" i="3"/>
  <c r="CP398" i="3"/>
  <c r="AJ398" i="25"/>
  <c r="CN400" i="3"/>
  <c r="CO400" i="3" s="1"/>
  <c r="CH402" i="3"/>
  <c r="CI402" i="3" s="1"/>
  <c r="CH403" i="3"/>
  <c r="CF404" i="3"/>
  <c r="CA405" i="3"/>
  <c r="CB405" i="3" s="1"/>
  <c r="CB408" i="3"/>
  <c r="CD408" i="3" s="1"/>
  <c r="BZ409" i="3"/>
  <c r="BZ406" i="3"/>
  <c r="BX407" i="3"/>
  <c r="BR410" i="3"/>
  <c r="BP411" i="3"/>
  <c r="BP415" i="3"/>
  <c r="BN412" i="3"/>
  <c r="BL414" i="3"/>
  <c r="BL413" i="3"/>
  <c r="BH416" i="3"/>
  <c r="BH419" i="3"/>
  <c r="BF417" i="3"/>
  <c r="BG417" i="3" s="1"/>
  <c r="BD418" i="3"/>
  <c r="BE418" i="3" s="1"/>
  <c r="AZ420" i="3"/>
  <c r="AU423" i="3"/>
  <c r="AV423" i="3" s="1"/>
  <c r="AW423" i="3" s="1"/>
  <c r="AX421" i="3"/>
  <c r="AT424" i="3"/>
  <c r="AS425" i="3"/>
  <c r="AR426" i="3"/>
  <c r="AR427" i="3"/>
  <c r="CT398" i="3" l="1"/>
  <c r="DC394" i="3"/>
  <c r="DO394" i="3" s="1"/>
  <c r="CU395" i="3"/>
  <c r="DA395" i="3" s="1"/>
  <c r="AJ400" i="25"/>
  <c r="CP400" i="3"/>
  <c r="CJ403" i="3"/>
  <c r="CJ402" i="3"/>
  <c r="CH404" i="3"/>
  <c r="CF408" i="3"/>
  <c r="CD405" i="3"/>
  <c r="CE405" i="3" s="1"/>
  <c r="CB409" i="3"/>
  <c r="CD409" i="3" s="1"/>
  <c r="CB406" i="3"/>
  <c r="BZ407" i="3"/>
  <c r="BT410" i="3"/>
  <c r="BR415" i="3"/>
  <c r="BR411" i="3"/>
  <c r="BS411" i="3" s="1"/>
  <c r="BP412" i="3"/>
  <c r="BN413" i="3"/>
  <c r="BO413" i="3" s="1"/>
  <c r="BN414" i="3"/>
  <c r="BJ419" i="3"/>
  <c r="BJ416" i="3"/>
  <c r="BH417" i="3"/>
  <c r="BF418" i="3"/>
  <c r="BG418" i="3" s="1"/>
  <c r="BB420" i="3"/>
  <c r="AZ421" i="3"/>
  <c r="AU424" i="3"/>
  <c r="AV424" i="3" s="1"/>
  <c r="AW424" i="3" s="1"/>
  <c r="AX422" i="3"/>
  <c r="AT425" i="3"/>
  <c r="AS427" i="3"/>
  <c r="AS426" i="3"/>
  <c r="AR428" i="3"/>
  <c r="CT400" i="3" l="1"/>
  <c r="DC395" i="3"/>
  <c r="DO395" i="3" s="1"/>
  <c r="DB394" i="3"/>
  <c r="CL402" i="3"/>
  <c r="CL403" i="3"/>
  <c r="CJ404" i="3"/>
  <c r="CH408" i="3"/>
  <c r="CF409" i="3"/>
  <c r="CF405" i="3"/>
  <c r="CG405" i="3" s="1"/>
  <c r="CD406" i="3"/>
  <c r="CB407" i="3"/>
  <c r="CD407" i="3" s="1"/>
  <c r="BV410" i="3"/>
  <c r="BT411" i="3"/>
  <c r="BT415" i="3"/>
  <c r="BR412" i="3"/>
  <c r="BP414" i="3"/>
  <c r="BP413" i="3"/>
  <c r="BL416" i="3"/>
  <c r="BL419" i="3"/>
  <c r="BJ417" i="3"/>
  <c r="BK417" i="3" s="1"/>
  <c r="BH418" i="3"/>
  <c r="BD420" i="3"/>
  <c r="BB421" i="3"/>
  <c r="AZ422" i="3"/>
  <c r="AU425" i="3"/>
  <c r="AV425" i="3" s="1"/>
  <c r="AW425" i="3" s="1"/>
  <c r="AX423" i="3"/>
  <c r="AT427" i="3"/>
  <c r="AT426" i="3"/>
  <c r="AS428" i="3"/>
  <c r="AR429" i="3"/>
  <c r="DB395" i="3" l="1"/>
  <c r="CN403" i="3"/>
  <c r="CO403" i="3" s="1"/>
  <c r="CN402" i="3"/>
  <c r="CO402" i="3" s="1"/>
  <c r="CL404" i="3"/>
  <c r="CJ408" i="3"/>
  <c r="CH405" i="3"/>
  <c r="CI405" i="3" s="1"/>
  <c r="CH409" i="3"/>
  <c r="CF407" i="3"/>
  <c r="CF406" i="3"/>
  <c r="BX410" i="3"/>
  <c r="BV415" i="3"/>
  <c r="BV411" i="3"/>
  <c r="BT412" i="3"/>
  <c r="BR413" i="3"/>
  <c r="BS413" i="3" s="1"/>
  <c r="BR414" i="3"/>
  <c r="BN419" i="3"/>
  <c r="BN416" i="3"/>
  <c r="BL417" i="3"/>
  <c r="BJ418" i="3"/>
  <c r="BF420" i="3"/>
  <c r="BD421" i="3"/>
  <c r="BE421" i="3" s="1"/>
  <c r="BA422" i="3"/>
  <c r="BB422" i="3" s="1"/>
  <c r="AZ423" i="3"/>
  <c r="AU426" i="3"/>
  <c r="AV426" i="3" s="1"/>
  <c r="AU427" i="3"/>
  <c r="AV427" i="3" s="1"/>
  <c r="AX424" i="3"/>
  <c r="AT428" i="3"/>
  <c r="AS429" i="3"/>
  <c r="AR430" i="3"/>
  <c r="AR431" i="3"/>
  <c r="AT431" i="3" s="1"/>
  <c r="AJ402" i="25" l="1"/>
  <c r="CP403" i="3"/>
  <c r="CP402" i="3"/>
  <c r="AJ403" i="25"/>
  <c r="CN404" i="3"/>
  <c r="CO404" i="3" s="1"/>
  <c r="CL408" i="3"/>
  <c r="CJ409" i="3"/>
  <c r="CJ405" i="3"/>
  <c r="CH406" i="3"/>
  <c r="CH407" i="3"/>
  <c r="BZ410" i="3"/>
  <c r="BX411" i="3"/>
  <c r="BX415" i="3"/>
  <c r="BV412" i="3"/>
  <c r="BT414" i="3"/>
  <c r="BT413" i="3"/>
  <c r="BU413" i="3" s="1"/>
  <c r="BP416" i="3"/>
  <c r="BP419" i="3"/>
  <c r="BN417" i="3"/>
  <c r="BL418" i="3"/>
  <c r="BH420" i="3"/>
  <c r="BF421" i="3"/>
  <c r="BG421" i="3" s="1"/>
  <c r="BD422" i="3"/>
  <c r="BE422" i="3" s="1"/>
  <c r="BB423" i="3"/>
  <c r="AZ424" i="3"/>
  <c r="AV431" i="3"/>
  <c r="AU428" i="3"/>
  <c r="AV428" i="3" s="1"/>
  <c r="AW428" i="3" s="1"/>
  <c r="AX425" i="3"/>
  <c r="AT429" i="3"/>
  <c r="AS430" i="3"/>
  <c r="AR432" i="3"/>
  <c r="AR433" i="3"/>
  <c r="AT433" i="3" s="1"/>
  <c r="CT402" i="3" l="1"/>
  <c r="CT403" i="3"/>
  <c r="AJ404" i="25"/>
  <c r="CP404" i="3"/>
  <c r="CN408" i="3"/>
  <c r="CO408" i="3" s="1"/>
  <c r="CL405" i="3"/>
  <c r="CL409" i="3"/>
  <c r="CJ407" i="3"/>
  <c r="CJ406" i="3"/>
  <c r="CB410" i="3"/>
  <c r="CD410" i="3" s="1"/>
  <c r="BZ415" i="3"/>
  <c r="BZ411" i="3"/>
  <c r="CA411" i="3" s="1"/>
  <c r="CB411" i="3" s="1"/>
  <c r="CD411" i="3" s="1"/>
  <c r="BX412" i="3"/>
  <c r="BV413" i="3"/>
  <c r="BV414" i="3"/>
  <c r="BR419" i="3"/>
  <c r="BR416" i="3"/>
  <c r="BP417" i="3"/>
  <c r="BN418" i="3"/>
  <c r="BO418" i="3" s="1"/>
  <c r="BJ420" i="3"/>
  <c r="BH421" i="3"/>
  <c r="BF422" i="3"/>
  <c r="BG422" i="3" s="1"/>
  <c r="BD423" i="3"/>
  <c r="BE423" i="3" s="1"/>
  <c r="BA424" i="3"/>
  <c r="BB424" i="3" s="1"/>
  <c r="AZ425" i="3"/>
  <c r="AX431" i="3"/>
  <c r="AU429" i="3"/>
  <c r="AV429" i="3" s="1"/>
  <c r="AV433" i="3"/>
  <c r="AX427" i="3"/>
  <c r="AX426" i="3"/>
  <c r="AT430" i="3"/>
  <c r="AS432" i="3"/>
  <c r="AR434" i="3"/>
  <c r="CT404" i="3" l="1"/>
  <c r="CP408" i="3"/>
  <c r="AJ408" i="25"/>
  <c r="CN409" i="3"/>
  <c r="CO409" i="3" s="1"/>
  <c r="CN405" i="3"/>
  <c r="CO405" i="3" s="1"/>
  <c r="CL406" i="3"/>
  <c r="CL407" i="3"/>
  <c r="CF411" i="3"/>
  <c r="CF410" i="3"/>
  <c r="CB415" i="3"/>
  <c r="CD415" i="3" s="1"/>
  <c r="BZ412" i="3"/>
  <c r="BX414" i="3"/>
  <c r="BX413" i="3"/>
  <c r="BY413" i="3" s="1"/>
  <c r="BT416" i="3"/>
  <c r="BT419" i="3"/>
  <c r="BR417" i="3"/>
  <c r="BS417" i="3" s="1"/>
  <c r="BP418" i="3"/>
  <c r="BL420" i="3"/>
  <c r="BJ421" i="3"/>
  <c r="BK421" i="3" s="1"/>
  <c r="BH422" i="3"/>
  <c r="BF423" i="3"/>
  <c r="BG423" i="3" s="1"/>
  <c r="BD424" i="3"/>
  <c r="BE424" i="3" s="1"/>
  <c r="BB425" i="3"/>
  <c r="AZ427" i="3"/>
  <c r="AZ431" i="3"/>
  <c r="AZ426" i="3"/>
  <c r="AX433" i="3"/>
  <c r="AU430" i="3"/>
  <c r="AV430" i="3" s="1"/>
  <c r="AW430" i="3" s="1"/>
  <c r="AX428" i="3"/>
  <c r="AT432" i="3"/>
  <c r="AS434" i="3"/>
  <c r="AR435" i="3"/>
  <c r="AR436" i="3"/>
  <c r="CT408" i="3" l="1"/>
  <c r="CP405" i="3"/>
  <c r="CP409" i="3"/>
  <c r="AJ409" i="25"/>
  <c r="AJ405" i="25"/>
  <c r="CN407" i="3"/>
  <c r="CO407" i="3" s="1"/>
  <c r="CN406" i="3"/>
  <c r="CO406" i="3" s="1"/>
  <c r="CH410" i="3"/>
  <c r="CH411" i="3"/>
  <c r="CF415" i="3"/>
  <c r="CB412" i="3"/>
  <c r="CD412" i="3" s="1"/>
  <c r="BZ413" i="3"/>
  <c r="BZ414" i="3"/>
  <c r="BV419" i="3"/>
  <c r="BV416" i="3"/>
  <c r="BT417" i="3"/>
  <c r="BR418" i="3"/>
  <c r="BN420" i="3"/>
  <c r="BL421" i="3"/>
  <c r="BJ422" i="3"/>
  <c r="BK422" i="3" s="1"/>
  <c r="BH423" i="3"/>
  <c r="BF424" i="3"/>
  <c r="BG424" i="3" s="1"/>
  <c r="BD425" i="3"/>
  <c r="BE425" i="3" s="1"/>
  <c r="BB426" i="3"/>
  <c r="BB427" i="3"/>
  <c r="BB431" i="3"/>
  <c r="AZ433" i="3"/>
  <c r="AZ428" i="3"/>
  <c r="AU432" i="3"/>
  <c r="AV432" i="3" s="1"/>
  <c r="AW432" i="3" s="1"/>
  <c r="AX429" i="3"/>
  <c r="AT434" i="3"/>
  <c r="AS436" i="3"/>
  <c r="AS435" i="3"/>
  <c r="AR437" i="3"/>
  <c r="CT409" i="3" l="1"/>
  <c r="CT405" i="3"/>
  <c r="CP406" i="3"/>
  <c r="CP407" i="3"/>
  <c r="AJ406" i="25"/>
  <c r="AJ407" i="25"/>
  <c r="CJ411" i="3"/>
  <c r="CJ410" i="3"/>
  <c r="CH415" i="3"/>
  <c r="CF412" i="3"/>
  <c r="CA413" i="3"/>
  <c r="CB413" i="3" s="1"/>
  <c r="CB414" i="3"/>
  <c r="CD414" i="3" s="1"/>
  <c r="BX416" i="3"/>
  <c r="BX419" i="3"/>
  <c r="BV417" i="3"/>
  <c r="BT418" i="3"/>
  <c r="BP420" i="3"/>
  <c r="BN421" i="3"/>
  <c r="BO421" i="3" s="1"/>
  <c r="BL422" i="3"/>
  <c r="BJ423" i="3"/>
  <c r="BK423" i="3" s="1"/>
  <c r="BH424" i="3"/>
  <c r="BF425" i="3"/>
  <c r="BG425" i="3" s="1"/>
  <c r="BD431" i="3"/>
  <c r="BD427" i="3"/>
  <c r="BE427" i="3" s="1"/>
  <c r="BD426" i="3"/>
  <c r="BB433" i="3"/>
  <c r="BA428" i="3"/>
  <c r="BB428" i="3" s="1"/>
  <c r="AZ429" i="3"/>
  <c r="AU434" i="3"/>
  <c r="AV434" i="3" s="1"/>
  <c r="AX430" i="3"/>
  <c r="AT435" i="3"/>
  <c r="AT436" i="3"/>
  <c r="AS437" i="3"/>
  <c r="AR438" i="3"/>
  <c r="CT407" i="3" l="1"/>
  <c r="CT406" i="3"/>
  <c r="CL410" i="3"/>
  <c r="CL411" i="3"/>
  <c r="CJ415" i="3"/>
  <c r="CH412" i="3"/>
  <c r="CF414" i="3"/>
  <c r="CD413" i="3"/>
  <c r="CE413" i="3" s="1"/>
  <c r="BZ419" i="3"/>
  <c r="BZ416" i="3"/>
  <c r="BX417" i="3"/>
  <c r="BV418" i="3"/>
  <c r="BR420" i="3"/>
  <c r="BP421" i="3"/>
  <c r="BN422" i="3"/>
  <c r="BL423" i="3"/>
  <c r="BJ424" i="3"/>
  <c r="BK424" i="3" s="1"/>
  <c r="BH425" i="3"/>
  <c r="BF431" i="3"/>
  <c r="BF426" i="3"/>
  <c r="BF427" i="3"/>
  <c r="BG427" i="3" s="1"/>
  <c r="BD433" i="3"/>
  <c r="BD428" i="3"/>
  <c r="BE428" i="3" s="1"/>
  <c r="BB429" i="3"/>
  <c r="AZ430" i="3"/>
  <c r="AU435" i="3"/>
  <c r="AV435" i="3" s="1"/>
  <c r="AV436" i="3"/>
  <c r="AX432" i="3"/>
  <c r="AT437" i="3"/>
  <c r="AS438" i="3"/>
  <c r="AR439" i="3"/>
  <c r="CN411" i="3" l="1"/>
  <c r="CO411" i="3" s="1"/>
  <c r="CN410" i="3"/>
  <c r="CO410" i="3" s="1"/>
  <c r="CL415" i="3"/>
  <c r="CJ412" i="3"/>
  <c r="CH414" i="3"/>
  <c r="CF413" i="3"/>
  <c r="CG413" i="3" s="1"/>
  <c r="CB416" i="3"/>
  <c r="CB419" i="3"/>
  <c r="CD419" i="3" s="1"/>
  <c r="BZ417" i="3"/>
  <c r="BX418" i="3"/>
  <c r="BT420" i="3"/>
  <c r="BR421" i="3"/>
  <c r="BP422" i="3"/>
  <c r="BN423" i="3"/>
  <c r="BL424" i="3"/>
  <c r="BJ425" i="3"/>
  <c r="BK425" i="3" s="1"/>
  <c r="BH426" i="3"/>
  <c r="BH427" i="3"/>
  <c r="BH431" i="3"/>
  <c r="BF433" i="3"/>
  <c r="BF428" i="3"/>
  <c r="BG428" i="3" s="1"/>
  <c r="BD429" i="3"/>
  <c r="BE429" i="3" s="1"/>
  <c r="BA430" i="3"/>
  <c r="BB430" i="3" s="1"/>
  <c r="AZ432" i="3"/>
  <c r="AX436" i="3"/>
  <c r="AU437" i="3"/>
  <c r="AV437" i="3" s="1"/>
  <c r="AX434" i="3"/>
  <c r="AT438" i="3"/>
  <c r="AS439" i="3"/>
  <c r="AR440" i="3"/>
  <c r="CP410" i="3" l="1"/>
  <c r="AJ411" i="25"/>
  <c r="CP411" i="3"/>
  <c r="AJ410" i="25"/>
  <c r="CN415" i="3"/>
  <c r="CO415" i="3" s="1"/>
  <c r="CL412" i="3"/>
  <c r="CJ414" i="3"/>
  <c r="CH413" i="3"/>
  <c r="CI413" i="3" s="1"/>
  <c r="CF419" i="3"/>
  <c r="CD416" i="3"/>
  <c r="CB417" i="3"/>
  <c r="CD417" i="3" s="1"/>
  <c r="BZ418" i="3"/>
  <c r="BV420" i="3"/>
  <c r="BT421" i="3"/>
  <c r="BR422" i="3"/>
  <c r="BP423" i="3"/>
  <c r="BN424" i="3"/>
  <c r="BL425" i="3"/>
  <c r="BJ426" i="3"/>
  <c r="BJ431" i="3"/>
  <c r="BJ427" i="3"/>
  <c r="BK427" i="3" s="1"/>
  <c r="BH428" i="3"/>
  <c r="BH433" i="3"/>
  <c r="BF429" i="3"/>
  <c r="BG429" i="3" s="1"/>
  <c r="BD430" i="3"/>
  <c r="BE430" i="3" s="1"/>
  <c r="BA432" i="3"/>
  <c r="BB432" i="3" s="1"/>
  <c r="AZ434" i="3"/>
  <c r="AZ436" i="3"/>
  <c r="AU438" i="3"/>
  <c r="AV438" i="3" s="1"/>
  <c r="AW438" i="3" s="1"/>
  <c r="AX435" i="3"/>
  <c r="AT439" i="3"/>
  <c r="AS440" i="3"/>
  <c r="AR441" i="3"/>
  <c r="CT411" i="3" l="1"/>
  <c r="CT410" i="3"/>
  <c r="CP415" i="3"/>
  <c r="AJ415" i="25"/>
  <c r="CN412" i="3"/>
  <c r="CO412" i="3" s="1"/>
  <c r="CL414" i="3"/>
  <c r="CJ413" i="3"/>
  <c r="CH419" i="3"/>
  <c r="CF417" i="3"/>
  <c r="CF416" i="3"/>
  <c r="CB418" i="3"/>
  <c r="CD418" i="3" s="1"/>
  <c r="BX420" i="3"/>
  <c r="BV421" i="3"/>
  <c r="BT422" i="3"/>
  <c r="BR423" i="3"/>
  <c r="BS423" i="3" s="1"/>
  <c r="BP424" i="3"/>
  <c r="BN425" i="3"/>
  <c r="BL427" i="3"/>
  <c r="BL431" i="3"/>
  <c r="BL426" i="3"/>
  <c r="BJ433" i="3"/>
  <c r="BJ428" i="3"/>
  <c r="BK428" i="3" s="1"/>
  <c r="BH429" i="3"/>
  <c r="BF430" i="3"/>
  <c r="BG430" i="3" s="1"/>
  <c r="BD432" i="3"/>
  <c r="BE432" i="3" s="1"/>
  <c r="BB434" i="3"/>
  <c r="BB436" i="3"/>
  <c r="AZ435" i="3"/>
  <c r="AU439" i="3"/>
  <c r="AV439" i="3" s="1"/>
  <c r="AW439" i="3" s="1"/>
  <c r="AX437" i="3"/>
  <c r="AT440" i="3"/>
  <c r="AS441" i="3"/>
  <c r="AR442" i="3"/>
  <c r="CT415" i="3" l="1"/>
  <c r="CP412" i="3"/>
  <c r="AJ412" i="25"/>
  <c r="CN414" i="3"/>
  <c r="CO414" i="3" s="1"/>
  <c r="CL413" i="3"/>
  <c r="CJ419" i="3"/>
  <c r="CH416" i="3"/>
  <c r="CH417" i="3"/>
  <c r="CF418" i="3"/>
  <c r="BZ420" i="3"/>
  <c r="BX421" i="3"/>
  <c r="BV422" i="3"/>
  <c r="BT423" i="3"/>
  <c r="BR424" i="3"/>
  <c r="BP425" i="3"/>
  <c r="BN426" i="3"/>
  <c r="BN431" i="3"/>
  <c r="BN427" i="3"/>
  <c r="BO427" i="3" s="1"/>
  <c r="BL428" i="3"/>
  <c r="BL433" i="3"/>
  <c r="BJ429" i="3"/>
  <c r="BK429" i="3" s="1"/>
  <c r="BH430" i="3"/>
  <c r="BF432" i="3"/>
  <c r="BG432" i="3" s="1"/>
  <c r="BD436" i="3"/>
  <c r="BD434" i="3"/>
  <c r="BE434" i="3" s="1"/>
  <c r="BB435" i="3"/>
  <c r="AZ437" i="3"/>
  <c r="AU440" i="3"/>
  <c r="AV440" i="3" s="1"/>
  <c r="AW440" i="3" s="1"/>
  <c r="AX438" i="3"/>
  <c r="AT441" i="3"/>
  <c r="AS442" i="3"/>
  <c r="AR443" i="3"/>
  <c r="CT412" i="3" l="1"/>
  <c r="CP414" i="3"/>
  <c r="AJ414" i="25"/>
  <c r="CN413" i="3"/>
  <c r="CO413" i="3" s="1"/>
  <c r="CL419" i="3"/>
  <c r="CJ417" i="3"/>
  <c r="CJ416" i="3"/>
  <c r="CH418" i="3"/>
  <c r="CB420" i="3"/>
  <c r="CD420" i="3" s="1"/>
  <c r="BZ421" i="3"/>
  <c r="BX422" i="3"/>
  <c r="BV423" i="3"/>
  <c r="BT424" i="3"/>
  <c r="BU424" i="3" s="1"/>
  <c r="BR425" i="3"/>
  <c r="BS425" i="3" s="1"/>
  <c r="BP427" i="3"/>
  <c r="BP431" i="3"/>
  <c r="BP426" i="3"/>
  <c r="BN433" i="3"/>
  <c r="BN428" i="3"/>
  <c r="BL429" i="3"/>
  <c r="BJ430" i="3"/>
  <c r="BK430" i="3" s="1"/>
  <c r="BH432" i="3"/>
  <c r="BF436" i="3"/>
  <c r="BF434" i="3"/>
  <c r="BG434" i="3" s="1"/>
  <c r="BD435" i="3"/>
  <c r="BB437" i="3"/>
  <c r="AZ438" i="3"/>
  <c r="AU441" i="3"/>
  <c r="AV441" i="3" s="1"/>
  <c r="AW441" i="3" s="1"/>
  <c r="AX439" i="3"/>
  <c r="AT442" i="3"/>
  <c r="AS443" i="3"/>
  <c r="AR444" i="3"/>
  <c r="AR445" i="3"/>
  <c r="CT414" i="3" l="1"/>
  <c r="CP413" i="3"/>
  <c r="AJ413" i="25"/>
  <c r="CN419" i="3"/>
  <c r="CO419" i="3" s="1"/>
  <c r="CL417" i="3"/>
  <c r="CL416" i="3"/>
  <c r="CJ418" i="3"/>
  <c r="CF420" i="3"/>
  <c r="CB421" i="3"/>
  <c r="CD421" i="3" s="1"/>
  <c r="BZ422" i="3"/>
  <c r="BX423" i="3"/>
  <c r="BV424" i="3"/>
  <c r="BT425" i="3"/>
  <c r="BR426" i="3"/>
  <c r="BR431" i="3"/>
  <c r="BR427" i="3"/>
  <c r="BS427" i="3" s="1"/>
  <c r="BP428" i="3"/>
  <c r="BP433" i="3"/>
  <c r="BN429" i="3"/>
  <c r="BO429" i="3" s="1"/>
  <c r="BL430" i="3"/>
  <c r="BJ432" i="3"/>
  <c r="BK432" i="3" s="1"/>
  <c r="BH434" i="3"/>
  <c r="BH436" i="3"/>
  <c r="BF435" i="3"/>
  <c r="BD437" i="3"/>
  <c r="BE437" i="3" s="1"/>
  <c r="BA438" i="3"/>
  <c r="BB438" i="3" s="1"/>
  <c r="AZ439" i="3"/>
  <c r="AU442" i="3"/>
  <c r="AV442" i="3" s="1"/>
  <c r="AX440" i="3"/>
  <c r="AT443" i="3"/>
  <c r="AS445" i="3"/>
  <c r="AS444" i="3"/>
  <c r="AR446" i="3"/>
  <c r="CT413" i="3" l="1"/>
  <c r="CP419" i="3"/>
  <c r="AJ419" i="25"/>
  <c r="CN416" i="3"/>
  <c r="CO416" i="3" s="1"/>
  <c r="CN417" i="3"/>
  <c r="CO417" i="3" s="1"/>
  <c r="CL418" i="3"/>
  <c r="CH420" i="3"/>
  <c r="CF421" i="3"/>
  <c r="CA422" i="3"/>
  <c r="CB422" i="3" s="1"/>
  <c r="CD422" i="3" s="1"/>
  <c r="CE422" i="3" s="1"/>
  <c r="BZ423" i="3"/>
  <c r="CA423" i="3" s="1"/>
  <c r="BX424" i="3"/>
  <c r="BV425" i="3"/>
  <c r="BW425" i="3" s="1"/>
  <c r="BT427" i="3"/>
  <c r="BT431" i="3"/>
  <c r="BT426" i="3"/>
  <c r="BR433" i="3"/>
  <c r="BR428" i="3"/>
  <c r="BP429" i="3"/>
  <c r="BN430" i="3"/>
  <c r="BL432" i="3"/>
  <c r="BJ434" i="3"/>
  <c r="BJ436" i="3"/>
  <c r="BH435" i="3"/>
  <c r="BF437" i="3"/>
  <c r="BG437" i="3" s="1"/>
  <c r="BD438" i="3"/>
  <c r="BE438" i="3" s="1"/>
  <c r="BB439" i="3"/>
  <c r="AZ440" i="3"/>
  <c r="AU443" i="3"/>
  <c r="AV443" i="3" s="1"/>
  <c r="AX441" i="3"/>
  <c r="AT444" i="3"/>
  <c r="AT445" i="3"/>
  <c r="AS446" i="3"/>
  <c r="AR447" i="3"/>
  <c r="CT419" i="3" l="1"/>
  <c r="CP417" i="3"/>
  <c r="CP416" i="3"/>
  <c r="AJ417" i="25"/>
  <c r="AJ416" i="25"/>
  <c r="CN418" i="3"/>
  <c r="CO418" i="3" s="1"/>
  <c r="CJ420" i="3"/>
  <c r="CH421" i="3"/>
  <c r="CF422" i="3"/>
  <c r="CB423" i="3"/>
  <c r="CD423" i="3" s="1"/>
  <c r="BZ424" i="3"/>
  <c r="BX425" i="3"/>
  <c r="BV426" i="3"/>
  <c r="BV431" i="3"/>
  <c r="BV427" i="3"/>
  <c r="BT428" i="3"/>
  <c r="BT433" i="3"/>
  <c r="BR429" i="3"/>
  <c r="BP430" i="3"/>
  <c r="BN432" i="3"/>
  <c r="BL434" i="3"/>
  <c r="BL436" i="3"/>
  <c r="BJ435" i="3"/>
  <c r="BH437" i="3"/>
  <c r="BF438" i="3"/>
  <c r="BG438" i="3" s="1"/>
  <c r="BD439" i="3"/>
  <c r="BE439" i="3" s="1"/>
  <c r="BA440" i="3"/>
  <c r="BB440" i="3" s="1"/>
  <c r="AZ441" i="3"/>
  <c r="AU445" i="3"/>
  <c r="AV445" i="3" s="1"/>
  <c r="AU444" i="3"/>
  <c r="AV444" i="3" s="1"/>
  <c r="AW444" i="3" s="1"/>
  <c r="AX442" i="3"/>
  <c r="AT446" i="3"/>
  <c r="AS447" i="3"/>
  <c r="AR448" i="3"/>
  <c r="CT416" i="3" l="1"/>
  <c r="CT417" i="3"/>
  <c r="CP418" i="3"/>
  <c r="AJ418" i="25"/>
  <c r="CL420" i="3"/>
  <c r="CJ421" i="3"/>
  <c r="CH422" i="3"/>
  <c r="CF423" i="3"/>
  <c r="CA424" i="3"/>
  <c r="CB424" i="3" s="1"/>
  <c r="BZ425" i="3"/>
  <c r="BX427" i="3"/>
  <c r="BX431" i="3"/>
  <c r="BX426" i="3"/>
  <c r="BV433" i="3"/>
  <c r="BV428" i="3"/>
  <c r="BT429" i="3"/>
  <c r="BU429" i="3" s="1"/>
  <c r="BR430" i="3"/>
  <c r="BP432" i="3"/>
  <c r="BN434" i="3"/>
  <c r="BN436" i="3"/>
  <c r="BL435" i="3"/>
  <c r="BJ437" i="3"/>
  <c r="BK437" i="3" s="1"/>
  <c r="BH438" i="3"/>
  <c r="BF439" i="3"/>
  <c r="BG439" i="3" s="1"/>
  <c r="BD440" i="3"/>
  <c r="BB441" i="3"/>
  <c r="AZ442" i="3"/>
  <c r="AU446" i="3"/>
  <c r="AV446" i="3" s="1"/>
  <c r="AW446" i="3" s="1"/>
  <c r="AX443" i="3"/>
  <c r="AT447" i="3"/>
  <c r="AS448" i="3"/>
  <c r="AR449" i="3"/>
  <c r="CT418" i="3" l="1"/>
  <c r="CN420" i="3"/>
  <c r="CO420" i="3" s="1"/>
  <c r="CL421" i="3"/>
  <c r="CJ422" i="3"/>
  <c r="CH423" i="3"/>
  <c r="CD424" i="3"/>
  <c r="CB425" i="3"/>
  <c r="BZ426" i="3"/>
  <c r="BZ431" i="3"/>
  <c r="BZ427" i="3"/>
  <c r="BX428" i="3"/>
  <c r="BX433" i="3"/>
  <c r="BV429" i="3"/>
  <c r="BT430" i="3"/>
  <c r="BR432" i="3"/>
  <c r="BP436" i="3"/>
  <c r="BP434" i="3"/>
  <c r="BN435" i="3"/>
  <c r="BL437" i="3"/>
  <c r="BJ438" i="3"/>
  <c r="BK438" i="3" s="1"/>
  <c r="BH439" i="3"/>
  <c r="BF440" i="3"/>
  <c r="BD441" i="3"/>
  <c r="BE441" i="3" s="1"/>
  <c r="BB442" i="3"/>
  <c r="AZ443" i="3"/>
  <c r="AU447" i="3"/>
  <c r="AV447" i="3" s="1"/>
  <c r="AW447" i="3" s="1"/>
  <c r="AX444" i="3"/>
  <c r="AX445" i="3"/>
  <c r="AT448" i="3"/>
  <c r="AS449" i="3"/>
  <c r="AR450" i="3"/>
  <c r="AT450" i="3" s="1"/>
  <c r="CP420" i="3" l="1"/>
  <c r="AJ420" i="25"/>
  <c r="CN421" i="3"/>
  <c r="CO421" i="3" s="1"/>
  <c r="CL422" i="3"/>
  <c r="CJ423" i="3"/>
  <c r="CF424" i="3"/>
  <c r="CG424" i="3" s="1"/>
  <c r="CD425" i="3"/>
  <c r="CA427" i="3"/>
  <c r="CB427" i="3" s="1"/>
  <c r="CB431" i="3"/>
  <c r="CB426" i="3"/>
  <c r="BZ428" i="3"/>
  <c r="BZ433" i="3"/>
  <c r="BX429" i="3"/>
  <c r="BY429" i="3" s="1"/>
  <c r="BV430" i="3"/>
  <c r="BT432" i="3"/>
  <c r="BU432" i="3" s="1"/>
  <c r="BR434" i="3"/>
  <c r="BR436" i="3"/>
  <c r="BP435" i="3"/>
  <c r="BN437" i="3"/>
  <c r="BO437" i="3" s="1"/>
  <c r="BL438" i="3"/>
  <c r="BJ439" i="3"/>
  <c r="BK439" i="3" s="1"/>
  <c r="BH440" i="3"/>
  <c r="BF441" i="3"/>
  <c r="BG441" i="3" s="1"/>
  <c r="BD442" i="3"/>
  <c r="BE442" i="3" s="1"/>
  <c r="BB443" i="3"/>
  <c r="AZ445" i="3"/>
  <c r="AZ444" i="3"/>
  <c r="AU448" i="3"/>
  <c r="AV448" i="3" s="1"/>
  <c r="AW448" i="3" s="1"/>
  <c r="AV450" i="3"/>
  <c r="AX446" i="3"/>
  <c r="AT449" i="3"/>
  <c r="AR451" i="3"/>
  <c r="AT451" i="3" s="1"/>
  <c r="CT420" i="3" l="1"/>
  <c r="CP421" i="3"/>
  <c r="AJ421" i="25"/>
  <c r="CN422" i="3"/>
  <c r="CO422" i="3" s="1"/>
  <c r="CL423" i="3"/>
  <c r="CH424" i="3"/>
  <c r="CI424" i="3" s="1"/>
  <c r="CF425" i="3"/>
  <c r="CD426" i="3"/>
  <c r="CD431" i="3"/>
  <c r="CD427" i="3"/>
  <c r="CB433" i="3"/>
  <c r="CD433" i="3" s="1"/>
  <c r="CB428" i="3"/>
  <c r="BZ429" i="3"/>
  <c r="BX430" i="3"/>
  <c r="BV432" i="3"/>
  <c r="BT436" i="3"/>
  <c r="BT434" i="3"/>
  <c r="BR435" i="3"/>
  <c r="BP437" i="3"/>
  <c r="BN438" i="3"/>
  <c r="BL439" i="3"/>
  <c r="BJ440" i="3"/>
  <c r="BH441" i="3"/>
  <c r="BF442" i="3"/>
  <c r="BG442" i="3" s="1"/>
  <c r="BD443" i="3"/>
  <c r="BE443" i="3" s="1"/>
  <c r="BB445" i="3"/>
  <c r="BA444" i="3"/>
  <c r="BB444" i="3" s="1"/>
  <c r="AZ446" i="3"/>
  <c r="AX450" i="3"/>
  <c r="AU449" i="3"/>
  <c r="AV449" i="3" s="1"/>
  <c r="AW449" i="3" s="1"/>
  <c r="AV451" i="3"/>
  <c r="AX447" i="3"/>
  <c r="AR452" i="3"/>
  <c r="CT421" i="3" l="1"/>
  <c r="CP422" i="3"/>
  <c r="AJ422" i="25"/>
  <c r="CN423" i="3"/>
  <c r="CO423" i="3" s="1"/>
  <c r="CJ424" i="3"/>
  <c r="CH425" i="3"/>
  <c r="CF433" i="3"/>
  <c r="CF427" i="3"/>
  <c r="CF431" i="3"/>
  <c r="CF426" i="3"/>
  <c r="CD428" i="3"/>
  <c r="CA429" i="3"/>
  <c r="CB429" i="3" s="1"/>
  <c r="BZ430" i="3"/>
  <c r="BX432" i="3"/>
  <c r="BV434" i="3"/>
  <c r="BV436" i="3"/>
  <c r="BT435" i="3"/>
  <c r="BR437" i="3"/>
  <c r="BP438" i="3"/>
  <c r="BN439" i="3"/>
  <c r="BL440" i="3"/>
  <c r="BJ441" i="3"/>
  <c r="BK441" i="3" s="1"/>
  <c r="BH442" i="3"/>
  <c r="BF443" i="3"/>
  <c r="BG443" i="3" s="1"/>
  <c r="BD445" i="3"/>
  <c r="BE445" i="3" s="1"/>
  <c r="BD444" i="3"/>
  <c r="BE444" i="3" s="1"/>
  <c r="BA446" i="3"/>
  <c r="BB446" i="3" s="1"/>
  <c r="AZ447" i="3"/>
  <c r="AZ450" i="3"/>
  <c r="AS452" i="3"/>
  <c r="AT452" i="3" s="1"/>
  <c r="AX451" i="3"/>
  <c r="AX448" i="3"/>
  <c r="AR453" i="3"/>
  <c r="AR454" i="3"/>
  <c r="CT422" i="3" l="1"/>
  <c r="CP423" i="3"/>
  <c r="AJ423" i="25"/>
  <c r="CL424" i="3"/>
  <c r="CJ425" i="3"/>
  <c r="CH426" i="3"/>
  <c r="CH431" i="3"/>
  <c r="CH427" i="3"/>
  <c r="CH433" i="3"/>
  <c r="CF428" i="3"/>
  <c r="CD429" i="3"/>
  <c r="CE429" i="3" s="1"/>
  <c r="CB430" i="3"/>
  <c r="CD430" i="3" s="1"/>
  <c r="BZ432" i="3"/>
  <c r="BX436" i="3"/>
  <c r="BX434" i="3"/>
  <c r="BV435" i="3"/>
  <c r="BT437" i="3"/>
  <c r="BU437" i="3" s="1"/>
  <c r="BR438" i="3"/>
  <c r="BP439" i="3"/>
  <c r="BN440" i="3"/>
  <c r="BL441" i="3"/>
  <c r="BJ442" i="3"/>
  <c r="BK442" i="3" s="1"/>
  <c r="BH443" i="3"/>
  <c r="BF444" i="3"/>
  <c r="BG444" i="3" s="1"/>
  <c r="BF445" i="3"/>
  <c r="BG445" i="3" s="1"/>
  <c r="BD446" i="3"/>
  <c r="BE446" i="3" s="1"/>
  <c r="BB450" i="3"/>
  <c r="BB447" i="3"/>
  <c r="AZ451" i="3"/>
  <c r="AZ448" i="3"/>
  <c r="AU452" i="3"/>
  <c r="AV452" i="3" s="1"/>
  <c r="AX449" i="3"/>
  <c r="AS453" i="3"/>
  <c r="AS454" i="3"/>
  <c r="AR455" i="3"/>
  <c r="AT455" i="3" s="1"/>
  <c r="AR456" i="3"/>
  <c r="AT456" i="3" s="1"/>
  <c r="CT423" i="3" l="1"/>
  <c r="CN424" i="3"/>
  <c r="CO424" i="3" s="1"/>
  <c r="CL425" i="3"/>
  <c r="CJ427" i="3"/>
  <c r="CJ431" i="3"/>
  <c r="CJ426" i="3"/>
  <c r="CJ433" i="3"/>
  <c r="CH428" i="3"/>
  <c r="CF430" i="3"/>
  <c r="CF429" i="3"/>
  <c r="CG429" i="3" s="1"/>
  <c r="CB432" i="3"/>
  <c r="BZ434" i="3"/>
  <c r="BZ436" i="3"/>
  <c r="BX435" i="3"/>
  <c r="BV437" i="3"/>
  <c r="BT438" i="3"/>
  <c r="BR439" i="3"/>
  <c r="BS439" i="3" s="1"/>
  <c r="BP440" i="3"/>
  <c r="BN441" i="3"/>
  <c r="BL442" i="3"/>
  <c r="BJ443" i="3"/>
  <c r="BK443" i="3" s="1"/>
  <c r="BH445" i="3"/>
  <c r="BH444" i="3"/>
  <c r="BF446" i="3"/>
  <c r="BG446" i="3" s="1"/>
  <c r="BD447" i="3"/>
  <c r="BE447" i="3" s="1"/>
  <c r="BD450" i="3"/>
  <c r="BB451" i="3"/>
  <c r="BA448" i="3"/>
  <c r="BB448" i="3" s="1"/>
  <c r="AZ449" i="3"/>
  <c r="AW452" i="3"/>
  <c r="AX452" i="3" s="1"/>
  <c r="AV455" i="3"/>
  <c r="AV456" i="3"/>
  <c r="AT453" i="3"/>
  <c r="AT454" i="3"/>
  <c r="AR457" i="3"/>
  <c r="AR458" i="3"/>
  <c r="CP424" i="3" l="1"/>
  <c r="AJ424" i="25"/>
  <c r="CN425" i="3"/>
  <c r="CO425" i="3" s="1"/>
  <c r="CL433" i="3"/>
  <c r="CL426" i="3"/>
  <c r="CL431" i="3"/>
  <c r="CL427" i="3"/>
  <c r="CJ428" i="3"/>
  <c r="CH429" i="3"/>
  <c r="CI429" i="3" s="1"/>
  <c r="CH430" i="3"/>
  <c r="CD432" i="3"/>
  <c r="CB436" i="3"/>
  <c r="CB434" i="3"/>
  <c r="BZ435" i="3"/>
  <c r="BX437" i="3"/>
  <c r="BY437" i="3" s="1"/>
  <c r="BV438" i="3"/>
  <c r="BT439" i="3"/>
  <c r="BR440" i="3"/>
  <c r="BP441" i="3"/>
  <c r="BN442" i="3"/>
  <c r="BO442" i="3" s="1"/>
  <c r="BL443" i="3"/>
  <c r="BJ444" i="3"/>
  <c r="BJ445" i="3"/>
  <c r="BK445" i="3" s="1"/>
  <c r="BH446" i="3"/>
  <c r="BF450" i="3"/>
  <c r="BF447" i="3"/>
  <c r="BG447" i="3" s="1"/>
  <c r="BD451" i="3"/>
  <c r="BD448" i="3"/>
  <c r="BE448" i="3" s="1"/>
  <c r="BB449" i="3"/>
  <c r="AZ452" i="3"/>
  <c r="AX456" i="3"/>
  <c r="AX455" i="3"/>
  <c r="AU454" i="3"/>
  <c r="AV454" i="3" s="1"/>
  <c r="AW454" i="3" s="1"/>
  <c r="AU453" i="3"/>
  <c r="AV453" i="3" s="1"/>
  <c r="AS458" i="3"/>
  <c r="AS457" i="3"/>
  <c r="AR459" i="3"/>
  <c r="AR460" i="3"/>
  <c r="CT424" i="3" l="1"/>
  <c r="CP425" i="3"/>
  <c r="AJ425" i="25"/>
  <c r="CN427" i="3"/>
  <c r="CO427" i="3" s="1"/>
  <c r="CN431" i="3"/>
  <c r="CO431" i="3" s="1"/>
  <c r="CN426" i="3"/>
  <c r="CO426" i="3" s="1"/>
  <c r="CN433" i="3"/>
  <c r="CO433" i="3" s="1"/>
  <c r="CL428" i="3"/>
  <c r="CJ430" i="3"/>
  <c r="CJ429" i="3"/>
  <c r="CF432" i="3"/>
  <c r="CD434" i="3"/>
  <c r="CD436" i="3"/>
  <c r="CB435" i="3"/>
  <c r="CD435" i="3" s="1"/>
  <c r="BZ437" i="3"/>
  <c r="BX438" i="3"/>
  <c r="BV439" i="3"/>
  <c r="BT440" i="3"/>
  <c r="BR441" i="3"/>
  <c r="BS441" i="3" s="1"/>
  <c r="BP442" i="3"/>
  <c r="BN443" i="3"/>
  <c r="BO443" i="3" s="1"/>
  <c r="BL445" i="3"/>
  <c r="BL444" i="3"/>
  <c r="BJ446" i="3"/>
  <c r="BK446" i="3" s="1"/>
  <c r="BH447" i="3"/>
  <c r="BH450" i="3"/>
  <c r="BF451" i="3"/>
  <c r="BF448" i="3"/>
  <c r="BG448" i="3" s="1"/>
  <c r="BD449" i="3"/>
  <c r="BE449" i="3" s="1"/>
  <c r="BB452" i="3"/>
  <c r="AZ455" i="3"/>
  <c r="AZ456" i="3"/>
  <c r="AT457" i="3"/>
  <c r="AT458" i="3"/>
  <c r="AS460" i="3"/>
  <c r="AS459" i="3"/>
  <c r="AR461" i="3"/>
  <c r="AR462" i="3"/>
  <c r="CT425" i="3" l="1"/>
  <c r="CP433" i="3"/>
  <c r="CP426" i="3"/>
  <c r="CP431" i="3"/>
  <c r="AJ427" i="25"/>
  <c r="CP427" i="3"/>
  <c r="AJ431" i="25"/>
  <c r="AJ426" i="25"/>
  <c r="CN428" i="3"/>
  <c r="CO428" i="3" s="1"/>
  <c r="AJ433" i="25"/>
  <c r="CL429" i="3"/>
  <c r="CL430" i="3"/>
  <c r="CH432" i="3"/>
  <c r="CF436" i="3"/>
  <c r="CF434" i="3"/>
  <c r="CF435" i="3"/>
  <c r="CA437" i="3"/>
  <c r="CB437" i="3" s="1"/>
  <c r="CD437" i="3" s="1"/>
  <c r="CE437" i="3" s="1"/>
  <c r="BZ438" i="3"/>
  <c r="BX439" i="3"/>
  <c r="BV440" i="3"/>
  <c r="BT441" i="3"/>
  <c r="BR442" i="3"/>
  <c r="BS442" i="3" s="1"/>
  <c r="BP443" i="3"/>
  <c r="BN445" i="3"/>
  <c r="BO445" i="3" s="1"/>
  <c r="BN444" i="3"/>
  <c r="BL446" i="3"/>
  <c r="BJ450" i="3"/>
  <c r="BJ447" i="3"/>
  <c r="BK447" i="3" s="1"/>
  <c r="BH448" i="3"/>
  <c r="BH451" i="3"/>
  <c r="BF449" i="3"/>
  <c r="BG449" i="3" s="1"/>
  <c r="BD452" i="3"/>
  <c r="BB456" i="3"/>
  <c r="BB455" i="3"/>
  <c r="AU458" i="3"/>
  <c r="AV458" i="3" s="1"/>
  <c r="AU457" i="3"/>
  <c r="AV457" i="3" s="1"/>
  <c r="AW457" i="3" s="1"/>
  <c r="AX454" i="3"/>
  <c r="AX453" i="3"/>
  <c r="AT460" i="3"/>
  <c r="AT459" i="3"/>
  <c r="AS462" i="3"/>
  <c r="AS461" i="3"/>
  <c r="AR463" i="3"/>
  <c r="CT427" i="3" l="1"/>
  <c r="CT431" i="3"/>
  <c r="CT426" i="3"/>
  <c r="CT433" i="3"/>
  <c r="CP428" i="3"/>
  <c r="AJ428" i="25"/>
  <c r="CN430" i="3"/>
  <c r="CO430" i="3" s="1"/>
  <c r="CN429" i="3"/>
  <c r="CO429" i="3" s="1"/>
  <c r="CJ432" i="3"/>
  <c r="CH435" i="3"/>
  <c r="CH434" i="3"/>
  <c r="CH436" i="3"/>
  <c r="CF437" i="3"/>
  <c r="CG437" i="3" s="1"/>
  <c r="CB438" i="3"/>
  <c r="CD438" i="3" s="1"/>
  <c r="BZ439" i="3"/>
  <c r="BX440" i="3"/>
  <c r="BV441" i="3"/>
  <c r="BW441" i="3" s="1"/>
  <c r="BT442" i="3"/>
  <c r="BR443" i="3"/>
  <c r="BS443" i="3" s="1"/>
  <c r="BP444" i="3"/>
  <c r="BP445" i="3"/>
  <c r="BN446" i="3"/>
  <c r="BL447" i="3"/>
  <c r="BL450" i="3"/>
  <c r="BJ448" i="3"/>
  <c r="BK448" i="3" s="1"/>
  <c r="BJ451" i="3"/>
  <c r="BH449" i="3"/>
  <c r="BF452" i="3"/>
  <c r="BD455" i="3"/>
  <c r="BD456" i="3"/>
  <c r="AZ454" i="3"/>
  <c r="AZ453" i="3"/>
  <c r="AU459" i="3"/>
  <c r="AV459" i="3" s="1"/>
  <c r="AU460" i="3"/>
  <c r="AV460" i="3" s="1"/>
  <c r="AW460" i="3" s="1"/>
  <c r="AT461" i="3"/>
  <c r="AT462" i="3"/>
  <c r="AS463" i="3"/>
  <c r="AR464" i="3"/>
  <c r="CT428" i="3" l="1"/>
  <c r="CP429" i="3"/>
  <c r="CP430" i="3"/>
  <c r="AJ430" i="25"/>
  <c r="AJ429" i="25"/>
  <c r="CL432" i="3"/>
  <c r="CJ436" i="3"/>
  <c r="CJ434" i="3"/>
  <c r="CJ435" i="3"/>
  <c r="CH437" i="3"/>
  <c r="CI437" i="3" s="1"/>
  <c r="CF438" i="3"/>
  <c r="CA439" i="3"/>
  <c r="CB439" i="3" s="1"/>
  <c r="CD439" i="3" s="1"/>
  <c r="BZ440" i="3"/>
  <c r="BX441" i="3"/>
  <c r="BV442" i="3"/>
  <c r="BT443" i="3"/>
  <c r="BR445" i="3"/>
  <c r="BR444" i="3"/>
  <c r="BP446" i="3"/>
  <c r="BN447" i="3"/>
  <c r="BN450" i="3"/>
  <c r="BL448" i="3"/>
  <c r="BL451" i="3"/>
  <c r="BJ449" i="3"/>
  <c r="BK449" i="3" s="1"/>
  <c r="BH452" i="3"/>
  <c r="BF456" i="3"/>
  <c r="BF455" i="3"/>
  <c r="BB453" i="3"/>
  <c r="BA454" i="3"/>
  <c r="BB454" i="3" s="1"/>
  <c r="AU461" i="3"/>
  <c r="AV461" i="3" s="1"/>
  <c r="AU462" i="3"/>
  <c r="AV462" i="3" s="1"/>
  <c r="AW462" i="3" s="1"/>
  <c r="AX458" i="3"/>
  <c r="AX457" i="3"/>
  <c r="AT463" i="3"/>
  <c r="AS464" i="3"/>
  <c r="AR465" i="3"/>
  <c r="CT430" i="3" l="1"/>
  <c r="CT429" i="3"/>
  <c r="CN432" i="3"/>
  <c r="CO432" i="3" s="1"/>
  <c r="CL435" i="3"/>
  <c r="CL434" i="3"/>
  <c r="CL436" i="3"/>
  <c r="CJ437" i="3"/>
  <c r="CH438" i="3"/>
  <c r="CF439" i="3"/>
  <c r="CG439" i="3" s="1"/>
  <c r="CB440" i="3"/>
  <c r="BZ441" i="3"/>
  <c r="BX442" i="3"/>
  <c r="BV443" i="3"/>
  <c r="BT444" i="3"/>
  <c r="BT445" i="3"/>
  <c r="BR446" i="3"/>
  <c r="BP450" i="3"/>
  <c r="BP447" i="3"/>
  <c r="BN451" i="3"/>
  <c r="BN448" i="3"/>
  <c r="BL449" i="3"/>
  <c r="BJ452" i="3"/>
  <c r="BH455" i="3"/>
  <c r="BH456" i="3"/>
  <c r="BD454" i="3"/>
  <c r="BE454" i="3" s="1"/>
  <c r="BD453" i="3"/>
  <c r="AZ457" i="3"/>
  <c r="AZ458" i="3"/>
  <c r="AU463" i="3"/>
  <c r="AV463" i="3" s="1"/>
  <c r="AW463" i="3" s="1"/>
  <c r="AX460" i="3"/>
  <c r="AX459" i="3"/>
  <c r="AT464" i="3"/>
  <c r="AS465" i="3"/>
  <c r="AR466" i="3"/>
  <c r="CP432" i="3" l="1"/>
  <c r="AJ432" i="25"/>
  <c r="CN436" i="3"/>
  <c r="CO436" i="3" s="1"/>
  <c r="CN434" i="3"/>
  <c r="CO434" i="3" s="1"/>
  <c r="CN435" i="3"/>
  <c r="CO435" i="3" s="1"/>
  <c r="CL437" i="3"/>
  <c r="CJ438" i="3"/>
  <c r="CH439" i="3"/>
  <c r="CI439" i="3" s="1"/>
  <c r="CD440" i="3"/>
  <c r="CA441" i="3"/>
  <c r="CB441" i="3" s="1"/>
  <c r="CD441" i="3" s="1"/>
  <c r="BZ442" i="3"/>
  <c r="BX443" i="3"/>
  <c r="BV445" i="3"/>
  <c r="BV444" i="3"/>
  <c r="BT446" i="3"/>
  <c r="BR447" i="3"/>
  <c r="BS447" i="3" s="1"/>
  <c r="BR450" i="3"/>
  <c r="BP451" i="3"/>
  <c r="BP448" i="3"/>
  <c r="BN449" i="3"/>
  <c r="BL452" i="3"/>
  <c r="BJ455" i="3"/>
  <c r="BJ456" i="3"/>
  <c r="BF453" i="3"/>
  <c r="BF454" i="3"/>
  <c r="BG454" i="3" s="1"/>
  <c r="BB458" i="3"/>
  <c r="BB457" i="3"/>
  <c r="AZ460" i="3"/>
  <c r="AZ459" i="3"/>
  <c r="AU464" i="3"/>
  <c r="AV464" i="3" s="1"/>
  <c r="AW464" i="3" s="1"/>
  <c r="AX462" i="3"/>
  <c r="AX461" i="3"/>
  <c r="AT465" i="3"/>
  <c r="AS466" i="3"/>
  <c r="AR467" i="3"/>
  <c r="CT432" i="3" l="1"/>
  <c r="CP435" i="3"/>
  <c r="CP434" i="3"/>
  <c r="AJ436" i="25"/>
  <c r="AJ434" i="25"/>
  <c r="CP436" i="3"/>
  <c r="AJ435" i="25"/>
  <c r="CN437" i="3"/>
  <c r="CO437" i="3" s="1"/>
  <c r="CL438" i="3"/>
  <c r="CJ439" i="3"/>
  <c r="CF441" i="3"/>
  <c r="CG441" i="3" s="1"/>
  <c r="CF440" i="3"/>
  <c r="CA442" i="3"/>
  <c r="CB442" i="3" s="1"/>
  <c r="CD442" i="3" s="1"/>
  <c r="BZ443" i="3"/>
  <c r="BX444" i="3"/>
  <c r="BX445" i="3"/>
  <c r="BV446" i="3"/>
  <c r="BT447" i="3"/>
  <c r="BT450" i="3"/>
  <c r="BR448" i="3"/>
  <c r="BR451" i="3"/>
  <c r="BP449" i="3"/>
  <c r="BN452" i="3"/>
  <c r="BL456" i="3"/>
  <c r="BL455" i="3"/>
  <c r="BH454" i="3"/>
  <c r="BH453" i="3"/>
  <c r="BD457" i="3"/>
  <c r="BE457" i="3" s="1"/>
  <c r="BD458" i="3"/>
  <c r="BE458" i="3" s="1"/>
  <c r="BB459" i="3"/>
  <c r="BA460" i="3"/>
  <c r="BB460" i="3" s="1"/>
  <c r="AZ462" i="3"/>
  <c r="AZ461" i="3"/>
  <c r="AV465" i="3"/>
  <c r="AX463" i="3"/>
  <c r="AT466" i="3"/>
  <c r="AS467" i="3"/>
  <c r="AR468" i="3"/>
  <c r="AR469" i="3"/>
  <c r="CT436" i="3" l="1"/>
  <c r="CT434" i="3"/>
  <c r="CT435" i="3"/>
  <c r="CP437" i="3"/>
  <c r="AJ437" i="25"/>
  <c r="CN438" i="3"/>
  <c r="CO438" i="3" s="1"/>
  <c r="CL439" i="3"/>
  <c r="CH440" i="3"/>
  <c r="CH441" i="3"/>
  <c r="CI441" i="3" s="1"/>
  <c r="CE442" i="3"/>
  <c r="CF442" i="3" s="1"/>
  <c r="CG442" i="3" s="1"/>
  <c r="CA443" i="3"/>
  <c r="CB443" i="3" s="1"/>
  <c r="BZ445" i="3"/>
  <c r="BZ444" i="3"/>
  <c r="BX446" i="3"/>
  <c r="BV450" i="3"/>
  <c r="BV447" i="3"/>
  <c r="BT448" i="3"/>
  <c r="BU448" i="3" s="1"/>
  <c r="BT451" i="3"/>
  <c r="BR449" i="3"/>
  <c r="BP452" i="3"/>
  <c r="BN455" i="3"/>
  <c r="BN456" i="3"/>
  <c r="BJ453" i="3"/>
  <c r="BJ454" i="3"/>
  <c r="BK454" i="3" s="1"/>
  <c r="BF458" i="3"/>
  <c r="BG458" i="3" s="1"/>
  <c r="BF457" i="3"/>
  <c r="BG457" i="3" s="1"/>
  <c r="BD459" i="3"/>
  <c r="BE459" i="3" s="1"/>
  <c r="BD460" i="3"/>
  <c r="BE460" i="3" s="1"/>
  <c r="BB461" i="3"/>
  <c r="BA462" i="3"/>
  <c r="BB462" i="3" s="1"/>
  <c r="AZ463" i="3"/>
  <c r="AX465" i="3"/>
  <c r="AU466" i="3"/>
  <c r="AV466" i="3" s="1"/>
  <c r="AX464" i="3"/>
  <c r="AT467" i="3"/>
  <c r="AS469" i="3"/>
  <c r="AS468" i="3"/>
  <c r="AR470" i="3"/>
  <c r="AR471" i="3"/>
  <c r="CT437" i="3" l="1"/>
  <c r="CP438" i="3"/>
  <c r="AJ438" i="25"/>
  <c r="CN439" i="3"/>
  <c r="CO439" i="3" s="1"/>
  <c r="CJ441" i="3"/>
  <c r="CJ440" i="3"/>
  <c r="CH442" i="3"/>
  <c r="CI442" i="3" s="1"/>
  <c r="CD443" i="3"/>
  <c r="CB444" i="3"/>
  <c r="CD444" i="3" s="1"/>
  <c r="CB445" i="3"/>
  <c r="BZ446" i="3"/>
  <c r="BX447" i="3"/>
  <c r="BX450" i="3"/>
  <c r="BV451" i="3"/>
  <c r="BV448" i="3"/>
  <c r="BT449" i="3"/>
  <c r="BR452" i="3"/>
  <c r="BP456" i="3"/>
  <c r="BP455" i="3"/>
  <c r="BL454" i="3"/>
  <c r="BL453" i="3"/>
  <c r="BH457" i="3"/>
  <c r="BH458" i="3"/>
  <c r="BF460" i="3"/>
  <c r="BG460" i="3" s="1"/>
  <c r="BF459" i="3"/>
  <c r="BG459" i="3" s="1"/>
  <c r="BD462" i="3"/>
  <c r="BD461" i="3"/>
  <c r="BE461" i="3" s="1"/>
  <c r="BB463" i="3"/>
  <c r="AZ464" i="3"/>
  <c r="AZ465" i="3"/>
  <c r="AU467" i="3"/>
  <c r="AV467" i="3" s="1"/>
  <c r="AT468" i="3"/>
  <c r="AT469" i="3"/>
  <c r="AS471" i="3"/>
  <c r="AS470" i="3"/>
  <c r="AR472" i="3"/>
  <c r="CT438" i="3" l="1"/>
  <c r="CP439" i="3"/>
  <c r="AJ439" i="25"/>
  <c r="CL440" i="3"/>
  <c r="CL441" i="3"/>
  <c r="CJ442" i="3"/>
  <c r="CF444" i="3"/>
  <c r="CF443" i="3"/>
  <c r="CD445" i="3"/>
  <c r="CB446" i="3"/>
  <c r="CD446" i="3" s="1"/>
  <c r="BZ450" i="3"/>
  <c r="BZ447" i="3"/>
  <c r="BX451" i="3"/>
  <c r="BX448" i="3"/>
  <c r="BV449" i="3"/>
  <c r="BT452" i="3"/>
  <c r="BR456" i="3"/>
  <c r="BR455" i="3"/>
  <c r="BN453" i="3"/>
  <c r="BN454" i="3"/>
  <c r="BJ458" i="3"/>
  <c r="BK458" i="3" s="1"/>
  <c r="BJ457" i="3"/>
  <c r="BK457" i="3" s="1"/>
  <c r="BH460" i="3"/>
  <c r="BH459" i="3"/>
  <c r="BF462" i="3"/>
  <c r="BF461" i="3"/>
  <c r="BG461" i="3" s="1"/>
  <c r="BD463" i="3"/>
  <c r="BE463" i="3" s="1"/>
  <c r="BB465" i="3"/>
  <c r="BA464" i="3"/>
  <c r="BB464" i="3" s="1"/>
  <c r="AU469" i="3"/>
  <c r="AV469" i="3" s="1"/>
  <c r="AV468" i="3"/>
  <c r="AX466" i="3"/>
  <c r="AT471" i="3"/>
  <c r="AT470" i="3"/>
  <c r="AS472" i="3"/>
  <c r="AR473" i="3"/>
  <c r="AT473" i="3" s="1"/>
  <c r="CT439" i="3" l="1"/>
  <c r="CN441" i="3"/>
  <c r="CO441" i="3" s="1"/>
  <c r="CN440" i="3"/>
  <c r="CO440" i="3" s="1"/>
  <c r="CL442" i="3"/>
  <c r="CH443" i="3"/>
  <c r="CH444" i="3"/>
  <c r="CF446" i="3"/>
  <c r="CF445" i="3"/>
  <c r="CA447" i="3"/>
  <c r="CB447" i="3" s="1"/>
  <c r="CD447" i="3" s="1"/>
  <c r="CB450" i="3"/>
  <c r="CD450" i="3" s="1"/>
  <c r="BZ451" i="3"/>
  <c r="BZ448" i="3"/>
  <c r="BX449" i="3"/>
  <c r="BV452" i="3"/>
  <c r="BT456" i="3"/>
  <c r="BT455" i="3"/>
  <c r="BP454" i="3"/>
  <c r="BP453" i="3"/>
  <c r="BL457" i="3"/>
  <c r="BL458" i="3"/>
  <c r="BJ459" i="3"/>
  <c r="BK459" i="3" s="1"/>
  <c r="BJ460" i="3"/>
  <c r="BK460" i="3" s="1"/>
  <c r="BH461" i="3"/>
  <c r="BH462" i="3"/>
  <c r="BF463" i="3"/>
  <c r="BG463" i="3" s="1"/>
  <c r="BD465" i="3"/>
  <c r="BD464" i="3"/>
  <c r="BE464" i="3" s="1"/>
  <c r="AZ466" i="3"/>
  <c r="AX468" i="3"/>
  <c r="AU470" i="3"/>
  <c r="AV470" i="3" s="1"/>
  <c r="AW470" i="3" s="1"/>
  <c r="AU471" i="3"/>
  <c r="AV471" i="3" s="1"/>
  <c r="AW471" i="3" s="1"/>
  <c r="AV473" i="3"/>
  <c r="AX467" i="3"/>
  <c r="AT472" i="3"/>
  <c r="AR474" i="3"/>
  <c r="CP440" i="3" l="1"/>
  <c r="CP441" i="3"/>
  <c r="AJ441" i="25"/>
  <c r="AJ440" i="25"/>
  <c r="CN442" i="3"/>
  <c r="CO442" i="3" s="1"/>
  <c r="CJ444" i="3"/>
  <c r="CJ443" i="3"/>
  <c r="CH445" i="3"/>
  <c r="CH446" i="3"/>
  <c r="CF450" i="3"/>
  <c r="CF447" i="3"/>
  <c r="CA448" i="3"/>
  <c r="CB448" i="3" s="1"/>
  <c r="CD448" i="3" s="1"/>
  <c r="CB451" i="3"/>
  <c r="CD451" i="3" s="1"/>
  <c r="BZ449" i="3"/>
  <c r="BX452" i="3"/>
  <c r="BV455" i="3"/>
  <c r="BV456" i="3"/>
  <c r="BR453" i="3"/>
  <c r="BR454" i="3"/>
  <c r="BN458" i="3"/>
  <c r="BO458" i="3" s="1"/>
  <c r="BN457" i="3"/>
  <c r="BL460" i="3"/>
  <c r="BL459" i="3"/>
  <c r="BJ462" i="3"/>
  <c r="BJ461" i="3"/>
  <c r="BK461" i="3" s="1"/>
  <c r="BH463" i="3"/>
  <c r="BF465" i="3"/>
  <c r="BF464" i="3"/>
  <c r="BG464" i="3" s="1"/>
  <c r="BB466" i="3"/>
  <c r="AZ468" i="3"/>
  <c r="AZ467" i="3"/>
  <c r="AX473" i="3"/>
  <c r="AU472" i="3"/>
  <c r="AV472" i="3" s="1"/>
  <c r="AW472" i="3" s="1"/>
  <c r="AX469" i="3"/>
  <c r="AS474" i="3"/>
  <c r="AR475" i="3"/>
  <c r="AR476" i="3"/>
  <c r="CT441" i="3" l="1"/>
  <c r="CT440" i="3"/>
  <c r="CP442" i="3"/>
  <c r="AJ442" i="25"/>
  <c r="CL444" i="3"/>
  <c r="CL443" i="3"/>
  <c r="CJ445" i="3"/>
  <c r="CJ446" i="3"/>
  <c r="CH447" i="3"/>
  <c r="CH450" i="3"/>
  <c r="CF448" i="3"/>
  <c r="CF451" i="3"/>
  <c r="CB449" i="3"/>
  <c r="CD449" i="3" s="1"/>
  <c r="BZ452" i="3"/>
  <c r="BX456" i="3"/>
  <c r="BX455" i="3"/>
  <c r="BT454" i="3"/>
  <c r="BT453" i="3"/>
  <c r="BP457" i="3"/>
  <c r="BP458" i="3"/>
  <c r="BN460" i="3"/>
  <c r="BN459" i="3"/>
  <c r="BO459" i="3" s="1"/>
  <c r="BL462" i="3"/>
  <c r="BL461" i="3"/>
  <c r="BJ463" i="3"/>
  <c r="BK463" i="3" s="1"/>
  <c r="BH465" i="3"/>
  <c r="BH464" i="3"/>
  <c r="BD466" i="3"/>
  <c r="BE466" i="3" s="1"/>
  <c r="BB467" i="3"/>
  <c r="BB468" i="3"/>
  <c r="AZ469" i="3"/>
  <c r="AZ473" i="3"/>
  <c r="AX470" i="3"/>
  <c r="AX471" i="3"/>
  <c r="AT474" i="3"/>
  <c r="AU474" i="3" s="1"/>
  <c r="AS475" i="3"/>
  <c r="AS476" i="3"/>
  <c r="AR477" i="3"/>
  <c r="CT442" i="3" l="1"/>
  <c r="CN443" i="3"/>
  <c r="CO443" i="3" s="1"/>
  <c r="CN444" i="3"/>
  <c r="CO444" i="3" s="1"/>
  <c r="CL445" i="3"/>
  <c r="CL446" i="3"/>
  <c r="CJ450" i="3"/>
  <c r="CJ447" i="3"/>
  <c r="CH451" i="3"/>
  <c r="CH448" i="3"/>
  <c r="CF449" i="3"/>
  <c r="CB452" i="3"/>
  <c r="CD452" i="3" s="1"/>
  <c r="BZ455" i="3"/>
  <c r="BZ456" i="3"/>
  <c r="BV453" i="3"/>
  <c r="BV454" i="3"/>
  <c r="BR458" i="3"/>
  <c r="BS458" i="3" s="1"/>
  <c r="BR457" i="3"/>
  <c r="BP460" i="3"/>
  <c r="BP459" i="3"/>
  <c r="BN462" i="3"/>
  <c r="BN461" i="3"/>
  <c r="BO461" i="3" s="1"/>
  <c r="BL463" i="3"/>
  <c r="BJ465" i="3"/>
  <c r="BJ464" i="3"/>
  <c r="BF466" i="3"/>
  <c r="BG466" i="3" s="1"/>
  <c r="BD468" i="3"/>
  <c r="BD467" i="3"/>
  <c r="BE467" i="3" s="1"/>
  <c r="BB473" i="3"/>
  <c r="BB469" i="3"/>
  <c r="AZ470" i="3"/>
  <c r="AZ471" i="3"/>
  <c r="AV474" i="3"/>
  <c r="AX472" i="3"/>
  <c r="AT475" i="3"/>
  <c r="AT476" i="3"/>
  <c r="AS477" i="3"/>
  <c r="AR478" i="3"/>
  <c r="CP444" i="3" l="1"/>
  <c r="CP443" i="3"/>
  <c r="AJ443" i="25"/>
  <c r="AJ444" i="25"/>
  <c r="CN446" i="3"/>
  <c r="CO446" i="3" s="1"/>
  <c r="CN445" i="3"/>
  <c r="CO445" i="3" s="1"/>
  <c r="CL447" i="3"/>
  <c r="CL450" i="3"/>
  <c r="CJ451" i="3"/>
  <c r="CJ448" i="3"/>
  <c r="CH449" i="3"/>
  <c r="CF452" i="3"/>
  <c r="CB456" i="3"/>
  <c r="CD456" i="3" s="1"/>
  <c r="CB455" i="3"/>
  <c r="CD455" i="3" s="1"/>
  <c r="BX454" i="3"/>
  <c r="BX453" i="3"/>
  <c r="BT457" i="3"/>
  <c r="BT458" i="3"/>
  <c r="BR460" i="3"/>
  <c r="BR459" i="3"/>
  <c r="BS459" i="3" s="1"/>
  <c r="BP462" i="3"/>
  <c r="BP461" i="3"/>
  <c r="BN463" i="3"/>
  <c r="BL464" i="3"/>
  <c r="BL465" i="3"/>
  <c r="BH466" i="3"/>
  <c r="BF468" i="3"/>
  <c r="BF467" i="3"/>
  <c r="BG467" i="3" s="1"/>
  <c r="BD473" i="3"/>
  <c r="BD469" i="3"/>
  <c r="BB471" i="3"/>
  <c r="BA470" i="3"/>
  <c r="BB470" i="3" s="1"/>
  <c r="AZ472" i="3"/>
  <c r="AX474" i="3"/>
  <c r="AU476" i="3"/>
  <c r="AV476" i="3" s="1"/>
  <c r="AW476" i="3" s="1"/>
  <c r="AU475" i="3"/>
  <c r="AV475" i="3" s="1"/>
  <c r="AT477" i="3"/>
  <c r="AS478" i="3"/>
  <c r="AR479" i="3"/>
  <c r="CT443" i="3" l="1"/>
  <c r="CT444" i="3"/>
  <c r="AJ445" i="25"/>
  <c r="CP446" i="3"/>
  <c r="AJ446" i="25"/>
  <c r="CP445" i="3"/>
  <c r="CN450" i="3"/>
  <c r="CO450" i="3" s="1"/>
  <c r="CN447" i="3"/>
  <c r="CO447" i="3" s="1"/>
  <c r="CL448" i="3"/>
  <c r="CL451" i="3"/>
  <c r="CJ449" i="3"/>
  <c r="CH452" i="3"/>
  <c r="CF455" i="3"/>
  <c r="CF456" i="3"/>
  <c r="BZ453" i="3"/>
  <c r="BZ454" i="3"/>
  <c r="BV458" i="3"/>
  <c r="BV457" i="3"/>
  <c r="BT459" i="3"/>
  <c r="BT460" i="3"/>
  <c r="BU460" i="3" s="1"/>
  <c r="BR462" i="3"/>
  <c r="BR461" i="3"/>
  <c r="BP463" i="3"/>
  <c r="BN465" i="3"/>
  <c r="BN464" i="3"/>
  <c r="BJ466" i="3"/>
  <c r="BK466" i="3" s="1"/>
  <c r="BH468" i="3"/>
  <c r="BH467" i="3"/>
  <c r="BF469" i="3"/>
  <c r="BF473" i="3"/>
  <c r="BD470" i="3"/>
  <c r="BE470" i="3" s="1"/>
  <c r="BD471" i="3"/>
  <c r="BE471" i="3" s="1"/>
  <c r="BA472" i="3"/>
  <c r="BB472" i="3" s="1"/>
  <c r="AZ474" i="3"/>
  <c r="AU477" i="3"/>
  <c r="AV477" i="3" s="1"/>
  <c r="AT478" i="3"/>
  <c r="AS479" i="3"/>
  <c r="AR480" i="3"/>
  <c r="AR481" i="3"/>
  <c r="CT445" i="3" l="1"/>
  <c r="CT446" i="3"/>
  <c r="CP447" i="3"/>
  <c r="CP450" i="3"/>
  <c r="AJ450" i="25"/>
  <c r="AJ447" i="25"/>
  <c r="CN451" i="3"/>
  <c r="CO451" i="3" s="1"/>
  <c r="CN448" i="3"/>
  <c r="CO448" i="3" s="1"/>
  <c r="CL449" i="3"/>
  <c r="CJ452" i="3"/>
  <c r="CH456" i="3"/>
  <c r="CH455" i="3"/>
  <c r="CA454" i="3"/>
  <c r="CB454" i="3" s="1"/>
  <c r="CB453" i="3"/>
  <c r="CD453" i="3" s="1"/>
  <c r="BX457" i="3"/>
  <c r="BX458" i="3"/>
  <c r="BV460" i="3"/>
  <c r="BV459" i="3"/>
  <c r="BT461" i="3"/>
  <c r="BU461" i="3" s="1"/>
  <c r="BT462" i="3"/>
  <c r="BR463" i="3"/>
  <c r="BS463" i="3" s="1"/>
  <c r="BP464" i="3"/>
  <c r="BP465" i="3"/>
  <c r="BL466" i="3"/>
  <c r="BJ467" i="3"/>
  <c r="BK467" i="3" s="1"/>
  <c r="BJ468" i="3"/>
  <c r="BH469" i="3"/>
  <c r="BH473" i="3"/>
  <c r="BF471" i="3"/>
  <c r="BG471" i="3" s="1"/>
  <c r="BF470" i="3"/>
  <c r="BG470" i="3" s="1"/>
  <c r="BD472" i="3"/>
  <c r="BE472" i="3" s="1"/>
  <c r="BB474" i="3"/>
  <c r="AU478" i="3"/>
  <c r="AV478" i="3" s="1"/>
  <c r="AW478" i="3" s="1"/>
  <c r="AX475" i="3"/>
  <c r="AX476" i="3"/>
  <c r="AT479" i="3"/>
  <c r="AS481" i="3"/>
  <c r="AS480" i="3"/>
  <c r="AR482" i="3"/>
  <c r="CT450" i="3" l="1"/>
  <c r="CT447" i="3"/>
  <c r="AJ448" i="25"/>
  <c r="CP451" i="3"/>
  <c r="AJ451" i="25"/>
  <c r="CP448" i="3"/>
  <c r="CN449" i="3"/>
  <c r="CO449" i="3" s="1"/>
  <c r="CL452" i="3"/>
  <c r="CJ455" i="3"/>
  <c r="CJ456" i="3"/>
  <c r="CF453" i="3"/>
  <c r="CD454" i="3"/>
  <c r="CE454" i="3" s="1"/>
  <c r="BZ458" i="3"/>
  <c r="BZ457" i="3"/>
  <c r="BX459" i="3"/>
  <c r="BX460" i="3"/>
  <c r="BV462" i="3"/>
  <c r="BV461" i="3"/>
  <c r="BT463" i="3"/>
  <c r="BR465" i="3"/>
  <c r="BR464" i="3"/>
  <c r="BN466" i="3"/>
  <c r="BO466" i="3" s="1"/>
  <c r="BL468" i="3"/>
  <c r="BL467" i="3"/>
  <c r="BJ473" i="3"/>
  <c r="BJ469" i="3"/>
  <c r="BH470" i="3"/>
  <c r="BH471" i="3"/>
  <c r="BF472" i="3"/>
  <c r="BG472" i="3" s="1"/>
  <c r="BD474" i="3"/>
  <c r="AZ475" i="3"/>
  <c r="AZ476" i="3"/>
  <c r="AU479" i="3"/>
  <c r="AV479" i="3" s="1"/>
  <c r="AW479" i="3" s="1"/>
  <c r="AX477" i="3"/>
  <c r="AT480" i="3"/>
  <c r="AT481" i="3"/>
  <c r="AS482" i="3"/>
  <c r="AR483" i="3"/>
  <c r="CT448" i="3" l="1"/>
  <c r="CT451" i="3"/>
  <c r="CP449" i="3"/>
  <c r="AJ449" i="25"/>
  <c r="CN452" i="3"/>
  <c r="CO452" i="3" s="1"/>
  <c r="CL456" i="3"/>
  <c r="CL455" i="3"/>
  <c r="CH453" i="3"/>
  <c r="CF454" i="3"/>
  <c r="CG454" i="3" s="1"/>
  <c r="CB457" i="3"/>
  <c r="CB458" i="3"/>
  <c r="CD458" i="3" s="1"/>
  <c r="BZ459" i="3"/>
  <c r="BZ460" i="3"/>
  <c r="BX462" i="3"/>
  <c r="BX461" i="3"/>
  <c r="BV463" i="3"/>
  <c r="BT464" i="3"/>
  <c r="BT465" i="3"/>
  <c r="BP466" i="3"/>
  <c r="BN467" i="3"/>
  <c r="BO467" i="3" s="1"/>
  <c r="BN468" i="3"/>
  <c r="BL473" i="3"/>
  <c r="BL469" i="3"/>
  <c r="BJ471" i="3"/>
  <c r="BK471" i="3" s="1"/>
  <c r="BJ470" i="3"/>
  <c r="BK470" i="3" s="1"/>
  <c r="BH472" i="3"/>
  <c r="BF474" i="3"/>
  <c r="BB475" i="3"/>
  <c r="BA476" i="3"/>
  <c r="BB476" i="3" s="1"/>
  <c r="AZ477" i="3"/>
  <c r="AU480" i="3"/>
  <c r="AV480" i="3" s="1"/>
  <c r="AW480" i="3" s="1"/>
  <c r="AU481" i="3"/>
  <c r="AV481" i="3" s="1"/>
  <c r="AW481" i="3" s="1"/>
  <c r="AX478" i="3"/>
  <c r="AT482" i="3"/>
  <c r="AS483" i="3"/>
  <c r="AR484" i="3"/>
  <c r="CT449" i="3" l="1"/>
  <c r="CP452" i="3"/>
  <c r="AJ452" i="25"/>
  <c r="CN455" i="3"/>
  <c r="CO455" i="3" s="1"/>
  <c r="CN456" i="3"/>
  <c r="CO456" i="3" s="1"/>
  <c r="CJ453" i="3"/>
  <c r="CH454" i="3"/>
  <c r="CI454" i="3" s="1"/>
  <c r="CF458" i="3"/>
  <c r="CD457" i="3"/>
  <c r="CA459" i="3"/>
  <c r="CB459" i="3" s="1"/>
  <c r="CB460" i="3"/>
  <c r="BZ462" i="3"/>
  <c r="BZ461" i="3"/>
  <c r="BX463" i="3"/>
  <c r="BV465" i="3"/>
  <c r="BV464" i="3"/>
  <c r="BR466" i="3"/>
  <c r="BS466" i="3" s="1"/>
  <c r="BP468" i="3"/>
  <c r="BP467" i="3"/>
  <c r="BN469" i="3"/>
  <c r="BN473" i="3"/>
  <c r="BL471" i="3"/>
  <c r="BL470" i="3"/>
  <c r="BJ472" i="3"/>
  <c r="BK472" i="3" s="1"/>
  <c r="BH474" i="3"/>
  <c r="BD476" i="3"/>
  <c r="BD475" i="3"/>
  <c r="BE475" i="3" s="1"/>
  <c r="BB477" i="3"/>
  <c r="AZ478" i="3"/>
  <c r="AU482" i="3"/>
  <c r="AV482" i="3" s="1"/>
  <c r="AX479" i="3"/>
  <c r="AT483" i="3"/>
  <c r="AS484" i="3"/>
  <c r="AR485" i="3"/>
  <c r="CT452" i="3" l="1"/>
  <c r="CP456" i="3"/>
  <c r="AJ455" i="25"/>
  <c r="CP455" i="3"/>
  <c r="AJ456" i="25"/>
  <c r="CL453" i="3"/>
  <c r="CJ454" i="3"/>
  <c r="CH458" i="3"/>
  <c r="CF457" i="3"/>
  <c r="CD460" i="3"/>
  <c r="CD459" i="3"/>
  <c r="CB462" i="3"/>
  <c r="CD462" i="3" s="1"/>
  <c r="CB461" i="3"/>
  <c r="CD461" i="3" s="1"/>
  <c r="BZ463" i="3"/>
  <c r="BX464" i="3"/>
  <c r="BX465" i="3"/>
  <c r="BT466" i="3"/>
  <c r="BR467" i="3"/>
  <c r="BS467" i="3" s="1"/>
  <c r="BR468" i="3"/>
  <c r="BP469" i="3"/>
  <c r="BP473" i="3"/>
  <c r="BN471" i="3"/>
  <c r="BN470" i="3"/>
  <c r="BL472" i="3"/>
  <c r="BJ474" i="3"/>
  <c r="BF476" i="3"/>
  <c r="BF475" i="3"/>
  <c r="BG475" i="3" s="1"/>
  <c r="BD477" i="3"/>
  <c r="BE477" i="3" s="1"/>
  <c r="BA478" i="3"/>
  <c r="BB478" i="3" s="1"/>
  <c r="AZ479" i="3"/>
  <c r="AU483" i="3"/>
  <c r="AV483" i="3" s="1"/>
  <c r="AX480" i="3"/>
  <c r="AX481" i="3"/>
  <c r="AT484" i="3"/>
  <c r="AS485" i="3"/>
  <c r="AR486" i="3"/>
  <c r="AR487" i="3"/>
  <c r="AT487" i="3" s="1"/>
  <c r="CT455" i="3" l="1"/>
  <c r="CT456" i="3"/>
  <c r="CN453" i="3"/>
  <c r="CO453" i="3" s="1"/>
  <c r="CL454" i="3"/>
  <c r="CJ458" i="3"/>
  <c r="CH457" i="3"/>
  <c r="CF461" i="3"/>
  <c r="CF460" i="3"/>
  <c r="CF462" i="3"/>
  <c r="CE459" i="3"/>
  <c r="CF459" i="3" s="1"/>
  <c r="CG459" i="3" s="1"/>
  <c r="CB463" i="3"/>
  <c r="CD463" i="3" s="1"/>
  <c r="BZ464" i="3"/>
  <c r="BZ465" i="3"/>
  <c r="BV466" i="3"/>
  <c r="BT468" i="3"/>
  <c r="BT467" i="3"/>
  <c r="BR473" i="3"/>
  <c r="BR469" i="3"/>
  <c r="BP470" i="3"/>
  <c r="BP471" i="3"/>
  <c r="BN472" i="3"/>
  <c r="BL474" i="3"/>
  <c r="BH475" i="3"/>
  <c r="BH476" i="3"/>
  <c r="BF477" i="3"/>
  <c r="BG477" i="3" s="1"/>
  <c r="BD478" i="3"/>
  <c r="BE478" i="3" s="1"/>
  <c r="BB479" i="3"/>
  <c r="AZ481" i="3"/>
  <c r="AZ480" i="3"/>
  <c r="AU484" i="3"/>
  <c r="AV484" i="3" s="1"/>
  <c r="AW484" i="3" s="1"/>
  <c r="AV487" i="3"/>
  <c r="AX482" i="3"/>
  <c r="AT485" i="3"/>
  <c r="AS486" i="3"/>
  <c r="AR488" i="3"/>
  <c r="CP453" i="3" l="1"/>
  <c r="AJ453" i="25"/>
  <c r="CN454" i="3"/>
  <c r="CO454" i="3" s="1"/>
  <c r="CL458" i="3"/>
  <c r="CJ457" i="3"/>
  <c r="CH459" i="3"/>
  <c r="CI459" i="3" s="1"/>
  <c r="CH462" i="3"/>
  <c r="CH460" i="3"/>
  <c r="CH461" i="3"/>
  <c r="CF463" i="3"/>
  <c r="CB465" i="3"/>
  <c r="CB464" i="3"/>
  <c r="CD464" i="3" s="1"/>
  <c r="BX466" i="3"/>
  <c r="BV467" i="3"/>
  <c r="BV468" i="3"/>
  <c r="BT473" i="3"/>
  <c r="BT469" i="3"/>
  <c r="BR470" i="3"/>
  <c r="BR471" i="3"/>
  <c r="BS471" i="3" s="1"/>
  <c r="BP472" i="3"/>
  <c r="BN474" i="3"/>
  <c r="BJ476" i="3"/>
  <c r="BJ475" i="3"/>
  <c r="BH477" i="3"/>
  <c r="BF478" i="3"/>
  <c r="BG478" i="3" s="1"/>
  <c r="BD479" i="3"/>
  <c r="BB481" i="3"/>
  <c r="BA480" i="3"/>
  <c r="BB480" i="3" s="1"/>
  <c r="AZ482" i="3"/>
  <c r="AX487" i="3"/>
  <c r="AU485" i="3"/>
  <c r="AV485" i="3" s="1"/>
  <c r="AX483" i="3"/>
  <c r="AT486" i="3"/>
  <c r="AS488" i="3"/>
  <c r="AR489" i="3"/>
  <c r="CT453" i="3" l="1"/>
  <c r="CP454" i="3"/>
  <c r="AJ454" i="25"/>
  <c r="CN458" i="3"/>
  <c r="CO458" i="3" s="1"/>
  <c r="CL457" i="3"/>
  <c r="CJ459" i="3"/>
  <c r="CJ461" i="3"/>
  <c r="CJ460" i="3"/>
  <c r="CJ462" i="3"/>
  <c r="CH463" i="3"/>
  <c r="CF464" i="3"/>
  <c r="CD465" i="3"/>
  <c r="BZ466" i="3"/>
  <c r="BX468" i="3"/>
  <c r="BX467" i="3"/>
  <c r="BV473" i="3"/>
  <c r="BV469" i="3"/>
  <c r="BT470" i="3"/>
  <c r="BT471" i="3"/>
  <c r="BR472" i="3"/>
  <c r="BP474" i="3"/>
  <c r="BL475" i="3"/>
  <c r="BL476" i="3"/>
  <c r="BJ477" i="3"/>
  <c r="BK477" i="3" s="1"/>
  <c r="BH478" i="3"/>
  <c r="BF479" i="3"/>
  <c r="BD480" i="3"/>
  <c r="BE480" i="3" s="1"/>
  <c r="BD481" i="3"/>
  <c r="BE481" i="3" s="1"/>
  <c r="BB482" i="3"/>
  <c r="AZ487" i="3"/>
  <c r="AZ483" i="3"/>
  <c r="AU486" i="3"/>
  <c r="AV486" i="3" s="1"/>
  <c r="AW486" i="3" s="1"/>
  <c r="AX484" i="3"/>
  <c r="AT488" i="3"/>
  <c r="AS489" i="3"/>
  <c r="AR490" i="3"/>
  <c r="CT454" i="3" l="1"/>
  <c r="CP458" i="3"/>
  <c r="AJ458" i="25"/>
  <c r="CN457" i="3"/>
  <c r="CO457" i="3" s="1"/>
  <c r="CL462" i="3"/>
  <c r="CL461" i="3"/>
  <c r="CL460" i="3"/>
  <c r="CL459" i="3"/>
  <c r="CJ463" i="3"/>
  <c r="CH464" i="3"/>
  <c r="CF465" i="3"/>
  <c r="CA466" i="3"/>
  <c r="CB466" i="3" s="1"/>
  <c r="CD466" i="3" s="1"/>
  <c r="BZ467" i="3"/>
  <c r="BZ468" i="3"/>
  <c r="BX469" i="3"/>
  <c r="BX473" i="3"/>
  <c r="BV470" i="3"/>
  <c r="BV471" i="3"/>
  <c r="BT472" i="3"/>
  <c r="BU472" i="3" s="1"/>
  <c r="BR474" i="3"/>
  <c r="BN476" i="3"/>
  <c r="BN475" i="3"/>
  <c r="BL477" i="3"/>
  <c r="BJ478" i="3"/>
  <c r="BK478" i="3" s="1"/>
  <c r="BH479" i="3"/>
  <c r="BF481" i="3"/>
  <c r="BG481" i="3" s="1"/>
  <c r="BF480" i="3"/>
  <c r="BG480" i="3" s="1"/>
  <c r="BD482" i="3"/>
  <c r="BE482" i="3" s="1"/>
  <c r="BB483" i="3"/>
  <c r="BB487" i="3"/>
  <c r="AZ484" i="3"/>
  <c r="AU488" i="3"/>
  <c r="AV488" i="3" s="1"/>
  <c r="AW488" i="3" s="1"/>
  <c r="AX485" i="3"/>
  <c r="AT489" i="3"/>
  <c r="AS490" i="3"/>
  <c r="AR491" i="3"/>
  <c r="CT458" i="3" l="1"/>
  <c r="CP457" i="3"/>
  <c r="AJ457" i="25"/>
  <c r="CN459" i="3"/>
  <c r="CO459" i="3" s="1"/>
  <c r="CN460" i="3"/>
  <c r="CO460" i="3" s="1"/>
  <c r="CN461" i="3"/>
  <c r="CO461" i="3" s="1"/>
  <c r="CN462" i="3"/>
  <c r="CO462" i="3" s="1"/>
  <c r="CL463" i="3"/>
  <c r="CJ464" i="3"/>
  <c r="CH465" i="3"/>
  <c r="CF466" i="3"/>
  <c r="CA467" i="3"/>
  <c r="CB467" i="3" s="1"/>
  <c r="CB468" i="3"/>
  <c r="BZ469" i="3"/>
  <c r="BZ473" i="3"/>
  <c r="BX471" i="3"/>
  <c r="BX470" i="3"/>
  <c r="BV472" i="3"/>
  <c r="BT474" i="3"/>
  <c r="BP475" i="3"/>
  <c r="BP476" i="3"/>
  <c r="BN477" i="3"/>
  <c r="BO477" i="3" s="1"/>
  <c r="BL478" i="3"/>
  <c r="BJ479" i="3"/>
  <c r="BH480" i="3"/>
  <c r="BH481" i="3"/>
  <c r="BF482" i="3"/>
  <c r="BG482" i="3" s="1"/>
  <c r="BD487" i="3"/>
  <c r="BD483" i="3"/>
  <c r="BE483" i="3" s="1"/>
  <c r="BA484" i="3"/>
  <c r="BB484" i="3" s="1"/>
  <c r="AZ485" i="3"/>
  <c r="AU489" i="3"/>
  <c r="AV489" i="3" s="1"/>
  <c r="AW489" i="3" s="1"/>
  <c r="AX486" i="3"/>
  <c r="AT490" i="3"/>
  <c r="AS491" i="3"/>
  <c r="AR492" i="3"/>
  <c r="AR493" i="3"/>
  <c r="CT457" i="3" l="1"/>
  <c r="AJ462" i="25"/>
  <c r="CP461" i="3"/>
  <c r="CP460" i="3"/>
  <c r="AJ459" i="25"/>
  <c r="CP459" i="3"/>
  <c r="AJ460" i="25"/>
  <c r="AJ461" i="25"/>
  <c r="CN463" i="3"/>
  <c r="CO463" i="3" s="1"/>
  <c r="CP462" i="3"/>
  <c r="CL464" i="3"/>
  <c r="CJ465" i="3"/>
  <c r="CH466" i="3"/>
  <c r="CD468" i="3"/>
  <c r="CD467" i="3"/>
  <c r="CB473" i="3"/>
  <c r="CD473" i="3" s="1"/>
  <c r="CB469" i="3"/>
  <c r="BZ470" i="3"/>
  <c r="BZ471" i="3"/>
  <c r="BX472" i="3"/>
  <c r="BV474" i="3"/>
  <c r="BR476" i="3"/>
  <c r="BR475" i="3"/>
  <c r="BP477" i="3"/>
  <c r="BN478" i="3"/>
  <c r="BL479" i="3"/>
  <c r="BJ480" i="3"/>
  <c r="BK480" i="3" s="1"/>
  <c r="BJ481" i="3"/>
  <c r="BK481" i="3" s="1"/>
  <c r="BH482" i="3"/>
  <c r="BF487" i="3"/>
  <c r="BF483" i="3"/>
  <c r="BG483" i="3" s="1"/>
  <c r="BD484" i="3"/>
  <c r="BE484" i="3" s="1"/>
  <c r="BB485" i="3"/>
  <c r="AZ486" i="3"/>
  <c r="AU490" i="3"/>
  <c r="AV490" i="3" s="1"/>
  <c r="AX488" i="3"/>
  <c r="AT491" i="3"/>
  <c r="AS492" i="3"/>
  <c r="AS493" i="3"/>
  <c r="AR494" i="3"/>
  <c r="CT459" i="3" l="1"/>
  <c r="CT460" i="3"/>
  <c r="CT461" i="3"/>
  <c r="CT462" i="3"/>
  <c r="CP463" i="3"/>
  <c r="AJ463" i="25"/>
  <c r="CN464" i="3"/>
  <c r="CO464" i="3" s="1"/>
  <c r="CL465" i="3"/>
  <c r="CJ466" i="3"/>
  <c r="CF473" i="3"/>
  <c r="CF468" i="3"/>
  <c r="CE467" i="3"/>
  <c r="CF467" i="3" s="1"/>
  <c r="CG467" i="3" s="1"/>
  <c r="CD469" i="3"/>
  <c r="CA471" i="3"/>
  <c r="CB471" i="3" s="1"/>
  <c r="CA470" i="3"/>
  <c r="CB470" i="3" s="1"/>
  <c r="BZ472" i="3"/>
  <c r="BX474" i="3"/>
  <c r="BT475" i="3"/>
  <c r="BT476" i="3"/>
  <c r="BR477" i="3"/>
  <c r="BP478" i="3"/>
  <c r="BN479" i="3"/>
  <c r="BL480" i="3"/>
  <c r="BL481" i="3"/>
  <c r="BJ482" i="3"/>
  <c r="BK482" i="3" s="1"/>
  <c r="BH483" i="3"/>
  <c r="BH487" i="3"/>
  <c r="BF484" i="3"/>
  <c r="BG484" i="3" s="1"/>
  <c r="BD485" i="3"/>
  <c r="BE485" i="3" s="1"/>
  <c r="BB486" i="3"/>
  <c r="AZ488" i="3"/>
  <c r="AU491" i="3"/>
  <c r="AV491" i="3" s="1"/>
  <c r="AX489" i="3"/>
  <c r="AT492" i="3"/>
  <c r="AT493" i="3"/>
  <c r="AS494" i="3"/>
  <c r="AR495" i="3"/>
  <c r="AR496" i="3"/>
  <c r="CT463" i="3" l="1"/>
  <c r="CP464" i="3"/>
  <c r="AJ464" i="25"/>
  <c r="CN465" i="3"/>
  <c r="CO465" i="3" s="1"/>
  <c r="CL466" i="3"/>
  <c r="CH467" i="3"/>
  <c r="CI467" i="3" s="1"/>
  <c r="CH468" i="3"/>
  <c r="CH473" i="3"/>
  <c r="CF469" i="3"/>
  <c r="CD470" i="3"/>
  <c r="CE470" i="3" s="1"/>
  <c r="CD471" i="3"/>
  <c r="CA472" i="3"/>
  <c r="CB472" i="3" s="1"/>
  <c r="BZ474" i="3"/>
  <c r="BV476" i="3"/>
  <c r="BV475" i="3"/>
  <c r="BT477" i="3"/>
  <c r="BU477" i="3" s="1"/>
  <c r="BR478" i="3"/>
  <c r="BP479" i="3"/>
  <c r="BN480" i="3"/>
  <c r="BN481" i="3"/>
  <c r="BL482" i="3"/>
  <c r="BJ487" i="3"/>
  <c r="BJ483" i="3"/>
  <c r="BK483" i="3" s="1"/>
  <c r="BH484" i="3"/>
  <c r="BF485" i="3"/>
  <c r="BG485" i="3" s="1"/>
  <c r="BD486" i="3"/>
  <c r="BA488" i="3"/>
  <c r="BB488" i="3" s="1"/>
  <c r="AZ489" i="3"/>
  <c r="AU493" i="3"/>
  <c r="AV493" i="3" s="1"/>
  <c r="AU492" i="3"/>
  <c r="AV492" i="3" s="1"/>
  <c r="AW492" i="3" s="1"/>
  <c r="AX490" i="3"/>
  <c r="AT494" i="3"/>
  <c r="AS495" i="3"/>
  <c r="AS496" i="3"/>
  <c r="AR497" i="3"/>
  <c r="CT464" i="3" l="1"/>
  <c r="CP465" i="3"/>
  <c r="AJ465" i="25"/>
  <c r="CN466" i="3"/>
  <c r="CO466" i="3" s="1"/>
  <c r="CJ473" i="3"/>
  <c r="CJ468" i="3"/>
  <c r="CJ467" i="3"/>
  <c r="CH469" i="3"/>
  <c r="CF470" i="3"/>
  <c r="CG470" i="3" s="1"/>
  <c r="CF471" i="3"/>
  <c r="CG471" i="3" s="1"/>
  <c r="CD472" i="3"/>
  <c r="CB474" i="3"/>
  <c r="CD474" i="3" s="1"/>
  <c r="BX475" i="3"/>
  <c r="BX476" i="3"/>
  <c r="BV477" i="3"/>
  <c r="BT478" i="3"/>
  <c r="BR479" i="3"/>
  <c r="BP481" i="3"/>
  <c r="BP480" i="3"/>
  <c r="BN482" i="3"/>
  <c r="BO482" i="3" s="1"/>
  <c r="BL487" i="3"/>
  <c r="BL483" i="3"/>
  <c r="BJ484" i="3"/>
  <c r="BK484" i="3" s="1"/>
  <c r="BH485" i="3"/>
  <c r="BF486" i="3"/>
  <c r="BD488" i="3"/>
  <c r="BE488" i="3" s="1"/>
  <c r="BB489" i="3"/>
  <c r="AZ490" i="3"/>
  <c r="AU494" i="3"/>
  <c r="AV494" i="3" s="1"/>
  <c r="AW494" i="3" s="1"/>
  <c r="AX491" i="3"/>
  <c r="AT495" i="3"/>
  <c r="AT496" i="3"/>
  <c r="AS497" i="3"/>
  <c r="AR498" i="3"/>
  <c r="CT465" i="3" l="1"/>
  <c r="CP466" i="3"/>
  <c r="AJ466" i="25"/>
  <c r="CL467" i="3"/>
  <c r="CL468" i="3"/>
  <c r="CL473" i="3"/>
  <c r="CJ469" i="3"/>
  <c r="CH471" i="3"/>
  <c r="CI471" i="3" s="1"/>
  <c r="CH470" i="3"/>
  <c r="CI470" i="3" s="1"/>
  <c r="CF472" i="3"/>
  <c r="CG472" i="3" s="1"/>
  <c r="CF474" i="3"/>
  <c r="BZ476" i="3"/>
  <c r="BZ475" i="3"/>
  <c r="BX477" i="3"/>
  <c r="BV478" i="3"/>
  <c r="BT479" i="3"/>
  <c r="BR480" i="3"/>
  <c r="BR481" i="3"/>
  <c r="BS481" i="3" s="1"/>
  <c r="BP482" i="3"/>
  <c r="BN483" i="3"/>
  <c r="BO483" i="3" s="1"/>
  <c r="BN487" i="3"/>
  <c r="BL484" i="3"/>
  <c r="BJ485" i="3"/>
  <c r="BK485" i="3" s="1"/>
  <c r="BH486" i="3"/>
  <c r="BF488" i="3"/>
  <c r="BG488" i="3" s="1"/>
  <c r="BD489" i="3"/>
  <c r="BE489" i="3" s="1"/>
  <c r="BB490" i="3"/>
  <c r="AZ491" i="3"/>
  <c r="AU496" i="3"/>
  <c r="AV496" i="3" s="1"/>
  <c r="AW496" i="3" s="1"/>
  <c r="AU495" i="3"/>
  <c r="AV495" i="3" s="1"/>
  <c r="AW495" i="3" s="1"/>
  <c r="AX492" i="3"/>
  <c r="AX493" i="3"/>
  <c r="AT497" i="3"/>
  <c r="AS498" i="3"/>
  <c r="AR499" i="3"/>
  <c r="CT466" i="3" l="1"/>
  <c r="CN473" i="3"/>
  <c r="CO473" i="3" s="1"/>
  <c r="AJ473" i="25" s="1"/>
  <c r="CN468" i="3"/>
  <c r="CO468" i="3" s="1"/>
  <c r="CN467" i="3"/>
  <c r="CO467" i="3" s="1"/>
  <c r="CL469" i="3"/>
  <c r="CJ471" i="3"/>
  <c r="CJ470" i="3"/>
  <c r="CH474" i="3"/>
  <c r="CH472" i="3"/>
  <c r="CI472" i="3" s="1"/>
  <c r="CB475" i="3"/>
  <c r="CD475" i="3" s="1"/>
  <c r="CB476" i="3"/>
  <c r="BY477" i="3"/>
  <c r="BZ477" i="3" s="1"/>
  <c r="CA477" i="3" s="1"/>
  <c r="BX478" i="3"/>
  <c r="BV479" i="3"/>
  <c r="BT481" i="3"/>
  <c r="BT480" i="3"/>
  <c r="BR482" i="3"/>
  <c r="BS482" i="3" s="1"/>
  <c r="BP487" i="3"/>
  <c r="BP483" i="3"/>
  <c r="BN484" i="3"/>
  <c r="BL485" i="3"/>
  <c r="BJ486" i="3"/>
  <c r="BH488" i="3"/>
  <c r="BF489" i="3"/>
  <c r="BG489" i="3" s="1"/>
  <c r="BD490" i="3"/>
  <c r="BE490" i="3" s="1"/>
  <c r="BB491" i="3"/>
  <c r="AZ493" i="3"/>
  <c r="AZ492" i="3"/>
  <c r="AU497" i="3"/>
  <c r="AV497" i="3" s="1"/>
  <c r="AW497" i="3" s="1"/>
  <c r="AX494" i="3"/>
  <c r="AT498" i="3"/>
  <c r="AS499" i="3"/>
  <c r="AR500" i="3"/>
  <c r="CP467" i="3" l="1"/>
  <c r="AJ468" i="25"/>
  <c r="CP473" i="3"/>
  <c r="AJ467" i="25"/>
  <c r="CP468" i="3"/>
  <c r="CN469" i="3"/>
  <c r="CO469" i="3" s="1"/>
  <c r="CL470" i="3"/>
  <c r="CL471" i="3"/>
  <c r="CJ474" i="3"/>
  <c r="CJ472" i="3"/>
  <c r="CF475" i="3"/>
  <c r="CD476" i="3"/>
  <c r="CB477" i="3"/>
  <c r="CD477" i="3" s="1"/>
  <c r="BZ478" i="3"/>
  <c r="BX479" i="3"/>
  <c r="BV480" i="3"/>
  <c r="BV481" i="3"/>
  <c r="BW481" i="3" s="1"/>
  <c r="BT482" i="3"/>
  <c r="BR487" i="3"/>
  <c r="BR483" i="3"/>
  <c r="BS483" i="3" s="1"/>
  <c r="BP484" i="3"/>
  <c r="BN485" i="3"/>
  <c r="BO485" i="3" s="1"/>
  <c r="BL486" i="3"/>
  <c r="BJ488" i="3"/>
  <c r="BK488" i="3" s="1"/>
  <c r="BH489" i="3"/>
  <c r="BF490" i="3"/>
  <c r="BG490" i="3" s="1"/>
  <c r="BD491" i="3"/>
  <c r="BB493" i="3"/>
  <c r="BA492" i="3"/>
  <c r="BB492" i="3" s="1"/>
  <c r="AZ494" i="3"/>
  <c r="AU498" i="3"/>
  <c r="AV498" i="3" s="1"/>
  <c r="AX496" i="3"/>
  <c r="AX495" i="3"/>
  <c r="AT499" i="3"/>
  <c r="AS500" i="3"/>
  <c r="AR501" i="3"/>
  <c r="CT468" i="3" l="1"/>
  <c r="CT473" i="3"/>
  <c r="CT467" i="3"/>
  <c r="AJ469" i="25"/>
  <c r="CP469" i="3"/>
  <c r="CN471" i="3"/>
  <c r="CO471" i="3" s="1"/>
  <c r="CN470" i="3"/>
  <c r="CO470" i="3" s="1"/>
  <c r="CL474" i="3"/>
  <c r="CL472" i="3"/>
  <c r="CH475" i="3"/>
  <c r="CF477" i="3"/>
  <c r="CF476" i="3"/>
  <c r="CA478" i="3"/>
  <c r="CB478" i="3" s="1"/>
  <c r="BZ479" i="3"/>
  <c r="BX481" i="3"/>
  <c r="BX480" i="3"/>
  <c r="BV482" i="3"/>
  <c r="BT483" i="3"/>
  <c r="BT487" i="3"/>
  <c r="BR484" i="3"/>
  <c r="BP485" i="3"/>
  <c r="BN486" i="3"/>
  <c r="BL488" i="3"/>
  <c r="BJ489" i="3"/>
  <c r="BK489" i="3" s="1"/>
  <c r="BH490" i="3"/>
  <c r="BF491" i="3"/>
  <c r="BD493" i="3"/>
  <c r="BD492" i="3"/>
  <c r="BE492" i="3" s="1"/>
  <c r="BA494" i="3"/>
  <c r="BB494" i="3" s="1"/>
  <c r="AZ495" i="3"/>
  <c r="AZ496" i="3"/>
  <c r="AU499" i="3"/>
  <c r="AV499" i="3" s="1"/>
  <c r="AX497" i="3"/>
  <c r="AT500" i="3"/>
  <c r="AS501" i="3"/>
  <c r="AR502" i="3"/>
  <c r="CT469" i="3" l="1"/>
  <c r="CP470" i="3"/>
  <c r="CP471" i="3"/>
  <c r="AJ471" i="25"/>
  <c r="AJ470" i="25"/>
  <c r="CN472" i="3"/>
  <c r="CO472" i="3" s="1"/>
  <c r="CN474" i="3"/>
  <c r="CO474" i="3" s="1"/>
  <c r="CJ475" i="3"/>
  <c r="CH476" i="3"/>
  <c r="CH477" i="3"/>
  <c r="CD478" i="3"/>
  <c r="CE478" i="3" s="1"/>
  <c r="CB479" i="3"/>
  <c r="CD479" i="3" s="1"/>
  <c r="BZ480" i="3"/>
  <c r="BZ481" i="3"/>
  <c r="BX482" i="3"/>
  <c r="BV487" i="3"/>
  <c r="BV483" i="3"/>
  <c r="BT484" i="3"/>
  <c r="BU484" i="3" s="1"/>
  <c r="BR485" i="3"/>
  <c r="BP486" i="3"/>
  <c r="BN488" i="3"/>
  <c r="BL489" i="3"/>
  <c r="BJ490" i="3"/>
  <c r="BK490" i="3" s="1"/>
  <c r="BH491" i="3"/>
  <c r="BF493" i="3"/>
  <c r="BF492" i="3"/>
  <c r="BG492" i="3" s="1"/>
  <c r="BD494" i="3"/>
  <c r="BE494" i="3" s="1"/>
  <c r="BB495" i="3"/>
  <c r="BA496" i="3"/>
  <c r="BB496" i="3" s="1"/>
  <c r="AZ497" i="3"/>
  <c r="AU500" i="3"/>
  <c r="AV500" i="3" s="1"/>
  <c r="AW500" i="3" s="1"/>
  <c r="AX498" i="3"/>
  <c r="AT501" i="3"/>
  <c r="AS502" i="3"/>
  <c r="AR503" i="3"/>
  <c r="CT471" i="3" l="1"/>
  <c r="CT470" i="3"/>
  <c r="CP474" i="3"/>
  <c r="AJ472" i="25"/>
  <c r="CP472" i="3"/>
  <c r="AJ474" i="25"/>
  <c r="CL475" i="3"/>
  <c r="CJ477" i="3"/>
  <c r="CJ476" i="3"/>
  <c r="CF479" i="3"/>
  <c r="CF478" i="3"/>
  <c r="CG478" i="3" s="1"/>
  <c r="CA481" i="3"/>
  <c r="CB481" i="3" s="1"/>
  <c r="CB480" i="3"/>
  <c r="BZ482" i="3"/>
  <c r="BX483" i="3"/>
  <c r="BX487" i="3"/>
  <c r="BV484" i="3"/>
  <c r="BW484" i="3" s="1"/>
  <c r="BT485" i="3"/>
  <c r="BR486" i="3"/>
  <c r="BP488" i="3"/>
  <c r="BN489" i="3"/>
  <c r="BL490" i="3"/>
  <c r="BJ491" i="3"/>
  <c r="BH492" i="3"/>
  <c r="BH493" i="3"/>
  <c r="BF494" i="3"/>
  <c r="BG494" i="3" s="1"/>
  <c r="BD495" i="3"/>
  <c r="BE495" i="3" s="1"/>
  <c r="BD496" i="3"/>
  <c r="BB497" i="3"/>
  <c r="AZ498" i="3"/>
  <c r="AU501" i="3"/>
  <c r="AV501" i="3" s="1"/>
  <c r="AX499" i="3"/>
  <c r="AT502" i="3"/>
  <c r="AS503" i="3"/>
  <c r="AR504" i="3"/>
  <c r="CT472" i="3" l="1"/>
  <c r="CT474" i="3"/>
  <c r="CN475" i="3"/>
  <c r="CO475" i="3" s="1"/>
  <c r="CL476" i="3"/>
  <c r="CL477" i="3"/>
  <c r="CH478" i="3"/>
  <c r="CI478" i="3" s="1"/>
  <c r="CH479" i="3"/>
  <c r="CD480" i="3"/>
  <c r="CD481" i="3"/>
  <c r="CA482" i="3"/>
  <c r="CB482" i="3" s="1"/>
  <c r="CD482" i="3" s="1"/>
  <c r="BZ487" i="3"/>
  <c r="BZ483" i="3"/>
  <c r="BX484" i="3"/>
  <c r="BV485" i="3"/>
  <c r="BT486" i="3"/>
  <c r="BR488" i="3"/>
  <c r="BP489" i="3"/>
  <c r="BN490" i="3"/>
  <c r="BO490" i="3" s="1"/>
  <c r="BL491" i="3"/>
  <c r="BJ492" i="3"/>
  <c r="BK492" i="3" s="1"/>
  <c r="BJ493" i="3"/>
  <c r="BH494" i="3"/>
  <c r="BF496" i="3"/>
  <c r="BF495" i="3"/>
  <c r="BG495" i="3" s="1"/>
  <c r="BD497" i="3"/>
  <c r="BE497" i="3" s="1"/>
  <c r="BB498" i="3"/>
  <c r="AZ499" i="3"/>
  <c r="AU502" i="3"/>
  <c r="AV502" i="3" s="1"/>
  <c r="AW502" i="3" s="1"/>
  <c r="AX500" i="3"/>
  <c r="AT503" i="3"/>
  <c r="AS504" i="3"/>
  <c r="AR505" i="3"/>
  <c r="CP475" i="3" l="1"/>
  <c r="AJ475" i="25"/>
  <c r="CN477" i="3"/>
  <c r="CO477" i="3" s="1"/>
  <c r="CN476" i="3"/>
  <c r="CO476" i="3" s="1"/>
  <c r="CJ479" i="3"/>
  <c r="CJ478" i="3"/>
  <c r="CF481" i="3"/>
  <c r="CG481" i="3" s="1"/>
  <c r="CF480" i="3"/>
  <c r="CE482" i="3"/>
  <c r="CF482" i="3" s="1"/>
  <c r="CB483" i="3"/>
  <c r="CD483" i="3" s="1"/>
  <c r="CB487" i="3"/>
  <c r="CD487" i="3" s="1"/>
  <c r="BZ484" i="3"/>
  <c r="BX485" i="3"/>
  <c r="BV486" i="3"/>
  <c r="BT488" i="3"/>
  <c r="BU488" i="3" s="1"/>
  <c r="BR489" i="3"/>
  <c r="BS489" i="3" s="1"/>
  <c r="BP490" i="3"/>
  <c r="BN491" i="3"/>
  <c r="BL493" i="3"/>
  <c r="BL492" i="3"/>
  <c r="BJ494" i="3"/>
  <c r="BK494" i="3" s="1"/>
  <c r="BH495" i="3"/>
  <c r="BH496" i="3"/>
  <c r="BF497" i="3"/>
  <c r="BG497" i="3" s="1"/>
  <c r="BD498" i="3"/>
  <c r="BE498" i="3" s="1"/>
  <c r="BB499" i="3"/>
  <c r="AZ500" i="3"/>
  <c r="AU503" i="3"/>
  <c r="AV503" i="3" s="1"/>
  <c r="AW503" i="3" s="1"/>
  <c r="AX501" i="3"/>
  <c r="AT504" i="3"/>
  <c r="AS505" i="3"/>
  <c r="AR506" i="3"/>
  <c r="AR507" i="3"/>
  <c r="CT475" i="3" l="1"/>
  <c r="CP476" i="3"/>
  <c r="AJ477" i="25"/>
  <c r="AJ476" i="25"/>
  <c r="CP477" i="3"/>
  <c r="CL478" i="3"/>
  <c r="CL479" i="3"/>
  <c r="CH482" i="3"/>
  <c r="CH480" i="3"/>
  <c r="CH481" i="3"/>
  <c r="CI481" i="3" s="1"/>
  <c r="CF487" i="3"/>
  <c r="CF483" i="3"/>
  <c r="CA484" i="3"/>
  <c r="CB484" i="3" s="1"/>
  <c r="BZ485" i="3"/>
  <c r="BX486" i="3"/>
  <c r="BV488" i="3"/>
  <c r="BT489" i="3"/>
  <c r="BR490" i="3"/>
  <c r="BP491" i="3"/>
  <c r="BN492" i="3"/>
  <c r="BN493" i="3"/>
  <c r="BL494" i="3"/>
  <c r="BJ495" i="3"/>
  <c r="BK495" i="3" s="1"/>
  <c r="BJ496" i="3"/>
  <c r="BH497" i="3"/>
  <c r="BF498" i="3"/>
  <c r="BG498" i="3" s="1"/>
  <c r="BD499" i="3"/>
  <c r="BA500" i="3"/>
  <c r="BB500" i="3" s="1"/>
  <c r="AZ501" i="3"/>
  <c r="AU504" i="3"/>
  <c r="AV504" i="3" s="1"/>
  <c r="AW504" i="3" s="1"/>
  <c r="AX502" i="3"/>
  <c r="AT505" i="3"/>
  <c r="AS507" i="3"/>
  <c r="AS506" i="3"/>
  <c r="AR508" i="3"/>
  <c r="CT477" i="3" l="1"/>
  <c r="CT476" i="3"/>
  <c r="CN479" i="3"/>
  <c r="CO479" i="3" s="1"/>
  <c r="CN478" i="3"/>
  <c r="CO478" i="3" s="1"/>
  <c r="CJ481" i="3"/>
  <c r="CJ480" i="3"/>
  <c r="CJ482" i="3"/>
  <c r="CH487" i="3"/>
  <c r="CH483" i="3"/>
  <c r="CD484" i="3"/>
  <c r="CE484" i="3" s="1"/>
  <c r="CB485" i="3"/>
  <c r="CD485" i="3" s="1"/>
  <c r="BZ486" i="3"/>
  <c r="BX488" i="3"/>
  <c r="BV489" i="3"/>
  <c r="BW489" i="3" s="1"/>
  <c r="BT490" i="3"/>
  <c r="BR491" i="3"/>
  <c r="BP493" i="3"/>
  <c r="BP492" i="3"/>
  <c r="BN494" i="3"/>
  <c r="BL496" i="3"/>
  <c r="BL495" i="3"/>
  <c r="BJ497" i="3"/>
  <c r="BK497" i="3" s="1"/>
  <c r="BH498" i="3"/>
  <c r="BF499" i="3"/>
  <c r="BD500" i="3"/>
  <c r="BE500" i="3" s="1"/>
  <c r="BB501" i="3"/>
  <c r="AZ502" i="3"/>
  <c r="AU505" i="3"/>
  <c r="AV505" i="3" s="1"/>
  <c r="AW505" i="3" s="1"/>
  <c r="AX503" i="3"/>
  <c r="AT506" i="3"/>
  <c r="AT507" i="3"/>
  <c r="AS508" i="3"/>
  <c r="AR509" i="3"/>
  <c r="CP478" i="3" l="1"/>
  <c r="CP479" i="3"/>
  <c r="AJ478" i="25"/>
  <c r="AJ479" i="25"/>
  <c r="CL482" i="3"/>
  <c r="CL480" i="3"/>
  <c r="CL481" i="3"/>
  <c r="CJ483" i="3"/>
  <c r="CJ487" i="3"/>
  <c r="CF485" i="3"/>
  <c r="CF484" i="3"/>
  <c r="CG484" i="3" s="1"/>
  <c r="CB486" i="3"/>
  <c r="CD486" i="3" s="1"/>
  <c r="BZ488" i="3"/>
  <c r="BX489" i="3"/>
  <c r="BV490" i="3"/>
  <c r="BT491" i="3"/>
  <c r="BR492" i="3"/>
  <c r="BR493" i="3"/>
  <c r="BP494" i="3"/>
  <c r="BN496" i="3"/>
  <c r="BN495" i="3"/>
  <c r="BL497" i="3"/>
  <c r="BJ498" i="3"/>
  <c r="BK498" i="3" s="1"/>
  <c r="BH499" i="3"/>
  <c r="BF500" i="3"/>
  <c r="BG500" i="3" s="1"/>
  <c r="BD501" i="3"/>
  <c r="BE501" i="3" s="1"/>
  <c r="BA502" i="3"/>
  <c r="BB502" i="3" s="1"/>
  <c r="AZ503" i="3"/>
  <c r="AU506" i="3"/>
  <c r="AV506" i="3" s="1"/>
  <c r="AU507" i="3"/>
  <c r="AV507" i="3" s="1"/>
  <c r="AX504" i="3"/>
  <c r="AT508" i="3"/>
  <c r="AS509" i="3"/>
  <c r="AR510" i="3"/>
  <c r="CT479" i="3" l="1"/>
  <c r="CT478" i="3"/>
  <c r="CN481" i="3"/>
  <c r="CO481" i="3" s="1"/>
  <c r="CN480" i="3"/>
  <c r="CO480" i="3" s="1"/>
  <c r="CN482" i="3"/>
  <c r="CO482" i="3" s="1"/>
  <c r="CL487" i="3"/>
  <c r="CL483" i="3"/>
  <c r="CH484" i="3"/>
  <c r="CI484" i="3" s="1"/>
  <c r="CH485" i="3"/>
  <c r="CF486" i="3"/>
  <c r="CA488" i="3"/>
  <c r="CB488" i="3" s="1"/>
  <c r="CD488" i="3" s="1"/>
  <c r="BZ489" i="3"/>
  <c r="BX490" i="3"/>
  <c r="BV491" i="3"/>
  <c r="BT493" i="3"/>
  <c r="BT492" i="3"/>
  <c r="BU492" i="3" s="1"/>
  <c r="BR494" i="3"/>
  <c r="BP495" i="3"/>
  <c r="BP496" i="3"/>
  <c r="BN497" i="3"/>
  <c r="BL498" i="3"/>
  <c r="BJ499" i="3"/>
  <c r="BH500" i="3"/>
  <c r="BF501" i="3"/>
  <c r="BG501" i="3" s="1"/>
  <c r="BD502" i="3"/>
  <c r="BE502" i="3" s="1"/>
  <c r="BB503" i="3"/>
  <c r="AZ504" i="3"/>
  <c r="AU508" i="3"/>
  <c r="AV508" i="3" s="1"/>
  <c r="AW508" i="3" s="1"/>
  <c r="AX505" i="3"/>
  <c r="AT509" i="3"/>
  <c r="AS510" i="3"/>
  <c r="AR511" i="3"/>
  <c r="AJ482" i="25" l="1"/>
  <c r="CP480" i="3"/>
  <c r="CP481" i="3"/>
  <c r="AJ480" i="25"/>
  <c r="AJ481" i="25"/>
  <c r="CP482" i="3"/>
  <c r="CN483" i="3"/>
  <c r="CO483" i="3" s="1"/>
  <c r="CN487" i="3"/>
  <c r="CO487" i="3" s="1"/>
  <c r="CJ485" i="3"/>
  <c r="CJ484" i="3"/>
  <c r="CH486" i="3"/>
  <c r="CF488" i="3"/>
  <c r="CA489" i="3"/>
  <c r="CB489" i="3" s="1"/>
  <c r="BZ490" i="3"/>
  <c r="BX491" i="3"/>
  <c r="BV492" i="3"/>
  <c r="BW492" i="3" s="1"/>
  <c r="BV493" i="3"/>
  <c r="BT494" i="3"/>
  <c r="BR496" i="3"/>
  <c r="BR495" i="3"/>
  <c r="BS495" i="3" s="1"/>
  <c r="BP497" i="3"/>
  <c r="BN498" i="3"/>
  <c r="BO498" i="3" s="1"/>
  <c r="BL499" i="3"/>
  <c r="BJ500" i="3"/>
  <c r="BK500" i="3" s="1"/>
  <c r="BH501" i="3"/>
  <c r="BF502" i="3"/>
  <c r="BG502" i="3" s="1"/>
  <c r="BD503" i="3"/>
  <c r="BE503" i="3" s="1"/>
  <c r="BA504" i="3"/>
  <c r="BB504" i="3" s="1"/>
  <c r="AZ505" i="3"/>
  <c r="AU509" i="3"/>
  <c r="AV509" i="3" s="1"/>
  <c r="AX507" i="3"/>
  <c r="AX506" i="3"/>
  <c r="AT510" i="3"/>
  <c r="AS511" i="3"/>
  <c r="AR512" i="3"/>
  <c r="CT482" i="3" l="1"/>
  <c r="CT481" i="3"/>
  <c r="CT480" i="3"/>
  <c r="CP487" i="3"/>
  <c r="CP483" i="3"/>
  <c r="AJ487" i="25"/>
  <c r="AJ483" i="25"/>
  <c r="CL484" i="3"/>
  <c r="CL485" i="3"/>
  <c r="CJ486" i="3"/>
  <c r="CH488" i="3"/>
  <c r="CD489" i="3"/>
  <c r="CB490" i="3"/>
  <c r="CD490" i="3" s="1"/>
  <c r="BZ491" i="3"/>
  <c r="BX493" i="3"/>
  <c r="BX492" i="3"/>
  <c r="BV494" i="3"/>
  <c r="BT496" i="3"/>
  <c r="BT495" i="3"/>
  <c r="BR497" i="3"/>
  <c r="BS497" i="3" s="1"/>
  <c r="BP498" i="3"/>
  <c r="BN499" i="3"/>
  <c r="BL500" i="3"/>
  <c r="BJ501" i="3"/>
  <c r="BH502" i="3"/>
  <c r="BF503" i="3"/>
  <c r="BG503" i="3" s="1"/>
  <c r="BD504" i="3"/>
  <c r="BE504" i="3" s="1"/>
  <c r="BB505" i="3"/>
  <c r="AZ506" i="3"/>
  <c r="AZ507" i="3"/>
  <c r="AU510" i="3"/>
  <c r="AV510" i="3" s="1"/>
  <c r="AX508" i="3"/>
  <c r="AT511" i="3"/>
  <c r="AS512" i="3"/>
  <c r="AR513" i="3"/>
  <c r="CT483" i="3" l="1"/>
  <c r="CT487" i="3"/>
  <c r="CN485" i="3"/>
  <c r="CO485" i="3" s="1"/>
  <c r="CN484" i="3"/>
  <c r="CO484" i="3" s="1"/>
  <c r="CL486" i="3"/>
  <c r="CJ488" i="3"/>
  <c r="CF490" i="3"/>
  <c r="CF489" i="3"/>
  <c r="CG489" i="3" s="1"/>
  <c r="CB491" i="3"/>
  <c r="BZ492" i="3"/>
  <c r="BZ493" i="3"/>
  <c r="BX494" i="3"/>
  <c r="BV495" i="3"/>
  <c r="BV496" i="3"/>
  <c r="BT497" i="3"/>
  <c r="BR498" i="3"/>
  <c r="BS498" i="3" s="1"/>
  <c r="BP499" i="3"/>
  <c r="BN500" i="3"/>
  <c r="BL501" i="3"/>
  <c r="BJ502" i="3"/>
  <c r="BK502" i="3" s="1"/>
  <c r="BH503" i="3"/>
  <c r="BF504" i="3"/>
  <c r="BG504" i="3" s="1"/>
  <c r="BD505" i="3"/>
  <c r="BE505" i="3" s="1"/>
  <c r="BB507" i="3"/>
  <c r="BB506" i="3"/>
  <c r="AZ508" i="3"/>
  <c r="AU511" i="3"/>
  <c r="AV511" i="3" s="1"/>
  <c r="AW511" i="3" s="1"/>
  <c r="AX509" i="3"/>
  <c r="AT512" i="3"/>
  <c r="AS513" i="3"/>
  <c r="AR514" i="3"/>
  <c r="CP485" i="3" l="1"/>
  <c r="AJ485" i="25"/>
  <c r="CN486" i="3"/>
  <c r="CO486" i="3" s="1"/>
  <c r="CP484" i="3"/>
  <c r="AJ484" i="25"/>
  <c r="CL488" i="3"/>
  <c r="CH489" i="3"/>
  <c r="CI489" i="3" s="1"/>
  <c r="CH490" i="3"/>
  <c r="CD491" i="3"/>
  <c r="CA492" i="3"/>
  <c r="CB492" i="3" s="1"/>
  <c r="CD492" i="3" s="1"/>
  <c r="CE492" i="3" s="1"/>
  <c r="CB493" i="3"/>
  <c r="CD493" i="3" s="1"/>
  <c r="BZ494" i="3"/>
  <c r="BX495" i="3"/>
  <c r="BX496" i="3"/>
  <c r="BV497" i="3"/>
  <c r="BW497" i="3" s="1"/>
  <c r="BT498" i="3"/>
  <c r="BR499" i="3"/>
  <c r="BP500" i="3"/>
  <c r="BN501" i="3"/>
  <c r="BL502" i="3"/>
  <c r="BJ503" i="3"/>
  <c r="BK503" i="3" s="1"/>
  <c r="BH504" i="3"/>
  <c r="BF505" i="3"/>
  <c r="BG505" i="3" s="1"/>
  <c r="BD506" i="3"/>
  <c r="BD507" i="3"/>
  <c r="BA508" i="3"/>
  <c r="BB508" i="3" s="1"/>
  <c r="AZ509" i="3"/>
  <c r="AU512" i="3"/>
  <c r="AV512" i="3" s="1"/>
  <c r="AW512" i="3" s="1"/>
  <c r="AX510" i="3"/>
  <c r="AT513" i="3"/>
  <c r="AS514" i="3"/>
  <c r="AR515" i="3"/>
  <c r="CT484" i="3" l="1"/>
  <c r="CT485" i="3"/>
  <c r="CP486" i="3"/>
  <c r="AJ486" i="25"/>
  <c r="CN488" i="3"/>
  <c r="CO488" i="3" s="1"/>
  <c r="CJ490" i="3"/>
  <c r="CJ489" i="3"/>
  <c r="CF493" i="3"/>
  <c r="CF492" i="3"/>
  <c r="CG492" i="3" s="1"/>
  <c r="CF491" i="3"/>
  <c r="CA494" i="3"/>
  <c r="CB494" i="3" s="1"/>
  <c r="BZ496" i="3"/>
  <c r="BZ495" i="3"/>
  <c r="BX497" i="3"/>
  <c r="BV498" i="3"/>
  <c r="BT499" i="3"/>
  <c r="BR500" i="3"/>
  <c r="BP501" i="3"/>
  <c r="BN502" i="3"/>
  <c r="BL503" i="3"/>
  <c r="BJ504" i="3"/>
  <c r="BK504" i="3" s="1"/>
  <c r="BH505" i="3"/>
  <c r="BF506" i="3"/>
  <c r="BF507" i="3"/>
  <c r="BD508" i="3"/>
  <c r="BE508" i="3" s="1"/>
  <c r="BB509" i="3"/>
  <c r="AZ510" i="3"/>
  <c r="AU513" i="3"/>
  <c r="AV513" i="3" s="1"/>
  <c r="AW513" i="3" s="1"/>
  <c r="AX511" i="3"/>
  <c r="AT514" i="3"/>
  <c r="AS515" i="3"/>
  <c r="AR516" i="3"/>
  <c r="CT486" i="3" l="1"/>
  <c r="CP488" i="3"/>
  <c r="AJ488" i="25"/>
  <c r="CL489" i="3"/>
  <c r="CM489" i="3" s="1"/>
  <c r="CL490" i="3"/>
  <c r="CH491" i="3"/>
  <c r="CH492" i="3"/>
  <c r="CI492" i="3" s="1"/>
  <c r="CH493" i="3"/>
  <c r="CD494" i="3"/>
  <c r="CE494" i="3" s="1"/>
  <c r="CA495" i="3"/>
  <c r="CB495" i="3" s="1"/>
  <c r="CB496" i="3"/>
  <c r="CD496" i="3" s="1"/>
  <c r="BZ497" i="3"/>
  <c r="BX498" i="3"/>
  <c r="BV499" i="3"/>
  <c r="BT500" i="3"/>
  <c r="BR501" i="3"/>
  <c r="BP502" i="3"/>
  <c r="BN503" i="3"/>
  <c r="BL504" i="3"/>
  <c r="BJ505" i="3"/>
  <c r="BK505" i="3" s="1"/>
  <c r="BH506" i="3"/>
  <c r="BH507" i="3"/>
  <c r="BF508" i="3"/>
  <c r="BG508" i="3" s="1"/>
  <c r="BD509" i="3"/>
  <c r="BE509" i="3" s="1"/>
  <c r="BB510" i="3"/>
  <c r="AZ511" i="3"/>
  <c r="AU514" i="3"/>
  <c r="AV514" i="3" s="1"/>
  <c r="AX512" i="3"/>
  <c r="AT515" i="3"/>
  <c r="AS516" i="3"/>
  <c r="AR517" i="3"/>
  <c r="CT488" i="3" l="1"/>
  <c r="CN490" i="3"/>
  <c r="CO490" i="3" s="1"/>
  <c r="CN489" i="3"/>
  <c r="CO489" i="3" s="1"/>
  <c r="CJ493" i="3"/>
  <c r="CJ492" i="3"/>
  <c r="CJ491" i="3"/>
  <c r="CF496" i="3"/>
  <c r="CF494" i="3"/>
  <c r="CG494" i="3" s="1"/>
  <c r="CD495" i="3"/>
  <c r="CA497" i="3"/>
  <c r="CB497" i="3" s="1"/>
  <c r="BZ498" i="3"/>
  <c r="BX499" i="3"/>
  <c r="BV500" i="3"/>
  <c r="BT501" i="3"/>
  <c r="BR502" i="3"/>
  <c r="BP503" i="3"/>
  <c r="BN504" i="3"/>
  <c r="BL505" i="3"/>
  <c r="BJ506" i="3"/>
  <c r="BJ507" i="3"/>
  <c r="BH508" i="3"/>
  <c r="BF509" i="3"/>
  <c r="BG509" i="3" s="1"/>
  <c r="BD510" i="3"/>
  <c r="BB511" i="3"/>
  <c r="AZ512" i="3"/>
  <c r="AU515" i="3"/>
  <c r="AV515" i="3" s="1"/>
  <c r="AX513" i="3"/>
  <c r="AT516" i="3"/>
  <c r="AS517" i="3"/>
  <c r="AR518" i="3"/>
  <c r="AJ489" i="25" l="1"/>
  <c r="CP490" i="3"/>
  <c r="AJ490" i="25"/>
  <c r="CP489" i="3"/>
  <c r="CL492" i="3"/>
  <c r="CL491" i="3"/>
  <c r="CL493" i="3"/>
  <c r="CH494" i="3"/>
  <c r="CI494" i="3" s="1"/>
  <c r="CH496" i="3"/>
  <c r="CF495" i="3"/>
  <c r="CG495" i="3" s="1"/>
  <c r="CD497" i="3"/>
  <c r="CA498" i="3"/>
  <c r="CB498" i="3" s="1"/>
  <c r="CD498" i="3" s="1"/>
  <c r="BZ499" i="3"/>
  <c r="BX500" i="3"/>
  <c r="BV501" i="3"/>
  <c r="BT502" i="3"/>
  <c r="BR503" i="3"/>
  <c r="BS503" i="3" s="1"/>
  <c r="BP504" i="3"/>
  <c r="BN505" i="3"/>
  <c r="BL507" i="3"/>
  <c r="BL506" i="3"/>
  <c r="BJ508" i="3"/>
  <c r="BK508" i="3" s="1"/>
  <c r="BH509" i="3"/>
  <c r="BF510" i="3"/>
  <c r="BD511" i="3"/>
  <c r="BE511" i="3" s="1"/>
  <c r="BA512" i="3"/>
  <c r="BB512" i="3" s="1"/>
  <c r="AZ513" i="3"/>
  <c r="AU516" i="3"/>
  <c r="AV516" i="3" s="1"/>
  <c r="AW516" i="3" s="1"/>
  <c r="AX514" i="3"/>
  <c r="AT517" i="3"/>
  <c r="AS518" i="3"/>
  <c r="AR519" i="3"/>
  <c r="CT489" i="3" l="1"/>
  <c r="CT490" i="3"/>
  <c r="CN493" i="3"/>
  <c r="CO493" i="3" s="1"/>
  <c r="AJ493" i="25" s="1"/>
  <c r="CN491" i="3"/>
  <c r="CO491" i="3" s="1"/>
  <c r="CN492" i="3"/>
  <c r="CO492" i="3" s="1"/>
  <c r="CJ496" i="3"/>
  <c r="CJ494" i="3"/>
  <c r="CH495" i="3"/>
  <c r="CI495" i="3" s="1"/>
  <c r="CF497" i="3"/>
  <c r="CG497" i="3" s="1"/>
  <c r="CE498" i="3"/>
  <c r="CF498" i="3" s="1"/>
  <c r="CG498" i="3" s="1"/>
  <c r="CB499" i="3"/>
  <c r="CD499" i="3" s="1"/>
  <c r="BZ500" i="3"/>
  <c r="BX501" i="3"/>
  <c r="BV502" i="3"/>
  <c r="BT503" i="3"/>
  <c r="BR504" i="3"/>
  <c r="BP505" i="3"/>
  <c r="BN506" i="3"/>
  <c r="BN507" i="3"/>
  <c r="BL508" i="3"/>
  <c r="BJ509" i="3"/>
  <c r="BK509" i="3" s="1"/>
  <c r="BH510" i="3"/>
  <c r="BF511" i="3"/>
  <c r="BG511" i="3" s="1"/>
  <c r="BD512" i="3"/>
  <c r="BE512" i="3" s="1"/>
  <c r="BB513" i="3"/>
  <c r="AZ514" i="3"/>
  <c r="AU517" i="3"/>
  <c r="AV517" i="3" s="1"/>
  <c r="AX515" i="3"/>
  <c r="AT518" i="3"/>
  <c r="AS519" i="3"/>
  <c r="AR520" i="3"/>
  <c r="CP492" i="3" l="1"/>
  <c r="CP491" i="3"/>
  <c r="CP493" i="3"/>
  <c r="AJ491" i="25"/>
  <c r="AJ492" i="25"/>
  <c r="CL494" i="3"/>
  <c r="CL496" i="3"/>
  <c r="CJ495" i="3"/>
  <c r="CH498" i="3"/>
  <c r="CI498" i="3" s="1"/>
  <c r="CH497" i="3"/>
  <c r="CI497" i="3" s="1"/>
  <c r="CF499" i="3"/>
  <c r="CB500" i="3"/>
  <c r="CD500" i="3" s="1"/>
  <c r="BZ501" i="3"/>
  <c r="BX502" i="3"/>
  <c r="BV503" i="3"/>
  <c r="BT504" i="3"/>
  <c r="BR505" i="3"/>
  <c r="BS505" i="3" s="1"/>
  <c r="BP507" i="3"/>
  <c r="BP506" i="3"/>
  <c r="BN508" i="3"/>
  <c r="BL509" i="3"/>
  <c r="BJ510" i="3"/>
  <c r="BH511" i="3"/>
  <c r="BF512" i="3"/>
  <c r="BG512" i="3" s="1"/>
  <c r="BD513" i="3"/>
  <c r="BB514" i="3"/>
  <c r="AZ515" i="3"/>
  <c r="AU518" i="3"/>
  <c r="AV518" i="3" s="1"/>
  <c r="AW518" i="3" s="1"/>
  <c r="AX516" i="3"/>
  <c r="AT519" i="3"/>
  <c r="AS520" i="3"/>
  <c r="AR521" i="3"/>
  <c r="CT493" i="3" l="1"/>
  <c r="CT491" i="3"/>
  <c r="CT492" i="3"/>
  <c r="CN496" i="3"/>
  <c r="CO496" i="3" s="1"/>
  <c r="CN494" i="3"/>
  <c r="CO494" i="3" s="1"/>
  <c r="CL495" i="3"/>
  <c r="CJ498" i="3"/>
  <c r="CJ497" i="3"/>
  <c r="CH499" i="3"/>
  <c r="CF500" i="3"/>
  <c r="CB501" i="3"/>
  <c r="CD501" i="3" s="1"/>
  <c r="BZ502" i="3"/>
  <c r="BX503" i="3"/>
  <c r="BV504" i="3"/>
  <c r="BT505" i="3"/>
  <c r="BR506" i="3"/>
  <c r="BR507" i="3"/>
  <c r="BP508" i="3"/>
  <c r="BN509" i="3"/>
  <c r="BO509" i="3" s="1"/>
  <c r="BL510" i="3"/>
  <c r="BJ511" i="3"/>
  <c r="BK511" i="3" s="1"/>
  <c r="BH512" i="3"/>
  <c r="BF513" i="3"/>
  <c r="BD514" i="3"/>
  <c r="BE514" i="3" s="1"/>
  <c r="BB515" i="3"/>
  <c r="AZ516" i="3"/>
  <c r="AU519" i="3"/>
  <c r="AV519" i="3" s="1"/>
  <c r="AW519" i="3" s="1"/>
  <c r="AX517" i="3"/>
  <c r="AT520" i="3"/>
  <c r="AS521" i="3"/>
  <c r="AR522" i="3"/>
  <c r="AJ494" i="25" l="1"/>
  <c r="AJ496" i="25"/>
  <c r="CP494" i="3"/>
  <c r="CP496" i="3"/>
  <c r="CN495" i="3"/>
  <c r="CO495" i="3" s="1"/>
  <c r="CL497" i="3"/>
  <c r="CL498" i="3"/>
  <c r="CJ499" i="3"/>
  <c r="CH500" i="3"/>
  <c r="CF501" i="3"/>
  <c r="CA502" i="3"/>
  <c r="CB502" i="3" s="1"/>
  <c r="CD502" i="3" s="1"/>
  <c r="CE502" i="3" s="1"/>
  <c r="BZ503" i="3"/>
  <c r="BX504" i="3"/>
  <c r="BV505" i="3"/>
  <c r="BW505" i="3" s="1"/>
  <c r="BT507" i="3"/>
  <c r="BT506" i="3"/>
  <c r="BR508" i="3"/>
  <c r="BP509" i="3"/>
  <c r="BN510" i="3"/>
  <c r="BL511" i="3"/>
  <c r="BJ512" i="3"/>
  <c r="BK512" i="3" s="1"/>
  <c r="BH513" i="3"/>
  <c r="BF514" i="3"/>
  <c r="BG514" i="3" s="1"/>
  <c r="BD515" i="3"/>
  <c r="BE515" i="3" s="1"/>
  <c r="BA516" i="3"/>
  <c r="BB516" i="3" s="1"/>
  <c r="AZ517" i="3"/>
  <c r="AU520" i="3"/>
  <c r="AV520" i="3" s="1"/>
  <c r="AW520" i="3" s="1"/>
  <c r="AX518" i="3"/>
  <c r="AT521" i="3"/>
  <c r="AS522" i="3"/>
  <c r="AR523" i="3"/>
  <c r="CT496" i="3" l="1"/>
  <c r="CT494" i="3"/>
  <c r="AJ495" i="25"/>
  <c r="CP495" i="3"/>
  <c r="CN498" i="3"/>
  <c r="CO498" i="3" s="1"/>
  <c r="CN497" i="3"/>
  <c r="CO497" i="3" s="1"/>
  <c r="CL499" i="3"/>
  <c r="CJ500" i="3"/>
  <c r="CH501" i="3"/>
  <c r="CF502" i="3"/>
  <c r="CA503" i="3"/>
  <c r="CB503" i="3" s="1"/>
  <c r="CD503" i="3" s="1"/>
  <c r="BZ504" i="3"/>
  <c r="BX505" i="3"/>
  <c r="BV506" i="3"/>
  <c r="BV507" i="3"/>
  <c r="BT508" i="3"/>
  <c r="BU508" i="3" s="1"/>
  <c r="BR509" i="3"/>
  <c r="BP510" i="3"/>
  <c r="BN511" i="3"/>
  <c r="BL512" i="3"/>
  <c r="BJ513" i="3"/>
  <c r="BH514" i="3"/>
  <c r="BF515" i="3"/>
  <c r="BG515" i="3" s="1"/>
  <c r="BD516" i="3"/>
  <c r="BE516" i="3" s="1"/>
  <c r="BB517" i="3"/>
  <c r="AZ518" i="3"/>
  <c r="AU521" i="3"/>
  <c r="AV521" i="3" s="1"/>
  <c r="AW521" i="3" s="1"/>
  <c r="AX519" i="3"/>
  <c r="AT522" i="3"/>
  <c r="AS523" i="3"/>
  <c r="AR524" i="3"/>
  <c r="CT495" i="3" l="1"/>
  <c r="CP497" i="3"/>
  <c r="AJ498" i="25"/>
  <c r="CP498" i="3"/>
  <c r="AJ497" i="25"/>
  <c r="CN499" i="3"/>
  <c r="CO499" i="3" s="1"/>
  <c r="CL500" i="3"/>
  <c r="CJ501" i="3"/>
  <c r="CH502" i="3"/>
  <c r="CF503" i="3"/>
  <c r="CB504" i="3"/>
  <c r="CD504" i="3" s="1"/>
  <c r="BZ505" i="3"/>
  <c r="BX507" i="3"/>
  <c r="BX506" i="3"/>
  <c r="BV508" i="3"/>
  <c r="BW508" i="3" s="1"/>
  <c r="BT509" i="3"/>
  <c r="BU509" i="3" s="1"/>
  <c r="BR510" i="3"/>
  <c r="BP511" i="3"/>
  <c r="BN512" i="3"/>
  <c r="BL513" i="3"/>
  <c r="BJ514" i="3"/>
  <c r="BK514" i="3" s="1"/>
  <c r="BH515" i="3"/>
  <c r="BF516" i="3"/>
  <c r="BG516" i="3" s="1"/>
  <c r="BD517" i="3"/>
  <c r="BE517" i="3" s="1"/>
  <c r="BA518" i="3"/>
  <c r="BB518" i="3" s="1"/>
  <c r="AZ519" i="3"/>
  <c r="AU522" i="3"/>
  <c r="AV522" i="3" s="1"/>
  <c r="AX520" i="3"/>
  <c r="AT523" i="3"/>
  <c r="AS524" i="3"/>
  <c r="AR525" i="3"/>
  <c r="CT498" i="3" l="1"/>
  <c r="CT497" i="3"/>
  <c r="CP499" i="3"/>
  <c r="AJ499" i="25"/>
  <c r="CN500" i="3"/>
  <c r="CO500" i="3" s="1"/>
  <c r="CL501" i="3"/>
  <c r="CJ502" i="3"/>
  <c r="CH503" i="3"/>
  <c r="CF504" i="3"/>
  <c r="CA505" i="3"/>
  <c r="CB505" i="3" s="1"/>
  <c r="CD505" i="3" s="1"/>
  <c r="BZ506" i="3"/>
  <c r="BZ507" i="3"/>
  <c r="BX508" i="3"/>
  <c r="BV509" i="3"/>
  <c r="BT510" i="3"/>
  <c r="BR511" i="3"/>
  <c r="BP512" i="3"/>
  <c r="BN513" i="3"/>
  <c r="BL514" i="3"/>
  <c r="BJ515" i="3"/>
  <c r="BK515" i="3" s="1"/>
  <c r="BH516" i="3"/>
  <c r="BF517" i="3"/>
  <c r="BG517" i="3" s="1"/>
  <c r="BD518" i="3"/>
  <c r="BE518" i="3" s="1"/>
  <c r="BB519" i="3"/>
  <c r="AZ520" i="3"/>
  <c r="AU523" i="3"/>
  <c r="AV523" i="3" s="1"/>
  <c r="AX521" i="3"/>
  <c r="AT524" i="3"/>
  <c r="AS525" i="3"/>
  <c r="AR526" i="3"/>
  <c r="CT499" i="3" l="1"/>
  <c r="CP500" i="3"/>
  <c r="AJ500" i="25"/>
  <c r="CN501" i="3"/>
  <c r="CO501" i="3" s="1"/>
  <c r="CL502" i="3"/>
  <c r="CJ503" i="3"/>
  <c r="CH504" i="3"/>
  <c r="CF505" i="3"/>
  <c r="CG505" i="3" s="1"/>
  <c r="CB507" i="3"/>
  <c r="CD507" i="3" s="1"/>
  <c r="CB506" i="3"/>
  <c r="CD506" i="3" s="1"/>
  <c r="BZ508" i="3"/>
  <c r="BX509" i="3"/>
  <c r="BY509" i="3" s="1"/>
  <c r="BV510" i="3"/>
  <c r="BT511" i="3"/>
  <c r="BR512" i="3"/>
  <c r="BP513" i="3"/>
  <c r="BN514" i="3"/>
  <c r="BO514" i="3" s="1"/>
  <c r="BL515" i="3"/>
  <c r="BJ516" i="3"/>
  <c r="BK516" i="3" s="1"/>
  <c r="BH517" i="3"/>
  <c r="BF518" i="3"/>
  <c r="BG518" i="3" s="1"/>
  <c r="BD519" i="3"/>
  <c r="BE519" i="3" s="1"/>
  <c r="BA520" i="3"/>
  <c r="BB520" i="3" s="1"/>
  <c r="AZ521" i="3"/>
  <c r="AU524" i="3"/>
  <c r="AV524" i="3" s="1"/>
  <c r="AW524" i="3" s="1"/>
  <c r="AX522" i="3"/>
  <c r="AT525" i="3"/>
  <c r="AS526" i="3"/>
  <c r="AR527" i="3"/>
  <c r="CT500" i="3" l="1"/>
  <c r="CP501" i="3"/>
  <c r="AJ501" i="25"/>
  <c r="CN502" i="3"/>
  <c r="CO502" i="3" s="1"/>
  <c r="CL503" i="3"/>
  <c r="CJ504" i="3"/>
  <c r="CH505" i="3"/>
  <c r="CI505" i="3" s="1"/>
  <c r="CF506" i="3"/>
  <c r="CF507" i="3"/>
  <c r="CB508" i="3"/>
  <c r="CD508" i="3" s="1"/>
  <c r="BZ509" i="3"/>
  <c r="BX510" i="3"/>
  <c r="BV511" i="3"/>
  <c r="BT512" i="3"/>
  <c r="BU512" i="3" s="1"/>
  <c r="BR513" i="3"/>
  <c r="BP514" i="3"/>
  <c r="BN515" i="3"/>
  <c r="BO515" i="3" s="1"/>
  <c r="BL516" i="3"/>
  <c r="BJ517" i="3"/>
  <c r="BK517" i="3" s="1"/>
  <c r="BH518" i="3"/>
  <c r="BF519" i="3"/>
  <c r="BG519" i="3" s="1"/>
  <c r="BD520" i="3"/>
  <c r="BE520" i="3" s="1"/>
  <c r="BB521" i="3"/>
  <c r="AZ522" i="3"/>
  <c r="AU525" i="3"/>
  <c r="AV525" i="3" s="1"/>
  <c r="AX523" i="3"/>
  <c r="AT526" i="3"/>
  <c r="AS527" i="3"/>
  <c r="AR528" i="3"/>
  <c r="CT501" i="3" l="1"/>
  <c r="CP502" i="3"/>
  <c r="AJ502" i="25"/>
  <c r="CN503" i="3"/>
  <c r="CO503" i="3" s="1"/>
  <c r="CL504" i="3"/>
  <c r="CJ505" i="3"/>
  <c r="CH507" i="3"/>
  <c r="CH506" i="3"/>
  <c r="CF508" i="3"/>
  <c r="CA509" i="3"/>
  <c r="CB509" i="3" s="1"/>
  <c r="BZ510" i="3"/>
  <c r="BX511" i="3"/>
  <c r="BV512" i="3"/>
  <c r="BT513" i="3"/>
  <c r="BR514" i="3"/>
  <c r="BS514" i="3" s="1"/>
  <c r="BP515" i="3"/>
  <c r="BN516" i="3"/>
  <c r="BL517" i="3"/>
  <c r="BJ518" i="3"/>
  <c r="BK518" i="3" s="1"/>
  <c r="BH519" i="3"/>
  <c r="BF520" i="3"/>
  <c r="BG520" i="3" s="1"/>
  <c r="BD521" i="3"/>
  <c r="BE521" i="3" s="1"/>
  <c r="BB522" i="3"/>
  <c r="AZ523" i="3"/>
  <c r="AU526" i="3"/>
  <c r="AV526" i="3" s="1"/>
  <c r="AW526" i="3" s="1"/>
  <c r="AX524" i="3"/>
  <c r="AT527" i="3"/>
  <c r="AS528" i="3"/>
  <c r="AR529" i="3"/>
  <c r="CT502" i="3" l="1"/>
  <c r="CN504" i="3"/>
  <c r="CO504" i="3" s="1"/>
  <c r="CP503" i="3"/>
  <c r="AJ503" i="25"/>
  <c r="CL505" i="3"/>
  <c r="CJ506" i="3"/>
  <c r="CJ507" i="3"/>
  <c r="CH508" i="3"/>
  <c r="CD509" i="3"/>
  <c r="CB510" i="3"/>
  <c r="CD510" i="3" s="1"/>
  <c r="BZ511" i="3"/>
  <c r="BX512" i="3"/>
  <c r="BV513" i="3"/>
  <c r="BT514" i="3"/>
  <c r="BR515" i="3"/>
  <c r="BS515" i="3" s="1"/>
  <c r="BP516" i="3"/>
  <c r="BN517" i="3"/>
  <c r="BO517" i="3" s="1"/>
  <c r="BL518" i="3"/>
  <c r="BJ519" i="3"/>
  <c r="BK519" i="3" s="1"/>
  <c r="BH520" i="3"/>
  <c r="BF521" i="3"/>
  <c r="BG521" i="3" s="1"/>
  <c r="BD522" i="3"/>
  <c r="BE522" i="3" s="1"/>
  <c r="BB523" i="3"/>
  <c r="AZ524" i="3"/>
  <c r="AX526" i="3"/>
  <c r="AU527" i="3"/>
  <c r="AV527" i="3" s="1"/>
  <c r="AW527" i="3" s="1"/>
  <c r="AX525" i="3"/>
  <c r="AT528" i="3"/>
  <c r="AS529" i="3"/>
  <c r="AR530" i="3"/>
  <c r="CT503" i="3" l="1"/>
  <c r="CP504" i="3"/>
  <c r="AJ504" i="25"/>
  <c r="CN505" i="3"/>
  <c r="CO505" i="3" s="1"/>
  <c r="CL507" i="3"/>
  <c r="CL506" i="3"/>
  <c r="CJ508" i="3"/>
  <c r="CF510" i="3"/>
  <c r="CF509" i="3"/>
  <c r="CB511" i="3"/>
  <c r="BZ512" i="3"/>
  <c r="BX513" i="3"/>
  <c r="BV514" i="3"/>
  <c r="BT515" i="3"/>
  <c r="BR516" i="3"/>
  <c r="BP517" i="3"/>
  <c r="BN518" i="3"/>
  <c r="BL519" i="3"/>
  <c r="BJ520" i="3"/>
  <c r="BK520" i="3" s="1"/>
  <c r="BH521" i="3"/>
  <c r="BF522" i="3"/>
  <c r="BG522" i="3" s="1"/>
  <c r="BD523" i="3"/>
  <c r="BE523" i="3" s="1"/>
  <c r="BA524" i="3"/>
  <c r="BB524" i="3" s="1"/>
  <c r="AZ525" i="3"/>
  <c r="AZ526" i="3"/>
  <c r="AU528" i="3"/>
  <c r="AV528" i="3" s="1"/>
  <c r="AW528" i="3" s="1"/>
  <c r="AT529" i="3"/>
  <c r="AS530" i="3"/>
  <c r="AR531" i="3"/>
  <c r="CT504" i="3" l="1"/>
  <c r="CP505" i="3"/>
  <c r="AJ505" i="25"/>
  <c r="CN506" i="3"/>
  <c r="CO506" i="3" s="1"/>
  <c r="CN507" i="3"/>
  <c r="CO507" i="3" s="1"/>
  <c r="CL508" i="3"/>
  <c r="CH509" i="3"/>
  <c r="CH510" i="3"/>
  <c r="CD511" i="3"/>
  <c r="CA512" i="3"/>
  <c r="CB512" i="3" s="1"/>
  <c r="CD512" i="3" s="1"/>
  <c r="BZ513" i="3"/>
  <c r="BX514" i="3"/>
  <c r="BV515" i="3"/>
  <c r="BT516" i="3"/>
  <c r="BU516" i="3" s="1"/>
  <c r="BR517" i="3"/>
  <c r="BP518" i="3"/>
  <c r="BN519" i="3"/>
  <c r="BL520" i="3"/>
  <c r="BJ521" i="3"/>
  <c r="BH522" i="3"/>
  <c r="BF523" i="3"/>
  <c r="BG523" i="3" s="1"/>
  <c r="BD524" i="3"/>
  <c r="BB526" i="3"/>
  <c r="BB525" i="3"/>
  <c r="AU529" i="3"/>
  <c r="AV529" i="3" s="1"/>
  <c r="AW529" i="3" s="1"/>
  <c r="AX527" i="3"/>
  <c r="AT530" i="3"/>
  <c r="AS531" i="3"/>
  <c r="AR532" i="3"/>
  <c r="CT505" i="3" l="1"/>
  <c r="CP507" i="3"/>
  <c r="CP506" i="3"/>
  <c r="AJ506" i="25"/>
  <c r="AJ507" i="25"/>
  <c r="CN508" i="3"/>
  <c r="CO508" i="3" s="1"/>
  <c r="CJ510" i="3"/>
  <c r="CJ509" i="3"/>
  <c r="CF512" i="3"/>
  <c r="CG512" i="3" s="1"/>
  <c r="CF511" i="3"/>
  <c r="CB513" i="3"/>
  <c r="CD513" i="3" s="1"/>
  <c r="BZ514" i="3"/>
  <c r="BX515" i="3"/>
  <c r="BV516" i="3"/>
  <c r="BW516" i="3" s="1"/>
  <c r="BT517" i="3"/>
  <c r="BR518" i="3"/>
  <c r="BP519" i="3"/>
  <c r="BN520" i="3"/>
  <c r="BL521" i="3"/>
  <c r="BJ522" i="3"/>
  <c r="BK522" i="3" s="1"/>
  <c r="BH523" i="3"/>
  <c r="BF524" i="3"/>
  <c r="BD526" i="3"/>
  <c r="BD525" i="3"/>
  <c r="BE525" i="3" s="1"/>
  <c r="AZ527" i="3"/>
  <c r="AU530" i="3"/>
  <c r="AV530" i="3" s="1"/>
  <c r="AX528" i="3"/>
  <c r="AT531" i="3"/>
  <c r="AS532" i="3"/>
  <c r="AR533" i="3"/>
  <c r="CT506" i="3" l="1"/>
  <c r="CT507" i="3"/>
  <c r="AJ508" i="25"/>
  <c r="CP508" i="3"/>
  <c r="CL509" i="3"/>
  <c r="CL510" i="3"/>
  <c r="CH511" i="3"/>
  <c r="CH512" i="3"/>
  <c r="CI512" i="3" s="1"/>
  <c r="CF513" i="3"/>
  <c r="CA514" i="3"/>
  <c r="CB514" i="3" s="1"/>
  <c r="BZ515" i="3"/>
  <c r="BX516" i="3"/>
  <c r="BV517" i="3"/>
  <c r="BT518" i="3"/>
  <c r="BR519" i="3"/>
  <c r="BS519" i="3" s="1"/>
  <c r="BP520" i="3"/>
  <c r="BN521" i="3"/>
  <c r="BL522" i="3"/>
  <c r="BJ523" i="3"/>
  <c r="BK523" i="3" s="1"/>
  <c r="BH524" i="3"/>
  <c r="BF526" i="3"/>
  <c r="BF525" i="3"/>
  <c r="BG525" i="3" s="1"/>
  <c r="BB527" i="3"/>
  <c r="AZ528" i="3"/>
  <c r="AU531" i="3"/>
  <c r="AV531" i="3" s="1"/>
  <c r="AX529" i="3"/>
  <c r="AT532" i="3"/>
  <c r="AS533" i="3"/>
  <c r="AR534" i="3"/>
  <c r="CT508" i="3" l="1"/>
  <c r="CN510" i="3"/>
  <c r="CO510" i="3" s="1"/>
  <c r="CN509" i="3"/>
  <c r="CO509" i="3" s="1"/>
  <c r="CJ512" i="3"/>
  <c r="CJ511" i="3"/>
  <c r="CH513" i="3"/>
  <c r="CD514" i="3"/>
  <c r="CA515" i="3"/>
  <c r="CB515" i="3" s="1"/>
  <c r="BZ516" i="3"/>
  <c r="BX517" i="3"/>
  <c r="BV518" i="3"/>
  <c r="BT519" i="3"/>
  <c r="BR520" i="3"/>
  <c r="BP521" i="3"/>
  <c r="BN522" i="3"/>
  <c r="BO522" i="3" s="1"/>
  <c r="BL523" i="3"/>
  <c r="BJ524" i="3"/>
  <c r="BH526" i="3"/>
  <c r="BH525" i="3"/>
  <c r="BD527" i="3"/>
  <c r="BE527" i="3" s="1"/>
  <c r="BA528" i="3"/>
  <c r="BB528" i="3" s="1"/>
  <c r="AZ529" i="3"/>
  <c r="AU532" i="3"/>
  <c r="AV532" i="3" s="1"/>
  <c r="AW532" i="3" s="1"/>
  <c r="AX530" i="3"/>
  <c r="AT533" i="3"/>
  <c r="AS534" i="3"/>
  <c r="AR535" i="3"/>
  <c r="CP509" i="3" l="1"/>
  <c r="AJ510" i="25"/>
  <c r="AJ509" i="25"/>
  <c r="CP510" i="3"/>
  <c r="CL511" i="3"/>
  <c r="CL512" i="3"/>
  <c r="CJ513" i="3"/>
  <c r="CF514" i="3"/>
  <c r="CD515" i="3"/>
  <c r="CA516" i="3"/>
  <c r="CB516" i="3" s="1"/>
  <c r="BZ517" i="3"/>
  <c r="BX518" i="3"/>
  <c r="BV519" i="3"/>
  <c r="BT520" i="3"/>
  <c r="BU520" i="3" s="1"/>
  <c r="BR521" i="3"/>
  <c r="BP522" i="3"/>
  <c r="BN523" i="3"/>
  <c r="BO523" i="3" s="1"/>
  <c r="BL524" i="3"/>
  <c r="BJ525" i="3"/>
  <c r="BK525" i="3" s="1"/>
  <c r="BJ526" i="3"/>
  <c r="BF527" i="3"/>
  <c r="BG527" i="3" s="1"/>
  <c r="BD528" i="3"/>
  <c r="BE528" i="3" s="1"/>
  <c r="BB529" i="3"/>
  <c r="AZ530" i="3"/>
  <c r="AU533" i="3"/>
  <c r="AV533" i="3" s="1"/>
  <c r="AX531" i="3"/>
  <c r="AT534" i="3"/>
  <c r="AS535" i="3"/>
  <c r="AR536" i="3"/>
  <c r="CT510" i="3" l="1"/>
  <c r="CT509" i="3"/>
  <c r="CN512" i="3"/>
  <c r="CO512" i="3" s="1"/>
  <c r="CN511" i="3"/>
  <c r="CO511" i="3" s="1"/>
  <c r="CL513" i="3"/>
  <c r="CH514" i="3"/>
  <c r="CE515" i="3"/>
  <c r="CF515" i="3" s="1"/>
  <c r="CG515" i="3" s="1"/>
  <c r="CD516" i="3"/>
  <c r="CE516" i="3" s="1"/>
  <c r="CB517" i="3"/>
  <c r="CD517" i="3" s="1"/>
  <c r="BZ518" i="3"/>
  <c r="CA518" i="3" s="1"/>
  <c r="BX519" i="3"/>
  <c r="BV520" i="3"/>
  <c r="BT521" i="3"/>
  <c r="BR522" i="3"/>
  <c r="BS522" i="3" s="1"/>
  <c r="BP523" i="3"/>
  <c r="BN524" i="3"/>
  <c r="BL526" i="3"/>
  <c r="BL525" i="3"/>
  <c r="BH527" i="3"/>
  <c r="BF528" i="3"/>
  <c r="BG528" i="3" s="1"/>
  <c r="BD529" i="3"/>
  <c r="BE529" i="3" s="1"/>
  <c r="BB530" i="3"/>
  <c r="AZ531" i="3"/>
  <c r="AU534" i="3"/>
  <c r="AV534" i="3" s="1"/>
  <c r="AW534" i="3" s="1"/>
  <c r="AX532" i="3"/>
  <c r="AT535" i="3"/>
  <c r="AU535" i="3" s="1"/>
  <c r="AS536" i="3"/>
  <c r="AR537" i="3"/>
  <c r="CP511" i="3" l="1"/>
  <c r="CP512" i="3"/>
  <c r="AJ512" i="25"/>
  <c r="AJ511" i="25"/>
  <c r="CN513" i="3"/>
  <c r="CO513" i="3" s="1"/>
  <c r="CJ514" i="3"/>
  <c r="CH515" i="3"/>
  <c r="CI515" i="3" s="1"/>
  <c r="CF517" i="3"/>
  <c r="CF516" i="3"/>
  <c r="CG516" i="3" s="1"/>
  <c r="CB518" i="3"/>
  <c r="CD518" i="3" s="1"/>
  <c r="BZ519" i="3"/>
  <c r="BX520" i="3"/>
  <c r="BV521" i="3"/>
  <c r="BT522" i="3"/>
  <c r="BR523" i="3"/>
  <c r="BS523" i="3" s="1"/>
  <c r="BP524" i="3"/>
  <c r="BN525" i="3"/>
  <c r="BO525" i="3" s="1"/>
  <c r="BN526" i="3"/>
  <c r="BJ527" i="3"/>
  <c r="BK527" i="3" s="1"/>
  <c r="BH528" i="3"/>
  <c r="BF529" i="3"/>
  <c r="BG529" i="3" s="1"/>
  <c r="BD530" i="3"/>
  <c r="BE530" i="3" s="1"/>
  <c r="BB531" i="3"/>
  <c r="AZ532" i="3"/>
  <c r="AV535" i="3"/>
  <c r="AW535" i="3" s="1"/>
  <c r="AX533" i="3"/>
  <c r="AT536" i="3"/>
  <c r="AS537" i="3"/>
  <c r="AR538" i="3"/>
  <c r="CT512" i="3" l="1"/>
  <c r="CT511" i="3"/>
  <c r="CP513" i="3"/>
  <c r="AJ513" i="25"/>
  <c r="CL514" i="3"/>
  <c r="CJ515" i="3"/>
  <c r="CH516" i="3"/>
  <c r="CI516" i="3" s="1"/>
  <c r="CH517" i="3"/>
  <c r="CF518" i="3"/>
  <c r="CA519" i="3"/>
  <c r="CB519" i="3" s="1"/>
  <c r="BZ520" i="3"/>
  <c r="BX521" i="3"/>
  <c r="BV522" i="3"/>
  <c r="BT523" i="3"/>
  <c r="BR524" i="3"/>
  <c r="BP525" i="3"/>
  <c r="BP526" i="3"/>
  <c r="BL527" i="3"/>
  <c r="BJ528" i="3"/>
  <c r="BK528" i="3" s="1"/>
  <c r="BH529" i="3"/>
  <c r="BF530" i="3"/>
  <c r="BG530" i="3" s="1"/>
  <c r="BD531" i="3"/>
  <c r="BA532" i="3"/>
  <c r="BB532" i="3" s="1"/>
  <c r="AZ533" i="3"/>
  <c r="AX535" i="3"/>
  <c r="AU536" i="3"/>
  <c r="AV536" i="3" s="1"/>
  <c r="AW536" i="3" s="1"/>
  <c r="AX534" i="3"/>
  <c r="AT537" i="3"/>
  <c r="AS538" i="3"/>
  <c r="AR539" i="3"/>
  <c r="CT513" i="3" l="1"/>
  <c r="CN514" i="3"/>
  <c r="CO514" i="3" s="1"/>
  <c r="CL515" i="3"/>
  <c r="CJ517" i="3"/>
  <c r="CJ516" i="3"/>
  <c r="CH518" i="3"/>
  <c r="CD519" i="3"/>
  <c r="CA520" i="3"/>
  <c r="CB520" i="3" s="1"/>
  <c r="BZ521" i="3"/>
  <c r="BX522" i="3"/>
  <c r="BV523" i="3"/>
  <c r="BT524" i="3"/>
  <c r="BR526" i="3"/>
  <c r="BR525" i="3"/>
  <c r="BN527" i="3"/>
  <c r="BL528" i="3"/>
  <c r="BJ529" i="3"/>
  <c r="BK529" i="3" s="1"/>
  <c r="BH530" i="3"/>
  <c r="BF531" i="3"/>
  <c r="BD532" i="3"/>
  <c r="BE532" i="3" s="1"/>
  <c r="BB533" i="3"/>
  <c r="AZ534" i="3"/>
  <c r="AZ535" i="3"/>
  <c r="AU537" i="3"/>
  <c r="AV537" i="3" s="1"/>
  <c r="AW537" i="3" s="1"/>
  <c r="AT538" i="3"/>
  <c r="AS539" i="3"/>
  <c r="AR540" i="3"/>
  <c r="CP514" i="3" l="1"/>
  <c r="AJ514" i="25"/>
  <c r="CN515" i="3"/>
  <c r="CO515" i="3" s="1"/>
  <c r="CL516" i="3"/>
  <c r="CL517" i="3"/>
  <c r="CJ518" i="3"/>
  <c r="CF519" i="3"/>
  <c r="CG519" i="3" s="1"/>
  <c r="CD520" i="3"/>
  <c r="CB521" i="3"/>
  <c r="CD521" i="3" s="1"/>
  <c r="BZ522" i="3"/>
  <c r="BX523" i="3"/>
  <c r="BV524" i="3"/>
  <c r="BT525" i="3"/>
  <c r="BU525" i="3" s="1"/>
  <c r="BT526" i="3"/>
  <c r="BP527" i="3"/>
  <c r="BN528" i="3"/>
  <c r="BL529" i="3"/>
  <c r="BJ530" i="3"/>
  <c r="BK530" i="3" s="1"/>
  <c r="BH531" i="3"/>
  <c r="BF532" i="3"/>
  <c r="BG532" i="3" s="1"/>
  <c r="BD533" i="3"/>
  <c r="BE533" i="3" s="1"/>
  <c r="BB535" i="3"/>
  <c r="BA534" i="3"/>
  <c r="BB534" i="3" s="1"/>
  <c r="AU538" i="3"/>
  <c r="AV538" i="3" s="1"/>
  <c r="AX536" i="3"/>
  <c r="AT539" i="3"/>
  <c r="AS540" i="3"/>
  <c r="AR541" i="3"/>
  <c r="CT514" i="3" l="1"/>
  <c r="CP515" i="3"/>
  <c r="AJ515" i="25"/>
  <c r="CN517" i="3"/>
  <c r="CO517" i="3" s="1"/>
  <c r="CN516" i="3"/>
  <c r="CO516" i="3" s="1"/>
  <c r="CL518" i="3"/>
  <c r="CH519" i="3"/>
  <c r="CI519" i="3" s="1"/>
  <c r="CF521" i="3"/>
  <c r="CF520" i="3"/>
  <c r="CG520" i="3" s="1"/>
  <c r="CA522" i="3"/>
  <c r="CB522" i="3" s="1"/>
  <c r="CD522" i="3" s="1"/>
  <c r="BZ523" i="3"/>
  <c r="BX524" i="3"/>
  <c r="BV526" i="3"/>
  <c r="BV525" i="3"/>
  <c r="BR527" i="3"/>
  <c r="BS527" i="3" s="1"/>
  <c r="BP528" i="3"/>
  <c r="BN529" i="3"/>
  <c r="BL530" i="3"/>
  <c r="BJ531" i="3"/>
  <c r="BH532" i="3"/>
  <c r="BF533" i="3"/>
  <c r="BG533" i="3" s="1"/>
  <c r="BD534" i="3"/>
  <c r="BE534" i="3" s="1"/>
  <c r="BD535" i="3"/>
  <c r="BE535" i="3" s="1"/>
  <c r="AZ536" i="3"/>
  <c r="AU539" i="3"/>
  <c r="AV539" i="3" s="1"/>
  <c r="AX537" i="3"/>
  <c r="AT540" i="3"/>
  <c r="AS541" i="3"/>
  <c r="AR542" i="3"/>
  <c r="CT515" i="3" l="1"/>
  <c r="CP516" i="3"/>
  <c r="CP517" i="3"/>
  <c r="AJ516" i="25"/>
  <c r="AJ517" i="25"/>
  <c r="CN518" i="3"/>
  <c r="CO518" i="3" s="1"/>
  <c r="CJ519" i="3"/>
  <c r="CH520" i="3"/>
  <c r="CI520" i="3" s="1"/>
  <c r="CH521" i="3"/>
  <c r="CF522" i="3"/>
  <c r="CB523" i="3"/>
  <c r="CD523" i="3" s="1"/>
  <c r="BZ524" i="3"/>
  <c r="BX525" i="3"/>
  <c r="BY525" i="3" s="1"/>
  <c r="BX526" i="3"/>
  <c r="BT527" i="3"/>
  <c r="BR528" i="3"/>
  <c r="BP529" i="3"/>
  <c r="BN530" i="3"/>
  <c r="BO530" i="3" s="1"/>
  <c r="BL531" i="3"/>
  <c r="BJ532" i="3"/>
  <c r="BK532" i="3" s="1"/>
  <c r="BH533" i="3"/>
  <c r="BF535" i="3"/>
  <c r="BG535" i="3" s="1"/>
  <c r="BF534" i="3"/>
  <c r="BG534" i="3" s="1"/>
  <c r="BA536" i="3"/>
  <c r="BB536" i="3" s="1"/>
  <c r="AZ537" i="3"/>
  <c r="AU540" i="3"/>
  <c r="AV540" i="3" s="1"/>
  <c r="AW540" i="3" s="1"/>
  <c r="AX538" i="3"/>
  <c r="AT541" i="3"/>
  <c r="AS542" i="3"/>
  <c r="AR543" i="3"/>
  <c r="CT517" i="3" l="1"/>
  <c r="CT516" i="3"/>
  <c r="CP518" i="3"/>
  <c r="AJ518" i="25"/>
  <c r="CL519" i="3"/>
  <c r="CJ521" i="3"/>
  <c r="CJ520" i="3"/>
  <c r="CH522" i="3"/>
  <c r="CF523" i="3"/>
  <c r="CB524" i="3"/>
  <c r="CD524" i="3" s="1"/>
  <c r="BZ526" i="3"/>
  <c r="BZ525" i="3"/>
  <c r="CA525" i="3" s="1"/>
  <c r="BV527" i="3"/>
  <c r="BT528" i="3"/>
  <c r="BR529" i="3"/>
  <c r="BS529" i="3" s="1"/>
  <c r="BP530" i="3"/>
  <c r="BN531" i="3"/>
  <c r="BL532" i="3"/>
  <c r="BJ533" i="3"/>
  <c r="BH535" i="3"/>
  <c r="BH534" i="3"/>
  <c r="BD536" i="3"/>
  <c r="BE536" i="3" s="1"/>
  <c r="BB537" i="3"/>
  <c r="AZ538" i="3"/>
  <c r="AU541" i="3"/>
  <c r="AV541" i="3" s="1"/>
  <c r="AX539" i="3"/>
  <c r="AT542" i="3"/>
  <c r="AS543" i="3"/>
  <c r="AR544" i="3"/>
  <c r="CT518" i="3" l="1"/>
  <c r="CN519" i="3"/>
  <c r="CO519" i="3" s="1"/>
  <c r="CL520" i="3"/>
  <c r="CL521" i="3"/>
  <c r="CJ522" i="3"/>
  <c r="CH523" i="3"/>
  <c r="CF524" i="3"/>
  <c r="CB525" i="3"/>
  <c r="CD525" i="3" s="1"/>
  <c r="CE525" i="3" s="1"/>
  <c r="CB526" i="3"/>
  <c r="CD526" i="3" s="1"/>
  <c r="BX527" i="3"/>
  <c r="BV528" i="3"/>
  <c r="BT529" i="3"/>
  <c r="BR530" i="3"/>
  <c r="BS530" i="3" s="1"/>
  <c r="BP531" i="3"/>
  <c r="BN532" i="3"/>
  <c r="BL533" i="3"/>
  <c r="BJ535" i="3"/>
  <c r="BK535" i="3" s="1"/>
  <c r="BJ534" i="3"/>
  <c r="BK534" i="3" s="1"/>
  <c r="BF536" i="3"/>
  <c r="BG536" i="3" s="1"/>
  <c r="BD537" i="3"/>
  <c r="BE537" i="3" s="1"/>
  <c r="BB538" i="3"/>
  <c r="AZ539" i="3"/>
  <c r="AU542" i="3"/>
  <c r="AV542" i="3" s="1"/>
  <c r="AW542" i="3" s="1"/>
  <c r="AX540" i="3"/>
  <c r="AT543" i="3"/>
  <c r="AS544" i="3"/>
  <c r="AR545" i="3"/>
  <c r="CP519" i="3" l="1"/>
  <c r="AJ519" i="25"/>
  <c r="CN521" i="3"/>
  <c r="CO521" i="3" s="1"/>
  <c r="CN520" i="3"/>
  <c r="CO520" i="3" s="1"/>
  <c r="CL522" i="3"/>
  <c r="CJ523" i="3"/>
  <c r="CH524" i="3"/>
  <c r="CF526" i="3"/>
  <c r="CF525" i="3"/>
  <c r="CG525" i="3" s="1"/>
  <c r="BZ527" i="3"/>
  <c r="BX528" i="3"/>
  <c r="BV529" i="3"/>
  <c r="BW529" i="3" s="1"/>
  <c r="BT530" i="3"/>
  <c r="BR531" i="3"/>
  <c r="BP532" i="3"/>
  <c r="BN533" i="3"/>
  <c r="BL535" i="3"/>
  <c r="BL534" i="3"/>
  <c r="BH536" i="3"/>
  <c r="BF537" i="3"/>
  <c r="BG537" i="3" s="1"/>
  <c r="BD538" i="3"/>
  <c r="BE538" i="3" s="1"/>
  <c r="BB539" i="3"/>
  <c r="AZ540" i="3"/>
  <c r="AU543" i="3"/>
  <c r="AV543" i="3" s="1"/>
  <c r="AW543" i="3" s="1"/>
  <c r="AX541" i="3"/>
  <c r="AT544" i="3"/>
  <c r="AS545" i="3"/>
  <c r="AR546" i="3"/>
  <c r="CT519" i="3" l="1"/>
  <c r="CP520" i="3"/>
  <c r="CP521" i="3"/>
  <c r="AJ521" i="25"/>
  <c r="AJ520" i="25"/>
  <c r="CN522" i="3"/>
  <c r="CO522" i="3" s="1"/>
  <c r="CL523" i="3"/>
  <c r="CJ524" i="3"/>
  <c r="CH525" i="3"/>
  <c r="CI525" i="3" s="1"/>
  <c r="CH526" i="3"/>
  <c r="CA527" i="3"/>
  <c r="CB527" i="3" s="1"/>
  <c r="BZ528" i="3"/>
  <c r="BX529" i="3"/>
  <c r="BV530" i="3"/>
  <c r="BT531" i="3"/>
  <c r="BR532" i="3"/>
  <c r="BP533" i="3"/>
  <c r="BN535" i="3"/>
  <c r="BN534" i="3"/>
  <c r="BJ536" i="3"/>
  <c r="BH537" i="3"/>
  <c r="BF538" i="3"/>
  <c r="BG538" i="3" s="1"/>
  <c r="BD539" i="3"/>
  <c r="BE539" i="3" s="1"/>
  <c r="BA540" i="3"/>
  <c r="BB540" i="3" s="1"/>
  <c r="AZ541" i="3"/>
  <c r="AU544" i="3"/>
  <c r="AV544" i="3" s="1"/>
  <c r="AW544" i="3" s="1"/>
  <c r="AX542" i="3"/>
  <c r="AT545" i="3"/>
  <c r="AS546" i="3"/>
  <c r="AR547" i="3"/>
  <c r="CT521" i="3" l="1"/>
  <c r="CT520" i="3"/>
  <c r="CP522" i="3"/>
  <c r="AJ522" i="25"/>
  <c r="CN523" i="3"/>
  <c r="CO523" i="3" s="1"/>
  <c r="CL524" i="3"/>
  <c r="CJ526" i="3"/>
  <c r="CJ525" i="3"/>
  <c r="CD527" i="3"/>
  <c r="CB528" i="3"/>
  <c r="BZ529" i="3"/>
  <c r="BX530" i="3"/>
  <c r="BV531" i="3"/>
  <c r="BT532" i="3"/>
  <c r="BU532" i="3" s="1"/>
  <c r="BR533" i="3"/>
  <c r="BP534" i="3"/>
  <c r="BP535" i="3"/>
  <c r="BL536" i="3"/>
  <c r="BJ537" i="3"/>
  <c r="BK537" i="3" s="1"/>
  <c r="BH538" i="3"/>
  <c r="BF539" i="3"/>
  <c r="BG539" i="3" s="1"/>
  <c r="BD540" i="3"/>
  <c r="BE540" i="3" s="1"/>
  <c r="BB541" i="3"/>
  <c r="AZ542" i="3"/>
  <c r="AU545" i="3"/>
  <c r="AV545" i="3" s="1"/>
  <c r="AW545" i="3" s="1"/>
  <c r="AX543" i="3"/>
  <c r="AT546" i="3"/>
  <c r="AS547" i="3"/>
  <c r="AR548" i="3"/>
  <c r="CT522" i="3" l="1"/>
  <c r="CP523" i="3"/>
  <c r="AJ523" i="25"/>
  <c r="CN524" i="3"/>
  <c r="CO524" i="3" s="1"/>
  <c r="CL525" i="3"/>
  <c r="CL526" i="3"/>
  <c r="CF527" i="3"/>
  <c r="CG527" i="3" s="1"/>
  <c r="CD528" i="3"/>
  <c r="CA529" i="3"/>
  <c r="CB529" i="3" s="1"/>
  <c r="BZ530" i="3"/>
  <c r="BX531" i="3"/>
  <c r="BV532" i="3"/>
  <c r="BW532" i="3" s="1"/>
  <c r="BT533" i="3"/>
  <c r="BR535" i="3"/>
  <c r="BS535" i="3" s="1"/>
  <c r="BR534" i="3"/>
  <c r="BN536" i="3"/>
  <c r="BL537" i="3"/>
  <c r="BJ538" i="3"/>
  <c r="BK538" i="3" s="1"/>
  <c r="BH539" i="3"/>
  <c r="BF540" i="3"/>
  <c r="BG540" i="3" s="1"/>
  <c r="BD541" i="3"/>
  <c r="BE541" i="3" s="1"/>
  <c r="BA542" i="3"/>
  <c r="BB542" i="3" s="1"/>
  <c r="AZ543" i="3"/>
  <c r="AU546" i="3"/>
  <c r="AV546" i="3" s="1"/>
  <c r="AX544" i="3"/>
  <c r="AT547" i="3"/>
  <c r="AS548" i="3"/>
  <c r="AR549" i="3"/>
  <c r="AT549" i="3" s="1"/>
  <c r="CT523" i="3" l="1"/>
  <c r="AJ524" i="25"/>
  <c r="CP524" i="3"/>
  <c r="CN526" i="3"/>
  <c r="CO526" i="3" s="1"/>
  <c r="CN525" i="3"/>
  <c r="CO525" i="3" s="1"/>
  <c r="CH527" i="3"/>
  <c r="CI527" i="3" s="1"/>
  <c r="CF528" i="3"/>
  <c r="CD529" i="3"/>
  <c r="CA530" i="3"/>
  <c r="CB530" i="3" s="1"/>
  <c r="BZ531" i="3"/>
  <c r="BX532" i="3"/>
  <c r="BV533" i="3"/>
  <c r="BT534" i="3"/>
  <c r="BT535" i="3"/>
  <c r="BP536" i="3"/>
  <c r="BN537" i="3"/>
  <c r="BL538" i="3"/>
  <c r="BJ539" i="3"/>
  <c r="BK539" i="3" s="1"/>
  <c r="BH540" i="3"/>
  <c r="BF541" i="3"/>
  <c r="BG541" i="3" s="1"/>
  <c r="BD542" i="3"/>
  <c r="BE542" i="3" s="1"/>
  <c r="BB543" i="3"/>
  <c r="AZ544" i="3"/>
  <c r="AV549" i="3"/>
  <c r="AU547" i="3"/>
  <c r="AV547" i="3" s="1"/>
  <c r="AX545" i="3"/>
  <c r="AT548" i="3"/>
  <c r="AR550" i="3"/>
  <c r="CT524" i="3" l="1"/>
  <c r="CP525" i="3"/>
  <c r="CP526" i="3"/>
  <c r="AJ525" i="25"/>
  <c r="AJ526" i="25"/>
  <c r="CJ527" i="3"/>
  <c r="CH528" i="3"/>
  <c r="CF529" i="3"/>
  <c r="CG529" i="3" s="1"/>
  <c r="CD530" i="3"/>
  <c r="CB531" i="3"/>
  <c r="CD531" i="3" s="1"/>
  <c r="BZ532" i="3"/>
  <c r="BX533" i="3"/>
  <c r="BV535" i="3"/>
  <c r="BV534" i="3"/>
  <c r="BR536" i="3"/>
  <c r="BP537" i="3"/>
  <c r="BN538" i="3"/>
  <c r="BO538" i="3" s="1"/>
  <c r="BL539" i="3"/>
  <c r="BJ540" i="3"/>
  <c r="BK540" i="3" s="1"/>
  <c r="BH541" i="3"/>
  <c r="BF542" i="3"/>
  <c r="BG542" i="3" s="1"/>
  <c r="BD543" i="3"/>
  <c r="BE543" i="3" s="1"/>
  <c r="BA544" i="3"/>
  <c r="BB544" i="3" s="1"/>
  <c r="AZ545" i="3"/>
  <c r="AX549" i="3"/>
  <c r="AU548" i="3"/>
  <c r="AV548" i="3" s="1"/>
  <c r="AW548" i="3" s="1"/>
  <c r="AX546" i="3"/>
  <c r="AS550" i="3"/>
  <c r="AR551" i="3"/>
  <c r="CT526" i="3" l="1"/>
  <c r="CT525" i="3"/>
  <c r="CL527" i="3"/>
  <c r="CJ528" i="3"/>
  <c r="CH529" i="3"/>
  <c r="CI529" i="3" s="1"/>
  <c r="CF531" i="3"/>
  <c r="CE530" i="3"/>
  <c r="CF530" i="3" s="1"/>
  <c r="CG530" i="3" s="1"/>
  <c r="CA532" i="3"/>
  <c r="CB532" i="3" s="1"/>
  <c r="CD532" i="3" s="1"/>
  <c r="CE532" i="3" s="1"/>
  <c r="BZ533" i="3"/>
  <c r="BX534" i="3"/>
  <c r="BX535" i="3"/>
  <c r="BT536" i="3"/>
  <c r="BR537" i="3"/>
  <c r="BS537" i="3" s="1"/>
  <c r="BP538" i="3"/>
  <c r="BN539" i="3"/>
  <c r="BO539" i="3" s="1"/>
  <c r="BL540" i="3"/>
  <c r="BJ541" i="3"/>
  <c r="BK541" i="3" s="1"/>
  <c r="BH542" i="3"/>
  <c r="BF543" i="3"/>
  <c r="BG543" i="3" s="1"/>
  <c r="BD544" i="3"/>
  <c r="BE544" i="3" s="1"/>
  <c r="BB545" i="3"/>
  <c r="AZ546" i="3"/>
  <c r="AZ549" i="3"/>
  <c r="AX547" i="3"/>
  <c r="AT550" i="3"/>
  <c r="AS551" i="3"/>
  <c r="AR552" i="3"/>
  <c r="CN527" i="3" l="1"/>
  <c r="CO527" i="3" s="1"/>
  <c r="CL528" i="3"/>
  <c r="CJ529" i="3"/>
  <c r="CH530" i="3"/>
  <c r="CI530" i="3" s="1"/>
  <c r="CH531" i="3"/>
  <c r="CF532" i="3"/>
  <c r="CG532" i="3" s="1"/>
  <c r="CB533" i="3"/>
  <c r="CD533" i="3" s="1"/>
  <c r="BZ535" i="3"/>
  <c r="BZ534" i="3"/>
  <c r="BV536" i="3"/>
  <c r="BT537" i="3"/>
  <c r="BR538" i="3"/>
  <c r="BS538" i="3" s="1"/>
  <c r="BP539" i="3"/>
  <c r="BN540" i="3"/>
  <c r="BL541" i="3"/>
  <c r="BJ542" i="3"/>
  <c r="BK542" i="3" s="1"/>
  <c r="BH543" i="3"/>
  <c r="BF544" i="3"/>
  <c r="BG544" i="3" s="1"/>
  <c r="BD545" i="3"/>
  <c r="BE545" i="3" s="1"/>
  <c r="BB549" i="3"/>
  <c r="BB546" i="3"/>
  <c r="AZ547" i="3"/>
  <c r="AU550" i="3"/>
  <c r="AV550" i="3" s="1"/>
  <c r="AW550" i="3" s="1"/>
  <c r="AX548" i="3"/>
  <c r="AT551" i="3"/>
  <c r="AS552" i="3"/>
  <c r="AR553" i="3"/>
  <c r="CP527" i="3" l="1"/>
  <c r="AJ527" i="25"/>
  <c r="CN528" i="3"/>
  <c r="CO528" i="3" s="1"/>
  <c r="CL529" i="3"/>
  <c r="CJ531" i="3"/>
  <c r="CJ530" i="3"/>
  <c r="CH532" i="3"/>
  <c r="CI532" i="3" s="1"/>
  <c r="CF533" i="3"/>
  <c r="CA534" i="3"/>
  <c r="CB534" i="3" s="1"/>
  <c r="CA535" i="3"/>
  <c r="CB535" i="3" s="1"/>
  <c r="BX536" i="3"/>
  <c r="BV537" i="3"/>
  <c r="BW537" i="3" s="1"/>
  <c r="BT538" i="3"/>
  <c r="BR539" i="3"/>
  <c r="BS539" i="3" s="1"/>
  <c r="BP540" i="3"/>
  <c r="BN541" i="3"/>
  <c r="BO541" i="3" s="1"/>
  <c r="BL542" i="3"/>
  <c r="BJ543" i="3"/>
  <c r="BK543" i="3" s="1"/>
  <c r="BH544" i="3"/>
  <c r="BF545" i="3"/>
  <c r="BG545" i="3" s="1"/>
  <c r="BD549" i="3"/>
  <c r="BD546" i="3"/>
  <c r="BE546" i="3" s="1"/>
  <c r="BB547" i="3"/>
  <c r="AZ548" i="3"/>
  <c r="AU551" i="3"/>
  <c r="AV551" i="3" s="1"/>
  <c r="AW551" i="3" s="1"/>
  <c r="AT552" i="3"/>
  <c r="AS553" i="3"/>
  <c r="AR554" i="3"/>
  <c r="CT527" i="3" l="1"/>
  <c r="CP528" i="3"/>
  <c r="AJ528" i="25"/>
  <c r="CN529" i="3"/>
  <c r="CO529" i="3" s="1"/>
  <c r="CL530" i="3"/>
  <c r="CL531" i="3"/>
  <c r="CJ532" i="3"/>
  <c r="CH533" i="3"/>
  <c r="CD535" i="3"/>
  <c r="CD534" i="3"/>
  <c r="BZ536" i="3"/>
  <c r="BX537" i="3"/>
  <c r="BV538" i="3"/>
  <c r="BT539" i="3"/>
  <c r="BR540" i="3"/>
  <c r="BP541" i="3"/>
  <c r="BN542" i="3"/>
  <c r="BL543" i="3"/>
  <c r="BJ544" i="3"/>
  <c r="BK544" i="3" s="1"/>
  <c r="BH545" i="3"/>
  <c r="BF549" i="3"/>
  <c r="BF546" i="3"/>
  <c r="BG546" i="3" s="1"/>
  <c r="BD547" i="3"/>
  <c r="BE547" i="3" s="1"/>
  <c r="BA548" i="3"/>
  <c r="BB548" i="3" s="1"/>
  <c r="AU552" i="3"/>
  <c r="AV552" i="3" s="1"/>
  <c r="AW552" i="3" s="1"/>
  <c r="AX550" i="3"/>
  <c r="AT553" i="3"/>
  <c r="AS554" i="3"/>
  <c r="AR555" i="3"/>
  <c r="AR567" i="3"/>
  <c r="CT528" i="3" l="1"/>
  <c r="CP529" i="3"/>
  <c r="AJ529" i="25"/>
  <c r="CN531" i="3"/>
  <c r="CO531" i="3" s="1"/>
  <c r="CN530" i="3"/>
  <c r="CO530" i="3" s="1"/>
  <c r="CL532" i="3"/>
  <c r="CJ533" i="3"/>
  <c r="CF534" i="3"/>
  <c r="CF535" i="3"/>
  <c r="CG535" i="3" s="1"/>
  <c r="CB536" i="3"/>
  <c r="CD536" i="3" s="1"/>
  <c r="BZ537" i="3"/>
  <c r="BX538" i="3"/>
  <c r="BV539" i="3"/>
  <c r="BT540" i="3"/>
  <c r="BU540" i="3" s="1"/>
  <c r="BR541" i="3"/>
  <c r="BS541" i="3" s="1"/>
  <c r="BP542" i="3"/>
  <c r="BN543" i="3"/>
  <c r="BL544" i="3"/>
  <c r="BJ545" i="3"/>
  <c r="BK545" i="3" s="1"/>
  <c r="BH546" i="3"/>
  <c r="BH549" i="3"/>
  <c r="BF547" i="3"/>
  <c r="BG547" i="3" s="1"/>
  <c r="BD548" i="3"/>
  <c r="BE548" i="3" s="1"/>
  <c r="AZ550" i="3"/>
  <c r="AU553" i="3"/>
  <c r="AV553" i="3" s="1"/>
  <c r="AW553" i="3" s="1"/>
  <c r="AX551" i="3"/>
  <c r="AT554" i="3"/>
  <c r="AS555" i="3"/>
  <c r="AS567" i="3"/>
  <c r="AR556" i="3"/>
  <c r="AR568" i="3"/>
  <c r="CT529" i="3" l="1"/>
  <c r="AJ530" i="25"/>
  <c r="CP531" i="3"/>
  <c r="AJ531" i="25"/>
  <c r="CP530" i="3"/>
  <c r="CN532" i="3"/>
  <c r="CO532" i="3" s="1"/>
  <c r="CL533" i="3"/>
  <c r="CH535" i="3"/>
  <c r="CI535" i="3" s="1"/>
  <c r="CH534" i="3"/>
  <c r="CF536" i="3"/>
  <c r="CA537" i="3"/>
  <c r="CB537" i="3" s="1"/>
  <c r="BZ538" i="3"/>
  <c r="BX539" i="3"/>
  <c r="BV540" i="3"/>
  <c r="BW540" i="3" s="1"/>
  <c r="BT541" i="3"/>
  <c r="BU541" i="3" s="1"/>
  <c r="BR542" i="3"/>
  <c r="BP543" i="3"/>
  <c r="BN544" i="3"/>
  <c r="BL545" i="3"/>
  <c r="BJ549" i="3"/>
  <c r="BJ546" i="3"/>
  <c r="BK546" i="3" s="1"/>
  <c r="BH547" i="3"/>
  <c r="BF548" i="3"/>
  <c r="BG548" i="3" s="1"/>
  <c r="BA550" i="3"/>
  <c r="BB550" i="3" s="1"/>
  <c r="AZ551" i="3"/>
  <c r="AU554" i="3"/>
  <c r="AV554" i="3" s="1"/>
  <c r="AX552" i="3"/>
  <c r="AT555" i="3"/>
  <c r="AT567" i="3"/>
  <c r="AS556" i="3"/>
  <c r="AS568" i="3"/>
  <c r="AR557" i="3"/>
  <c r="AR569" i="3"/>
  <c r="CT530" i="3" l="1"/>
  <c r="CT531" i="3"/>
  <c r="CP532" i="3"/>
  <c r="AJ532" i="25"/>
  <c r="CN533" i="3"/>
  <c r="CO533" i="3" s="1"/>
  <c r="CJ534" i="3"/>
  <c r="CJ535" i="3"/>
  <c r="CH536" i="3"/>
  <c r="CD537" i="3"/>
  <c r="CA538" i="3"/>
  <c r="CB538" i="3" s="1"/>
  <c r="BZ539" i="3"/>
  <c r="BX540" i="3"/>
  <c r="BV541" i="3"/>
  <c r="BT542" i="3"/>
  <c r="BR543" i="3"/>
  <c r="BS543" i="3" s="1"/>
  <c r="BP544" i="3"/>
  <c r="BN545" i="3"/>
  <c r="BL546" i="3"/>
  <c r="BL549" i="3"/>
  <c r="BJ547" i="3"/>
  <c r="BK547" i="3" s="1"/>
  <c r="BH548" i="3"/>
  <c r="BD550" i="3"/>
  <c r="BE550" i="3" s="1"/>
  <c r="BB551" i="3"/>
  <c r="AZ552" i="3"/>
  <c r="AU567" i="3"/>
  <c r="AV567" i="3" s="1"/>
  <c r="AU555" i="3"/>
  <c r="AV555" i="3" s="1"/>
  <c r="AX553" i="3"/>
  <c r="AT556" i="3"/>
  <c r="AT568" i="3"/>
  <c r="AS569" i="3"/>
  <c r="AS557" i="3"/>
  <c r="AR558" i="3"/>
  <c r="AR570" i="3"/>
  <c r="AR571" i="3"/>
  <c r="CT532" i="3" l="1"/>
  <c r="CP533" i="3"/>
  <c r="AJ533" i="25"/>
  <c r="CL535" i="3"/>
  <c r="CL534" i="3"/>
  <c r="CJ536" i="3"/>
  <c r="CF537" i="3"/>
  <c r="CG537" i="3" s="1"/>
  <c r="CD538" i="3"/>
  <c r="CA539" i="3"/>
  <c r="CB539" i="3" s="1"/>
  <c r="BZ540" i="3"/>
  <c r="BX541" i="3"/>
  <c r="BY541" i="3" s="1"/>
  <c r="BV542" i="3"/>
  <c r="BT543" i="3"/>
  <c r="BR544" i="3"/>
  <c r="BP545" i="3"/>
  <c r="BN549" i="3"/>
  <c r="BN546" i="3"/>
  <c r="BO546" i="3" s="1"/>
  <c r="BL547" i="3"/>
  <c r="BJ548" i="3"/>
  <c r="BK548" i="3" s="1"/>
  <c r="BF550" i="3"/>
  <c r="BG550" i="3" s="1"/>
  <c r="BD551" i="3"/>
  <c r="BE551" i="3" s="1"/>
  <c r="BA552" i="3"/>
  <c r="BB552" i="3" s="1"/>
  <c r="AZ553" i="3"/>
  <c r="AU568" i="3"/>
  <c r="AV568" i="3" s="1"/>
  <c r="AW568" i="3" s="1"/>
  <c r="AU556" i="3"/>
  <c r="AV556" i="3" s="1"/>
  <c r="AW556" i="3" s="1"/>
  <c r="AX554" i="3"/>
  <c r="AT569" i="3"/>
  <c r="AT557" i="3"/>
  <c r="AS571" i="3"/>
  <c r="AS570" i="3"/>
  <c r="AS558" i="3"/>
  <c r="AR559" i="3"/>
  <c r="CT533" i="3" l="1"/>
  <c r="CN534" i="3"/>
  <c r="CO534" i="3" s="1"/>
  <c r="CN535" i="3"/>
  <c r="CO535" i="3" s="1"/>
  <c r="CL536" i="3"/>
  <c r="CH537" i="3"/>
  <c r="CI537" i="3" s="1"/>
  <c r="CE538" i="3"/>
  <c r="CF538" i="3" s="1"/>
  <c r="CG538" i="3" s="1"/>
  <c r="CD539" i="3"/>
  <c r="CA540" i="3"/>
  <c r="CB540" i="3" s="1"/>
  <c r="CD540" i="3" s="1"/>
  <c r="CE540" i="3" s="1"/>
  <c r="BZ541" i="3"/>
  <c r="BX542" i="3"/>
  <c r="BV543" i="3"/>
  <c r="BT544" i="3"/>
  <c r="BU544" i="3" s="1"/>
  <c r="BR545" i="3"/>
  <c r="BS545" i="3" s="1"/>
  <c r="BP546" i="3"/>
  <c r="BP549" i="3"/>
  <c r="BN547" i="3"/>
  <c r="BO547" i="3" s="1"/>
  <c r="BL548" i="3"/>
  <c r="BH550" i="3"/>
  <c r="BF551" i="3"/>
  <c r="BD552" i="3"/>
  <c r="BE552" i="3" s="1"/>
  <c r="BB553" i="3"/>
  <c r="AZ554" i="3"/>
  <c r="AU557" i="3"/>
  <c r="AV557" i="3" s="1"/>
  <c r="AU569" i="3"/>
  <c r="AV569" i="3" s="1"/>
  <c r="AW569" i="3" s="1"/>
  <c r="AX555" i="3"/>
  <c r="AX567" i="3"/>
  <c r="AT558" i="3"/>
  <c r="AT570" i="3"/>
  <c r="AT571" i="3"/>
  <c r="AS559" i="3"/>
  <c r="AR560" i="3"/>
  <c r="AR572" i="3"/>
  <c r="AR564" i="3"/>
  <c r="CP535" i="3" l="1"/>
  <c r="CP534" i="3"/>
  <c r="AJ534" i="25"/>
  <c r="AJ535" i="25"/>
  <c r="CN536" i="3"/>
  <c r="CO536" i="3" s="1"/>
  <c r="CJ537" i="3"/>
  <c r="CH538" i="3"/>
  <c r="CI538" i="3" s="1"/>
  <c r="CF540" i="3"/>
  <c r="CG540" i="3" s="1"/>
  <c r="CE539" i="3"/>
  <c r="CF539" i="3" s="1"/>
  <c r="CG539" i="3" s="1"/>
  <c r="CA541" i="3"/>
  <c r="CB541" i="3" s="1"/>
  <c r="BZ542" i="3"/>
  <c r="BX543" i="3"/>
  <c r="BV544" i="3"/>
  <c r="BT545" i="3"/>
  <c r="BR549" i="3"/>
  <c r="BR546" i="3"/>
  <c r="BS546" i="3" s="1"/>
  <c r="BP547" i="3"/>
  <c r="BN548" i="3"/>
  <c r="BJ550" i="3"/>
  <c r="BK550" i="3" s="1"/>
  <c r="BG551" i="3"/>
  <c r="BH551" i="3" s="1"/>
  <c r="BF552" i="3"/>
  <c r="BG552" i="3" s="1"/>
  <c r="BD553" i="3"/>
  <c r="BE553" i="3" s="1"/>
  <c r="BB554" i="3"/>
  <c r="AZ567" i="3"/>
  <c r="AZ555" i="3"/>
  <c r="AU571" i="3"/>
  <c r="AV571" i="3" s="1"/>
  <c r="AU570" i="3"/>
  <c r="AV570" i="3" s="1"/>
  <c r="AU558" i="3"/>
  <c r="AV558" i="3" s="1"/>
  <c r="AW558" i="3" s="1"/>
  <c r="AX568" i="3"/>
  <c r="AX556" i="3"/>
  <c r="AT559" i="3"/>
  <c r="AS572" i="3"/>
  <c r="AS560" i="3"/>
  <c r="AS564" i="3"/>
  <c r="AR561" i="3"/>
  <c r="AR573" i="3"/>
  <c r="AR565" i="3"/>
  <c r="AR574" i="3"/>
  <c r="CT534" i="3" l="1"/>
  <c r="CT535" i="3"/>
  <c r="CP536" i="3"/>
  <c r="AJ536" i="25"/>
  <c r="CL537" i="3"/>
  <c r="CJ538" i="3"/>
  <c r="CH539" i="3"/>
  <c r="CI539" i="3" s="1"/>
  <c r="CH540" i="3"/>
  <c r="CI540" i="3" s="1"/>
  <c r="CD541" i="3"/>
  <c r="CE541" i="3" s="1"/>
  <c r="CA542" i="3"/>
  <c r="CB542" i="3" s="1"/>
  <c r="BZ543" i="3"/>
  <c r="BX544" i="3"/>
  <c r="BV545" i="3"/>
  <c r="BW545" i="3" s="1"/>
  <c r="BT546" i="3"/>
  <c r="BT549" i="3"/>
  <c r="BR547" i="3"/>
  <c r="BS547" i="3" s="1"/>
  <c r="BP548" i="3"/>
  <c r="BL550" i="3"/>
  <c r="BJ551" i="3"/>
  <c r="BK551" i="3" s="1"/>
  <c r="BH552" i="3"/>
  <c r="BF553" i="3"/>
  <c r="BG553" i="3" s="1"/>
  <c r="BD554" i="3"/>
  <c r="BE554" i="3" s="1"/>
  <c r="BB555" i="3"/>
  <c r="BB567" i="3"/>
  <c r="AZ556" i="3"/>
  <c r="AZ568" i="3"/>
  <c r="AU559" i="3"/>
  <c r="AV559" i="3" s="1"/>
  <c r="AW559" i="3" s="1"/>
  <c r="AX569" i="3"/>
  <c r="AX557" i="3"/>
  <c r="AT560" i="3"/>
  <c r="AT572" i="3"/>
  <c r="AT564" i="3"/>
  <c r="AS574" i="3"/>
  <c r="AS565" i="3"/>
  <c r="AS561" i="3"/>
  <c r="AT561" i="3" s="1"/>
  <c r="AS573" i="3"/>
  <c r="AR566" i="3"/>
  <c r="AR562" i="3"/>
  <c r="AR575" i="3"/>
  <c r="CT536" i="3" l="1"/>
  <c r="CN537" i="3"/>
  <c r="CO537" i="3" s="1"/>
  <c r="CL538" i="3"/>
  <c r="CJ539" i="3"/>
  <c r="CJ540" i="3"/>
  <c r="CF541" i="3"/>
  <c r="CG541" i="3" s="1"/>
  <c r="CD542" i="3"/>
  <c r="CE542" i="3" s="1"/>
  <c r="CA543" i="3"/>
  <c r="CB543" i="3" s="1"/>
  <c r="CD543" i="3" s="1"/>
  <c r="BZ544" i="3"/>
  <c r="BX545" i="3"/>
  <c r="BV549" i="3"/>
  <c r="BV546" i="3"/>
  <c r="BT547" i="3"/>
  <c r="BR548" i="3"/>
  <c r="BN550" i="3"/>
  <c r="BL551" i="3"/>
  <c r="BJ552" i="3"/>
  <c r="BK552" i="3" s="1"/>
  <c r="BH553" i="3"/>
  <c r="BF554" i="3"/>
  <c r="BG554" i="3" s="1"/>
  <c r="BD567" i="3"/>
  <c r="BD555" i="3"/>
  <c r="BE555" i="3" s="1"/>
  <c r="BA568" i="3"/>
  <c r="BB568" i="3" s="1"/>
  <c r="BA556" i="3"/>
  <c r="BB556" i="3" s="1"/>
  <c r="AZ569" i="3"/>
  <c r="AZ557" i="3"/>
  <c r="AU560" i="3"/>
  <c r="AV560" i="3" s="1"/>
  <c r="AW560" i="3" s="1"/>
  <c r="AU572" i="3"/>
  <c r="AV572" i="3" s="1"/>
  <c r="AW572" i="3" s="1"/>
  <c r="AU561" i="3"/>
  <c r="AV561" i="3" s="1"/>
  <c r="AW561" i="3" s="1"/>
  <c r="AU564" i="3"/>
  <c r="AV564" i="3" s="1"/>
  <c r="AW564" i="3" s="1"/>
  <c r="AX570" i="3"/>
  <c r="AX571" i="3"/>
  <c r="AX558" i="3"/>
  <c r="AT574" i="3"/>
  <c r="AT573" i="3"/>
  <c r="AT565" i="3"/>
  <c r="AS575" i="3"/>
  <c r="AS562" i="3"/>
  <c r="AS566" i="3"/>
  <c r="AR563" i="3"/>
  <c r="AJ577" i="25"/>
  <c r="AJ537" i="25" l="1"/>
  <c r="CP537" i="3"/>
  <c r="CN538" i="3"/>
  <c r="CO538" i="3" s="1"/>
  <c r="CL540" i="3"/>
  <c r="CL539" i="3"/>
  <c r="CH541" i="3"/>
  <c r="CI541" i="3" s="1"/>
  <c r="CF543" i="3"/>
  <c r="CF542" i="3"/>
  <c r="CA544" i="3"/>
  <c r="CB544" i="3" s="1"/>
  <c r="BZ545" i="3"/>
  <c r="BX546" i="3"/>
  <c r="BX549" i="3"/>
  <c r="BV547" i="3"/>
  <c r="BT548" i="3"/>
  <c r="BP550" i="3"/>
  <c r="BN551" i="3"/>
  <c r="BL552" i="3"/>
  <c r="BJ553" i="3"/>
  <c r="BK553" i="3" s="1"/>
  <c r="BH554" i="3"/>
  <c r="BF567" i="3"/>
  <c r="BF555" i="3"/>
  <c r="BG555" i="3" s="1"/>
  <c r="BD556" i="3"/>
  <c r="BE556" i="3" s="1"/>
  <c r="BD568" i="3"/>
  <c r="BE568" i="3" s="1"/>
  <c r="BB569" i="3"/>
  <c r="BB557" i="3"/>
  <c r="AZ558" i="3"/>
  <c r="AZ571" i="3"/>
  <c r="AZ570" i="3"/>
  <c r="AU573" i="3"/>
  <c r="AV573" i="3" s="1"/>
  <c r="AU565" i="3"/>
  <c r="AV565" i="3" s="1"/>
  <c r="AU574" i="3"/>
  <c r="AV574" i="3" s="1"/>
  <c r="AW574" i="3" s="1"/>
  <c r="AX559" i="3"/>
  <c r="AT562" i="3"/>
  <c r="AT575" i="3"/>
  <c r="AT566" i="3"/>
  <c r="AS563" i="3"/>
  <c r="AJ576" i="25"/>
  <c r="CT537" i="3" l="1"/>
  <c r="AJ538" i="25"/>
  <c r="CP538" i="3"/>
  <c r="CN539" i="3"/>
  <c r="CO539" i="3" s="1"/>
  <c r="CN540" i="3"/>
  <c r="CO540" i="3" s="1"/>
  <c r="CJ541" i="3"/>
  <c r="CH542" i="3"/>
  <c r="CH543" i="3"/>
  <c r="CD544" i="3"/>
  <c r="CA545" i="3"/>
  <c r="CB545" i="3" s="1"/>
  <c r="BZ549" i="3"/>
  <c r="BZ546" i="3"/>
  <c r="BX547" i="3"/>
  <c r="BV548" i="3"/>
  <c r="BR550" i="3"/>
  <c r="BP551" i="3"/>
  <c r="BN552" i="3"/>
  <c r="BL553" i="3"/>
  <c r="BJ554" i="3"/>
  <c r="BK554" i="3" s="1"/>
  <c r="BH555" i="3"/>
  <c r="BH567" i="3"/>
  <c r="BF568" i="3"/>
  <c r="BG568" i="3" s="1"/>
  <c r="BF556" i="3"/>
  <c r="BG556" i="3" s="1"/>
  <c r="BD557" i="3"/>
  <c r="BE557" i="3" s="1"/>
  <c r="BD569" i="3"/>
  <c r="BE569" i="3" s="1"/>
  <c r="BB571" i="3"/>
  <c r="BB570" i="3"/>
  <c r="BA558" i="3"/>
  <c r="BB558" i="3" s="1"/>
  <c r="AZ559" i="3"/>
  <c r="AU566" i="3"/>
  <c r="AV566" i="3" s="1"/>
  <c r="AW566" i="3" s="1"/>
  <c r="AU575" i="3"/>
  <c r="AV575" i="3" s="1"/>
  <c r="AW575" i="3" s="1"/>
  <c r="AU562" i="3"/>
  <c r="AV562" i="3" s="1"/>
  <c r="AX572" i="3"/>
  <c r="AX564" i="3"/>
  <c r="AX560" i="3"/>
  <c r="AX561" i="3"/>
  <c r="AT563" i="3"/>
  <c r="E1" i="25"/>
  <c r="CT538" i="3" l="1"/>
  <c r="CP540" i="3"/>
  <c r="CP539" i="3"/>
  <c r="AJ540" i="25"/>
  <c r="AJ539" i="25"/>
  <c r="CL541" i="3"/>
  <c r="CJ543" i="3"/>
  <c r="CJ542" i="3"/>
  <c r="CF544" i="3"/>
  <c r="CG544" i="3" s="1"/>
  <c r="CD545" i="3"/>
  <c r="CA546" i="3"/>
  <c r="CB546" i="3" s="1"/>
  <c r="CB549" i="3"/>
  <c r="CD549" i="3" s="1"/>
  <c r="BZ547" i="3"/>
  <c r="BX548" i="3"/>
  <c r="BT550" i="3"/>
  <c r="BR551" i="3"/>
  <c r="BP552" i="3"/>
  <c r="BN553" i="3"/>
  <c r="BL554" i="3"/>
  <c r="BJ567" i="3"/>
  <c r="BJ555" i="3"/>
  <c r="BK555" i="3" s="1"/>
  <c r="BH556" i="3"/>
  <c r="BH568" i="3"/>
  <c r="BF569" i="3"/>
  <c r="BG569" i="3" s="1"/>
  <c r="BF557" i="3"/>
  <c r="BG557" i="3" s="1"/>
  <c r="BD571" i="3"/>
  <c r="BE571" i="3" s="1"/>
  <c r="BD558" i="3"/>
  <c r="BE558" i="3" s="1"/>
  <c r="BD570" i="3"/>
  <c r="BB559" i="3"/>
  <c r="AZ572" i="3"/>
  <c r="AZ561" i="3"/>
  <c r="AZ560" i="3"/>
  <c r="AZ564" i="3"/>
  <c r="AU563" i="3"/>
  <c r="AV563" i="3" s="1"/>
  <c r="AX574" i="3"/>
  <c r="AX573" i="3"/>
  <c r="AX565" i="3"/>
  <c r="DP376" i="3"/>
  <c r="CV397" i="3"/>
  <c r="CV220" i="3"/>
  <c r="CT539" i="3" l="1"/>
  <c r="CT540" i="3"/>
  <c r="CU397" i="3"/>
  <c r="CN541" i="3"/>
  <c r="CO541" i="3" s="1"/>
  <c r="CL542" i="3"/>
  <c r="CL543" i="3"/>
  <c r="CH544" i="3"/>
  <c r="CI544" i="3" s="1"/>
  <c r="CF549" i="3"/>
  <c r="CF545" i="3"/>
  <c r="CG545" i="3" s="1"/>
  <c r="CD546" i="3"/>
  <c r="CA547" i="3"/>
  <c r="CB547" i="3" s="1"/>
  <c r="BZ548" i="3"/>
  <c r="BV550" i="3"/>
  <c r="BT551" i="3"/>
  <c r="CV352" i="3"/>
  <c r="DP352" i="3"/>
  <c r="CV56" i="3"/>
  <c r="DP56" i="3"/>
  <c r="CV42" i="3"/>
  <c r="DP42" i="3"/>
  <c r="CV216" i="3"/>
  <c r="DP216" i="3"/>
  <c r="CV378" i="3"/>
  <c r="DP378" i="3"/>
  <c r="CV199" i="3"/>
  <c r="DP199" i="3"/>
  <c r="CV160" i="3"/>
  <c r="DP160" i="3"/>
  <c r="CV296" i="3"/>
  <c r="DP296" i="3"/>
  <c r="CV214" i="3"/>
  <c r="DP214" i="3"/>
  <c r="CV322" i="3"/>
  <c r="DP322" i="3"/>
  <c r="CV328" i="3"/>
  <c r="DP328" i="3"/>
  <c r="CV317" i="3"/>
  <c r="DP317" i="3"/>
  <c r="CV272" i="3"/>
  <c r="DP272" i="3"/>
  <c r="CV302" i="3"/>
  <c r="DP302" i="3"/>
  <c r="CV228" i="3"/>
  <c r="DP228" i="3"/>
  <c r="CV493" i="3"/>
  <c r="DP493" i="3"/>
  <c r="CV340" i="3"/>
  <c r="DP340" i="3"/>
  <c r="CV391" i="3"/>
  <c r="DP391" i="3"/>
  <c r="CV401" i="3"/>
  <c r="DP401" i="3"/>
  <c r="CV178" i="3"/>
  <c r="DP178" i="3"/>
  <c r="CV518" i="3"/>
  <c r="DP518" i="3"/>
  <c r="CV250" i="3"/>
  <c r="DP250" i="3"/>
  <c r="CV491" i="3"/>
  <c r="DP491" i="3"/>
  <c r="CV356" i="3"/>
  <c r="DP356" i="3"/>
  <c r="CV286" i="3"/>
  <c r="DP286" i="3"/>
  <c r="CV376" i="3"/>
  <c r="CV450" i="3"/>
  <c r="DP450" i="3"/>
  <c r="CV244" i="3"/>
  <c r="DP244" i="3"/>
  <c r="CV468" i="3"/>
  <c r="DP468" i="3"/>
  <c r="CV229" i="3"/>
  <c r="DP229" i="3"/>
  <c r="CV236" i="3"/>
  <c r="DP236" i="3"/>
  <c r="CV133" i="3"/>
  <c r="DP133" i="3"/>
  <c r="CV315" i="3"/>
  <c r="DP315" i="3"/>
  <c r="CV241" i="3"/>
  <c r="DP241" i="3"/>
  <c r="CV353" i="3"/>
  <c r="DP353" i="3"/>
  <c r="CV380" i="3"/>
  <c r="DP380" i="3"/>
  <c r="CV168" i="3"/>
  <c r="DP168" i="3"/>
  <c r="CV496" i="3"/>
  <c r="DP496" i="3"/>
  <c r="CV398" i="3"/>
  <c r="DP398" i="3"/>
  <c r="CV448" i="3"/>
  <c r="DP448" i="3"/>
  <c r="CV372" i="3"/>
  <c r="DP372" i="3"/>
  <c r="CV91" i="3"/>
  <c r="DP91" i="3"/>
  <c r="CV103" i="3"/>
  <c r="DP103" i="3"/>
  <c r="CV467" i="3"/>
  <c r="DP467" i="3"/>
  <c r="CV368" i="3"/>
  <c r="DP368" i="3"/>
  <c r="CV293" i="3"/>
  <c r="DP293" i="3"/>
  <c r="CV205" i="3"/>
  <c r="DP205" i="3"/>
  <c r="CV453" i="3"/>
  <c r="DP453" i="3"/>
  <c r="CV422" i="3"/>
  <c r="DP422" i="3"/>
  <c r="CV360" i="3"/>
  <c r="DP360" i="3"/>
  <c r="CV495" i="3"/>
  <c r="DP495" i="3"/>
  <c r="CV207" i="3"/>
  <c r="DP207" i="3"/>
  <c r="CV156" i="3"/>
  <c r="DP156" i="3"/>
  <c r="CU220" i="3"/>
  <c r="DP220" i="3"/>
  <c r="CV223" i="3"/>
  <c r="DP223" i="3"/>
  <c r="CV513" i="3"/>
  <c r="DP513" i="3"/>
  <c r="CV504" i="3"/>
  <c r="DP504" i="3"/>
  <c r="CV524" i="3"/>
  <c r="DP524" i="3"/>
  <c r="CV526" i="3"/>
  <c r="DP526" i="3"/>
  <c r="CV484" i="3"/>
  <c r="DP484" i="3"/>
  <c r="CV476" i="3"/>
  <c r="DP476" i="3"/>
  <c r="CV267" i="3"/>
  <c r="DP267" i="3"/>
  <c r="CV208" i="3"/>
  <c r="DP208" i="3"/>
  <c r="CV480" i="3"/>
  <c r="DP480" i="3"/>
  <c r="CV155" i="3"/>
  <c r="DP155" i="3"/>
  <c r="CV466" i="3"/>
  <c r="DP466" i="3"/>
  <c r="CV24" i="3"/>
  <c r="DP24" i="3"/>
  <c r="CV373" i="3"/>
  <c r="DP373" i="3"/>
  <c r="CV143" i="3"/>
  <c r="DP143" i="3"/>
  <c r="CV137" i="3"/>
  <c r="DP137" i="3"/>
  <c r="CV194" i="3"/>
  <c r="DP194" i="3"/>
  <c r="CV246" i="3"/>
  <c r="DP246" i="3"/>
  <c r="CV309" i="3"/>
  <c r="DP309" i="3"/>
  <c r="CV240" i="3"/>
  <c r="DP240" i="3"/>
  <c r="CV355" i="3"/>
  <c r="DP355" i="3"/>
  <c r="CV55" i="3"/>
  <c r="DP55" i="3"/>
  <c r="CV531" i="3"/>
  <c r="DP531" i="3"/>
  <c r="CV273" i="3"/>
  <c r="DP273" i="3"/>
  <c r="CV457" i="3"/>
  <c r="DP457" i="3"/>
  <c r="CV458" i="3"/>
  <c r="DP458" i="3"/>
  <c r="CV341" i="3"/>
  <c r="DP341" i="3"/>
  <c r="CV132" i="3"/>
  <c r="DP132" i="3"/>
  <c r="CV434" i="3"/>
  <c r="DP434" i="3"/>
  <c r="CV224" i="3"/>
  <c r="DP224" i="3"/>
  <c r="CV486" i="3"/>
  <c r="DP486" i="3"/>
  <c r="CV314" i="3"/>
  <c r="DP314" i="3"/>
  <c r="CV298" i="3"/>
  <c r="DP298" i="3"/>
  <c r="CV251" i="3"/>
  <c r="DP251" i="3"/>
  <c r="CV444" i="3"/>
  <c r="DP444" i="3"/>
  <c r="CV171" i="3"/>
  <c r="DP171" i="3"/>
  <c r="CV232" i="3"/>
  <c r="DP232" i="3"/>
  <c r="CV413" i="3"/>
  <c r="DP413" i="3"/>
  <c r="CV522" i="3"/>
  <c r="DP522" i="3"/>
  <c r="CV482" i="3"/>
  <c r="DP482" i="3"/>
  <c r="CV266" i="3"/>
  <c r="DP266" i="3"/>
  <c r="CV426" i="3"/>
  <c r="DP426" i="3"/>
  <c r="CV203" i="3"/>
  <c r="DP203" i="3"/>
  <c r="CV182" i="3"/>
  <c r="DP182" i="3"/>
  <c r="CV123" i="3"/>
  <c r="DP123" i="3"/>
  <c r="CV421" i="3"/>
  <c r="DP421" i="3"/>
  <c r="CV287" i="3"/>
  <c r="DP287" i="3"/>
  <c r="CV306" i="3"/>
  <c r="DP306" i="3"/>
  <c r="CV381" i="3"/>
  <c r="DP381" i="3"/>
  <c r="CV202" i="3"/>
  <c r="DP202" i="3"/>
  <c r="CV274" i="3"/>
  <c r="DP274" i="3"/>
  <c r="CV252" i="3"/>
  <c r="DP252" i="3"/>
  <c r="CV478" i="3"/>
  <c r="DP478" i="3"/>
  <c r="CV463" i="3"/>
  <c r="DP463" i="3"/>
  <c r="CV311" i="3"/>
  <c r="DP311" i="3"/>
  <c r="CV374" i="3"/>
  <c r="DP374" i="3"/>
  <c r="CV152" i="3"/>
  <c r="DP152" i="3"/>
  <c r="CV582" i="3"/>
  <c r="DP582" i="3"/>
  <c r="CV345" i="3"/>
  <c r="DP345" i="3"/>
  <c r="CV280" i="3"/>
  <c r="DP280" i="3"/>
  <c r="CV17" i="3"/>
  <c r="DP17" i="3"/>
  <c r="CV271" i="3"/>
  <c r="DP271" i="3"/>
  <c r="CV517" i="3"/>
  <c r="DP517" i="3"/>
  <c r="CV204" i="3"/>
  <c r="DP204" i="3"/>
  <c r="CV253" i="3"/>
  <c r="DP253" i="3"/>
  <c r="CV333" i="3"/>
  <c r="DP333" i="3"/>
  <c r="CV505" i="3"/>
  <c r="DP505" i="3"/>
  <c r="CV237" i="3"/>
  <c r="DP237" i="3"/>
  <c r="CV164" i="3"/>
  <c r="DP164" i="3"/>
  <c r="CV299" i="3"/>
  <c r="DP299" i="3"/>
  <c r="CV402" i="3"/>
  <c r="DP402" i="3"/>
  <c r="CV308" i="3"/>
  <c r="DP308" i="3"/>
  <c r="CV136" i="3"/>
  <c r="DP136" i="3"/>
  <c r="CV435" i="3"/>
  <c r="DP435" i="3"/>
  <c r="CV344" i="3"/>
  <c r="DP344" i="3"/>
  <c r="CV334" i="3"/>
  <c r="DP334" i="3"/>
  <c r="CV318" i="3"/>
  <c r="DP318" i="3"/>
  <c r="CV61" i="3"/>
  <c r="DP61" i="3"/>
  <c r="CV161" i="3"/>
  <c r="DP161" i="3"/>
  <c r="CV313" i="3"/>
  <c r="DP313" i="3"/>
  <c r="CV396" i="3"/>
  <c r="DP396" i="3"/>
  <c r="CV260" i="3"/>
  <c r="DP260" i="3"/>
  <c r="CV436" i="3"/>
  <c r="DP436" i="3"/>
  <c r="CV27" i="3"/>
  <c r="DP27" i="3"/>
  <c r="CV460" i="3"/>
  <c r="DP460" i="3"/>
  <c r="CV52" i="3"/>
  <c r="DP52" i="3"/>
  <c r="CV62" i="3"/>
  <c r="DP62" i="3"/>
  <c r="CV472" i="3"/>
  <c r="DP472" i="3"/>
  <c r="CV247" i="3"/>
  <c r="DP247" i="3"/>
  <c r="CV343" i="3"/>
  <c r="DP343" i="3"/>
  <c r="CV330" i="3"/>
  <c r="DP330" i="3"/>
  <c r="CV210" i="3"/>
  <c r="DP210" i="3"/>
  <c r="CV127" i="3"/>
  <c r="DP127" i="3"/>
  <c r="CV75" i="3"/>
  <c r="DP75" i="3"/>
  <c r="CV433" i="3"/>
  <c r="DP433" i="3"/>
  <c r="CV400" i="3"/>
  <c r="DP400" i="3"/>
  <c r="CV191" i="3"/>
  <c r="DP191" i="3"/>
  <c r="CV351" i="3"/>
  <c r="DP351" i="3"/>
  <c r="CV13" i="3"/>
  <c r="DP13" i="3"/>
  <c r="CV483" i="3"/>
  <c r="DP483" i="3"/>
  <c r="CV200" i="3"/>
  <c r="DP200" i="3"/>
  <c r="CV130" i="3"/>
  <c r="DP130" i="3"/>
  <c r="CV129" i="3"/>
  <c r="DP129" i="3"/>
  <c r="CV408" i="3"/>
  <c r="DP408" i="3"/>
  <c r="CV173" i="3"/>
  <c r="DP173" i="3"/>
  <c r="CV363" i="3"/>
  <c r="DP363" i="3"/>
  <c r="CV537" i="3"/>
  <c r="DP537" i="3"/>
  <c r="CV385" i="3"/>
  <c r="DP385" i="3"/>
  <c r="CV384" i="3"/>
  <c r="DP384" i="3"/>
  <c r="CV276" i="3"/>
  <c r="DP276" i="3"/>
  <c r="CV255" i="3"/>
  <c r="DP255" i="3"/>
  <c r="CV141" i="3"/>
  <c r="DP141" i="3"/>
  <c r="CV390" i="3"/>
  <c r="DP390" i="3"/>
  <c r="CV404" i="3"/>
  <c r="DP404" i="3"/>
  <c r="CV519" i="3"/>
  <c r="DP519" i="3"/>
  <c r="CV437" i="3"/>
  <c r="DP437" i="3"/>
  <c r="CV189" i="3"/>
  <c r="DP189" i="3"/>
  <c r="CV508" i="3"/>
  <c r="DP508" i="3"/>
  <c r="CV494" i="3"/>
  <c r="DP494" i="3"/>
  <c r="CV283" i="3"/>
  <c r="DP283" i="3"/>
  <c r="CV185" i="3"/>
  <c r="DP185" i="3"/>
  <c r="CV428" i="3"/>
  <c r="DP428" i="3"/>
  <c r="CV386" i="3"/>
  <c r="DP386" i="3"/>
  <c r="CV383" i="3"/>
  <c r="DP383" i="3"/>
  <c r="CV80" i="3"/>
  <c r="DP80" i="3"/>
  <c r="CV429" i="3"/>
  <c r="DP429" i="3"/>
  <c r="CV319" i="3"/>
  <c r="DP319" i="3"/>
  <c r="CV382" i="3"/>
  <c r="DP382" i="3"/>
  <c r="CV454" i="3"/>
  <c r="DP454" i="3"/>
  <c r="CV371" i="3"/>
  <c r="DP371" i="3"/>
  <c r="CV439" i="3"/>
  <c r="DP439" i="3"/>
  <c r="CV485" i="3"/>
  <c r="DP485" i="3"/>
  <c r="CV303" i="3"/>
  <c r="DP303" i="3"/>
  <c r="CV479" i="3"/>
  <c r="DP479" i="3"/>
  <c r="CV213" i="3"/>
  <c r="DP213" i="3"/>
  <c r="CV233" i="3"/>
  <c r="DP233" i="3"/>
  <c r="CV288" i="3"/>
  <c r="DP288" i="3"/>
  <c r="CV331" i="3"/>
  <c r="DP331" i="3"/>
  <c r="CV325" i="3"/>
  <c r="DP325" i="3"/>
  <c r="CV119" i="3"/>
  <c r="DP119" i="3"/>
  <c r="CV26" i="3"/>
  <c r="DP26" i="3"/>
  <c r="CV536" i="3"/>
  <c r="DP536" i="3"/>
  <c r="CV354" i="3"/>
  <c r="DP354" i="3"/>
  <c r="CV184" i="3"/>
  <c r="DP184" i="3"/>
  <c r="CV370" i="3"/>
  <c r="DP370" i="3"/>
  <c r="CV487" i="3"/>
  <c r="DP487" i="3"/>
  <c r="CV431" i="3"/>
  <c r="DP431" i="3"/>
  <c r="CV188" i="3"/>
  <c r="DP188" i="3"/>
  <c r="CV175" i="3"/>
  <c r="DP175" i="3"/>
  <c r="CV337" i="3"/>
  <c r="DP337" i="3"/>
  <c r="CV514" i="3"/>
  <c r="DP514" i="3"/>
  <c r="CV464" i="3"/>
  <c r="DP464" i="3"/>
  <c r="CV465" i="3"/>
  <c r="DP465" i="3"/>
  <c r="CV365" i="3"/>
  <c r="DP365" i="3"/>
  <c r="CV45" i="3"/>
  <c r="DP45" i="3"/>
  <c r="CV473" i="3"/>
  <c r="DP473" i="3"/>
  <c r="CV399" i="3"/>
  <c r="DP399" i="3"/>
  <c r="CV217" i="3"/>
  <c r="DP217" i="3"/>
  <c r="CV245" i="3"/>
  <c r="DP245" i="3"/>
  <c r="CV195" i="3"/>
  <c r="DP195" i="3"/>
  <c r="CV332" i="3"/>
  <c r="DP332" i="3"/>
  <c r="CV301" i="3"/>
  <c r="DP301" i="3"/>
  <c r="CV416" i="3"/>
  <c r="DP416" i="3"/>
  <c r="CV424" i="3"/>
  <c r="DP424" i="3"/>
  <c r="CV38" i="3"/>
  <c r="DP38" i="3"/>
  <c r="CV108" i="3"/>
  <c r="DP108" i="3"/>
  <c r="CV19" i="3"/>
  <c r="DP19" i="3"/>
  <c r="CV242" i="3"/>
  <c r="DP242" i="3"/>
  <c r="CV440" i="3"/>
  <c r="DP440" i="3"/>
  <c r="CV335" i="3"/>
  <c r="DP335" i="3"/>
  <c r="CV219" i="3"/>
  <c r="DP219" i="3"/>
  <c r="CV294" i="3"/>
  <c r="DP294" i="3"/>
  <c r="CV349" i="3"/>
  <c r="DP349" i="3"/>
  <c r="CV462" i="3"/>
  <c r="DP462" i="3"/>
  <c r="CV406" i="3"/>
  <c r="DP406" i="3"/>
  <c r="CV456" i="3"/>
  <c r="DP456" i="3"/>
  <c r="CV215" i="3"/>
  <c r="DP215" i="3"/>
  <c r="CV449" i="3"/>
  <c r="DP449" i="3"/>
  <c r="CV41" i="3"/>
  <c r="DP41" i="3"/>
  <c r="CV230" i="3"/>
  <c r="DP230" i="3"/>
  <c r="CV339" i="3"/>
  <c r="DP339" i="3"/>
  <c r="CV157" i="3"/>
  <c r="DP157" i="3"/>
  <c r="CV441" i="3"/>
  <c r="DP441" i="3"/>
  <c r="CV502" i="3"/>
  <c r="DP502" i="3"/>
  <c r="CV470" i="3"/>
  <c r="DP470" i="3"/>
  <c r="CV329" i="3"/>
  <c r="DP329" i="3"/>
  <c r="CV540" i="3"/>
  <c r="DP540" i="3"/>
  <c r="CV529" i="3"/>
  <c r="DP529" i="3"/>
  <c r="CV73" i="3"/>
  <c r="DP73" i="3"/>
  <c r="CV474" i="3"/>
  <c r="DP474" i="3"/>
  <c r="CV530" i="3"/>
  <c r="DP530" i="3"/>
  <c r="CV84" i="3"/>
  <c r="DP84" i="3"/>
  <c r="CV506" i="3"/>
  <c r="DP506" i="3"/>
  <c r="CV221" i="3"/>
  <c r="DP221" i="3"/>
  <c r="CV181" i="3"/>
  <c r="DP181" i="3"/>
  <c r="CV538" i="3"/>
  <c r="DP538" i="3"/>
  <c r="CV292" i="3"/>
  <c r="DP292" i="3"/>
  <c r="CV285" i="3"/>
  <c r="DP285" i="3"/>
  <c r="CV165" i="3"/>
  <c r="DP165" i="3"/>
  <c r="CV162" i="3"/>
  <c r="DP162" i="3"/>
  <c r="CV231" i="3"/>
  <c r="DP231" i="3"/>
  <c r="CV535" i="3"/>
  <c r="DP535" i="3"/>
  <c r="CV321" i="3"/>
  <c r="DP321" i="3"/>
  <c r="CU69" i="3"/>
  <c r="DP69" i="3"/>
  <c r="CV163" i="3"/>
  <c r="DP163" i="3"/>
  <c r="CV438" i="3"/>
  <c r="DP438" i="3"/>
  <c r="CV521" i="3"/>
  <c r="DP521" i="3"/>
  <c r="CV198" i="3"/>
  <c r="DP198" i="3"/>
  <c r="CV222" i="3"/>
  <c r="DP222" i="3"/>
  <c r="CV327" i="3"/>
  <c r="DP327" i="3"/>
  <c r="CV31" i="3"/>
  <c r="DP31" i="3"/>
  <c r="CV179" i="3"/>
  <c r="DP179" i="3"/>
  <c r="CV490" i="3"/>
  <c r="DP490" i="3"/>
  <c r="CV34" i="3"/>
  <c r="DP34" i="3"/>
  <c r="CV262" i="3"/>
  <c r="DP262" i="3"/>
  <c r="CV326" i="3"/>
  <c r="DP326" i="3"/>
  <c r="CV412" i="3"/>
  <c r="DP412" i="3"/>
  <c r="CV66" i="3"/>
  <c r="DP66" i="3"/>
  <c r="CV256" i="3"/>
  <c r="DP256" i="3"/>
  <c r="CV481" i="3"/>
  <c r="DP481" i="3"/>
  <c r="CV135" i="3"/>
  <c r="DP135" i="3"/>
  <c r="CV367" i="3"/>
  <c r="DP367" i="3"/>
  <c r="CV151" i="3"/>
  <c r="DP151" i="3"/>
  <c r="CV510" i="3"/>
  <c r="DP510" i="3"/>
  <c r="CV282" i="3"/>
  <c r="DP282" i="3"/>
  <c r="CV446" i="3"/>
  <c r="DP446" i="3"/>
  <c r="CV379" i="3"/>
  <c r="DP379" i="3"/>
  <c r="CV359" i="3"/>
  <c r="DP359" i="3"/>
  <c r="CV154" i="3"/>
  <c r="DP154" i="3"/>
  <c r="CV234" i="3"/>
  <c r="DP234" i="3"/>
  <c r="CV190" i="3"/>
  <c r="DP190" i="3"/>
  <c r="CV532" i="3"/>
  <c r="DP532" i="3"/>
  <c r="CV304" i="3"/>
  <c r="DP304" i="3"/>
  <c r="CV89" i="3"/>
  <c r="DP89" i="3"/>
  <c r="CV206" i="3"/>
  <c r="DP206" i="3"/>
  <c r="CV342" i="3"/>
  <c r="DP342" i="3"/>
  <c r="CV415" i="3"/>
  <c r="DP415" i="3"/>
  <c r="CV503" i="3"/>
  <c r="DP503" i="3"/>
  <c r="CV512" i="3"/>
  <c r="DP512" i="3"/>
  <c r="CV430" i="3"/>
  <c r="DP430" i="3"/>
  <c r="CV167" i="3"/>
  <c r="DP167" i="3"/>
  <c r="CV477" i="3"/>
  <c r="DP477" i="3"/>
  <c r="CV533" i="3"/>
  <c r="DP533" i="3"/>
  <c r="CV409" i="3"/>
  <c r="DP409" i="3"/>
  <c r="CV248" i="3"/>
  <c r="DP248" i="3"/>
  <c r="CV387" i="3"/>
  <c r="DP387" i="3"/>
  <c r="CV323" i="3"/>
  <c r="DP323" i="3"/>
  <c r="CV281" i="3"/>
  <c r="DP281" i="3"/>
  <c r="CV511" i="3"/>
  <c r="DP511" i="3"/>
  <c r="CV111" i="3"/>
  <c r="DP111" i="3"/>
  <c r="CV297" i="3"/>
  <c r="DP297" i="3"/>
  <c r="CV445" i="3"/>
  <c r="DP445" i="3"/>
  <c r="CV509" i="3"/>
  <c r="DP509" i="3"/>
  <c r="CV459" i="3"/>
  <c r="DP459" i="3"/>
  <c r="CV243" i="3"/>
  <c r="DP243" i="3"/>
  <c r="CV364" i="3"/>
  <c r="DP364" i="3"/>
  <c r="CV139" i="3"/>
  <c r="DP139" i="3"/>
  <c r="CV451" i="3"/>
  <c r="DP451" i="3"/>
  <c r="CV159" i="3"/>
  <c r="DP159" i="3"/>
  <c r="CV261" i="3"/>
  <c r="DP261" i="3"/>
  <c r="CV348" i="3"/>
  <c r="DP348" i="3"/>
  <c r="CV471" i="3"/>
  <c r="DP471" i="3"/>
  <c r="CV186" i="3"/>
  <c r="DP186" i="3"/>
  <c r="CV254" i="3"/>
  <c r="DP254" i="3"/>
  <c r="CV177" i="3"/>
  <c r="DP177" i="3"/>
  <c r="DA397" i="3"/>
  <c r="DP397" i="3"/>
  <c r="CV59" i="3"/>
  <c r="DP59" i="3"/>
  <c r="CV134" i="3"/>
  <c r="DP134" i="3"/>
  <c r="CV516" i="3"/>
  <c r="DP516" i="3"/>
  <c r="CV418" i="3"/>
  <c r="DP418" i="3"/>
  <c r="CV375" i="3"/>
  <c r="DP375" i="3"/>
  <c r="CV336" i="3"/>
  <c r="DP336" i="3"/>
  <c r="CV265" i="3"/>
  <c r="DP265" i="3"/>
  <c r="CV290" i="3"/>
  <c r="DP290" i="3"/>
  <c r="CV22" i="3"/>
  <c r="DP22" i="3"/>
  <c r="CV187" i="3"/>
  <c r="DP187" i="3"/>
  <c r="CV239" i="3"/>
  <c r="DP239" i="3"/>
  <c r="CV316" i="3"/>
  <c r="DP316" i="3"/>
  <c r="CV425" i="3"/>
  <c r="DP425" i="3"/>
  <c r="CV147" i="3"/>
  <c r="DP147" i="3"/>
  <c r="CV310" i="3"/>
  <c r="DP310" i="3"/>
  <c r="CV427" i="3"/>
  <c r="DP427" i="3"/>
  <c r="CV312" i="3"/>
  <c r="DP312" i="3"/>
  <c r="CV366" i="3"/>
  <c r="DP366" i="3"/>
  <c r="CV150" i="3"/>
  <c r="DP150" i="3"/>
  <c r="CV169" i="3"/>
  <c r="DP169" i="3"/>
  <c r="CV33" i="3"/>
  <c r="DP33" i="3"/>
  <c r="CV82" i="3"/>
  <c r="DP82" i="3"/>
  <c r="CV423" i="3"/>
  <c r="DP423" i="3"/>
  <c r="CV146" i="3"/>
  <c r="DP146" i="3"/>
  <c r="CV498" i="3"/>
  <c r="DP498" i="3"/>
  <c r="CV442" i="3"/>
  <c r="DP442" i="3"/>
  <c r="CV140" i="3"/>
  <c r="DP140" i="3"/>
  <c r="CV320" i="3"/>
  <c r="DP320" i="3"/>
  <c r="CV447" i="3"/>
  <c r="DP447" i="3"/>
  <c r="CV83" i="3"/>
  <c r="DP83" i="3"/>
  <c r="CV112" i="3"/>
  <c r="DP112" i="3"/>
  <c r="CV120" i="3"/>
  <c r="DP120" i="3"/>
  <c r="CV492" i="3"/>
  <c r="DP492" i="3"/>
  <c r="CV176" i="3"/>
  <c r="DP176" i="3"/>
  <c r="CV270" i="3"/>
  <c r="DP270" i="3"/>
  <c r="CV105" i="3"/>
  <c r="DP105" i="3"/>
  <c r="CV377" i="3"/>
  <c r="DP377" i="3"/>
  <c r="CV497" i="3"/>
  <c r="DP497" i="3"/>
  <c r="CV414" i="3"/>
  <c r="DP414" i="3"/>
  <c r="CV420" i="3"/>
  <c r="DP420" i="3"/>
  <c r="CV48" i="3"/>
  <c r="DP48" i="3"/>
  <c r="CV277" i="3"/>
  <c r="DP277" i="3"/>
  <c r="CV346" i="3"/>
  <c r="DP346" i="3"/>
  <c r="CV432" i="3"/>
  <c r="DP432" i="3"/>
  <c r="CV196" i="3"/>
  <c r="DP196" i="3"/>
  <c r="CV87" i="3"/>
  <c r="DP87" i="3"/>
  <c r="CV104" i="3"/>
  <c r="DP104" i="3"/>
  <c r="CV166" i="3"/>
  <c r="DP166" i="3"/>
  <c r="CV10" i="3"/>
  <c r="DP10" i="3"/>
  <c r="CV259" i="3"/>
  <c r="DP259" i="3"/>
  <c r="CV411" i="3"/>
  <c r="DP411" i="3"/>
  <c r="CV499" i="3"/>
  <c r="DP499" i="3"/>
  <c r="CV138" i="3"/>
  <c r="DP138" i="3"/>
  <c r="CV515" i="3"/>
  <c r="DP515" i="3"/>
  <c r="CV76" i="3"/>
  <c r="DP76" i="3"/>
  <c r="CV218" i="3"/>
  <c r="DP218" i="3"/>
  <c r="CV284" i="3"/>
  <c r="DP284" i="3"/>
  <c r="CV475" i="3"/>
  <c r="DP475" i="3"/>
  <c r="CV183" i="3"/>
  <c r="DP183" i="3"/>
  <c r="CV362" i="3"/>
  <c r="DP362" i="3"/>
  <c r="CV523" i="3"/>
  <c r="DP523" i="3"/>
  <c r="CV417" i="3"/>
  <c r="DP417" i="3"/>
  <c r="CV20" i="3"/>
  <c r="DP20" i="3"/>
  <c r="CV180" i="3"/>
  <c r="DP180" i="3"/>
  <c r="CV489" i="3"/>
  <c r="DP489" i="3"/>
  <c r="CV347" i="3"/>
  <c r="DP347" i="3"/>
  <c r="CV201" i="3"/>
  <c r="DP201" i="3"/>
  <c r="CV461" i="3"/>
  <c r="DP461" i="3"/>
  <c r="CV148" i="3"/>
  <c r="DP148" i="3"/>
  <c r="CV407" i="3"/>
  <c r="DP407" i="3"/>
  <c r="CV350" i="3"/>
  <c r="DP350" i="3"/>
  <c r="CV197" i="3"/>
  <c r="DP197" i="3"/>
  <c r="CV158" i="3"/>
  <c r="DP158" i="3"/>
  <c r="CV527" i="3"/>
  <c r="DP527" i="3"/>
  <c r="CV101" i="3"/>
  <c r="DP101" i="3"/>
  <c r="CV193" i="3"/>
  <c r="DP193" i="3"/>
  <c r="CV249" i="3"/>
  <c r="DP249" i="3"/>
  <c r="CV324" i="3"/>
  <c r="DP324" i="3"/>
  <c r="CV443" i="3"/>
  <c r="DP443" i="3"/>
  <c r="CV212" i="3"/>
  <c r="DP212" i="3"/>
  <c r="CV528" i="3"/>
  <c r="DP528" i="3"/>
  <c r="CV455" i="3"/>
  <c r="DP455" i="3"/>
  <c r="CV534" i="3"/>
  <c r="DP534" i="3"/>
  <c r="CV149" i="3"/>
  <c r="DP149" i="3"/>
  <c r="CV419" i="3"/>
  <c r="DP419" i="3"/>
  <c r="CV97" i="3"/>
  <c r="DP97" i="3"/>
  <c r="CV410" i="3"/>
  <c r="DP410" i="3"/>
  <c r="CV488" i="3"/>
  <c r="DP488" i="3"/>
  <c r="CV295" i="3"/>
  <c r="DP295" i="3"/>
  <c r="CV131" i="3"/>
  <c r="DP131" i="3"/>
  <c r="CV525" i="3"/>
  <c r="DP525" i="3"/>
  <c r="CV501" i="3"/>
  <c r="DP501" i="3"/>
  <c r="CV388" i="3"/>
  <c r="DP388" i="3"/>
  <c r="CV258" i="3"/>
  <c r="DP258" i="3"/>
  <c r="CV268" i="3"/>
  <c r="DP268" i="3"/>
  <c r="CV264" i="3"/>
  <c r="DP264" i="3"/>
  <c r="CV539" i="3"/>
  <c r="DP539" i="3"/>
  <c r="CV211" i="3"/>
  <c r="DP211" i="3"/>
  <c r="CV263" i="3"/>
  <c r="DP263" i="3"/>
  <c r="CV257" i="3"/>
  <c r="DP257" i="3"/>
  <c r="CV469" i="3"/>
  <c r="DP469" i="3"/>
  <c r="CV142" i="3"/>
  <c r="DP142" i="3"/>
  <c r="CV369" i="3"/>
  <c r="DP369" i="3"/>
  <c r="CV307" i="3"/>
  <c r="DP307" i="3"/>
  <c r="CV520" i="3"/>
  <c r="DP520" i="3"/>
  <c r="CV279" i="3"/>
  <c r="DP279" i="3"/>
  <c r="CV289" i="3"/>
  <c r="DP289" i="3"/>
  <c r="CV300" i="3"/>
  <c r="DP300" i="3"/>
  <c r="CV278" i="3"/>
  <c r="DP278" i="3"/>
  <c r="CV192" i="3"/>
  <c r="DP192" i="3"/>
  <c r="CV144" i="3"/>
  <c r="DP144" i="3"/>
  <c r="CV452" i="3"/>
  <c r="DP452" i="3"/>
  <c r="CV275" i="3"/>
  <c r="DP275" i="3"/>
  <c r="CV361" i="3"/>
  <c r="DP361" i="3"/>
  <c r="CV235" i="3"/>
  <c r="DP235" i="3"/>
  <c r="CV305" i="3"/>
  <c r="DP305" i="3"/>
  <c r="CV98" i="3"/>
  <c r="DP98" i="3"/>
  <c r="CV291" i="3"/>
  <c r="DP291" i="3"/>
  <c r="CV405" i="3"/>
  <c r="DP405" i="3"/>
  <c r="CV153" i="3"/>
  <c r="DP153" i="3"/>
  <c r="CV238" i="3"/>
  <c r="DP238" i="3"/>
  <c r="CV500" i="3"/>
  <c r="DP500" i="3"/>
  <c r="CV145" i="3"/>
  <c r="DP145" i="3"/>
  <c r="CV507" i="3"/>
  <c r="DP507" i="3"/>
  <c r="CV172" i="3"/>
  <c r="DP172" i="3"/>
  <c r="CV403" i="3"/>
  <c r="DP403" i="3"/>
  <c r="CV170" i="3"/>
  <c r="DP170" i="3"/>
  <c r="CV358" i="3"/>
  <c r="DP358" i="3"/>
  <c r="CV94" i="3"/>
  <c r="DP94" i="3"/>
  <c r="CV338" i="3"/>
  <c r="DP338" i="3"/>
  <c r="CV269" i="3"/>
  <c r="DP269" i="3"/>
  <c r="CV174" i="3"/>
  <c r="DP174" i="3"/>
  <c r="CV357" i="3"/>
  <c r="DP357" i="3"/>
  <c r="CV209" i="3"/>
  <c r="DP209" i="3"/>
  <c r="CV90" i="3"/>
  <c r="DP90" i="3"/>
  <c r="BR552" i="3"/>
  <c r="BP553" i="3"/>
  <c r="BN554" i="3"/>
  <c r="BO554" i="3" s="1"/>
  <c r="BL555" i="3"/>
  <c r="BL567" i="3"/>
  <c r="BJ556" i="3"/>
  <c r="BK556" i="3" s="1"/>
  <c r="BJ568" i="3"/>
  <c r="BK568" i="3" s="1"/>
  <c r="BH569" i="3"/>
  <c r="BH557" i="3"/>
  <c r="BF570" i="3"/>
  <c r="BF571" i="3"/>
  <c r="BG571" i="3" s="1"/>
  <c r="BF558" i="3"/>
  <c r="BG558" i="3" s="1"/>
  <c r="BD559" i="3"/>
  <c r="BE559" i="3" s="1"/>
  <c r="BB561" i="3"/>
  <c r="BB572" i="3"/>
  <c r="BA564" i="3"/>
  <c r="BB564" i="3" s="1"/>
  <c r="BA560" i="3"/>
  <c r="BB560" i="3" s="1"/>
  <c r="AZ573" i="3"/>
  <c r="AZ574" i="3"/>
  <c r="AZ565" i="3"/>
  <c r="AX575" i="3"/>
  <c r="AX562" i="3"/>
  <c r="AX566" i="3"/>
  <c r="CU209" i="3" l="1"/>
  <c r="CU338" i="3"/>
  <c r="CU403" i="3"/>
  <c r="CU500" i="3"/>
  <c r="DA500" i="3" s="1"/>
  <c r="CU291" i="3"/>
  <c r="DA291" i="3" s="1"/>
  <c r="CU361" i="3"/>
  <c r="DA361" i="3" s="1"/>
  <c r="CU192" i="3"/>
  <c r="DA192" i="3" s="1"/>
  <c r="CU279" i="3"/>
  <c r="DA279" i="3" s="1"/>
  <c r="CU142" i="3"/>
  <c r="CU211" i="3"/>
  <c r="CU258" i="3"/>
  <c r="CU131" i="3"/>
  <c r="DA131" i="3" s="1"/>
  <c r="CU97" i="3"/>
  <c r="DA97" i="3" s="1"/>
  <c r="CU455" i="3"/>
  <c r="DA455" i="3" s="1"/>
  <c r="CU324" i="3"/>
  <c r="DA324" i="3" s="1"/>
  <c r="CU527" i="3"/>
  <c r="DA527" i="3" s="1"/>
  <c r="CU407" i="3"/>
  <c r="CU347" i="3"/>
  <c r="DA347" i="3" s="1"/>
  <c r="CU417" i="3"/>
  <c r="CU475" i="3"/>
  <c r="DA475" i="3" s="1"/>
  <c r="CU515" i="3"/>
  <c r="DA515" i="3" s="1"/>
  <c r="CU259" i="3"/>
  <c r="DA259" i="3" s="1"/>
  <c r="CU87" i="3"/>
  <c r="DA87" i="3" s="1"/>
  <c r="CU277" i="3"/>
  <c r="DA277" i="3" s="1"/>
  <c r="CU497" i="3"/>
  <c r="CU176" i="3"/>
  <c r="CU83" i="3"/>
  <c r="CU442" i="3"/>
  <c r="DA442" i="3" s="1"/>
  <c r="CU82" i="3"/>
  <c r="DA82" i="3" s="1"/>
  <c r="CU366" i="3"/>
  <c r="DA366" i="3" s="1"/>
  <c r="CU147" i="3"/>
  <c r="DA147" i="3" s="1"/>
  <c r="CU187" i="3"/>
  <c r="DA187" i="3" s="1"/>
  <c r="CU336" i="3"/>
  <c r="CU134" i="3"/>
  <c r="DA134" i="3" s="1"/>
  <c r="CU254" i="3"/>
  <c r="CU261" i="3"/>
  <c r="DA261" i="3" s="1"/>
  <c r="CU364" i="3"/>
  <c r="DA364" i="3" s="1"/>
  <c r="CU445" i="3"/>
  <c r="DA445" i="3" s="1"/>
  <c r="CU281" i="3"/>
  <c r="DA281" i="3" s="1"/>
  <c r="CU409" i="3"/>
  <c r="DA409" i="3" s="1"/>
  <c r="CU430" i="3"/>
  <c r="CU342" i="3"/>
  <c r="DA342" i="3" s="1"/>
  <c r="CU532" i="3"/>
  <c r="CU359" i="3"/>
  <c r="DA359" i="3" s="1"/>
  <c r="CU510" i="3"/>
  <c r="DA510" i="3" s="1"/>
  <c r="CU481" i="3"/>
  <c r="DA481" i="3" s="1"/>
  <c r="CU326" i="3"/>
  <c r="DA326" i="3" s="1"/>
  <c r="CU179" i="3"/>
  <c r="DA179" i="3" s="1"/>
  <c r="CU198" i="3"/>
  <c r="CU162" i="3"/>
  <c r="DA162" i="3" s="1"/>
  <c r="CU538" i="3"/>
  <c r="CU84" i="3"/>
  <c r="DA84" i="3" s="1"/>
  <c r="CU529" i="3"/>
  <c r="DA529" i="3" s="1"/>
  <c r="CU502" i="3"/>
  <c r="DA502" i="3" s="1"/>
  <c r="CU230" i="3"/>
  <c r="DA230" i="3" s="1"/>
  <c r="CU456" i="3"/>
  <c r="DA456" i="3" s="1"/>
  <c r="CU294" i="3"/>
  <c r="CU242" i="3"/>
  <c r="DA242" i="3" s="1"/>
  <c r="CU424" i="3"/>
  <c r="CU195" i="3"/>
  <c r="DA195" i="3" s="1"/>
  <c r="CU473" i="3"/>
  <c r="DA473" i="3" s="1"/>
  <c r="CU464" i="3"/>
  <c r="DA464" i="3" s="1"/>
  <c r="CU188" i="3"/>
  <c r="DA188" i="3" s="1"/>
  <c r="CU184" i="3"/>
  <c r="DA184" i="3" s="1"/>
  <c r="CU119" i="3"/>
  <c r="CU233" i="3"/>
  <c r="DA233" i="3" s="1"/>
  <c r="CU485" i="3"/>
  <c r="CU382" i="3"/>
  <c r="DA382" i="3" s="1"/>
  <c r="CU383" i="3"/>
  <c r="DA383" i="3" s="1"/>
  <c r="CU283" i="3"/>
  <c r="DA283" i="3" s="1"/>
  <c r="CU437" i="3"/>
  <c r="DA437" i="3" s="1"/>
  <c r="CU141" i="3"/>
  <c r="DA141" i="3" s="1"/>
  <c r="CU385" i="3"/>
  <c r="CU408" i="3"/>
  <c r="DA408" i="3" s="1"/>
  <c r="CU483" i="3"/>
  <c r="CU210" i="3"/>
  <c r="DA210" i="3" s="1"/>
  <c r="CU472" i="3"/>
  <c r="DA472" i="3" s="1"/>
  <c r="CU27" i="3"/>
  <c r="DA27" i="3" s="1"/>
  <c r="CU313" i="3"/>
  <c r="DA313" i="3" s="1"/>
  <c r="CU334" i="3"/>
  <c r="DA334" i="3" s="1"/>
  <c r="CU308" i="3"/>
  <c r="CU237" i="3"/>
  <c r="DA237" i="3" s="1"/>
  <c r="CU204" i="3"/>
  <c r="CU280" i="3"/>
  <c r="DA280" i="3" s="1"/>
  <c r="CU374" i="3"/>
  <c r="DA374" i="3" s="1"/>
  <c r="CU252" i="3"/>
  <c r="DA252" i="3" s="1"/>
  <c r="CU306" i="3"/>
  <c r="DA306" i="3" s="1"/>
  <c r="CU182" i="3"/>
  <c r="DA182" i="3" s="1"/>
  <c r="CU482" i="3"/>
  <c r="CU171" i="3"/>
  <c r="CU314" i="3"/>
  <c r="CU132" i="3"/>
  <c r="DA132" i="3" s="1"/>
  <c r="CU273" i="3"/>
  <c r="DA273" i="3" s="1"/>
  <c r="CU240" i="3"/>
  <c r="DA240" i="3" s="1"/>
  <c r="CU137" i="3"/>
  <c r="DA137" i="3" s="1"/>
  <c r="CU466" i="3"/>
  <c r="DA466" i="3" s="1"/>
  <c r="CU267" i="3"/>
  <c r="CU524" i="3"/>
  <c r="DA524" i="3" s="1"/>
  <c r="CU360" i="3"/>
  <c r="CU293" i="3"/>
  <c r="DA293" i="3" s="1"/>
  <c r="CU91" i="3"/>
  <c r="DA91" i="3" s="1"/>
  <c r="CU496" i="3"/>
  <c r="DA496" i="3" s="1"/>
  <c r="CU241" i="3"/>
  <c r="DA241" i="3" s="1"/>
  <c r="CU229" i="3"/>
  <c r="DA229" i="3" s="1"/>
  <c r="CU286" i="3"/>
  <c r="CU518" i="3"/>
  <c r="DA518" i="3" s="1"/>
  <c r="CU340" i="3"/>
  <c r="DA340" i="3" s="1"/>
  <c r="CU272" i="3"/>
  <c r="DA272" i="3" s="1"/>
  <c r="CU214" i="3"/>
  <c r="DA214" i="3" s="1"/>
  <c r="CU378" i="3"/>
  <c r="DA378" i="3" s="1"/>
  <c r="CU352" i="3"/>
  <c r="DA352" i="3" s="1"/>
  <c r="CU357" i="3"/>
  <c r="DA357" i="3" s="1"/>
  <c r="CU94" i="3"/>
  <c r="CU172" i="3"/>
  <c r="DA172" i="3" s="1"/>
  <c r="CU238" i="3"/>
  <c r="DA238" i="3" s="1"/>
  <c r="CU98" i="3"/>
  <c r="DA98" i="3" s="1"/>
  <c r="CU275" i="3"/>
  <c r="DA275" i="3" s="1"/>
  <c r="CU278" i="3"/>
  <c r="DA278" i="3" s="1"/>
  <c r="CU520" i="3"/>
  <c r="DA520" i="3" s="1"/>
  <c r="CU469" i="3"/>
  <c r="DA469" i="3" s="1"/>
  <c r="CU539" i="3"/>
  <c r="CU388" i="3"/>
  <c r="DA388" i="3" s="1"/>
  <c r="CU295" i="3"/>
  <c r="DA295" i="3" s="1"/>
  <c r="CU419" i="3"/>
  <c r="DA419" i="3" s="1"/>
  <c r="CU528" i="3"/>
  <c r="DA528" i="3" s="1"/>
  <c r="CU249" i="3"/>
  <c r="DA249" i="3" s="1"/>
  <c r="CU158" i="3"/>
  <c r="DA158" i="3" s="1"/>
  <c r="CU148" i="3"/>
  <c r="DA148" i="3" s="1"/>
  <c r="CU489" i="3"/>
  <c r="CU523" i="3"/>
  <c r="CU284" i="3"/>
  <c r="DA284" i="3" s="1"/>
  <c r="CU138" i="3"/>
  <c r="DA138" i="3" s="1"/>
  <c r="CU10" i="3"/>
  <c r="DA10" i="3" s="1"/>
  <c r="CU196" i="3"/>
  <c r="DA196" i="3" s="1"/>
  <c r="CU48" i="3"/>
  <c r="DA48" i="3" s="1"/>
  <c r="CU377" i="3"/>
  <c r="DA377" i="3" s="1"/>
  <c r="CU492" i="3"/>
  <c r="CU447" i="3"/>
  <c r="CU498" i="3"/>
  <c r="DA498" i="3" s="1"/>
  <c r="CU33" i="3"/>
  <c r="DA33" i="3" s="1"/>
  <c r="CU312" i="3"/>
  <c r="DA312" i="3" s="1"/>
  <c r="CU425" i="3"/>
  <c r="DA425" i="3" s="1"/>
  <c r="CU22" i="3"/>
  <c r="DA22" i="3" s="1"/>
  <c r="CU375" i="3"/>
  <c r="DA375" i="3" s="1"/>
  <c r="CU59" i="3"/>
  <c r="CU186" i="3"/>
  <c r="DA186" i="3" s="1"/>
  <c r="CU159" i="3"/>
  <c r="DA159" i="3" s="1"/>
  <c r="CU243" i="3"/>
  <c r="DA243" i="3" s="1"/>
  <c r="CU297" i="3"/>
  <c r="DA297" i="3" s="1"/>
  <c r="CU323" i="3"/>
  <c r="DA323" i="3" s="1"/>
  <c r="CU533" i="3"/>
  <c r="DA533" i="3" s="1"/>
  <c r="CU512" i="3"/>
  <c r="DA512" i="3" s="1"/>
  <c r="CU206" i="3"/>
  <c r="CU190" i="3"/>
  <c r="DA190" i="3" s="1"/>
  <c r="CU379" i="3"/>
  <c r="DA379" i="3" s="1"/>
  <c r="CU151" i="3"/>
  <c r="DA151" i="3" s="1"/>
  <c r="CU256" i="3"/>
  <c r="DA256" i="3" s="1"/>
  <c r="CU262" i="3"/>
  <c r="DA262" i="3" s="1"/>
  <c r="CU31" i="3"/>
  <c r="DA31" i="3" s="1"/>
  <c r="CU521" i="3"/>
  <c r="DA521" i="3" s="1"/>
  <c r="CU321" i="3"/>
  <c r="CU165" i="3"/>
  <c r="DA165" i="3" s="1"/>
  <c r="CU181" i="3"/>
  <c r="DA181" i="3" s="1"/>
  <c r="CU530" i="3"/>
  <c r="DA530" i="3" s="1"/>
  <c r="CU540" i="3"/>
  <c r="DA540" i="3" s="1"/>
  <c r="CU441" i="3"/>
  <c r="DA441" i="3" s="1"/>
  <c r="CU41" i="3"/>
  <c r="DA41" i="3" s="1"/>
  <c r="CU406" i="3"/>
  <c r="DA406" i="3" s="1"/>
  <c r="CU219" i="3"/>
  <c r="CU19" i="3"/>
  <c r="CU416" i="3"/>
  <c r="CU245" i="3"/>
  <c r="DA245" i="3" s="1"/>
  <c r="CU45" i="3"/>
  <c r="DA45" i="3" s="1"/>
  <c r="CU514" i="3"/>
  <c r="DA514" i="3" s="1"/>
  <c r="CU431" i="3"/>
  <c r="DA431" i="3" s="1"/>
  <c r="CU354" i="3"/>
  <c r="DA354" i="3" s="1"/>
  <c r="CU325" i="3"/>
  <c r="CU213" i="3"/>
  <c r="DA213" i="3" s="1"/>
  <c r="CU439" i="3"/>
  <c r="CU319" i="3"/>
  <c r="DA319" i="3" s="1"/>
  <c r="CU386" i="3"/>
  <c r="DA386" i="3" s="1"/>
  <c r="CU494" i="3"/>
  <c r="DA494" i="3" s="1"/>
  <c r="CU519" i="3"/>
  <c r="DA519" i="3" s="1"/>
  <c r="CU255" i="3"/>
  <c r="DA255" i="3" s="1"/>
  <c r="CU537" i="3"/>
  <c r="CU129" i="3"/>
  <c r="DA129" i="3" s="1"/>
  <c r="CU13" i="3"/>
  <c r="DA13" i="3" s="1"/>
  <c r="CU433" i="3"/>
  <c r="DA433" i="3" s="1"/>
  <c r="CU330" i="3"/>
  <c r="DA330" i="3" s="1"/>
  <c r="CU62" i="3"/>
  <c r="DA62" i="3" s="1"/>
  <c r="CU436" i="3"/>
  <c r="DA436" i="3" s="1"/>
  <c r="CU161" i="3"/>
  <c r="DA161" i="3" s="1"/>
  <c r="CU344" i="3"/>
  <c r="CU402" i="3"/>
  <c r="DA402" i="3" s="1"/>
  <c r="CU505" i="3"/>
  <c r="DA505" i="3" s="1"/>
  <c r="CU517" i="3"/>
  <c r="DA517" i="3" s="1"/>
  <c r="CU345" i="3"/>
  <c r="DA345" i="3" s="1"/>
  <c r="CU311" i="3"/>
  <c r="DA311" i="3" s="1"/>
  <c r="CU274" i="3"/>
  <c r="DA274" i="3" s="1"/>
  <c r="CU287" i="3"/>
  <c r="DA287" i="3" s="1"/>
  <c r="CU203" i="3"/>
  <c r="CU522" i="3"/>
  <c r="DA522" i="3" s="1"/>
  <c r="CU444" i="3"/>
  <c r="CU486" i="3"/>
  <c r="DA486" i="3" s="1"/>
  <c r="CU341" i="3"/>
  <c r="DA341" i="3" s="1"/>
  <c r="CU531" i="3"/>
  <c r="DA531" i="3" s="1"/>
  <c r="CU309" i="3"/>
  <c r="DA309" i="3" s="1"/>
  <c r="CU143" i="3"/>
  <c r="DA143" i="3" s="1"/>
  <c r="CU155" i="3"/>
  <c r="CU476" i="3"/>
  <c r="DA476" i="3" s="1"/>
  <c r="CU504" i="3"/>
  <c r="CU156" i="3"/>
  <c r="DA156" i="3" s="1"/>
  <c r="CU422" i="3"/>
  <c r="DA422" i="3" s="1"/>
  <c r="CU368" i="3"/>
  <c r="DA368" i="3" s="1"/>
  <c r="CU372" i="3"/>
  <c r="DA372" i="3" s="1"/>
  <c r="CU168" i="3"/>
  <c r="DA168" i="3" s="1"/>
  <c r="CU315" i="3"/>
  <c r="CU468" i="3"/>
  <c r="DA468" i="3" s="1"/>
  <c r="CU356" i="3"/>
  <c r="DA356" i="3" s="1"/>
  <c r="CU178" i="3"/>
  <c r="DA178" i="3" s="1"/>
  <c r="CU493" i="3"/>
  <c r="DA493" i="3" s="1"/>
  <c r="CU317" i="3"/>
  <c r="DA317" i="3" s="1"/>
  <c r="CU296" i="3"/>
  <c r="DA296" i="3" s="1"/>
  <c r="CU216" i="3"/>
  <c r="DA216" i="3" s="1"/>
  <c r="CU174" i="3"/>
  <c r="CU358" i="3"/>
  <c r="DA358" i="3" s="1"/>
  <c r="CU507" i="3"/>
  <c r="DA507" i="3" s="1"/>
  <c r="CU153" i="3"/>
  <c r="DA153" i="3" s="1"/>
  <c r="CU305" i="3"/>
  <c r="DA305" i="3" s="1"/>
  <c r="CU452" i="3"/>
  <c r="DA452" i="3" s="1"/>
  <c r="CU300" i="3"/>
  <c r="DA300" i="3" s="1"/>
  <c r="CU307" i="3"/>
  <c r="DA307" i="3" s="1"/>
  <c r="CU257" i="3"/>
  <c r="CU264" i="3"/>
  <c r="DA264" i="3" s="1"/>
  <c r="CU501" i="3"/>
  <c r="CU488" i="3"/>
  <c r="DA488" i="3" s="1"/>
  <c r="CU149" i="3"/>
  <c r="DA149" i="3" s="1"/>
  <c r="CU212" i="3"/>
  <c r="DA212" i="3" s="1"/>
  <c r="CU193" i="3"/>
  <c r="DA193" i="3" s="1"/>
  <c r="CU197" i="3"/>
  <c r="DA197" i="3" s="1"/>
  <c r="CU461" i="3"/>
  <c r="CU180" i="3"/>
  <c r="DA180" i="3" s="1"/>
  <c r="CU362" i="3"/>
  <c r="DA362" i="3" s="1"/>
  <c r="CU218" i="3"/>
  <c r="DA218" i="3" s="1"/>
  <c r="CU499" i="3"/>
  <c r="DA499" i="3" s="1"/>
  <c r="CU166" i="3"/>
  <c r="DA166" i="3" s="1"/>
  <c r="CU432" i="3"/>
  <c r="DA432" i="3" s="1"/>
  <c r="CU420" i="3"/>
  <c r="DA420" i="3" s="1"/>
  <c r="CU105" i="3"/>
  <c r="CU120" i="3"/>
  <c r="DA120" i="3" s="1"/>
  <c r="CU320" i="3"/>
  <c r="DA320" i="3" s="1"/>
  <c r="CU146" i="3"/>
  <c r="DA146" i="3" s="1"/>
  <c r="CU169" i="3"/>
  <c r="DA169" i="3" s="1"/>
  <c r="CU427" i="3"/>
  <c r="DA427" i="3" s="1"/>
  <c r="CU316" i="3"/>
  <c r="DA316" i="3" s="1"/>
  <c r="CU290" i="3"/>
  <c r="DA290" i="3" s="1"/>
  <c r="CU418" i="3"/>
  <c r="CU471" i="3"/>
  <c r="DA471" i="3" s="1"/>
  <c r="CU451" i="3"/>
  <c r="DA451" i="3" s="1"/>
  <c r="CU459" i="3"/>
  <c r="DA459" i="3" s="1"/>
  <c r="CU111" i="3"/>
  <c r="DA111" i="3" s="1"/>
  <c r="CU387" i="3"/>
  <c r="DA387" i="3" s="1"/>
  <c r="CU477" i="3"/>
  <c r="DA477" i="3" s="1"/>
  <c r="CU503" i="3"/>
  <c r="DA503" i="3" s="1"/>
  <c r="CU89" i="3"/>
  <c r="CU234" i="3"/>
  <c r="DA234" i="3" s="1"/>
  <c r="CU446" i="3"/>
  <c r="DA446" i="3" s="1"/>
  <c r="CU367" i="3"/>
  <c r="DA367" i="3" s="1"/>
  <c r="CU66" i="3"/>
  <c r="DA66" i="3" s="1"/>
  <c r="CU34" i="3"/>
  <c r="DA34" i="3" s="1"/>
  <c r="CU327" i="3"/>
  <c r="DA327" i="3" s="1"/>
  <c r="CU438" i="3"/>
  <c r="DA438" i="3" s="1"/>
  <c r="CU535" i="3"/>
  <c r="CU285" i="3"/>
  <c r="DA285" i="3" s="1"/>
  <c r="CU221" i="3"/>
  <c r="DA221" i="3" s="1"/>
  <c r="CU474" i="3"/>
  <c r="DA474" i="3" s="1"/>
  <c r="CU329" i="3"/>
  <c r="DA329" i="3" s="1"/>
  <c r="CU157" i="3"/>
  <c r="DA157" i="3" s="1"/>
  <c r="CU449" i="3"/>
  <c r="DA449" i="3" s="1"/>
  <c r="CU462" i="3"/>
  <c r="DA462" i="3" s="1"/>
  <c r="CU335" i="3"/>
  <c r="CU108" i="3"/>
  <c r="DA108" i="3" s="1"/>
  <c r="CU301" i="3"/>
  <c r="DA301" i="3" s="1"/>
  <c r="CU217" i="3"/>
  <c r="DA217" i="3" s="1"/>
  <c r="CU365" i="3"/>
  <c r="DA365" i="3" s="1"/>
  <c r="CU337" i="3"/>
  <c r="DA337" i="3" s="1"/>
  <c r="CU487" i="3"/>
  <c r="DA487" i="3" s="1"/>
  <c r="CU536" i="3"/>
  <c r="DA536" i="3" s="1"/>
  <c r="CU331" i="3"/>
  <c r="CU479" i="3"/>
  <c r="DA479" i="3" s="1"/>
  <c r="CU371" i="3"/>
  <c r="CU429" i="3"/>
  <c r="DA429" i="3" s="1"/>
  <c r="CU428" i="3"/>
  <c r="DA428" i="3" s="1"/>
  <c r="CU508" i="3"/>
  <c r="DA508" i="3" s="1"/>
  <c r="CU404" i="3"/>
  <c r="DA404" i="3" s="1"/>
  <c r="CU276" i="3"/>
  <c r="DA276" i="3" s="1"/>
  <c r="CU363" i="3"/>
  <c r="CU130" i="3"/>
  <c r="DA130" i="3" s="1"/>
  <c r="CU351" i="3"/>
  <c r="CU75" i="3"/>
  <c r="DA75" i="3" s="1"/>
  <c r="CU343" i="3"/>
  <c r="DA343" i="3" s="1"/>
  <c r="CU52" i="3"/>
  <c r="DA52" i="3" s="1"/>
  <c r="CU260" i="3"/>
  <c r="DA260" i="3" s="1"/>
  <c r="CU61" i="3"/>
  <c r="DA61" i="3" s="1"/>
  <c r="CU435" i="3"/>
  <c r="CU299" i="3"/>
  <c r="DA299" i="3" s="1"/>
  <c r="CU333" i="3"/>
  <c r="DA333" i="3" s="1"/>
  <c r="CU271" i="3"/>
  <c r="DA271" i="3" s="1"/>
  <c r="CU582" i="3"/>
  <c r="DA582" i="3" s="1"/>
  <c r="CU463" i="3"/>
  <c r="DA463" i="3" s="1"/>
  <c r="CU202" i="3"/>
  <c r="DA202" i="3" s="1"/>
  <c r="CU421" i="3"/>
  <c r="DA421" i="3" s="1"/>
  <c r="CU426" i="3"/>
  <c r="CU413" i="3"/>
  <c r="DA413" i="3" s="1"/>
  <c r="CU251" i="3"/>
  <c r="DA251" i="3" s="1"/>
  <c r="CU224" i="3"/>
  <c r="DA224" i="3" s="1"/>
  <c r="CU458" i="3"/>
  <c r="DA458" i="3" s="1"/>
  <c r="CU55" i="3"/>
  <c r="DA55" i="3" s="1"/>
  <c r="CU246" i="3"/>
  <c r="DA246" i="3" s="1"/>
  <c r="CU373" i="3"/>
  <c r="DA373" i="3" s="1"/>
  <c r="CU480" i="3"/>
  <c r="CU484" i="3"/>
  <c r="DA484" i="3" s="1"/>
  <c r="CU513" i="3"/>
  <c r="DA513" i="3" s="1"/>
  <c r="CU207" i="3"/>
  <c r="DA207" i="3" s="1"/>
  <c r="CU453" i="3"/>
  <c r="DA453" i="3" s="1"/>
  <c r="CU467" i="3"/>
  <c r="DA467" i="3" s="1"/>
  <c r="CU448" i="3"/>
  <c r="DA448" i="3" s="1"/>
  <c r="CU380" i="3"/>
  <c r="DA380" i="3" s="1"/>
  <c r="CU133" i="3"/>
  <c r="CU244" i="3"/>
  <c r="DA244" i="3" s="1"/>
  <c r="CU491" i="3"/>
  <c r="DA491" i="3" s="1"/>
  <c r="CU401" i="3"/>
  <c r="DA401" i="3" s="1"/>
  <c r="CU228" i="3"/>
  <c r="DA228" i="3" s="1"/>
  <c r="CU328" i="3"/>
  <c r="DA328" i="3" s="1"/>
  <c r="CU160" i="3"/>
  <c r="DA160" i="3" s="1"/>
  <c r="CU42" i="3"/>
  <c r="DA42" i="3" s="1"/>
  <c r="CU90" i="3"/>
  <c r="CU269" i="3"/>
  <c r="DA269" i="3" s="1"/>
  <c r="CU170" i="3"/>
  <c r="DA170" i="3" s="1"/>
  <c r="CU145" i="3"/>
  <c r="DA145" i="3" s="1"/>
  <c r="CU405" i="3"/>
  <c r="DA405" i="3" s="1"/>
  <c r="CU235" i="3"/>
  <c r="DA235" i="3" s="1"/>
  <c r="CU144" i="3"/>
  <c r="DA144" i="3" s="1"/>
  <c r="CU289" i="3"/>
  <c r="DA289" i="3" s="1"/>
  <c r="CU369" i="3"/>
  <c r="CU263" i="3"/>
  <c r="DA263" i="3" s="1"/>
  <c r="CU268" i="3"/>
  <c r="DA268" i="3" s="1"/>
  <c r="CU525" i="3"/>
  <c r="DA525" i="3" s="1"/>
  <c r="CU410" i="3"/>
  <c r="DA410" i="3" s="1"/>
  <c r="CU534" i="3"/>
  <c r="DA534" i="3" s="1"/>
  <c r="CU443" i="3"/>
  <c r="DA443" i="3" s="1"/>
  <c r="CU101" i="3"/>
  <c r="DA101" i="3" s="1"/>
  <c r="CU350" i="3"/>
  <c r="DA350" i="3" s="1"/>
  <c r="CU201" i="3"/>
  <c r="DA201" i="3" s="1"/>
  <c r="CU20" i="3"/>
  <c r="DA20" i="3" s="1"/>
  <c r="CU183" i="3"/>
  <c r="DA183" i="3" s="1"/>
  <c r="CU76" i="3"/>
  <c r="DA76" i="3" s="1"/>
  <c r="CU411" i="3"/>
  <c r="DA411" i="3" s="1"/>
  <c r="CU104" i="3"/>
  <c r="DA104" i="3" s="1"/>
  <c r="CU346" i="3"/>
  <c r="DA346" i="3" s="1"/>
  <c r="CU414" i="3"/>
  <c r="DA414" i="3" s="1"/>
  <c r="CU270" i="3"/>
  <c r="DA270" i="3" s="1"/>
  <c r="CU112" i="3"/>
  <c r="DA112" i="3" s="1"/>
  <c r="CU140" i="3"/>
  <c r="DA140" i="3" s="1"/>
  <c r="CU423" i="3"/>
  <c r="DA423" i="3" s="1"/>
  <c r="CU150" i="3"/>
  <c r="DA150" i="3" s="1"/>
  <c r="CU310" i="3"/>
  <c r="DA310" i="3" s="1"/>
  <c r="CU239" i="3"/>
  <c r="DA239" i="3" s="1"/>
  <c r="CU265" i="3"/>
  <c r="DA265" i="3" s="1"/>
  <c r="CU516" i="3"/>
  <c r="DA516" i="3" s="1"/>
  <c r="CU177" i="3"/>
  <c r="DA177" i="3" s="1"/>
  <c r="CU348" i="3"/>
  <c r="DA348" i="3" s="1"/>
  <c r="CU139" i="3"/>
  <c r="DA139" i="3" s="1"/>
  <c r="CU509" i="3"/>
  <c r="DA509" i="3" s="1"/>
  <c r="CU511" i="3"/>
  <c r="DA511" i="3" s="1"/>
  <c r="CU248" i="3"/>
  <c r="DA248" i="3" s="1"/>
  <c r="CU167" i="3"/>
  <c r="CU415" i="3"/>
  <c r="DA415" i="3" s="1"/>
  <c r="CU304" i="3"/>
  <c r="DA304" i="3" s="1"/>
  <c r="CU154" i="3"/>
  <c r="DA154" i="3" s="1"/>
  <c r="CU282" i="3"/>
  <c r="DA282" i="3" s="1"/>
  <c r="CU135" i="3"/>
  <c r="DA135" i="3" s="1"/>
  <c r="CU412" i="3"/>
  <c r="DA412" i="3" s="1"/>
  <c r="CU490" i="3"/>
  <c r="DA490" i="3" s="1"/>
  <c r="CU222" i="3"/>
  <c r="DA222" i="3" s="1"/>
  <c r="CU231" i="3"/>
  <c r="DA231" i="3" s="1"/>
  <c r="CU292" i="3"/>
  <c r="DA292" i="3" s="1"/>
  <c r="CU506" i="3"/>
  <c r="DA506" i="3" s="1"/>
  <c r="CU73" i="3"/>
  <c r="DA73" i="3" s="1"/>
  <c r="CU470" i="3"/>
  <c r="DA470" i="3" s="1"/>
  <c r="CU339" i="3"/>
  <c r="DA339" i="3" s="1"/>
  <c r="CU215" i="3"/>
  <c r="DA215" i="3" s="1"/>
  <c r="CU349" i="3"/>
  <c r="DA349" i="3" s="1"/>
  <c r="CU440" i="3"/>
  <c r="DA440" i="3" s="1"/>
  <c r="CU38" i="3"/>
  <c r="DA38" i="3" s="1"/>
  <c r="CU332" i="3"/>
  <c r="DA332" i="3" s="1"/>
  <c r="CU399" i="3"/>
  <c r="DA399" i="3" s="1"/>
  <c r="CU465" i="3"/>
  <c r="DA465" i="3" s="1"/>
  <c r="CU175" i="3"/>
  <c r="DA175" i="3" s="1"/>
  <c r="CU370" i="3"/>
  <c r="DA370" i="3" s="1"/>
  <c r="CU26" i="3"/>
  <c r="DA26" i="3" s="1"/>
  <c r="CU288" i="3"/>
  <c r="DA288" i="3" s="1"/>
  <c r="CU303" i="3"/>
  <c r="DA303" i="3" s="1"/>
  <c r="CU454" i="3"/>
  <c r="DA454" i="3" s="1"/>
  <c r="CU80" i="3"/>
  <c r="DA80" i="3" s="1"/>
  <c r="CU185" i="3"/>
  <c r="DA185" i="3" s="1"/>
  <c r="CU189" i="3"/>
  <c r="DA189" i="3" s="1"/>
  <c r="CU390" i="3"/>
  <c r="DA390" i="3" s="1"/>
  <c r="CU384" i="3"/>
  <c r="CU173" i="3"/>
  <c r="DA173" i="3" s="1"/>
  <c r="CU200" i="3"/>
  <c r="DA200" i="3" s="1"/>
  <c r="CU191" i="3"/>
  <c r="DA191" i="3" s="1"/>
  <c r="CU127" i="3"/>
  <c r="DA127" i="3" s="1"/>
  <c r="CU247" i="3"/>
  <c r="DA247" i="3" s="1"/>
  <c r="CU460" i="3"/>
  <c r="DA460" i="3" s="1"/>
  <c r="CU396" i="3"/>
  <c r="DA396" i="3" s="1"/>
  <c r="CU318" i="3"/>
  <c r="DA318" i="3" s="1"/>
  <c r="CU136" i="3"/>
  <c r="DA136" i="3" s="1"/>
  <c r="CU164" i="3"/>
  <c r="DA164" i="3" s="1"/>
  <c r="CU253" i="3"/>
  <c r="DA253" i="3" s="1"/>
  <c r="CU17" i="3"/>
  <c r="DA17" i="3" s="1"/>
  <c r="CU152" i="3"/>
  <c r="DA152" i="3" s="1"/>
  <c r="CU478" i="3"/>
  <c r="DA478" i="3" s="1"/>
  <c r="CU381" i="3"/>
  <c r="DA381" i="3" s="1"/>
  <c r="CU123" i="3"/>
  <c r="DA123" i="3" s="1"/>
  <c r="CU266" i="3"/>
  <c r="DA266" i="3" s="1"/>
  <c r="CU232" i="3"/>
  <c r="DA232" i="3" s="1"/>
  <c r="CU298" i="3"/>
  <c r="DA298" i="3" s="1"/>
  <c r="CU434" i="3"/>
  <c r="DA434" i="3" s="1"/>
  <c r="CU457" i="3"/>
  <c r="DA457" i="3" s="1"/>
  <c r="CU355" i="3"/>
  <c r="DA355" i="3" s="1"/>
  <c r="CU194" i="3"/>
  <c r="DA194" i="3" s="1"/>
  <c r="CU24" i="3"/>
  <c r="DA24" i="3" s="1"/>
  <c r="CU208" i="3"/>
  <c r="DA208" i="3" s="1"/>
  <c r="CU526" i="3"/>
  <c r="DA526" i="3" s="1"/>
  <c r="CU223" i="3"/>
  <c r="DA223" i="3" s="1"/>
  <c r="CU495" i="3"/>
  <c r="DA495" i="3" s="1"/>
  <c r="CU205" i="3"/>
  <c r="DA205" i="3" s="1"/>
  <c r="CU103" i="3"/>
  <c r="DA103" i="3" s="1"/>
  <c r="CU398" i="3"/>
  <c r="DA398" i="3" s="1"/>
  <c r="CU353" i="3"/>
  <c r="DA353" i="3" s="1"/>
  <c r="CU236" i="3"/>
  <c r="DA236" i="3" s="1"/>
  <c r="CU450" i="3"/>
  <c r="DA450" i="3" s="1"/>
  <c r="CU376" i="3"/>
  <c r="DA376" i="3" s="1"/>
  <c r="CU250" i="3"/>
  <c r="DA250" i="3" s="1"/>
  <c r="CU391" i="3"/>
  <c r="DA391" i="3" s="1"/>
  <c r="CU302" i="3"/>
  <c r="DA302" i="3" s="1"/>
  <c r="CU322" i="3"/>
  <c r="DA322" i="3" s="1"/>
  <c r="CU199" i="3"/>
  <c r="DA199" i="3" s="1"/>
  <c r="CU56" i="3"/>
  <c r="DA56" i="3" s="1"/>
  <c r="DC397" i="3"/>
  <c r="DO397" i="3" s="1"/>
  <c r="CU400" i="3"/>
  <c r="DA400" i="3" s="1"/>
  <c r="CP541" i="3"/>
  <c r="CU163" i="3"/>
  <c r="DA163" i="3" s="1"/>
  <c r="DA174" i="3"/>
  <c r="DA369" i="3"/>
  <c r="DA211" i="3"/>
  <c r="DA497" i="3"/>
  <c r="DA176" i="3"/>
  <c r="DA83" i="3"/>
  <c r="DA336" i="3"/>
  <c r="DA167" i="3"/>
  <c r="DA384" i="3"/>
  <c r="DA403" i="3"/>
  <c r="DA142" i="3"/>
  <c r="DA258" i="3"/>
  <c r="DA407" i="3"/>
  <c r="DA417" i="3"/>
  <c r="DA94" i="3"/>
  <c r="DA539" i="3"/>
  <c r="DA489" i="3"/>
  <c r="DA492" i="3"/>
  <c r="DA447" i="3"/>
  <c r="DA254" i="3"/>
  <c r="DA430" i="3"/>
  <c r="DA532" i="3"/>
  <c r="DA198" i="3"/>
  <c r="DA69" i="3"/>
  <c r="DA538" i="3"/>
  <c r="DA294" i="3"/>
  <c r="DA424" i="3"/>
  <c r="DA119" i="3"/>
  <c r="DA485" i="3"/>
  <c r="DA385" i="3"/>
  <c r="DA483" i="3"/>
  <c r="DA308" i="3"/>
  <c r="DA204" i="3"/>
  <c r="DA482" i="3"/>
  <c r="DA171" i="3"/>
  <c r="DA314" i="3"/>
  <c r="DA267" i="3"/>
  <c r="DA220" i="3"/>
  <c r="DA360" i="3"/>
  <c r="DA338" i="3"/>
  <c r="DA523" i="3"/>
  <c r="DA286" i="3"/>
  <c r="DA501" i="3"/>
  <c r="DA461" i="3"/>
  <c r="DA105" i="3"/>
  <c r="DA418" i="3"/>
  <c r="DA59" i="3"/>
  <c r="DA206" i="3"/>
  <c r="DA321" i="3"/>
  <c r="DA219" i="3"/>
  <c r="DA19" i="3"/>
  <c r="DA416" i="3"/>
  <c r="DA325" i="3"/>
  <c r="DA439" i="3"/>
  <c r="DA537" i="3"/>
  <c r="DA344" i="3"/>
  <c r="DA203" i="3"/>
  <c r="DA444" i="3"/>
  <c r="DA155" i="3"/>
  <c r="DA504" i="3"/>
  <c r="DA315" i="3"/>
  <c r="DA209" i="3"/>
  <c r="DA257" i="3"/>
  <c r="DA90" i="3"/>
  <c r="DA89" i="3"/>
  <c r="DA535" i="3"/>
  <c r="DA335" i="3"/>
  <c r="DA331" i="3"/>
  <c r="DA371" i="3"/>
  <c r="DA363" i="3"/>
  <c r="DA351" i="3"/>
  <c r="DA435" i="3"/>
  <c r="DA426" i="3"/>
  <c r="DA480" i="3"/>
  <c r="DA133" i="3"/>
  <c r="AJ541" i="25"/>
  <c r="AK541" i="25" s="1"/>
  <c r="CN543" i="3"/>
  <c r="CO543" i="3" s="1"/>
  <c r="CN542" i="3"/>
  <c r="CO542" i="3" s="1"/>
  <c r="CJ544" i="3"/>
  <c r="CH545" i="3"/>
  <c r="CI545" i="3" s="1"/>
  <c r="CH549" i="3"/>
  <c r="CE546" i="3"/>
  <c r="CF546" i="3" s="1"/>
  <c r="CG546" i="3" s="1"/>
  <c r="CD547" i="3"/>
  <c r="CB548" i="3"/>
  <c r="CD548" i="3" s="1"/>
  <c r="BX550" i="3"/>
  <c r="BV551" i="3"/>
  <c r="BT552" i="3"/>
  <c r="BU552" i="3" s="1"/>
  <c r="BR553" i="3"/>
  <c r="BS553" i="3" s="1"/>
  <c r="BP554" i="3"/>
  <c r="BN567" i="3"/>
  <c r="BN555" i="3"/>
  <c r="BO555" i="3" s="1"/>
  <c r="BL568" i="3"/>
  <c r="BL556" i="3"/>
  <c r="BJ557" i="3"/>
  <c r="BK557" i="3" s="1"/>
  <c r="BJ569" i="3"/>
  <c r="BK569" i="3" s="1"/>
  <c r="BH571" i="3"/>
  <c r="BH570" i="3"/>
  <c r="BH558" i="3"/>
  <c r="BF559" i="3"/>
  <c r="BG559" i="3" s="1"/>
  <c r="BD564" i="3"/>
  <c r="BE564" i="3" s="1"/>
  <c r="BD572" i="3"/>
  <c r="BD561" i="3"/>
  <c r="BE561" i="3" s="1"/>
  <c r="BD560" i="3"/>
  <c r="BB573" i="3"/>
  <c r="BB565" i="3"/>
  <c r="BA574" i="3"/>
  <c r="BB574" i="3" s="1"/>
  <c r="AZ566" i="3"/>
  <c r="AZ562" i="3"/>
  <c r="AZ575" i="3"/>
  <c r="AX563" i="3"/>
  <c r="AL578" i="25"/>
  <c r="AL579" i="25"/>
  <c r="AL118" i="25"/>
  <c r="AL116" i="25"/>
  <c r="AL580" i="25"/>
  <c r="AL120" i="25"/>
  <c r="AL582" i="25"/>
  <c r="AL119" i="25"/>
  <c r="AL114" i="25"/>
  <c r="AL115" i="25"/>
  <c r="AL117" i="25"/>
  <c r="AL581" i="25"/>
  <c r="AK60" i="25"/>
  <c r="AK203" i="25"/>
  <c r="AK71" i="25"/>
  <c r="AK74" i="25"/>
  <c r="AK144" i="25"/>
  <c r="AK35" i="25"/>
  <c r="AK65" i="25"/>
  <c r="AK430" i="25"/>
  <c r="AK213" i="25"/>
  <c r="AK279" i="25"/>
  <c r="AK91" i="25"/>
  <c r="AK223" i="25"/>
  <c r="AK345" i="25"/>
  <c r="AK395" i="25"/>
  <c r="AK47" i="25"/>
  <c r="AK116" i="25"/>
  <c r="AK478" i="25"/>
  <c r="AK446" i="25"/>
  <c r="AK89" i="25"/>
  <c r="AK42" i="25"/>
  <c r="AK167" i="25"/>
  <c r="AK175" i="25"/>
  <c r="AK271" i="25"/>
  <c r="AK38" i="25"/>
  <c r="AK80" i="25"/>
  <c r="AK208" i="25"/>
  <c r="AK398" i="25"/>
  <c r="AK496" i="25"/>
  <c r="AK113" i="25"/>
  <c r="AK360" i="25"/>
  <c r="AK170" i="25"/>
  <c r="AK505" i="25"/>
  <c r="AK274" i="25"/>
  <c r="AK100" i="25"/>
  <c r="AK354" i="25"/>
  <c r="AK200" i="25"/>
  <c r="AK288" i="25"/>
  <c r="AK97" i="25"/>
  <c r="AK533" i="25"/>
  <c r="AK536" i="25"/>
  <c r="AK54" i="25"/>
  <c r="AK439" i="25"/>
  <c r="AK257" i="25"/>
  <c r="AK30" i="25"/>
  <c r="AK99" i="25"/>
  <c r="AK470" i="25"/>
  <c r="AK392" i="25"/>
  <c r="AK473" i="25"/>
  <c r="AK59" i="25"/>
  <c r="AK343" i="25"/>
  <c r="AK425" i="25"/>
  <c r="AK338" i="25"/>
  <c r="AK117" i="25"/>
  <c r="AK87" i="25"/>
  <c r="AK295" i="25"/>
  <c r="AK537" i="25"/>
  <c r="AK479" i="25"/>
  <c r="AK290" i="25"/>
  <c r="AK157" i="25"/>
  <c r="AK433" i="25"/>
  <c r="AK455" i="25"/>
  <c r="AK143" i="25"/>
  <c r="AK70" i="25"/>
  <c r="AK105" i="25"/>
  <c r="AK266" i="25"/>
  <c r="AK150" i="25"/>
  <c r="AK55" i="25"/>
  <c r="AK77" i="25"/>
  <c r="AK351" i="25"/>
  <c r="AK459" i="25"/>
  <c r="AK76" i="25"/>
  <c r="AK297" i="25"/>
  <c r="AK440" i="25"/>
  <c r="AK229" i="25"/>
  <c r="AK36" i="25"/>
  <c r="AK469" i="25"/>
  <c r="AK311" i="25"/>
  <c r="AK497" i="25"/>
  <c r="AK454" i="25"/>
  <c r="AK369" i="25"/>
  <c r="AK281" i="25"/>
  <c r="AK463" i="25"/>
  <c r="AK528" i="25"/>
  <c r="AK107" i="25"/>
  <c r="AK108" i="25"/>
  <c r="AK68" i="25"/>
  <c r="AK438" i="25"/>
  <c r="AK391" i="25"/>
  <c r="AK112" i="25"/>
  <c r="AK63" i="25"/>
  <c r="AK25" i="25"/>
  <c r="AK29" i="25"/>
  <c r="AK96" i="25"/>
  <c r="AK181" i="25"/>
  <c r="AK385" i="25"/>
  <c r="AK45" i="25"/>
  <c r="AK287" i="25"/>
  <c r="AK189" i="25"/>
  <c r="AK523" i="25"/>
  <c r="AK327" i="25"/>
  <c r="AK27" i="25"/>
  <c r="AK214" i="25"/>
  <c r="AK118" i="25"/>
  <c r="AK361" i="25"/>
  <c r="AK518" i="25"/>
  <c r="AK226" i="25"/>
  <c r="AK199" i="25"/>
  <c r="AK282" i="25"/>
  <c r="AK328" i="25"/>
  <c r="AK119" i="25"/>
  <c r="AK40" i="25"/>
  <c r="AK84" i="25"/>
  <c r="AK104" i="25"/>
  <c r="AK28" i="25"/>
  <c r="AK422" i="25"/>
  <c r="AK109" i="25"/>
  <c r="AK346" i="25"/>
  <c r="AK503" i="25"/>
  <c r="AK151" i="25"/>
  <c r="AK98" i="25"/>
  <c r="AK32" i="25"/>
  <c r="AK424" i="25"/>
  <c r="AK393" i="25"/>
  <c r="AK90" i="25"/>
  <c r="AK44" i="25"/>
  <c r="AK101" i="25"/>
  <c r="AK34" i="25"/>
  <c r="AK37" i="25"/>
  <c r="AK305" i="25"/>
  <c r="AK52" i="25"/>
  <c r="AK519" i="25"/>
  <c r="AK176" i="25"/>
  <c r="AK166" i="25"/>
  <c r="AK190" i="25"/>
  <c r="AK431" i="25"/>
  <c r="AK344" i="25"/>
  <c r="AK174" i="25"/>
  <c r="AK320" i="25"/>
  <c r="AK159" i="25"/>
  <c r="AK31" i="25"/>
  <c r="AL336" i="25"/>
  <c r="AK280" i="25"/>
  <c r="AL53" i="25"/>
  <c r="AL140" i="25"/>
  <c r="AL129" i="25"/>
  <c r="AL199" i="25"/>
  <c r="AK75" i="25"/>
  <c r="AL91" i="25"/>
  <c r="AL185" i="25"/>
  <c r="AL90" i="25"/>
  <c r="AL196" i="25"/>
  <c r="AL145" i="25"/>
  <c r="AK192" i="25"/>
  <c r="AL87" i="25"/>
  <c r="AL81" i="25"/>
  <c r="AL102" i="25"/>
  <c r="AL158" i="25"/>
  <c r="AK48" i="25"/>
  <c r="AL97" i="25"/>
  <c r="AL201" i="25"/>
  <c r="AL195" i="25"/>
  <c r="AK375" i="25"/>
  <c r="AL217" i="25"/>
  <c r="AL193" i="25"/>
  <c r="AK103" i="25"/>
  <c r="AL76" i="25"/>
  <c r="AL69" i="25"/>
  <c r="AL151" i="25"/>
  <c r="AL189" i="25"/>
  <c r="AL150" i="25"/>
  <c r="AL202" i="25"/>
  <c r="AL64" i="25"/>
  <c r="AK72" i="25"/>
  <c r="AL99" i="25"/>
  <c r="AL160" i="25"/>
  <c r="AL135" i="25"/>
  <c r="AL222" i="25"/>
  <c r="AL149" i="25"/>
  <c r="AL126" i="25"/>
  <c r="AL130" i="25"/>
  <c r="AK384" i="25"/>
  <c r="AK535" i="25"/>
  <c r="AL47" i="25"/>
  <c r="AL40" i="25"/>
  <c r="AL212" i="25"/>
  <c r="AL148" i="25"/>
  <c r="AL227" i="25"/>
  <c r="AL128" i="25"/>
  <c r="AL42" i="25"/>
  <c r="AK165" i="25"/>
  <c r="AK41" i="25"/>
  <c r="AK61" i="25"/>
  <c r="AK312" i="25"/>
  <c r="AL94" i="25"/>
  <c r="AL72" i="25"/>
  <c r="AK464" i="25"/>
  <c r="AL169" i="25"/>
  <c r="AL100" i="25"/>
  <c r="AL232" i="25"/>
  <c r="AL78" i="25"/>
  <c r="AK296" i="25"/>
  <c r="AL180" i="25"/>
  <c r="AL188" i="25"/>
  <c r="AK57" i="25"/>
  <c r="AK265" i="25"/>
  <c r="AL154" i="25"/>
  <c r="AL124" i="25"/>
  <c r="AK66" i="25"/>
  <c r="AL89" i="25"/>
  <c r="AK33" i="25"/>
  <c r="AL57" i="25"/>
  <c r="AK489" i="25"/>
  <c r="AK95" i="25"/>
  <c r="AL37" i="25"/>
  <c r="AL176" i="25"/>
  <c r="AL170" i="25"/>
  <c r="AL30" i="25"/>
  <c r="AL28" i="25"/>
  <c r="AL39" i="25"/>
  <c r="AK376" i="25"/>
  <c r="AL45" i="25"/>
  <c r="AL48" i="25"/>
  <c r="AL143" i="25"/>
  <c r="AL210" i="25"/>
  <c r="AL191" i="25"/>
  <c r="AK106" i="25"/>
  <c r="AL157" i="25"/>
  <c r="AK85" i="25"/>
  <c r="AL237" i="25"/>
  <c r="AK289" i="25"/>
  <c r="AK64" i="25"/>
  <c r="AL26" i="25"/>
  <c r="AL38" i="25"/>
  <c r="AL54" i="25"/>
  <c r="AL155" i="25"/>
  <c r="AK93" i="25"/>
  <c r="AL187" i="25"/>
  <c r="AL171" i="25"/>
  <c r="AL168" i="25"/>
  <c r="AK481" i="25"/>
  <c r="AL198" i="25"/>
  <c r="AL204" i="25"/>
  <c r="AL51" i="25"/>
  <c r="AL33" i="25"/>
  <c r="AL163" i="25"/>
  <c r="AK49" i="25"/>
  <c r="AK83" i="25"/>
  <c r="AL136" i="25"/>
  <c r="AL162" i="25"/>
  <c r="AL29" i="25"/>
  <c r="AL183" i="25"/>
  <c r="AL27" i="25"/>
  <c r="AL56" i="25"/>
  <c r="AK78" i="25"/>
  <c r="AL62" i="25"/>
  <c r="AL166" i="25"/>
  <c r="AL165" i="25"/>
  <c r="AL134" i="25"/>
  <c r="AL121" i="25"/>
  <c r="AK225" i="25"/>
  <c r="AL70" i="25"/>
  <c r="AL82" i="25"/>
  <c r="AL206" i="25"/>
  <c r="AL79" i="25"/>
  <c r="AL144" i="25"/>
  <c r="AL153" i="25"/>
  <c r="AL231" i="25"/>
  <c r="AL52" i="25"/>
  <c r="AL220" i="25"/>
  <c r="AK53" i="25"/>
  <c r="AK39" i="25"/>
  <c r="AL218" i="25"/>
  <c r="AK26" i="25"/>
  <c r="AK394" i="25"/>
  <c r="AK69" i="25"/>
  <c r="AL178" i="25"/>
  <c r="AL36" i="25"/>
  <c r="AL88" i="25"/>
  <c r="AL84" i="25"/>
  <c r="AK335" i="25"/>
  <c r="AL179" i="25"/>
  <c r="AK110" i="25"/>
  <c r="AL66" i="25"/>
  <c r="AL225" i="25"/>
  <c r="AK329" i="25"/>
  <c r="AL192" i="25"/>
  <c r="AL68" i="25"/>
  <c r="AL63" i="25"/>
  <c r="AL77" i="25"/>
  <c r="AL182" i="25"/>
  <c r="AL105" i="25"/>
  <c r="AL83" i="25"/>
  <c r="AL132" i="25"/>
  <c r="AL111" i="25"/>
  <c r="AL60" i="25"/>
  <c r="AL138" i="25"/>
  <c r="AL110" i="25"/>
  <c r="AK46" i="25"/>
  <c r="AK263" i="25"/>
  <c r="AL112" i="25"/>
  <c r="AK50" i="25"/>
  <c r="AL58" i="25"/>
  <c r="AK92" i="25"/>
  <c r="AL214" i="25"/>
  <c r="AL80" i="25"/>
  <c r="AL43" i="25"/>
  <c r="AL156" i="25"/>
  <c r="AK102" i="25"/>
  <c r="AL55" i="25"/>
  <c r="AL61" i="25"/>
  <c r="AL142" i="25"/>
  <c r="AL44" i="25"/>
  <c r="AK81" i="25"/>
  <c r="AL234" i="25"/>
  <c r="AL31" i="25"/>
  <c r="AL104" i="25"/>
  <c r="AL152" i="25"/>
  <c r="AK51" i="25"/>
  <c r="AL161" i="25"/>
  <c r="AK88" i="25"/>
  <c r="AL230" i="25"/>
  <c r="AL103" i="25"/>
  <c r="AL228" i="25"/>
  <c r="AL109" i="25"/>
  <c r="AL41" i="25"/>
  <c r="AL235" i="25"/>
  <c r="AK67" i="25"/>
  <c r="AL167" i="25"/>
  <c r="AL224" i="25"/>
  <c r="AK330" i="25"/>
  <c r="AK43" i="25"/>
  <c r="AL133" i="25"/>
  <c r="AL147" i="25"/>
  <c r="AL216" i="25"/>
  <c r="AL229" i="25"/>
  <c r="AL85" i="25"/>
  <c r="AL164" i="25"/>
  <c r="AL107" i="25"/>
  <c r="AK184" i="25"/>
  <c r="AL141" i="25"/>
  <c r="AL98" i="25"/>
  <c r="AL32" i="25"/>
  <c r="AL67" i="25"/>
  <c r="AL127" i="25"/>
  <c r="AL50" i="25"/>
  <c r="AK205" i="25"/>
  <c r="AL238" i="25"/>
  <c r="AL122" i="25"/>
  <c r="AL59" i="25"/>
  <c r="AK336" i="25"/>
  <c r="AK227" i="25"/>
  <c r="AL211" i="25"/>
  <c r="AL203" i="25"/>
  <c r="AL146" i="25"/>
  <c r="AK264" i="25"/>
  <c r="AL49" i="25"/>
  <c r="AL226" i="25"/>
  <c r="AL173" i="25"/>
  <c r="AL190" i="25"/>
  <c r="AL213" i="25"/>
  <c r="AL223" i="25"/>
  <c r="AL200" i="25"/>
  <c r="AL236" i="25"/>
  <c r="AL177" i="25"/>
  <c r="AL197" i="25"/>
  <c r="AK520" i="25"/>
  <c r="AL233" i="25"/>
  <c r="AL208" i="25"/>
  <c r="AL101" i="25"/>
  <c r="AL209" i="25"/>
  <c r="AL71" i="25"/>
  <c r="AL139" i="25"/>
  <c r="AK409" i="25"/>
  <c r="AL221" i="25"/>
  <c r="AL186" i="25"/>
  <c r="AK62" i="25"/>
  <c r="AL194" i="25"/>
  <c r="AK534" i="25"/>
  <c r="AL106" i="25"/>
  <c r="AK582" i="25"/>
  <c r="AK73" i="25"/>
  <c r="AL215" i="25"/>
  <c r="AL207" i="25"/>
  <c r="AL65" i="25"/>
  <c r="AK527" i="25"/>
  <c r="AK502" i="25"/>
  <c r="AL181" i="25"/>
  <c r="AL174" i="25"/>
  <c r="AK82" i="25"/>
  <c r="AL159" i="25"/>
  <c r="AL175" i="25"/>
  <c r="AL125" i="25"/>
  <c r="AL172" i="25"/>
  <c r="AK494" i="25"/>
  <c r="AL137" i="25"/>
  <c r="AK111" i="25"/>
  <c r="AL219" i="25"/>
  <c r="AK359" i="25"/>
  <c r="AL75" i="25"/>
  <c r="AL113" i="25"/>
  <c r="AL92" i="25"/>
  <c r="AK337" i="25"/>
  <c r="AL46" i="25"/>
  <c r="AL131" i="25"/>
  <c r="AK504" i="25"/>
  <c r="AK79" i="25"/>
  <c r="AL96" i="25"/>
  <c r="AK512" i="25"/>
  <c r="AK58" i="25"/>
  <c r="AL184" i="25"/>
  <c r="AL93" i="25"/>
  <c r="AK94" i="25"/>
  <c r="AL34" i="25"/>
  <c r="AL123" i="25"/>
  <c r="AK197" i="25"/>
  <c r="AL74" i="25"/>
  <c r="AL86" i="25"/>
  <c r="AK56" i="25"/>
  <c r="AL205" i="25"/>
  <c r="AL35" i="25"/>
  <c r="AK86" i="25"/>
  <c r="AL73" i="25"/>
  <c r="AK353" i="25"/>
  <c r="AK486" i="25"/>
  <c r="AL108" i="25"/>
  <c r="AL95" i="25"/>
  <c r="AK254" i="25"/>
  <c r="AK576" i="25"/>
  <c r="AK408" i="25"/>
  <c r="AL384" i="25"/>
  <c r="AK132" i="25"/>
  <c r="AK268" i="25"/>
  <c r="AL279" i="25"/>
  <c r="AK341" i="25"/>
  <c r="AL351" i="25"/>
  <c r="AK581" i="25"/>
  <c r="AK276" i="25"/>
  <c r="AL371" i="25"/>
  <c r="AK380" i="25"/>
  <c r="AL296" i="25"/>
  <c r="AL265" i="25"/>
  <c r="AK339" i="25"/>
  <c r="AK260" i="25"/>
  <c r="AK262" i="25"/>
  <c r="AK196" i="25"/>
  <c r="AL312" i="25"/>
  <c r="AK269" i="25"/>
  <c r="AL376" i="25"/>
  <c r="AK450" i="25"/>
  <c r="AL314" i="25"/>
  <c r="AL277" i="25"/>
  <c r="AL343" i="25"/>
  <c r="AL347" i="25"/>
  <c r="AL291" i="25"/>
  <c r="AK270" i="25"/>
  <c r="AK155" i="25"/>
  <c r="AL313" i="25"/>
  <c r="AL375" i="25"/>
  <c r="AK461" i="25"/>
  <c r="AK179" i="25"/>
  <c r="AL356" i="25"/>
  <c r="AK538" i="25"/>
  <c r="AL329" i="25"/>
  <c r="AL254" i="25"/>
  <c r="AK275" i="25"/>
  <c r="AK437" i="25"/>
  <c r="AK318" i="25"/>
  <c r="AK149" i="25"/>
  <c r="AK500" i="25"/>
  <c r="AK429" i="25"/>
  <c r="AL249" i="25"/>
  <c r="AK152" i="25"/>
  <c r="AK539" i="25"/>
  <c r="AL292" i="25"/>
  <c r="AK387" i="25"/>
  <c r="AK349" i="25"/>
  <c r="AK215" i="25"/>
  <c r="AL350" i="25"/>
  <c r="AK148" i="25"/>
  <c r="AK191" i="25"/>
  <c r="AK374" i="25"/>
  <c r="AK474" i="25"/>
  <c r="AL247" i="25"/>
  <c r="AL357" i="25"/>
  <c r="AL285" i="25"/>
  <c r="AK326" i="25"/>
  <c r="AK507" i="25"/>
  <c r="AL396" i="25"/>
  <c r="AK128" i="25"/>
  <c r="AK239" i="25"/>
  <c r="AK381" i="25"/>
  <c r="AK531" i="25"/>
  <c r="AK488" i="25"/>
  <c r="AL253" i="25"/>
  <c r="AK388" i="25"/>
  <c r="AK579" i="25"/>
  <c r="AL372" i="25"/>
  <c r="AL289" i="25"/>
  <c r="AL267" i="25"/>
  <c r="AK487" i="25"/>
  <c r="AK202" i="25"/>
  <c r="AL278" i="25"/>
  <c r="AK460" i="25"/>
  <c r="AK372" i="25"/>
  <c r="AK300" i="25"/>
  <c r="AL394" i="25"/>
  <c r="AL341" i="25"/>
  <c r="AL383" i="25"/>
  <c r="AK526" i="25"/>
  <c r="AL340" i="25"/>
  <c r="AL359" i="25"/>
  <c r="AL346" i="25"/>
  <c r="AL354" i="25"/>
  <c r="AL240" i="25"/>
  <c r="AL363" i="25"/>
  <c r="AK222" i="25"/>
  <c r="AK364" i="25"/>
  <c r="AK133" i="25"/>
  <c r="AL282" i="25"/>
  <c r="AK333" i="25"/>
  <c r="AK131" i="25"/>
  <c r="AL352" i="25"/>
  <c r="AK513" i="25"/>
  <c r="AL286" i="25"/>
  <c r="AK332" i="25"/>
  <c r="AL283" i="25"/>
  <c r="AK435" i="25"/>
  <c r="AL241" i="25"/>
  <c r="AK480" i="25"/>
  <c r="AK529" i="25"/>
  <c r="AK491" i="25"/>
  <c r="AK434" i="25"/>
  <c r="AK315" i="25"/>
  <c r="AK285" i="25"/>
  <c r="AK524" i="25"/>
  <c r="AK272" i="25"/>
  <c r="AK442" i="25"/>
  <c r="AK452" i="25"/>
  <c r="AL338" i="25"/>
  <c r="AL360" i="25"/>
  <c r="AL320" i="25"/>
  <c r="AK139" i="25"/>
  <c r="AL290" i="25"/>
  <c r="AK142" i="25"/>
  <c r="AL395" i="25"/>
  <c r="AL392" i="25"/>
  <c r="AL366" i="25"/>
  <c r="AL391" i="25"/>
  <c r="AK334" i="25"/>
  <c r="AL349" i="25"/>
  <c r="AK448" i="25"/>
  <c r="AK530" i="25"/>
  <c r="AK194" i="25"/>
  <c r="AK410" i="25"/>
  <c r="AL322" i="25"/>
  <c r="AL257" i="25"/>
  <c r="AK432" i="25"/>
  <c r="AL258" i="25"/>
  <c r="AK258" i="25"/>
  <c r="AK482" i="25"/>
  <c r="AK342" i="25"/>
  <c r="AK304" i="25"/>
  <c r="AK141" i="25"/>
  <c r="AK501" i="25"/>
  <c r="AL239" i="25"/>
  <c r="AK371" i="25"/>
  <c r="AL345" i="25"/>
  <c r="AK183" i="25"/>
  <c r="AL374" i="25"/>
  <c r="AK340" i="25"/>
  <c r="AK426" i="25"/>
  <c r="AK303" i="25"/>
  <c r="AL263" i="25"/>
  <c r="AK163" i="25"/>
  <c r="AK365" i="25"/>
  <c r="AK423" i="25"/>
  <c r="AL284" i="25"/>
  <c r="AK509" i="25"/>
  <c r="AK373" i="25"/>
  <c r="AK383" i="25"/>
  <c r="AL246" i="25"/>
  <c r="AK465" i="25"/>
  <c r="AL266" i="25"/>
  <c r="AK180" i="25"/>
  <c r="AK532" i="25"/>
  <c r="AK515" i="25"/>
  <c r="AK169" i="25"/>
  <c r="AK517" i="25"/>
  <c r="AK510" i="25"/>
  <c r="AL319" i="25"/>
  <c r="AL274" i="25"/>
  <c r="AL297" i="25"/>
  <c r="AL276" i="25"/>
  <c r="AK443" i="25"/>
  <c r="AK444" i="25"/>
  <c r="AK498" i="25"/>
  <c r="AK447" i="25"/>
  <c r="AL287" i="25"/>
  <c r="AL358" i="25"/>
  <c r="AK220" i="25"/>
  <c r="AK379" i="25"/>
  <c r="AL307" i="25"/>
  <c r="AL331" i="25"/>
  <c r="AK195" i="25"/>
  <c r="AK259" i="25"/>
  <c r="AL255" i="25"/>
  <c r="AL261" i="25"/>
  <c r="AL318" i="25"/>
  <c r="AK445" i="25"/>
  <c r="AL400" i="25"/>
  <c r="AL316" i="25"/>
  <c r="AL305" i="25"/>
  <c r="AK291" i="25"/>
  <c r="AL294" i="25"/>
  <c r="AK495" i="25"/>
  <c r="AL344" i="25"/>
  <c r="AK228" i="25"/>
  <c r="AK182" i="25"/>
  <c r="AK177" i="25"/>
  <c r="AK322" i="25"/>
  <c r="AL327" i="25"/>
  <c r="AK187" i="25"/>
  <c r="AK348" i="25"/>
  <c r="AK130" i="25"/>
  <c r="AK356" i="25"/>
  <c r="AK428" i="25"/>
  <c r="AL260" i="25"/>
  <c r="AL368" i="25"/>
  <c r="AK230" i="25"/>
  <c r="AK458" i="25"/>
  <c r="AK168" i="25"/>
  <c r="AK521" i="25"/>
  <c r="AK162" i="25"/>
  <c r="AL262" i="25"/>
  <c r="AL298" i="25"/>
  <c r="AK307" i="25"/>
  <c r="AK492" i="25"/>
  <c r="AL393" i="25"/>
  <c r="AK171" i="25"/>
  <c r="AK317" i="25"/>
  <c r="AK294" i="25"/>
  <c r="AK466" i="25"/>
  <c r="AL390" i="25"/>
  <c r="AL306" i="25"/>
  <c r="AL364" i="25"/>
  <c r="AL250" i="25"/>
  <c r="AK475" i="25"/>
  <c r="AK321" i="25"/>
  <c r="AL248" i="25"/>
  <c r="AK256" i="25"/>
  <c r="AL323" i="25"/>
  <c r="AK462" i="25"/>
  <c r="AK298" i="25"/>
  <c r="AL308" i="25"/>
  <c r="AL342" i="25"/>
  <c r="AK407" i="25"/>
  <c r="AK367" i="25"/>
  <c r="AK378" i="25"/>
  <c r="AL397" i="25"/>
  <c r="AK147" i="25"/>
  <c r="AK316" i="25"/>
  <c r="AK451" i="25"/>
  <c r="AL328" i="25"/>
  <c r="AL259" i="25"/>
  <c r="AL244" i="25"/>
  <c r="AL333" i="25"/>
  <c r="AK308" i="25"/>
  <c r="AK499" i="25"/>
  <c r="AL325" i="25"/>
  <c r="AK390" i="25"/>
  <c r="AL389" i="25"/>
  <c r="AK484" i="25"/>
  <c r="AK251" i="25"/>
  <c r="AK483" i="25"/>
  <c r="AK206" i="25"/>
  <c r="AL272" i="25"/>
  <c r="AK578" i="25"/>
  <c r="AK540" i="25"/>
  <c r="AL303" i="25"/>
  <c r="AL385" i="25"/>
  <c r="AK490" i="25"/>
  <c r="AK201" i="25"/>
  <c r="AK185" i="25"/>
  <c r="AL362" i="25"/>
  <c r="AL251" i="25"/>
  <c r="AK313" i="25"/>
  <c r="AK283" i="25"/>
  <c r="AK218" i="25"/>
  <c r="AK331" i="25"/>
  <c r="AK350" i="25"/>
  <c r="AK156" i="25"/>
  <c r="AK299" i="25"/>
  <c r="AK261" i="25"/>
  <c r="AK525" i="25"/>
  <c r="AL337" i="25"/>
  <c r="AK355" i="25"/>
  <c r="AK160" i="25"/>
  <c r="AK153" i="25"/>
  <c r="AK347" i="25"/>
  <c r="AL317" i="25"/>
  <c r="AK472" i="25"/>
  <c r="AL399" i="25"/>
  <c r="AK514" i="25"/>
  <c r="AK286" i="25"/>
  <c r="AK368" i="25"/>
  <c r="AK456" i="25"/>
  <c r="AK358" i="25"/>
  <c r="AL334" i="25"/>
  <c r="AL335" i="25"/>
  <c r="AL300" i="25"/>
  <c r="AL280" i="25"/>
  <c r="AK219" i="25"/>
  <c r="AK140" i="25"/>
  <c r="AK129" i="25"/>
  <c r="AL380" i="25"/>
  <c r="AK366" i="25"/>
  <c r="AL295" i="25"/>
  <c r="AL245" i="25"/>
  <c r="AL324" i="25"/>
  <c r="AK508" i="25"/>
  <c r="AL377" i="25"/>
  <c r="AK319" i="25"/>
  <c r="AK468" i="25"/>
  <c r="AK421" i="25"/>
  <c r="AK467" i="25"/>
  <c r="AL379" i="25"/>
  <c r="AL365" i="25"/>
  <c r="AL403" i="25"/>
  <c r="AK522" i="25"/>
  <c r="AK198" i="25"/>
  <c r="AK441" i="25"/>
  <c r="AK161" i="25"/>
  <c r="AK471" i="25"/>
  <c r="AL302" i="25"/>
  <c r="AL387" i="25"/>
  <c r="AL381" i="25"/>
  <c r="AK477" i="25"/>
  <c r="AL268" i="25"/>
  <c r="AK216" i="25"/>
  <c r="AL309" i="25"/>
  <c r="AL402" i="25"/>
  <c r="AK357" i="25"/>
  <c r="AK577" i="25"/>
  <c r="AK158" i="25"/>
  <c r="AK188" i="25"/>
  <c r="AK207" i="25"/>
  <c r="AK370" i="25"/>
  <c r="AK420" i="25"/>
  <c r="AK212" i="25"/>
  <c r="AK476" i="25"/>
  <c r="AK493" i="25"/>
  <c r="AK506" i="25"/>
  <c r="AL270" i="25"/>
  <c r="AK310" i="25"/>
  <c r="AK278" i="25"/>
  <c r="AK267" i="25"/>
  <c r="AK314" i="25"/>
  <c r="AL401" i="25"/>
  <c r="AK173" i="25"/>
  <c r="AK323" i="25"/>
  <c r="AL373" i="25"/>
  <c r="AL281" i="25"/>
  <c r="AL275" i="25"/>
  <c r="AL288" i="25"/>
  <c r="AL301" i="25"/>
  <c r="AK363" i="25"/>
  <c r="AL386" i="25"/>
  <c r="AK178" i="25"/>
  <c r="AL299" i="25"/>
  <c r="AL355" i="25"/>
  <c r="AK325" i="25"/>
  <c r="AL382" i="25"/>
  <c r="AL269" i="25"/>
  <c r="AL243" i="25"/>
  <c r="AL361" i="25"/>
  <c r="AK453" i="25"/>
  <c r="AL242" i="25"/>
  <c r="AK389" i="25"/>
  <c r="AL332" i="25"/>
  <c r="AL256" i="25"/>
  <c r="AK154" i="25"/>
  <c r="AK436" i="25"/>
  <c r="AK377" i="25"/>
  <c r="AL367" i="25"/>
  <c r="AL293" i="25"/>
  <c r="AK485" i="25"/>
  <c r="AK386" i="25"/>
  <c r="AK273" i="25"/>
  <c r="AK362" i="25"/>
  <c r="AL264" i="25"/>
  <c r="AL339" i="25"/>
  <c r="AK284" i="25"/>
  <c r="AK306" i="25"/>
  <c r="AK309" i="25"/>
  <c r="AL311" i="25"/>
  <c r="AK145" i="25"/>
  <c r="AK352" i="25"/>
  <c r="AK457" i="25"/>
  <c r="AK580" i="25"/>
  <c r="AL330" i="25"/>
  <c r="AK164" i="25"/>
  <c r="AL353" i="25"/>
  <c r="AK449" i="25"/>
  <c r="AK217" i="25"/>
  <c r="AK224" i="25"/>
  <c r="AL398" i="25"/>
  <c r="AK292" i="25"/>
  <c r="AK301" i="25"/>
  <c r="AK172" i="25"/>
  <c r="AK427" i="25"/>
  <c r="AL378" i="25"/>
  <c r="AK419" i="25"/>
  <c r="AK211" i="25"/>
  <c r="AK511" i="25"/>
  <c r="AK293" i="25"/>
  <c r="AK516" i="25"/>
  <c r="AK302" i="25"/>
  <c r="AK255" i="25"/>
  <c r="AK186" i="25"/>
  <c r="AK382" i="25"/>
  <c r="AK193" i="25"/>
  <c r="AL388" i="25"/>
  <c r="AK146" i="25"/>
  <c r="AL326" i="25"/>
  <c r="AK204" i="25"/>
  <c r="AL310" i="25"/>
  <c r="AL348" i="25"/>
  <c r="AK324" i="25"/>
  <c r="AK210" i="25"/>
  <c r="AL321" i="25"/>
  <c r="AL252" i="25"/>
  <c r="AK221" i="25"/>
  <c r="AL271" i="25"/>
  <c r="AK209" i="25"/>
  <c r="AL370" i="25"/>
  <c r="AK277" i="25"/>
  <c r="AL369" i="25"/>
  <c r="AL273" i="25"/>
  <c r="AL315" i="25"/>
  <c r="AL435" i="25"/>
  <c r="AK400" i="25"/>
  <c r="AL304" i="25"/>
  <c r="AK397" i="25"/>
  <c r="AK406" i="25"/>
  <c r="AK416" i="25"/>
  <c r="AK412" i="25"/>
  <c r="AK231" i="25"/>
  <c r="AK138" i="25"/>
  <c r="AK396" i="25"/>
  <c r="AK234" i="25"/>
  <c r="AL477" i="25"/>
  <c r="AK237" i="25"/>
  <c r="AK137" i="25"/>
  <c r="AL531" i="25"/>
  <c r="AK417" i="25"/>
  <c r="AK233" i="25"/>
  <c r="AK136" i="25"/>
  <c r="AK242" i="25"/>
  <c r="AK249" i="25"/>
  <c r="AK411" i="25"/>
  <c r="AL414" i="25"/>
  <c r="AK124" i="25"/>
  <c r="AK250" i="25"/>
  <c r="AK246" i="25"/>
  <c r="AK414" i="25"/>
  <c r="AK238" i="25"/>
  <c r="AK232" i="25"/>
  <c r="AK122" i="25"/>
  <c r="AK236" i="25"/>
  <c r="AL405" i="25"/>
  <c r="AK125" i="25"/>
  <c r="AK402" i="25"/>
  <c r="AK247" i="25"/>
  <c r="AK245" i="25"/>
  <c r="AL528" i="25"/>
  <c r="AK244" i="25"/>
  <c r="AK413" i="25"/>
  <c r="AK235" i="25"/>
  <c r="AK405" i="25"/>
  <c r="AK399" i="25"/>
  <c r="AK134" i="25"/>
  <c r="AK248" i="25"/>
  <c r="AK401" i="25"/>
  <c r="AL404" i="25"/>
  <c r="AK240" i="25"/>
  <c r="AK135" i="25"/>
  <c r="AK243" i="25"/>
  <c r="AK252" i="25"/>
  <c r="AK123" i="25"/>
  <c r="AL467" i="25"/>
  <c r="AK403" i="25"/>
  <c r="AK241" i="25"/>
  <c r="AL408" i="25"/>
  <c r="AK404" i="25"/>
  <c r="AK418" i="25"/>
  <c r="AK415" i="25"/>
  <c r="AL523" i="25"/>
  <c r="AK253" i="25"/>
  <c r="AL563" i="25"/>
  <c r="AL425" i="25"/>
  <c r="AL486" i="25"/>
  <c r="AL508" i="25"/>
  <c r="AL446" i="25"/>
  <c r="AL449" i="25"/>
  <c r="AL442" i="25"/>
  <c r="AL514" i="25"/>
  <c r="AL496" i="25"/>
  <c r="AL553" i="25"/>
  <c r="AL526" i="25"/>
  <c r="AL549" i="25"/>
  <c r="AL471" i="25"/>
  <c r="AL532" i="25"/>
  <c r="AL451" i="25"/>
  <c r="AL576" i="25"/>
  <c r="AL543" i="25"/>
  <c r="AL558" i="25"/>
  <c r="AL437" i="25"/>
  <c r="AL430" i="25"/>
  <c r="AL542" i="25"/>
  <c r="AL554" i="25"/>
  <c r="AL568" i="25"/>
  <c r="AL444" i="25"/>
  <c r="AL577" i="25"/>
  <c r="AL462" i="25"/>
  <c r="AL419" i="25"/>
  <c r="AL492" i="25"/>
  <c r="AL574" i="25"/>
  <c r="AL488" i="25"/>
  <c r="AL572" i="25"/>
  <c r="AL495" i="25"/>
  <c r="AL527" i="25"/>
  <c r="AL406" i="25"/>
  <c r="AL490" i="25"/>
  <c r="AL573" i="25"/>
  <c r="AL463" i="25"/>
  <c r="AL513" i="25"/>
  <c r="AL546" i="25"/>
  <c r="AL434" i="25"/>
  <c r="AL491" i="25"/>
  <c r="AL566" i="25"/>
  <c r="AL529" i="25"/>
  <c r="AL423" i="25"/>
  <c r="AL456" i="25"/>
  <c r="AL520" i="25"/>
  <c r="AL450" i="25"/>
  <c r="AL432" i="25"/>
  <c r="AL570" i="25"/>
  <c r="AL431" i="25"/>
  <c r="AL460" i="25"/>
  <c r="AL533" i="25"/>
  <c r="AL493" i="25"/>
  <c r="AL436" i="25"/>
  <c r="AL433" i="25"/>
  <c r="AL410" i="25"/>
  <c r="AL440" i="25"/>
  <c r="AL473" i="25"/>
  <c r="AL484" i="25"/>
  <c r="AL452" i="25"/>
  <c r="AL524" i="25"/>
  <c r="AL454" i="25"/>
  <c r="AL469" i="25"/>
  <c r="AL565" i="25"/>
  <c r="AL562" i="25"/>
  <c r="AL521" i="25"/>
  <c r="AL545" i="25"/>
  <c r="AL571" i="25"/>
  <c r="AL503" i="25"/>
  <c r="AL502" i="25"/>
  <c r="AL560" i="25"/>
  <c r="AL448" i="25"/>
  <c r="AL538" i="25"/>
  <c r="AL525" i="25"/>
  <c r="AL552" i="25"/>
  <c r="AL482" i="25"/>
  <c r="AL475" i="25"/>
  <c r="AL559" i="25"/>
  <c r="AL511" i="25"/>
  <c r="AL501" i="25"/>
  <c r="AL474" i="25"/>
  <c r="AL421" i="25"/>
  <c r="AL494" i="25"/>
  <c r="AL429" i="25"/>
  <c r="AL428" i="25"/>
  <c r="AL485" i="25"/>
  <c r="AL500" i="25"/>
  <c r="AL457" i="25"/>
  <c r="AL489" i="25"/>
  <c r="AL411" i="25"/>
  <c r="AL415" i="25"/>
  <c r="AL522" i="25"/>
  <c r="AL505" i="25"/>
  <c r="AL518" i="25"/>
  <c r="AL480" i="25"/>
  <c r="AL557" i="25"/>
  <c r="AL409" i="25"/>
  <c r="AL504" i="25"/>
  <c r="AL466" i="25"/>
  <c r="AL464" i="25"/>
  <c r="AL506" i="25"/>
  <c r="AL483" i="25"/>
  <c r="AL497" i="25"/>
  <c r="AL567" i="25"/>
  <c r="AL541" i="25"/>
  <c r="AL537" i="25"/>
  <c r="AL443" i="25"/>
  <c r="AL412" i="25"/>
  <c r="AL498" i="25"/>
  <c r="AL509" i="25"/>
  <c r="AL512" i="25"/>
  <c r="AL569" i="25"/>
  <c r="AL418" i="25"/>
  <c r="AL447" i="25"/>
  <c r="AL416" i="25"/>
  <c r="AL534" i="25"/>
  <c r="AL510" i="25"/>
  <c r="AL544" i="25"/>
  <c r="AL465" i="25"/>
  <c r="AL439" i="25"/>
  <c r="AL413" i="25"/>
  <c r="AL550" i="25"/>
  <c r="AL551" i="25"/>
  <c r="AL461" i="25"/>
  <c r="AL420" i="25"/>
  <c r="AL459" i="25"/>
  <c r="AL441" i="25"/>
  <c r="AL476" i="25"/>
  <c r="AL517" i="25"/>
  <c r="AL407" i="25"/>
  <c r="AL455" i="25"/>
  <c r="AL472" i="25"/>
  <c r="AL481" i="25"/>
  <c r="AL438" i="25"/>
  <c r="AL422" i="25"/>
  <c r="AL561" i="25"/>
  <c r="AL468" i="25"/>
  <c r="AL516" i="25"/>
  <c r="AL556" i="25"/>
  <c r="AL575" i="25"/>
  <c r="AL427" i="25"/>
  <c r="AL479" i="25"/>
  <c r="AL540" i="25"/>
  <c r="AL548" i="25"/>
  <c r="AL564" i="25"/>
  <c r="AL555" i="25"/>
  <c r="AL445" i="25"/>
  <c r="AL424" i="25"/>
  <c r="AL519" i="25"/>
  <c r="AL458" i="25"/>
  <c r="AL530" i="25"/>
  <c r="AL535" i="25"/>
  <c r="AL417" i="25"/>
  <c r="AL536" i="25"/>
  <c r="AL470" i="25"/>
  <c r="AL478" i="25"/>
  <c r="AL453" i="25"/>
  <c r="AL487" i="25"/>
  <c r="AL426" i="25"/>
  <c r="AL507" i="25"/>
  <c r="AL547" i="25"/>
  <c r="AL539" i="25"/>
  <c r="AL499" i="25"/>
  <c r="AL515" i="25"/>
  <c r="DB578" i="3"/>
  <c r="DB577" i="3"/>
  <c r="DB580" i="3"/>
  <c r="DB581" i="3"/>
  <c r="DB576" i="3"/>
  <c r="DB579" i="3"/>
  <c r="DC133" i="3" l="1"/>
  <c r="DO133" i="3" s="1"/>
  <c r="DC480" i="3"/>
  <c r="DO480" i="3" s="1"/>
  <c r="DC426" i="3"/>
  <c r="DO426" i="3" s="1"/>
  <c r="DC435" i="3"/>
  <c r="DO435" i="3" s="1"/>
  <c r="DC363" i="3"/>
  <c r="DO363" i="3" s="1"/>
  <c r="DC331" i="3"/>
  <c r="DO331" i="3" s="1"/>
  <c r="DC335" i="3"/>
  <c r="DO335" i="3" s="1"/>
  <c r="DC535" i="3"/>
  <c r="DO535" i="3" s="1"/>
  <c r="DC89" i="3"/>
  <c r="DO89" i="3" s="1"/>
  <c r="DC516" i="3"/>
  <c r="DO516" i="3" s="1"/>
  <c r="DC270" i="3"/>
  <c r="DO270" i="3" s="1"/>
  <c r="DC101" i="3"/>
  <c r="DO101" i="3" s="1"/>
  <c r="DC358" i="3"/>
  <c r="DB358" i="3" s="1"/>
  <c r="DC218" i="3"/>
  <c r="DO218" i="3" s="1"/>
  <c r="DC305" i="3"/>
  <c r="DO305" i="3" s="1"/>
  <c r="DC422" i="3"/>
  <c r="DO422" i="3" s="1"/>
  <c r="DC341" i="3"/>
  <c r="DB341" i="3" s="1"/>
  <c r="DC345" i="3"/>
  <c r="DO345" i="3" s="1"/>
  <c r="DC330" i="3"/>
  <c r="DO330" i="3" s="1"/>
  <c r="DC386" i="3"/>
  <c r="DO386" i="3" s="1"/>
  <c r="DC45" i="3"/>
  <c r="DO45" i="3" s="1"/>
  <c r="DC540" i="3"/>
  <c r="DO540" i="3" s="1"/>
  <c r="DC256" i="3"/>
  <c r="DO256" i="3" s="1"/>
  <c r="DC297" i="3"/>
  <c r="DO297" i="3" s="1"/>
  <c r="DC427" i="3"/>
  <c r="DO427" i="3" s="1"/>
  <c r="DC499" i="3"/>
  <c r="DO499" i="3" s="1"/>
  <c r="DC153" i="3"/>
  <c r="DO153" i="3" s="1"/>
  <c r="DC523" i="3"/>
  <c r="DO523" i="3" s="1"/>
  <c r="DC172" i="3"/>
  <c r="DO172" i="3" s="1"/>
  <c r="DC293" i="3"/>
  <c r="DO293" i="3" s="1"/>
  <c r="DC273" i="3"/>
  <c r="DO273" i="3" s="1"/>
  <c r="DC374" i="3"/>
  <c r="DB374" i="3" s="1"/>
  <c r="DC472" i="3"/>
  <c r="DO472" i="3" s="1"/>
  <c r="DC283" i="3"/>
  <c r="DO283" i="3" s="1"/>
  <c r="DC464" i="3"/>
  <c r="DO464" i="3" s="1"/>
  <c r="DC502" i="3"/>
  <c r="DO502" i="3" s="1"/>
  <c r="DC326" i="3"/>
  <c r="DO326" i="3" s="1"/>
  <c r="DC281" i="3"/>
  <c r="DO281" i="3" s="1"/>
  <c r="DC312" i="3"/>
  <c r="DO312" i="3" s="1"/>
  <c r="DC10" i="3"/>
  <c r="DO10" i="3" s="1"/>
  <c r="DC520" i="3"/>
  <c r="DO520" i="3" s="1"/>
  <c r="DC302" i="3"/>
  <c r="DO302" i="3" s="1"/>
  <c r="DC97" i="3"/>
  <c r="DO97" i="3" s="1"/>
  <c r="DC398" i="3"/>
  <c r="DO398" i="3" s="1"/>
  <c r="DC194" i="3"/>
  <c r="DO194" i="3" s="1"/>
  <c r="DC381" i="3"/>
  <c r="DO381" i="3" s="1"/>
  <c r="DC396" i="3"/>
  <c r="DO396" i="3" s="1"/>
  <c r="DC390" i="3"/>
  <c r="DO390" i="3" s="1"/>
  <c r="DC370" i="3"/>
  <c r="DB370" i="3" s="1"/>
  <c r="DC215" i="3"/>
  <c r="DO215" i="3" s="1"/>
  <c r="DC490" i="3"/>
  <c r="DO490" i="3" s="1"/>
  <c r="DC248" i="3"/>
  <c r="DB248" i="3" s="1"/>
  <c r="DC187" i="3"/>
  <c r="DO187" i="3" s="1"/>
  <c r="DC87" i="3"/>
  <c r="DO87" i="3" s="1"/>
  <c r="DC279" i="3"/>
  <c r="DO279" i="3" s="1"/>
  <c r="DC20" i="3"/>
  <c r="DO20" i="3" s="1"/>
  <c r="DC145" i="3"/>
  <c r="DB145" i="3" s="1"/>
  <c r="DC373" i="3"/>
  <c r="DO373" i="3" s="1"/>
  <c r="DC421" i="3"/>
  <c r="DO421" i="3" s="1"/>
  <c r="DC61" i="3"/>
  <c r="DO61" i="3" s="1"/>
  <c r="DC276" i="3"/>
  <c r="DO276" i="3" s="1"/>
  <c r="DC536" i="3"/>
  <c r="DO536" i="3" s="1"/>
  <c r="DC462" i="3"/>
  <c r="DO462" i="3" s="1"/>
  <c r="DC438" i="3"/>
  <c r="DO438" i="3" s="1"/>
  <c r="DC503" i="3"/>
  <c r="DO503" i="3" s="1"/>
  <c r="DC265" i="3"/>
  <c r="DO265" i="3" s="1"/>
  <c r="DC414" i="3"/>
  <c r="DO414" i="3" s="1"/>
  <c r="DC534" i="3"/>
  <c r="DO534" i="3" s="1"/>
  <c r="DC216" i="3"/>
  <c r="DO216" i="3" s="1"/>
  <c r="DC180" i="3"/>
  <c r="DO180" i="3" s="1"/>
  <c r="DC507" i="3"/>
  <c r="DO507" i="3" s="1"/>
  <c r="DC156" i="3"/>
  <c r="DO156" i="3" s="1"/>
  <c r="DC486" i="3"/>
  <c r="DO486" i="3" s="1"/>
  <c r="DC517" i="3"/>
  <c r="DO517" i="3" s="1"/>
  <c r="DC433" i="3"/>
  <c r="DO433" i="3" s="1"/>
  <c r="DC319" i="3"/>
  <c r="DO319" i="3" s="1"/>
  <c r="DC245" i="3"/>
  <c r="DO245" i="3" s="1"/>
  <c r="DC530" i="3"/>
  <c r="DO530" i="3" s="1"/>
  <c r="DC151" i="3"/>
  <c r="DO151" i="3" s="1"/>
  <c r="DC243" i="3"/>
  <c r="DO243" i="3" s="1"/>
  <c r="DC169" i="3"/>
  <c r="DO169" i="3" s="1"/>
  <c r="DC362" i="3"/>
  <c r="DO362" i="3" s="1"/>
  <c r="DC352" i="3"/>
  <c r="DO352" i="3" s="1"/>
  <c r="DC158" i="3"/>
  <c r="DO158" i="3" s="1"/>
  <c r="DC357" i="3"/>
  <c r="DO357" i="3" s="1"/>
  <c r="DC360" i="3"/>
  <c r="DO360" i="3" s="1"/>
  <c r="DC132" i="3"/>
  <c r="DB132" i="3" s="1"/>
  <c r="DC280" i="3"/>
  <c r="DB280" i="3" s="1"/>
  <c r="DC210" i="3"/>
  <c r="DO210" i="3" s="1"/>
  <c r="DC383" i="3"/>
  <c r="DO383" i="3" s="1"/>
  <c r="DC473" i="3"/>
  <c r="DO473" i="3" s="1"/>
  <c r="DC529" i="3"/>
  <c r="DO529" i="3" s="1"/>
  <c r="DC481" i="3"/>
  <c r="DO481" i="3" s="1"/>
  <c r="DC445" i="3"/>
  <c r="DO445" i="3" s="1"/>
  <c r="DC33" i="3"/>
  <c r="DO33" i="3" s="1"/>
  <c r="DC138" i="3"/>
  <c r="DO138" i="3" s="1"/>
  <c r="DC275" i="3"/>
  <c r="DO275" i="3" s="1"/>
  <c r="DC391" i="3"/>
  <c r="DO391" i="3" s="1"/>
  <c r="DC258" i="3"/>
  <c r="DO258" i="3" s="1"/>
  <c r="DC103" i="3"/>
  <c r="DO103" i="3" s="1"/>
  <c r="DC355" i="3"/>
  <c r="DO355" i="3" s="1"/>
  <c r="DC478" i="3"/>
  <c r="DO478" i="3" s="1"/>
  <c r="DC460" i="3"/>
  <c r="DO460" i="3" s="1"/>
  <c r="DC189" i="3"/>
  <c r="DO189" i="3" s="1"/>
  <c r="DC175" i="3"/>
  <c r="DO175" i="3" s="1"/>
  <c r="DC339" i="3"/>
  <c r="DO339" i="3" s="1"/>
  <c r="DC412" i="3"/>
  <c r="DO412" i="3" s="1"/>
  <c r="DC511" i="3"/>
  <c r="DO511" i="3" s="1"/>
  <c r="DC147" i="3"/>
  <c r="DO147" i="3" s="1"/>
  <c r="DC259" i="3"/>
  <c r="DO259" i="3" s="1"/>
  <c r="DC500" i="3"/>
  <c r="DO500" i="3" s="1"/>
  <c r="DC350" i="3"/>
  <c r="DO350" i="3" s="1"/>
  <c r="DC269" i="3"/>
  <c r="DO269" i="3" s="1"/>
  <c r="DC448" i="3"/>
  <c r="DO448" i="3" s="1"/>
  <c r="DC246" i="3"/>
  <c r="DO246" i="3" s="1"/>
  <c r="DC202" i="3"/>
  <c r="DO202" i="3" s="1"/>
  <c r="DC260" i="3"/>
  <c r="DO260" i="3" s="1"/>
  <c r="DC404" i="3"/>
  <c r="DO404" i="3" s="1"/>
  <c r="DC487" i="3"/>
  <c r="DO487" i="3" s="1"/>
  <c r="DC449" i="3"/>
  <c r="DO449" i="3" s="1"/>
  <c r="DC327" i="3"/>
  <c r="DO327" i="3" s="1"/>
  <c r="DC477" i="3"/>
  <c r="DO477" i="3" s="1"/>
  <c r="DC239" i="3"/>
  <c r="DO239" i="3" s="1"/>
  <c r="DC346" i="3"/>
  <c r="DO346" i="3" s="1"/>
  <c r="DC525" i="3"/>
  <c r="DO525" i="3" s="1"/>
  <c r="DC296" i="3"/>
  <c r="DO296" i="3" s="1"/>
  <c r="DC197" i="3"/>
  <c r="DO197" i="3" s="1"/>
  <c r="DC209" i="3"/>
  <c r="DO209" i="3" s="1"/>
  <c r="DC504" i="3"/>
  <c r="DO504" i="3" s="1"/>
  <c r="DC444" i="3"/>
  <c r="DO444" i="3" s="1"/>
  <c r="DC505" i="3"/>
  <c r="DO505" i="3" s="1"/>
  <c r="DC13" i="3"/>
  <c r="DO13" i="3" s="1"/>
  <c r="DC439" i="3"/>
  <c r="DO439" i="3" s="1"/>
  <c r="DC416" i="3"/>
  <c r="DO416" i="3" s="1"/>
  <c r="DC181" i="3"/>
  <c r="DO181" i="3" s="1"/>
  <c r="DC379" i="3"/>
  <c r="DO379" i="3" s="1"/>
  <c r="DC159" i="3"/>
  <c r="DO159" i="3" s="1"/>
  <c r="DC146" i="3"/>
  <c r="DO146" i="3" s="1"/>
  <c r="DC461" i="3"/>
  <c r="DO461" i="3" s="1"/>
  <c r="DC378" i="3"/>
  <c r="DO378" i="3" s="1"/>
  <c r="DC528" i="3"/>
  <c r="DO528" i="3" s="1"/>
  <c r="DC192" i="3"/>
  <c r="DO192" i="3" s="1"/>
  <c r="DC220" i="3"/>
  <c r="DO220" i="3" s="1"/>
  <c r="DC314" i="3"/>
  <c r="DO314" i="3" s="1"/>
  <c r="DC204" i="3"/>
  <c r="DO204" i="3" s="1"/>
  <c r="DC400" i="3"/>
  <c r="DO400" i="3" s="1"/>
  <c r="DC382" i="3"/>
  <c r="DB382" i="3" s="1"/>
  <c r="DC195" i="3"/>
  <c r="DO195" i="3" s="1"/>
  <c r="DC84" i="3"/>
  <c r="DO84" i="3" s="1"/>
  <c r="DC510" i="3"/>
  <c r="DO510" i="3" s="1"/>
  <c r="DC364" i="3"/>
  <c r="DO364" i="3" s="1"/>
  <c r="DC498" i="3"/>
  <c r="DO498" i="3" s="1"/>
  <c r="DC284" i="3"/>
  <c r="DO284" i="3" s="1"/>
  <c r="DC238" i="3"/>
  <c r="DO238" i="3" s="1"/>
  <c r="DC250" i="3"/>
  <c r="DO250" i="3" s="1"/>
  <c r="DC205" i="3"/>
  <c r="DO205" i="3" s="1"/>
  <c r="DC457" i="3"/>
  <c r="DO457" i="3" s="1"/>
  <c r="DC152" i="3"/>
  <c r="DO152" i="3" s="1"/>
  <c r="DC247" i="3"/>
  <c r="DO247" i="3" s="1"/>
  <c r="DC185" i="3"/>
  <c r="DO185" i="3" s="1"/>
  <c r="DC465" i="3"/>
  <c r="DO465" i="3" s="1"/>
  <c r="DC470" i="3"/>
  <c r="DO470" i="3" s="1"/>
  <c r="DC135" i="3"/>
  <c r="DO135" i="3" s="1"/>
  <c r="DC509" i="3"/>
  <c r="DO509" i="3" s="1"/>
  <c r="DC366" i="3"/>
  <c r="DO366" i="3" s="1"/>
  <c r="DC475" i="3"/>
  <c r="DO475" i="3" s="1"/>
  <c r="DC42" i="3"/>
  <c r="DO42" i="3" s="1"/>
  <c r="DC443" i="3"/>
  <c r="DO443" i="3" s="1"/>
  <c r="DC174" i="3"/>
  <c r="DO174" i="3" s="1"/>
  <c r="DC467" i="3"/>
  <c r="DB467" i="3" s="1"/>
  <c r="DC55" i="3"/>
  <c r="DO55" i="3" s="1"/>
  <c r="DC463" i="3"/>
  <c r="DO463" i="3" s="1"/>
  <c r="DC52" i="3"/>
  <c r="DO52" i="3" s="1"/>
  <c r="DC508" i="3"/>
  <c r="DO508" i="3" s="1"/>
  <c r="DC337" i="3"/>
  <c r="DO337" i="3" s="1"/>
  <c r="DC157" i="3"/>
  <c r="DO157" i="3" s="1"/>
  <c r="DC34" i="3"/>
  <c r="DO34" i="3" s="1"/>
  <c r="DC387" i="3"/>
  <c r="DO387" i="3" s="1"/>
  <c r="DC310" i="3"/>
  <c r="DO310" i="3" s="1"/>
  <c r="DC104" i="3"/>
  <c r="DO104" i="3" s="1"/>
  <c r="DC263" i="3"/>
  <c r="DO263" i="3" s="1"/>
  <c r="DC317" i="3"/>
  <c r="DO317" i="3" s="1"/>
  <c r="DC212" i="3"/>
  <c r="DO212" i="3" s="1"/>
  <c r="DC468" i="3"/>
  <c r="DO468" i="3" s="1"/>
  <c r="DC476" i="3"/>
  <c r="DO476" i="3" s="1"/>
  <c r="DC522" i="3"/>
  <c r="DO522" i="3" s="1"/>
  <c r="DC402" i="3"/>
  <c r="DO402" i="3" s="1"/>
  <c r="DC129" i="3"/>
  <c r="DO129" i="3" s="1"/>
  <c r="DC213" i="3"/>
  <c r="DO213" i="3" s="1"/>
  <c r="DC19" i="3"/>
  <c r="DO19" i="3" s="1"/>
  <c r="DC165" i="3"/>
  <c r="DB165" i="3" s="1"/>
  <c r="DC190" i="3"/>
  <c r="DO190" i="3" s="1"/>
  <c r="DC186" i="3"/>
  <c r="DO186" i="3" s="1"/>
  <c r="DC320" i="3"/>
  <c r="DB320" i="3" s="1"/>
  <c r="DC193" i="3"/>
  <c r="DO193" i="3" s="1"/>
  <c r="DC214" i="3"/>
  <c r="DO214" i="3" s="1"/>
  <c r="DC419" i="3"/>
  <c r="DO419" i="3" s="1"/>
  <c r="DC338" i="3"/>
  <c r="DO338" i="3" s="1"/>
  <c r="DC524" i="3"/>
  <c r="DO524" i="3" s="1"/>
  <c r="DC171" i="3"/>
  <c r="DO171" i="3" s="1"/>
  <c r="DC237" i="3"/>
  <c r="DO237" i="3" s="1"/>
  <c r="DC483" i="3"/>
  <c r="DO483" i="3" s="1"/>
  <c r="DC485" i="3"/>
  <c r="DO485" i="3" s="1"/>
  <c r="DC424" i="3"/>
  <c r="DO424" i="3" s="1"/>
  <c r="DC538" i="3"/>
  <c r="DO538" i="3" s="1"/>
  <c r="DC359" i="3"/>
  <c r="DB359" i="3" s="1"/>
  <c r="DC261" i="3"/>
  <c r="DO261" i="3" s="1"/>
  <c r="DC447" i="3"/>
  <c r="DO447" i="3" s="1"/>
  <c r="DC489" i="3"/>
  <c r="DO489" i="3" s="1"/>
  <c r="DC94" i="3"/>
  <c r="DO94" i="3" s="1"/>
  <c r="DC277" i="3"/>
  <c r="DO277" i="3" s="1"/>
  <c r="DC361" i="3"/>
  <c r="DB361" i="3" s="1"/>
  <c r="DC495" i="3"/>
  <c r="DO495" i="3" s="1"/>
  <c r="DC434" i="3"/>
  <c r="DO434" i="3" s="1"/>
  <c r="DC17" i="3"/>
  <c r="DO17" i="3" s="1"/>
  <c r="DC127" i="3"/>
  <c r="DO127" i="3" s="1"/>
  <c r="DC80" i="3"/>
  <c r="DO80" i="3" s="1"/>
  <c r="DC399" i="3"/>
  <c r="DO399" i="3" s="1"/>
  <c r="DC73" i="3"/>
  <c r="DO73" i="3" s="1"/>
  <c r="DC282" i="3"/>
  <c r="DO282" i="3" s="1"/>
  <c r="DC139" i="3"/>
  <c r="DO139" i="3" s="1"/>
  <c r="DC82" i="3"/>
  <c r="DO82" i="3" s="1"/>
  <c r="DC347" i="3"/>
  <c r="DO347" i="3" s="1"/>
  <c r="DC160" i="3"/>
  <c r="DO160" i="3" s="1"/>
  <c r="DC410" i="3"/>
  <c r="DO410" i="3" s="1"/>
  <c r="DC163" i="3"/>
  <c r="DB163" i="3" s="1"/>
  <c r="DC453" i="3"/>
  <c r="DO453" i="3" s="1"/>
  <c r="DC458" i="3"/>
  <c r="DO458" i="3" s="1"/>
  <c r="DC582" i="3"/>
  <c r="DO582" i="3" s="1"/>
  <c r="DC343" i="3"/>
  <c r="DO343" i="3" s="1"/>
  <c r="DC428" i="3"/>
  <c r="DO428" i="3" s="1"/>
  <c r="DC365" i="3"/>
  <c r="DO365" i="3" s="1"/>
  <c r="DC329" i="3"/>
  <c r="DO329" i="3" s="1"/>
  <c r="DC66" i="3"/>
  <c r="DO66" i="3" s="1"/>
  <c r="DC111" i="3"/>
  <c r="DO111" i="3" s="1"/>
  <c r="DC150" i="3"/>
  <c r="DO150" i="3" s="1"/>
  <c r="DC411" i="3"/>
  <c r="DO411" i="3" s="1"/>
  <c r="DC289" i="3"/>
  <c r="DO289" i="3" s="1"/>
  <c r="DC493" i="3"/>
  <c r="DO493" i="3" s="1"/>
  <c r="DC488" i="3"/>
  <c r="DO488" i="3" s="1"/>
  <c r="DC315" i="3"/>
  <c r="DO315" i="3" s="1"/>
  <c r="DC155" i="3"/>
  <c r="DO155" i="3" s="1"/>
  <c r="DC203" i="3"/>
  <c r="DO203" i="3" s="1"/>
  <c r="DC344" i="3"/>
  <c r="DO344" i="3" s="1"/>
  <c r="DC537" i="3"/>
  <c r="DB537" i="3" s="1"/>
  <c r="DC325" i="3"/>
  <c r="DO325" i="3" s="1"/>
  <c r="DC219" i="3"/>
  <c r="DO219" i="3" s="1"/>
  <c r="DC321" i="3"/>
  <c r="DO321" i="3" s="1"/>
  <c r="DC206" i="3"/>
  <c r="DO206" i="3" s="1"/>
  <c r="DC59" i="3"/>
  <c r="DO59" i="3" s="1"/>
  <c r="DC120" i="3"/>
  <c r="DB120" i="3" s="1"/>
  <c r="DC149" i="3"/>
  <c r="DO149" i="3" s="1"/>
  <c r="DC272" i="3"/>
  <c r="DO272" i="3" s="1"/>
  <c r="DC388" i="3"/>
  <c r="DB388" i="3" s="1"/>
  <c r="DC229" i="3"/>
  <c r="DO229" i="3" s="1"/>
  <c r="DC267" i="3"/>
  <c r="DO267" i="3" s="1"/>
  <c r="DC482" i="3"/>
  <c r="DO482" i="3" s="1"/>
  <c r="DC308" i="3"/>
  <c r="DO308" i="3" s="1"/>
  <c r="DC408" i="3"/>
  <c r="DO408" i="3" s="1"/>
  <c r="DC233" i="3"/>
  <c r="DO233" i="3" s="1"/>
  <c r="DC242" i="3"/>
  <c r="DO242" i="3" s="1"/>
  <c r="DC162" i="3"/>
  <c r="DO162" i="3" s="1"/>
  <c r="DC532" i="3"/>
  <c r="DO532" i="3" s="1"/>
  <c r="DC254" i="3"/>
  <c r="DO254" i="3" s="1"/>
  <c r="DC492" i="3"/>
  <c r="DB492" i="3" s="1"/>
  <c r="DC148" i="3"/>
  <c r="DO148" i="3" s="1"/>
  <c r="DC291" i="3"/>
  <c r="DO291" i="3" s="1"/>
  <c r="DC515" i="3"/>
  <c r="DO515" i="3" s="1"/>
  <c r="DC403" i="3"/>
  <c r="DO403" i="3" s="1"/>
  <c r="DC223" i="3"/>
  <c r="DO223" i="3" s="1"/>
  <c r="DC298" i="3"/>
  <c r="DO298" i="3" s="1"/>
  <c r="DC253" i="3"/>
  <c r="DO253" i="3" s="1"/>
  <c r="DC191" i="3"/>
  <c r="DO191" i="3" s="1"/>
  <c r="DC454" i="3"/>
  <c r="DO454" i="3" s="1"/>
  <c r="DC332" i="3"/>
  <c r="DO332" i="3" s="1"/>
  <c r="DC506" i="3"/>
  <c r="DO506" i="3" s="1"/>
  <c r="DC154" i="3"/>
  <c r="DO154" i="3" s="1"/>
  <c r="DC348" i="3"/>
  <c r="DO348" i="3" s="1"/>
  <c r="DC442" i="3"/>
  <c r="DO442" i="3" s="1"/>
  <c r="DC527" i="3"/>
  <c r="DO527" i="3" s="1"/>
  <c r="DC328" i="3"/>
  <c r="DO328" i="3" s="1"/>
  <c r="DC268" i="3"/>
  <c r="DO268" i="3" s="1"/>
  <c r="DC207" i="3"/>
  <c r="DO207" i="3" s="1"/>
  <c r="DC224" i="3"/>
  <c r="DO224" i="3" s="1"/>
  <c r="DC271" i="3"/>
  <c r="DO271" i="3" s="1"/>
  <c r="DC75" i="3"/>
  <c r="DO75" i="3" s="1"/>
  <c r="DC429" i="3"/>
  <c r="DO429" i="3" s="1"/>
  <c r="DC217" i="3"/>
  <c r="DO217" i="3" s="1"/>
  <c r="DC474" i="3"/>
  <c r="DO474" i="3" s="1"/>
  <c r="DC367" i="3"/>
  <c r="DO367" i="3" s="1"/>
  <c r="DC459" i="3"/>
  <c r="DO459" i="3" s="1"/>
  <c r="DC423" i="3"/>
  <c r="DO423" i="3" s="1"/>
  <c r="DC76" i="3"/>
  <c r="DO76" i="3" s="1"/>
  <c r="DC235" i="3"/>
  <c r="DO235" i="3" s="1"/>
  <c r="DC178" i="3"/>
  <c r="DO178" i="3" s="1"/>
  <c r="DC264" i="3"/>
  <c r="DO264" i="3" s="1"/>
  <c r="DC168" i="3"/>
  <c r="DO168" i="3" s="1"/>
  <c r="DC143" i="3"/>
  <c r="DO143" i="3" s="1"/>
  <c r="DC287" i="3"/>
  <c r="DO287" i="3" s="1"/>
  <c r="DC161" i="3"/>
  <c r="DO161" i="3" s="1"/>
  <c r="DC255" i="3"/>
  <c r="DO255" i="3" s="1"/>
  <c r="DC354" i="3"/>
  <c r="DO354" i="3" s="1"/>
  <c r="DC406" i="3"/>
  <c r="DO406" i="3" s="1"/>
  <c r="DC521" i="3"/>
  <c r="DO521" i="3" s="1"/>
  <c r="DC512" i="3"/>
  <c r="DO512" i="3" s="1"/>
  <c r="DC418" i="3"/>
  <c r="DO418" i="3" s="1"/>
  <c r="DC105" i="3"/>
  <c r="DO105" i="3" s="1"/>
  <c r="DC501" i="3"/>
  <c r="DO501" i="3" s="1"/>
  <c r="DC340" i="3"/>
  <c r="DO340" i="3" s="1"/>
  <c r="DC469" i="3"/>
  <c r="DO469" i="3" s="1"/>
  <c r="DC241" i="3"/>
  <c r="DO241" i="3" s="1"/>
  <c r="DC466" i="3"/>
  <c r="DO466" i="3" s="1"/>
  <c r="DC182" i="3"/>
  <c r="DO182" i="3" s="1"/>
  <c r="DC334" i="3"/>
  <c r="DO334" i="3" s="1"/>
  <c r="DC385" i="3"/>
  <c r="DB385" i="3" s="1"/>
  <c r="DC119" i="3"/>
  <c r="DO119" i="3" s="1"/>
  <c r="DC294" i="3"/>
  <c r="DO294" i="3" s="1"/>
  <c r="DC69" i="3"/>
  <c r="DC342" i="3"/>
  <c r="DO342" i="3" s="1"/>
  <c r="DC375" i="3"/>
  <c r="DO375" i="3" s="1"/>
  <c r="DC377" i="3"/>
  <c r="DO377" i="3" s="1"/>
  <c r="DC249" i="3"/>
  <c r="DO249" i="3" s="1"/>
  <c r="DC56" i="3"/>
  <c r="DO56" i="3" s="1"/>
  <c r="DC417" i="3"/>
  <c r="DO417" i="3" s="1"/>
  <c r="DC450" i="3"/>
  <c r="DO450" i="3" s="1"/>
  <c r="DC526" i="3"/>
  <c r="DO526" i="3" s="1"/>
  <c r="DC232" i="3"/>
  <c r="DO232" i="3" s="1"/>
  <c r="DC164" i="3"/>
  <c r="DO164" i="3" s="1"/>
  <c r="DC200" i="3"/>
  <c r="DO200" i="3" s="1"/>
  <c r="DC303" i="3"/>
  <c r="DO303" i="3" s="1"/>
  <c r="DC38" i="3"/>
  <c r="DO38" i="3" s="1"/>
  <c r="DC292" i="3"/>
  <c r="DO292" i="3" s="1"/>
  <c r="DC304" i="3"/>
  <c r="DO304" i="3" s="1"/>
  <c r="DC177" i="3"/>
  <c r="DO177" i="3" s="1"/>
  <c r="DC83" i="3"/>
  <c r="DO83" i="3" s="1"/>
  <c r="DC455" i="3"/>
  <c r="DO455" i="3" s="1"/>
  <c r="DC228" i="3"/>
  <c r="DO228" i="3" s="1"/>
  <c r="DC369" i="3"/>
  <c r="DO369" i="3" s="1"/>
  <c r="DC376" i="3"/>
  <c r="DO376" i="3" s="1"/>
  <c r="DC513" i="3"/>
  <c r="DO513" i="3" s="1"/>
  <c r="DC251" i="3"/>
  <c r="DO251" i="3" s="1"/>
  <c r="DC333" i="3"/>
  <c r="DO333" i="3" s="1"/>
  <c r="DC351" i="3"/>
  <c r="DO351" i="3" s="1"/>
  <c r="DC371" i="3"/>
  <c r="DO371" i="3" s="1"/>
  <c r="DC301" i="3"/>
  <c r="DO301" i="3" s="1"/>
  <c r="DC221" i="3"/>
  <c r="DO221" i="3" s="1"/>
  <c r="DC446" i="3"/>
  <c r="DO446" i="3" s="1"/>
  <c r="DC451" i="3"/>
  <c r="DO451" i="3" s="1"/>
  <c r="DC140" i="3"/>
  <c r="DO140" i="3" s="1"/>
  <c r="DC183" i="3"/>
  <c r="DO183" i="3" s="1"/>
  <c r="DC170" i="3"/>
  <c r="DO170" i="3" s="1"/>
  <c r="DC356" i="3"/>
  <c r="DB356" i="3" s="1"/>
  <c r="DC257" i="3"/>
  <c r="DO257" i="3" s="1"/>
  <c r="DC372" i="3"/>
  <c r="DO372" i="3" s="1"/>
  <c r="DC309" i="3"/>
  <c r="DO309" i="3" s="1"/>
  <c r="DC274" i="3"/>
  <c r="DO274" i="3" s="1"/>
  <c r="DC436" i="3"/>
  <c r="DO436" i="3" s="1"/>
  <c r="DC519" i="3"/>
  <c r="DO519" i="3" s="1"/>
  <c r="DC431" i="3"/>
  <c r="DO431" i="3" s="1"/>
  <c r="DC41" i="3"/>
  <c r="DO41" i="3" s="1"/>
  <c r="DC31" i="3"/>
  <c r="DO31" i="3" s="1"/>
  <c r="DC533" i="3"/>
  <c r="DO533" i="3" s="1"/>
  <c r="DC290" i="3"/>
  <c r="DO290" i="3" s="1"/>
  <c r="DC420" i="3"/>
  <c r="DO420" i="3" s="1"/>
  <c r="DC307" i="3"/>
  <c r="DO307" i="3" s="1"/>
  <c r="DC518" i="3"/>
  <c r="DO518" i="3" s="1"/>
  <c r="DC278" i="3"/>
  <c r="DO278" i="3" s="1"/>
  <c r="DC496" i="3"/>
  <c r="DO496" i="3" s="1"/>
  <c r="DC137" i="3"/>
  <c r="DO137" i="3" s="1"/>
  <c r="DC306" i="3"/>
  <c r="DO306" i="3" s="1"/>
  <c r="DC313" i="3"/>
  <c r="DO313" i="3" s="1"/>
  <c r="DC141" i="3"/>
  <c r="DO141" i="3" s="1"/>
  <c r="DC184" i="3"/>
  <c r="DO184" i="3" s="1"/>
  <c r="DC456" i="3"/>
  <c r="DO456" i="3" s="1"/>
  <c r="DC198" i="3"/>
  <c r="DO198" i="3" s="1"/>
  <c r="DC430" i="3"/>
  <c r="DO430" i="3" s="1"/>
  <c r="DC22" i="3"/>
  <c r="DO22" i="3" s="1"/>
  <c r="DC48" i="3"/>
  <c r="DO48" i="3" s="1"/>
  <c r="DC295" i="3"/>
  <c r="DO295" i="3" s="1"/>
  <c r="DC199" i="3"/>
  <c r="DO199" i="3" s="1"/>
  <c r="DC407" i="3"/>
  <c r="DO407" i="3" s="1"/>
  <c r="DC236" i="3"/>
  <c r="DO236" i="3" s="1"/>
  <c r="DC208" i="3"/>
  <c r="DO208" i="3" s="1"/>
  <c r="DC266" i="3"/>
  <c r="DO266" i="3" s="1"/>
  <c r="DC136" i="3"/>
  <c r="DO136" i="3" s="1"/>
  <c r="DC173" i="3"/>
  <c r="DO173" i="3" s="1"/>
  <c r="DC288" i="3"/>
  <c r="DO288" i="3" s="1"/>
  <c r="DC440" i="3"/>
  <c r="DO440" i="3" s="1"/>
  <c r="DC231" i="3"/>
  <c r="DO231" i="3" s="1"/>
  <c r="DC415" i="3"/>
  <c r="DO415" i="3" s="1"/>
  <c r="DC134" i="3"/>
  <c r="DO134" i="3" s="1"/>
  <c r="DC176" i="3"/>
  <c r="DO176" i="3" s="1"/>
  <c r="DC131" i="3"/>
  <c r="DO131" i="3" s="1"/>
  <c r="DC401" i="3"/>
  <c r="DO401" i="3" s="1"/>
  <c r="DC144" i="3"/>
  <c r="DO144" i="3" s="1"/>
  <c r="DC244" i="3"/>
  <c r="DO244" i="3" s="1"/>
  <c r="DC484" i="3"/>
  <c r="DO484" i="3" s="1"/>
  <c r="DC413" i="3"/>
  <c r="DB413" i="3" s="1"/>
  <c r="DC299" i="3"/>
  <c r="DO299" i="3" s="1"/>
  <c r="DC130" i="3"/>
  <c r="DO130" i="3" s="1"/>
  <c r="DC479" i="3"/>
  <c r="DO479" i="3" s="1"/>
  <c r="DC108" i="3"/>
  <c r="DO108" i="3" s="1"/>
  <c r="DC285" i="3"/>
  <c r="DO285" i="3" s="1"/>
  <c r="DC234" i="3"/>
  <c r="DO234" i="3" s="1"/>
  <c r="DC471" i="3"/>
  <c r="DO471" i="3" s="1"/>
  <c r="DC112" i="3"/>
  <c r="DB112" i="3" s="1"/>
  <c r="DC201" i="3"/>
  <c r="DB201" i="3" s="1"/>
  <c r="DC90" i="3"/>
  <c r="DO90" i="3" s="1"/>
  <c r="DC432" i="3"/>
  <c r="DO432" i="3" s="1"/>
  <c r="DC300" i="3"/>
  <c r="DB300" i="3" s="1"/>
  <c r="DC368" i="3"/>
  <c r="DO368" i="3" s="1"/>
  <c r="DC531" i="3"/>
  <c r="DO531" i="3" s="1"/>
  <c r="DC311" i="3"/>
  <c r="DO311" i="3" s="1"/>
  <c r="DC62" i="3"/>
  <c r="DO62" i="3" s="1"/>
  <c r="DC494" i="3"/>
  <c r="DO494" i="3" s="1"/>
  <c r="DC514" i="3"/>
  <c r="DO514" i="3" s="1"/>
  <c r="DC441" i="3"/>
  <c r="DO441" i="3" s="1"/>
  <c r="DC262" i="3"/>
  <c r="DO262" i="3" s="1"/>
  <c r="DC323" i="3"/>
  <c r="DO323" i="3" s="1"/>
  <c r="DC316" i="3"/>
  <c r="DO316" i="3" s="1"/>
  <c r="DC166" i="3"/>
  <c r="DO166" i="3" s="1"/>
  <c r="DC452" i="3"/>
  <c r="DO452" i="3" s="1"/>
  <c r="DC286" i="3"/>
  <c r="DO286" i="3" s="1"/>
  <c r="DC98" i="3"/>
  <c r="DO98" i="3" s="1"/>
  <c r="DC91" i="3"/>
  <c r="DO91" i="3" s="1"/>
  <c r="DC240" i="3"/>
  <c r="DO240" i="3" s="1"/>
  <c r="DC252" i="3"/>
  <c r="DO252" i="3" s="1"/>
  <c r="DC27" i="3"/>
  <c r="DO27" i="3" s="1"/>
  <c r="DC437" i="3"/>
  <c r="DO437" i="3" s="1"/>
  <c r="DC188" i="3"/>
  <c r="DO188" i="3" s="1"/>
  <c r="DC230" i="3"/>
  <c r="DO230" i="3" s="1"/>
  <c r="DC179" i="3"/>
  <c r="DO179" i="3" s="1"/>
  <c r="DC409" i="3"/>
  <c r="DO409" i="3" s="1"/>
  <c r="DC425" i="3"/>
  <c r="DO425" i="3" s="1"/>
  <c r="DC196" i="3"/>
  <c r="DO196" i="3" s="1"/>
  <c r="DC539" i="3"/>
  <c r="DB539" i="3" s="1"/>
  <c r="DC322" i="3"/>
  <c r="DO322" i="3" s="1"/>
  <c r="DC324" i="3"/>
  <c r="DO324" i="3" s="1"/>
  <c r="DC353" i="3"/>
  <c r="DB353" i="3" s="1"/>
  <c r="DC24" i="3"/>
  <c r="DB24" i="3" s="1"/>
  <c r="DC123" i="3"/>
  <c r="DB123" i="3" s="1"/>
  <c r="DC318" i="3"/>
  <c r="DO318" i="3" s="1"/>
  <c r="DC384" i="3"/>
  <c r="DO384" i="3" s="1"/>
  <c r="DC26" i="3"/>
  <c r="DO26" i="3" s="1"/>
  <c r="DC349" i="3"/>
  <c r="DO349" i="3" s="1"/>
  <c r="DC222" i="3"/>
  <c r="DB222" i="3" s="1"/>
  <c r="DC167" i="3"/>
  <c r="DO167" i="3" s="1"/>
  <c r="DC336" i="3"/>
  <c r="DO336" i="3" s="1"/>
  <c r="DC497" i="3"/>
  <c r="DO497" i="3" s="1"/>
  <c r="DC211" i="3"/>
  <c r="DO211" i="3" s="1"/>
  <c r="DC491" i="3"/>
  <c r="DO491" i="3" s="1"/>
  <c r="DC405" i="3"/>
  <c r="DB405" i="3" s="1"/>
  <c r="CT541" i="3"/>
  <c r="DP541" i="3" s="1"/>
  <c r="DC380" i="3"/>
  <c r="DB380" i="3" s="1"/>
  <c r="DC142" i="3"/>
  <c r="DO142" i="3" s="1"/>
  <c r="CP542" i="3"/>
  <c r="CP543" i="3"/>
  <c r="AJ542" i="25"/>
  <c r="AK542" i="25" s="1"/>
  <c r="AJ543" i="25"/>
  <c r="AK543" i="25" s="1"/>
  <c r="CL544" i="3"/>
  <c r="CJ549" i="3"/>
  <c r="CJ545" i="3"/>
  <c r="CH546" i="3"/>
  <c r="CI546" i="3" s="1"/>
  <c r="CF548" i="3"/>
  <c r="CE547" i="3"/>
  <c r="CF547" i="3" s="1"/>
  <c r="CG547" i="3" s="1"/>
  <c r="BZ550" i="3"/>
  <c r="BX551" i="3"/>
  <c r="BV552" i="3"/>
  <c r="BT553" i="3"/>
  <c r="BR554" i="3"/>
  <c r="BS554" i="3" s="1"/>
  <c r="BP555" i="3"/>
  <c r="BP567" i="3"/>
  <c r="BN556" i="3"/>
  <c r="BN568" i="3"/>
  <c r="BL569" i="3"/>
  <c r="BL557" i="3"/>
  <c r="DB397" i="3"/>
  <c r="BJ558" i="3"/>
  <c r="BK558" i="3" s="1"/>
  <c r="BJ570" i="3"/>
  <c r="BJ571" i="3"/>
  <c r="BK571" i="3" s="1"/>
  <c r="BH559" i="3"/>
  <c r="BF560" i="3"/>
  <c r="BF572" i="3"/>
  <c r="BF561" i="3"/>
  <c r="BG561" i="3" s="1"/>
  <c r="BF564" i="3"/>
  <c r="BG564" i="3" s="1"/>
  <c r="BD573" i="3"/>
  <c r="BE573" i="3" s="1"/>
  <c r="BD574" i="3"/>
  <c r="BE574" i="3" s="1"/>
  <c r="BD565" i="3"/>
  <c r="BE565" i="3" s="1"/>
  <c r="BB575" i="3"/>
  <c r="BB562" i="3"/>
  <c r="BA566" i="3"/>
  <c r="BB566" i="3" s="1"/>
  <c r="AZ563" i="3"/>
  <c r="G1" i="25"/>
  <c r="F1" i="25"/>
  <c r="I1" i="25"/>
  <c r="H1" i="25"/>
  <c r="DB20" i="3" l="1"/>
  <c r="DO69" i="3"/>
  <c r="DB189" i="3"/>
  <c r="DB516" i="3"/>
  <c r="DB499" i="3"/>
  <c r="DB383" i="3"/>
  <c r="DB477" i="3"/>
  <c r="DB517" i="3"/>
  <c r="DB391" i="3"/>
  <c r="DB215" i="3"/>
  <c r="DB480" i="3"/>
  <c r="DB218" i="3"/>
  <c r="DB45" i="3"/>
  <c r="DO145" i="3"/>
  <c r="DB175" i="3"/>
  <c r="DB472" i="3"/>
  <c r="DB80" i="3"/>
  <c r="DB284" i="3"/>
  <c r="DB89" i="3"/>
  <c r="DB133" i="3"/>
  <c r="DB426" i="3"/>
  <c r="DB153" i="3"/>
  <c r="DB360" i="3"/>
  <c r="DB281" i="3"/>
  <c r="DB536" i="3"/>
  <c r="DB490" i="3"/>
  <c r="DB433" i="3"/>
  <c r="DB203" i="3"/>
  <c r="DB239" i="3"/>
  <c r="DB193" i="3"/>
  <c r="DB260" i="3"/>
  <c r="DB528" i="3"/>
  <c r="DB312" i="3"/>
  <c r="DB462" i="3"/>
  <c r="DO132" i="3"/>
  <c r="DB500" i="3"/>
  <c r="DB305" i="3"/>
  <c r="DB373" i="3"/>
  <c r="DB362" i="3"/>
  <c r="DB283" i="3"/>
  <c r="DB180" i="3"/>
  <c r="DB381" i="3"/>
  <c r="DB540" i="3"/>
  <c r="DB279" i="3"/>
  <c r="DB473" i="3"/>
  <c r="DB414" i="3"/>
  <c r="DO370" i="3"/>
  <c r="DB276" i="3"/>
  <c r="DB135" i="3"/>
  <c r="DB464" i="3"/>
  <c r="DB503" i="3"/>
  <c r="DB421" i="3"/>
  <c r="DO341" i="3"/>
  <c r="DB310" i="3"/>
  <c r="DB220" i="3"/>
  <c r="DB485" i="3"/>
  <c r="DB505" i="3"/>
  <c r="DB329" i="3"/>
  <c r="DB363" i="3"/>
  <c r="DB525" i="3"/>
  <c r="DB270" i="3"/>
  <c r="DB352" i="3"/>
  <c r="DB33" i="3"/>
  <c r="DB256" i="3"/>
  <c r="DO165" i="3"/>
  <c r="DB172" i="3"/>
  <c r="DB159" i="3"/>
  <c r="DB245" i="3"/>
  <c r="DB507" i="3"/>
  <c r="DB396" i="3"/>
  <c r="DB187" i="3"/>
  <c r="DB250" i="3"/>
  <c r="DB520" i="3"/>
  <c r="DB412" i="3"/>
  <c r="DB487" i="3"/>
  <c r="DB269" i="3"/>
  <c r="DB87" i="3"/>
  <c r="DB293" i="3"/>
  <c r="DB331" i="3"/>
  <c r="DB502" i="3"/>
  <c r="DB297" i="3"/>
  <c r="DB345" i="3"/>
  <c r="DB265" i="3"/>
  <c r="DB101" i="3"/>
  <c r="DO280" i="3"/>
  <c r="DB508" i="3"/>
  <c r="DB146" i="3"/>
  <c r="DB302" i="3"/>
  <c r="DB339" i="3"/>
  <c r="DB238" i="3"/>
  <c r="DB411" i="3"/>
  <c r="DB212" i="3"/>
  <c r="DB73" i="3"/>
  <c r="DB206" i="3"/>
  <c r="DB242" i="3"/>
  <c r="DB495" i="3"/>
  <c r="DO382" i="3"/>
  <c r="DB258" i="3"/>
  <c r="DB247" i="3"/>
  <c r="DB181" i="3"/>
  <c r="DB55" i="3"/>
  <c r="DB261" i="3"/>
  <c r="DB237" i="3"/>
  <c r="DB186" i="3"/>
  <c r="DB326" i="3"/>
  <c r="DB427" i="3"/>
  <c r="DB335" i="3"/>
  <c r="DB364" i="3"/>
  <c r="DB246" i="3"/>
  <c r="DB538" i="3"/>
  <c r="DB439" i="3"/>
  <c r="DO358" i="3"/>
  <c r="DB97" i="3"/>
  <c r="DB330" i="3"/>
  <c r="DB273" i="3"/>
  <c r="DB197" i="3"/>
  <c r="DB486" i="3"/>
  <c r="DB277" i="3"/>
  <c r="DB460" i="3"/>
  <c r="DB337" i="3"/>
  <c r="DB151" i="3"/>
  <c r="DB524" i="3"/>
  <c r="DB457" i="3"/>
  <c r="DB461" i="3"/>
  <c r="DB428" i="3"/>
  <c r="DB347" i="3"/>
  <c r="DB219" i="3"/>
  <c r="DB429" i="3"/>
  <c r="DB105" i="3"/>
  <c r="DB191" i="3"/>
  <c r="DB291" i="3"/>
  <c r="DB342" i="3"/>
  <c r="DB498" i="3"/>
  <c r="DB217" i="3"/>
  <c r="DB10" i="3"/>
  <c r="DB422" i="3"/>
  <c r="DB474" i="3"/>
  <c r="DB241" i="3"/>
  <c r="DO537" i="3"/>
  <c r="DB482" i="3"/>
  <c r="DB178" i="3"/>
  <c r="DB192" i="3"/>
  <c r="DB152" i="3"/>
  <c r="DB510" i="3"/>
  <c r="DB458" i="3"/>
  <c r="DO361" i="3"/>
  <c r="DB459" i="3"/>
  <c r="DB268" i="3"/>
  <c r="DB76" i="3"/>
  <c r="DB532" i="3"/>
  <c r="DO492" i="3"/>
  <c r="DB194" i="3"/>
  <c r="DB17" i="3"/>
  <c r="DB308" i="3"/>
  <c r="DB104" i="3"/>
  <c r="DB84" i="3"/>
  <c r="DB489" i="3"/>
  <c r="DB327" i="3"/>
  <c r="DB378" i="3"/>
  <c r="DB174" i="3"/>
  <c r="DB289" i="3"/>
  <c r="DB147" i="3"/>
  <c r="DB287" i="3"/>
  <c r="DB366" i="3"/>
  <c r="DB195" i="3"/>
  <c r="DB275" i="3"/>
  <c r="DB315" i="3"/>
  <c r="DO120" i="3"/>
  <c r="DO374" i="3"/>
  <c r="DB298" i="3"/>
  <c r="DB157" i="3"/>
  <c r="DB465" i="3"/>
  <c r="DB216" i="3"/>
  <c r="DB271" i="3"/>
  <c r="DB229" i="3"/>
  <c r="DB111" i="3"/>
  <c r="DB529" i="3"/>
  <c r="DB481" i="3"/>
  <c r="DB210" i="3"/>
  <c r="DB453" i="3"/>
  <c r="DB42" i="3"/>
  <c r="DB332" i="3"/>
  <c r="DB476" i="3"/>
  <c r="DB52" i="3"/>
  <c r="DB185" i="3"/>
  <c r="DO248" i="3"/>
  <c r="DB515" i="3"/>
  <c r="DB521" i="3"/>
  <c r="DB328" i="3"/>
  <c r="DB182" i="3"/>
  <c r="DB442" i="3"/>
  <c r="DB424" i="3"/>
  <c r="DB204" i="3"/>
  <c r="DB34" i="3"/>
  <c r="DB410" i="3"/>
  <c r="DB213" i="3"/>
  <c r="DB263" i="3"/>
  <c r="DB139" i="3"/>
  <c r="DB355" i="3"/>
  <c r="DB511" i="3"/>
  <c r="DB350" i="3"/>
  <c r="DB169" i="3"/>
  <c r="DB340" i="3"/>
  <c r="DB377" i="3"/>
  <c r="DB408" i="3"/>
  <c r="DB399" i="3"/>
  <c r="DB402" i="3"/>
  <c r="DB272" i="3"/>
  <c r="DB348" i="3"/>
  <c r="DB419" i="3"/>
  <c r="DB403" i="3"/>
  <c r="DB138" i="3"/>
  <c r="DB493" i="3"/>
  <c r="DB504" i="3"/>
  <c r="DB365" i="3"/>
  <c r="DB171" i="3"/>
  <c r="DB13" i="3"/>
  <c r="DB233" i="3"/>
  <c r="DB527" i="3"/>
  <c r="DB158" i="3"/>
  <c r="DB535" i="3"/>
  <c r="DB243" i="3"/>
  <c r="DB282" i="3"/>
  <c r="DB455" i="3"/>
  <c r="DB129" i="3"/>
  <c r="DB346" i="3"/>
  <c r="DB435" i="3"/>
  <c r="DB443" i="3"/>
  <c r="DB224" i="3"/>
  <c r="DB160" i="3"/>
  <c r="DB463" i="3"/>
  <c r="DB214" i="3"/>
  <c r="DB61" i="3"/>
  <c r="DB379" i="3"/>
  <c r="DB202" i="3"/>
  <c r="DB253" i="3"/>
  <c r="DB534" i="3"/>
  <c r="DB390" i="3"/>
  <c r="DB468" i="3"/>
  <c r="DB344" i="3"/>
  <c r="DB417" i="3"/>
  <c r="DB149" i="3"/>
  <c r="DB398" i="3"/>
  <c r="DB127" i="3"/>
  <c r="DB509" i="3"/>
  <c r="DB438" i="3"/>
  <c r="DB103" i="3"/>
  <c r="DB319" i="3"/>
  <c r="DB254" i="3"/>
  <c r="DB314" i="3"/>
  <c r="DB150" i="3"/>
  <c r="DB321" i="3"/>
  <c r="DB190" i="3"/>
  <c r="DB386" i="3"/>
  <c r="DB523" i="3"/>
  <c r="DB449" i="3"/>
  <c r="DB161" i="3"/>
  <c r="DB488" i="3"/>
  <c r="DB267" i="3"/>
  <c r="DB209" i="3"/>
  <c r="DB447" i="3"/>
  <c r="DB156" i="3"/>
  <c r="DB205" i="3"/>
  <c r="DB38" i="3"/>
  <c r="DB450" i="3"/>
  <c r="DB154" i="3"/>
  <c r="DB75" i="3"/>
  <c r="DB221" i="3"/>
  <c r="DB475" i="3"/>
  <c r="DO359" i="3"/>
  <c r="DB530" i="3"/>
  <c r="DB445" i="3"/>
  <c r="DB522" i="3"/>
  <c r="DB404" i="3"/>
  <c r="DB19" i="3"/>
  <c r="DO163" i="3"/>
  <c r="DB469" i="3"/>
  <c r="DB338" i="3"/>
  <c r="DB223" i="3"/>
  <c r="DB155" i="3"/>
  <c r="DB387" i="3"/>
  <c r="DO320" i="3"/>
  <c r="DB444" i="3"/>
  <c r="DB367" i="3"/>
  <c r="DB296" i="3"/>
  <c r="DB478" i="3"/>
  <c r="DO388" i="3"/>
  <c r="DB317" i="3"/>
  <c r="DB501" i="3"/>
  <c r="DB303" i="3"/>
  <c r="DB259" i="3"/>
  <c r="DB82" i="3"/>
  <c r="DB416" i="3"/>
  <c r="DB448" i="3"/>
  <c r="DB343" i="3"/>
  <c r="DB148" i="3"/>
  <c r="DB400" i="3"/>
  <c r="DO467" i="3"/>
  <c r="DB119" i="3"/>
  <c r="DB526" i="3"/>
  <c r="DB294" i="3"/>
  <c r="DB22" i="3"/>
  <c r="DB207" i="3"/>
  <c r="DB304" i="3"/>
  <c r="DB333" i="3"/>
  <c r="DB264" i="3"/>
  <c r="DB406" i="3"/>
  <c r="DB48" i="3"/>
  <c r="DB290" i="3"/>
  <c r="DB466" i="3"/>
  <c r="DB372" i="3"/>
  <c r="DB506" i="3"/>
  <c r="DB436" i="3"/>
  <c r="DB140" i="3"/>
  <c r="DB228" i="3"/>
  <c r="DB255" i="3"/>
  <c r="DB295" i="3"/>
  <c r="DB170" i="3"/>
  <c r="DB31" i="3"/>
  <c r="DB311" i="3"/>
  <c r="DB407" i="3"/>
  <c r="DB257" i="3"/>
  <c r="DB168" i="3"/>
  <c r="DB301" i="3"/>
  <c r="DB200" i="3"/>
  <c r="DB512" i="3"/>
  <c r="DB91" i="3"/>
  <c r="DB59" i="3"/>
  <c r="DB162" i="3"/>
  <c r="DB235" i="3"/>
  <c r="DB183" i="3"/>
  <c r="DB470" i="3"/>
  <c r="DB454" i="3"/>
  <c r="DB177" i="3"/>
  <c r="DB236" i="3"/>
  <c r="DB66" i="3"/>
  <c r="DB325" i="3"/>
  <c r="DB418" i="3"/>
  <c r="DB334" i="3"/>
  <c r="DB456" i="3"/>
  <c r="DB354" i="3"/>
  <c r="DB434" i="3"/>
  <c r="DB94" i="3"/>
  <c r="DB483" i="3"/>
  <c r="DB533" i="3"/>
  <c r="DB143" i="3"/>
  <c r="DB496" i="3"/>
  <c r="DB69" i="3"/>
  <c r="DB518" i="3"/>
  <c r="DB249" i="3"/>
  <c r="DB371" i="3"/>
  <c r="DB274" i="3"/>
  <c r="DB471" i="3"/>
  <c r="DO201" i="3"/>
  <c r="DB211" i="3"/>
  <c r="DB351" i="3"/>
  <c r="DB41" i="3"/>
  <c r="DB423" i="3"/>
  <c r="DB230" i="3"/>
  <c r="DB179" i="3"/>
  <c r="DB199" i="3"/>
  <c r="DB375" i="3"/>
  <c r="DB430" i="3"/>
  <c r="DB232" i="3"/>
  <c r="DB519" i="3"/>
  <c r="DB376" i="3"/>
  <c r="DB136" i="3"/>
  <c r="DB420" i="3"/>
  <c r="DB494" i="3"/>
  <c r="DB240" i="3"/>
  <c r="DB184" i="3"/>
  <c r="DB56" i="3"/>
  <c r="DB307" i="3"/>
  <c r="DO385" i="3"/>
  <c r="DB431" i="3"/>
  <c r="DB446" i="3"/>
  <c r="DB134" i="3"/>
  <c r="DB369" i="3"/>
  <c r="DB251" i="3"/>
  <c r="DB83" i="3"/>
  <c r="DB266" i="3"/>
  <c r="DB409" i="3"/>
  <c r="DB384" i="3"/>
  <c r="DB306" i="3"/>
  <c r="DB90" i="3"/>
  <c r="DB141" i="3"/>
  <c r="DB231" i="3"/>
  <c r="DB286" i="3"/>
  <c r="DB401" i="3"/>
  <c r="DB198" i="3"/>
  <c r="DB167" i="3"/>
  <c r="DB513" i="3"/>
  <c r="DB292" i="3"/>
  <c r="DB176" i="3"/>
  <c r="DB451" i="3"/>
  <c r="DO353" i="3"/>
  <c r="DB98" i="3"/>
  <c r="DB288" i="3"/>
  <c r="DO222" i="3"/>
  <c r="DB26" i="3"/>
  <c r="DB484" i="3"/>
  <c r="DB130" i="3"/>
  <c r="DB441" i="3"/>
  <c r="DO356" i="3"/>
  <c r="DB323" i="3"/>
  <c r="DB188" i="3"/>
  <c r="DB299" i="3"/>
  <c r="DO405" i="3"/>
  <c r="DO413" i="3"/>
  <c r="DO123" i="3"/>
  <c r="DB425" i="3"/>
  <c r="DB479" i="3"/>
  <c r="DB318" i="3"/>
  <c r="DO539" i="3"/>
  <c r="DB322" i="3"/>
  <c r="DB368" i="3"/>
  <c r="DB131" i="3"/>
  <c r="DB432" i="3"/>
  <c r="DB324" i="3"/>
  <c r="DB497" i="3"/>
  <c r="DB313" i="3"/>
  <c r="DB173" i="3"/>
  <c r="DB285" i="3"/>
  <c r="DO24" i="3"/>
  <c r="DO300" i="3"/>
  <c r="DB491" i="3"/>
  <c r="DB166" i="3"/>
  <c r="DB62" i="3"/>
  <c r="DB234" i="3"/>
  <c r="DB309" i="3"/>
  <c r="DB27" i="3"/>
  <c r="DB415" i="3"/>
  <c r="DB531" i="3"/>
  <c r="DB137" i="3"/>
  <c r="DB349" i="3"/>
  <c r="DO112" i="3"/>
  <c r="DB316" i="3"/>
  <c r="DB336" i="3"/>
  <c r="DB437" i="3"/>
  <c r="DB262" i="3"/>
  <c r="DB196" i="3"/>
  <c r="DB452" i="3"/>
  <c r="DB164" i="3"/>
  <c r="CV541" i="3"/>
  <c r="DB252" i="3"/>
  <c r="DB208" i="3"/>
  <c r="DB440" i="3"/>
  <c r="DB278" i="3"/>
  <c r="DB514" i="3"/>
  <c r="DB244" i="3"/>
  <c r="DB108" i="3"/>
  <c r="DB144" i="3"/>
  <c r="CT543" i="3"/>
  <c r="DP543" i="3" s="1"/>
  <c r="CT542" i="3"/>
  <c r="DP542" i="3" s="1"/>
  <c r="DO380" i="3"/>
  <c r="DB142" i="3"/>
  <c r="CN544" i="3"/>
  <c r="CO544" i="3" s="1"/>
  <c r="CL545" i="3"/>
  <c r="CL549" i="3"/>
  <c r="CJ546" i="3"/>
  <c r="CH547" i="3"/>
  <c r="CI547" i="3" s="1"/>
  <c r="CH548" i="3"/>
  <c r="CB550" i="3"/>
  <c r="CD550" i="3" s="1"/>
  <c r="BZ551" i="3"/>
  <c r="BX552" i="3"/>
  <c r="DB582" i="3"/>
  <c r="BV553" i="3"/>
  <c r="BW553" i="3" s="1"/>
  <c r="BT554" i="3"/>
  <c r="BR567" i="3"/>
  <c r="BR555" i="3"/>
  <c r="BS555" i="3" s="1"/>
  <c r="BP568" i="3"/>
  <c r="BP556" i="3"/>
  <c r="BN557" i="3"/>
  <c r="BO557" i="3" s="1"/>
  <c r="BN569" i="3"/>
  <c r="BL570" i="3"/>
  <c r="BL571" i="3"/>
  <c r="BL558" i="3"/>
  <c r="DB357" i="3"/>
  <c r="BJ559" i="3"/>
  <c r="BK559" i="3" s="1"/>
  <c r="BH564" i="3"/>
  <c r="BH561" i="3"/>
  <c r="BH560" i="3"/>
  <c r="BH572" i="3"/>
  <c r="BF573" i="3"/>
  <c r="BG573" i="3" s="1"/>
  <c r="BF574" i="3"/>
  <c r="BG574" i="3" s="1"/>
  <c r="BF565" i="3"/>
  <c r="BG565" i="3" s="1"/>
  <c r="BD566" i="3"/>
  <c r="BE566" i="3" s="1"/>
  <c r="BD562" i="3"/>
  <c r="BE562" i="3" s="1"/>
  <c r="BD575" i="3"/>
  <c r="BE575" i="3" s="1"/>
  <c r="BB563" i="3"/>
  <c r="CU541" i="3" l="1"/>
  <c r="DA541" i="3" s="1"/>
  <c r="CV543" i="3"/>
  <c r="CV542" i="3"/>
  <c r="CP544" i="3"/>
  <c r="AJ544" i="25"/>
  <c r="AK544" i="25" s="1"/>
  <c r="CN545" i="3"/>
  <c r="CO545" i="3" s="1"/>
  <c r="CN549" i="3"/>
  <c r="CO549" i="3" s="1"/>
  <c r="CL546" i="3"/>
  <c r="CJ548" i="3"/>
  <c r="CJ547" i="3"/>
  <c r="CF550" i="3"/>
  <c r="CB551" i="3"/>
  <c r="CD551" i="3" s="1"/>
  <c r="BZ552" i="3"/>
  <c r="BX553" i="3"/>
  <c r="BV554" i="3"/>
  <c r="BT555" i="3"/>
  <c r="BT567" i="3"/>
  <c r="BR568" i="3"/>
  <c r="BR556" i="3"/>
  <c r="BP569" i="3"/>
  <c r="BP557" i="3"/>
  <c r="BN571" i="3"/>
  <c r="BO571" i="3" s="1"/>
  <c r="BN558" i="3"/>
  <c r="BN570" i="3"/>
  <c r="BL559" i="3"/>
  <c r="BJ561" i="3"/>
  <c r="BK561" i="3" s="1"/>
  <c r="BJ572" i="3"/>
  <c r="BJ560" i="3"/>
  <c r="BJ564" i="3"/>
  <c r="BK564" i="3" s="1"/>
  <c r="BH565" i="3"/>
  <c r="BH574" i="3"/>
  <c r="BH573" i="3"/>
  <c r="BF575" i="3"/>
  <c r="BG575" i="3" s="1"/>
  <c r="BF562" i="3"/>
  <c r="BG562" i="3" s="1"/>
  <c r="BF566" i="3"/>
  <c r="BG566" i="3" s="1"/>
  <c r="BD563" i="3"/>
  <c r="BE563" i="3" s="1"/>
  <c r="S1" i="3"/>
  <c r="K115" i="25"/>
  <c r="K114" i="25"/>
  <c r="CT544" i="3" l="1"/>
  <c r="CV544" i="3" s="1"/>
  <c r="DC541" i="3"/>
  <c r="DO541" i="3" s="1"/>
  <c r="CU542" i="3"/>
  <c r="DA542" i="3" s="1"/>
  <c r="CU543" i="3"/>
  <c r="DA543" i="3" s="1"/>
  <c r="CP545" i="3"/>
  <c r="CP549" i="3"/>
  <c r="AJ545" i="25"/>
  <c r="AK545" i="25" s="1"/>
  <c r="AJ549" i="25"/>
  <c r="AK549" i="25" s="1"/>
  <c r="CN546" i="3"/>
  <c r="CO546" i="3" s="1"/>
  <c r="CL548" i="3"/>
  <c r="CL547" i="3"/>
  <c r="CH550" i="3"/>
  <c r="CF551" i="3"/>
  <c r="CA552" i="3"/>
  <c r="CB552" i="3" s="1"/>
  <c r="CD552" i="3" s="1"/>
  <c r="BZ553" i="3"/>
  <c r="BX554" i="3"/>
  <c r="BV567" i="3"/>
  <c r="BV555" i="3"/>
  <c r="BT556" i="3"/>
  <c r="BU556" i="3" s="1"/>
  <c r="BT568" i="3"/>
  <c r="BU568" i="3" s="1"/>
  <c r="BR557" i="3"/>
  <c r="BR569" i="3"/>
  <c r="BS569" i="3" s="1"/>
  <c r="BP570" i="3"/>
  <c r="BP571" i="3"/>
  <c r="BP558" i="3"/>
  <c r="BN559" i="3"/>
  <c r="BL564" i="3"/>
  <c r="BL560" i="3"/>
  <c r="BL572" i="3"/>
  <c r="BL561" i="3"/>
  <c r="BJ573" i="3"/>
  <c r="BK573" i="3" s="1"/>
  <c r="BJ565" i="3"/>
  <c r="BK565" i="3" s="1"/>
  <c r="BJ574" i="3"/>
  <c r="BK574" i="3" s="1"/>
  <c r="BH566" i="3"/>
  <c r="BH562" i="3"/>
  <c r="BH575" i="3"/>
  <c r="BF563" i="3"/>
  <c r="BG563" i="3" s="1"/>
  <c r="AK114" i="25"/>
  <c r="AK115" i="25"/>
  <c r="AK126" i="25"/>
  <c r="AK120" i="25"/>
  <c r="AK121" i="25"/>
  <c r="AK127" i="25"/>
  <c r="U1" i="3"/>
  <c r="T1" i="3"/>
  <c r="DB541" i="3" l="1"/>
  <c r="CT545" i="3"/>
  <c r="DP545" i="3" s="1"/>
  <c r="DC542" i="3"/>
  <c r="DO542" i="3" s="1"/>
  <c r="DC543" i="3"/>
  <c r="DB543" i="3" s="1"/>
  <c r="CU544" i="3"/>
  <c r="DA544" i="3" s="1"/>
  <c r="CT549" i="3"/>
  <c r="DP549" i="3" s="1"/>
  <c r="DP544" i="3"/>
  <c r="CP546" i="3"/>
  <c r="AJ546" i="25"/>
  <c r="AK546" i="25" s="1"/>
  <c r="CN547" i="3"/>
  <c r="CO547" i="3" s="1"/>
  <c r="CN548" i="3"/>
  <c r="CO548" i="3" s="1"/>
  <c r="CJ550" i="3"/>
  <c r="CH551" i="3"/>
  <c r="CF552" i="3"/>
  <c r="CA553" i="3"/>
  <c r="CB553" i="3" s="1"/>
  <c r="BZ554" i="3"/>
  <c r="BX555" i="3"/>
  <c r="BX567" i="3"/>
  <c r="BV568" i="3"/>
  <c r="BV556" i="3"/>
  <c r="BW556" i="3" s="1"/>
  <c r="BT569" i="3"/>
  <c r="BT557" i="3"/>
  <c r="BU557" i="3" s="1"/>
  <c r="CV114" i="3"/>
  <c r="DP114" i="3"/>
  <c r="BR558" i="3"/>
  <c r="BR571" i="3"/>
  <c r="BS571" i="3" s="1"/>
  <c r="BR570" i="3"/>
  <c r="BP559" i="3"/>
  <c r="BN561" i="3"/>
  <c r="BN572" i="3"/>
  <c r="BN560" i="3"/>
  <c r="BN564" i="3"/>
  <c r="BL574" i="3"/>
  <c r="BL565" i="3"/>
  <c r="BL573" i="3"/>
  <c r="BJ575" i="3"/>
  <c r="BK575" i="3" s="1"/>
  <c r="BJ562" i="3"/>
  <c r="BK562" i="3" s="1"/>
  <c r="BJ566" i="3"/>
  <c r="BK566" i="3" s="1"/>
  <c r="BH563" i="3"/>
  <c r="C7" i="26"/>
  <c r="K1" i="25"/>
  <c r="CT546" i="3" l="1"/>
  <c r="DB542" i="3"/>
  <c r="DC544" i="3"/>
  <c r="DB544" i="3" s="1"/>
  <c r="DO543" i="3"/>
  <c r="CU114" i="3"/>
  <c r="DA114" i="3" s="1"/>
  <c r="CV549" i="3"/>
  <c r="CV545" i="3"/>
  <c r="DP546" i="3"/>
  <c r="AJ547" i="25"/>
  <c r="AK547" i="25" s="1"/>
  <c r="CV546" i="3"/>
  <c r="CP548" i="3"/>
  <c r="CP547" i="3"/>
  <c r="AJ548" i="25"/>
  <c r="AK548" i="25" s="1"/>
  <c r="CL550" i="3"/>
  <c r="CJ551" i="3"/>
  <c r="CH552" i="3"/>
  <c r="CD553" i="3"/>
  <c r="CA554" i="3"/>
  <c r="CB554" i="3" s="1"/>
  <c r="BZ567" i="3"/>
  <c r="BZ555" i="3"/>
  <c r="BX556" i="3"/>
  <c r="BX568" i="3"/>
  <c r="BV557" i="3"/>
  <c r="BV569" i="3"/>
  <c r="BT558" i="3"/>
  <c r="BT571" i="3"/>
  <c r="BT570" i="3"/>
  <c r="CV115" i="3"/>
  <c r="DP115" i="3"/>
  <c r="BR559" i="3"/>
  <c r="BS559" i="3" s="1"/>
  <c r="BP572" i="3"/>
  <c r="BP560" i="3"/>
  <c r="BP561" i="3"/>
  <c r="BP564" i="3"/>
  <c r="BN565" i="3"/>
  <c r="BO565" i="3" s="1"/>
  <c r="BN574" i="3"/>
  <c r="BN573" i="3"/>
  <c r="BO573" i="3" s="1"/>
  <c r="BL566" i="3"/>
  <c r="BL562" i="3"/>
  <c r="BL575" i="3"/>
  <c r="BJ563" i="3"/>
  <c r="BK563" i="3" s="1"/>
  <c r="CT547" i="3" l="1"/>
  <c r="DO544" i="3"/>
  <c r="CU546" i="3"/>
  <c r="DA546" i="3" s="1"/>
  <c r="CU545" i="3"/>
  <c r="DA545" i="3" s="1"/>
  <c r="CU549" i="3"/>
  <c r="DA549" i="3" s="1"/>
  <c r="CU115" i="3"/>
  <c r="DA115" i="3" s="1"/>
  <c r="DC114" i="3"/>
  <c r="DO114" i="3" s="1"/>
  <c r="CT548" i="3"/>
  <c r="DP548" i="3" s="1"/>
  <c r="DP547" i="3"/>
  <c r="CV547" i="3"/>
  <c r="CN550" i="3"/>
  <c r="CO550" i="3" s="1"/>
  <c r="CL551" i="3"/>
  <c r="CJ552" i="3"/>
  <c r="CF553" i="3"/>
  <c r="CG553" i="3" s="1"/>
  <c r="CD554" i="3"/>
  <c r="CA555" i="3"/>
  <c r="CB555" i="3" s="1"/>
  <c r="CB567" i="3"/>
  <c r="BZ568" i="3"/>
  <c r="BZ556" i="3"/>
  <c r="BX569" i="3"/>
  <c r="BX557" i="3"/>
  <c r="BY557" i="3" s="1"/>
  <c r="BV570" i="3"/>
  <c r="BV558" i="3"/>
  <c r="BV571" i="3"/>
  <c r="BT559" i="3"/>
  <c r="BR572" i="3"/>
  <c r="BR564" i="3"/>
  <c r="BR561" i="3"/>
  <c r="BS561" i="3" s="1"/>
  <c r="BR560" i="3"/>
  <c r="BP573" i="3"/>
  <c r="BP574" i="3"/>
  <c r="BP565" i="3"/>
  <c r="BN575" i="3"/>
  <c r="BN566" i="3"/>
  <c r="BN562" i="3"/>
  <c r="BO562" i="3" s="1"/>
  <c r="BL563" i="3"/>
  <c r="DC545" i="3" l="1"/>
  <c r="DB545" i="3" s="1"/>
  <c r="DC549" i="3"/>
  <c r="DO549" i="3" s="1"/>
  <c r="CU547" i="3"/>
  <c r="DA547" i="3" s="1"/>
  <c r="DB114" i="3"/>
  <c r="CV548" i="3"/>
  <c r="DC115" i="3"/>
  <c r="DO115" i="3" s="1"/>
  <c r="DC546" i="3"/>
  <c r="DO546" i="3" s="1"/>
  <c r="CP550" i="3"/>
  <c r="AJ550" i="25"/>
  <c r="AK550" i="25" s="1"/>
  <c r="CN551" i="3"/>
  <c r="CO551" i="3" s="1"/>
  <c r="CL552" i="3"/>
  <c r="CH553" i="3"/>
  <c r="CI553" i="3" s="1"/>
  <c r="CE554" i="3"/>
  <c r="CF554" i="3" s="1"/>
  <c r="CG554" i="3" s="1"/>
  <c r="CD555" i="3"/>
  <c r="CD567" i="3"/>
  <c r="CA556" i="3"/>
  <c r="CB556" i="3" s="1"/>
  <c r="CA568" i="3"/>
  <c r="CB568" i="3" s="1"/>
  <c r="BZ557" i="3"/>
  <c r="BZ569" i="3"/>
  <c r="BX571" i="3"/>
  <c r="BX558" i="3"/>
  <c r="BX570" i="3"/>
  <c r="BV559" i="3"/>
  <c r="BT561" i="3"/>
  <c r="BT572" i="3"/>
  <c r="BT564" i="3"/>
  <c r="BU564" i="3" s="1"/>
  <c r="BT560" i="3"/>
  <c r="BR565" i="3"/>
  <c r="BR573" i="3"/>
  <c r="BR574" i="3"/>
  <c r="BP575" i="3"/>
  <c r="BP562" i="3"/>
  <c r="BP566" i="3"/>
  <c r="BN563" i="3"/>
  <c r="BO563" i="3" s="1"/>
  <c r="DB549" i="3" l="1"/>
  <c r="DO545" i="3"/>
  <c r="CU548" i="3"/>
  <c r="DA548" i="3" s="1"/>
  <c r="DC548" i="3" s="1"/>
  <c r="DB548" i="3" s="1"/>
  <c r="DB115" i="3"/>
  <c r="DB546" i="3"/>
  <c r="DC547" i="3"/>
  <c r="DO547" i="3" s="1"/>
  <c r="CT550" i="3"/>
  <c r="DP550" i="3" s="1"/>
  <c r="CP551" i="3"/>
  <c r="AJ551" i="25"/>
  <c r="AK551" i="25" s="1"/>
  <c r="CN552" i="3"/>
  <c r="CO552" i="3" s="1"/>
  <c r="CJ553" i="3"/>
  <c r="CH554" i="3"/>
  <c r="CI554" i="3" s="1"/>
  <c r="CF567" i="3"/>
  <c r="CE555" i="3"/>
  <c r="CF555" i="3" s="1"/>
  <c r="CG555" i="3" s="1"/>
  <c r="CD568" i="3"/>
  <c r="CD556" i="3"/>
  <c r="CE556" i="3" s="1"/>
  <c r="CA557" i="3"/>
  <c r="CB557" i="3" s="1"/>
  <c r="CB569" i="3"/>
  <c r="CD569" i="3" s="1"/>
  <c r="BZ570" i="3"/>
  <c r="BZ571" i="3"/>
  <c r="BZ558" i="3"/>
  <c r="BX559" i="3"/>
  <c r="BV572" i="3"/>
  <c r="BV560" i="3"/>
  <c r="BV561" i="3"/>
  <c r="BW561" i="3" s="1"/>
  <c r="BV564" i="3"/>
  <c r="BW564" i="3" s="1"/>
  <c r="BT573" i="3"/>
  <c r="BU573" i="3" s="1"/>
  <c r="BT574" i="3"/>
  <c r="BT565" i="3"/>
  <c r="BU565" i="3" s="1"/>
  <c r="BR575" i="3"/>
  <c r="BS575" i="3" s="1"/>
  <c r="BR566" i="3"/>
  <c r="BR562" i="3"/>
  <c r="BS562" i="3" s="1"/>
  <c r="BP563" i="3"/>
  <c r="DO548" i="3" l="1"/>
  <c r="DB547" i="3"/>
  <c r="CV550" i="3"/>
  <c r="CT551" i="3"/>
  <c r="DP551" i="3" s="1"/>
  <c r="CP552" i="3"/>
  <c r="AJ552" i="25"/>
  <c r="AK552" i="25" s="1"/>
  <c r="CL553" i="3"/>
  <c r="CJ554" i="3"/>
  <c r="CH555" i="3"/>
  <c r="CI555" i="3" s="1"/>
  <c r="CH567" i="3"/>
  <c r="CF568" i="3"/>
  <c r="CG568" i="3" s="1"/>
  <c r="CF569" i="3"/>
  <c r="CF556" i="3"/>
  <c r="CG556" i="3" s="1"/>
  <c r="CD557" i="3"/>
  <c r="CE557" i="3" s="1"/>
  <c r="CA558" i="3"/>
  <c r="CB558" i="3" s="1"/>
  <c r="CA571" i="3"/>
  <c r="CB571" i="3" s="1"/>
  <c r="CB570" i="3"/>
  <c r="BZ559" i="3"/>
  <c r="BX564" i="3"/>
  <c r="BX561" i="3"/>
  <c r="BX560" i="3"/>
  <c r="BX572" i="3"/>
  <c r="BV574" i="3"/>
  <c r="BV565" i="3"/>
  <c r="BV573" i="3"/>
  <c r="BT566" i="3"/>
  <c r="BT575" i="3"/>
  <c r="BT562" i="3"/>
  <c r="BR563" i="3"/>
  <c r="BS563" i="3" s="1"/>
  <c r="CU550" i="3" l="1"/>
  <c r="DA550" i="3" s="1"/>
  <c r="CV551" i="3"/>
  <c r="CT552" i="3"/>
  <c r="DP552" i="3" s="1"/>
  <c r="CN553" i="3"/>
  <c r="CO553" i="3" s="1"/>
  <c r="AJ553" i="25" s="1"/>
  <c r="AK553" i="25" s="1"/>
  <c r="CL554" i="3"/>
  <c r="CJ567" i="3"/>
  <c r="CJ555" i="3"/>
  <c r="CH568" i="3"/>
  <c r="CI568" i="3" s="1"/>
  <c r="CH556" i="3"/>
  <c r="CI556" i="3" s="1"/>
  <c r="CH569" i="3"/>
  <c r="CF557" i="3"/>
  <c r="CG557" i="3" s="1"/>
  <c r="CD558" i="3"/>
  <c r="CE558" i="3" s="1"/>
  <c r="CD571" i="3"/>
  <c r="CD570" i="3"/>
  <c r="CA559" i="3"/>
  <c r="CB559" i="3" s="1"/>
  <c r="BZ572" i="3"/>
  <c r="BZ560" i="3"/>
  <c r="BZ561" i="3"/>
  <c r="BZ564" i="3"/>
  <c r="BX574" i="3"/>
  <c r="BX573" i="3"/>
  <c r="BY573" i="3" s="1"/>
  <c r="BX565" i="3"/>
  <c r="BY565" i="3" s="1"/>
  <c r="BV562" i="3"/>
  <c r="BV575" i="3"/>
  <c r="BV566" i="3"/>
  <c r="BT563" i="3"/>
  <c r="DC550" i="3" l="1"/>
  <c r="DO550" i="3" s="1"/>
  <c r="CU551" i="3"/>
  <c r="DA551" i="3" s="1"/>
  <c r="CV552" i="3"/>
  <c r="CP553" i="3"/>
  <c r="CN554" i="3"/>
  <c r="CO554" i="3" s="1"/>
  <c r="CL555" i="3"/>
  <c r="CL567" i="3"/>
  <c r="CJ568" i="3"/>
  <c r="CJ569" i="3"/>
  <c r="CJ556" i="3"/>
  <c r="CH557" i="3"/>
  <c r="CI557" i="3" s="1"/>
  <c r="CF570" i="3"/>
  <c r="CF558" i="3"/>
  <c r="CG558" i="3" s="1"/>
  <c r="CE571" i="3"/>
  <c r="CF571" i="3" s="1"/>
  <c r="CG571" i="3" s="1"/>
  <c r="CD559" i="3"/>
  <c r="CA564" i="3"/>
  <c r="CB564" i="3" s="1"/>
  <c r="CA561" i="3"/>
  <c r="CB561" i="3" s="1"/>
  <c r="CB572" i="3"/>
  <c r="CB560" i="3"/>
  <c r="BZ565" i="3"/>
  <c r="BZ574" i="3"/>
  <c r="BZ573" i="3"/>
  <c r="BX566" i="3"/>
  <c r="BX575" i="3"/>
  <c r="BX562" i="3"/>
  <c r="BV563" i="3"/>
  <c r="CT553" i="3" l="1"/>
  <c r="DB550" i="3"/>
  <c r="DC551" i="3"/>
  <c r="DB551" i="3" s="1"/>
  <c r="CU552" i="3"/>
  <c r="DA552" i="3" s="1"/>
  <c r="DP553" i="3"/>
  <c r="AJ554" i="25"/>
  <c r="AK554" i="25" s="1"/>
  <c r="CV553" i="3"/>
  <c r="CP554" i="3"/>
  <c r="CN567" i="3"/>
  <c r="CO567" i="3" s="1"/>
  <c r="CN555" i="3"/>
  <c r="CO555" i="3" s="1"/>
  <c r="CL556" i="3"/>
  <c r="CL569" i="3"/>
  <c r="CL568" i="3"/>
  <c r="CJ557" i="3"/>
  <c r="CH571" i="3"/>
  <c r="CI571" i="3" s="1"/>
  <c r="CH558" i="3"/>
  <c r="CI558" i="3" s="1"/>
  <c r="CH570" i="3"/>
  <c r="CF559" i="3"/>
  <c r="CG559" i="3" s="1"/>
  <c r="CD572" i="3"/>
  <c r="CD561" i="3"/>
  <c r="CD560" i="3"/>
  <c r="CD564" i="3"/>
  <c r="CE564" i="3" s="1"/>
  <c r="CA573" i="3"/>
  <c r="CB573" i="3" s="1"/>
  <c r="CA574" i="3"/>
  <c r="CB574" i="3" s="1"/>
  <c r="CA565" i="3"/>
  <c r="CB565" i="3" s="1"/>
  <c r="BZ566" i="3"/>
  <c r="BZ575" i="3"/>
  <c r="CA575" i="3" s="1"/>
  <c r="BZ562" i="3"/>
  <c r="BX563" i="3"/>
  <c r="CT554" i="3" l="1"/>
  <c r="CV554" i="3" s="1"/>
  <c r="DO551" i="3"/>
  <c r="DC552" i="3"/>
  <c r="DO552" i="3" s="1"/>
  <c r="CU553" i="3"/>
  <c r="DA553" i="3" s="1"/>
  <c r="DP554" i="3"/>
  <c r="CP555" i="3"/>
  <c r="AJ567" i="25"/>
  <c r="AK567" i="25" s="1"/>
  <c r="CP567" i="3"/>
  <c r="AJ555" i="25"/>
  <c r="AK555" i="25" s="1"/>
  <c r="CN556" i="3"/>
  <c r="CO556" i="3" s="1"/>
  <c r="CN568" i="3"/>
  <c r="CO568" i="3" s="1"/>
  <c r="CN569" i="3"/>
  <c r="CO569" i="3" s="1"/>
  <c r="CL557" i="3"/>
  <c r="CJ570" i="3"/>
  <c r="CJ571" i="3"/>
  <c r="CJ558" i="3"/>
  <c r="CH559" i="3"/>
  <c r="CI559" i="3" s="1"/>
  <c r="CF564" i="3"/>
  <c r="CG564" i="3" s="1"/>
  <c r="CF560" i="3"/>
  <c r="CF561" i="3"/>
  <c r="CG561" i="3" s="1"/>
  <c r="CF572" i="3"/>
  <c r="CD565" i="3"/>
  <c r="CE565" i="3" s="1"/>
  <c r="CD574" i="3"/>
  <c r="CE574" i="3" s="1"/>
  <c r="CD573" i="3"/>
  <c r="CE573" i="3" s="1"/>
  <c r="CA562" i="3"/>
  <c r="CB562" i="3" s="1"/>
  <c r="CA566" i="3"/>
  <c r="CB566" i="3" s="1"/>
  <c r="CB575" i="3"/>
  <c r="BZ563" i="3"/>
  <c r="CT555" i="3" l="1"/>
  <c r="DB552" i="3"/>
  <c r="CU554" i="3"/>
  <c r="DA554" i="3" s="1"/>
  <c r="DC553" i="3"/>
  <c r="DB553" i="3" s="1"/>
  <c r="CT567" i="3"/>
  <c r="DP567" i="3" s="1"/>
  <c r="DP555" i="3"/>
  <c r="CP569" i="3"/>
  <c r="CP568" i="3"/>
  <c r="CP556" i="3"/>
  <c r="AJ556" i="25"/>
  <c r="AK556" i="25" s="1"/>
  <c r="AJ568" i="25"/>
  <c r="AK568" i="25" s="1"/>
  <c r="CN557" i="3"/>
  <c r="CO557" i="3" s="1"/>
  <c r="AJ569" i="25"/>
  <c r="AK569" i="25" s="1"/>
  <c r="CL571" i="3"/>
  <c r="CL558" i="3"/>
  <c r="CL570" i="3"/>
  <c r="CJ559" i="3"/>
  <c r="CH564" i="3"/>
  <c r="CI564" i="3" s="1"/>
  <c r="CH560" i="3"/>
  <c r="CH572" i="3"/>
  <c r="CH561" i="3"/>
  <c r="CI561" i="3" s="1"/>
  <c r="CF574" i="3"/>
  <c r="CG574" i="3" s="1"/>
  <c r="CF565" i="3"/>
  <c r="CG565" i="3" s="1"/>
  <c r="CF573" i="3"/>
  <c r="CD562" i="3"/>
  <c r="CD575" i="3"/>
  <c r="CD566" i="3"/>
  <c r="CE566" i="3" s="1"/>
  <c r="CA563" i="3"/>
  <c r="CB563" i="3" s="1"/>
  <c r="CD563" i="3" s="1"/>
  <c r="CT556" i="3" l="1"/>
  <c r="CT568" i="3"/>
  <c r="DP568" i="3" s="1"/>
  <c r="DO553" i="3"/>
  <c r="DC554" i="3"/>
  <c r="DO554" i="3" s="1"/>
  <c r="CV567" i="3"/>
  <c r="CT569" i="3"/>
  <c r="DP569" i="3" s="1"/>
  <c r="CV555" i="3"/>
  <c r="DP556" i="3"/>
  <c r="CP557" i="3"/>
  <c r="AJ557" i="25"/>
  <c r="AK557" i="25" s="1"/>
  <c r="CN571" i="3"/>
  <c r="CO571" i="3" s="1"/>
  <c r="CN570" i="3"/>
  <c r="CO570" i="3" s="1"/>
  <c r="CN558" i="3"/>
  <c r="CO558" i="3" s="1"/>
  <c r="CL559" i="3"/>
  <c r="CJ564" i="3"/>
  <c r="CJ572" i="3"/>
  <c r="CJ561" i="3"/>
  <c r="CJ560" i="3"/>
  <c r="CH565" i="3"/>
  <c r="CI565" i="3" s="1"/>
  <c r="CH574" i="3"/>
  <c r="CI574" i="3" s="1"/>
  <c r="CH573" i="3"/>
  <c r="CF566" i="3"/>
  <c r="CG566" i="3" s="1"/>
  <c r="CF575" i="3"/>
  <c r="CE563" i="3"/>
  <c r="CF563" i="3" s="1"/>
  <c r="CG563" i="3" s="1"/>
  <c r="CE562" i="3"/>
  <c r="CF562" i="3" s="1"/>
  <c r="CG562" i="3" s="1"/>
  <c r="CV568" i="3" l="1"/>
  <c r="CT557" i="3"/>
  <c r="DP557" i="3" s="1"/>
  <c r="CU555" i="3"/>
  <c r="DA555" i="3" s="1"/>
  <c r="DC555" i="3" s="1"/>
  <c r="DO555" i="3" s="1"/>
  <c r="CU567" i="3"/>
  <c r="DA567" i="3" s="1"/>
  <c r="CU568" i="3"/>
  <c r="DA568" i="3" s="1"/>
  <c r="DB554" i="3"/>
  <c r="CV569" i="3"/>
  <c r="CV556" i="3"/>
  <c r="CP558" i="3"/>
  <c r="AJ570" i="25"/>
  <c r="AK570" i="25" s="1"/>
  <c r="AJ571" i="25"/>
  <c r="AK571" i="25" s="1"/>
  <c r="AJ558" i="25"/>
  <c r="AK558" i="25" s="1"/>
  <c r="CP571" i="3"/>
  <c r="CP570" i="3"/>
  <c r="CN559" i="3"/>
  <c r="CO559" i="3" s="1"/>
  <c r="CL564" i="3"/>
  <c r="CL560" i="3"/>
  <c r="CL561" i="3"/>
  <c r="CL572" i="3"/>
  <c r="CJ574" i="3"/>
  <c r="CJ565" i="3"/>
  <c r="CJ573" i="3"/>
  <c r="CH562" i="3"/>
  <c r="CI562" i="3" s="1"/>
  <c r="CH563" i="3"/>
  <c r="CI563" i="3" s="1"/>
  <c r="CH566" i="3"/>
  <c r="CI566" i="3" s="1"/>
  <c r="CH575" i="3"/>
  <c r="CT558" i="3" l="1"/>
  <c r="DP558" i="3" s="1"/>
  <c r="CT571" i="3"/>
  <c r="CV571" i="3" s="1"/>
  <c r="DC568" i="3"/>
  <c r="DB568" i="3" s="1"/>
  <c r="DC567" i="3"/>
  <c r="DB567" i="3" s="1"/>
  <c r="CU556" i="3"/>
  <c r="DA556" i="3" s="1"/>
  <c r="DC556" i="3" s="1"/>
  <c r="DO556" i="3" s="1"/>
  <c r="CU569" i="3"/>
  <c r="DA569" i="3" s="1"/>
  <c r="DB555" i="3"/>
  <c r="CT570" i="3"/>
  <c r="DP570" i="3" s="1"/>
  <c r="CV557" i="3"/>
  <c r="DP571" i="3"/>
  <c r="AJ559" i="25"/>
  <c r="AK559" i="25" s="1"/>
  <c r="CP559" i="3"/>
  <c r="CN564" i="3"/>
  <c r="CO564" i="3" s="1"/>
  <c r="CN560" i="3"/>
  <c r="CO560" i="3" s="1"/>
  <c r="CN572" i="3"/>
  <c r="CO572" i="3" s="1"/>
  <c r="CN561" i="3"/>
  <c r="CO561" i="3" s="1"/>
  <c r="CL565" i="3"/>
  <c r="CL574" i="3"/>
  <c r="CL573" i="3"/>
  <c r="CJ575" i="3"/>
  <c r="CJ566" i="3"/>
  <c r="CJ563" i="3"/>
  <c r="CJ562" i="3"/>
  <c r="CT559" i="3" l="1"/>
  <c r="DO568" i="3"/>
  <c r="DO567" i="3"/>
  <c r="DC569" i="3"/>
  <c r="DB569" i="3" s="1"/>
  <c r="CU557" i="3"/>
  <c r="DA557" i="3" s="1"/>
  <c r="CU571" i="3"/>
  <c r="DA571" i="3" s="1"/>
  <c r="DB556" i="3"/>
  <c r="CV570" i="3"/>
  <c r="CV558" i="3"/>
  <c r="DP559" i="3"/>
  <c r="CP561" i="3"/>
  <c r="CP572" i="3"/>
  <c r="CP560" i="3"/>
  <c r="CP564" i="3"/>
  <c r="AJ572" i="25"/>
  <c r="AK572" i="25" s="1"/>
  <c r="AJ560" i="25"/>
  <c r="AK560" i="25" s="1"/>
  <c r="AJ564" i="25"/>
  <c r="AK564" i="25" s="1"/>
  <c r="CN565" i="3"/>
  <c r="CO565" i="3" s="1"/>
  <c r="CN574" i="3"/>
  <c r="CO574" i="3" s="1"/>
  <c r="CN573" i="3"/>
  <c r="CO573" i="3" s="1"/>
  <c r="AJ561" i="25"/>
  <c r="AK561" i="25" s="1"/>
  <c r="CL562" i="3"/>
  <c r="CL563" i="3"/>
  <c r="CL566" i="3"/>
  <c r="CL575" i="3"/>
  <c r="CT564" i="3" l="1"/>
  <c r="CT561" i="3"/>
  <c r="DP561" i="3" s="1"/>
  <c r="DO569" i="3"/>
  <c r="DC557" i="3"/>
  <c r="DB557" i="3" s="1"/>
  <c r="CU558" i="3"/>
  <c r="DA558" i="3" s="1"/>
  <c r="CU570" i="3"/>
  <c r="DA570" i="3" s="1"/>
  <c r="DC571" i="3"/>
  <c r="DO571" i="3" s="1"/>
  <c r="CT560" i="3"/>
  <c r="DP560" i="3" s="1"/>
  <c r="CT572" i="3"/>
  <c r="DP572" i="3" s="1"/>
  <c r="CV559" i="3"/>
  <c r="DP564" i="3"/>
  <c r="CP573" i="3"/>
  <c r="CP574" i="3"/>
  <c r="CP565" i="3"/>
  <c r="AJ565" i="25"/>
  <c r="AK565" i="25" s="1"/>
  <c r="AJ574" i="25"/>
  <c r="AK574" i="25" s="1"/>
  <c r="AJ573" i="25"/>
  <c r="AK573" i="25" s="1"/>
  <c r="CN562" i="3"/>
  <c r="CO562" i="3" s="1"/>
  <c r="CN563" i="3"/>
  <c r="CO563" i="3" s="1"/>
  <c r="CN575" i="3"/>
  <c r="CO575" i="3" s="1"/>
  <c r="CN566" i="3"/>
  <c r="CO566" i="3" s="1"/>
  <c r="CT565" i="3" l="1"/>
  <c r="CT574" i="3"/>
  <c r="DP574" i="3" s="1"/>
  <c r="DC558" i="3"/>
  <c r="DB558" i="3" s="1"/>
  <c r="DO557" i="3"/>
  <c r="DC570" i="3"/>
  <c r="DO570" i="3" s="1"/>
  <c r="CU559" i="3"/>
  <c r="DA559" i="3" s="1"/>
  <c r="DC559" i="3" s="1"/>
  <c r="DB559" i="3" s="1"/>
  <c r="DB571" i="3"/>
  <c r="CV560" i="3"/>
  <c r="CV572" i="3"/>
  <c r="CT573" i="3"/>
  <c r="DP573" i="3" s="1"/>
  <c r="CV561" i="3"/>
  <c r="CV564" i="3"/>
  <c r="DP565" i="3"/>
  <c r="AJ566" i="25"/>
  <c r="AK566" i="25" s="1"/>
  <c r="CP575" i="3"/>
  <c r="CP563" i="3"/>
  <c r="CP562" i="3"/>
  <c r="AJ562" i="25"/>
  <c r="AK562" i="25" s="1"/>
  <c r="AJ575" i="25"/>
  <c r="AK575" i="25" s="1"/>
  <c r="CP566" i="3"/>
  <c r="AJ563" i="25"/>
  <c r="AK563" i="25" s="1"/>
  <c r="I3" i="26"/>
  <c r="D3" i="26"/>
  <c r="G3" i="26"/>
  <c r="G6" i="26"/>
  <c r="D6" i="26"/>
  <c r="I6" i="26"/>
  <c r="I5" i="26"/>
  <c r="G5" i="26"/>
  <c r="CT566" i="3" l="1"/>
  <c r="CT562" i="3"/>
  <c r="DP562" i="3" s="1"/>
  <c r="CT563" i="3"/>
  <c r="CV563" i="3" s="1"/>
  <c r="DB570" i="3"/>
  <c r="DO558" i="3"/>
  <c r="CU560" i="3"/>
  <c r="DA560" i="3" s="1"/>
  <c r="DC560" i="3" s="1"/>
  <c r="CU564" i="3"/>
  <c r="DA564" i="3" s="1"/>
  <c r="DC564" i="3" s="1"/>
  <c r="DO564" i="3" s="1"/>
  <c r="CU561" i="3"/>
  <c r="DA561" i="3" s="1"/>
  <c r="CU572" i="3"/>
  <c r="DA572" i="3" s="1"/>
  <c r="DO559" i="3"/>
  <c r="CV573" i="3"/>
  <c r="CT575" i="3"/>
  <c r="DP575" i="3" s="1"/>
  <c r="CV574" i="3"/>
  <c r="CV565" i="3"/>
  <c r="CV566" i="3"/>
  <c r="AL1" i="25"/>
  <c r="AK1" i="25" s="1"/>
  <c r="D4" i="26"/>
  <c r="E4" i="26" s="1"/>
  <c r="I4" i="26"/>
  <c r="D5" i="26"/>
  <c r="G4" i="26"/>
  <c r="F3" i="26"/>
  <c r="E3" i="26"/>
  <c r="H3" i="26"/>
  <c r="J3" i="26"/>
  <c r="E6" i="26"/>
  <c r="F6" i="26"/>
  <c r="H6" i="26"/>
  <c r="J6" i="26"/>
  <c r="H4" i="26"/>
  <c r="J4" i="26"/>
  <c r="DC561" i="3" l="1"/>
  <c r="DO561" i="3" s="1"/>
  <c r="DC572" i="3"/>
  <c r="DO572" i="3" s="1"/>
  <c r="CU566" i="3"/>
  <c r="DA566" i="3" s="1"/>
  <c r="CU563" i="3"/>
  <c r="DA563" i="3" s="1"/>
  <c r="CU565" i="3"/>
  <c r="DA565" i="3" s="1"/>
  <c r="CU574" i="3"/>
  <c r="DA574" i="3" s="1"/>
  <c r="CU573" i="3"/>
  <c r="DA573" i="3" s="1"/>
  <c r="DB564" i="3"/>
  <c r="DB560" i="3"/>
  <c r="DO560" i="3"/>
  <c r="CV575" i="3"/>
  <c r="CV562" i="3"/>
  <c r="DP563" i="3"/>
  <c r="DP566" i="3"/>
  <c r="D7" i="26"/>
  <c r="E7" i="26" s="1"/>
  <c r="F4" i="26"/>
  <c r="E5" i="26"/>
  <c r="F5" i="26"/>
  <c r="J5" i="26"/>
  <c r="H5" i="26"/>
  <c r="DB561" i="3" l="1"/>
  <c r="DB572" i="3"/>
  <c r="DC565" i="3"/>
  <c r="DB565" i="3" s="1"/>
  <c r="DC563" i="3"/>
  <c r="DO563" i="3" s="1"/>
  <c r="DC573" i="3"/>
  <c r="DO573" i="3" s="1"/>
  <c r="CU575" i="3"/>
  <c r="DA575" i="3" s="1"/>
  <c r="DC575" i="3" s="1"/>
  <c r="DC574" i="3"/>
  <c r="DO574" i="3" s="1"/>
  <c r="CU562" i="3"/>
  <c r="DA562" i="3" s="1"/>
  <c r="DC566" i="3"/>
  <c r="DB566" i="3" s="1"/>
  <c r="F7" i="26"/>
  <c r="DO565" i="3" l="1"/>
  <c r="DB573" i="3"/>
  <c r="DB563" i="3"/>
  <c r="DB574" i="3"/>
  <c r="DC562" i="3"/>
  <c r="DO562" i="3" s="1"/>
  <c r="DO566" i="3"/>
  <c r="DB575" i="3"/>
  <c r="DO575" i="3"/>
  <c r="CV389" i="3"/>
  <c r="DP389" i="3"/>
  <c r="DB562" i="3" l="1"/>
  <c r="CU389" i="3"/>
  <c r="DA389" i="3" s="1"/>
  <c r="DC389" i="3" l="1"/>
  <c r="DB389" i="3" l="1"/>
  <c r="DO389" i="3"/>
  <c r="CT1" i="3"/>
  <c r="CT227" i="3"/>
  <c r="DP227" i="3" s="1"/>
  <c r="CV227" i="3" l="1"/>
  <c r="CU227" i="3" l="1"/>
  <c r="CV1" i="3"/>
  <c r="CU1" i="3" s="1"/>
  <c r="DA227" i="3" l="1"/>
  <c r="DC227" i="3" l="1"/>
  <c r="DO227" i="3" s="1"/>
  <c r="DO1" i="3" s="1"/>
  <c r="DB227" i="3" l="1"/>
  <c r="DB1" i="3" s="1"/>
  <c r="DC1" i="3"/>
  <c r="DA1" i="3" s="1"/>
  <c r="AK121" i="3"/>
  <c r="AM121" i="3" s="1"/>
  <c r="AL121" i="3" s="1"/>
  <c r="AK12" i="3"/>
  <c r="AM12" i="3" s="1"/>
  <c r="AL12" i="3" s="1"/>
  <c r="AK10" i="3"/>
  <c r="AM10" i="3" s="1"/>
  <c r="AL10" i="3" s="1"/>
  <c r="AK401" i="3"/>
  <c r="AM401" i="3" s="1"/>
  <c r="AL401" i="3" s="1"/>
  <c r="AK241" i="3"/>
  <c r="AM241" i="3" s="1"/>
  <c r="AL241" i="3" s="1"/>
  <c r="AK20" i="3"/>
  <c r="AM20" i="3" s="1"/>
  <c r="AL20" i="3" s="1"/>
  <c r="AK404" i="3"/>
  <c r="AM404" i="3" s="1"/>
  <c r="AL404" i="3" s="1"/>
  <c r="AK13" i="3"/>
  <c r="AM13" i="3" s="1"/>
  <c r="AL13" i="3" s="1"/>
  <c r="AK244" i="3"/>
  <c r="AM244" i="3" s="1"/>
  <c r="AL244" i="3" s="1"/>
  <c r="AK236" i="3"/>
  <c r="AM236" i="3" s="1"/>
  <c r="AL236" i="3" s="1"/>
  <c r="AK402" i="3"/>
  <c r="AM402" i="3" s="1"/>
  <c r="AL402" i="3" s="1"/>
  <c r="AK242" i="3"/>
  <c r="AM242" i="3" s="1"/>
  <c r="AL242" i="3" s="1"/>
  <c r="AK22" i="3"/>
  <c r="AM22" i="3" s="1"/>
  <c r="AL22" i="3" s="1"/>
  <c r="AK122" i="3"/>
  <c r="AM122" i="3" s="1"/>
  <c r="AL122" i="3" s="1"/>
  <c r="AK123" i="3"/>
  <c r="AM123" i="3" s="1"/>
  <c r="AL123" i="3" s="1"/>
  <c r="V123" i="3" s="1"/>
  <c r="AK120" i="3"/>
  <c r="AM120" i="3" s="1"/>
  <c r="AL120" i="3" s="1"/>
  <c r="V120" i="3" s="1"/>
  <c r="AK21" i="3"/>
  <c r="AM21" i="3" s="1"/>
  <c r="AL21" i="3" s="1"/>
  <c r="AK232" i="3"/>
  <c r="AM232" i="3" s="1"/>
  <c r="AL232" i="3" s="1"/>
  <c r="AK406" i="3"/>
  <c r="AM406" i="3" s="1"/>
  <c r="AL406" i="3" s="1"/>
  <c r="AK238" i="3"/>
  <c r="AM238" i="3" s="1"/>
  <c r="AL238" i="3" s="1"/>
  <c r="V238" i="3" s="1"/>
  <c r="AK16" i="3"/>
  <c r="AM16" i="3" s="1"/>
  <c r="AL16" i="3" s="1"/>
  <c r="AK235" i="3"/>
  <c r="AM235" i="3" s="1"/>
  <c r="AL235" i="3" s="1"/>
  <c r="AK234" i="3"/>
  <c r="AM234" i="3" s="1"/>
  <c r="AL234" i="3" s="1"/>
  <c r="AK124" i="3"/>
  <c r="AM124" i="3" s="1"/>
  <c r="AL124" i="3" s="1"/>
  <c r="AK233" i="3"/>
  <c r="AM233" i="3" s="1"/>
  <c r="AL233" i="3" s="1"/>
  <c r="V233" i="3" s="1"/>
  <c r="AK19" i="3"/>
  <c r="AM19" i="3" s="1"/>
  <c r="AL19" i="3" s="1"/>
  <c r="AK11" i="3"/>
  <c r="AM11" i="3" s="1"/>
  <c r="AL11" i="3" s="1"/>
  <c r="AK231" i="3"/>
  <c r="AM231" i="3" s="1"/>
  <c r="AL231" i="3" s="1"/>
  <c r="V231" i="3" s="1"/>
  <c r="AK399" i="3"/>
  <c r="AM399" i="3" s="1"/>
  <c r="AL399" i="3" s="1"/>
  <c r="AK18" i="3"/>
  <c r="AM18" i="3" s="1"/>
  <c r="AL18" i="3" s="1"/>
  <c r="AK125" i="3"/>
  <c r="AM125" i="3" s="1"/>
  <c r="AL125" i="3" s="1"/>
  <c r="AK15" i="3"/>
  <c r="AM15" i="3" s="1"/>
  <c r="AL15" i="3" s="1"/>
  <c r="AK126" i="3"/>
  <c r="AM126" i="3" s="1"/>
  <c r="AL126" i="3" s="1"/>
  <c r="AK403" i="3"/>
  <c r="AM403" i="3" s="1"/>
  <c r="AL403" i="3" s="1"/>
  <c r="AK237" i="3"/>
  <c r="AM237" i="3" s="1"/>
  <c r="AL237" i="3" s="1"/>
  <c r="AK243" i="3"/>
  <c r="AM243" i="3" s="1"/>
  <c r="AL243" i="3" s="1"/>
  <c r="AK405" i="3"/>
  <c r="AM405" i="3" s="1"/>
  <c r="AL405" i="3" s="1"/>
  <c r="V405" i="3" s="1"/>
  <c r="AK14" i="3"/>
  <c r="AM14" i="3" s="1"/>
  <c r="AL14" i="3" s="1"/>
  <c r="AK17" i="3"/>
  <c r="AM17" i="3" s="1"/>
  <c r="AL17" i="3" s="1"/>
  <c r="V17" i="3" s="1"/>
  <c r="AK400" i="3"/>
  <c r="AM400" i="3" s="1"/>
  <c r="AL400" i="3" s="1"/>
  <c r="AK240" i="3"/>
  <c r="AM240" i="3" s="1"/>
  <c r="AL240" i="3" s="1"/>
  <c r="AK9" i="3"/>
  <c r="AM9" i="3" s="1"/>
  <c r="AL9" i="3" s="1"/>
  <c r="AK470" i="3"/>
  <c r="AM470" i="3" s="1"/>
  <c r="AL470" i="3" s="1"/>
  <c r="AK284" i="3"/>
  <c r="AM284" i="3" s="1"/>
  <c r="AL284" i="3" s="1"/>
  <c r="AK142" i="3"/>
  <c r="AM142" i="3" s="1"/>
  <c r="AL142" i="3" s="1"/>
  <c r="AK57" i="3"/>
  <c r="AM57" i="3" s="1"/>
  <c r="AL57" i="3" s="1"/>
  <c r="AK87" i="3"/>
  <c r="AM87" i="3" s="1"/>
  <c r="AL87" i="3" s="1"/>
  <c r="V87" i="3" s="1"/>
  <c r="AK38" i="3"/>
  <c r="AM38" i="3" s="1"/>
  <c r="AL38" i="3" s="1"/>
  <c r="AK24" i="3"/>
  <c r="AM24" i="3" s="1"/>
  <c r="AL24" i="3" s="1"/>
  <c r="V24" i="3" s="1"/>
  <c r="AK52" i="3"/>
  <c r="AM52" i="3" s="1"/>
  <c r="AL52" i="3" s="1"/>
  <c r="AK333" i="3"/>
  <c r="AM333" i="3" s="1"/>
  <c r="AL333" i="3" s="1"/>
  <c r="AK168" i="3"/>
  <c r="AM168" i="3" s="1"/>
  <c r="AL168" i="3" s="1"/>
  <c r="AK31" i="3"/>
  <c r="AM31" i="3" s="1"/>
  <c r="AL31" i="3" s="1"/>
  <c r="AK201" i="3"/>
  <c r="AM201" i="3" s="1"/>
  <c r="AL201" i="3" s="1"/>
  <c r="AK45" i="3"/>
  <c r="AM45" i="3" s="1"/>
  <c r="AL45" i="3" s="1"/>
  <c r="V45" i="3" s="1"/>
  <c r="AK101" i="3"/>
  <c r="AM101" i="3" s="1"/>
  <c r="AL101" i="3" s="1"/>
  <c r="AK66" i="3"/>
  <c r="AM66" i="3" s="1"/>
  <c r="AL66" i="3" s="1"/>
  <c r="AK108" i="3"/>
  <c r="AM108" i="3" s="1"/>
  <c r="AL108" i="3" s="1"/>
  <c r="AK481" i="3"/>
  <c r="AM481" i="3" s="1"/>
  <c r="AL481" i="3" s="1"/>
  <c r="AK80" i="3"/>
  <c r="AM80" i="3" s="1"/>
  <c r="AL80" i="3" s="1"/>
  <c r="V80" i="3" s="1"/>
  <c r="AK73" i="3"/>
  <c r="AM73" i="3" s="1"/>
  <c r="AL73" i="3" s="1"/>
  <c r="V73" i="3" s="1"/>
  <c r="AK59" i="3"/>
  <c r="AM59" i="3" s="1"/>
  <c r="AL59" i="3" s="1"/>
  <c r="AK99" i="3"/>
  <c r="AM99" i="3" s="1"/>
  <c r="AL99" i="3" s="1"/>
  <c r="AK71" i="3"/>
  <c r="AM71" i="3" s="1"/>
  <c r="AL71" i="3" s="1"/>
  <c r="AK489" i="3"/>
  <c r="AM489" i="3" s="1"/>
  <c r="AL489" i="3" s="1"/>
  <c r="AK512" i="3"/>
  <c r="AM512" i="3" s="1"/>
  <c r="AL512" i="3" s="1"/>
  <c r="V512" i="3" s="1"/>
  <c r="AK342" i="3"/>
  <c r="AM342" i="3" s="1"/>
  <c r="AL342" i="3" s="1"/>
  <c r="AK527" i="3"/>
  <c r="AM527" i="3" s="1"/>
  <c r="AL527" i="3" s="1"/>
  <c r="AK258" i="3"/>
  <c r="AM258" i="3" s="1"/>
  <c r="AL258" i="3" s="1"/>
  <c r="AK421" i="3"/>
  <c r="AM421" i="3" s="1"/>
  <c r="AL421" i="3" s="1"/>
  <c r="AK381" i="3"/>
  <c r="AM381" i="3" s="1"/>
  <c r="AL381" i="3" s="1"/>
  <c r="V381" i="3" s="1"/>
  <c r="AK487" i="3"/>
  <c r="AM487" i="3" s="1"/>
  <c r="AL487" i="3" s="1"/>
  <c r="AK377" i="3"/>
  <c r="AM377" i="3" s="1"/>
  <c r="AL377" i="3" s="1"/>
  <c r="AK180" i="3"/>
  <c r="AM180" i="3" s="1"/>
  <c r="AL180" i="3" s="1"/>
  <c r="AK33" i="3"/>
  <c r="AM33" i="3" s="1"/>
  <c r="AL33" i="3" s="1"/>
  <c r="AK537" i="3"/>
  <c r="AM537" i="3" s="1"/>
  <c r="AL537" i="3" s="1"/>
  <c r="V537" i="3" s="1"/>
  <c r="AK171" i="3"/>
  <c r="AM171" i="3" s="1"/>
  <c r="AL171" i="3" s="1"/>
  <c r="AK37" i="3"/>
  <c r="AM37" i="3" s="1"/>
  <c r="AL37" i="3" s="1"/>
  <c r="AK390" i="3"/>
  <c r="AM390" i="3" s="1"/>
  <c r="AL390" i="3" s="1"/>
  <c r="AK544" i="3"/>
  <c r="AM544" i="3" s="1"/>
  <c r="AL544" i="3" s="1"/>
  <c r="AK339" i="3"/>
  <c r="AM339" i="3" s="1"/>
  <c r="AL339" i="3" s="1"/>
  <c r="AK452" i="3"/>
  <c r="AM452" i="3" s="1"/>
  <c r="AL452" i="3" s="1"/>
  <c r="AK484" i="3"/>
  <c r="AM484" i="3" s="1"/>
  <c r="AL484" i="3" s="1"/>
  <c r="V484" i="3" s="1"/>
  <c r="AK170" i="3"/>
  <c r="AM170" i="3" s="1"/>
  <c r="AL170" i="3" s="1"/>
  <c r="V170" i="3" s="1"/>
  <c r="AK39" i="3"/>
  <c r="AM39" i="3" s="1"/>
  <c r="AL39" i="3" s="1"/>
  <c r="AK546" i="3"/>
  <c r="AM546" i="3" s="1"/>
  <c r="AL546" i="3" s="1"/>
  <c r="V546" i="3" s="1"/>
  <c r="AK95" i="3"/>
  <c r="AM95" i="3" s="1"/>
  <c r="AL95" i="3" s="1"/>
  <c r="AK569" i="3"/>
  <c r="AM569" i="3" s="1"/>
  <c r="AL569" i="3" s="1"/>
  <c r="AK336" i="3"/>
  <c r="AM336" i="3" s="1"/>
  <c r="AL336" i="3" s="1"/>
  <c r="V336" i="3" s="1"/>
  <c r="AK499" i="3"/>
  <c r="AM499" i="3" s="1"/>
  <c r="AL499" i="3" s="1"/>
  <c r="AK110" i="3"/>
  <c r="AM110" i="3" s="1"/>
  <c r="AL110" i="3" s="1"/>
  <c r="AK327" i="3"/>
  <c r="AM327" i="3" s="1"/>
  <c r="AL327" i="3" s="1"/>
  <c r="AK532" i="3"/>
  <c r="AM532" i="3" s="1"/>
  <c r="AL532" i="3" s="1"/>
  <c r="AK157" i="3"/>
  <c r="AM157" i="3" s="1"/>
  <c r="AL157" i="3" s="1"/>
  <c r="AK262" i="3"/>
  <c r="AM262" i="3" s="1"/>
  <c r="AL262" i="3" s="1"/>
  <c r="AK136" i="3"/>
  <c r="AM136" i="3" s="1"/>
  <c r="AL136" i="3" s="1"/>
  <c r="AK207" i="3"/>
  <c r="AM207" i="3" s="1"/>
  <c r="AL207" i="3" s="1"/>
  <c r="AK440" i="3"/>
  <c r="AM440" i="3" s="1"/>
  <c r="AL440" i="3" s="1"/>
  <c r="AK463" i="3"/>
  <c r="AM463" i="3" s="1"/>
  <c r="AL463" i="3" s="1"/>
  <c r="AK265" i="3"/>
  <c r="AM265" i="3" s="1"/>
  <c r="AL265" i="3" s="1"/>
  <c r="AK132" i="3"/>
  <c r="AM132" i="3" s="1"/>
  <c r="AL132" i="3" s="1"/>
  <c r="V132" i="3" s="1"/>
  <c r="AK217" i="3"/>
  <c r="AM217" i="3" s="1"/>
  <c r="AL217" i="3" s="1"/>
  <c r="V217" i="3" s="1"/>
  <c r="AK47" i="3"/>
  <c r="AM47" i="3" s="1"/>
  <c r="AL47" i="3" s="1"/>
  <c r="AK461" i="3"/>
  <c r="AM461" i="3" s="1"/>
  <c r="AL461" i="3" s="1"/>
  <c r="AK446" i="3"/>
  <c r="AM446" i="3" s="1"/>
  <c r="AL446" i="3" s="1"/>
  <c r="AK269" i="3"/>
  <c r="AM269" i="3" s="1"/>
  <c r="AL269" i="3" s="1"/>
  <c r="AK251" i="3"/>
  <c r="AM251" i="3" s="1"/>
  <c r="AL251" i="3" s="1"/>
  <c r="AO251" i="3" s="1"/>
  <c r="AK209" i="3"/>
  <c r="AM209" i="3" s="1"/>
  <c r="AL209" i="3" s="1"/>
  <c r="AO209" i="3" s="1"/>
  <c r="AK570" i="3"/>
  <c r="AM570" i="3" s="1"/>
  <c r="AL570" i="3" s="1"/>
  <c r="AK270" i="3"/>
  <c r="AM270" i="3" s="1"/>
  <c r="AL270" i="3" s="1"/>
  <c r="AK198" i="3"/>
  <c r="AM198" i="3" s="1"/>
  <c r="AL198" i="3" s="1"/>
  <c r="V198" i="3" s="1"/>
  <c r="AK444" i="3"/>
  <c r="AM444" i="3" s="1"/>
  <c r="AL444" i="3" s="1"/>
  <c r="AK376" i="3"/>
  <c r="AM376" i="3" s="1"/>
  <c r="AL376" i="3" s="1"/>
  <c r="AK285" i="3"/>
  <c r="AM285" i="3" s="1"/>
  <c r="AL285" i="3" s="1"/>
  <c r="AO285" i="3" s="1"/>
  <c r="AK520" i="3"/>
  <c r="AM520" i="3" s="1"/>
  <c r="AL520" i="3" s="1"/>
  <c r="AK183" i="3"/>
  <c r="AM183" i="3" s="1"/>
  <c r="AL183" i="3" s="1"/>
  <c r="V183" i="3" s="1"/>
  <c r="AK474" i="3"/>
  <c r="AM474" i="3" s="1"/>
  <c r="AL474" i="3" s="1"/>
  <c r="AK239" i="3"/>
  <c r="AM239" i="3" s="1"/>
  <c r="AL239" i="3" s="1"/>
  <c r="AO239" i="3" s="1"/>
  <c r="CY239" i="3" s="1"/>
  <c r="AK197" i="3"/>
  <c r="AM197" i="3" s="1"/>
  <c r="AL197" i="3" s="1"/>
  <c r="AK305" i="3"/>
  <c r="AM305" i="3" s="1"/>
  <c r="AL305" i="3" s="1"/>
  <c r="AO305" i="3" s="1"/>
  <c r="AK103" i="3"/>
  <c r="AM103" i="3" s="1"/>
  <c r="AL103" i="3" s="1"/>
  <c r="AK329" i="3"/>
  <c r="AM329" i="3" s="1"/>
  <c r="AL329" i="3" s="1"/>
  <c r="AO329" i="3" s="1"/>
  <c r="AK420" i="3"/>
  <c r="AM420" i="3" s="1"/>
  <c r="AL420" i="3" s="1"/>
  <c r="AK173" i="3"/>
  <c r="AM173" i="3" s="1"/>
  <c r="AL173" i="3" s="1"/>
  <c r="AP173" i="3" s="1"/>
  <c r="AQ173" i="3" s="1"/>
  <c r="CQ173" i="3" s="1"/>
  <c r="AK290" i="3"/>
  <c r="AM290" i="3" s="1"/>
  <c r="AL290" i="3" s="1"/>
  <c r="V290" i="3" s="1"/>
  <c r="AK323" i="3"/>
  <c r="AM323" i="3" s="1"/>
  <c r="AL323" i="3" s="1"/>
  <c r="AO323" i="3" s="1"/>
  <c r="AK363" i="3"/>
  <c r="AM363" i="3" s="1"/>
  <c r="AL363" i="3" s="1"/>
  <c r="V363" i="3" s="1"/>
  <c r="AK25" i="3"/>
  <c r="AM25" i="3" s="1"/>
  <c r="AL25" i="3" s="1"/>
  <c r="AO25" i="3" s="1"/>
  <c r="AK306" i="3"/>
  <c r="AM306" i="3" s="1"/>
  <c r="AL306" i="3" s="1"/>
  <c r="AK378" i="3"/>
  <c r="AM378" i="3" s="1"/>
  <c r="AL378" i="3" s="1"/>
  <c r="AK268" i="3"/>
  <c r="AM268" i="3" s="1"/>
  <c r="AL268" i="3" s="1"/>
  <c r="AK480" i="3"/>
  <c r="AM480" i="3" s="1"/>
  <c r="AL480" i="3" s="1"/>
  <c r="AK494" i="3"/>
  <c r="AM494" i="3" s="1"/>
  <c r="AL494" i="3" s="1"/>
  <c r="V494" i="3" s="1"/>
  <c r="AK337" i="3"/>
  <c r="AM337" i="3" s="1"/>
  <c r="AL337" i="3" s="1"/>
  <c r="AK44" i="3"/>
  <c r="AM44" i="3" s="1"/>
  <c r="AL44" i="3" s="1"/>
  <c r="AK131" i="3"/>
  <c r="AM131" i="3" s="1"/>
  <c r="AL131" i="3" s="1"/>
  <c r="AK410" i="3"/>
  <c r="AM410" i="3" s="1"/>
  <c r="AL410" i="3" s="1"/>
  <c r="AK572" i="3"/>
  <c r="AM572" i="3" s="1"/>
  <c r="AL572" i="3" s="1"/>
  <c r="AK441" i="3"/>
  <c r="AM441" i="3" s="1"/>
  <c r="AL441" i="3" s="1"/>
  <c r="AK272" i="3"/>
  <c r="AM272" i="3" s="1"/>
  <c r="AL272" i="3" s="1"/>
  <c r="AK156" i="3"/>
  <c r="AM156" i="3" s="1"/>
  <c r="AL156" i="3" s="1"/>
  <c r="AK577" i="3"/>
  <c r="AM577" i="3" s="1"/>
  <c r="AL577" i="3" s="1"/>
  <c r="AK74" i="3"/>
  <c r="AM74" i="3" s="1"/>
  <c r="AL74" i="3" s="1"/>
  <c r="AK89" i="3"/>
  <c r="AM89" i="3" s="1"/>
  <c r="AL89" i="3" s="1"/>
  <c r="AK316" i="3"/>
  <c r="AM316" i="3" s="1"/>
  <c r="AL316" i="3" s="1"/>
  <c r="V316" i="3" s="1"/>
  <c r="AK23" i="3"/>
  <c r="AM23" i="3" s="1"/>
  <c r="AL23" i="3" s="1"/>
  <c r="AK359" i="3"/>
  <c r="AM359" i="3" s="1"/>
  <c r="AL359" i="3" s="1"/>
  <c r="V359" i="3" s="1"/>
  <c r="AK50" i="3"/>
  <c r="AM50" i="3" s="1"/>
  <c r="AL50" i="3" s="1"/>
  <c r="AK362" i="3"/>
  <c r="AM362" i="3" s="1"/>
  <c r="AL362" i="3" s="1"/>
  <c r="V362" i="3" s="1"/>
  <c r="AK542" i="3"/>
  <c r="AM542" i="3" s="1"/>
  <c r="AL542" i="3" s="1"/>
  <c r="AO542" i="3" s="1"/>
  <c r="AK119" i="3"/>
  <c r="AM119" i="3" s="1"/>
  <c r="AL119" i="3" s="1"/>
  <c r="V119" i="3" s="1"/>
  <c r="AK162" i="3"/>
  <c r="AM162" i="3" s="1"/>
  <c r="AL162" i="3" s="1"/>
  <c r="AK357" i="3"/>
  <c r="AM357" i="3" s="1"/>
  <c r="AL357" i="3" s="1"/>
  <c r="AK453" i="3"/>
  <c r="AM453" i="3" s="1"/>
  <c r="AL453" i="3" s="1"/>
  <c r="AK224" i="3"/>
  <c r="AM224" i="3" s="1"/>
  <c r="AL224" i="3" s="1"/>
  <c r="AK91" i="3"/>
  <c r="AM91" i="3" s="1"/>
  <c r="AL91" i="3" s="1"/>
  <c r="AK497" i="3"/>
  <c r="AM497" i="3" s="1"/>
  <c r="AL497" i="3" s="1"/>
  <c r="AK296" i="3"/>
  <c r="AM296" i="3" s="1"/>
  <c r="AL296" i="3" s="1"/>
  <c r="AO296" i="3" s="1"/>
  <c r="AK141" i="3"/>
  <c r="AM141" i="3" s="1"/>
  <c r="AL141" i="3" s="1"/>
  <c r="AO141" i="3" s="1"/>
  <c r="AK482" i="3"/>
  <c r="AM482" i="3" s="1"/>
  <c r="AL482" i="3" s="1"/>
  <c r="AK534" i="3"/>
  <c r="AM534" i="3" s="1"/>
  <c r="AL534" i="3" s="1"/>
  <c r="AK299" i="3"/>
  <c r="AM299" i="3" s="1"/>
  <c r="AL299" i="3" s="1"/>
  <c r="AK514" i="3"/>
  <c r="AM514" i="3" s="1"/>
  <c r="AL514" i="3" s="1"/>
  <c r="AK64" i="3"/>
  <c r="AM64" i="3" s="1"/>
  <c r="AL64" i="3" s="1"/>
  <c r="AK346" i="3"/>
  <c r="AM346" i="3" s="1"/>
  <c r="AL346" i="3" s="1"/>
  <c r="V346" i="3" s="1"/>
  <c r="AK431" i="3"/>
  <c r="AM431" i="3" s="1"/>
  <c r="AL431" i="3" s="1"/>
  <c r="AK129" i="3"/>
  <c r="AM129" i="3" s="1"/>
  <c r="AL129" i="3" s="1"/>
  <c r="AK97" i="3"/>
  <c r="AM97" i="3" s="1"/>
  <c r="AL97" i="3" s="1"/>
  <c r="AK179" i="3"/>
  <c r="AM179" i="3" s="1"/>
  <c r="AL179" i="3" s="1"/>
  <c r="AK332" i="3"/>
  <c r="AM332" i="3" s="1"/>
  <c r="AL332" i="3" s="1"/>
  <c r="AK556" i="3"/>
  <c r="AM556" i="3" s="1"/>
  <c r="AL556" i="3" s="1"/>
  <c r="V556" i="3" s="1"/>
  <c r="AK146" i="3"/>
  <c r="AM146" i="3" s="1"/>
  <c r="AL146" i="3" s="1"/>
  <c r="V146" i="3" s="1"/>
  <c r="AK423" i="3"/>
  <c r="AM423" i="3" s="1"/>
  <c r="AL423" i="3" s="1"/>
  <c r="AK282" i="3"/>
  <c r="AM282" i="3" s="1"/>
  <c r="AL282" i="3" s="1"/>
  <c r="AK288" i="3"/>
  <c r="AM288" i="3" s="1"/>
  <c r="AL288" i="3" s="1"/>
  <c r="AK294" i="3"/>
  <c r="AM294" i="3" s="1"/>
  <c r="AL294" i="3" s="1"/>
  <c r="V294" i="3" s="1"/>
  <c r="AK365" i="3"/>
  <c r="AM365" i="3" s="1"/>
  <c r="AL365" i="3" s="1"/>
  <c r="AK511" i="3"/>
  <c r="AM511" i="3" s="1"/>
  <c r="AL511" i="3" s="1"/>
  <c r="AK301" i="3"/>
  <c r="AM301" i="3" s="1"/>
  <c r="AL301" i="3" s="1"/>
  <c r="AK249" i="3"/>
  <c r="AM249" i="3" s="1"/>
  <c r="AL249" i="3" s="1"/>
  <c r="V249" i="3" s="1"/>
  <c r="AK167" i="3"/>
  <c r="AM167" i="3" s="1"/>
  <c r="AL167" i="3" s="1"/>
  <c r="AK458" i="3"/>
  <c r="AM458" i="3" s="1"/>
  <c r="AL458" i="3" s="1"/>
  <c r="AK409" i="3"/>
  <c r="AM409" i="3" s="1"/>
  <c r="AL409" i="3" s="1"/>
  <c r="AK83" i="3"/>
  <c r="AM83" i="3" s="1"/>
  <c r="AL83" i="3" s="1"/>
  <c r="V83" i="3" s="1"/>
  <c r="AK314" i="3"/>
  <c r="AM314" i="3" s="1"/>
  <c r="AL314" i="3" s="1"/>
  <c r="AK77" i="3"/>
  <c r="AM77" i="3" s="1"/>
  <c r="AL77" i="3" s="1"/>
  <c r="V77" i="3" s="1"/>
  <c r="AK574" i="3"/>
  <c r="AM574" i="3" s="1"/>
  <c r="AL574" i="3" s="1"/>
  <c r="V574" i="3" s="1"/>
  <c r="AK430" i="3"/>
  <c r="AM430" i="3" s="1"/>
  <c r="AL430" i="3" s="1"/>
  <c r="AP430" i="3" s="1"/>
  <c r="AQ430" i="3" s="1"/>
  <c r="CQ430" i="3" s="1"/>
  <c r="AK364" i="3"/>
  <c r="AM364" i="3" s="1"/>
  <c r="AL364" i="3" s="1"/>
  <c r="V364" i="3" s="1"/>
  <c r="AK130" i="3"/>
  <c r="AM130" i="3" s="1"/>
  <c r="AL130" i="3" s="1"/>
  <c r="AO130" i="3" s="1"/>
  <c r="AK40" i="3"/>
  <c r="AM40" i="3" s="1"/>
  <c r="AL40" i="3" s="1"/>
  <c r="AP40" i="3" s="1"/>
  <c r="AQ40" i="3" s="1"/>
  <c r="CQ40" i="3" s="1"/>
  <c r="AK525" i="3"/>
  <c r="AM525" i="3" s="1"/>
  <c r="AL525" i="3" s="1"/>
  <c r="AK218" i="3"/>
  <c r="AM218" i="3" s="1"/>
  <c r="AL218" i="3" s="1"/>
  <c r="AP218" i="3" s="1"/>
  <c r="AQ218" i="3" s="1"/>
  <c r="CQ218" i="3" s="1"/>
  <c r="AK184" i="3"/>
  <c r="AM184" i="3" s="1"/>
  <c r="AL184" i="3" s="1"/>
  <c r="AK576" i="3"/>
  <c r="AM576" i="3" s="1"/>
  <c r="AL576" i="3" s="1"/>
  <c r="V576" i="3" s="1"/>
  <c r="AK187" i="3"/>
  <c r="AM187" i="3" s="1"/>
  <c r="AL187" i="3" s="1"/>
  <c r="AK371" i="3"/>
  <c r="AM371" i="3" s="1"/>
  <c r="AL371" i="3" s="1"/>
  <c r="V371" i="3" s="1"/>
  <c r="AK320" i="3"/>
  <c r="AM320" i="3" s="1"/>
  <c r="AL320" i="3" s="1"/>
  <c r="V320" i="3" s="1"/>
  <c r="AK150" i="3"/>
  <c r="AM150" i="3" s="1"/>
  <c r="AL150" i="3" s="1"/>
  <c r="AO150" i="3" s="1"/>
  <c r="AK222" i="3"/>
  <c r="AM222" i="3" s="1"/>
  <c r="AL222" i="3" s="1"/>
  <c r="V222" i="3" s="1"/>
  <c r="AK90" i="3"/>
  <c r="AM90" i="3" s="1"/>
  <c r="AL90" i="3" s="1"/>
  <c r="AO90" i="3" s="1"/>
  <c r="AK41" i="3"/>
  <c r="AM41" i="3" s="1"/>
  <c r="AL41" i="3" s="1"/>
  <c r="V41" i="3" s="1"/>
  <c r="AK475" i="3"/>
  <c r="AM475" i="3" s="1"/>
  <c r="AL475" i="3" s="1"/>
  <c r="AO475" i="3" s="1"/>
  <c r="AK260" i="3"/>
  <c r="AM260" i="3" s="1"/>
  <c r="AL260" i="3" s="1"/>
  <c r="AO260" i="3" s="1"/>
  <c r="AK78" i="3"/>
  <c r="AM78" i="3" s="1"/>
  <c r="AL78" i="3" s="1"/>
  <c r="AP78" i="3" s="1"/>
  <c r="AQ78" i="3" s="1"/>
  <c r="CQ78" i="3" s="1"/>
  <c r="AK492" i="3"/>
  <c r="AM492" i="3" s="1"/>
  <c r="AL492" i="3" s="1"/>
  <c r="V492" i="3" s="1"/>
  <c r="AK160" i="3"/>
  <c r="AM160" i="3" s="1"/>
  <c r="AL160" i="3" s="1"/>
  <c r="V160" i="3" s="1"/>
  <c r="AK194" i="3"/>
  <c r="AM194" i="3" s="1"/>
  <c r="AL194" i="3" s="1"/>
  <c r="V194" i="3" s="1"/>
  <c r="AK325" i="3"/>
  <c r="AM325" i="3" s="1"/>
  <c r="AL325" i="3" s="1"/>
  <c r="AO325" i="3" s="1"/>
  <c r="AK341" i="3"/>
  <c r="AM341" i="3" s="1"/>
  <c r="AL341" i="3" s="1"/>
  <c r="V341" i="3" s="1"/>
  <c r="AK353" i="3"/>
  <c r="AM353" i="3" s="1"/>
  <c r="AL353" i="3" s="1"/>
  <c r="V353" i="3" s="1"/>
  <c r="AK276" i="3"/>
  <c r="AM276" i="3" s="1"/>
  <c r="AL276" i="3" s="1"/>
  <c r="AO276" i="3" s="1"/>
  <c r="AK254" i="3"/>
  <c r="AM254" i="3" s="1"/>
  <c r="AL254" i="3" s="1"/>
  <c r="AO254" i="3" s="1"/>
  <c r="AK93" i="3"/>
  <c r="AM93" i="3" s="1"/>
  <c r="AL93" i="3" s="1"/>
  <c r="V93" i="3" s="1"/>
  <c r="AK479" i="3"/>
  <c r="AM479" i="3" s="1"/>
  <c r="AL479" i="3" s="1"/>
  <c r="AO479" i="3" s="1"/>
  <c r="AK366" i="3"/>
  <c r="AM366" i="3" s="1"/>
  <c r="AL366" i="3" s="1"/>
  <c r="V366" i="3" s="1"/>
  <c r="AK536" i="3"/>
  <c r="AM536" i="3" s="1"/>
  <c r="AL536" i="3" s="1"/>
  <c r="AO536" i="3" s="1"/>
  <c r="AK271" i="3"/>
  <c r="AM271" i="3" s="1"/>
  <c r="AL271" i="3" s="1"/>
  <c r="AO271" i="3" s="1"/>
  <c r="AK177" i="3"/>
  <c r="AM177" i="3" s="1"/>
  <c r="AL177" i="3" s="1"/>
  <c r="AO177" i="3" s="1"/>
  <c r="AK84" i="3"/>
  <c r="AM84" i="3" s="1"/>
  <c r="AL84" i="3" s="1"/>
  <c r="AO84" i="3" s="1"/>
  <c r="AK147" i="3"/>
  <c r="AM147" i="3" s="1"/>
  <c r="AL147" i="3" s="1"/>
  <c r="AO147" i="3" s="1"/>
  <c r="AK375" i="3"/>
  <c r="AM375" i="3" s="1"/>
  <c r="AL375" i="3" s="1"/>
  <c r="V375" i="3" s="1"/>
  <c r="AK566" i="3"/>
  <c r="AM566" i="3" s="1"/>
  <c r="AL566" i="3" s="1"/>
  <c r="V566" i="3" s="1"/>
  <c r="AK415" i="3"/>
  <c r="AM415" i="3" s="1"/>
  <c r="AL415" i="3" s="1"/>
  <c r="AO415" i="3" s="1"/>
  <c r="AK302" i="3"/>
  <c r="AM302" i="3" s="1"/>
  <c r="AL302" i="3" s="1"/>
  <c r="AO302" i="3" s="1"/>
  <c r="AK112" i="3"/>
  <c r="AM112" i="3" s="1"/>
  <c r="AL112" i="3" s="1"/>
  <c r="V112" i="3" s="1"/>
  <c r="AK293" i="3"/>
  <c r="AM293" i="3" s="1"/>
  <c r="AL293" i="3" s="1"/>
  <c r="V293" i="3" s="1"/>
  <c r="AK273" i="3"/>
  <c r="AM273" i="3" s="1"/>
  <c r="AL273" i="3" s="1"/>
  <c r="AO273" i="3" s="1"/>
  <c r="AK185" i="3"/>
  <c r="AM185" i="3" s="1"/>
  <c r="AL185" i="3" s="1"/>
  <c r="AK79" i="3"/>
  <c r="AM79" i="3" s="1"/>
  <c r="AL79" i="3" s="1"/>
  <c r="AO79" i="3" s="1"/>
  <c r="AK530" i="3"/>
  <c r="AM530" i="3" s="1"/>
  <c r="AL530" i="3" s="1"/>
  <c r="AK338" i="3"/>
  <c r="AM338" i="3" s="1"/>
  <c r="AL338" i="3" s="1"/>
  <c r="AO338" i="3" s="1"/>
  <c r="AK111" i="3"/>
  <c r="AM111" i="3" s="1"/>
  <c r="AL111" i="3" s="1"/>
  <c r="AK557" i="3"/>
  <c r="AM557" i="3" s="1"/>
  <c r="AL557" i="3" s="1"/>
  <c r="V557" i="3" s="1"/>
  <c r="AK447" i="3"/>
  <c r="AM447" i="3" s="1"/>
  <c r="AL447" i="3" s="1"/>
  <c r="AK139" i="3"/>
  <c r="AM139" i="3" s="1"/>
  <c r="AL139" i="3" s="1"/>
  <c r="AO139" i="3" s="1"/>
  <c r="AK581" i="3"/>
  <c r="AM581" i="3" s="1"/>
  <c r="AL581" i="3" s="1"/>
  <c r="V581" i="3" s="1"/>
  <c r="AK477" i="3"/>
  <c r="AM477" i="3" s="1"/>
  <c r="AL477" i="3" s="1"/>
  <c r="AO477" i="3" s="1"/>
  <c r="AK436" i="3"/>
  <c r="AM436" i="3" s="1"/>
  <c r="AL436" i="3" s="1"/>
  <c r="AK212" i="3"/>
  <c r="AM212" i="3" s="1"/>
  <c r="AL212" i="3" s="1"/>
  <c r="AO212" i="3" s="1"/>
  <c r="AK540" i="3"/>
  <c r="AM540" i="3" s="1"/>
  <c r="AL540" i="3" s="1"/>
  <c r="V540" i="3" s="1"/>
  <c r="AK538" i="3"/>
  <c r="AM538" i="3" s="1"/>
  <c r="AL538" i="3" s="1"/>
  <c r="V538" i="3" s="1"/>
  <c r="AK259" i="3"/>
  <c r="AM259" i="3" s="1"/>
  <c r="AL259" i="3" s="1"/>
  <c r="AK468" i="3"/>
  <c r="AM468" i="3" s="1"/>
  <c r="AL468" i="3" s="1"/>
  <c r="AO468" i="3" s="1"/>
  <c r="AK152" i="3"/>
  <c r="AM152" i="3" s="1"/>
  <c r="AL152" i="3" s="1"/>
  <c r="AK190" i="3"/>
  <c r="AM190" i="3" s="1"/>
  <c r="AL190" i="3" s="1"/>
  <c r="AO190" i="3" s="1"/>
  <c r="AK261" i="3"/>
  <c r="AM261" i="3" s="1"/>
  <c r="AL261" i="3" s="1"/>
  <c r="AK148" i="3"/>
  <c r="AM148" i="3" s="1"/>
  <c r="AL148" i="3" s="1"/>
  <c r="V148" i="3" s="1"/>
  <c r="AK29" i="3"/>
  <c r="AM29" i="3" s="1"/>
  <c r="AL29" i="3" s="1"/>
  <c r="AK478" i="3"/>
  <c r="AM478" i="3" s="1"/>
  <c r="AL478" i="3" s="1"/>
  <c r="AO478" i="3" s="1"/>
  <c r="AK181" i="3"/>
  <c r="AM181" i="3" s="1"/>
  <c r="AL181" i="3" s="1"/>
  <c r="AK68" i="3"/>
  <c r="AM68" i="3" s="1"/>
  <c r="AK75" i="3"/>
  <c r="AM75" i="3" s="1"/>
  <c r="AL75" i="3" s="1"/>
  <c r="AK289" i="3"/>
  <c r="AM289" i="3" s="1"/>
  <c r="AL289" i="3" s="1"/>
  <c r="AK286" i="3"/>
  <c r="AM286" i="3" s="1"/>
  <c r="AL286" i="3" s="1"/>
  <c r="AK383" i="3"/>
  <c r="AM383" i="3" s="1"/>
  <c r="AL383" i="3" s="1"/>
  <c r="V383" i="3" s="1"/>
  <c r="AK49" i="3"/>
  <c r="AM49" i="3" s="1"/>
  <c r="AL49" i="3" s="1"/>
  <c r="AK182" i="3"/>
  <c r="AM182" i="3" s="1"/>
  <c r="AL182" i="3" s="1"/>
  <c r="V182" i="3" s="1"/>
  <c r="AK582" i="3"/>
  <c r="AM582" i="3" s="1"/>
  <c r="AL582" i="3" s="1"/>
  <c r="V582" i="3" s="1"/>
  <c r="AK92" i="3"/>
  <c r="AM92" i="3" s="1"/>
  <c r="AL92" i="3" s="1"/>
  <c r="AK347" i="3"/>
  <c r="AM347" i="3" s="1"/>
  <c r="AL347" i="3" s="1"/>
  <c r="AO347" i="3" s="1"/>
  <c r="AK143" i="3"/>
  <c r="AM143" i="3" s="1"/>
  <c r="AL143" i="3" s="1"/>
  <c r="AK465" i="3"/>
  <c r="AM465" i="3" s="1"/>
  <c r="AL465" i="3" s="1"/>
  <c r="AK202" i="3"/>
  <c r="AM202" i="3" s="1"/>
  <c r="AL202" i="3" s="1"/>
  <c r="AK385" i="3"/>
  <c r="AM385" i="3" s="1"/>
  <c r="AL385" i="3" s="1"/>
  <c r="V385" i="3" s="1"/>
  <c r="AK379" i="3"/>
  <c r="AM379" i="3" s="1"/>
  <c r="AL379" i="3" s="1"/>
  <c r="AK521" i="3"/>
  <c r="AM521" i="3" s="1"/>
  <c r="AL521" i="3" s="1"/>
  <c r="AK523" i="3"/>
  <c r="AM523" i="3" s="1"/>
  <c r="AL523" i="3" s="1"/>
  <c r="AK206" i="3"/>
  <c r="AM206" i="3" s="1"/>
  <c r="AL206" i="3" s="1"/>
  <c r="AO206" i="3" s="1"/>
  <c r="AK151" i="3"/>
  <c r="AM151" i="3" s="1"/>
  <c r="AL151" i="3" s="1"/>
  <c r="AK195" i="3"/>
  <c r="AM195" i="3" s="1"/>
  <c r="AL195" i="3" s="1"/>
  <c r="AK437" i="3"/>
  <c r="AM437" i="3" s="1"/>
  <c r="AL437" i="3" s="1"/>
  <c r="AO437" i="3" s="1"/>
  <c r="AK46" i="3"/>
  <c r="AM46" i="3" s="1"/>
  <c r="AL46" i="3" s="1"/>
  <c r="AK473" i="3"/>
  <c r="AM473" i="3" s="1"/>
  <c r="AL473" i="3" s="1"/>
  <c r="AO473" i="3" s="1"/>
  <c r="AK176" i="3"/>
  <c r="AM176" i="3" s="1"/>
  <c r="AL176" i="3" s="1"/>
  <c r="AO176" i="3" s="1"/>
  <c r="AK145" i="3"/>
  <c r="AM145" i="3" s="1"/>
  <c r="AL145" i="3" s="1"/>
  <c r="V145" i="3" s="1"/>
  <c r="AK488" i="3"/>
  <c r="AM488" i="3" s="1"/>
  <c r="AL488" i="3" s="1"/>
  <c r="AK504" i="3"/>
  <c r="AM504" i="3" s="1"/>
  <c r="AL504" i="3" s="1"/>
  <c r="AK558" i="3"/>
  <c r="AM558" i="3" s="1"/>
  <c r="AL558" i="3" s="1"/>
  <c r="V558" i="3" s="1"/>
  <c r="AK60" i="3"/>
  <c r="AM60" i="3" s="1"/>
  <c r="AL60" i="3" s="1"/>
  <c r="AK450" i="3"/>
  <c r="AM450" i="3" s="1"/>
  <c r="AL450" i="3" s="1"/>
  <c r="AO450" i="3" s="1"/>
  <c r="AK373" i="3"/>
  <c r="AM373" i="3" s="1"/>
  <c r="AL373" i="3" s="1"/>
  <c r="AK96" i="3"/>
  <c r="AM96" i="3" s="1"/>
  <c r="AL96" i="3" s="1"/>
  <c r="AO96" i="3" s="1"/>
  <c r="AK208" i="3"/>
  <c r="AM208" i="3" s="1"/>
  <c r="AL208" i="3" s="1"/>
  <c r="AO208" i="3" s="1"/>
  <c r="AK252" i="3"/>
  <c r="AM252" i="3" s="1"/>
  <c r="AL252" i="3" s="1"/>
  <c r="AK454" i="3"/>
  <c r="AM454" i="3" s="1"/>
  <c r="AL454" i="3" s="1"/>
  <c r="V454" i="3" s="1"/>
  <c r="AK471" i="3"/>
  <c r="AM471" i="3" s="1"/>
  <c r="AL471" i="3" s="1"/>
  <c r="AK36" i="3"/>
  <c r="AM36" i="3" s="1"/>
  <c r="AL36" i="3" s="1"/>
  <c r="AK579" i="3"/>
  <c r="AM579" i="3" s="1"/>
  <c r="AL579" i="3" s="1"/>
  <c r="V579" i="3" s="1"/>
  <c r="AK34" i="3"/>
  <c r="AM34" i="3" s="1"/>
  <c r="AL34" i="3" s="1"/>
  <c r="AK416" i="3"/>
  <c r="AM416" i="3" s="1"/>
  <c r="AL416" i="3" s="1"/>
  <c r="AO416" i="3" s="1"/>
  <c r="AK564" i="3"/>
  <c r="AM564" i="3" s="1"/>
  <c r="AL564" i="3" s="1"/>
  <c r="V564" i="3" s="1"/>
  <c r="AK28" i="3"/>
  <c r="AM28" i="3" s="1"/>
  <c r="AL28" i="3" s="1"/>
  <c r="AO28" i="3" s="1"/>
  <c r="AK307" i="3"/>
  <c r="AM307" i="3" s="1"/>
  <c r="AL307" i="3" s="1"/>
  <c r="V307" i="3" s="1"/>
  <c r="AK483" i="3"/>
  <c r="AM483" i="3" s="1"/>
  <c r="AL483" i="3" s="1"/>
  <c r="AK256" i="3"/>
  <c r="AM256" i="3" s="1"/>
  <c r="AL256" i="3" s="1"/>
  <c r="AK567" i="3"/>
  <c r="AM567" i="3" s="1"/>
  <c r="AL567" i="3" s="1"/>
  <c r="AO567" i="3" s="1"/>
  <c r="AK250" i="3"/>
  <c r="AM250" i="3" s="1"/>
  <c r="AL250" i="3" s="1"/>
  <c r="AK506" i="3"/>
  <c r="AM506" i="3" s="1"/>
  <c r="AL506" i="3" s="1"/>
  <c r="AO506" i="3" s="1"/>
  <c r="AK510" i="3"/>
  <c r="AM510" i="3" s="1"/>
  <c r="AL510" i="3" s="1"/>
  <c r="AO510" i="3" s="1"/>
  <c r="AK351" i="3"/>
  <c r="AM351" i="3" s="1"/>
  <c r="AL351" i="3" s="1"/>
  <c r="V351" i="3" s="1"/>
  <c r="AK153" i="3"/>
  <c r="AM153" i="3" s="1"/>
  <c r="AL153" i="3" s="1"/>
  <c r="AK348" i="3"/>
  <c r="AM348" i="3" s="1"/>
  <c r="AL348" i="3" s="1"/>
  <c r="AO348" i="3" s="1"/>
  <c r="AK321" i="3"/>
  <c r="AM321" i="3" s="1"/>
  <c r="AL321" i="3" s="1"/>
  <c r="AK98" i="3"/>
  <c r="AM98" i="3" s="1"/>
  <c r="AL98" i="3" s="1"/>
  <c r="AK283" i="3"/>
  <c r="AM283" i="3" s="1"/>
  <c r="AL283" i="3" s="1"/>
  <c r="AK304" i="3"/>
  <c r="AM304" i="3" s="1"/>
  <c r="AL304" i="3" s="1"/>
  <c r="AO304" i="3" s="1"/>
  <c r="CY304" i="3" s="1"/>
  <c r="AK448" i="3"/>
  <c r="AM448" i="3" s="1"/>
  <c r="AL448" i="3" s="1"/>
  <c r="AO448" i="3" s="1"/>
  <c r="AK573" i="3"/>
  <c r="AM573" i="3" s="1"/>
  <c r="AL573" i="3" s="1"/>
  <c r="AK94" i="3"/>
  <c r="AM94" i="3" s="1"/>
  <c r="AL94" i="3" s="1"/>
  <c r="AK562" i="3"/>
  <c r="AM562" i="3" s="1"/>
  <c r="AL562" i="3" s="1"/>
  <c r="V562" i="3" s="1"/>
  <c r="AK541" i="3"/>
  <c r="AM541" i="3" s="1"/>
  <c r="AL541" i="3" s="1"/>
  <c r="V541" i="3" s="1"/>
  <c r="AK100" i="3"/>
  <c r="AM100" i="3" s="1"/>
  <c r="AL100" i="3" s="1"/>
  <c r="AK300" i="3"/>
  <c r="AM300" i="3" s="1"/>
  <c r="AL300" i="3" s="1"/>
  <c r="V300" i="3" s="1"/>
  <c r="AK343" i="3"/>
  <c r="AM343" i="3" s="1"/>
  <c r="AL343" i="3" s="1"/>
  <c r="AO343" i="3" s="1"/>
  <c r="AK485" i="3"/>
  <c r="AM485" i="3" s="1"/>
  <c r="AL485" i="3" s="1"/>
  <c r="AK518" i="3"/>
  <c r="AM518" i="3" s="1"/>
  <c r="AL518" i="3" s="1"/>
  <c r="AO518" i="3" s="1"/>
  <c r="AK349" i="3"/>
  <c r="AM349" i="3" s="1"/>
  <c r="AL349" i="3" s="1"/>
  <c r="AP349" i="3" s="1"/>
  <c r="AQ349" i="3" s="1"/>
  <c r="CQ349" i="3" s="1"/>
  <c r="AK51" i="3"/>
  <c r="AM51" i="3" s="1"/>
  <c r="AL51" i="3" s="1"/>
  <c r="AK384" i="3"/>
  <c r="AM384" i="3" s="1"/>
  <c r="AL384" i="3" s="1"/>
  <c r="AP384" i="3" s="1"/>
  <c r="AQ384" i="3" s="1"/>
  <c r="CQ384" i="3" s="1"/>
  <c r="AK297" i="3"/>
  <c r="AM297" i="3" s="1"/>
  <c r="AL297" i="3" s="1"/>
  <c r="AK253" i="3"/>
  <c r="AM253" i="3" s="1"/>
  <c r="AL253" i="3" s="1"/>
  <c r="AK340" i="3"/>
  <c r="AM340" i="3" s="1"/>
  <c r="AL340" i="3" s="1"/>
  <c r="AP340" i="3" s="1"/>
  <c r="AQ340" i="3" s="1"/>
  <c r="CQ340" i="3" s="1"/>
  <c r="AK413" i="3"/>
  <c r="AM413" i="3" s="1"/>
  <c r="AL413" i="3" s="1"/>
  <c r="V413" i="3" s="1"/>
  <c r="AK356" i="3"/>
  <c r="AM356" i="3" s="1"/>
  <c r="AL356" i="3" s="1"/>
  <c r="V356" i="3" s="1"/>
  <c r="AK553" i="3"/>
  <c r="AM553" i="3" s="1"/>
  <c r="AL553" i="3" s="1"/>
  <c r="V553" i="3" s="1"/>
  <c r="AK42" i="3"/>
  <c r="AM42" i="3" s="1"/>
  <c r="AL42" i="3" s="1"/>
  <c r="AK165" i="3"/>
  <c r="AM165" i="3" s="1"/>
  <c r="AL165" i="3" s="1"/>
  <c r="V165" i="3" s="1"/>
  <c r="AK215" i="3"/>
  <c r="AM215" i="3" s="1"/>
  <c r="AL215" i="3" s="1"/>
  <c r="V215" i="3" s="1"/>
  <c r="AK432" i="3"/>
  <c r="AM432" i="3" s="1"/>
  <c r="AL432" i="3" s="1"/>
  <c r="AK221" i="3"/>
  <c r="AM221" i="3" s="1"/>
  <c r="AL221" i="3" s="1"/>
  <c r="V221" i="3" s="1"/>
  <c r="AK56" i="3"/>
  <c r="AM56" i="3" s="1"/>
  <c r="AL56" i="3" s="1"/>
  <c r="AK193" i="3"/>
  <c r="AM193" i="3" s="1"/>
  <c r="AL193" i="3" s="1"/>
  <c r="V193" i="3" s="1"/>
  <c r="AK309" i="3"/>
  <c r="AM309" i="3" s="1"/>
  <c r="AL309" i="3" s="1"/>
  <c r="AK53" i="3"/>
  <c r="AM53" i="3" s="1"/>
  <c r="AL53" i="3" s="1"/>
  <c r="AK398" i="3"/>
  <c r="AM398" i="3" s="1"/>
  <c r="AL398" i="3" s="1"/>
  <c r="V398" i="3" s="1"/>
  <c r="AK312" i="3"/>
  <c r="AM312" i="3" s="1"/>
  <c r="AL312" i="3" s="1"/>
  <c r="V312" i="3" s="1"/>
  <c r="AK138" i="3"/>
  <c r="AM138" i="3" s="1"/>
  <c r="AL138" i="3" s="1"/>
  <c r="AK172" i="3"/>
  <c r="AM172" i="3" s="1"/>
  <c r="AL172" i="3" s="1"/>
  <c r="AK72" i="3"/>
  <c r="AM72" i="3" s="1"/>
  <c r="AL72" i="3" s="1"/>
  <c r="AK464" i="3"/>
  <c r="AM464" i="3" s="1"/>
  <c r="AL464" i="3" s="1"/>
  <c r="AK535" i="3"/>
  <c r="AM535" i="3" s="1"/>
  <c r="AL535" i="3" s="1"/>
  <c r="V535" i="3" s="1"/>
  <c r="AK223" i="3"/>
  <c r="AK278" i="3"/>
  <c r="AM278" i="3" s="1"/>
  <c r="AL278" i="3" s="1"/>
  <c r="AK528" i="3"/>
  <c r="AM528" i="3" s="1"/>
  <c r="AL528" i="3" s="1"/>
  <c r="AK344" i="3"/>
  <c r="AM344" i="3" s="1"/>
  <c r="AL344" i="3" s="1"/>
  <c r="V344" i="3" s="1"/>
  <c r="AK277" i="3"/>
  <c r="AM277" i="3" s="1"/>
  <c r="AL277" i="3" s="1"/>
  <c r="AK539" i="3"/>
  <c r="AM539" i="3" s="1"/>
  <c r="AL539" i="3" s="1"/>
  <c r="V539" i="3" s="1"/>
  <c r="AK106" i="3"/>
  <c r="AM106" i="3" s="1"/>
  <c r="AL106" i="3" s="1"/>
  <c r="AK396" i="3"/>
  <c r="AM396" i="3" s="1"/>
  <c r="AL396" i="3" s="1"/>
  <c r="AK54" i="3"/>
  <c r="AM54" i="3" s="1"/>
  <c r="AL54" i="3" s="1"/>
  <c r="V54" i="3" s="1"/>
  <c r="AK568" i="3"/>
  <c r="AM568" i="3" s="1"/>
  <c r="AL568" i="3" s="1"/>
  <c r="V568" i="3" s="1"/>
  <c r="AK144" i="3"/>
  <c r="AM144" i="3" s="1"/>
  <c r="AL144" i="3" s="1"/>
  <c r="AK61" i="3"/>
  <c r="AM61" i="3" s="1"/>
  <c r="AL61" i="3" s="1"/>
  <c r="AK311" i="3"/>
  <c r="AM311" i="3" s="1"/>
  <c r="AL311" i="3" s="1"/>
  <c r="AK274" i="3"/>
  <c r="AM274" i="3" s="1"/>
  <c r="AL274" i="3" s="1"/>
  <c r="V274" i="3" s="1"/>
  <c r="AK580" i="3"/>
  <c r="AM580" i="3" s="1"/>
  <c r="AL580" i="3" s="1"/>
  <c r="V580" i="3" s="1"/>
  <c r="AK513" i="3"/>
  <c r="AM513" i="3" s="1"/>
  <c r="AL513" i="3" s="1"/>
  <c r="AK493" i="3"/>
  <c r="AM493" i="3" s="1"/>
  <c r="AL493" i="3" s="1"/>
  <c r="AK368" i="3"/>
  <c r="AM368" i="3" s="1"/>
  <c r="AL368" i="3" s="1"/>
  <c r="AK515" i="3"/>
  <c r="AM515" i="3" s="1"/>
  <c r="AL515" i="3" s="1"/>
  <c r="AK517" i="3"/>
  <c r="AM517" i="3" s="1"/>
  <c r="AL517" i="3" s="1"/>
  <c r="AK188" i="3"/>
  <c r="AM188" i="3" s="1"/>
  <c r="AL188" i="3" s="1"/>
  <c r="AK192" i="3"/>
  <c r="AM192" i="3" s="1"/>
  <c r="AL192" i="3" s="1"/>
  <c r="V192" i="3" s="1"/>
  <c r="AK412" i="3"/>
  <c r="AM412" i="3" s="1"/>
  <c r="AL412" i="3" s="1"/>
  <c r="AK128" i="3"/>
  <c r="AM128" i="3" s="1"/>
  <c r="AL128" i="3" s="1"/>
  <c r="AK70" i="3"/>
  <c r="AM70" i="3" s="1"/>
  <c r="AL70" i="3" s="1"/>
  <c r="AK360" i="3"/>
  <c r="AM360" i="3" s="1"/>
  <c r="AL360" i="3" s="1"/>
  <c r="V360" i="3" s="1"/>
  <c r="AK555" i="3"/>
  <c r="AM555" i="3" s="1"/>
  <c r="AL555" i="3" s="1"/>
  <c r="V555" i="3" s="1"/>
  <c r="AK408" i="3"/>
  <c r="AM408" i="3" s="1"/>
  <c r="AL408" i="3" s="1"/>
  <c r="AK548" i="3"/>
  <c r="AM548" i="3" s="1"/>
  <c r="AL548" i="3" s="1"/>
  <c r="AK204" i="3"/>
  <c r="AM204" i="3" s="1"/>
  <c r="AL204" i="3" s="1"/>
  <c r="AK549" i="3"/>
  <c r="AM549" i="3" s="1"/>
  <c r="AL549" i="3" s="1"/>
  <c r="AK552" i="3"/>
  <c r="AM552" i="3" s="1"/>
  <c r="AL552" i="3" s="1"/>
  <c r="AO552" i="3" s="1"/>
  <c r="AK495" i="3"/>
  <c r="AM495" i="3" s="1"/>
  <c r="AL495" i="3" s="1"/>
  <c r="AK533" i="3"/>
  <c r="AM533" i="3" s="1"/>
  <c r="AL533" i="3" s="1"/>
  <c r="AO533" i="3" s="1"/>
  <c r="AK65" i="3"/>
  <c r="AM65" i="3" s="1"/>
  <c r="AL65" i="3" s="1"/>
  <c r="AK389" i="3"/>
  <c r="AM389" i="3" s="1"/>
  <c r="AL389" i="3" s="1"/>
  <c r="V389" i="3" s="1"/>
  <c r="AK456" i="3"/>
  <c r="AM456" i="3" s="1"/>
  <c r="AL456" i="3" s="1"/>
  <c r="AK501" i="3"/>
  <c r="AM501" i="3" s="1"/>
  <c r="AL501" i="3" s="1"/>
  <c r="AO501" i="3" s="1"/>
  <c r="AK205" i="3"/>
  <c r="AM205" i="3" s="1"/>
  <c r="AL205" i="3" s="1"/>
  <c r="AK104" i="3"/>
  <c r="AM104" i="3" s="1"/>
  <c r="AL104" i="3" s="1"/>
  <c r="AK245" i="3"/>
  <c r="AM245" i="3" s="1"/>
  <c r="AL245" i="3" s="1"/>
  <c r="V245" i="3" s="1"/>
  <c r="AK263" i="3"/>
  <c r="AM263" i="3" s="1"/>
  <c r="AL263" i="3" s="1"/>
  <c r="V263" i="3" s="1"/>
  <c r="AK491" i="3"/>
  <c r="AM491" i="3" s="1"/>
  <c r="AL491" i="3" s="1"/>
  <c r="AP491" i="3" s="1"/>
  <c r="AQ491" i="3" s="1"/>
  <c r="CQ491" i="3" s="1"/>
  <c r="AK322" i="3"/>
  <c r="AM322" i="3" s="1"/>
  <c r="AL322" i="3" s="1"/>
  <c r="V322" i="3" s="1"/>
  <c r="AK551" i="3"/>
  <c r="AM551" i="3" s="1"/>
  <c r="AL551" i="3" s="1"/>
  <c r="AP551" i="3" s="1"/>
  <c r="AQ551" i="3" s="1"/>
  <c r="CQ551" i="3" s="1"/>
  <c r="AK424" i="3"/>
  <c r="AM424" i="3" s="1"/>
  <c r="AL424" i="3" s="1"/>
  <c r="AK163" i="3"/>
  <c r="AM163" i="3" s="1"/>
  <c r="AL163" i="3" s="1"/>
  <c r="V163" i="3" s="1"/>
  <c r="AK55" i="3"/>
  <c r="AM55" i="3" s="1"/>
  <c r="AL55" i="3" s="1"/>
  <c r="V55" i="3" s="1"/>
  <c r="AK81" i="3"/>
  <c r="AM81" i="3" s="1"/>
  <c r="AL81" i="3" s="1"/>
  <c r="AK490" i="3"/>
  <c r="AM490" i="3" s="1"/>
  <c r="AL490" i="3" s="1"/>
  <c r="AK246" i="3"/>
  <c r="AM246" i="3" s="1"/>
  <c r="AL246" i="3" s="1"/>
  <c r="AK508" i="3"/>
  <c r="AM508" i="3" s="1"/>
  <c r="AL508" i="3" s="1"/>
  <c r="AK186" i="3"/>
  <c r="AM186" i="3" s="1"/>
  <c r="AL186" i="3" s="1"/>
  <c r="AK331" i="3"/>
  <c r="AM331" i="3" s="1"/>
  <c r="AL331" i="3" s="1"/>
  <c r="AK417" i="3"/>
  <c r="AM417" i="3" s="1"/>
  <c r="AL417" i="3" s="1"/>
  <c r="AK189" i="3"/>
  <c r="AM189" i="3" s="1"/>
  <c r="AL189" i="3" s="1"/>
  <c r="AK334" i="3"/>
  <c r="AM334" i="3" s="1"/>
  <c r="AL334" i="3" s="1"/>
  <c r="AK457" i="3"/>
  <c r="AM457" i="3" s="1"/>
  <c r="AL457" i="3" s="1"/>
  <c r="AK388" i="3"/>
  <c r="AM388" i="3" s="1"/>
  <c r="AL388" i="3" s="1"/>
  <c r="V388" i="3" s="1"/>
  <c r="AK164" i="3"/>
  <c r="AM164" i="3" s="1"/>
  <c r="AL164" i="3" s="1"/>
  <c r="AK411" i="3"/>
  <c r="AM411" i="3" s="1"/>
  <c r="AL411" i="3" s="1"/>
  <c r="AK133" i="3"/>
  <c r="AM133" i="3" s="1"/>
  <c r="AL133" i="3" s="1"/>
  <c r="AK248" i="3"/>
  <c r="AM248" i="3" s="1"/>
  <c r="AL248" i="3" s="1"/>
  <c r="V248" i="3" s="1"/>
  <c r="AK571" i="3"/>
  <c r="AM571" i="3" s="1"/>
  <c r="AL571" i="3" s="1"/>
  <c r="V571" i="3" s="1"/>
  <c r="AK88" i="3"/>
  <c r="AM88" i="3" s="1"/>
  <c r="AL88" i="3" s="1"/>
  <c r="AK502" i="3"/>
  <c r="AM502" i="3" s="1"/>
  <c r="AL502" i="3" s="1"/>
  <c r="AK169" i="3"/>
  <c r="AM169" i="3" s="1"/>
  <c r="AL169" i="3" s="1"/>
  <c r="V169" i="3" s="1"/>
  <c r="AK127" i="3"/>
  <c r="AM127" i="3" s="1"/>
  <c r="AL127" i="3" s="1"/>
  <c r="AK48" i="3"/>
  <c r="AM48" i="3" s="1"/>
  <c r="AL48" i="3" s="1"/>
  <c r="AK27" i="3"/>
  <c r="AM27" i="3" s="1"/>
  <c r="AL27" i="3" s="1"/>
  <c r="AK196" i="3"/>
  <c r="AM196" i="3" s="1"/>
  <c r="AL196" i="3" s="1"/>
  <c r="AK547" i="3"/>
  <c r="AM547" i="3" s="1"/>
  <c r="AL547" i="3" s="1"/>
  <c r="V547" i="3" s="1"/>
  <c r="AK280" i="3"/>
  <c r="AM280" i="3" s="1"/>
  <c r="AL280" i="3" s="1"/>
  <c r="V280" i="3" s="1"/>
  <c r="AK102" i="3"/>
  <c r="AM102" i="3" s="1"/>
  <c r="AL102" i="3" s="1"/>
  <c r="AK522" i="3"/>
  <c r="AM522" i="3" s="1"/>
  <c r="AL522" i="3" s="1"/>
  <c r="AK407" i="3"/>
  <c r="AM407" i="3" s="1"/>
  <c r="AL407" i="3" s="1"/>
  <c r="AK442" i="3"/>
  <c r="AM442" i="3" s="1"/>
  <c r="AL442" i="3" s="1"/>
  <c r="AK211" i="3"/>
  <c r="AM211" i="3" s="1"/>
  <c r="AL211" i="3" s="1"/>
  <c r="AK467" i="3"/>
  <c r="AM467" i="3" s="1"/>
  <c r="AL467" i="3" s="1"/>
  <c r="AK526" i="3"/>
  <c r="AM526" i="3" s="1"/>
  <c r="AL526" i="3" s="1"/>
  <c r="AK82" i="3"/>
  <c r="AM82" i="3" s="1"/>
  <c r="AL82" i="3" s="1"/>
  <c r="AK460" i="3"/>
  <c r="AM460" i="3" s="1"/>
  <c r="AL460" i="3" s="1"/>
  <c r="AK449" i="3"/>
  <c r="AM449" i="3" s="1"/>
  <c r="AL449" i="3" s="1"/>
  <c r="AK328" i="3"/>
  <c r="AM328" i="3" s="1"/>
  <c r="AL328" i="3" s="1"/>
  <c r="AK291" i="3"/>
  <c r="AM291" i="3" s="1"/>
  <c r="AL291" i="3" s="1"/>
  <c r="AK422" i="3"/>
  <c r="AM422" i="3" s="1"/>
  <c r="AL422" i="3" s="1"/>
  <c r="AK107" i="3"/>
  <c r="AM107" i="3" s="1"/>
  <c r="AL107" i="3" s="1"/>
  <c r="AK178" i="3"/>
  <c r="AM178" i="3" s="1"/>
  <c r="AL178" i="3" s="1"/>
  <c r="AK370" i="3"/>
  <c r="AM370" i="3" s="1"/>
  <c r="AL370" i="3" s="1"/>
  <c r="V370" i="3" s="1"/>
  <c r="AK295" i="3"/>
  <c r="AM295" i="3" s="1"/>
  <c r="AL295" i="3" s="1"/>
  <c r="V295" i="3" s="1"/>
  <c r="AK113" i="3"/>
  <c r="AM113" i="3" s="1"/>
  <c r="AL113" i="3" s="1"/>
  <c r="AK86" i="3"/>
  <c r="AM86" i="3" s="1"/>
  <c r="AL86" i="3" s="1"/>
  <c r="AK154" i="3"/>
  <c r="AM154" i="3" s="1"/>
  <c r="AL154" i="3" s="1"/>
  <c r="AK516" i="3"/>
  <c r="AM516" i="3" s="1"/>
  <c r="AL516" i="3" s="1"/>
  <c r="V516" i="3" s="1"/>
  <c r="AK367" i="3"/>
  <c r="AM367" i="3" s="1"/>
  <c r="AL367" i="3" s="1"/>
  <c r="V367" i="3" s="1"/>
  <c r="AK317" i="3"/>
  <c r="AM317" i="3" s="1"/>
  <c r="AL317" i="3" s="1"/>
  <c r="AK565" i="3"/>
  <c r="AM565" i="3" s="1"/>
  <c r="AL565" i="3" s="1"/>
  <c r="V565" i="3" s="1"/>
  <c r="AK230" i="3"/>
  <c r="AM230" i="3" s="1"/>
  <c r="AL230" i="3" s="1"/>
  <c r="AK352" i="3"/>
  <c r="AM352" i="3" s="1"/>
  <c r="AL352" i="3" s="1"/>
  <c r="AO352" i="3" s="1"/>
  <c r="AK335" i="3"/>
  <c r="AM335" i="3" s="1"/>
  <c r="AL335" i="3" s="1"/>
  <c r="AK382" i="3"/>
  <c r="AM382" i="3" s="1"/>
  <c r="AL382" i="3" s="1"/>
  <c r="V382" i="3" s="1"/>
  <c r="AK387" i="3"/>
  <c r="AM387" i="3" s="1"/>
  <c r="AL387" i="3" s="1"/>
  <c r="AK472" i="3"/>
  <c r="AM472" i="3" s="1"/>
  <c r="AL472" i="3" s="1"/>
  <c r="V472" i="3" s="1"/>
  <c r="AK137" i="3"/>
  <c r="AM137" i="3" s="1"/>
  <c r="AL137" i="3" s="1"/>
  <c r="AK134" i="3"/>
  <c r="AM134" i="3" s="1"/>
  <c r="AL134" i="3" s="1"/>
  <c r="AK191" i="3"/>
  <c r="AM191" i="3" s="1"/>
  <c r="AL191" i="3" s="1"/>
  <c r="AK426" i="3"/>
  <c r="AM426" i="3" s="1"/>
  <c r="AL426" i="3" s="1"/>
  <c r="AK161" i="3"/>
  <c r="AM161" i="3" s="1"/>
  <c r="AL161" i="3" s="1"/>
  <c r="AK255" i="3"/>
  <c r="AM255" i="3" s="1"/>
  <c r="AL255" i="3" s="1"/>
  <c r="AK354" i="3"/>
  <c r="AM354" i="3" s="1"/>
  <c r="AL354" i="3" s="1"/>
  <c r="AK507" i="3"/>
  <c r="AM507" i="3" s="1"/>
  <c r="AL507" i="3" s="1"/>
  <c r="AK214" i="3"/>
  <c r="AM214" i="3" s="1"/>
  <c r="AL214" i="3" s="1"/>
  <c r="AK26" i="3"/>
  <c r="AM26" i="3" s="1"/>
  <c r="AL26" i="3" s="1"/>
  <c r="AK308" i="3"/>
  <c r="AM308" i="3" s="1"/>
  <c r="AL308" i="3" s="1"/>
  <c r="AK369" i="3"/>
  <c r="AM369" i="3" s="1"/>
  <c r="AL369" i="3" s="1"/>
  <c r="AK30" i="3"/>
  <c r="AM30" i="3" s="1"/>
  <c r="AL30" i="3" s="1"/>
  <c r="AK159" i="3"/>
  <c r="AM159" i="3" s="1"/>
  <c r="AL159" i="3" s="1"/>
  <c r="AK575" i="3"/>
  <c r="AM575" i="3" s="1"/>
  <c r="AL575" i="3" s="1"/>
  <c r="AK476" i="3"/>
  <c r="AM476" i="3" s="1"/>
  <c r="AL476" i="3" s="1"/>
  <c r="AK372" i="3"/>
  <c r="AM372" i="3" s="1"/>
  <c r="AL372" i="3" s="1"/>
  <c r="AK257" i="3"/>
  <c r="AM257" i="3" s="1"/>
  <c r="AL257" i="3" s="1"/>
  <c r="AK358" i="3"/>
  <c r="AM358" i="3" s="1"/>
  <c r="AL358" i="3" s="1"/>
  <c r="V358" i="3" s="1"/>
  <c r="AK391" i="3"/>
  <c r="AM391" i="3" s="1"/>
  <c r="AL391" i="3" s="1"/>
  <c r="V391" i="3" s="1"/>
  <c r="AK560" i="3"/>
  <c r="AM560" i="3" s="1"/>
  <c r="AL560" i="3" s="1"/>
  <c r="AK298" i="3"/>
  <c r="AM298" i="3" s="1"/>
  <c r="AL298" i="3" s="1"/>
  <c r="AK199" i="3"/>
  <c r="AM199" i="3" s="1"/>
  <c r="AL199" i="3" s="1"/>
  <c r="AK200" i="3"/>
  <c r="AM200" i="3" s="1"/>
  <c r="AL200" i="3" s="1"/>
  <c r="AK220" i="3"/>
  <c r="AM220" i="3" s="1"/>
  <c r="AL220" i="3" s="1"/>
  <c r="AK109" i="3"/>
  <c r="AM109" i="3" s="1"/>
  <c r="AL109" i="3" s="1"/>
  <c r="AK166" i="3"/>
  <c r="AM166" i="3" s="1"/>
  <c r="AL166" i="3" s="1"/>
  <c r="AK451" i="3"/>
  <c r="AM451" i="3" s="1"/>
  <c r="AL451" i="3" s="1"/>
  <c r="AK469" i="3"/>
  <c r="AM469" i="3" s="1"/>
  <c r="AL469" i="3" s="1"/>
  <c r="AK438" i="3"/>
  <c r="AM438" i="3" s="1"/>
  <c r="AL438" i="3" s="1"/>
  <c r="AK361" i="3"/>
  <c r="AM361" i="3" s="1"/>
  <c r="AL361" i="3" s="1"/>
  <c r="V361" i="3" s="1"/>
  <c r="AK505" i="3"/>
  <c r="AM505" i="3" s="1"/>
  <c r="AL505" i="3" s="1"/>
  <c r="AK550" i="3"/>
  <c r="AM550" i="3" s="1"/>
  <c r="AL550" i="3" s="1"/>
  <c r="AK330" i="3"/>
  <c r="AM330" i="3" s="1"/>
  <c r="AL330" i="3" s="1"/>
  <c r="AK529" i="3"/>
  <c r="AM529" i="3" s="1"/>
  <c r="AL529" i="3" s="1"/>
  <c r="V529" i="3" s="1"/>
  <c r="AK443" i="3"/>
  <c r="AM443" i="3" s="1"/>
  <c r="AL443" i="3" s="1"/>
  <c r="AK313" i="3"/>
  <c r="AM313" i="3" s="1"/>
  <c r="AL313" i="3" s="1"/>
  <c r="AK67" i="3"/>
  <c r="AM67" i="3" s="1"/>
  <c r="AL67" i="3" s="1"/>
  <c r="V67" i="3" s="1"/>
  <c r="AK498" i="3"/>
  <c r="AM498" i="3" s="1"/>
  <c r="AL498" i="3" s="1"/>
  <c r="V498" i="3" s="1"/>
  <c r="AK247" i="3"/>
  <c r="AM247" i="3" s="1"/>
  <c r="AL247" i="3" s="1"/>
  <c r="AK486" i="3"/>
  <c r="AM486" i="3" s="1"/>
  <c r="AL486" i="3" s="1"/>
  <c r="AK266" i="3"/>
  <c r="AM266" i="3" s="1"/>
  <c r="AL266" i="3" s="1"/>
  <c r="V266" i="3" s="1"/>
  <c r="AK503" i="3"/>
  <c r="AM503" i="3" s="1"/>
  <c r="AL503" i="3" s="1"/>
  <c r="AK292" i="3"/>
  <c r="AM292" i="3" s="1"/>
  <c r="AL292" i="3" s="1"/>
  <c r="AK275" i="3"/>
  <c r="AM275" i="3" s="1"/>
  <c r="AL275" i="3" s="1"/>
  <c r="AK419" i="3"/>
  <c r="AM419" i="3" s="1"/>
  <c r="AL419" i="3" s="1"/>
  <c r="AK496" i="3"/>
  <c r="AM496" i="3" s="1"/>
  <c r="AL496" i="3" s="1"/>
  <c r="AK287" i="3"/>
  <c r="AM287" i="3" s="1"/>
  <c r="AL287" i="3" s="1"/>
  <c r="AK264" i="3"/>
  <c r="AM264" i="3" s="1"/>
  <c r="AL264" i="3" s="1"/>
  <c r="AK386" i="3"/>
  <c r="AM386" i="3" s="1"/>
  <c r="AL386" i="3" s="1"/>
  <c r="AK563" i="3"/>
  <c r="AM563" i="3" s="1"/>
  <c r="AL563" i="3" s="1"/>
  <c r="V563" i="3" s="1"/>
  <c r="AK219" i="3"/>
  <c r="AM219" i="3" s="1"/>
  <c r="AL219" i="3" s="1"/>
  <c r="AK203" i="3"/>
  <c r="AM203" i="3" s="1"/>
  <c r="AL203" i="3" s="1"/>
  <c r="V203" i="3" s="1"/>
  <c r="AK135" i="3"/>
  <c r="AM135" i="3" s="1"/>
  <c r="AL135" i="3" s="1"/>
  <c r="AK578" i="3"/>
  <c r="AM578" i="3" s="1"/>
  <c r="AL578" i="3" s="1"/>
  <c r="V578" i="3" s="1"/>
  <c r="AK397" i="3"/>
  <c r="AM397" i="3" s="1"/>
  <c r="AL397" i="3" s="1"/>
  <c r="AK303" i="3"/>
  <c r="AM303" i="3" s="1"/>
  <c r="AL303" i="3" s="1"/>
  <c r="AK32" i="3"/>
  <c r="AM32" i="3" s="1"/>
  <c r="AL32" i="3" s="1"/>
  <c r="V32" i="3" s="1"/>
  <c r="AK427" i="3"/>
  <c r="AM427" i="3" s="1"/>
  <c r="AL427" i="3" s="1"/>
  <c r="AK318" i="3"/>
  <c r="AM318" i="3" s="1"/>
  <c r="AL318" i="3" s="1"/>
  <c r="AK155" i="3"/>
  <c r="AM155" i="3" s="1"/>
  <c r="AL155" i="3" s="1"/>
  <c r="AK543" i="3"/>
  <c r="AM543" i="3" s="1"/>
  <c r="AL543" i="3" s="1"/>
  <c r="AK445" i="3"/>
  <c r="AM445" i="3" s="1"/>
  <c r="AL445" i="3" s="1"/>
  <c r="AK435" i="3"/>
  <c r="AM435" i="3" s="1"/>
  <c r="AL435" i="3" s="1"/>
  <c r="AK174" i="3"/>
  <c r="AM174" i="3" s="1"/>
  <c r="AL174" i="3" s="1"/>
  <c r="AK210" i="3"/>
  <c r="AM210" i="3" s="1"/>
  <c r="AL210" i="3" s="1"/>
  <c r="AK374" i="3"/>
  <c r="AM374" i="3" s="1"/>
  <c r="AL374" i="3" s="1"/>
  <c r="V374" i="3" s="1"/>
  <c r="AK175" i="3"/>
  <c r="AM175" i="3" s="1"/>
  <c r="AL175" i="3" s="1"/>
  <c r="AK228" i="3"/>
  <c r="AM228" i="3" s="1"/>
  <c r="AL228" i="3" s="1"/>
  <c r="AK414" i="3"/>
  <c r="AM414" i="3" s="1"/>
  <c r="AL414" i="3" s="1"/>
  <c r="AK140" i="3"/>
  <c r="AM140" i="3" s="1"/>
  <c r="AL140" i="3" s="1"/>
  <c r="AK158" i="3"/>
  <c r="AM158" i="3" s="1"/>
  <c r="AL158" i="3" s="1"/>
  <c r="AK85" i="3"/>
  <c r="AM85" i="3" s="1"/>
  <c r="AL85" i="3" s="1"/>
  <c r="AK310" i="3"/>
  <c r="AM310" i="3" s="1"/>
  <c r="AL310" i="3" s="1"/>
  <c r="AK418" i="3"/>
  <c r="AM418" i="3" s="1"/>
  <c r="AL418" i="3" s="1"/>
  <c r="AK324" i="3"/>
  <c r="AM324" i="3" s="1"/>
  <c r="AL324" i="3" s="1"/>
  <c r="AK428" i="3"/>
  <c r="AM428" i="3" s="1"/>
  <c r="AL428" i="3" s="1"/>
  <c r="AK43" i="3"/>
  <c r="AM43" i="3" s="1"/>
  <c r="AL43" i="3" s="1"/>
  <c r="AK524" i="3"/>
  <c r="AM524" i="3" s="1"/>
  <c r="AL524" i="3" s="1"/>
  <c r="AK315" i="3"/>
  <c r="AM315" i="3" s="1"/>
  <c r="AL315" i="3" s="1"/>
  <c r="AK319" i="3"/>
  <c r="AM319" i="3" s="1"/>
  <c r="AL319" i="3" s="1"/>
  <c r="AK433" i="3"/>
  <c r="AM433" i="3" s="1"/>
  <c r="AL433" i="3" s="1"/>
  <c r="AK62" i="3"/>
  <c r="AM62" i="3" s="1"/>
  <c r="AL62" i="3" s="1"/>
  <c r="AK439" i="3"/>
  <c r="AM439" i="3" s="1"/>
  <c r="AL439" i="3" s="1"/>
  <c r="AK545" i="3"/>
  <c r="AM545" i="3" s="1"/>
  <c r="AL545" i="3" s="1"/>
  <c r="V545" i="3" s="1"/>
  <c r="AK466" i="3"/>
  <c r="AM466" i="3" s="1"/>
  <c r="AL466" i="3" s="1"/>
  <c r="AK76" i="3"/>
  <c r="AM76" i="3" s="1"/>
  <c r="AL76" i="3" s="1"/>
  <c r="AK326" i="3"/>
  <c r="AM326" i="3" s="1"/>
  <c r="AL326" i="3" s="1"/>
  <c r="AK345" i="3"/>
  <c r="AM345" i="3" s="1"/>
  <c r="AL345" i="3" s="1"/>
  <c r="AK459" i="3"/>
  <c r="AM459" i="3" s="1"/>
  <c r="AL459" i="3" s="1"/>
  <c r="AK69" i="3"/>
  <c r="AM69" i="3" s="1"/>
  <c r="AL69" i="3" s="1"/>
  <c r="V69" i="3" s="1"/>
  <c r="AK380" i="3"/>
  <c r="AM380" i="3" s="1"/>
  <c r="AL380" i="3" s="1"/>
  <c r="V380" i="3" s="1"/>
  <c r="AK105" i="3"/>
  <c r="AM105" i="3" s="1"/>
  <c r="AL105" i="3" s="1"/>
  <c r="AK229" i="3"/>
  <c r="AM229" i="3" s="1"/>
  <c r="AL229" i="3" s="1"/>
  <c r="AO229" i="3" s="1"/>
  <c r="AK216" i="3"/>
  <c r="AM216" i="3" s="1"/>
  <c r="AL216" i="3" s="1"/>
  <c r="AO216" i="3" s="1"/>
  <c r="AK429" i="3"/>
  <c r="AM429" i="3" s="1"/>
  <c r="AL429" i="3" s="1"/>
  <c r="AK350" i="3"/>
  <c r="AM350" i="3" s="1"/>
  <c r="AL350" i="3" s="1"/>
  <c r="V350" i="3" s="1"/>
  <c r="AK462" i="3"/>
  <c r="AM462" i="3" s="1"/>
  <c r="AL462" i="3" s="1"/>
  <c r="AK561" i="3"/>
  <c r="AM561" i="3" s="1"/>
  <c r="AL561" i="3" s="1"/>
  <c r="V561" i="3" s="1"/>
  <c r="AK355" i="3"/>
  <c r="AM355" i="3" s="1"/>
  <c r="AL355" i="3" s="1"/>
  <c r="AK281" i="3"/>
  <c r="AM281" i="3" s="1"/>
  <c r="AL281" i="3" s="1"/>
  <c r="AK63" i="3"/>
  <c r="AM63" i="3" s="1"/>
  <c r="AL63" i="3" s="1"/>
  <c r="AO63" i="3" s="1"/>
  <c r="AK519" i="3"/>
  <c r="AM519" i="3" s="1"/>
  <c r="AL519" i="3" s="1"/>
  <c r="V519" i="3" s="1"/>
  <c r="AK554" i="3"/>
  <c r="AM554" i="3" s="1"/>
  <c r="AL554" i="3" s="1"/>
  <c r="V554" i="3" s="1"/>
  <c r="AK267" i="3"/>
  <c r="AM267" i="3" s="1"/>
  <c r="AL267" i="3" s="1"/>
  <c r="AK213" i="3"/>
  <c r="AM213" i="3" s="1"/>
  <c r="AL213" i="3" s="1"/>
  <c r="AK58" i="3"/>
  <c r="AM58" i="3" s="1"/>
  <c r="AL58" i="3" s="1"/>
  <c r="V58" i="3" s="1"/>
  <c r="AK509" i="3"/>
  <c r="AM509" i="3" s="1"/>
  <c r="AL509" i="3" s="1"/>
  <c r="AK500" i="3"/>
  <c r="AM500" i="3" s="1"/>
  <c r="AL500" i="3" s="1"/>
  <c r="AK455" i="3"/>
  <c r="AM455" i="3" s="1"/>
  <c r="AL455" i="3" s="1"/>
  <c r="AO455" i="3" s="1"/>
  <c r="AK434" i="3"/>
  <c r="AM434" i="3" s="1"/>
  <c r="AL434" i="3" s="1"/>
  <c r="AO434" i="3" s="1"/>
  <c r="AK531" i="3"/>
  <c r="AM531" i="3" s="1"/>
  <c r="AL531" i="3" s="1"/>
  <c r="AK149" i="3"/>
  <c r="AM149" i="3" s="1"/>
  <c r="AL149" i="3" s="1"/>
  <c r="AK425" i="3"/>
  <c r="AM425" i="3" s="1"/>
  <c r="AL425" i="3" s="1"/>
  <c r="AK559" i="3"/>
  <c r="AM559" i="3" s="1"/>
  <c r="AL559" i="3" s="1"/>
  <c r="V559" i="3" s="1"/>
  <c r="AK279" i="3"/>
  <c r="AM279" i="3" s="1"/>
  <c r="AL279" i="3" s="1"/>
  <c r="AK35" i="3"/>
  <c r="AM35" i="3" s="1"/>
  <c r="AL35" i="3" s="1"/>
  <c r="AK115" i="3"/>
  <c r="AM115" i="3" s="1"/>
  <c r="AL115" i="3" s="1"/>
  <c r="AP115" i="3" s="1"/>
  <c r="AQ115" i="3" s="1"/>
  <c r="CQ115" i="3" s="1"/>
  <c r="AK6" i="3"/>
  <c r="AM6" i="3" s="1"/>
  <c r="AL6" i="3" s="1"/>
  <c r="AK225" i="3"/>
  <c r="AM225" i="3" s="1"/>
  <c r="AL225" i="3" s="1"/>
  <c r="V225" i="3" s="1"/>
  <c r="AK227" i="3"/>
  <c r="AM227" i="3" s="1"/>
  <c r="AL227" i="3" s="1"/>
  <c r="V227" i="3" s="1"/>
  <c r="AK4" i="3"/>
  <c r="AM4" i="3" s="1"/>
  <c r="AL4" i="3" s="1"/>
  <c r="V4" i="3" s="1"/>
  <c r="AK8" i="3"/>
  <c r="AM8" i="3" s="1"/>
  <c r="AL8" i="3" s="1"/>
  <c r="AK118" i="3"/>
  <c r="AM118" i="3" s="1"/>
  <c r="AL118" i="3" s="1"/>
  <c r="AP118" i="3" s="1"/>
  <c r="AQ118" i="3" s="1"/>
  <c r="CQ118" i="3" s="1"/>
  <c r="AK116" i="3"/>
  <c r="AM116" i="3" s="1"/>
  <c r="AL116" i="3" s="1"/>
  <c r="V116" i="3" s="1"/>
  <c r="AK114" i="3"/>
  <c r="AM114" i="3" s="1"/>
  <c r="AL114" i="3" s="1"/>
  <c r="V114" i="3" s="1"/>
  <c r="AK117" i="3"/>
  <c r="AM117" i="3" s="1"/>
  <c r="AL117" i="3" s="1"/>
  <c r="V117" i="3" s="1"/>
  <c r="AK394" i="3"/>
  <c r="AM394" i="3" s="1"/>
  <c r="AL394" i="3" s="1"/>
  <c r="AK5" i="3"/>
  <c r="AM5" i="3" s="1"/>
  <c r="AL5" i="3" s="1"/>
  <c r="V5" i="3" s="1"/>
  <c r="AK7" i="3"/>
  <c r="AM7" i="3" s="1"/>
  <c r="AL7" i="3" s="1"/>
  <c r="AK226" i="3"/>
  <c r="AM226" i="3" s="1"/>
  <c r="AL226" i="3" s="1"/>
  <c r="AK392" i="3"/>
  <c r="AM392" i="3" s="1"/>
  <c r="AL392" i="3" s="1"/>
  <c r="V392" i="3" s="1"/>
  <c r="AK395" i="3"/>
  <c r="AM395" i="3" s="1"/>
  <c r="AL395" i="3" s="1"/>
  <c r="AK393" i="3"/>
  <c r="AM393" i="3" s="1"/>
  <c r="AL393" i="3" s="1"/>
  <c r="AK3" i="3"/>
  <c r="AM3" i="3" s="1"/>
  <c r="AL68" i="3" l="1"/>
  <c r="AO68" i="3" s="1"/>
  <c r="AM223" i="3"/>
  <c r="AO375" i="3"/>
  <c r="AO93" i="3"/>
  <c r="AO320" i="3"/>
  <c r="CY320" i="3" s="1"/>
  <c r="AO367" i="3"/>
  <c r="CY367" i="3" s="1"/>
  <c r="AO351" i="3"/>
  <c r="CY351" i="3" s="1"/>
  <c r="AO364" i="3"/>
  <c r="CY364" i="3" s="1"/>
  <c r="AO564" i="3"/>
  <c r="CY564" i="3" s="1"/>
  <c r="AO145" i="3"/>
  <c r="CY145" i="3" s="1"/>
  <c r="AP183" i="3"/>
  <c r="AQ183" i="3" s="1"/>
  <c r="CQ183" i="3" s="1"/>
  <c r="AO353" i="3"/>
  <c r="AO114" i="3"/>
  <c r="CY114" i="3" s="1"/>
  <c r="AO389" i="3"/>
  <c r="CY389" i="3" s="1"/>
  <c r="AO538" i="3"/>
  <c r="CY538" i="3" s="1"/>
  <c r="AO557" i="3"/>
  <c r="CY557" i="3" s="1"/>
  <c r="AO112" i="3"/>
  <c r="CY112" i="3" s="1"/>
  <c r="AO41" i="3"/>
  <c r="CY41" i="3" s="1"/>
  <c r="AO4" i="3"/>
  <c r="CY4" i="3" s="1"/>
  <c r="AO519" i="3"/>
  <c r="AO579" i="3"/>
  <c r="CY579" i="3" s="1"/>
  <c r="AO148" i="3"/>
  <c r="CY148" i="3" s="1"/>
  <c r="AO366" i="3"/>
  <c r="CY366" i="3" s="1"/>
  <c r="AP194" i="3"/>
  <c r="AQ194" i="3" s="1"/>
  <c r="CQ194" i="3" s="1"/>
  <c r="AO222" i="3"/>
  <c r="CY222" i="3" s="1"/>
  <c r="AO562" i="3"/>
  <c r="CY562" i="3" s="1"/>
  <c r="AO558" i="3"/>
  <c r="AO566" i="3"/>
  <c r="AP160" i="3"/>
  <c r="AQ160" i="3" s="1"/>
  <c r="CQ160" i="3" s="1"/>
  <c r="AP198" i="3"/>
  <c r="AQ198" i="3" s="1"/>
  <c r="CQ198" i="3" s="1"/>
  <c r="AO551" i="3"/>
  <c r="CY551" i="3" s="1"/>
  <c r="AO195" i="3"/>
  <c r="CY195" i="3" s="1"/>
  <c r="AP195" i="3"/>
  <c r="AQ195" i="3" s="1"/>
  <c r="CQ195" i="3" s="1"/>
  <c r="AP501" i="3"/>
  <c r="AQ501" i="3" s="1"/>
  <c r="CQ501" i="3" s="1"/>
  <c r="AP28" i="3"/>
  <c r="AQ28" i="3" s="1"/>
  <c r="CQ28" i="3" s="1"/>
  <c r="AO252" i="3"/>
  <c r="AP252" i="3"/>
  <c r="AQ252" i="3" s="1"/>
  <c r="CQ252" i="3" s="1"/>
  <c r="AO559" i="3"/>
  <c r="CY559" i="3" s="1"/>
  <c r="AP559" i="3"/>
  <c r="AQ559" i="3" s="1"/>
  <c r="CQ559" i="3" s="1"/>
  <c r="AO98" i="3"/>
  <c r="CY98" i="3" s="1"/>
  <c r="AP98" i="3"/>
  <c r="AQ98" i="3" s="1"/>
  <c r="CQ98" i="3" s="1"/>
  <c r="AO60" i="3"/>
  <c r="CY60" i="3" s="1"/>
  <c r="AP60" i="3"/>
  <c r="AQ60" i="3" s="1"/>
  <c r="CQ60" i="3" s="1"/>
  <c r="AO151" i="3"/>
  <c r="AP151" i="3"/>
  <c r="AQ151" i="3" s="1"/>
  <c r="CQ151" i="3" s="1"/>
  <c r="AO46" i="3"/>
  <c r="AP46" i="3"/>
  <c r="AQ46" i="3" s="1"/>
  <c r="CQ46" i="3" s="1"/>
  <c r="AO58" i="3"/>
  <c r="CY58" i="3" s="1"/>
  <c r="AP58" i="3"/>
  <c r="AQ58" i="3" s="1"/>
  <c r="CQ58" i="3" s="1"/>
  <c r="AO561" i="3"/>
  <c r="CY561" i="3" s="1"/>
  <c r="AP561" i="3"/>
  <c r="AQ561" i="3" s="1"/>
  <c r="CQ561" i="3" s="1"/>
  <c r="AO36" i="3"/>
  <c r="CY36" i="3" s="1"/>
  <c r="AP36" i="3"/>
  <c r="AQ36" i="3" s="1"/>
  <c r="CQ36" i="3" s="1"/>
  <c r="AO582" i="3"/>
  <c r="CY582" i="3" s="1"/>
  <c r="AP582" i="3"/>
  <c r="AQ582" i="3" s="1"/>
  <c r="CQ582" i="3" s="1"/>
  <c r="AO471" i="3"/>
  <c r="CY471" i="3" s="1"/>
  <c r="AP471" i="3"/>
  <c r="AQ471" i="3" s="1"/>
  <c r="CQ471" i="3" s="1"/>
  <c r="AO504" i="3"/>
  <c r="CY504" i="3" s="1"/>
  <c r="AP504" i="3"/>
  <c r="AQ504" i="3" s="1"/>
  <c r="CQ504" i="3" s="1"/>
  <c r="AO523" i="3"/>
  <c r="AP523" i="3"/>
  <c r="AQ523" i="3" s="1"/>
  <c r="CQ523" i="3" s="1"/>
  <c r="AO153" i="3"/>
  <c r="AP153" i="3"/>
  <c r="AQ153" i="3" s="1"/>
  <c r="CQ153" i="3" s="1"/>
  <c r="AO256" i="3"/>
  <c r="CY256" i="3" s="1"/>
  <c r="AP256" i="3"/>
  <c r="AQ256" i="3" s="1"/>
  <c r="CQ256" i="3" s="1"/>
  <c r="AO454" i="3"/>
  <c r="CY454" i="3" s="1"/>
  <c r="AP454" i="3"/>
  <c r="AQ454" i="3" s="1"/>
  <c r="CQ454" i="3" s="1"/>
  <c r="AO373" i="3"/>
  <c r="CY373" i="3" s="1"/>
  <c r="AP373" i="3"/>
  <c r="AQ373" i="3" s="1"/>
  <c r="CQ373" i="3" s="1"/>
  <c r="AO488" i="3"/>
  <c r="AP488" i="3"/>
  <c r="AQ488" i="3" s="1"/>
  <c r="CQ488" i="3" s="1"/>
  <c r="AP341" i="3"/>
  <c r="AQ341" i="3" s="1"/>
  <c r="CQ341" i="3" s="1"/>
  <c r="AO341" i="3"/>
  <c r="AO69" i="3"/>
  <c r="CY69" i="3" s="1"/>
  <c r="AP69" i="3"/>
  <c r="AQ69" i="3" s="1"/>
  <c r="CQ69" i="3" s="1"/>
  <c r="AP351" i="3"/>
  <c r="AQ351" i="3" s="1"/>
  <c r="CQ351" i="3" s="1"/>
  <c r="AO483" i="3"/>
  <c r="CY483" i="3" s="1"/>
  <c r="AP483" i="3"/>
  <c r="AQ483" i="3" s="1"/>
  <c r="CQ483" i="3" s="1"/>
  <c r="AO307" i="3"/>
  <c r="CY307" i="3" s="1"/>
  <c r="AP307" i="3"/>
  <c r="AQ307" i="3" s="1"/>
  <c r="CQ307" i="3" s="1"/>
  <c r="AO379" i="3"/>
  <c r="CY379" i="3" s="1"/>
  <c r="AP379" i="3"/>
  <c r="AQ379" i="3" s="1"/>
  <c r="CQ379" i="3" s="1"/>
  <c r="AP348" i="3"/>
  <c r="AQ348" i="3" s="1"/>
  <c r="CQ348" i="3" s="1"/>
  <c r="AP579" i="3"/>
  <c r="AQ579" i="3" s="1"/>
  <c r="CQ579" i="3" s="1"/>
  <c r="AP558" i="3"/>
  <c r="AQ558" i="3" s="1"/>
  <c r="CQ558" i="3" s="1"/>
  <c r="AP206" i="3"/>
  <c r="AQ206" i="3" s="1"/>
  <c r="CQ206" i="3" s="1"/>
  <c r="AO194" i="3"/>
  <c r="CY194" i="3" s="1"/>
  <c r="AP389" i="3"/>
  <c r="AQ389" i="3" s="1"/>
  <c r="CQ389" i="3" s="1"/>
  <c r="AP437" i="3"/>
  <c r="AQ437" i="3" s="1"/>
  <c r="CQ437" i="3" s="1"/>
  <c r="AP347" i="3"/>
  <c r="AQ347" i="3" s="1"/>
  <c r="CQ347" i="3" s="1"/>
  <c r="AM1" i="3"/>
  <c r="AL3" i="3"/>
  <c r="AO267" i="3"/>
  <c r="AP267" i="3"/>
  <c r="AQ267" i="3" s="1"/>
  <c r="CQ267" i="3" s="1"/>
  <c r="AO545" i="3"/>
  <c r="AP545" i="3"/>
  <c r="AQ545" i="3" s="1"/>
  <c r="CQ545" i="3" s="1"/>
  <c r="AP393" i="3"/>
  <c r="AQ393" i="3" s="1"/>
  <c r="CQ393" i="3" s="1"/>
  <c r="AO393" i="3"/>
  <c r="CY393" i="3" s="1"/>
  <c r="AO439" i="3"/>
  <c r="AP439" i="3"/>
  <c r="AQ439" i="3" s="1"/>
  <c r="CQ439" i="3" s="1"/>
  <c r="AO428" i="3"/>
  <c r="AP428" i="3"/>
  <c r="AQ428" i="3" s="1"/>
  <c r="CQ428" i="3" s="1"/>
  <c r="AO140" i="3"/>
  <c r="AP140" i="3"/>
  <c r="AQ140" i="3" s="1"/>
  <c r="CQ140" i="3" s="1"/>
  <c r="AO345" i="3"/>
  <c r="AP345" i="3"/>
  <c r="AQ345" i="3" s="1"/>
  <c r="CQ345" i="3" s="1"/>
  <c r="AO500" i="3"/>
  <c r="AP500" i="3"/>
  <c r="AQ500" i="3" s="1"/>
  <c r="CQ500" i="3" s="1"/>
  <c r="AO105" i="3"/>
  <c r="AP105" i="3"/>
  <c r="AQ105" i="3" s="1"/>
  <c r="CQ105" i="3" s="1"/>
  <c r="AO227" i="3"/>
  <c r="AP227" i="3"/>
  <c r="AQ227" i="3" s="1"/>
  <c r="CQ227" i="3" s="1"/>
  <c r="AO117" i="3"/>
  <c r="AP117" i="3"/>
  <c r="AQ117" i="3" s="1"/>
  <c r="CQ117" i="3" s="1"/>
  <c r="AO392" i="3"/>
  <c r="AP392" i="3"/>
  <c r="AQ392" i="3" s="1"/>
  <c r="CQ392" i="3" s="1"/>
  <c r="AO6" i="3"/>
  <c r="AP6" i="3"/>
  <c r="AQ6" i="3" s="1"/>
  <c r="CQ6" i="3" s="1"/>
  <c r="AO425" i="3"/>
  <c r="AP425" i="3"/>
  <c r="AQ425" i="3" s="1"/>
  <c r="CQ425" i="3" s="1"/>
  <c r="AO509" i="3"/>
  <c r="AP509" i="3"/>
  <c r="AQ509" i="3" s="1"/>
  <c r="CQ509" i="3" s="1"/>
  <c r="AO462" i="3"/>
  <c r="AP462" i="3"/>
  <c r="AQ462" i="3" s="1"/>
  <c r="CQ462" i="3" s="1"/>
  <c r="AO380" i="3"/>
  <c r="AP380" i="3"/>
  <c r="AQ380" i="3" s="1"/>
  <c r="CQ380" i="3" s="1"/>
  <c r="AO326" i="3"/>
  <c r="AP326" i="3"/>
  <c r="AQ326" i="3" s="1"/>
  <c r="CQ326" i="3" s="1"/>
  <c r="AO228" i="3"/>
  <c r="AP228" i="3"/>
  <c r="AQ228" i="3" s="1"/>
  <c r="CQ228" i="3" s="1"/>
  <c r="AO554" i="3"/>
  <c r="AP554" i="3"/>
  <c r="AQ554" i="3" s="1"/>
  <c r="CQ554" i="3" s="1"/>
  <c r="AO8" i="3"/>
  <c r="CY8" i="3" s="1"/>
  <c r="AP8" i="3"/>
  <c r="AQ8" i="3" s="1"/>
  <c r="CQ8" i="3" s="1"/>
  <c r="AO76" i="3"/>
  <c r="AP76" i="3"/>
  <c r="AQ76" i="3" s="1"/>
  <c r="CQ76" i="3" s="1"/>
  <c r="AO395" i="3"/>
  <c r="AP395" i="3"/>
  <c r="AQ395" i="3" s="1"/>
  <c r="CQ395" i="3" s="1"/>
  <c r="AO149" i="3"/>
  <c r="AP149" i="3"/>
  <c r="AQ149" i="3" s="1"/>
  <c r="CQ149" i="3" s="1"/>
  <c r="AO429" i="3"/>
  <c r="AP429" i="3"/>
  <c r="AQ429" i="3" s="1"/>
  <c r="CQ429" i="3" s="1"/>
  <c r="AO319" i="3"/>
  <c r="AP319" i="3"/>
  <c r="AQ319" i="3" s="1"/>
  <c r="CQ319" i="3" s="1"/>
  <c r="AO226" i="3"/>
  <c r="AP226" i="3"/>
  <c r="AQ226" i="3" s="1"/>
  <c r="CQ226" i="3" s="1"/>
  <c r="AP7" i="3"/>
  <c r="AQ7" i="3" s="1"/>
  <c r="CQ7" i="3" s="1"/>
  <c r="AO7" i="3"/>
  <c r="AO281" i="3"/>
  <c r="AP281" i="3"/>
  <c r="AQ281" i="3" s="1"/>
  <c r="CQ281" i="3" s="1"/>
  <c r="AP394" i="3"/>
  <c r="AQ394" i="3" s="1"/>
  <c r="CQ394" i="3" s="1"/>
  <c r="AO394" i="3"/>
  <c r="AO225" i="3"/>
  <c r="AP225" i="3"/>
  <c r="AQ225" i="3" s="1"/>
  <c r="CQ225" i="3" s="1"/>
  <c r="AO350" i="3"/>
  <c r="AP350" i="3"/>
  <c r="AQ350" i="3" s="1"/>
  <c r="CQ350" i="3" s="1"/>
  <c r="AO531" i="3"/>
  <c r="AP531" i="3"/>
  <c r="AQ531" i="3" s="1"/>
  <c r="CQ531" i="3" s="1"/>
  <c r="AP5" i="3"/>
  <c r="AQ5" i="3" s="1"/>
  <c r="CQ5" i="3" s="1"/>
  <c r="AO5" i="3"/>
  <c r="AO35" i="3"/>
  <c r="AP35" i="3"/>
  <c r="AQ35" i="3" s="1"/>
  <c r="CQ35" i="3" s="1"/>
  <c r="AP116" i="3"/>
  <c r="AQ116" i="3" s="1"/>
  <c r="CQ116" i="3" s="1"/>
  <c r="AO116" i="3"/>
  <c r="AO279" i="3"/>
  <c r="AP279" i="3"/>
  <c r="AQ279" i="3" s="1"/>
  <c r="CQ279" i="3" s="1"/>
  <c r="AO213" i="3"/>
  <c r="AP213" i="3"/>
  <c r="AQ213" i="3" s="1"/>
  <c r="CQ213" i="3" s="1"/>
  <c r="AO355" i="3"/>
  <c r="AP355" i="3"/>
  <c r="AQ355" i="3" s="1"/>
  <c r="CQ355" i="3" s="1"/>
  <c r="AO459" i="3"/>
  <c r="AP459" i="3"/>
  <c r="AQ459" i="3" s="1"/>
  <c r="CQ459" i="3" s="1"/>
  <c r="AO524" i="3"/>
  <c r="AP524" i="3"/>
  <c r="AQ524" i="3" s="1"/>
  <c r="CQ524" i="3" s="1"/>
  <c r="AP434" i="3"/>
  <c r="AQ434" i="3" s="1"/>
  <c r="CQ434" i="3" s="1"/>
  <c r="AP519" i="3"/>
  <c r="AQ519" i="3" s="1"/>
  <c r="CQ519" i="3" s="1"/>
  <c r="AP216" i="3"/>
  <c r="AQ216" i="3" s="1"/>
  <c r="CQ216" i="3" s="1"/>
  <c r="AO324" i="3"/>
  <c r="AP324" i="3"/>
  <c r="AQ324" i="3" s="1"/>
  <c r="CQ324" i="3" s="1"/>
  <c r="AO435" i="3"/>
  <c r="AP435" i="3"/>
  <c r="AQ435" i="3" s="1"/>
  <c r="CQ435" i="3" s="1"/>
  <c r="AO397" i="3"/>
  <c r="AP397" i="3"/>
  <c r="AQ397" i="3" s="1"/>
  <c r="CQ397" i="3" s="1"/>
  <c r="AO287" i="3"/>
  <c r="AP287" i="3"/>
  <c r="AQ287" i="3" s="1"/>
  <c r="CQ287" i="3" s="1"/>
  <c r="AO247" i="3"/>
  <c r="AP247" i="3"/>
  <c r="AQ247" i="3" s="1"/>
  <c r="CQ247" i="3" s="1"/>
  <c r="AO505" i="3"/>
  <c r="AP505" i="3"/>
  <c r="AQ505" i="3" s="1"/>
  <c r="CQ505" i="3" s="1"/>
  <c r="AO200" i="3"/>
  <c r="AP200" i="3"/>
  <c r="AQ200" i="3" s="1"/>
  <c r="CQ200" i="3" s="1"/>
  <c r="AO476" i="3"/>
  <c r="AP476" i="3"/>
  <c r="AQ476" i="3" s="1"/>
  <c r="CQ476" i="3" s="1"/>
  <c r="AO507" i="3"/>
  <c r="AP507" i="3"/>
  <c r="AQ507" i="3" s="1"/>
  <c r="CQ507" i="3" s="1"/>
  <c r="AP137" i="3"/>
  <c r="AQ137" i="3" s="1"/>
  <c r="CQ137" i="3" s="1"/>
  <c r="AO137" i="3"/>
  <c r="AO407" i="3"/>
  <c r="AP407" i="3"/>
  <c r="AQ407" i="3" s="1"/>
  <c r="CQ407" i="3" s="1"/>
  <c r="AO571" i="3"/>
  <c r="AP571" i="3"/>
  <c r="AQ571" i="3" s="1"/>
  <c r="CQ571" i="3" s="1"/>
  <c r="CY434" i="3"/>
  <c r="CY519" i="3"/>
  <c r="CY216" i="3"/>
  <c r="AO418" i="3"/>
  <c r="AP418" i="3"/>
  <c r="AQ418" i="3" s="1"/>
  <c r="CQ418" i="3" s="1"/>
  <c r="AO414" i="3"/>
  <c r="AP414" i="3"/>
  <c r="AQ414" i="3" s="1"/>
  <c r="CQ414" i="3" s="1"/>
  <c r="AO445" i="3"/>
  <c r="AP445" i="3"/>
  <c r="AQ445" i="3" s="1"/>
  <c r="CQ445" i="3" s="1"/>
  <c r="AO578" i="3"/>
  <c r="AP578" i="3"/>
  <c r="AQ578" i="3" s="1"/>
  <c r="CQ578" i="3" s="1"/>
  <c r="AO496" i="3"/>
  <c r="AP496" i="3"/>
  <c r="AQ496" i="3" s="1"/>
  <c r="CQ496" i="3" s="1"/>
  <c r="AO498" i="3"/>
  <c r="AP498" i="3"/>
  <c r="AQ498" i="3" s="1"/>
  <c r="CQ498" i="3" s="1"/>
  <c r="AO361" i="3"/>
  <c r="AP361" i="3"/>
  <c r="AQ361" i="3" s="1"/>
  <c r="CQ361" i="3" s="1"/>
  <c r="AO199" i="3"/>
  <c r="AP199" i="3"/>
  <c r="AQ199" i="3" s="1"/>
  <c r="CQ199" i="3" s="1"/>
  <c r="AO575" i="3"/>
  <c r="AP575" i="3"/>
  <c r="AQ575" i="3" s="1"/>
  <c r="CQ575" i="3" s="1"/>
  <c r="AO354" i="3"/>
  <c r="AP354" i="3"/>
  <c r="AQ354" i="3" s="1"/>
  <c r="CQ354" i="3" s="1"/>
  <c r="AO154" i="3"/>
  <c r="AP154" i="3"/>
  <c r="AQ154" i="3" s="1"/>
  <c r="CQ154" i="3" s="1"/>
  <c r="AO107" i="3"/>
  <c r="AP107" i="3"/>
  <c r="AQ107" i="3" s="1"/>
  <c r="CQ107" i="3" s="1"/>
  <c r="AO82" i="3"/>
  <c r="AP82" i="3"/>
  <c r="AQ82" i="3" s="1"/>
  <c r="CQ82" i="3" s="1"/>
  <c r="AO522" i="3"/>
  <c r="AP522" i="3"/>
  <c r="AQ522" i="3" s="1"/>
  <c r="CQ522" i="3" s="1"/>
  <c r="AO248" i="3"/>
  <c r="AP248" i="3"/>
  <c r="AQ248" i="3" s="1"/>
  <c r="CQ248" i="3" s="1"/>
  <c r="AO118" i="3"/>
  <c r="AO115" i="3"/>
  <c r="AO315" i="3"/>
  <c r="AP315" i="3"/>
  <c r="AQ315" i="3" s="1"/>
  <c r="CQ315" i="3" s="1"/>
  <c r="AO543" i="3"/>
  <c r="AP543" i="3"/>
  <c r="AQ543" i="3" s="1"/>
  <c r="CQ543" i="3" s="1"/>
  <c r="AO135" i="3"/>
  <c r="AP135" i="3"/>
  <c r="AQ135" i="3" s="1"/>
  <c r="CQ135" i="3" s="1"/>
  <c r="AO419" i="3"/>
  <c r="AP419" i="3"/>
  <c r="AQ419" i="3" s="1"/>
  <c r="CQ419" i="3" s="1"/>
  <c r="AO67" i="3"/>
  <c r="AP67" i="3"/>
  <c r="AQ67" i="3" s="1"/>
  <c r="CQ67" i="3" s="1"/>
  <c r="AO438" i="3"/>
  <c r="AP438" i="3"/>
  <c r="AQ438" i="3" s="1"/>
  <c r="CQ438" i="3" s="1"/>
  <c r="AO298" i="3"/>
  <c r="AP298" i="3"/>
  <c r="AQ298" i="3" s="1"/>
  <c r="CQ298" i="3" s="1"/>
  <c r="AO159" i="3"/>
  <c r="AP159" i="3"/>
  <c r="AQ159" i="3" s="1"/>
  <c r="CQ159" i="3" s="1"/>
  <c r="AO255" i="3"/>
  <c r="AP255" i="3"/>
  <c r="AQ255" i="3" s="1"/>
  <c r="CQ255" i="3" s="1"/>
  <c r="AP472" i="3"/>
  <c r="AQ472" i="3" s="1"/>
  <c r="CQ472" i="3" s="1"/>
  <c r="AO472" i="3"/>
  <c r="AO230" i="3"/>
  <c r="AP230" i="3"/>
  <c r="AQ230" i="3" s="1"/>
  <c r="CQ230" i="3" s="1"/>
  <c r="AO86" i="3"/>
  <c r="AP86" i="3"/>
  <c r="AQ86" i="3" s="1"/>
  <c r="CQ86" i="3" s="1"/>
  <c r="AO422" i="3"/>
  <c r="AP422" i="3"/>
  <c r="AQ422" i="3" s="1"/>
  <c r="CQ422" i="3" s="1"/>
  <c r="AO526" i="3"/>
  <c r="AP526" i="3"/>
  <c r="AQ526" i="3" s="1"/>
  <c r="CQ526" i="3" s="1"/>
  <c r="AO102" i="3"/>
  <c r="AP102" i="3"/>
  <c r="AQ102" i="3" s="1"/>
  <c r="CQ102" i="3" s="1"/>
  <c r="AO127" i="3"/>
  <c r="AP127" i="3"/>
  <c r="AQ127" i="3" s="1"/>
  <c r="CQ127" i="3" s="1"/>
  <c r="AO133" i="3"/>
  <c r="AP133" i="3"/>
  <c r="AQ133" i="3" s="1"/>
  <c r="CQ133" i="3" s="1"/>
  <c r="AK1" i="3"/>
  <c r="AP114" i="3"/>
  <c r="AQ114" i="3" s="1"/>
  <c r="CQ114" i="3" s="1"/>
  <c r="AP4" i="3"/>
  <c r="AQ4" i="3" s="1"/>
  <c r="CQ4" i="3" s="1"/>
  <c r="AP455" i="3"/>
  <c r="AQ455" i="3" s="1"/>
  <c r="CQ455" i="3" s="1"/>
  <c r="AP63" i="3"/>
  <c r="AQ63" i="3" s="1"/>
  <c r="CQ63" i="3" s="1"/>
  <c r="AP229" i="3"/>
  <c r="AQ229" i="3" s="1"/>
  <c r="CQ229" i="3" s="1"/>
  <c r="AO310" i="3"/>
  <c r="AP310" i="3"/>
  <c r="AQ310" i="3" s="1"/>
  <c r="CQ310" i="3" s="1"/>
  <c r="AO155" i="3"/>
  <c r="AP155" i="3"/>
  <c r="AQ155" i="3" s="1"/>
  <c r="CQ155" i="3" s="1"/>
  <c r="AO203" i="3"/>
  <c r="AP203" i="3"/>
  <c r="AQ203" i="3" s="1"/>
  <c r="CQ203" i="3" s="1"/>
  <c r="AO275" i="3"/>
  <c r="AP275" i="3"/>
  <c r="AQ275" i="3" s="1"/>
  <c r="CQ275" i="3" s="1"/>
  <c r="AO313" i="3"/>
  <c r="AP313" i="3"/>
  <c r="AQ313" i="3" s="1"/>
  <c r="CQ313" i="3" s="1"/>
  <c r="AO469" i="3"/>
  <c r="AP469" i="3"/>
  <c r="AQ469" i="3" s="1"/>
  <c r="CQ469" i="3" s="1"/>
  <c r="AO560" i="3"/>
  <c r="AP560" i="3"/>
  <c r="AQ560" i="3" s="1"/>
  <c r="CQ560" i="3" s="1"/>
  <c r="AO30" i="3"/>
  <c r="AP30" i="3"/>
  <c r="AQ30" i="3" s="1"/>
  <c r="CQ30" i="3" s="1"/>
  <c r="AO161" i="3"/>
  <c r="AP161" i="3"/>
  <c r="AQ161" i="3" s="1"/>
  <c r="CQ161" i="3" s="1"/>
  <c r="AP387" i="3"/>
  <c r="AQ387" i="3" s="1"/>
  <c r="CQ387" i="3" s="1"/>
  <c r="AO387" i="3"/>
  <c r="AO565" i="3"/>
  <c r="AP565" i="3"/>
  <c r="AQ565" i="3" s="1"/>
  <c r="CQ565" i="3" s="1"/>
  <c r="AO113" i="3"/>
  <c r="AP113" i="3"/>
  <c r="AQ113" i="3" s="1"/>
  <c r="CQ113" i="3" s="1"/>
  <c r="AO169" i="3"/>
  <c r="AP169" i="3"/>
  <c r="AQ169" i="3" s="1"/>
  <c r="CQ169" i="3" s="1"/>
  <c r="CY455" i="3"/>
  <c r="CY63" i="3"/>
  <c r="CY229" i="3"/>
  <c r="AO466" i="3"/>
  <c r="AP466" i="3"/>
  <c r="AQ466" i="3" s="1"/>
  <c r="CQ466" i="3" s="1"/>
  <c r="AO85" i="3"/>
  <c r="AP85" i="3"/>
  <c r="AQ85" i="3" s="1"/>
  <c r="CQ85" i="3" s="1"/>
  <c r="AO175" i="3"/>
  <c r="AP175" i="3"/>
  <c r="AQ175" i="3" s="1"/>
  <c r="CQ175" i="3" s="1"/>
  <c r="AP318" i="3"/>
  <c r="AQ318" i="3" s="1"/>
  <c r="CQ318" i="3" s="1"/>
  <c r="AO318" i="3"/>
  <c r="AO219" i="3"/>
  <c r="AP219" i="3"/>
  <c r="AQ219" i="3" s="1"/>
  <c r="CQ219" i="3" s="1"/>
  <c r="AO292" i="3"/>
  <c r="AP292" i="3"/>
  <c r="AQ292" i="3" s="1"/>
  <c r="CQ292" i="3" s="1"/>
  <c r="AO443" i="3"/>
  <c r="AP443" i="3"/>
  <c r="AQ443" i="3" s="1"/>
  <c r="CQ443" i="3" s="1"/>
  <c r="AP451" i="3"/>
  <c r="AQ451" i="3" s="1"/>
  <c r="CQ451" i="3" s="1"/>
  <c r="AO451" i="3"/>
  <c r="AO391" i="3"/>
  <c r="AP391" i="3"/>
  <c r="AQ391" i="3" s="1"/>
  <c r="CQ391" i="3" s="1"/>
  <c r="AO369" i="3"/>
  <c r="AP369" i="3"/>
  <c r="AQ369" i="3" s="1"/>
  <c r="CQ369" i="3" s="1"/>
  <c r="AO426" i="3"/>
  <c r="AP426" i="3"/>
  <c r="AQ426" i="3" s="1"/>
  <c r="CQ426" i="3" s="1"/>
  <c r="AO317" i="3"/>
  <c r="AP317" i="3"/>
  <c r="AQ317" i="3" s="1"/>
  <c r="CQ317" i="3" s="1"/>
  <c r="AO295" i="3"/>
  <c r="AP295" i="3"/>
  <c r="AQ295" i="3" s="1"/>
  <c r="CQ295" i="3" s="1"/>
  <c r="AO291" i="3"/>
  <c r="AP291" i="3"/>
  <c r="AQ291" i="3" s="1"/>
  <c r="CQ291" i="3" s="1"/>
  <c r="AO467" i="3"/>
  <c r="AP467" i="3"/>
  <c r="AQ467" i="3" s="1"/>
  <c r="CQ467" i="3" s="1"/>
  <c r="AO280" i="3"/>
  <c r="AP280" i="3"/>
  <c r="AQ280" i="3" s="1"/>
  <c r="CQ280" i="3" s="1"/>
  <c r="AO502" i="3"/>
  <c r="AP502" i="3"/>
  <c r="AQ502" i="3" s="1"/>
  <c r="CQ502" i="3" s="1"/>
  <c r="AO62" i="3"/>
  <c r="AP62" i="3"/>
  <c r="AQ62" i="3" s="1"/>
  <c r="CQ62" i="3" s="1"/>
  <c r="AO43" i="3"/>
  <c r="AP43" i="3"/>
  <c r="AQ43" i="3" s="1"/>
  <c r="CQ43" i="3" s="1"/>
  <c r="AO374" i="3"/>
  <c r="AP374" i="3"/>
  <c r="AQ374" i="3" s="1"/>
  <c r="CQ374" i="3" s="1"/>
  <c r="AO427" i="3"/>
  <c r="AP427" i="3"/>
  <c r="AQ427" i="3" s="1"/>
  <c r="CQ427" i="3" s="1"/>
  <c r="AO563" i="3"/>
  <c r="AP563" i="3"/>
  <c r="AQ563" i="3" s="1"/>
  <c r="CQ563" i="3" s="1"/>
  <c r="AO503" i="3"/>
  <c r="AP503" i="3"/>
  <c r="AQ503" i="3" s="1"/>
  <c r="CQ503" i="3" s="1"/>
  <c r="AO529" i="3"/>
  <c r="AP529" i="3"/>
  <c r="AQ529" i="3" s="1"/>
  <c r="CQ529" i="3" s="1"/>
  <c r="AO166" i="3"/>
  <c r="AP166" i="3"/>
  <c r="AQ166" i="3" s="1"/>
  <c r="CQ166" i="3" s="1"/>
  <c r="AO358" i="3"/>
  <c r="AP358" i="3"/>
  <c r="AQ358" i="3" s="1"/>
  <c r="CQ358" i="3" s="1"/>
  <c r="AO308" i="3"/>
  <c r="AP308" i="3"/>
  <c r="AQ308" i="3" s="1"/>
  <c r="CQ308" i="3" s="1"/>
  <c r="AP191" i="3"/>
  <c r="AQ191" i="3" s="1"/>
  <c r="CQ191" i="3" s="1"/>
  <c r="AO191" i="3"/>
  <c r="AP382" i="3"/>
  <c r="AQ382" i="3" s="1"/>
  <c r="CQ382" i="3" s="1"/>
  <c r="AO382" i="3"/>
  <c r="AO328" i="3"/>
  <c r="AP328" i="3"/>
  <c r="AQ328" i="3" s="1"/>
  <c r="CQ328" i="3" s="1"/>
  <c r="AO211" i="3"/>
  <c r="AP211" i="3"/>
  <c r="AQ211" i="3" s="1"/>
  <c r="CQ211" i="3" s="1"/>
  <c r="AO547" i="3"/>
  <c r="AP547" i="3"/>
  <c r="AQ547" i="3" s="1"/>
  <c r="CQ547" i="3" s="1"/>
  <c r="AO158" i="3"/>
  <c r="AP158" i="3"/>
  <c r="AQ158" i="3" s="1"/>
  <c r="CQ158" i="3" s="1"/>
  <c r="AO210" i="3"/>
  <c r="AP210" i="3"/>
  <c r="AQ210" i="3" s="1"/>
  <c r="CQ210" i="3" s="1"/>
  <c r="AP32" i="3"/>
  <c r="AQ32" i="3" s="1"/>
  <c r="CQ32" i="3" s="1"/>
  <c r="AO32" i="3"/>
  <c r="AO386" i="3"/>
  <c r="AP386" i="3"/>
  <c r="AQ386" i="3" s="1"/>
  <c r="CQ386" i="3" s="1"/>
  <c r="AO266" i="3"/>
  <c r="AP266" i="3"/>
  <c r="AQ266" i="3" s="1"/>
  <c r="CQ266" i="3" s="1"/>
  <c r="AO330" i="3"/>
  <c r="AP330" i="3"/>
  <c r="AQ330" i="3" s="1"/>
  <c r="CQ330" i="3" s="1"/>
  <c r="AO109" i="3"/>
  <c r="AP109" i="3"/>
  <c r="AQ109" i="3" s="1"/>
  <c r="CQ109" i="3" s="1"/>
  <c r="AP257" i="3"/>
  <c r="AQ257" i="3" s="1"/>
  <c r="CQ257" i="3" s="1"/>
  <c r="AO257" i="3"/>
  <c r="CY257" i="3" s="1"/>
  <c r="AO26" i="3"/>
  <c r="AP26" i="3"/>
  <c r="AQ26" i="3" s="1"/>
  <c r="CQ26" i="3" s="1"/>
  <c r="AO370" i="3"/>
  <c r="AP370" i="3"/>
  <c r="AQ370" i="3" s="1"/>
  <c r="CQ370" i="3" s="1"/>
  <c r="AO449" i="3"/>
  <c r="AP449" i="3"/>
  <c r="AQ449" i="3" s="1"/>
  <c r="CQ449" i="3" s="1"/>
  <c r="AO196" i="3"/>
  <c r="AP196" i="3"/>
  <c r="AQ196" i="3" s="1"/>
  <c r="CQ196" i="3" s="1"/>
  <c r="AO433" i="3"/>
  <c r="AP433" i="3"/>
  <c r="AQ433" i="3" s="1"/>
  <c r="CQ433" i="3" s="1"/>
  <c r="AO174" i="3"/>
  <c r="AP174" i="3"/>
  <c r="AQ174" i="3" s="1"/>
  <c r="CQ174" i="3" s="1"/>
  <c r="AO303" i="3"/>
  <c r="AP303" i="3"/>
  <c r="AQ303" i="3" s="1"/>
  <c r="CQ303" i="3" s="1"/>
  <c r="AO264" i="3"/>
  <c r="AP264" i="3"/>
  <c r="AQ264" i="3" s="1"/>
  <c r="CQ264" i="3" s="1"/>
  <c r="AO486" i="3"/>
  <c r="AP486" i="3"/>
  <c r="AQ486" i="3" s="1"/>
  <c r="CQ486" i="3" s="1"/>
  <c r="AO550" i="3"/>
  <c r="AP550" i="3"/>
  <c r="AQ550" i="3" s="1"/>
  <c r="CQ550" i="3" s="1"/>
  <c r="AO220" i="3"/>
  <c r="AP220" i="3"/>
  <c r="AQ220" i="3" s="1"/>
  <c r="CQ220" i="3" s="1"/>
  <c r="AO372" i="3"/>
  <c r="AP372" i="3"/>
  <c r="AQ372" i="3" s="1"/>
  <c r="CQ372" i="3" s="1"/>
  <c r="AO214" i="3"/>
  <c r="AP214" i="3"/>
  <c r="AQ214" i="3" s="1"/>
  <c r="CQ214" i="3" s="1"/>
  <c r="AP134" i="3"/>
  <c r="AQ134" i="3" s="1"/>
  <c r="CQ134" i="3" s="1"/>
  <c r="AO134" i="3"/>
  <c r="AO335" i="3"/>
  <c r="AP335" i="3"/>
  <c r="AQ335" i="3" s="1"/>
  <c r="CQ335" i="3" s="1"/>
  <c r="AO516" i="3"/>
  <c r="AP516" i="3"/>
  <c r="AQ516" i="3" s="1"/>
  <c r="CQ516" i="3" s="1"/>
  <c r="AO178" i="3"/>
  <c r="AP178" i="3"/>
  <c r="AQ178" i="3" s="1"/>
  <c r="CQ178" i="3" s="1"/>
  <c r="AO460" i="3"/>
  <c r="AP460" i="3"/>
  <c r="AQ460" i="3" s="1"/>
  <c r="CQ460" i="3" s="1"/>
  <c r="AO442" i="3"/>
  <c r="AP442" i="3"/>
  <c r="AQ442" i="3" s="1"/>
  <c r="CQ442" i="3" s="1"/>
  <c r="AO27" i="3"/>
  <c r="AP27" i="3"/>
  <c r="AQ27" i="3" s="1"/>
  <c r="CQ27" i="3" s="1"/>
  <c r="AP352" i="3"/>
  <c r="AQ352" i="3" s="1"/>
  <c r="CQ352" i="3" s="1"/>
  <c r="AP322" i="3"/>
  <c r="AQ322" i="3" s="1"/>
  <c r="CQ322" i="3" s="1"/>
  <c r="AO322" i="3"/>
  <c r="CY533" i="3"/>
  <c r="AO555" i="3"/>
  <c r="AP555" i="3"/>
  <c r="AQ555" i="3" s="1"/>
  <c r="CQ555" i="3" s="1"/>
  <c r="AO515" i="3"/>
  <c r="AP515" i="3"/>
  <c r="AQ515" i="3" s="1"/>
  <c r="CQ515" i="3" s="1"/>
  <c r="AO144" i="3"/>
  <c r="AP144" i="3"/>
  <c r="AQ144" i="3" s="1"/>
  <c r="CQ144" i="3" s="1"/>
  <c r="AO528" i="3"/>
  <c r="AP528" i="3"/>
  <c r="AQ528" i="3" s="1"/>
  <c r="CQ528" i="3" s="1"/>
  <c r="AO312" i="3"/>
  <c r="AP312" i="3"/>
  <c r="AQ312" i="3" s="1"/>
  <c r="CQ312" i="3" s="1"/>
  <c r="AO215" i="3"/>
  <c r="AP215" i="3"/>
  <c r="AQ215" i="3" s="1"/>
  <c r="CQ215" i="3" s="1"/>
  <c r="AO250" i="3"/>
  <c r="AP250" i="3"/>
  <c r="AQ250" i="3" s="1"/>
  <c r="CQ250" i="3" s="1"/>
  <c r="CY352" i="3"/>
  <c r="AO48" i="3"/>
  <c r="AP48" i="3"/>
  <c r="AQ48" i="3" s="1"/>
  <c r="CQ48" i="3" s="1"/>
  <c r="AO388" i="3"/>
  <c r="AP388" i="3"/>
  <c r="AQ388" i="3" s="1"/>
  <c r="CQ388" i="3" s="1"/>
  <c r="AO417" i="3"/>
  <c r="AP417" i="3"/>
  <c r="AQ417" i="3" s="1"/>
  <c r="CQ417" i="3" s="1"/>
  <c r="AO246" i="3"/>
  <c r="AP246" i="3"/>
  <c r="AQ246" i="3" s="1"/>
  <c r="CQ246" i="3" s="1"/>
  <c r="AO163" i="3"/>
  <c r="AP163" i="3"/>
  <c r="AQ163" i="3" s="1"/>
  <c r="CQ163" i="3" s="1"/>
  <c r="AO495" i="3"/>
  <c r="AP495" i="3"/>
  <c r="AQ495" i="3" s="1"/>
  <c r="CQ495" i="3" s="1"/>
  <c r="AO360" i="3"/>
  <c r="AP360" i="3"/>
  <c r="AQ360" i="3" s="1"/>
  <c r="CQ360" i="3" s="1"/>
  <c r="AO368" i="3"/>
  <c r="AP368" i="3"/>
  <c r="AQ368" i="3" s="1"/>
  <c r="CQ368" i="3" s="1"/>
  <c r="AO568" i="3"/>
  <c r="AP568" i="3"/>
  <c r="AQ568" i="3" s="1"/>
  <c r="CQ568" i="3" s="1"/>
  <c r="AO278" i="3"/>
  <c r="AP278" i="3"/>
  <c r="AQ278" i="3" s="1"/>
  <c r="CQ278" i="3" s="1"/>
  <c r="AO398" i="3"/>
  <c r="AP398" i="3"/>
  <c r="AQ398" i="3" s="1"/>
  <c r="CQ398" i="3" s="1"/>
  <c r="AO165" i="3"/>
  <c r="AP165" i="3"/>
  <c r="AQ165" i="3" s="1"/>
  <c r="CQ165" i="3" s="1"/>
  <c r="AP263" i="3"/>
  <c r="AQ263" i="3" s="1"/>
  <c r="CQ263" i="3" s="1"/>
  <c r="AO263" i="3"/>
  <c r="CY501" i="3"/>
  <c r="AP552" i="3"/>
  <c r="AQ552" i="3" s="1"/>
  <c r="CQ552" i="3" s="1"/>
  <c r="AO70" i="3"/>
  <c r="AP70" i="3"/>
  <c r="AQ70" i="3" s="1"/>
  <c r="CQ70" i="3" s="1"/>
  <c r="AO493" i="3"/>
  <c r="AP493" i="3"/>
  <c r="AQ493" i="3" s="1"/>
  <c r="CQ493" i="3" s="1"/>
  <c r="AO54" i="3"/>
  <c r="AP54" i="3"/>
  <c r="AQ54" i="3" s="1"/>
  <c r="CQ54" i="3" s="1"/>
  <c r="AO53" i="3"/>
  <c r="AP53" i="3"/>
  <c r="AQ53" i="3" s="1"/>
  <c r="CQ53" i="3" s="1"/>
  <c r="AO42" i="3"/>
  <c r="AP42" i="3"/>
  <c r="AQ42" i="3" s="1"/>
  <c r="CQ42" i="3" s="1"/>
  <c r="AP253" i="3"/>
  <c r="AQ253" i="3" s="1"/>
  <c r="CQ253" i="3" s="1"/>
  <c r="AO253" i="3"/>
  <c r="AO94" i="3"/>
  <c r="AP94" i="3"/>
  <c r="AQ94" i="3" s="1"/>
  <c r="CQ94" i="3" s="1"/>
  <c r="AO283" i="3"/>
  <c r="AP283" i="3"/>
  <c r="AQ283" i="3" s="1"/>
  <c r="CQ283" i="3" s="1"/>
  <c r="AO88" i="3"/>
  <c r="AP88" i="3"/>
  <c r="AQ88" i="3" s="1"/>
  <c r="CQ88" i="3" s="1"/>
  <c r="AO457" i="3"/>
  <c r="AP457" i="3"/>
  <c r="AQ457" i="3" s="1"/>
  <c r="CQ457" i="3" s="1"/>
  <c r="AO331" i="3"/>
  <c r="AP331" i="3"/>
  <c r="AQ331" i="3" s="1"/>
  <c r="CQ331" i="3" s="1"/>
  <c r="AO490" i="3"/>
  <c r="AP490" i="3"/>
  <c r="AQ490" i="3" s="1"/>
  <c r="CQ490" i="3" s="1"/>
  <c r="AP104" i="3"/>
  <c r="AQ104" i="3" s="1"/>
  <c r="CQ104" i="3" s="1"/>
  <c r="AO104" i="3"/>
  <c r="AO456" i="3"/>
  <c r="AP456" i="3"/>
  <c r="AQ456" i="3" s="1"/>
  <c r="CQ456" i="3" s="1"/>
  <c r="CY552" i="3"/>
  <c r="AO128" i="3"/>
  <c r="AP128" i="3"/>
  <c r="AQ128" i="3" s="1"/>
  <c r="CQ128" i="3" s="1"/>
  <c r="AO513" i="3"/>
  <c r="AP513" i="3"/>
  <c r="AQ513" i="3" s="1"/>
  <c r="CQ513" i="3" s="1"/>
  <c r="AO396" i="3"/>
  <c r="AP396" i="3"/>
  <c r="AQ396" i="3" s="1"/>
  <c r="CQ396" i="3" s="1"/>
  <c r="AO535" i="3"/>
  <c r="AP535" i="3"/>
  <c r="AQ535" i="3" s="1"/>
  <c r="CQ535" i="3" s="1"/>
  <c r="AO309" i="3"/>
  <c r="AP309" i="3"/>
  <c r="AQ309" i="3" s="1"/>
  <c r="CQ309" i="3" s="1"/>
  <c r="AP553" i="3"/>
  <c r="AQ553" i="3" s="1"/>
  <c r="CQ553" i="3" s="1"/>
  <c r="AO553" i="3"/>
  <c r="AO300" i="3"/>
  <c r="AP300" i="3"/>
  <c r="AQ300" i="3" s="1"/>
  <c r="CQ300" i="3" s="1"/>
  <c r="AP367" i="3"/>
  <c r="AQ367" i="3" s="1"/>
  <c r="CQ367" i="3" s="1"/>
  <c r="AP424" i="3"/>
  <c r="AQ424" i="3" s="1"/>
  <c r="CQ424" i="3" s="1"/>
  <c r="AO424" i="3"/>
  <c r="AO549" i="3"/>
  <c r="AP549" i="3"/>
  <c r="AQ549" i="3" s="1"/>
  <c r="CQ549" i="3" s="1"/>
  <c r="AO412" i="3"/>
  <c r="AP412" i="3"/>
  <c r="AQ412" i="3" s="1"/>
  <c r="CQ412" i="3" s="1"/>
  <c r="AO580" i="3"/>
  <c r="AP580" i="3"/>
  <c r="AQ580" i="3" s="1"/>
  <c r="CQ580" i="3" s="1"/>
  <c r="AO106" i="3"/>
  <c r="AP106" i="3"/>
  <c r="AQ106" i="3" s="1"/>
  <c r="CQ106" i="3" s="1"/>
  <c r="AO464" i="3"/>
  <c r="AP464" i="3"/>
  <c r="AQ464" i="3" s="1"/>
  <c r="CQ464" i="3" s="1"/>
  <c r="AO193" i="3"/>
  <c r="AP193" i="3"/>
  <c r="AQ193" i="3" s="1"/>
  <c r="CQ193" i="3" s="1"/>
  <c r="AP297" i="3"/>
  <c r="AQ297" i="3" s="1"/>
  <c r="CQ297" i="3" s="1"/>
  <c r="AO297" i="3"/>
  <c r="AO100" i="3"/>
  <c r="AP100" i="3"/>
  <c r="AQ100" i="3" s="1"/>
  <c r="CQ100" i="3" s="1"/>
  <c r="AO411" i="3"/>
  <c r="AP411" i="3"/>
  <c r="AQ411" i="3" s="1"/>
  <c r="CQ411" i="3" s="1"/>
  <c r="AO334" i="3"/>
  <c r="AP334" i="3"/>
  <c r="AQ334" i="3" s="1"/>
  <c r="CQ334" i="3" s="1"/>
  <c r="AO186" i="3"/>
  <c r="AP186" i="3"/>
  <c r="AQ186" i="3" s="1"/>
  <c r="CQ186" i="3" s="1"/>
  <c r="AO81" i="3"/>
  <c r="AP81" i="3"/>
  <c r="AQ81" i="3" s="1"/>
  <c r="CQ81" i="3" s="1"/>
  <c r="AO204" i="3"/>
  <c r="AP204" i="3"/>
  <c r="AQ204" i="3" s="1"/>
  <c r="CQ204" i="3" s="1"/>
  <c r="AO192" i="3"/>
  <c r="AP192" i="3"/>
  <c r="AQ192" i="3" s="1"/>
  <c r="CQ192" i="3" s="1"/>
  <c r="AO274" i="3"/>
  <c r="AP274" i="3"/>
  <c r="AQ274" i="3" s="1"/>
  <c r="CQ274" i="3" s="1"/>
  <c r="AO539" i="3"/>
  <c r="AP539" i="3"/>
  <c r="AQ539" i="3" s="1"/>
  <c r="CQ539" i="3" s="1"/>
  <c r="AO72" i="3"/>
  <c r="AP72" i="3"/>
  <c r="AQ72" i="3" s="1"/>
  <c r="CQ72" i="3" s="1"/>
  <c r="AO56" i="3"/>
  <c r="AP56" i="3"/>
  <c r="AQ56" i="3" s="1"/>
  <c r="CQ56" i="3" s="1"/>
  <c r="AP356" i="3"/>
  <c r="AQ356" i="3" s="1"/>
  <c r="CQ356" i="3" s="1"/>
  <c r="AO356" i="3"/>
  <c r="AP245" i="3"/>
  <c r="AQ245" i="3" s="1"/>
  <c r="CQ245" i="3" s="1"/>
  <c r="AO245" i="3"/>
  <c r="AO65" i="3"/>
  <c r="AP65" i="3"/>
  <c r="AQ65" i="3" s="1"/>
  <c r="CQ65" i="3" s="1"/>
  <c r="AO548" i="3"/>
  <c r="AP548" i="3"/>
  <c r="AQ548" i="3" s="1"/>
  <c r="CQ548" i="3" s="1"/>
  <c r="AO188" i="3"/>
  <c r="AP188" i="3"/>
  <c r="AQ188" i="3" s="1"/>
  <c r="CQ188" i="3" s="1"/>
  <c r="AO311" i="3"/>
  <c r="AP311" i="3"/>
  <c r="AQ311" i="3" s="1"/>
  <c r="CQ311" i="3" s="1"/>
  <c r="AO277" i="3"/>
  <c r="AP277" i="3"/>
  <c r="AQ277" i="3" s="1"/>
  <c r="CQ277" i="3" s="1"/>
  <c r="AO172" i="3"/>
  <c r="AP172" i="3"/>
  <c r="AQ172" i="3" s="1"/>
  <c r="CQ172" i="3" s="1"/>
  <c r="AO221" i="3"/>
  <c r="AP221" i="3"/>
  <c r="AQ221" i="3" s="1"/>
  <c r="CQ221" i="3" s="1"/>
  <c r="AP413" i="3"/>
  <c r="AQ413" i="3" s="1"/>
  <c r="CQ413" i="3" s="1"/>
  <c r="AO413" i="3"/>
  <c r="AO164" i="3"/>
  <c r="AP164" i="3"/>
  <c r="AQ164" i="3" s="1"/>
  <c r="CQ164" i="3" s="1"/>
  <c r="AO189" i="3"/>
  <c r="AP189" i="3"/>
  <c r="AQ189" i="3" s="1"/>
  <c r="CQ189" i="3" s="1"/>
  <c r="AO508" i="3"/>
  <c r="AP508" i="3"/>
  <c r="AQ508" i="3" s="1"/>
  <c r="CQ508" i="3" s="1"/>
  <c r="AO55" i="3"/>
  <c r="AP55" i="3"/>
  <c r="AQ55" i="3" s="1"/>
  <c r="CQ55" i="3" s="1"/>
  <c r="AO491" i="3"/>
  <c r="AO205" i="3"/>
  <c r="AP205" i="3"/>
  <c r="AQ205" i="3" s="1"/>
  <c r="CQ205" i="3" s="1"/>
  <c r="AP533" i="3"/>
  <c r="AQ533" i="3" s="1"/>
  <c r="CQ533" i="3" s="1"/>
  <c r="AO408" i="3"/>
  <c r="AP408" i="3"/>
  <c r="AQ408" i="3" s="1"/>
  <c r="CQ408" i="3" s="1"/>
  <c r="AO517" i="3"/>
  <c r="AP517" i="3"/>
  <c r="AQ517" i="3" s="1"/>
  <c r="CQ517" i="3" s="1"/>
  <c r="AO61" i="3"/>
  <c r="AP61" i="3"/>
  <c r="AQ61" i="3" s="1"/>
  <c r="CQ61" i="3" s="1"/>
  <c r="AO344" i="3"/>
  <c r="AP344" i="3"/>
  <c r="AQ344" i="3" s="1"/>
  <c r="CQ344" i="3" s="1"/>
  <c r="AO138" i="3"/>
  <c r="AP138" i="3"/>
  <c r="AQ138" i="3" s="1"/>
  <c r="CQ138" i="3" s="1"/>
  <c r="AO432" i="3"/>
  <c r="AP432" i="3"/>
  <c r="AQ432" i="3" s="1"/>
  <c r="CQ432" i="3" s="1"/>
  <c r="AO321" i="3"/>
  <c r="AP321" i="3"/>
  <c r="AQ321" i="3" s="1"/>
  <c r="CQ321" i="3" s="1"/>
  <c r="AO34" i="3"/>
  <c r="AP34" i="3"/>
  <c r="AQ34" i="3" s="1"/>
  <c r="CQ34" i="3" s="1"/>
  <c r="AO349" i="3"/>
  <c r="AP567" i="3"/>
  <c r="AQ567" i="3" s="1"/>
  <c r="CQ567" i="3" s="1"/>
  <c r="AP450" i="3"/>
  <c r="AQ450" i="3" s="1"/>
  <c r="CQ450" i="3" s="1"/>
  <c r="CY558" i="3"/>
  <c r="AP473" i="3"/>
  <c r="AQ473" i="3" s="1"/>
  <c r="CQ473" i="3" s="1"/>
  <c r="CY437" i="3"/>
  <c r="AP202" i="3"/>
  <c r="AQ202" i="3" s="1"/>
  <c r="CQ202" i="3" s="1"/>
  <c r="AO202" i="3"/>
  <c r="AO77" i="3"/>
  <c r="AP77" i="3"/>
  <c r="AQ77" i="3" s="1"/>
  <c r="CQ77" i="3" s="1"/>
  <c r="AO511" i="3"/>
  <c r="AP511" i="3"/>
  <c r="AQ511" i="3" s="1"/>
  <c r="CQ511" i="3" s="1"/>
  <c r="AO332" i="3"/>
  <c r="AP332" i="3"/>
  <c r="AQ332" i="3" s="1"/>
  <c r="CQ332" i="3" s="1"/>
  <c r="AO299" i="3"/>
  <c r="AP299" i="3"/>
  <c r="AQ299" i="3" s="1"/>
  <c r="CQ299" i="3" s="1"/>
  <c r="AO91" i="3"/>
  <c r="AP91" i="3"/>
  <c r="AQ91" i="3" s="1"/>
  <c r="CQ91" i="3" s="1"/>
  <c r="AO119" i="3"/>
  <c r="AP119" i="3"/>
  <c r="AQ119" i="3" s="1"/>
  <c r="CQ119" i="3" s="1"/>
  <c r="AO410" i="3"/>
  <c r="AP410" i="3"/>
  <c r="AQ410" i="3" s="1"/>
  <c r="CQ410" i="3" s="1"/>
  <c r="AP562" i="3"/>
  <c r="AQ562" i="3" s="1"/>
  <c r="CQ562" i="3" s="1"/>
  <c r="AP448" i="3"/>
  <c r="AQ448" i="3" s="1"/>
  <c r="CQ448" i="3" s="1"/>
  <c r="AP506" i="3"/>
  <c r="AQ506" i="3" s="1"/>
  <c r="CQ506" i="3" s="1"/>
  <c r="CY567" i="3"/>
  <c r="AP564" i="3"/>
  <c r="AQ564" i="3" s="1"/>
  <c r="CQ564" i="3" s="1"/>
  <c r="AP96" i="3"/>
  <c r="AQ96" i="3" s="1"/>
  <c r="CQ96" i="3" s="1"/>
  <c r="CY450" i="3"/>
  <c r="AP145" i="3"/>
  <c r="AQ145" i="3" s="1"/>
  <c r="CQ145" i="3" s="1"/>
  <c r="CY473" i="3"/>
  <c r="AO521" i="3"/>
  <c r="AP521" i="3"/>
  <c r="AQ521" i="3" s="1"/>
  <c r="CQ521" i="3" s="1"/>
  <c r="AO92" i="3"/>
  <c r="AP92" i="3"/>
  <c r="AQ92" i="3" s="1"/>
  <c r="CQ92" i="3" s="1"/>
  <c r="AP492" i="3"/>
  <c r="AQ492" i="3" s="1"/>
  <c r="CQ492" i="3" s="1"/>
  <c r="AO492" i="3"/>
  <c r="AO314" i="3"/>
  <c r="AP314" i="3"/>
  <c r="AQ314" i="3" s="1"/>
  <c r="CQ314" i="3" s="1"/>
  <c r="AO365" i="3"/>
  <c r="AP365" i="3"/>
  <c r="AQ365" i="3" s="1"/>
  <c r="CQ365" i="3" s="1"/>
  <c r="AO179" i="3"/>
  <c r="AP179" i="3"/>
  <c r="AQ179" i="3" s="1"/>
  <c r="CQ179" i="3" s="1"/>
  <c r="AO534" i="3"/>
  <c r="AP534" i="3"/>
  <c r="AQ534" i="3" s="1"/>
  <c r="CQ534" i="3" s="1"/>
  <c r="AO224" i="3"/>
  <c r="AP224" i="3"/>
  <c r="AQ224" i="3" s="1"/>
  <c r="CQ224" i="3" s="1"/>
  <c r="AO485" i="3"/>
  <c r="AP485" i="3"/>
  <c r="AQ485" i="3" s="1"/>
  <c r="CQ485" i="3" s="1"/>
  <c r="CY448" i="3"/>
  <c r="CY506" i="3"/>
  <c r="CY96" i="3"/>
  <c r="CY518" i="3"/>
  <c r="AO49" i="3"/>
  <c r="AP49" i="3"/>
  <c r="AQ49" i="3" s="1"/>
  <c r="CQ49" i="3" s="1"/>
  <c r="AO181" i="3"/>
  <c r="AP181" i="3"/>
  <c r="AQ181" i="3" s="1"/>
  <c r="CQ181" i="3" s="1"/>
  <c r="AO261" i="3"/>
  <c r="AP261" i="3"/>
  <c r="AQ261" i="3" s="1"/>
  <c r="CQ261" i="3" s="1"/>
  <c r="AO259" i="3"/>
  <c r="AP259" i="3"/>
  <c r="AQ259" i="3" s="1"/>
  <c r="CQ259" i="3" s="1"/>
  <c r="AO436" i="3"/>
  <c r="AP436" i="3"/>
  <c r="AQ436" i="3" s="1"/>
  <c r="CQ436" i="3" s="1"/>
  <c r="AO447" i="3"/>
  <c r="AP447" i="3"/>
  <c r="AQ447" i="3" s="1"/>
  <c r="CQ447" i="3" s="1"/>
  <c r="AO530" i="3"/>
  <c r="AP530" i="3"/>
  <c r="AQ530" i="3" s="1"/>
  <c r="CQ530" i="3" s="1"/>
  <c r="AO293" i="3"/>
  <c r="AP293" i="3"/>
  <c r="AQ293" i="3" s="1"/>
  <c r="CQ293" i="3" s="1"/>
  <c r="AO525" i="3"/>
  <c r="AP525" i="3"/>
  <c r="AQ525" i="3" s="1"/>
  <c r="CQ525" i="3" s="1"/>
  <c r="AO83" i="3"/>
  <c r="AP83" i="3"/>
  <c r="AQ83" i="3" s="1"/>
  <c r="CQ83" i="3" s="1"/>
  <c r="AO294" i="3"/>
  <c r="AP294" i="3"/>
  <c r="AQ294" i="3" s="1"/>
  <c r="CQ294" i="3" s="1"/>
  <c r="AO97" i="3"/>
  <c r="AP97" i="3"/>
  <c r="AQ97" i="3" s="1"/>
  <c r="CQ97" i="3" s="1"/>
  <c r="AP482" i="3"/>
  <c r="AQ482" i="3" s="1"/>
  <c r="CQ482" i="3" s="1"/>
  <c r="AO482" i="3"/>
  <c r="AO156" i="3"/>
  <c r="AP156" i="3"/>
  <c r="AQ156" i="3" s="1"/>
  <c r="CQ156" i="3" s="1"/>
  <c r="AO51" i="3"/>
  <c r="AP51" i="3"/>
  <c r="AQ51" i="3" s="1"/>
  <c r="CQ51" i="3" s="1"/>
  <c r="CY206" i="3"/>
  <c r="AO383" i="3"/>
  <c r="AP383" i="3"/>
  <c r="AQ383" i="3" s="1"/>
  <c r="CQ383" i="3" s="1"/>
  <c r="AO371" i="3"/>
  <c r="AP371" i="3"/>
  <c r="AQ371" i="3" s="1"/>
  <c r="CQ371" i="3" s="1"/>
  <c r="AO409" i="3"/>
  <c r="AP409" i="3"/>
  <c r="AQ409" i="3" s="1"/>
  <c r="CQ409" i="3" s="1"/>
  <c r="AO288" i="3"/>
  <c r="AP288" i="3"/>
  <c r="AQ288" i="3" s="1"/>
  <c r="CQ288" i="3" s="1"/>
  <c r="AO129" i="3"/>
  <c r="AP129" i="3"/>
  <c r="AQ129" i="3" s="1"/>
  <c r="CQ129" i="3" s="1"/>
  <c r="CY348" i="3"/>
  <c r="AP465" i="3"/>
  <c r="AQ465" i="3" s="1"/>
  <c r="CQ465" i="3" s="1"/>
  <c r="AO465" i="3"/>
  <c r="AO286" i="3"/>
  <c r="AP286" i="3"/>
  <c r="AQ286" i="3" s="1"/>
  <c r="CQ286" i="3" s="1"/>
  <c r="AO187" i="3"/>
  <c r="AP187" i="3"/>
  <c r="AQ187" i="3" s="1"/>
  <c r="CQ187" i="3" s="1"/>
  <c r="AO458" i="3"/>
  <c r="AP458" i="3"/>
  <c r="AQ458" i="3" s="1"/>
  <c r="CQ458" i="3" s="1"/>
  <c r="AO282" i="3"/>
  <c r="AP282" i="3"/>
  <c r="AQ282" i="3" s="1"/>
  <c r="CQ282" i="3" s="1"/>
  <c r="AO431" i="3"/>
  <c r="AP431" i="3"/>
  <c r="AQ431" i="3" s="1"/>
  <c r="CQ431" i="3" s="1"/>
  <c r="AO357" i="3"/>
  <c r="AP357" i="3"/>
  <c r="AQ357" i="3" s="1"/>
  <c r="CQ357" i="3" s="1"/>
  <c r="AO362" i="3"/>
  <c r="AP362" i="3"/>
  <c r="AQ362" i="3" s="1"/>
  <c r="CQ362" i="3" s="1"/>
  <c r="AO340" i="3"/>
  <c r="AO384" i="3"/>
  <c r="AP518" i="3"/>
  <c r="AQ518" i="3" s="1"/>
  <c r="CQ518" i="3" s="1"/>
  <c r="AP343" i="3"/>
  <c r="AQ343" i="3" s="1"/>
  <c r="CQ343" i="3" s="1"/>
  <c r="AP304" i="3"/>
  <c r="AQ304" i="3" s="1"/>
  <c r="CQ304" i="3" s="1"/>
  <c r="AP510" i="3"/>
  <c r="AQ510" i="3" s="1"/>
  <c r="CQ510" i="3" s="1"/>
  <c r="AP416" i="3"/>
  <c r="AQ416" i="3" s="1"/>
  <c r="CQ416" i="3" s="1"/>
  <c r="AP208" i="3"/>
  <c r="AQ208" i="3" s="1"/>
  <c r="CQ208" i="3" s="1"/>
  <c r="AP176" i="3"/>
  <c r="AQ176" i="3" s="1"/>
  <c r="CQ176" i="3" s="1"/>
  <c r="AP289" i="3"/>
  <c r="AQ289" i="3" s="1"/>
  <c r="CQ289" i="3" s="1"/>
  <c r="AO289" i="3"/>
  <c r="AO576" i="3"/>
  <c r="AP576" i="3"/>
  <c r="AQ576" i="3" s="1"/>
  <c r="CQ576" i="3" s="1"/>
  <c r="AO167" i="3"/>
  <c r="AP167" i="3"/>
  <c r="AQ167" i="3" s="1"/>
  <c r="CQ167" i="3" s="1"/>
  <c r="AO423" i="3"/>
  <c r="AP423" i="3"/>
  <c r="AQ423" i="3" s="1"/>
  <c r="CQ423" i="3" s="1"/>
  <c r="AO346" i="3"/>
  <c r="AP346" i="3"/>
  <c r="AQ346" i="3" s="1"/>
  <c r="CQ346" i="3" s="1"/>
  <c r="AO441" i="3"/>
  <c r="AP441" i="3"/>
  <c r="AQ441" i="3" s="1"/>
  <c r="CQ441" i="3" s="1"/>
  <c r="CY343" i="3"/>
  <c r="AO541" i="3"/>
  <c r="AP541" i="3"/>
  <c r="AQ541" i="3" s="1"/>
  <c r="CQ541" i="3" s="1"/>
  <c r="CY510" i="3"/>
  <c r="CY416" i="3"/>
  <c r="CY208" i="3"/>
  <c r="CY176" i="3"/>
  <c r="AO75" i="3"/>
  <c r="AP75" i="3"/>
  <c r="AQ75" i="3" s="1"/>
  <c r="CQ75" i="3" s="1"/>
  <c r="AO29" i="3"/>
  <c r="AP29" i="3"/>
  <c r="AQ29" i="3" s="1"/>
  <c r="CQ29" i="3" s="1"/>
  <c r="AO152" i="3"/>
  <c r="AP152" i="3"/>
  <c r="AQ152" i="3" s="1"/>
  <c r="CQ152" i="3" s="1"/>
  <c r="AO540" i="3"/>
  <c r="AP540" i="3"/>
  <c r="AQ540" i="3" s="1"/>
  <c r="CQ540" i="3" s="1"/>
  <c r="AO581" i="3"/>
  <c r="AP581" i="3"/>
  <c r="AQ581" i="3" s="1"/>
  <c r="CQ581" i="3" s="1"/>
  <c r="AO111" i="3"/>
  <c r="AP111" i="3"/>
  <c r="AQ111" i="3" s="1"/>
  <c r="CQ111" i="3" s="1"/>
  <c r="AO185" i="3"/>
  <c r="AP185" i="3"/>
  <c r="AQ185" i="3" s="1"/>
  <c r="CQ185" i="3" s="1"/>
  <c r="AO184" i="3"/>
  <c r="AP184" i="3"/>
  <c r="AQ184" i="3" s="1"/>
  <c r="CQ184" i="3" s="1"/>
  <c r="AO249" i="3"/>
  <c r="AP249" i="3"/>
  <c r="AQ249" i="3" s="1"/>
  <c r="CQ249" i="3" s="1"/>
  <c r="AO146" i="3"/>
  <c r="AP146" i="3"/>
  <c r="AQ146" i="3" s="1"/>
  <c r="CQ146" i="3" s="1"/>
  <c r="AO64" i="3"/>
  <c r="AP64" i="3"/>
  <c r="AQ64" i="3" s="1"/>
  <c r="CQ64" i="3" s="1"/>
  <c r="AO573" i="3"/>
  <c r="AP573" i="3"/>
  <c r="AQ573" i="3" s="1"/>
  <c r="CQ573" i="3" s="1"/>
  <c r="CY28" i="3"/>
  <c r="AP385" i="3"/>
  <c r="AQ385" i="3" s="1"/>
  <c r="CQ385" i="3" s="1"/>
  <c r="AO385" i="3"/>
  <c r="AP143" i="3"/>
  <c r="AQ143" i="3" s="1"/>
  <c r="CQ143" i="3" s="1"/>
  <c r="AO143" i="3"/>
  <c r="AO182" i="3"/>
  <c r="AP182" i="3"/>
  <c r="AQ182" i="3" s="1"/>
  <c r="CQ182" i="3" s="1"/>
  <c r="CY68" i="3"/>
  <c r="CY325" i="3"/>
  <c r="AP574" i="3"/>
  <c r="AQ574" i="3" s="1"/>
  <c r="CQ574" i="3" s="1"/>
  <c r="AO574" i="3"/>
  <c r="AO301" i="3"/>
  <c r="AP301" i="3"/>
  <c r="AQ301" i="3" s="1"/>
  <c r="CQ301" i="3" s="1"/>
  <c r="AO556" i="3"/>
  <c r="AP556" i="3"/>
  <c r="AQ556" i="3" s="1"/>
  <c r="CQ556" i="3" s="1"/>
  <c r="AO514" i="3"/>
  <c r="AP514" i="3"/>
  <c r="AQ514" i="3" s="1"/>
  <c r="CQ514" i="3" s="1"/>
  <c r="AO497" i="3"/>
  <c r="AP497" i="3"/>
  <c r="AQ497" i="3" s="1"/>
  <c r="CQ497" i="3" s="1"/>
  <c r="CY478" i="3"/>
  <c r="CY190" i="3"/>
  <c r="CY468" i="3"/>
  <c r="CY212" i="3"/>
  <c r="CY477" i="3"/>
  <c r="CY139" i="3"/>
  <c r="CY338" i="3"/>
  <c r="CY79" i="3"/>
  <c r="CY273" i="3"/>
  <c r="CY415" i="3"/>
  <c r="CY375" i="3"/>
  <c r="CY84" i="3"/>
  <c r="CY271" i="3"/>
  <c r="CY93" i="3"/>
  <c r="CY276" i="3"/>
  <c r="CY260" i="3"/>
  <c r="CY130" i="3"/>
  <c r="AO40" i="3"/>
  <c r="AO78" i="3"/>
  <c r="AP141" i="3"/>
  <c r="AQ141" i="3" s="1"/>
  <c r="CQ141" i="3" s="1"/>
  <c r="AO316" i="3"/>
  <c r="AP316" i="3"/>
  <c r="AQ316" i="3" s="1"/>
  <c r="CQ316" i="3" s="1"/>
  <c r="AO494" i="3"/>
  <c r="AP494" i="3"/>
  <c r="AQ494" i="3" s="1"/>
  <c r="CQ494" i="3" s="1"/>
  <c r="AO306" i="3"/>
  <c r="AP306" i="3"/>
  <c r="AQ306" i="3" s="1"/>
  <c r="CQ306" i="3" s="1"/>
  <c r="AO290" i="3"/>
  <c r="AP290" i="3"/>
  <c r="AQ290" i="3" s="1"/>
  <c r="CQ290" i="3" s="1"/>
  <c r="AO103" i="3"/>
  <c r="AP103" i="3"/>
  <c r="AQ103" i="3" s="1"/>
  <c r="CQ103" i="3" s="1"/>
  <c r="AO474" i="3"/>
  <c r="AP474" i="3"/>
  <c r="AQ474" i="3" s="1"/>
  <c r="CQ474" i="3" s="1"/>
  <c r="AO376" i="3"/>
  <c r="AP376" i="3"/>
  <c r="AQ376" i="3" s="1"/>
  <c r="CQ376" i="3" s="1"/>
  <c r="AO132" i="3"/>
  <c r="AP132" i="3"/>
  <c r="AQ132" i="3" s="1"/>
  <c r="CQ132" i="3" s="1"/>
  <c r="AO532" i="3"/>
  <c r="AP532" i="3"/>
  <c r="AQ532" i="3" s="1"/>
  <c r="CQ532" i="3" s="1"/>
  <c r="AO39" i="3"/>
  <c r="AP39" i="3"/>
  <c r="AQ39" i="3" s="1"/>
  <c r="CQ39" i="3" s="1"/>
  <c r="AO171" i="3"/>
  <c r="AP171" i="3"/>
  <c r="AQ171" i="3" s="1"/>
  <c r="CQ171" i="3" s="1"/>
  <c r="AO258" i="3"/>
  <c r="AP258" i="3"/>
  <c r="AQ258" i="3" s="1"/>
  <c r="CQ258" i="3" s="1"/>
  <c r="CY347" i="3"/>
  <c r="CY141" i="3"/>
  <c r="AO453" i="3"/>
  <c r="CY453" i="3" s="1"/>
  <c r="AP453" i="3"/>
  <c r="AQ453" i="3" s="1"/>
  <c r="CQ453" i="3" s="1"/>
  <c r="AO272" i="3"/>
  <c r="AP272" i="3"/>
  <c r="AQ272" i="3" s="1"/>
  <c r="CQ272" i="3" s="1"/>
  <c r="AO131" i="3"/>
  <c r="AP131" i="3"/>
  <c r="AQ131" i="3" s="1"/>
  <c r="CQ131" i="3" s="1"/>
  <c r="AO480" i="3"/>
  <c r="AP480" i="3"/>
  <c r="AQ480" i="3" s="1"/>
  <c r="CQ480" i="3" s="1"/>
  <c r="AO444" i="3"/>
  <c r="AP444" i="3"/>
  <c r="AQ444" i="3" s="1"/>
  <c r="CQ444" i="3" s="1"/>
  <c r="AO446" i="3"/>
  <c r="AP446" i="3"/>
  <c r="AQ446" i="3" s="1"/>
  <c r="CQ446" i="3" s="1"/>
  <c r="AO265" i="3"/>
  <c r="AP265" i="3"/>
  <c r="AQ265" i="3" s="1"/>
  <c r="CQ265" i="3" s="1"/>
  <c r="AO327" i="3"/>
  <c r="AP327" i="3"/>
  <c r="AQ327" i="3" s="1"/>
  <c r="CQ327" i="3" s="1"/>
  <c r="AO170" i="3"/>
  <c r="AP170" i="3"/>
  <c r="AQ170" i="3" s="1"/>
  <c r="CQ170" i="3" s="1"/>
  <c r="AO537" i="3"/>
  <c r="AP537" i="3"/>
  <c r="AQ537" i="3" s="1"/>
  <c r="CQ537" i="3" s="1"/>
  <c r="AO527" i="3"/>
  <c r="AP527" i="3"/>
  <c r="AQ527" i="3" s="1"/>
  <c r="CQ527" i="3" s="1"/>
  <c r="AP325" i="3"/>
  <c r="AQ325" i="3" s="1"/>
  <c r="CQ325" i="3" s="1"/>
  <c r="AO50" i="3"/>
  <c r="AP50" i="3"/>
  <c r="AQ50" i="3" s="1"/>
  <c r="CQ50" i="3" s="1"/>
  <c r="AO89" i="3"/>
  <c r="AP89" i="3"/>
  <c r="AQ89" i="3" s="1"/>
  <c r="CQ89" i="3" s="1"/>
  <c r="AO463" i="3"/>
  <c r="AP463" i="3"/>
  <c r="AQ463" i="3" s="1"/>
  <c r="CQ463" i="3" s="1"/>
  <c r="AO110" i="3"/>
  <c r="AP110" i="3"/>
  <c r="AQ110" i="3" s="1"/>
  <c r="CQ110" i="3" s="1"/>
  <c r="AO484" i="3"/>
  <c r="AP484" i="3"/>
  <c r="AQ484" i="3" s="1"/>
  <c r="CQ484" i="3" s="1"/>
  <c r="AO33" i="3"/>
  <c r="AP33" i="3"/>
  <c r="AQ33" i="3" s="1"/>
  <c r="CQ33" i="3" s="1"/>
  <c r="AP302" i="3"/>
  <c r="AQ302" i="3" s="1"/>
  <c r="CQ302" i="3" s="1"/>
  <c r="AP566" i="3"/>
  <c r="AQ566" i="3" s="1"/>
  <c r="CQ566" i="3" s="1"/>
  <c r="AP147" i="3"/>
  <c r="AQ147" i="3" s="1"/>
  <c r="CQ147" i="3" s="1"/>
  <c r="AP177" i="3"/>
  <c r="AQ177" i="3" s="1"/>
  <c r="CQ177" i="3" s="1"/>
  <c r="AP536" i="3"/>
  <c r="AQ536" i="3" s="1"/>
  <c r="CQ536" i="3" s="1"/>
  <c r="AP479" i="3"/>
  <c r="AQ479" i="3" s="1"/>
  <c r="CQ479" i="3" s="1"/>
  <c r="AP254" i="3"/>
  <c r="AQ254" i="3" s="1"/>
  <c r="CQ254" i="3" s="1"/>
  <c r="AP353" i="3"/>
  <c r="AQ353" i="3" s="1"/>
  <c r="CQ353" i="3" s="1"/>
  <c r="AO160" i="3"/>
  <c r="AP475" i="3"/>
  <c r="AQ475" i="3" s="1"/>
  <c r="CQ475" i="3" s="1"/>
  <c r="AP90" i="3"/>
  <c r="AQ90" i="3" s="1"/>
  <c r="CQ90" i="3" s="1"/>
  <c r="AP150" i="3"/>
  <c r="AQ150" i="3" s="1"/>
  <c r="CQ150" i="3" s="1"/>
  <c r="AP364" i="3"/>
  <c r="AQ364" i="3" s="1"/>
  <c r="CQ364" i="3" s="1"/>
  <c r="AO430" i="3"/>
  <c r="CY430" i="3" s="1"/>
  <c r="AP296" i="3"/>
  <c r="AQ296" i="3" s="1"/>
  <c r="CQ296" i="3" s="1"/>
  <c r="AP542" i="3"/>
  <c r="AQ542" i="3" s="1"/>
  <c r="CQ542" i="3" s="1"/>
  <c r="AO461" i="3"/>
  <c r="AP461" i="3"/>
  <c r="AQ461" i="3" s="1"/>
  <c r="CQ461" i="3" s="1"/>
  <c r="AO440" i="3"/>
  <c r="AP440" i="3"/>
  <c r="AQ440" i="3" s="1"/>
  <c r="CQ440" i="3" s="1"/>
  <c r="AO499" i="3"/>
  <c r="AP499" i="3"/>
  <c r="AQ499" i="3" s="1"/>
  <c r="CQ499" i="3" s="1"/>
  <c r="AO452" i="3"/>
  <c r="AP452" i="3"/>
  <c r="AQ452" i="3" s="1"/>
  <c r="CQ452" i="3" s="1"/>
  <c r="AP180" i="3"/>
  <c r="AQ180" i="3" s="1"/>
  <c r="CQ180" i="3" s="1"/>
  <c r="AO180" i="3"/>
  <c r="AO342" i="3"/>
  <c r="AP342" i="3"/>
  <c r="AQ342" i="3" s="1"/>
  <c r="CQ342" i="3" s="1"/>
  <c r="CY302" i="3"/>
  <c r="CY566" i="3"/>
  <c r="CY147" i="3"/>
  <c r="CY177" i="3"/>
  <c r="CY536" i="3"/>
  <c r="CY479" i="3"/>
  <c r="CY254" i="3"/>
  <c r="CY353" i="3"/>
  <c r="CY475" i="3"/>
  <c r="CY90" i="3"/>
  <c r="CY150" i="3"/>
  <c r="CY296" i="3"/>
  <c r="CY542" i="3"/>
  <c r="AO359" i="3"/>
  <c r="AP359" i="3"/>
  <c r="AQ359" i="3" s="1"/>
  <c r="CQ359" i="3" s="1"/>
  <c r="AO74" i="3"/>
  <c r="CY74" i="3" s="1"/>
  <c r="AP74" i="3"/>
  <c r="AQ74" i="3" s="1"/>
  <c r="CQ74" i="3" s="1"/>
  <c r="AO44" i="3"/>
  <c r="AP44" i="3"/>
  <c r="AQ44" i="3" s="1"/>
  <c r="CQ44" i="3" s="1"/>
  <c r="AO268" i="3"/>
  <c r="AP268" i="3"/>
  <c r="AQ268" i="3" s="1"/>
  <c r="CQ268" i="3" s="1"/>
  <c r="AO363" i="3"/>
  <c r="AP363" i="3"/>
  <c r="AQ363" i="3" s="1"/>
  <c r="CQ363" i="3" s="1"/>
  <c r="AO420" i="3"/>
  <c r="AP420" i="3"/>
  <c r="AQ420" i="3" s="1"/>
  <c r="CQ420" i="3" s="1"/>
  <c r="AO197" i="3"/>
  <c r="AP197" i="3"/>
  <c r="AQ197" i="3" s="1"/>
  <c r="CQ197" i="3" s="1"/>
  <c r="AO520" i="3"/>
  <c r="AP520" i="3"/>
  <c r="AQ520" i="3" s="1"/>
  <c r="CQ520" i="3" s="1"/>
  <c r="AO207" i="3"/>
  <c r="AP207" i="3"/>
  <c r="AQ207" i="3" s="1"/>
  <c r="CQ207" i="3" s="1"/>
  <c r="AO336" i="3"/>
  <c r="AP336" i="3"/>
  <c r="AQ336" i="3" s="1"/>
  <c r="CQ336" i="3" s="1"/>
  <c r="AO339" i="3"/>
  <c r="AP339" i="3"/>
  <c r="AQ339" i="3" s="1"/>
  <c r="CQ339" i="3" s="1"/>
  <c r="AO377" i="3"/>
  <c r="AP377" i="3"/>
  <c r="AQ377" i="3" s="1"/>
  <c r="CQ377" i="3" s="1"/>
  <c r="AO512" i="3"/>
  <c r="AP512" i="3"/>
  <c r="AQ512" i="3" s="1"/>
  <c r="CQ512" i="3" s="1"/>
  <c r="AO577" i="3"/>
  <c r="AP577" i="3"/>
  <c r="AQ577" i="3" s="1"/>
  <c r="CQ577" i="3" s="1"/>
  <c r="AO572" i="3"/>
  <c r="AP572" i="3"/>
  <c r="AQ572" i="3" s="1"/>
  <c r="CQ572" i="3" s="1"/>
  <c r="AO337" i="3"/>
  <c r="AP337" i="3"/>
  <c r="AQ337" i="3" s="1"/>
  <c r="CQ337" i="3" s="1"/>
  <c r="AO378" i="3"/>
  <c r="AP378" i="3"/>
  <c r="AQ378" i="3" s="1"/>
  <c r="CQ378" i="3" s="1"/>
  <c r="AO270" i="3"/>
  <c r="AP270" i="3"/>
  <c r="AQ270" i="3" s="1"/>
  <c r="CQ270" i="3" s="1"/>
  <c r="AO47" i="3"/>
  <c r="AP47" i="3"/>
  <c r="AQ47" i="3" s="1"/>
  <c r="CQ47" i="3" s="1"/>
  <c r="AO136" i="3"/>
  <c r="AP136" i="3"/>
  <c r="AQ136" i="3" s="1"/>
  <c r="CQ136" i="3" s="1"/>
  <c r="AO569" i="3"/>
  <c r="AP569" i="3"/>
  <c r="AQ569" i="3" s="1"/>
  <c r="CQ569" i="3" s="1"/>
  <c r="AO544" i="3"/>
  <c r="AP544" i="3"/>
  <c r="AQ544" i="3" s="1"/>
  <c r="CQ544" i="3" s="1"/>
  <c r="AO487" i="3"/>
  <c r="AP487" i="3"/>
  <c r="AQ487" i="3" s="1"/>
  <c r="CQ487" i="3" s="1"/>
  <c r="AO218" i="3"/>
  <c r="AO162" i="3"/>
  <c r="AP162" i="3"/>
  <c r="AQ162" i="3" s="1"/>
  <c r="CQ162" i="3" s="1"/>
  <c r="AO23" i="3"/>
  <c r="AP23" i="3"/>
  <c r="AQ23" i="3" s="1"/>
  <c r="CQ23" i="3" s="1"/>
  <c r="AO262" i="3"/>
  <c r="AP262" i="3"/>
  <c r="AQ262" i="3" s="1"/>
  <c r="CQ262" i="3" s="1"/>
  <c r="AO95" i="3"/>
  <c r="AP95" i="3"/>
  <c r="AQ95" i="3" s="1"/>
  <c r="CQ95" i="3" s="1"/>
  <c r="AO390" i="3"/>
  <c r="AP390" i="3"/>
  <c r="AQ390" i="3" s="1"/>
  <c r="CQ390" i="3" s="1"/>
  <c r="AO381" i="3"/>
  <c r="AP381" i="3"/>
  <c r="AQ381" i="3" s="1"/>
  <c r="CQ381" i="3" s="1"/>
  <c r="AP68" i="3"/>
  <c r="AQ68" i="3" s="1"/>
  <c r="CQ68" i="3" s="1"/>
  <c r="AP478" i="3"/>
  <c r="AQ478" i="3" s="1"/>
  <c r="CQ478" i="3" s="1"/>
  <c r="AP148" i="3"/>
  <c r="AQ148" i="3" s="1"/>
  <c r="CQ148" i="3" s="1"/>
  <c r="AP190" i="3"/>
  <c r="AQ190" i="3" s="1"/>
  <c r="CQ190" i="3" s="1"/>
  <c r="AP468" i="3"/>
  <c r="AQ468" i="3" s="1"/>
  <c r="CQ468" i="3" s="1"/>
  <c r="AP538" i="3"/>
  <c r="AQ538" i="3" s="1"/>
  <c r="CQ538" i="3" s="1"/>
  <c r="AP212" i="3"/>
  <c r="AQ212" i="3" s="1"/>
  <c r="CQ212" i="3" s="1"/>
  <c r="AP477" i="3"/>
  <c r="AQ477" i="3" s="1"/>
  <c r="CQ477" i="3" s="1"/>
  <c r="AP139" i="3"/>
  <c r="AQ139" i="3" s="1"/>
  <c r="CQ139" i="3" s="1"/>
  <c r="AP557" i="3"/>
  <c r="AQ557" i="3" s="1"/>
  <c r="CQ557" i="3" s="1"/>
  <c r="AP338" i="3"/>
  <c r="AQ338" i="3" s="1"/>
  <c r="CQ338" i="3" s="1"/>
  <c r="AP79" i="3"/>
  <c r="AQ79" i="3" s="1"/>
  <c r="CQ79" i="3" s="1"/>
  <c r="AP273" i="3"/>
  <c r="AQ273" i="3" s="1"/>
  <c r="CQ273" i="3" s="1"/>
  <c r="AP112" i="3"/>
  <c r="AQ112" i="3" s="1"/>
  <c r="CQ112" i="3" s="1"/>
  <c r="AP415" i="3"/>
  <c r="AQ415" i="3" s="1"/>
  <c r="CQ415" i="3" s="1"/>
  <c r="AP375" i="3"/>
  <c r="AQ375" i="3" s="1"/>
  <c r="CQ375" i="3" s="1"/>
  <c r="AP84" i="3"/>
  <c r="AQ84" i="3" s="1"/>
  <c r="CQ84" i="3" s="1"/>
  <c r="AP271" i="3"/>
  <c r="AQ271" i="3" s="1"/>
  <c r="CQ271" i="3" s="1"/>
  <c r="AP366" i="3"/>
  <c r="AQ366" i="3" s="1"/>
  <c r="CQ366" i="3" s="1"/>
  <c r="AP93" i="3"/>
  <c r="AQ93" i="3" s="1"/>
  <c r="CQ93" i="3" s="1"/>
  <c r="AP276" i="3"/>
  <c r="AQ276" i="3" s="1"/>
  <c r="CQ276" i="3" s="1"/>
  <c r="AP260" i="3"/>
  <c r="AQ260" i="3" s="1"/>
  <c r="CQ260" i="3" s="1"/>
  <c r="AP41" i="3"/>
  <c r="AQ41" i="3" s="1"/>
  <c r="CQ41" i="3" s="1"/>
  <c r="AP222" i="3"/>
  <c r="AQ222" i="3" s="1"/>
  <c r="CQ222" i="3" s="1"/>
  <c r="AP320" i="3"/>
  <c r="AQ320" i="3" s="1"/>
  <c r="CQ320" i="3" s="1"/>
  <c r="AP130" i="3"/>
  <c r="AQ130" i="3" s="1"/>
  <c r="CQ130" i="3" s="1"/>
  <c r="AO570" i="3"/>
  <c r="AP570" i="3"/>
  <c r="AQ570" i="3" s="1"/>
  <c r="CQ570" i="3" s="1"/>
  <c r="AO269" i="3"/>
  <c r="AP269" i="3"/>
  <c r="AQ269" i="3" s="1"/>
  <c r="CQ269" i="3" s="1"/>
  <c r="AO217" i="3"/>
  <c r="AP217" i="3"/>
  <c r="AQ217" i="3" s="1"/>
  <c r="CQ217" i="3" s="1"/>
  <c r="AO157" i="3"/>
  <c r="AP157" i="3"/>
  <c r="AQ157" i="3" s="1"/>
  <c r="CQ157" i="3" s="1"/>
  <c r="AO546" i="3"/>
  <c r="AP546" i="3"/>
  <c r="AQ546" i="3" s="1"/>
  <c r="CQ546" i="3" s="1"/>
  <c r="AO37" i="3"/>
  <c r="AP37" i="3"/>
  <c r="AQ37" i="3" s="1"/>
  <c r="CQ37" i="3" s="1"/>
  <c r="AO421" i="3"/>
  <c r="AP421" i="3"/>
  <c r="AQ421" i="3" s="1"/>
  <c r="CQ421" i="3" s="1"/>
  <c r="AO71" i="3"/>
  <c r="AP71" i="3"/>
  <c r="AQ71" i="3" s="1"/>
  <c r="CQ71" i="3" s="1"/>
  <c r="AO108" i="3"/>
  <c r="AP108" i="3"/>
  <c r="AQ108" i="3" s="1"/>
  <c r="CQ108" i="3" s="1"/>
  <c r="AO31" i="3"/>
  <c r="AP31" i="3"/>
  <c r="AQ31" i="3" s="1"/>
  <c r="CQ31" i="3" s="1"/>
  <c r="AO38" i="3"/>
  <c r="AP38" i="3"/>
  <c r="AQ38" i="3" s="1"/>
  <c r="CQ38" i="3" s="1"/>
  <c r="AO183" i="3"/>
  <c r="AO99" i="3"/>
  <c r="AP99" i="3"/>
  <c r="AQ99" i="3" s="1"/>
  <c r="CQ99" i="3" s="1"/>
  <c r="AO87" i="3"/>
  <c r="AP87" i="3"/>
  <c r="AQ87" i="3" s="1"/>
  <c r="CQ87" i="3" s="1"/>
  <c r="AO198" i="3"/>
  <c r="AP209" i="3"/>
  <c r="AQ209" i="3" s="1"/>
  <c r="CQ209" i="3" s="1"/>
  <c r="AO66" i="3"/>
  <c r="AP66" i="3"/>
  <c r="AQ66" i="3" s="1"/>
  <c r="CQ66" i="3" s="1"/>
  <c r="AO168" i="3"/>
  <c r="AP168" i="3"/>
  <c r="AQ168" i="3" s="1"/>
  <c r="CQ168" i="3" s="1"/>
  <c r="CY209" i="3"/>
  <c r="AO59" i="3"/>
  <c r="CY59" i="3" s="1"/>
  <c r="AP59" i="3"/>
  <c r="AQ59" i="3" s="1"/>
  <c r="CQ59" i="3" s="1"/>
  <c r="AO101" i="3"/>
  <c r="AP101" i="3"/>
  <c r="AQ101" i="3" s="1"/>
  <c r="CQ101" i="3" s="1"/>
  <c r="AO333" i="3"/>
  <c r="AP333" i="3"/>
  <c r="AQ333" i="3" s="1"/>
  <c r="CQ333" i="3" s="1"/>
  <c r="AO73" i="3"/>
  <c r="AP73" i="3"/>
  <c r="AQ73" i="3" s="1"/>
  <c r="CQ73" i="3" s="1"/>
  <c r="AO173" i="3"/>
  <c r="AO45" i="3"/>
  <c r="AP45" i="3"/>
  <c r="AQ45" i="3" s="1"/>
  <c r="CQ45" i="3" s="1"/>
  <c r="AO52" i="3"/>
  <c r="AP52" i="3"/>
  <c r="AQ52" i="3" s="1"/>
  <c r="CQ52" i="3" s="1"/>
  <c r="AP25" i="3"/>
  <c r="AQ25" i="3" s="1"/>
  <c r="CQ25" i="3" s="1"/>
  <c r="AP323" i="3"/>
  <c r="AQ323" i="3" s="1"/>
  <c r="CQ323" i="3" s="1"/>
  <c r="AP329" i="3"/>
  <c r="AQ329" i="3" s="1"/>
  <c r="CQ329" i="3" s="1"/>
  <c r="AP305" i="3"/>
  <c r="AQ305" i="3" s="1"/>
  <c r="CQ305" i="3" s="1"/>
  <c r="AP239" i="3"/>
  <c r="AQ239" i="3" s="1"/>
  <c r="CQ239" i="3" s="1"/>
  <c r="AP285" i="3"/>
  <c r="AQ285" i="3" s="1"/>
  <c r="CQ285" i="3" s="1"/>
  <c r="AP251" i="3"/>
  <c r="AQ251" i="3" s="1"/>
  <c r="CQ251" i="3" s="1"/>
  <c r="AO489" i="3"/>
  <c r="AP489" i="3"/>
  <c r="AQ489" i="3" s="1"/>
  <c r="CQ489" i="3" s="1"/>
  <c r="AO80" i="3"/>
  <c r="AP80" i="3"/>
  <c r="AQ80" i="3" s="1"/>
  <c r="CQ80" i="3" s="1"/>
  <c r="AO24" i="3"/>
  <c r="AP24" i="3"/>
  <c r="AQ24" i="3" s="1"/>
  <c r="CQ24" i="3" s="1"/>
  <c r="CY25" i="3"/>
  <c r="CY323" i="3"/>
  <c r="CY329" i="3"/>
  <c r="CY305" i="3"/>
  <c r="CY285" i="3"/>
  <c r="CY251" i="3"/>
  <c r="AO481" i="3"/>
  <c r="AP481" i="3"/>
  <c r="AQ481" i="3" s="1"/>
  <c r="CQ481" i="3" s="1"/>
  <c r="AO201" i="3"/>
  <c r="AP201" i="3"/>
  <c r="AQ201" i="3" s="1"/>
  <c r="CQ201" i="3" s="1"/>
  <c r="AO470" i="3"/>
  <c r="AP470" i="3"/>
  <c r="AQ470" i="3" s="1"/>
  <c r="CQ470" i="3" s="1"/>
  <c r="AO238" i="3"/>
  <c r="AP238" i="3"/>
  <c r="AQ238" i="3" s="1"/>
  <c r="CQ238" i="3" s="1"/>
  <c r="AO22" i="3"/>
  <c r="CY22" i="3" s="1"/>
  <c r="AP22" i="3"/>
  <c r="AQ22" i="3" s="1"/>
  <c r="CQ22" i="3" s="1"/>
  <c r="AO20" i="3"/>
  <c r="AP20" i="3"/>
  <c r="AQ20" i="3" s="1"/>
  <c r="CQ20" i="3" s="1"/>
  <c r="AP57" i="3"/>
  <c r="AQ57" i="3" s="1"/>
  <c r="CQ57" i="3" s="1"/>
  <c r="AO57" i="3"/>
  <c r="AP9" i="3"/>
  <c r="AQ9" i="3" s="1"/>
  <c r="CQ9" i="3" s="1"/>
  <c r="AO9" i="3"/>
  <c r="AO405" i="3"/>
  <c r="AP405" i="3"/>
  <c r="AQ405" i="3" s="1"/>
  <c r="CQ405" i="3" s="1"/>
  <c r="AO15" i="3"/>
  <c r="AP15" i="3"/>
  <c r="AQ15" i="3" s="1"/>
  <c r="CQ15" i="3" s="1"/>
  <c r="AO233" i="3"/>
  <c r="AP233" i="3"/>
  <c r="AQ233" i="3" s="1"/>
  <c r="CQ233" i="3" s="1"/>
  <c r="AP406" i="3"/>
  <c r="AQ406" i="3" s="1"/>
  <c r="CQ406" i="3" s="1"/>
  <c r="AO406" i="3"/>
  <c r="AO242" i="3"/>
  <c r="AP242" i="3"/>
  <c r="AQ242" i="3" s="1"/>
  <c r="CQ242" i="3" s="1"/>
  <c r="AO241" i="3"/>
  <c r="AP241" i="3"/>
  <c r="AQ241" i="3" s="1"/>
  <c r="CQ241" i="3" s="1"/>
  <c r="AO125" i="3"/>
  <c r="AP125" i="3"/>
  <c r="AQ125" i="3" s="1"/>
  <c r="CQ125" i="3" s="1"/>
  <c r="AP124" i="3"/>
  <c r="AQ124" i="3" s="1"/>
  <c r="CQ124" i="3" s="1"/>
  <c r="AO124" i="3"/>
  <c r="AO402" i="3"/>
  <c r="AP402" i="3"/>
  <c r="AQ402" i="3" s="1"/>
  <c r="CQ402" i="3" s="1"/>
  <c r="AO401" i="3"/>
  <c r="AP401" i="3"/>
  <c r="AQ401" i="3" s="1"/>
  <c r="CQ401" i="3" s="1"/>
  <c r="AO142" i="3"/>
  <c r="AP142" i="3"/>
  <c r="AQ142" i="3" s="1"/>
  <c r="CQ142" i="3" s="1"/>
  <c r="AP240" i="3"/>
  <c r="AQ240" i="3" s="1"/>
  <c r="CQ240" i="3" s="1"/>
  <c r="AO240" i="3"/>
  <c r="AO243" i="3"/>
  <c r="AP243" i="3"/>
  <c r="AQ243" i="3" s="1"/>
  <c r="CQ243" i="3" s="1"/>
  <c r="AO18" i="3"/>
  <c r="AP18" i="3"/>
  <c r="AQ18" i="3" s="1"/>
  <c r="CQ18" i="3" s="1"/>
  <c r="AO232" i="3"/>
  <c r="AP232" i="3"/>
  <c r="AQ232" i="3" s="1"/>
  <c r="CQ232" i="3" s="1"/>
  <c r="AO236" i="3"/>
  <c r="AP236" i="3"/>
  <c r="AQ236" i="3" s="1"/>
  <c r="CQ236" i="3" s="1"/>
  <c r="AP10" i="3"/>
  <c r="AQ10" i="3" s="1"/>
  <c r="CQ10" i="3" s="1"/>
  <c r="AO10" i="3"/>
  <c r="AP400" i="3"/>
  <c r="AQ400" i="3" s="1"/>
  <c r="CQ400" i="3" s="1"/>
  <c r="AO400" i="3"/>
  <c r="AP237" i="3"/>
  <c r="AQ237" i="3" s="1"/>
  <c r="CQ237" i="3" s="1"/>
  <c r="AO237" i="3"/>
  <c r="AO399" i="3"/>
  <c r="AP399" i="3"/>
  <c r="AQ399" i="3" s="1"/>
  <c r="CQ399" i="3" s="1"/>
  <c r="AO234" i="3"/>
  <c r="AP234" i="3"/>
  <c r="AQ234" i="3" s="1"/>
  <c r="CQ234" i="3" s="1"/>
  <c r="AO21" i="3"/>
  <c r="AP21" i="3"/>
  <c r="AQ21" i="3" s="1"/>
  <c r="CQ21" i="3" s="1"/>
  <c r="AO244" i="3"/>
  <c r="AP244" i="3"/>
  <c r="AQ244" i="3" s="1"/>
  <c r="CQ244" i="3" s="1"/>
  <c r="AP12" i="3"/>
  <c r="AQ12" i="3" s="1"/>
  <c r="CQ12" i="3" s="1"/>
  <c r="AO12" i="3"/>
  <c r="AO231" i="3"/>
  <c r="AP231" i="3"/>
  <c r="AQ231" i="3" s="1"/>
  <c r="CQ231" i="3" s="1"/>
  <c r="AO235" i="3"/>
  <c r="AP235" i="3"/>
  <c r="AQ235" i="3" s="1"/>
  <c r="CQ235" i="3" s="1"/>
  <c r="AO120" i="3"/>
  <c r="AP120" i="3"/>
  <c r="AQ120" i="3" s="1"/>
  <c r="CQ120" i="3" s="1"/>
  <c r="AP121" i="3"/>
  <c r="AQ121" i="3" s="1"/>
  <c r="CQ121" i="3" s="1"/>
  <c r="AO121" i="3"/>
  <c r="AP284" i="3"/>
  <c r="AQ284" i="3" s="1"/>
  <c r="CQ284" i="3" s="1"/>
  <c r="AO284" i="3"/>
  <c r="AO17" i="3"/>
  <c r="AP17" i="3"/>
  <c r="AQ17" i="3" s="1"/>
  <c r="CQ17" i="3" s="1"/>
  <c r="AP403" i="3"/>
  <c r="AQ403" i="3" s="1"/>
  <c r="CQ403" i="3" s="1"/>
  <c r="AO403" i="3"/>
  <c r="AP11" i="3"/>
  <c r="AQ11" i="3" s="1"/>
  <c r="CQ11" i="3" s="1"/>
  <c r="AO11" i="3"/>
  <c r="AP16" i="3"/>
  <c r="AQ16" i="3" s="1"/>
  <c r="CQ16" i="3" s="1"/>
  <c r="AO16" i="3"/>
  <c r="AO123" i="3"/>
  <c r="AP123" i="3"/>
  <c r="AQ123" i="3" s="1"/>
  <c r="CQ123" i="3" s="1"/>
  <c r="AP13" i="3"/>
  <c r="AQ13" i="3" s="1"/>
  <c r="CQ13" i="3" s="1"/>
  <c r="AO13" i="3"/>
  <c r="AP14" i="3"/>
  <c r="AQ14" i="3" s="1"/>
  <c r="CQ14" i="3" s="1"/>
  <c r="AO14" i="3"/>
  <c r="AP126" i="3"/>
  <c r="AQ126" i="3" s="1"/>
  <c r="CQ126" i="3" s="1"/>
  <c r="AO126" i="3"/>
  <c r="AP19" i="3"/>
  <c r="AQ19" i="3" s="1"/>
  <c r="CQ19" i="3" s="1"/>
  <c r="AO19" i="3"/>
  <c r="AP122" i="3"/>
  <c r="AQ122" i="3" s="1"/>
  <c r="CQ122" i="3" s="1"/>
  <c r="AO122" i="3"/>
  <c r="AO404" i="3"/>
  <c r="AP404" i="3"/>
  <c r="AQ404" i="3" s="1"/>
  <c r="CQ404" i="3" s="1"/>
  <c r="AL223" i="3" l="1"/>
  <c r="V223" i="3" s="1"/>
  <c r="DV69" i="3"/>
  <c r="CP590" i="3"/>
  <c r="CP591" i="3"/>
  <c r="CY341" i="3"/>
  <c r="CY153" i="3"/>
  <c r="CY488" i="3"/>
  <c r="CY46" i="3"/>
  <c r="CY523" i="3"/>
  <c r="CY151" i="3"/>
  <c r="CY252" i="3"/>
  <c r="CY12" i="3"/>
  <c r="CY124" i="3"/>
  <c r="CY390" i="3"/>
  <c r="CY244" i="3"/>
  <c r="CY19" i="3"/>
  <c r="CY101" i="3"/>
  <c r="CY262" i="3"/>
  <c r="CY180" i="3"/>
  <c r="CY527" i="3"/>
  <c r="CY265" i="3"/>
  <c r="CY131" i="3"/>
  <c r="CY171" i="3"/>
  <c r="CY376" i="3"/>
  <c r="CY306" i="3"/>
  <c r="CY301" i="3"/>
  <c r="CY182" i="3"/>
  <c r="CY573" i="3"/>
  <c r="CY184" i="3"/>
  <c r="CY540" i="3"/>
  <c r="CY346" i="3"/>
  <c r="CY384" i="3"/>
  <c r="CY525" i="3"/>
  <c r="CY436" i="3"/>
  <c r="CY49" i="3"/>
  <c r="CY55" i="3"/>
  <c r="CY311" i="3"/>
  <c r="CY539" i="3"/>
  <c r="CY411" i="3"/>
  <c r="CY193" i="3"/>
  <c r="CY412" i="3"/>
  <c r="CY553" i="3"/>
  <c r="CY104" i="3"/>
  <c r="CY568" i="3"/>
  <c r="CY163" i="3"/>
  <c r="CY48" i="3"/>
  <c r="CY312" i="3"/>
  <c r="CY555" i="3"/>
  <c r="CY196" i="3"/>
  <c r="CY386" i="3"/>
  <c r="CY547" i="3"/>
  <c r="CY529" i="3"/>
  <c r="CY374" i="3"/>
  <c r="CY280" i="3"/>
  <c r="CY317" i="3"/>
  <c r="CY113" i="3"/>
  <c r="CY30" i="3"/>
  <c r="CY275" i="3"/>
  <c r="CY127" i="3"/>
  <c r="CY86" i="3"/>
  <c r="CY159" i="3"/>
  <c r="CY419" i="3"/>
  <c r="CY118" i="3"/>
  <c r="CY107" i="3"/>
  <c r="CY199" i="3"/>
  <c r="CY578" i="3"/>
  <c r="CY407" i="3"/>
  <c r="CY200" i="3"/>
  <c r="CY397" i="3"/>
  <c r="CY394" i="3"/>
  <c r="CY240" i="3"/>
  <c r="CY73" i="3"/>
  <c r="CY444" i="3"/>
  <c r="CY103" i="3"/>
  <c r="CY514" i="3"/>
  <c r="CY232" i="3"/>
  <c r="CY233" i="3"/>
  <c r="CY123" i="3"/>
  <c r="CY17" i="3"/>
  <c r="CY235" i="3"/>
  <c r="CY21" i="3"/>
  <c r="CY18" i="3"/>
  <c r="CY401" i="3"/>
  <c r="CY241" i="3"/>
  <c r="CY15" i="3"/>
  <c r="CY20" i="3"/>
  <c r="CY201" i="3"/>
  <c r="CY24" i="3"/>
  <c r="CY38" i="3"/>
  <c r="CY421" i="3"/>
  <c r="CY217" i="3"/>
  <c r="CY544" i="3"/>
  <c r="CY270" i="3"/>
  <c r="CY577" i="3"/>
  <c r="CY336" i="3"/>
  <c r="CY420" i="3"/>
  <c r="CY461" i="3"/>
  <c r="CY160" i="3"/>
  <c r="CY463" i="3"/>
  <c r="CY574" i="3"/>
  <c r="CY143" i="3"/>
  <c r="CY340" i="3"/>
  <c r="CY282" i="3"/>
  <c r="CY286" i="3"/>
  <c r="CY288" i="3"/>
  <c r="CY224" i="3"/>
  <c r="CY314" i="3"/>
  <c r="CY521" i="3"/>
  <c r="CY119" i="3"/>
  <c r="CY511" i="3"/>
  <c r="CY349" i="3"/>
  <c r="CY138" i="3"/>
  <c r="CY408" i="3"/>
  <c r="CY356" i="3"/>
  <c r="CY513" i="3"/>
  <c r="CY88" i="3"/>
  <c r="CY42" i="3"/>
  <c r="CY493" i="3"/>
  <c r="CY442" i="3"/>
  <c r="CY335" i="3"/>
  <c r="CY220" i="3"/>
  <c r="CY303" i="3"/>
  <c r="CY32" i="3"/>
  <c r="CY137" i="3"/>
  <c r="CY524" i="3"/>
  <c r="CY279" i="3"/>
  <c r="CY531" i="3"/>
  <c r="CY226" i="3"/>
  <c r="CY395" i="3"/>
  <c r="CY228" i="3"/>
  <c r="CY509" i="3"/>
  <c r="CY117" i="3"/>
  <c r="CY345" i="3"/>
  <c r="CY29" i="3"/>
  <c r="CY400" i="3"/>
  <c r="CY45" i="3"/>
  <c r="CY126" i="3"/>
  <c r="CY10" i="3"/>
  <c r="CY173" i="3"/>
  <c r="CY198" i="3"/>
  <c r="CY381" i="3"/>
  <c r="CY23" i="3"/>
  <c r="CY537" i="3"/>
  <c r="CY446" i="3"/>
  <c r="CY272" i="3"/>
  <c r="CY39" i="3"/>
  <c r="CY474" i="3"/>
  <c r="CY494" i="3"/>
  <c r="CY497" i="3"/>
  <c r="CY64" i="3"/>
  <c r="CY185" i="3"/>
  <c r="CY152" i="3"/>
  <c r="CY541" i="3"/>
  <c r="CY423" i="3"/>
  <c r="CY465" i="3"/>
  <c r="CY97" i="3"/>
  <c r="CY293" i="3"/>
  <c r="CY259" i="3"/>
  <c r="CY508" i="3"/>
  <c r="CY221" i="3"/>
  <c r="CY188" i="3"/>
  <c r="CY274" i="3"/>
  <c r="CY81" i="3"/>
  <c r="CY464" i="3"/>
  <c r="CY549" i="3"/>
  <c r="CY165" i="3"/>
  <c r="CY368" i="3"/>
  <c r="CY246" i="3"/>
  <c r="CY528" i="3"/>
  <c r="CY134" i="3"/>
  <c r="CY449" i="3"/>
  <c r="CY109" i="3"/>
  <c r="CY211" i="3"/>
  <c r="CY308" i="3"/>
  <c r="CY503" i="3"/>
  <c r="CY43" i="3"/>
  <c r="CY467" i="3"/>
  <c r="CY426" i="3"/>
  <c r="CY443" i="3"/>
  <c r="CY175" i="3"/>
  <c r="CY565" i="3"/>
  <c r="CY560" i="3"/>
  <c r="CY203" i="3"/>
  <c r="CY102" i="3"/>
  <c r="CY230" i="3"/>
  <c r="CY298" i="3"/>
  <c r="CY135" i="3"/>
  <c r="CY248" i="3"/>
  <c r="CY154" i="3"/>
  <c r="CY361" i="3"/>
  <c r="CY445" i="3"/>
  <c r="CY505" i="3"/>
  <c r="CY435" i="3"/>
  <c r="CY116" i="3"/>
  <c r="CY14" i="3"/>
  <c r="CY9" i="3"/>
  <c r="CY142" i="3"/>
  <c r="CY470" i="3"/>
  <c r="CY66" i="3"/>
  <c r="CY16" i="3"/>
  <c r="CY284" i="3"/>
  <c r="CY231" i="3"/>
  <c r="CY234" i="3"/>
  <c r="CY243" i="3"/>
  <c r="CY402" i="3"/>
  <c r="CY242" i="3"/>
  <c r="CY405" i="3"/>
  <c r="CY481" i="3"/>
  <c r="CY80" i="3"/>
  <c r="CY31" i="3"/>
  <c r="CY37" i="3"/>
  <c r="CY269" i="3"/>
  <c r="CY569" i="3"/>
  <c r="CY378" i="3"/>
  <c r="CY512" i="3"/>
  <c r="CY207" i="3"/>
  <c r="CY363" i="3"/>
  <c r="CY359" i="3"/>
  <c r="CY452" i="3"/>
  <c r="CY33" i="3"/>
  <c r="CY89" i="3"/>
  <c r="CY385" i="3"/>
  <c r="CY362" i="3"/>
  <c r="CY458" i="3"/>
  <c r="CY409" i="3"/>
  <c r="CY534" i="3"/>
  <c r="CY91" i="3"/>
  <c r="CY77" i="3"/>
  <c r="CY34" i="3"/>
  <c r="CY344" i="3"/>
  <c r="CY424" i="3"/>
  <c r="CY309" i="3"/>
  <c r="CY128" i="3"/>
  <c r="CY490" i="3"/>
  <c r="CY283" i="3"/>
  <c r="CY53" i="3"/>
  <c r="CY70" i="3"/>
  <c r="CY322" i="3"/>
  <c r="CY460" i="3"/>
  <c r="CY550" i="3"/>
  <c r="CY174" i="3"/>
  <c r="CY387" i="3"/>
  <c r="CY472" i="3"/>
  <c r="CY459" i="3"/>
  <c r="CY350" i="3"/>
  <c r="CY281" i="3"/>
  <c r="CY319" i="3"/>
  <c r="CY76" i="3"/>
  <c r="CY326" i="3"/>
  <c r="CY425" i="3"/>
  <c r="CY227" i="3"/>
  <c r="CY140" i="3"/>
  <c r="CY545" i="3"/>
  <c r="CY111" i="3"/>
  <c r="CY167" i="3"/>
  <c r="CY51" i="3"/>
  <c r="CY294" i="3"/>
  <c r="CY530" i="3"/>
  <c r="CY261" i="3"/>
  <c r="CY492" i="3"/>
  <c r="CY202" i="3"/>
  <c r="CY205" i="3"/>
  <c r="CY189" i="3"/>
  <c r="CY172" i="3"/>
  <c r="CY548" i="3"/>
  <c r="CY56" i="3"/>
  <c r="CY192" i="3"/>
  <c r="CY186" i="3"/>
  <c r="CY100" i="3"/>
  <c r="CY106" i="3"/>
  <c r="CY398" i="3"/>
  <c r="CY360" i="3"/>
  <c r="CY417" i="3"/>
  <c r="CY250" i="3"/>
  <c r="CY144" i="3"/>
  <c r="CY370" i="3"/>
  <c r="CY330" i="3"/>
  <c r="CY210" i="3"/>
  <c r="CY328" i="3"/>
  <c r="CY358" i="3"/>
  <c r="CY563" i="3"/>
  <c r="CY62" i="3"/>
  <c r="CY291" i="3"/>
  <c r="CY369" i="3"/>
  <c r="CY292" i="3"/>
  <c r="CY85" i="3"/>
  <c r="CY469" i="3"/>
  <c r="CY155" i="3"/>
  <c r="CY526" i="3"/>
  <c r="CY438" i="3"/>
  <c r="CY543" i="3"/>
  <c r="CY522" i="3"/>
  <c r="CY354" i="3"/>
  <c r="CY498" i="3"/>
  <c r="CY414" i="3"/>
  <c r="CY507" i="3"/>
  <c r="CY247" i="3"/>
  <c r="CY324" i="3"/>
  <c r="CY170" i="3"/>
  <c r="CY532" i="3"/>
  <c r="CY316" i="3"/>
  <c r="CY146" i="3"/>
  <c r="CY404" i="3"/>
  <c r="CY399" i="3"/>
  <c r="CY236" i="3"/>
  <c r="CY238" i="3"/>
  <c r="CY489" i="3"/>
  <c r="CY108" i="3"/>
  <c r="CY546" i="3"/>
  <c r="CY570" i="3"/>
  <c r="CY218" i="3"/>
  <c r="CY136" i="3"/>
  <c r="CY337" i="3"/>
  <c r="CY377" i="3"/>
  <c r="CY520" i="3"/>
  <c r="CY268" i="3"/>
  <c r="CY499" i="3"/>
  <c r="CY484" i="3"/>
  <c r="CY50" i="3"/>
  <c r="CY357" i="3"/>
  <c r="CY187" i="3"/>
  <c r="CY371" i="3"/>
  <c r="CY179" i="3"/>
  <c r="CY299" i="3"/>
  <c r="CY321" i="3"/>
  <c r="CY61" i="3"/>
  <c r="CY491" i="3"/>
  <c r="CY297" i="3"/>
  <c r="CY535" i="3"/>
  <c r="CY331" i="3"/>
  <c r="CY94" i="3"/>
  <c r="CY178" i="3"/>
  <c r="CY214" i="3"/>
  <c r="CY486" i="3"/>
  <c r="CY433" i="3"/>
  <c r="CY382" i="3"/>
  <c r="CY355" i="3"/>
  <c r="CY35" i="3"/>
  <c r="CY429" i="3"/>
  <c r="CY380" i="3"/>
  <c r="CY6" i="3"/>
  <c r="CY105" i="3"/>
  <c r="CY428" i="3"/>
  <c r="CY267" i="3"/>
  <c r="CY11" i="3"/>
  <c r="CY406" i="3"/>
  <c r="CY122" i="3"/>
  <c r="CY13" i="3"/>
  <c r="CY403" i="3"/>
  <c r="CY237" i="3"/>
  <c r="CY57" i="3"/>
  <c r="CY52" i="3"/>
  <c r="CY333" i="3"/>
  <c r="CY168" i="3"/>
  <c r="CY99" i="3"/>
  <c r="CY95" i="3"/>
  <c r="CY327" i="3"/>
  <c r="CY480" i="3"/>
  <c r="CY258" i="3"/>
  <c r="CY132" i="3"/>
  <c r="CY290" i="3"/>
  <c r="CY78" i="3"/>
  <c r="CY556" i="3"/>
  <c r="CY249" i="3"/>
  <c r="CY581" i="3"/>
  <c r="CY75" i="3"/>
  <c r="CY441" i="3"/>
  <c r="CY576" i="3"/>
  <c r="CY156" i="3"/>
  <c r="CY83" i="3"/>
  <c r="CY447" i="3"/>
  <c r="CY181" i="3"/>
  <c r="CY164" i="3"/>
  <c r="CY277" i="3"/>
  <c r="CY65" i="3"/>
  <c r="CY72" i="3"/>
  <c r="CY204" i="3"/>
  <c r="CY334" i="3"/>
  <c r="CY580" i="3"/>
  <c r="CY253" i="3"/>
  <c r="CY278" i="3"/>
  <c r="CY495" i="3"/>
  <c r="CY388" i="3"/>
  <c r="CY215" i="3"/>
  <c r="CY515" i="3"/>
  <c r="CY26" i="3"/>
  <c r="CY266" i="3"/>
  <c r="CY158" i="3"/>
  <c r="CY166" i="3"/>
  <c r="CY427" i="3"/>
  <c r="CY502" i="3"/>
  <c r="CY295" i="3"/>
  <c r="CY391" i="3"/>
  <c r="CY219" i="3"/>
  <c r="CY466" i="3"/>
  <c r="CY169" i="3"/>
  <c r="CY161" i="3"/>
  <c r="CY313" i="3"/>
  <c r="CY310" i="3"/>
  <c r="CY133" i="3"/>
  <c r="CY422" i="3"/>
  <c r="CY255" i="3"/>
  <c r="CY67" i="3"/>
  <c r="CY315" i="3"/>
  <c r="CY82" i="3"/>
  <c r="CY575" i="3"/>
  <c r="CY496" i="3"/>
  <c r="CY418" i="3"/>
  <c r="CY571" i="3"/>
  <c r="CY476" i="3"/>
  <c r="CY287" i="3"/>
  <c r="CY5" i="3"/>
  <c r="CY7" i="3"/>
  <c r="AL1" i="3"/>
  <c r="AP3" i="3"/>
  <c r="AQ3" i="3" s="1"/>
  <c r="CQ3" i="3" s="1"/>
  <c r="AO3" i="3"/>
  <c r="CY121" i="3"/>
  <c r="CY87" i="3"/>
  <c r="CY162" i="3"/>
  <c r="CY120" i="3"/>
  <c r="CY125" i="3"/>
  <c r="CY183" i="3"/>
  <c r="CY71" i="3"/>
  <c r="CY157" i="3"/>
  <c r="CY487" i="3"/>
  <c r="CY47" i="3"/>
  <c r="CY572" i="3"/>
  <c r="CY339" i="3"/>
  <c r="CY197" i="3"/>
  <c r="CY44" i="3"/>
  <c r="CY342" i="3"/>
  <c r="CY440" i="3"/>
  <c r="CY110" i="3"/>
  <c r="CY40" i="3"/>
  <c r="CY289" i="3"/>
  <c r="CY431" i="3"/>
  <c r="CY129" i="3"/>
  <c r="CY383" i="3"/>
  <c r="CY482" i="3"/>
  <c r="CY485" i="3"/>
  <c r="CY365" i="3"/>
  <c r="CY92" i="3"/>
  <c r="CY410" i="3"/>
  <c r="CY332" i="3"/>
  <c r="CY432" i="3"/>
  <c r="CY517" i="3"/>
  <c r="CY413" i="3"/>
  <c r="CY245" i="3"/>
  <c r="CY300" i="3"/>
  <c r="CY396" i="3"/>
  <c r="CY456" i="3"/>
  <c r="CY457" i="3"/>
  <c r="CY54" i="3"/>
  <c r="CY263" i="3"/>
  <c r="CY27" i="3"/>
  <c r="CY516" i="3"/>
  <c r="CY372" i="3"/>
  <c r="CY264" i="3"/>
  <c r="CY191" i="3"/>
  <c r="CY451" i="3"/>
  <c r="CY318" i="3"/>
  <c r="CY115" i="3"/>
  <c r="CY213" i="3"/>
  <c r="CY225" i="3"/>
  <c r="CY149" i="3"/>
  <c r="CY554" i="3"/>
  <c r="CY462" i="3"/>
  <c r="CY392" i="3"/>
  <c r="CY500" i="3"/>
  <c r="CY439" i="3"/>
  <c r="AP223" i="3" l="1"/>
  <c r="AQ223" i="3" s="1"/>
  <c r="CQ223" i="3" s="1"/>
  <c r="AO223" i="3"/>
  <c r="CY223" i="3" s="1"/>
  <c r="CY3" i="3"/>
  <c r="AO1" i="3"/>
  <c r="AQ1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Астахов Максим Александрович</author>
  </authors>
  <commentList>
    <comment ref="AL2" authorId="0" shapeId="0" xr:uid="{17394D49-8498-4CB7-B783-63E6AD62E528}">
      <text>
        <r>
          <rPr>
            <b/>
            <sz val="9"/>
            <color indexed="81"/>
            <rFont val="Tahoma"/>
            <family val="2"/>
            <charset val="204"/>
          </rPr>
          <t>Астахов Максим Александрович:</t>
        </r>
        <r>
          <rPr>
            <sz val="9"/>
            <color indexed="81"/>
            <rFont val="Tahoma"/>
            <family val="2"/>
            <charset val="204"/>
          </rPr>
          <t xml:space="preserve">
Лоджии k *0,5
Терасса k *0,7</t>
        </r>
      </text>
    </comment>
    <comment ref="BU463" authorId="0" shapeId="0" xr:uid="{1E68DE98-973F-4351-9F90-FCF258E7774C}">
      <text>
        <r>
          <rPr>
            <sz val="9"/>
            <color indexed="81"/>
            <rFont val="Tahoma"/>
            <family val="2"/>
            <charset val="204"/>
          </rPr>
          <t xml:space="preserve">Индивидуальная наценка
</t>
        </r>
      </text>
    </comment>
    <comment ref="CM489" authorId="0" shapeId="0" xr:uid="{B774E5F2-3ED7-47DD-A9E9-4A5543B2AFF4}">
      <text>
        <r>
          <rPr>
            <sz val="9"/>
            <color indexed="81"/>
            <rFont val="Tahoma"/>
            <family val="2"/>
            <charset val="204"/>
          </rPr>
          <t xml:space="preserve">Вывод после расторжения с целью использовать в рекламе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ModelConnection_Реестр4_1" description="Модель данных" type="5" refreshedVersion="7" minRefreshableVersion="5" saveData="1">
    <dbPr connection="Data Model Connection" command="Реестр4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C957A869-7D01-4E26-8AC9-F955931CE138}" keepAlive="1" name="Запрос — Юрист" description="Соединение с запросом &quot;Юрист&quot; в книге." type="5" refreshedVersion="8" background="1" saveData="1">
    <dbPr connection="Provider=Microsoft.Mashup.OleDb.1;Data Source=$Workbook$;Location=Юрист;Extended Properties=&quot;&quot;" command="SELECT * FROM [Юрист]"/>
  </connection>
</connections>
</file>

<file path=xl/sharedStrings.xml><?xml version="1.0" encoding="utf-8"?>
<sst xmlns="http://schemas.openxmlformats.org/spreadsheetml/2006/main" count="13444" uniqueCount="3466">
  <si>
    <t>Статус</t>
  </si>
  <si>
    <t>Статусы CRM</t>
  </si>
  <si>
    <t>Г</t>
  </si>
  <si>
    <t>В</t>
  </si>
  <si>
    <t>Б</t>
  </si>
  <si>
    <t>А</t>
  </si>
  <si>
    <t>№</t>
  </si>
  <si>
    <t>Примечание</t>
  </si>
  <si>
    <t>Отделка</t>
  </si>
  <si>
    <t>Стоимость отделки</t>
  </si>
  <si>
    <t>Стоимость квартиры с отделкой</t>
  </si>
  <si>
    <t>Всего</t>
  </si>
  <si>
    <t>Черновая</t>
  </si>
  <si>
    <t>Предчистовая</t>
  </si>
  <si>
    <t>Чистовая</t>
  </si>
  <si>
    <t>Стр. Резерв</t>
  </si>
  <si>
    <t>Этаж</t>
  </si>
  <si>
    <t>Секция</t>
  </si>
  <si>
    <t>Тип кв</t>
  </si>
  <si>
    <t>Все</t>
  </si>
  <si>
    <t>Кол-во кв</t>
  </si>
  <si>
    <t>Сумма площадей</t>
  </si>
  <si>
    <t>Общая стоимость ОН</t>
  </si>
  <si>
    <t>Средняя стоимость ОН</t>
  </si>
  <si>
    <t>проверка статуса</t>
  </si>
  <si>
    <t>Летние</t>
  </si>
  <si>
    <t>Скидка %</t>
  </si>
  <si>
    <t>ОН ХИТ</t>
  </si>
  <si>
    <t>Сумма отделки</t>
  </si>
  <si>
    <t>еврокухня</t>
  </si>
  <si>
    <t>ванна от 4 кв.м</t>
  </si>
  <si>
    <t>Ванная от 4 кв.м</t>
  </si>
  <si>
    <t>низкий этаж</t>
  </si>
  <si>
    <t>вид на 2 стороны</t>
  </si>
  <si>
    <t>Не угловая</t>
  </si>
  <si>
    <t>все типы кв</t>
  </si>
  <si>
    <t>Номер на этаже</t>
  </si>
  <si>
    <t>Цена м2 базовая</t>
  </si>
  <si>
    <t>утв цена м2</t>
  </si>
  <si>
    <t>Стоимость ОН без отделки</t>
  </si>
  <si>
    <t>Гардеробная</t>
  </si>
  <si>
    <t>Кухня с лоджией</t>
  </si>
  <si>
    <t>Вид на 2 стороны</t>
  </si>
  <si>
    <t>Стоимость ОН без отделки со скидкой</t>
  </si>
  <si>
    <t>Цена м2 без отделки со скидкой</t>
  </si>
  <si>
    <t>2 лоджии</t>
  </si>
  <si>
    <t>Низкие этажи</t>
  </si>
  <si>
    <t>Не угловая квартира</t>
  </si>
  <si>
    <t>Высокий потолок</t>
  </si>
  <si>
    <t>Панорамное остекление</t>
  </si>
  <si>
    <t>Панорама</t>
  </si>
  <si>
    <t>Цена м2 с базовым K</t>
  </si>
  <si>
    <t>Базовой K</t>
  </si>
  <si>
    <t>Цена м2 с учетом всех K</t>
  </si>
  <si>
    <t xml:space="preserve"> Кухня больше 14 кв.м</t>
  </si>
  <si>
    <t>кухни от 10 до 14</t>
  </si>
  <si>
    <t>Мин ст ОН</t>
  </si>
  <si>
    <t>Макс ст ОН</t>
  </si>
  <si>
    <t>2К</t>
  </si>
  <si>
    <t>1К</t>
  </si>
  <si>
    <t>Кухня</t>
  </si>
  <si>
    <t>Ванная</t>
  </si>
  <si>
    <t>С\У</t>
  </si>
  <si>
    <t>Лоджия 1</t>
  </si>
  <si>
    <t>Лоджия 2</t>
  </si>
  <si>
    <t>Коридор</t>
  </si>
  <si>
    <t>Комната 1</t>
  </si>
  <si>
    <t>Комната 2</t>
  </si>
  <si>
    <t>Комната 3</t>
  </si>
  <si>
    <t>Лоджия 3</t>
  </si>
  <si>
    <t>По типу</t>
  </si>
  <si>
    <t>Вид на улицу\двор</t>
  </si>
  <si>
    <t>ШТ</t>
  </si>
  <si>
    <t>Вид из окна</t>
  </si>
  <si>
    <t>0,1,2</t>
  </si>
  <si>
    <t>по типу КВ</t>
  </si>
  <si>
    <t>НЕТ</t>
  </si>
  <si>
    <t>Название</t>
  </si>
  <si>
    <t>По типу КВ</t>
  </si>
  <si>
    <t>Общий</t>
  </si>
  <si>
    <t>Тип</t>
  </si>
  <si>
    <t>3 лоджии</t>
  </si>
  <si>
    <t>Вид на 3 стороны</t>
  </si>
  <si>
    <t>Евро формат кухни(от 14 кв м)</t>
  </si>
  <si>
    <t>вид на 3 стороны</t>
  </si>
  <si>
    <t>мin цена м2</t>
  </si>
  <si>
    <t>мах цена м2</t>
  </si>
  <si>
    <t>Средняя цена м2</t>
  </si>
  <si>
    <t>Секции</t>
  </si>
  <si>
    <t>3К</t>
  </si>
  <si>
    <t>Кухни от 10 до 14 кв м</t>
  </si>
  <si>
    <t>Для 0,1 на улицу, для 2 во двор</t>
  </si>
  <si>
    <t>Расчетная проектная площадь</t>
  </si>
  <si>
    <t>Скидка фиксированная</t>
  </si>
  <si>
    <t>Итоговая сумма скидки</t>
  </si>
  <si>
    <t>Стоимость до скидки</t>
  </si>
  <si>
    <t>м2 после К</t>
  </si>
  <si>
    <t>№ на этаже</t>
  </si>
  <si>
    <t>Дом 5</t>
  </si>
  <si>
    <t>1-4 этаж</t>
  </si>
  <si>
    <t>Доля</t>
  </si>
  <si>
    <t>Близость к лифту</t>
  </si>
  <si>
    <t>Лифт</t>
  </si>
  <si>
    <t>НедоПанорамное остекление</t>
  </si>
  <si>
    <t>Базовые коэфициенты</t>
  </si>
  <si>
    <t>Отрицательные коэфициенты</t>
  </si>
  <si>
    <t>большая площадь</t>
  </si>
  <si>
    <t>1этаж</t>
  </si>
  <si>
    <t>Распашные двери</t>
  </si>
  <si>
    <t>панорама с бордюром 340мм</t>
  </si>
  <si>
    <t>1 этаж</t>
  </si>
  <si>
    <t>Общий итог</t>
  </si>
  <si>
    <t>Расчетная площадь</t>
  </si>
  <si>
    <t>Высота потолка 3,3  + Увеличенное остекление</t>
  </si>
  <si>
    <t>А4</t>
  </si>
  <si>
    <t>А6</t>
  </si>
  <si>
    <t>В4</t>
  </si>
  <si>
    <t>Г2</t>
  </si>
  <si>
    <t>Г5</t>
  </si>
  <si>
    <t>1ЭТАЖ\ЛИФТ</t>
  </si>
  <si>
    <t>2 ЭТ МГН</t>
  </si>
  <si>
    <t>1 ЭТ СВОБОДНАЯ ПЛ</t>
  </si>
  <si>
    <t>1к</t>
  </si>
  <si>
    <t>КЛАССИКА</t>
  </si>
  <si>
    <t>примечание</t>
  </si>
  <si>
    <t>S</t>
  </si>
  <si>
    <t>А2</t>
  </si>
  <si>
    <t>В1</t>
  </si>
  <si>
    <t>Б5</t>
  </si>
  <si>
    <t>Вид на 2 ст</t>
  </si>
  <si>
    <t>Вид на 2 ст\коридор</t>
  </si>
  <si>
    <t>Б6</t>
  </si>
  <si>
    <t>Аналог В6 но большая спальня</t>
  </si>
  <si>
    <t>Г7</t>
  </si>
  <si>
    <t>Г6/7</t>
  </si>
  <si>
    <t xml:space="preserve">Вид на 3 стороны </t>
  </si>
  <si>
    <t>Стоимость</t>
  </si>
  <si>
    <t>Наценка</t>
  </si>
  <si>
    <t>2 С\У</t>
  </si>
  <si>
    <t>Тест</t>
  </si>
  <si>
    <t>2 С/У</t>
  </si>
  <si>
    <t>гардероб</t>
  </si>
  <si>
    <t>Раздельный СУ</t>
  </si>
  <si>
    <t>раздельный су</t>
  </si>
  <si>
    <t>2,3К</t>
  </si>
  <si>
    <t>В5</t>
  </si>
  <si>
    <t>А5</t>
  </si>
  <si>
    <t>б1</t>
  </si>
  <si>
    <t>б3</t>
  </si>
  <si>
    <t>В3</t>
  </si>
  <si>
    <t>Г4</t>
  </si>
  <si>
    <t>Площадь по проекту(общая)</t>
  </si>
  <si>
    <t>Площадь по проекту жилая</t>
  </si>
  <si>
    <t>Площадь по проекту отапл (без летних)</t>
  </si>
  <si>
    <t>Хит</t>
  </si>
  <si>
    <t>ХИТ</t>
  </si>
  <si>
    <t>МГН</t>
  </si>
  <si>
    <t>Свободно</t>
  </si>
  <si>
    <t>Антихит</t>
  </si>
  <si>
    <t>Зачетная квартира</t>
  </si>
  <si>
    <t>ТЕРМЫ: для розыгрыша</t>
  </si>
  <si>
    <t>Ус. Бронь</t>
  </si>
  <si>
    <t>Ветеран боевых действий</t>
  </si>
  <si>
    <t>Подарочный сертификат</t>
  </si>
  <si>
    <t>Гордость России</t>
  </si>
  <si>
    <t>Повышение 16.08.23 - 5%</t>
  </si>
  <si>
    <t>Фикс 16.08.23</t>
  </si>
  <si>
    <t>Многодетная семья</t>
  </si>
  <si>
    <t>Фикс 29.08.23</t>
  </si>
  <si>
    <t>Повышение 29.08.23 - 3%</t>
  </si>
  <si>
    <t>Скидка инвестору</t>
  </si>
  <si>
    <t>Молодая семья</t>
  </si>
  <si>
    <t>Продажа</t>
  </si>
  <si>
    <t>Цена м2 с отделкой</t>
  </si>
  <si>
    <t>КОД ОН</t>
  </si>
  <si>
    <t>АГ-005-А-01-01-001</t>
  </si>
  <si>
    <t>АГ-005-А-01-02-002</t>
  </si>
  <si>
    <t>АГ-005-А-01-03-003</t>
  </si>
  <si>
    <t>АГ-005-А-01-04-004</t>
  </si>
  <si>
    <t>АГ-005-А-01-05-005</t>
  </si>
  <si>
    <t>АГ-005-А-01-06-006</t>
  </si>
  <si>
    <t>АГ-005-А-02-01-007</t>
  </si>
  <si>
    <t>АГ-005-А-02-02-008</t>
  </si>
  <si>
    <t>АГ-005-А-02-03-009</t>
  </si>
  <si>
    <t>АГ-005-А-02-04-010</t>
  </si>
  <si>
    <t>АГ-005-А-02-05-011</t>
  </si>
  <si>
    <t>АГ-005-А-02-06-012</t>
  </si>
  <si>
    <t>АГ-005-А-02-07-013</t>
  </si>
  <si>
    <t>АГ-005-А-03-01-014</t>
  </si>
  <si>
    <t>АГ-005-А-03-02-015</t>
  </si>
  <si>
    <t>АГ-005-А-03-03-016</t>
  </si>
  <si>
    <t>АГ-005-А-03-04-017</t>
  </si>
  <si>
    <t>АГ-005-А-03-05-018</t>
  </si>
  <si>
    <t>АГ-005-А-03-06-019</t>
  </si>
  <si>
    <t>АГ-005-А-03-07-020</t>
  </si>
  <si>
    <t>АГ-005-А-04-01-021</t>
  </si>
  <si>
    <t>АГ-005-А-04-02-022</t>
  </si>
  <si>
    <t>АГ-005-А-04-03-023</t>
  </si>
  <si>
    <t>АГ-005-А-04-04-024</t>
  </si>
  <si>
    <t>АГ-005-А-04-05-025</t>
  </si>
  <si>
    <t>АГ-005-А-04-06-026</t>
  </si>
  <si>
    <t>АГ-005-А-04-07-027</t>
  </si>
  <si>
    <t>АГ-005-А-05-01-028</t>
  </si>
  <si>
    <t>АГ-005-А-05-02-029</t>
  </si>
  <si>
    <t>АГ-005-А-05-03-030</t>
  </si>
  <si>
    <t>АГ-005-А-05-04-031</t>
  </si>
  <si>
    <t>АГ-005-А-05-05-032</t>
  </si>
  <si>
    <t>АГ-005-А-05-06-033</t>
  </si>
  <si>
    <t>АГ-005-А-05-07-034</t>
  </si>
  <si>
    <t>АГ-005-А-06-01-035</t>
  </si>
  <si>
    <t>АГ-005-А-06-02-036</t>
  </si>
  <si>
    <t>АГ-005-А-06-03-037</t>
  </si>
  <si>
    <t>АГ-005-А-06-04-038</t>
  </si>
  <si>
    <t>АГ-005-А-06-05-039</t>
  </si>
  <si>
    <t>АГ-005-А-06-06-040</t>
  </si>
  <si>
    <t>АГ-005-А-06-07-041</t>
  </si>
  <si>
    <t>АГ-005-А-07-01-042</t>
  </si>
  <si>
    <t>АГ-005-А-07-02-043</t>
  </si>
  <si>
    <t>АГ-005-А-07-03-044</t>
  </si>
  <si>
    <t>АГ-005-А-07-04-045</t>
  </si>
  <si>
    <t>АГ-005-А-07-05-046</t>
  </si>
  <si>
    <t>АГ-005-А-07-06-047</t>
  </si>
  <si>
    <t>АГ-005-А-07-07-048</t>
  </si>
  <si>
    <t>АГ-005-А-08-01-049</t>
  </si>
  <si>
    <t>АГ-005-А-08-02-050</t>
  </si>
  <si>
    <t>АГ-005-А-08-03-051</t>
  </si>
  <si>
    <t>АГ-005-А-08-04-052</t>
  </si>
  <si>
    <t>АГ-005-А-08-05-053</t>
  </si>
  <si>
    <t>АГ-005-А-08-06-054</t>
  </si>
  <si>
    <t>АГ-005-А-08-07-055</t>
  </si>
  <si>
    <t>АГ-005-А-09-01-056</t>
  </si>
  <si>
    <t>АГ-005-А-09-02-057</t>
  </si>
  <si>
    <t>АГ-005-А-09-03-058</t>
  </si>
  <si>
    <t>АГ-005-А-09-04-059</t>
  </si>
  <si>
    <t>АГ-005-А-09-05-060</t>
  </si>
  <si>
    <t>АГ-005-А-09-06-061</t>
  </si>
  <si>
    <t>АГ-005-А-09-07-062</t>
  </si>
  <si>
    <t>АГ-005-А-10-01-063</t>
  </si>
  <si>
    <t>АГ-005-А-10-02-064</t>
  </si>
  <si>
    <t>АГ-005-А-10-03-065</t>
  </si>
  <si>
    <t>АГ-005-А-10-04-066</t>
  </si>
  <si>
    <t>АГ-005-А-10-05-067</t>
  </si>
  <si>
    <t>АГ-005-А-10-06-068</t>
  </si>
  <si>
    <t>АГ-005-А-10-07-069</t>
  </si>
  <si>
    <t>АГ-005-А-11-01-070</t>
  </si>
  <si>
    <t>АГ-005-А-11-02-071</t>
  </si>
  <si>
    <t>АГ-005-А-11-03-072</t>
  </si>
  <si>
    <t>АГ-005-А-11-04-073</t>
  </si>
  <si>
    <t>АГ-005-А-11-05-074</t>
  </si>
  <si>
    <t>АГ-005-А-11-06-075</t>
  </si>
  <si>
    <t>АГ-005-А-11-07-076</t>
  </si>
  <si>
    <t>АГ-005-А-12-01-077</t>
  </si>
  <si>
    <t>АГ-005-А-12-02-078</t>
  </si>
  <si>
    <t>АГ-005-А-12-03-079</t>
  </si>
  <si>
    <t>АГ-005-А-12-04-080</t>
  </si>
  <si>
    <t>АГ-005-А-12-05-081</t>
  </si>
  <si>
    <t>АГ-005-А-12-06-082</t>
  </si>
  <si>
    <t>АГ-005-А-12-07-083</t>
  </si>
  <si>
    <t>АГ-005-А-13-01-084</t>
  </si>
  <si>
    <t>АГ-005-А-13-02-085</t>
  </si>
  <si>
    <t>АГ-005-А-13-03-086</t>
  </si>
  <si>
    <t>АГ-005-А-13-04-087</t>
  </si>
  <si>
    <t>АГ-005-А-13-05-088</t>
  </si>
  <si>
    <t>АГ-005-А-13-06-089</t>
  </si>
  <si>
    <t>АГ-005-А-13-07-090</t>
  </si>
  <si>
    <t>АГ-005-А-14-01-091</t>
  </si>
  <si>
    <t>АГ-005-А-14-02-092</t>
  </si>
  <si>
    <t>АГ-005-А-14-03-093</t>
  </si>
  <si>
    <t>АГ-005-А-14-04-094</t>
  </si>
  <si>
    <t>АГ-005-А-14-05-095</t>
  </si>
  <si>
    <t>АГ-005-А-14-06-096</t>
  </si>
  <si>
    <t>АГ-005-А-14-07-097</t>
  </si>
  <si>
    <t>АГ-005-А-15-01-098</t>
  </si>
  <si>
    <t>АГ-005-А-15-02-099</t>
  </si>
  <si>
    <t>АГ-005-А-15-03-100</t>
  </si>
  <si>
    <t>АГ-005-А-15-04-101</t>
  </si>
  <si>
    <t>АГ-005-А-15-05-102</t>
  </si>
  <si>
    <t>АГ-005-А-15-06-103</t>
  </si>
  <si>
    <t>АГ-005-А-15-07-104</t>
  </si>
  <si>
    <t>АГ-005-А-16-01-105</t>
  </si>
  <si>
    <t>АГ-005-А-16-02-106</t>
  </si>
  <si>
    <t>АГ-005-А-16-03-107</t>
  </si>
  <si>
    <t>АГ-005-А-16-04-108</t>
  </si>
  <si>
    <t>АГ-005-А-16-05-109</t>
  </si>
  <si>
    <t>АГ-005-А-16-06-110</t>
  </si>
  <si>
    <t>АГ-005-А-16-07-111</t>
  </si>
  <si>
    <t>АГ-005-Б-01-01-112</t>
  </si>
  <si>
    <t>АГ-005-Б-01-02-113</t>
  </si>
  <si>
    <t>АГ-005-Б-01-03-114</t>
  </si>
  <si>
    <t>АГ-005-Б-01-04-115</t>
  </si>
  <si>
    <t>АГ-005-Б-01-05-116</t>
  </si>
  <si>
    <t>АГ-005-Б-01-06-117</t>
  </si>
  <si>
    <t>АГ-005-Б-02-01-118</t>
  </si>
  <si>
    <t>АГ-005-Б-02-02-119</t>
  </si>
  <si>
    <t>АГ-005-Б-02-03-120</t>
  </si>
  <si>
    <t>АГ-005-Б-02-04-121</t>
  </si>
  <si>
    <t>АГ-005-Б-02-05-122</t>
  </si>
  <si>
    <t>АГ-005-Б-02-06-123</t>
  </si>
  <si>
    <t>АГ-005-Б-02-07-124</t>
  </si>
  <si>
    <t>АГ-005-Б-03-01-125</t>
  </si>
  <si>
    <t>АГ-005-Б-03-02-126</t>
  </si>
  <si>
    <t>АГ-005-Б-03-03-127</t>
  </si>
  <si>
    <t>АГ-005-Б-03-04-128</t>
  </si>
  <si>
    <t>АГ-005-Б-03-05-129</t>
  </si>
  <si>
    <t>АГ-005-Б-03-06-130</t>
  </si>
  <si>
    <t>АГ-005-Б-03-07-131</t>
  </si>
  <si>
    <t>АГ-005-Б-04-01-132</t>
  </si>
  <si>
    <t>АГ-005-Б-04-02-133</t>
  </si>
  <si>
    <t>АГ-005-Б-04-03-134</t>
  </si>
  <si>
    <t>АГ-005-Б-04-04-135</t>
  </si>
  <si>
    <t>АГ-005-Б-04-05-136</t>
  </si>
  <si>
    <t>АГ-005-Б-04-06-137</t>
  </si>
  <si>
    <t>АГ-005-Б-04-07-138</t>
  </si>
  <si>
    <t>АГ-005-Б-05-01-139</t>
  </si>
  <si>
    <t>АГ-005-Б-05-02-140</t>
  </si>
  <si>
    <t>АГ-005-Б-05-03-141</t>
  </si>
  <si>
    <t>АГ-005-Б-05-04-142</t>
  </si>
  <si>
    <t>АГ-005-Б-05-05-143</t>
  </si>
  <si>
    <t>АГ-005-Б-05-06-144</t>
  </si>
  <si>
    <t>АГ-005-Б-05-07-145</t>
  </si>
  <si>
    <t>АГ-005-Б-06-01-146</t>
  </si>
  <si>
    <t>АГ-005-Б-06-02-147</t>
  </si>
  <si>
    <t>АГ-005-Б-06-03-148</t>
  </si>
  <si>
    <t>АГ-005-Б-06-04-149</t>
  </si>
  <si>
    <t>АГ-005-Б-06-05-150</t>
  </si>
  <si>
    <t>АГ-005-Б-06-06-151</t>
  </si>
  <si>
    <t>АГ-005-Б-06-07-152</t>
  </si>
  <si>
    <t>АГ-005-Б-07-01-153</t>
  </si>
  <si>
    <t>АГ-005-Б-07-02-154</t>
  </si>
  <si>
    <t>АГ-005-Б-07-03-155</t>
  </si>
  <si>
    <t>АГ-005-Б-07-04-156</t>
  </si>
  <si>
    <t>АГ-005-Б-07-05-157</t>
  </si>
  <si>
    <t>АГ-005-Б-07-06-158</t>
  </si>
  <si>
    <t>АГ-005-Б-07-07-159</t>
  </si>
  <si>
    <t>АГ-005-Б-08-01-160</t>
  </si>
  <si>
    <t>АГ-005-Б-08-02-161</t>
  </si>
  <si>
    <t>АГ-005-Б-08-03-162</t>
  </si>
  <si>
    <t>АГ-005-Б-08-04-163</t>
  </si>
  <si>
    <t>АГ-005-Б-08-05-164</t>
  </si>
  <si>
    <t>АГ-005-Б-08-06-165</t>
  </si>
  <si>
    <t>АГ-005-Б-08-07-166</t>
  </si>
  <si>
    <t>АГ-005-Б-09-01-167</t>
  </si>
  <si>
    <t>АГ-005-Б-09-02-168</t>
  </si>
  <si>
    <t>АГ-005-Б-09-03-169</t>
  </si>
  <si>
    <t>АГ-005-Б-09-04-170</t>
  </si>
  <si>
    <t>АГ-005-Б-09-05-171</t>
  </si>
  <si>
    <t>АГ-005-Б-09-06-172</t>
  </si>
  <si>
    <t>АГ-005-Б-09-07-173</t>
  </si>
  <si>
    <t>АГ-005-Б-10-01-174</t>
  </si>
  <si>
    <t>АГ-005-Б-10-02-175</t>
  </si>
  <si>
    <t>АГ-005-Б-10-03-176</t>
  </si>
  <si>
    <t>АГ-005-Б-10-04-177</t>
  </si>
  <si>
    <t>АГ-005-Б-10-05-178</t>
  </si>
  <si>
    <t>АГ-005-Б-10-06-179</t>
  </si>
  <si>
    <t>АГ-005-Б-10-07-180</t>
  </si>
  <si>
    <t>АГ-005-Б-11-01-181</t>
  </si>
  <si>
    <t>АГ-005-Б-11-02-182</t>
  </si>
  <si>
    <t>АГ-005-Б-11-03-183</t>
  </si>
  <si>
    <t>АГ-005-Б-11-04-184</t>
  </si>
  <si>
    <t>АГ-005-Б-11-05-185</t>
  </si>
  <si>
    <t>АГ-005-Б-11-06-186</t>
  </si>
  <si>
    <t>АГ-005-Б-11-07-187</t>
  </si>
  <si>
    <t>АГ-005-Б-12-01-188</t>
  </si>
  <si>
    <t>АГ-005-Б-12-02-189</t>
  </si>
  <si>
    <t>АГ-005-Б-12-03-190</t>
  </si>
  <si>
    <t>АГ-005-Б-12-04-191</t>
  </si>
  <si>
    <t>АГ-005-Б-12-05-192</t>
  </si>
  <si>
    <t>АГ-005-Б-12-06-193</t>
  </si>
  <si>
    <t>АГ-005-Б-12-07-194</t>
  </si>
  <si>
    <t>АГ-005-Б-13-01-195</t>
  </si>
  <si>
    <t>АГ-005-Б-13-02-196</t>
  </si>
  <si>
    <t>АГ-005-Б-13-03-197</t>
  </si>
  <si>
    <t>АГ-005-Б-13-04-198</t>
  </si>
  <si>
    <t>АГ-005-Б-13-05-199</t>
  </si>
  <si>
    <t>АГ-005-Б-13-06-200</t>
  </si>
  <si>
    <t>АГ-005-Б-13-07-201</t>
  </si>
  <si>
    <t>АГ-005-Б-14-01-202</t>
  </si>
  <si>
    <t>АГ-005-Б-14-02-203</t>
  </si>
  <si>
    <t>АГ-005-Б-14-03-204</t>
  </si>
  <si>
    <t>АГ-005-Б-14-04-205</t>
  </si>
  <si>
    <t>АГ-005-Б-14-05-206</t>
  </si>
  <si>
    <t>АГ-005-Б-14-06-207</t>
  </si>
  <si>
    <t>АГ-005-Б-14-07-208</t>
  </si>
  <si>
    <t>АГ-005-Б-15-01-209</t>
  </si>
  <si>
    <t>АГ-005-Б-15-02-210</t>
  </si>
  <si>
    <t>АГ-005-Б-15-03-211</t>
  </si>
  <si>
    <t>АГ-005-Б-15-04-212</t>
  </si>
  <si>
    <t>АГ-005-Б-15-05-213</t>
  </si>
  <si>
    <t>АГ-005-Б-15-06-214</t>
  </si>
  <si>
    <t>АГ-005-Б-15-07-215</t>
  </si>
  <si>
    <t>АГ-005-Б-16-01-216</t>
  </si>
  <si>
    <t>АГ-005-Б-16-02-217</t>
  </si>
  <si>
    <t>АГ-005-Б-16-03-218</t>
  </si>
  <si>
    <t>АГ-005-Б-16-04-219</t>
  </si>
  <si>
    <t>АГ-005-Б-16-05-220</t>
  </si>
  <si>
    <t>АГ-005-Б-16-06-221</t>
  </si>
  <si>
    <t>АГ-005-Б-16-07-222</t>
  </si>
  <si>
    <t>АГ-005-В-01-01-223</t>
  </si>
  <si>
    <t>АГ-005-В-01-02-224</t>
  </si>
  <si>
    <t>АГ-005-В-01-03-225</t>
  </si>
  <si>
    <t>АГ-005-В-01-04-226</t>
  </si>
  <si>
    <t>АГ-005-В-01-05-227</t>
  </si>
  <si>
    <t>АГ-005-В-01-06-228</t>
  </si>
  <si>
    <t>АГ-005-В-02-01-229</t>
  </si>
  <si>
    <t>АГ-005-В-02-02-230</t>
  </si>
  <si>
    <t>АГ-005-В-02-03-231</t>
  </si>
  <si>
    <t>АГ-005-В-02-04-232</t>
  </si>
  <si>
    <t>АГ-005-В-02-05-233</t>
  </si>
  <si>
    <t>АГ-005-В-02-06-234</t>
  </si>
  <si>
    <t>АГ-005-В-02-07-235</t>
  </si>
  <si>
    <t>АГ-005-В-03-01-236</t>
  </si>
  <si>
    <t>АГ-005-В-03-02-237</t>
  </si>
  <si>
    <t>АГ-005-В-03-03-238</t>
  </si>
  <si>
    <t>АГ-005-В-03-04-239</t>
  </si>
  <si>
    <t>АГ-005-В-03-05-240</t>
  </si>
  <si>
    <t>АГ-005-В-03-06-241</t>
  </si>
  <si>
    <t>АГ-005-В-03-07-242</t>
  </si>
  <si>
    <t>АГ-005-В-04-01-243</t>
  </si>
  <si>
    <t>АГ-005-В-04-02-244</t>
  </si>
  <si>
    <t>АГ-005-В-04-03-245</t>
  </si>
  <si>
    <t>АГ-005-В-04-04-246</t>
  </si>
  <si>
    <t>АГ-005-В-04-05-247</t>
  </si>
  <si>
    <t>АГ-005-В-04-06-248</t>
  </si>
  <si>
    <t>АГ-005-В-04-07-249</t>
  </si>
  <si>
    <t>АГ-005-В-05-01-250</t>
  </si>
  <si>
    <t>АГ-005-В-05-02-251</t>
  </si>
  <si>
    <t>АГ-005-В-05-03-252</t>
  </si>
  <si>
    <t>АГ-005-В-05-04-253</t>
  </si>
  <si>
    <t>АГ-005-В-05-05-254</t>
  </si>
  <si>
    <t>АГ-005-В-05-06-255</t>
  </si>
  <si>
    <t>АГ-005-В-05-07-256</t>
  </si>
  <si>
    <t>АГ-005-В-06-01-257</t>
  </si>
  <si>
    <t>АГ-005-В-06-02-258</t>
  </si>
  <si>
    <t>АГ-005-В-06-03-259</t>
  </si>
  <si>
    <t>АГ-005-В-06-04-260</t>
  </si>
  <si>
    <t>АГ-005-В-06-05-261</t>
  </si>
  <si>
    <t>АГ-005-В-06-06-262</t>
  </si>
  <si>
    <t>АГ-005-В-06-07-263</t>
  </si>
  <si>
    <t>АГ-005-В-07-01-264</t>
  </si>
  <si>
    <t>АГ-005-В-07-02-265</t>
  </si>
  <si>
    <t>АГ-005-В-07-03-266</t>
  </si>
  <si>
    <t>АГ-005-В-07-04-267</t>
  </si>
  <si>
    <t>АГ-005-В-07-05-268</t>
  </si>
  <si>
    <t>АГ-005-В-07-06-269</t>
  </si>
  <si>
    <t>АГ-005-В-07-07-270</t>
  </si>
  <si>
    <t>АГ-005-В-08-01-271</t>
  </si>
  <si>
    <t>АГ-005-В-08-02-272</t>
  </si>
  <si>
    <t>АГ-005-В-08-03-273</t>
  </si>
  <si>
    <t>АГ-005-В-08-04-274</t>
  </si>
  <si>
    <t>АГ-005-В-08-05-275</t>
  </si>
  <si>
    <t>АГ-005-В-08-06-276</t>
  </si>
  <si>
    <t>АГ-005-В-08-07-277</t>
  </si>
  <si>
    <t>АГ-005-В-09-01-278</t>
  </si>
  <si>
    <t>АГ-005-В-09-02-279</t>
  </si>
  <si>
    <t>АГ-005-В-09-03-280</t>
  </si>
  <si>
    <t>АГ-005-В-09-04-281</t>
  </si>
  <si>
    <t>АГ-005-В-09-05-282</t>
  </si>
  <si>
    <t>АГ-005-В-09-06-283</t>
  </si>
  <si>
    <t>АГ-005-В-09-07-284</t>
  </si>
  <si>
    <t>АГ-005-В-10-01-285</t>
  </si>
  <si>
    <t>АГ-005-В-10-02-286</t>
  </si>
  <si>
    <t>АГ-005-В-10-03-287</t>
  </si>
  <si>
    <t>АГ-005-В-10-04-288</t>
  </si>
  <si>
    <t>АГ-005-В-10-05-289</t>
  </si>
  <si>
    <t>АГ-005-В-10-06-290</t>
  </si>
  <si>
    <t>АГ-005-В-10-07-291</t>
  </si>
  <si>
    <t>АГ-005-В-11-01-292</t>
  </si>
  <si>
    <t>АГ-005-В-11-02-293</t>
  </si>
  <si>
    <t>АГ-005-В-11-03-294</t>
  </si>
  <si>
    <t>АГ-005-В-11-04-295</t>
  </si>
  <si>
    <t>АГ-005-В-11-05-296</t>
  </si>
  <si>
    <t>АГ-005-В-11-06-297</t>
  </si>
  <si>
    <t>АГ-005-В-11-07-298</t>
  </si>
  <si>
    <t>АГ-005-В-12-01-299</t>
  </si>
  <si>
    <t>АГ-005-В-12-02-300</t>
  </si>
  <si>
    <t>АГ-005-В-12-03-301</t>
  </si>
  <si>
    <t>АГ-005-В-12-04-302</t>
  </si>
  <si>
    <t>АГ-005-В-12-05-303</t>
  </si>
  <si>
    <t>АГ-005-В-12-06-304</t>
  </si>
  <si>
    <t>АГ-005-В-12-07-305</t>
  </si>
  <si>
    <t>АГ-005-В-13-01-306</t>
  </si>
  <si>
    <t>АГ-005-В-13-02-307</t>
  </si>
  <si>
    <t>АГ-005-В-13-03-308</t>
  </si>
  <si>
    <t>АГ-005-В-13-04-309</t>
  </si>
  <si>
    <t>АГ-005-В-13-05-310</t>
  </si>
  <si>
    <t>АГ-005-В-13-06-311</t>
  </si>
  <si>
    <t>АГ-005-В-13-07-312</t>
  </si>
  <si>
    <t>АГ-005-В-14-01-313</t>
  </si>
  <si>
    <t>АГ-005-В-14-02-314</t>
  </si>
  <si>
    <t>АГ-005-В-14-03-315</t>
  </si>
  <si>
    <t>АГ-005-В-14-04-316</t>
  </si>
  <si>
    <t>АГ-005-В-14-05-317</t>
  </si>
  <si>
    <t>АГ-005-В-14-06-318</t>
  </si>
  <si>
    <t>АГ-005-В-14-07-319</t>
  </si>
  <si>
    <t>АГ-005-В-15-01-320</t>
  </si>
  <si>
    <t>АГ-005-В-15-02-321</t>
  </si>
  <si>
    <t>АГ-005-В-15-03-322</t>
  </si>
  <si>
    <t>АГ-005-В-15-04-323</t>
  </si>
  <si>
    <t>АГ-005-В-15-05-324</t>
  </si>
  <si>
    <t>АГ-005-В-15-06-325</t>
  </si>
  <si>
    <t>АГ-005-В-15-07-326</t>
  </si>
  <si>
    <t>АГ-005-В-16-01-327</t>
  </si>
  <si>
    <t>АГ-005-В-16-02-328</t>
  </si>
  <si>
    <t>АГ-005-В-16-03-329</t>
  </si>
  <si>
    <t>АГ-005-В-16-04-330</t>
  </si>
  <si>
    <t>АГ-005-В-16-05-331</t>
  </si>
  <si>
    <t>АГ-005-В-16-06-332</t>
  </si>
  <si>
    <t>АГ-005-В-16-07-333</t>
  </si>
  <si>
    <t>АГ-005-В-17-01-334</t>
  </si>
  <si>
    <t>АГ-005-В-17-02-335</t>
  </si>
  <si>
    <t>АГ-005-В-17-03-336</t>
  </si>
  <si>
    <t>АГ-005-В-17-04-337</t>
  </si>
  <si>
    <t>АГ-005-В-17-05-338</t>
  </si>
  <si>
    <t>АГ-005-В-17-06-339</t>
  </si>
  <si>
    <t>АГ-005-В-17-07-340</t>
  </si>
  <si>
    <t>АГ-005-В-18-01-341</t>
  </si>
  <si>
    <t>АГ-005-В-18-02-342</t>
  </si>
  <si>
    <t>АГ-005-В-18-03-343</t>
  </si>
  <si>
    <t>АГ-005-В-18-04-344</t>
  </si>
  <si>
    <t>АГ-005-В-18-05-345</t>
  </si>
  <si>
    <t>АГ-005-В-18-06-346</t>
  </si>
  <si>
    <t>АГ-005-В-18-07-347</t>
  </si>
  <si>
    <t>АГ-005-В-19-01-348</t>
  </si>
  <si>
    <t>АГ-005-В-19-02-349</t>
  </si>
  <si>
    <t>АГ-005-В-19-03-350</t>
  </si>
  <si>
    <t>АГ-005-В-19-04-351</t>
  </si>
  <si>
    <t>АГ-005-В-19-05-352</t>
  </si>
  <si>
    <t>АГ-005-В-19-06-353</t>
  </si>
  <si>
    <t>АГ-005-В-19-07-354</t>
  </si>
  <si>
    <t>АГ-005-В-20-01-355</t>
  </si>
  <si>
    <t>АГ-005-В-20-02-356</t>
  </si>
  <si>
    <t>АГ-005-В-20-03-357</t>
  </si>
  <si>
    <t>АГ-005-В-20-04-358</t>
  </si>
  <si>
    <t>АГ-005-В-20-05-359</t>
  </si>
  <si>
    <t>АГ-005-В-20-06-360</t>
  </si>
  <si>
    <t>АГ-005-В-20-07-361</t>
  </si>
  <si>
    <t>АГ-005-В-21-01-362</t>
  </si>
  <si>
    <t>АГ-005-В-21-02-363</t>
  </si>
  <si>
    <t>АГ-005-В-21-03-364</t>
  </si>
  <si>
    <t>АГ-005-В-21-04-365</t>
  </si>
  <si>
    <t>АГ-005-В-21-05-366</t>
  </si>
  <si>
    <t>АГ-005-В-21-06-367</t>
  </si>
  <si>
    <t>АГ-005-В-21-07-368</t>
  </si>
  <si>
    <t>АГ-005-В-22-01-369</t>
  </si>
  <si>
    <t>АГ-005-В-22-02-370</t>
  </si>
  <si>
    <t>АГ-005-В-22-03-371</t>
  </si>
  <si>
    <t>АГ-005-В-22-04-372</t>
  </si>
  <si>
    <t>АГ-005-В-22-05-373</t>
  </si>
  <si>
    <t>АГ-005-В-22-06-374</t>
  </si>
  <si>
    <t>АГ-005-В-22-07-375</t>
  </si>
  <si>
    <t>АГ-005-В-23-01-376</t>
  </si>
  <si>
    <t>АГ-005-В-23-02-377</t>
  </si>
  <si>
    <t>АГ-005-В-23-03-378</t>
  </si>
  <si>
    <t>АГ-005-В-23-04-379</t>
  </si>
  <si>
    <t>АГ-005-В-23-05-380</t>
  </si>
  <si>
    <t>АГ-005-В-23-06-381</t>
  </si>
  <si>
    <t>АГ-005-В-23-07-382</t>
  </si>
  <si>
    <t>АГ-005-В-24-01-383</t>
  </si>
  <si>
    <t>АГ-005-В-24-02-384</t>
  </si>
  <si>
    <t>АГ-005-В-24-03-385</t>
  </si>
  <si>
    <t>АГ-005-В-24-04-386</t>
  </si>
  <si>
    <t>АГ-005-В-24-05-387</t>
  </si>
  <si>
    <t>АГ-005-В-24-06-388</t>
  </si>
  <si>
    <t>АГ-005-В-24-07-389</t>
  </si>
  <si>
    <t>АГ-005-Г-01-01-390</t>
  </si>
  <si>
    <t>АГ-005-Г-01-02-391</t>
  </si>
  <si>
    <t>АГ-005-Г-01-03-392</t>
  </si>
  <si>
    <t>АГ-005-Г-01-04-393</t>
  </si>
  <si>
    <t>АГ-005-Г-01-05-394</t>
  </si>
  <si>
    <t>АГ-005-Г-01-06-395</t>
  </si>
  <si>
    <t>АГ-005-Г-01-07-396</t>
  </si>
  <si>
    <t>АГ-005-Г-02-01-397</t>
  </si>
  <si>
    <t>АГ-005-Г-02-02-398</t>
  </si>
  <si>
    <t>АГ-005-Г-02-03-399</t>
  </si>
  <si>
    <t>АГ-005-Г-02-04-400</t>
  </si>
  <si>
    <t>АГ-005-Г-02-05-401</t>
  </si>
  <si>
    <t>АГ-005-Г-02-06-402</t>
  </si>
  <si>
    <t>АГ-005-Г-02-07-403</t>
  </si>
  <si>
    <t>АГ-005-Г-02-08-404</t>
  </si>
  <si>
    <t>АГ-005-Г-03-01-405</t>
  </si>
  <si>
    <t>АГ-005-Г-03-02-406</t>
  </si>
  <si>
    <t>АГ-005-Г-03-03-407</t>
  </si>
  <si>
    <t>АГ-005-Г-03-04-408</t>
  </si>
  <si>
    <t>АГ-005-Г-03-05-409</t>
  </si>
  <si>
    <t>АГ-005-Г-03-06-410</t>
  </si>
  <si>
    <t>АГ-005-Г-03-07-411</t>
  </si>
  <si>
    <t>АГ-005-Г-03-08-412</t>
  </si>
  <si>
    <t>АГ-005-Г-04-01-413</t>
  </si>
  <si>
    <t>АГ-005-Г-04-02-414</t>
  </si>
  <si>
    <t>АГ-005-Г-04-03-415</t>
  </si>
  <si>
    <t>АГ-005-Г-04-04-416</t>
  </si>
  <si>
    <t>АГ-005-Г-04-05-417</t>
  </si>
  <si>
    <t>АГ-005-Г-04-06-418</t>
  </si>
  <si>
    <t>АГ-005-Г-04-07-419</t>
  </si>
  <si>
    <t>АГ-005-Г-04-08-420</t>
  </si>
  <si>
    <t>АГ-005-Г-05-01-421</t>
  </si>
  <si>
    <t>АГ-005-Г-05-02-422</t>
  </si>
  <si>
    <t>АГ-005-Г-05-03-423</t>
  </si>
  <si>
    <t>АГ-005-Г-05-04-424</t>
  </si>
  <si>
    <t>АГ-005-Г-05-05-425</t>
  </si>
  <si>
    <t>АГ-005-Г-05-06-426</t>
  </si>
  <si>
    <t>АГ-005-Г-05-07-427</t>
  </si>
  <si>
    <t>АГ-005-Г-05-08-428</t>
  </si>
  <si>
    <t>АГ-005-Г-06-01-429</t>
  </si>
  <si>
    <t>АГ-005-Г-06-02-430</t>
  </si>
  <si>
    <t>АГ-005-Г-06-03-431</t>
  </si>
  <si>
    <t>АГ-005-Г-06-04-432</t>
  </si>
  <si>
    <t>АГ-005-Г-06-05-433</t>
  </si>
  <si>
    <t>АГ-005-Г-06-06-434</t>
  </si>
  <si>
    <t>АГ-005-Г-06-07-435</t>
  </si>
  <si>
    <t>АГ-005-Г-06-08-436</t>
  </si>
  <si>
    <t>АГ-005-Г-07-01-437</t>
  </si>
  <si>
    <t>АГ-005-Г-07-02-438</t>
  </si>
  <si>
    <t>АГ-005-Г-07-03-439</t>
  </si>
  <si>
    <t>АГ-005-Г-07-04-440</t>
  </si>
  <si>
    <t>АГ-005-Г-07-05-441</t>
  </si>
  <si>
    <t>АГ-005-Г-07-06-442</t>
  </si>
  <si>
    <t>АГ-005-Г-07-07-443</t>
  </si>
  <si>
    <t>АГ-005-Г-07-08-444</t>
  </si>
  <si>
    <t>АГ-005-Г-08-01-445</t>
  </si>
  <si>
    <t>АГ-005-Г-08-02-446</t>
  </si>
  <si>
    <t>АГ-005-Г-08-03-447</t>
  </si>
  <si>
    <t>АГ-005-Г-08-04-448</t>
  </si>
  <si>
    <t>АГ-005-Г-08-05-449</t>
  </si>
  <si>
    <t>АГ-005-Г-08-06-450</t>
  </si>
  <si>
    <t>АГ-005-Г-08-07-451</t>
  </si>
  <si>
    <t>АГ-005-Г-08-08-452</t>
  </si>
  <si>
    <t>АГ-005-Г-09-01-453</t>
  </si>
  <si>
    <t>АГ-005-Г-09-02-454</t>
  </si>
  <si>
    <t>АГ-005-Г-09-03-455</t>
  </si>
  <si>
    <t>АГ-005-Г-09-04-456</t>
  </si>
  <si>
    <t>АГ-005-Г-09-05-457</t>
  </si>
  <si>
    <t>АГ-005-Г-09-06-458</t>
  </si>
  <si>
    <t>АГ-005-Г-09-07-459</t>
  </si>
  <si>
    <t>АГ-005-Г-09-08-460</t>
  </si>
  <si>
    <t>АГ-005-Г-10-01-461</t>
  </si>
  <si>
    <t>АГ-005-Г-10-02-462</t>
  </si>
  <si>
    <t>АГ-005-Г-10-03-463</t>
  </si>
  <si>
    <t>АГ-005-Г-10-04-464</t>
  </si>
  <si>
    <t>АГ-005-Г-10-05-465</t>
  </si>
  <si>
    <t>АГ-005-Г-10-06-466</t>
  </si>
  <si>
    <t>АГ-005-Г-10-07-467</t>
  </si>
  <si>
    <t>АГ-005-Г-10-08-468</t>
  </si>
  <si>
    <t>АГ-005-Г-11-01-469</t>
  </si>
  <si>
    <t>АГ-005-Г-11-02-470</t>
  </si>
  <si>
    <t>АГ-005-Г-11-03-471</t>
  </si>
  <si>
    <t>АГ-005-Г-11-04-472</t>
  </si>
  <si>
    <t>АГ-005-Г-11-05-473</t>
  </si>
  <si>
    <t>АГ-005-Г-11-06-474</t>
  </si>
  <si>
    <t>АГ-005-Г-11-07-475</t>
  </si>
  <si>
    <t>АГ-005-Г-11-08-476</t>
  </si>
  <si>
    <t>АГ-005-Г-12-01-477</t>
  </si>
  <si>
    <t>АГ-005-Г-12-02-478</t>
  </si>
  <si>
    <t>АГ-005-Г-12-03-479</t>
  </si>
  <si>
    <t>АГ-005-Г-12-04-480</t>
  </si>
  <si>
    <t>АГ-005-Г-12-05-481</t>
  </si>
  <si>
    <t>АГ-005-Г-12-06-482</t>
  </si>
  <si>
    <t>АГ-005-Г-12-07-483</t>
  </si>
  <si>
    <t>АГ-005-Г-12-08-484</t>
  </si>
  <si>
    <t>АГ-005-Г-13-01-485</t>
  </si>
  <si>
    <t>АГ-005-Г-13-02-486</t>
  </si>
  <si>
    <t>АГ-005-Г-13-03-487</t>
  </si>
  <si>
    <t>АГ-005-Г-13-04-488</t>
  </si>
  <si>
    <t>АГ-005-Г-13-05-489</t>
  </si>
  <si>
    <t>АГ-005-Г-13-06-490</t>
  </si>
  <si>
    <t>АГ-005-Г-13-07-491</t>
  </si>
  <si>
    <t>АГ-005-Г-13-08-492</t>
  </si>
  <si>
    <t>АГ-005-Г-14-01-493</t>
  </si>
  <si>
    <t>АГ-005-Г-14-02-494</t>
  </si>
  <si>
    <t>АГ-005-Г-14-03-495</t>
  </si>
  <si>
    <t>АГ-005-Г-14-04-496</t>
  </si>
  <si>
    <t>АГ-005-Г-14-05-497</t>
  </si>
  <si>
    <t>АГ-005-Г-14-06-498</t>
  </si>
  <si>
    <t>АГ-005-Г-14-07-499</t>
  </si>
  <si>
    <t>АГ-005-Г-14-08-500</t>
  </si>
  <si>
    <t>АГ-005-Г-15-01-501</t>
  </si>
  <si>
    <t>АГ-005-Г-15-02-502</t>
  </si>
  <si>
    <t>АГ-005-Г-15-03-503</t>
  </si>
  <si>
    <t>АГ-005-Г-15-04-504</t>
  </si>
  <si>
    <t>АГ-005-Г-15-05-505</t>
  </si>
  <si>
    <t>АГ-005-Г-15-06-506</t>
  </si>
  <si>
    <t>АГ-005-Г-15-07-507</t>
  </si>
  <si>
    <t>АГ-005-Г-15-08-508</t>
  </si>
  <si>
    <t>АГ-005-Г-16-01-509</t>
  </si>
  <si>
    <t>АГ-005-Г-16-02-510</t>
  </si>
  <si>
    <t>АГ-005-Г-16-03-511</t>
  </si>
  <si>
    <t>АГ-005-Г-16-04-512</t>
  </si>
  <si>
    <t>АГ-005-Г-16-05-513</t>
  </si>
  <si>
    <t>АГ-005-Г-16-06-514</t>
  </si>
  <si>
    <t>АГ-005-Г-16-07-515</t>
  </si>
  <si>
    <t>АГ-005-Г-16-08-516</t>
  </si>
  <si>
    <t>АГ-005-Г-17-01-517</t>
  </si>
  <si>
    <t>АГ-005-Г-17-02-518</t>
  </si>
  <si>
    <t>АГ-005-Г-17-03-519</t>
  </si>
  <si>
    <t>АГ-005-Г-17-04-520</t>
  </si>
  <si>
    <t>АГ-005-Г-17-05-521</t>
  </si>
  <si>
    <t>АГ-005-Г-17-06-522</t>
  </si>
  <si>
    <t>АГ-005-Г-17-07-523</t>
  </si>
  <si>
    <t>АГ-005-Г-17-08-524</t>
  </si>
  <si>
    <t>АГ-005-Г-18-01-525</t>
  </si>
  <si>
    <t>АГ-005-Г-18-02-526</t>
  </si>
  <si>
    <t>АГ-005-Г-18-03-527</t>
  </si>
  <si>
    <t>АГ-005-Г-18-04-528</t>
  </si>
  <si>
    <t>АГ-005-Г-18-05-529</t>
  </si>
  <si>
    <t>АГ-005-Г-18-06-530</t>
  </si>
  <si>
    <t>АГ-005-Г-18-07-531</t>
  </si>
  <si>
    <t>АГ-005-Г-18-08-532</t>
  </si>
  <si>
    <t>АГ-005-Г-19-01-533</t>
  </si>
  <si>
    <t>АГ-005-Г-19-02-534</t>
  </si>
  <si>
    <t>АГ-005-Г-19-03-535</t>
  </si>
  <si>
    <t>АГ-005-Г-19-04-536</t>
  </si>
  <si>
    <t>АГ-005-Г-19-05-537</t>
  </si>
  <si>
    <t>АГ-005-Г-19-06-538</t>
  </si>
  <si>
    <t>АГ-005-Г-19-07-539</t>
  </si>
  <si>
    <t>АГ-005-Г-19-08-540</t>
  </si>
  <si>
    <t>АГ-005-Г-20-01-541</t>
  </si>
  <si>
    <t>АГ-005-Г-20-02-542</t>
  </si>
  <si>
    <t>АГ-005-Г-20-03-543</t>
  </si>
  <si>
    <t>АГ-005-Г-20-04-544</t>
  </si>
  <si>
    <t>АГ-005-Г-20-05-545</t>
  </si>
  <si>
    <t>АГ-005-Г-20-06-546</t>
  </si>
  <si>
    <t>АГ-005-Г-20-07-547</t>
  </si>
  <si>
    <t>АГ-005-Г-20-08-548</t>
  </si>
  <si>
    <t>АГ-005-Г-21-01-549</t>
  </si>
  <si>
    <t>АГ-005-Г-21-02-550</t>
  </si>
  <si>
    <t>АГ-005-Г-21-03-551</t>
  </si>
  <si>
    <t>АГ-005-Г-21-04-552</t>
  </si>
  <si>
    <t>АГ-005-Г-21-05-553</t>
  </si>
  <si>
    <t>АГ-005-Г-21-06-554</t>
  </si>
  <si>
    <t>АГ-005-Г-21-07-555</t>
  </si>
  <si>
    <t>АГ-005-Г-21-08-556</t>
  </si>
  <si>
    <t>АГ-005-Г-22-01-557</t>
  </si>
  <si>
    <t>АГ-005-Г-22-02-558</t>
  </si>
  <si>
    <t>АГ-005-Г-22-03-559</t>
  </si>
  <si>
    <t>АГ-005-Г-22-04-560</t>
  </si>
  <si>
    <t>АГ-005-Г-22-05-561</t>
  </si>
  <si>
    <t>АГ-005-Г-22-06-562</t>
  </si>
  <si>
    <t>АГ-005-Г-22-07-563</t>
  </si>
  <si>
    <t>АГ-005-Г-22-08-564</t>
  </si>
  <si>
    <t>АГ-005-Г-23-01-565</t>
  </si>
  <si>
    <t>АГ-005-Г-23-02-566</t>
  </si>
  <si>
    <t>АГ-005-Г-23-03-567</t>
  </si>
  <si>
    <t>АГ-005-Г-23-04-568</t>
  </si>
  <si>
    <t>АГ-005-Г-23-05-569</t>
  </si>
  <si>
    <t>АГ-005-Г-23-06-570</t>
  </si>
  <si>
    <t>АГ-005-Г-23-07-571</t>
  </si>
  <si>
    <t>АГ-005-Г-23-08-572</t>
  </si>
  <si>
    <t>АГ-005-Г-24-01-573</t>
  </si>
  <si>
    <t>АГ-005-Г-24-02-574</t>
  </si>
  <si>
    <t>АГ-005-Г-24-03-575</t>
  </si>
  <si>
    <t>АГ-005-Г-24-04-576</t>
  </si>
  <si>
    <t>АГ-005-Г-24-05-577</t>
  </si>
  <si>
    <t>АГ-005-Г-24-06-578</t>
  </si>
  <si>
    <t>АГ-005-Г-24-07-579</t>
  </si>
  <si>
    <t>АГ-005-Г-24-08-580</t>
  </si>
  <si>
    <t>Фикс 23.10.23</t>
  </si>
  <si>
    <t>Фикс 06.09.23</t>
  </si>
  <si>
    <t>Скидка иногородним</t>
  </si>
  <si>
    <t>Повышение 06.09.23 СТ и 1К</t>
  </si>
  <si>
    <t xml:space="preserve">Повышение 23.10.23  В4 </t>
  </si>
  <si>
    <t>Повышение 8.11.23 1К 5%</t>
  </si>
  <si>
    <t>Фикс 8.11.23</t>
  </si>
  <si>
    <t>Округление</t>
  </si>
  <si>
    <t>ДА</t>
  </si>
  <si>
    <t>Фикс 8.11.24</t>
  </si>
  <si>
    <t>да</t>
  </si>
  <si>
    <t>Скидка с елки</t>
  </si>
  <si>
    <t>Индивидуальная скидка</t>
  </si>
  <si>
    <t>Ветеран боевых действий
Чистовая по решению ОГ</t>
  </si>
  <si>
    <t>Наценка за отделку 29.12.23 1%</t>
  </si>
  <si>
    <t>Фикс 29.12.23</t>
  </si>
  <si>
    <t>Наценка 10.01.24 5%</t>
  </si>
  <si>
    <t>Фикс 10.01.24</t>
  </si>
  <si>
    <t>Корректировка 24.11.23 - 1К В5, 2К А2, №233</t>
  </si>
  <si>
    <t>Этаж2</t>
  </si>
  <si>
    <t>Фикс 26.02.24</t>
  </si>
  <si>
    <t>Отделка CRM</t>
  </si>
  <si>
    <t>Сверка отделки</t>
  </si>
  <si>
    <t>Стоимость CRM</t>
  </si>
  <si>
    <t xml:space="preserve">Сверка стоимость </t>
  </si>
  <si>
    <t>White Box</t>
  </si>
  <si>
    <t>Весна</t>
  </si>
  <si>
    <t>Наценка 26.02.24 1 Этаж</t>
  </si>
  <si>
    <t>Наценка 06.03.24
СТ, 1К - 3%
2К, 3К - 2%</t>
  </si>
  <si>
    <t>Фикс 06.03.24</t>
  </si>
  <si>
    <t>Проверка</t>
  </si>
  <si>
    <t>Наценка Г2+500</t>
  </si>
  <si>
    <t>Фикс 13.03.25</t>
  </si>
  <si>
    <t>Наличные</t>
  </si>
  <si>
    <t>Фикс 20.03.24</t>
  </si>
  <si>
    <t>Наценка 20.03.24
2К, 3К - 2%</t>
  </si>
  <si>
    <t>Поехали в Амград</t>
  </si>
  <si>
    <t>Фикс 08.04.24</t>
  </si>
  <si>
    <t>Сверка скидки</t>
  </si>
  <si>
    <t>Фикс 16.05.24</t>
  </si>
  <si>
    <t>Фикс 24.05.24</t>
  </si>
  <si>
    <t>Наценка 24.05.24
1% - Б4, Б5,Г2,Г6
2% - А1,А3,А5,Б2,Г7</t>
  </si>
  <si>
    <t>Наценка 08.04.24 
2К: В3 - 150
3К: Г7 +1000</t>
  </si>
  <si>
    <t>Наценка 16.05.24 1%
А4,А6,Б3,Б6,Б7,В2,В3,В5,В6,Г1,Г3-Г5</t>
  </si>
  <si>
    <t>Фикс 06.06.24</t>
  </si>
  <si>
    <t>Наценка 06.06.24
0К: В2,Г3 +0,5%
1К: А7, Б5/4, Г6 +0,5%
3К: В6 +0,5%
1К: А3 +1%</t>
  </si>
  <si>
    <t>13.06.2024
3К - 2%</t>
  </si>
  <si>
    <t>Фикс 13.06.24</t>
  </si>
  <si>
    <t>Скидка мед работнику</t>
  </si>
  <si>
    <t>Фикс 02.07.24</t>
  </si>
  <si>
    <t>02.07.2024: Г3 А1 А3 Б5 Б7 Г2 Г6 Б3 Б4 В3 Г7 2,5% ост 0,5-1,5%</t>
  </si>
  <si>
    <t>Квартира месяца</t>
  </si>
  <si>
    <t>Фикс 04.09.24</t>
  </si>
  <si>
    <t>04.09.2024 +500
0К - Б2; 1К - А3;
2К - А6, Б4, В3, Г5</t>
  </si>
  <si>
    <t>Скидка семьям с детьми с ОВЗ</t>
  </si>
  <si>
    <t>Фикс 16.09.2024</t>
  </si>
  <si>
    <t>Наценка 16.09.2024
1К: А1,В7,Г6/7,Г8 - 2%
2К: А4,А5,А6,Б1,Б6,Б3/4,В3,В4,Г4,Г5 - 4%
3К: 4%</t>
  </si>
  <si>
    <t>Наценка 01.11.24
СТ: 4%
1К: 34-40м 5%; 40м+ 8%; МГН 1%
2К: 55-70м 6%; 70-73м 7%; 73-76м 8% 
3К: 5%</t>
  </si>
  <si>
    <t>Фикс 01.11.24</t>
  </si>
  <si>
    <t>Фикс 06.11.24</t>
  </si>
  <si>
    <t>Наценка 06.11 13%</t>
  </si>
  <si>
    <t>Скидка для IT</t>
  </si>
  <si>
    <t>Стоимость по переуступке</t>
  </si>
  <si>
    <t>Наценка 18.12.24 распределение КВ</t>
  </si>
  <si>
    <t>Фикс 18.12.24</t>
  </si>
  <si>
    <t xml:space="preserve">Акция для партнеров </t>
  </si>
  <si>
    <t>кол-во</t>
  </si>
  <si>
    <t>Дата подачи на регистрацию</t>
  </si>
  <si>
    <t>№ договора</t>
  </si>
  <si>
    <t>Схема продажи</t>
  </si>
  <si>
    <t>СЭР\МФЦ</t>
  </si>
  <si>
    <t>Способ регистрации</t>
  </si>
  <si>
    <t>Дата регистрации МФЦ (план)</t>
  </si>
  <si>
    <t>Дата регистрации МФЦ\СЭР</t>
  </si>
  <si>
    <t>Все участники сделки</t>
  </si>
  <si>
    <t>Дом</t>
  </si>
  <si>
    <t>№ кв</t>
  </si>
  <si>
    <t xml:space="preserve">Отделка </t>
  </si>
  <si>
    <t>Сумма договора</t>
  </si>
  <si>
    <t>Цена м2</t>
  </si>
  <si>
    <t>Итоговая стоимость с отделкой</t>
  </si>
  <si>
    <t>Итоговая цена м2 с отделкой</t>
  </si>
  <si>
    <t>Итоговая стоимость без отделки</t>
  </si>
  <si>
    <t>Итоговая цена м2 без отделки</t>
  </si>
  <si>
    <t>Акция\скидка</t>
  </si>
  <si>
    <t>Вариант оплаты</t>
  </si>
  <si>
    <t>Банк</t>
  </si>
  <si>
    <t>МСК</t>
  </si>
  <si>
    <t>ЖСК</t>
  </si>
  <si>
    <t>РВИ</t>
  </si>
  <si>
    <t>Программа кредитования</t>
  </si>
  <si>
    <t>Скидка по Гос. программе</t>
  </si>
  <si>
    <t>% комиссии</t>
  </si>
  <si>
    <t>сумма комиссии</t>
  </si>
  <si>
    <t>Основной клиент</t>
  </si>
  <si>
    <t>Мобильный телефон</t>
  </si>
  <si>
    <t>Пол</t>
  </si>
  <si>
    <t>Дата рождения</t>
  </si>
  <si>
    <t>Источник рекламы</t>
  </si>
  <si>
    <t>МОП</t>
  </si>
  <si>
    <t>ИМ</t>
  </si>
  <si>
    <t>Тип договора</t>
  </si>
  <si>
    <t>Дата расторжения\уступки</t>
  </si>
  <si>
    <t>5/2-02/124</t>
  </si>
  <si>
    <t>ДДУ</t>
  </si>
  <si>
    <t>СЭР</t>
  </si>
  <si>
    <t>Домклик</t>
  </si>
  <si>
    <t>Ипотека</t>
  </si>
  <si>
    <t>Сбербанк</t>
  </si>
  <si>
    <t>Семейная ипотека</t>
  </si>
  <si>
    <t>Есаян Мария Ширазовна</t>
  </si>
  <si>
    <t>Женский</t>
  </si>
  <si>
    <t>21. АН - Все метры</t>
  </si>
  <si>
    <t>Никишов</t>
  </si>
  <si>
    <t>Кагирова</t>
  </si>
  <si>
    <t>5/2-03/131</t>
  </si>
  <si>
    <t>Еремян Анжелика Ширазовна</t>
  </si>
  <si>
    <t>5/2-10/178</t>
  </si>
  <si>
    <t>Господдержка 2020</t>
  </si>
  <si>
    <t>Дериглазова Оксана Викторовна</t>
  </si>
  <si>
    <t>02.2 Рекомендации - Жители</t>
  </si>
  <si>
    <t>5/2-14/206</t>
  </si>
  <si>
    <t>Шалунова Ольга Александровна</t>
  </si>
  <si>
    <t>11.1 Интернет</t>
  </si>
  <si>
    <t>Журбенко</t>
  </si>
  <si>
    <t>5/4-08/449</t>
  </si>
  <si>
    <t>Татаров Антон Дмитриевич</t>
  </si>
  <si>
    <t>Мужской</t>
  </si>
  <si>
    <t>5/1-14/093</t>
  </si>
  <si>
    <t>Елистратова Олеся Сергеевна</t>
  </si>
  <si>
    <t>06.2 Агрегаторы - Авито</t>
  </si>
  <si>
    <t>5/1-04/025</t>
  </si>
  <si>
    <t>Беляцкий Виталий Николаевич</t>
  </si>
  <si>
    <t>12.1 Объект - Стройка</t>
  </si>
  <si>
    <t>Кофанова</t>
  </si>
  <si>
    <t>5/2-14/204</t>
  </si>
  <si>
    <t>Левушкин Сергей Николаевич</t>
  </si>
  <si>
    <t>5/3-13/312</t>
  </si>
  <si>
    <t>Солдатов Николай Юрьевич</t>
  </si>
  <si>
    <t>5/4-10/467</t>
  </si>
  <si>
    <t>IT</t>
  </si>
  <si>
    <t>Гафаров Искандер Нилович</t>
  </si>
  <si>
    <t>5/2-07/155</t>
  </si>
  <si>
    <t>Саймукова Елена Владимировна</t>
  </si>
  <si>
    <t>Дик</t>
  </si>
  <si>
    <t>5/2-05/140</t>
  </si>
  <si>
    <t>Рассрочка</t>
  </si>
  <si>
    <t/>
  </si>
  <si>
    <t>15.1 Нет ответа</t>
  </si>
  <si>
    <t>Координатор</t>
  </si>
  <si>
    <t>5/4-06/429</t>
  </si>
  <si>
    <t>Старикова Екатерина Евгеньевна</t>
  </si>
  <si>
    <t>16.1 Повторное обращение</t>
  </si>
  <si>
    <t>5/4-11/471</t>
  </si>
  <si>
    <t>Вострикова Виктория Олеговна</t>
  </si>
  <si>
    <t>Калачева</t>
  </si>
  <si>
    <t>5/4-04/417</t>
  </si>
  <si>
    <t>Карпова Наталья Викторовна</t>
  </si>
  <si>
    <t>02.4 Рекомендации - Клиенты</t>
  </si>
  <si>
    <t>5/1-05/031</t>
  </si>
  <si>
    <t>Фоменко Илья Владимирович</t>
  </si>
  <si>
    <t>5/4-02/399</t>
  </si>
  <si>
    <t>Ильдюганова Елена Александровна</t>
  </si>
  <si>
    <t>5/4-06/434</t>
  </si>
  <si>
    <t>Толмачев Дмитрий Валерьевич</t>
  </si>
  <si>
    <t>5/3-13/308</t>
  </si>
  <si>
    <t>Емуранов Игорь Александрович</t>
  </si>
  <si>
    <t>5/1-01/001</t>
  </si>
  <si>
    <t>Гололобов Олег Валерьевич</t>
  </si>
  <si>
    <t>12.2 Объект - Баннер на доме с телефоном</t>
  </si>
  <si>
    <t>5/2-06/147</t>
  </si>
  <si>
    <t>Метр квадратный</t>
  </si>
  <si>
    <t>Крепчук Сергей Николаевич</t>
  </si>
  <si>
    <t>5/1-06/037</t>
  </si>
  <si>
    <t>Буров, Кирилл Алексеевич</t>
  </si>
  <si>
    <t>5/4-03/407</t>
  </si>
  <si>
    <t>Зубков Дмитрий Геннадьевич</t>
  </si>
  <si>
    <t>5/2-07/157</t>
  </si>
  <si>
    <t>Кроневальд Тамара Алексеевна</t>
  </si>
  <si>
    <t>Гайганова</t>
  </si>
  <si>
    <t>5/2-03/129</t>
  </si>
  <si>
    <t>100%</t>
  </si>
  <si>
    <t>5/4-03/406</t>
  </si>
  <si>
    <t>Холюнова Дарья Владимировна</t>
  </si>
  <si>
    <t>05.2 Соцсети - Instagram</t>
  </si>
  <si>
    <t>5/2-10/176</t>
  </si>
  <si>
    <t>Шафиков Ришат Рашитович</t>
  </si>
  <si>
    <t>5/3-08/275</t>
  </si>
  <si>
    <t>Егоров Максим Сергеевич</t>
  </si>
  <si>
    <t>5/4-02/397</t>
  </si>
  <si>
    <t>Лучинина Надежда Владимировна</t>
  </si>
  <si>
    <t>5/2-12/189</t>
  </si>
  <si>
    <t>Таганов Андрей Александрович</t>
  </si>
  <si>
    <t>5/4-04/413</t>
  </si>
  <si>
    <t>Земсков Александр Анатольевич</t>
  </si>
  <si>
    <t>5/1-03/016</t>
  </si>
  <si>
    <t>Идельбаева Алина Сайфитдиновна</t>
  </si>
  <si>
    <t>5/1-01/005</t>
  </si>
  <si>
    <t>Вострышев Сергей Геннадьевич</t>
  </si>
  <si>
    <t>02.1 Рекомендации - Сотрудники</t>
  </si>
  <si>
    <t>5/4-13/485</t>
  </si>
  <si>
    <t>Волкова Елена Андреевна</t>
  </si>
  <si>
    <t>5/2-04/133</t>
  </si>
  <si>
    <t>Хорунов Александр Николаевич</t>
  </si>
  <si>
    <t>5/3-01/224</t>
  </si>
  <si>
    <t>Виноходов Евгений Алексеевич</t>
  </si>
  <si>
    <t>5/3-02/230</t>
  </si>
  <si>
    <t>Алимбекова Наталья Сергеевна</t>
  </si>
  <si>
    <t>13.1 Радио</t>
  </si>
  <si>
    <t>5/2-01/113</t>
  </si>
  <si>
    <t>Половинкина Наталья Сергеевна</t>
  </si>
  <si>
    <t>5/4-08/448</t>
  </si>
  <si>
    <t>Бутусова Полина Владимировна</t>
  </si>
  <si>
    <t>5/3-03/237</t>
  </si>
  <si>
    <t>Александров Александр Александрович</t>
  </si>
  <si>
    <t>05.3 Соцсети - ВКонтакте</t>
  </si>
  <si>
    <t>5/1-03/014</t>
  </si>
  <si>
    <t>Шеркунов Михаил Михайлович</t>
  </si>
  <si>
    <t>5/4-10/463</t>
  </si>
  <si>
    <t>Гукалова Валентина Николаевна</t>
  </si>
  <si>
    <t>5/4-10/466</t>
  </si>
  <si>
    <t>Подольхова Ильмира Ильдусовна</t>
  </si>
  <si>
    <t>5/2-04/136</t>
  </si>
  <si>
    <t>Инвестор</t>
  </si>
  <si>
    <t>Гондрабура Ольга Владимировна</t>
  </si>
  <si>
    <t>5/4-03/412</t>
  </si>
  <si>
    <t>Мирзоева Наргиза Насриддиновна</t>
  </si>
  <si>
    <t>06.1 Агрегаторы - Циан</t>
  </si>
  <si>
    <t>5/4-01/392</t>
  </si>
  <si>
    <t>Савина Оксана Сергеевна</t>
  </si>
  <si>
    <t>5/4-04/418</t>
  </si>
  <si>
    <t>Гордиенко Александр Викторович</t>
  </si>
  <si>
    <t>02.5 Рекомендации - Знакомые</t>
  </si>
  <si>
    <t>5/3-03/240</t>
  </si>
  <si>
    <t>Гордиенко Елена Олеговна</t>
  </si>
  <si>
    <t>5/4-15/508</t>
  </si>
  <si>
    <t>Бурнаева Алёна Викторовна</t>
  </si>
  <si>
    <t>5/2-04/137</t>
  </si>
  <si>
    <t>Дети с ограниченными возможностями</t>
  </si>
  <si>
    <t>Галанина Ольга Сергеевна</t>
  </si>
  <si>
    <t>5/4-04/414</t>
  </si>
  <si>
    <t>Кузнецова Ирина Евгеньевна</t>
  </si>
  <si>
    <t>Полехович</t>
  </si>
  <si>
    <t>5/4-09/454</t>
  </si>
  <si>
    <t>Егоров Николай Юрьевич</t>
  </si>
  <si>
    <t>5/3-01/228</t>
  </si>
  <si>
    <t>Подмарев Руслан Хафизович</t>
  </si>
  <si>
    <t>5/4-23/565</t>
  </si>
  <si>
    <t>Шумилкина Елизавета Васильевна</t>
  </si>
  <si>
    <t>5/1-16/107</t>
  </si>
  <si>
    <t>Черкашина Ирина Вячеславовна</t>
  </si>
  <si>
    <t>5/3-16/332</t>
  </si>
  <si>
    <t>Савельев Евгений Вячеславович</t>
  </si>
  <si>
    <t>5/1-10/063</t>
  </si>
  <si>
    <t>Ельмеев Тимофей Павлович</t>
  </si>
  <si>
    <t>5/3-05/251</t>
  </si>
  <si>
    <t xml:space="preserve">Зачетная квартира </t>
  </si>
  <si>
    <t>Коротеева Евгения Олеговна</t>
  </si>
  <si>
    <t>5/3-03/238</t>
  </si>
  <si>
    <t>Карев Владислав Вадимович</t>
  </si>
  <si>
    <t>5/3-12/300</t>
  </si>
  <si>
    <t>Букарева Ольга Витальевна</t>
  </si>
  <si>
    <t>5/4-06/431</t>
  </si>
  <si>
    <t>ВТБ</t>
  </si>
  <si>
    <t>Белькина Галина Васильевна</t>
  </si>
  <si>
    <t>5/2-14/208</t>
  </si>
  <si>
    <t>Троценко Никита Вадимович</t>
  </si>
  <si>
    <t>02.3 Рекомендации - от сотрудников ГВ</t>
  </si>
  <si>
    <t>5/4-20/547</t>
  </si>
  <si>
    <t>Халиуллина Юлия Талгатовна</t>
  </si>
  <si>
    <t>5/3-07/270</t>
  </si>
  <si>
    <t>Солодилова Татьяна Владимировна</t>
  </si>
  <si>
    <t>5/2-02/119</t>
  </si>
  <si>
    <t>Шишкова Светлана Михайловна</t>
  </si>
  <si>
    <t>5/3-24/384</t>
  </si>
  <si>
    <t>МФЦ</t>
  </si>
  <si>
    <t>Висков Дмитрий Владимирович</t>
  </si>
  <si>
    <t>5/4-09/453</t>
  </si>
  <si>
    <t>Арефьева Галина Андреевна</t>
  </si>
  <si>
    <t>5/4-17/524</t>
  </si>
  <si>
    <t>Ягудина Юлия Султановна</t>
  </si>
  <si>
    <t>5/3-03/242</t>
  </si>
  <si>
    <t>Манахова Наталья Александровна</t>
  </si>
  <si>
    <t>5/4-15/504</t>
  </si>
  <si>
    <t>Любаков Сергей Михайлович</t>
  </si>
  <si>
    <t>5/2-06/152</t>
  </si>
  <si>
    <t>Нестеренко Александр Владимирович</t>
  </si>
  <si>
    <t>5/4-08/450</t>
  </si>
  <si>
    <t>Амелькина Анна Васильевна</t>
  </si>
  <si>
    <t>5/4-01/394</t>
  </si>
  <si>
    <t>Марьина Татьяна Николаевна</t>
  </si>
  <si>
    <t>5/3-24/385</t>
  </si>
  <si>
    <t>Хуснуллина Гульфия Рафаиловна</t>
  </si>
  <si>
    <t>5/3-02/232</t>
  </si>
  <si>
    <t>Сеидова Мальвина Ахмедовна</t>
  </si>
  <si>
    <t>5/3-12/304</t>
  </si>
  <si>
    <t>Мамышева Лилия Рашидовна</t>
  </si>
  <si>
    <t>5/3-23/382</t>
  </si>
  <si>
    <t>Степаненко Виктория Николаевна</t>
  </si>
  <si>
    <t>5/3-17/337</t>
  </si>
  <si>
    <t>Новопольский Роман Алексеевич</t>
  </si>
  <si>
    <t>5/1-01/006</t>
  </si>
  <si>
    <t>Промсвязьбанк</t>
  </si>
  <si>
    <t>Хайбулатов Диас Космович</t>
  </si>
  <si>
    <t>5/1-15/104</t>
  </si>
  <si>
    <t>Азимова Надежда Анатольевна</t>
  </si>
  <si>
    <t>08.5 Реклама в ТК - Навигация в Амбаре</t>
  </si>
  <si>
    <t>5/1-14/095</t>
  </si>
  <si>
    <t>Ивасенко Анна Сергеевна</t>
  </si>
  <si>
    <t>5/4-13/491</t>
  </si>
  <si>
    <t>Дмитриев Денис Николаевич</t>
  </si>
  <si>
    <t>5/4-18/529</t>
  </si>
  <si>
    <t>Кармышев Иван Алексеевич</t>
  </si>
  <si>
    <t>5/4-13/489</t>
  </si>
  <si>
    <t>Зеленская Ханум Варужановна</t>
  </si>
  <si>
    <t>5/4-11/472</t>
  </si>
  <si>
    <t>Антонов Иван Дмитриевич</t>
  </si>
  <si>
    <t>5/1-04/027</t>
  </si>
  <si>
    <t>Абузярова Виктория Владимировна</t>
  </si>
  <si>
    <t>5/2-04/135</t>
  </si>
  <si>
    <t>Кузнецова Людмила Васильевна</t>
  </si>
  <si>
    <t>5/2-11/187</t>
  </si>
  <si>
    <t>Пазельский Максим Вячеславович</t>
  </si>
  <si>
    <t>5/2-07/154</t>
  </si>
  <si>
    <t>ТЕРМЫ</t>
  </si>
  <si>
    <t>Гатауллин Алмаз Фирнатович</t>
  </si>
  <si>
    <t>01.7 Партнерство - Другое (указать источник)</t>
  </si>
  <si>
    <t>5/4-12/484</t>
  </si>
  <si>
    <t>Терехов Егор Романович</t>
  </si>
  <si>
    <t>Техсбой в банке, направление в Росреестр в ноябре</t>
  </si>
  <si>
    <t>5/4-14/497</t>
  </si>
  <si>
    <t>Колесникова Ольга Владимировна</t>
  </si>
  <si>
    <t>5/3-02/235</t>
  </si>
  <si>
    <t>Лысов Александр Геннадьевич</t>
  </si>
  <si>
    <t>Траншевая ипотека</t>
  </si>
  <si>
    <t>5/4-08/451</t>
  </si>
  <si>
    <t>Егоров Дмитрий Васильевич</t>
  </si>
  <si>
    <t>5/1-12/082</t>
  </si>
  <si>
    <t>Чмелева Анастасия Анатольевна</t>
  </si>
  <si>
    <t>5/3-05/255</t>
  </si>
  <si>
    <t>Анферов Николай Павлович</t>
  </si>
  <si>
    <t>5/1-13/086</t>
  </si>
  <si>
    <t>Быкова Екатерина Семеновна</t>
  </si>
  <si>
    <t>5/3-05/254</t>
  </si>
  <si>
    <t>Костякова Анастасия Алексеевна</t>
  </si>
  <si>
    <t>5/3-11/295</t>
  </si>
  <si>
    <t>Швед Сергей Евгеньевич</t>
  </si>
  <si>
    <t>5/1-02/012</t>
  </si>
  <si>
    <t>Карий Дарья Андреевна</t>
  </si>
  <si>
    <t>5/2-15/212</t>
  </si>
  <si>
    <t>Ахинян Артур Ашотович</t>
  </si>
  <si>
    <t>5/2-09/170</t>
  </si>
  <si>
    <t>Ивасенко Антон Валериевич</t>
  </si>
  <si>
    <t>5/4-23/570</t>
  </si>
  <si>
    <t>5/1-11/076</t>
  </si>
  <si>
    <t>Кузнецова Людмила Александровна</t>
  </si>
  <si>
    <t>5/4-15/505</t>
  </si>
  <si>
    <t>Амонов Адхамжон Ахмаджонович</t>
  </si>
  <si>
    <t>5/4-12/477</t>
  </si>
  <si>
    <t>Кудряшов Павел Александрович</t>
  </si>
  <si>
    <t>22. АН - Новая жизнь</t>
  </si>
  <si>
    <t>5/3-04/245</t>
  </si>
  <si>
    <t>Тюрина Екатерина Александровна</t>
  </si>
  <si>
    <t>5/2-08/162</t>
  </si>
  <si>
    <t>Целых Сергей Александрович</t>
  </si>
  <si>
    <t>5/3-09/280</t>
  </si>
  <si>
    <t>Елисеева Екатерина Николаевна</t>
  </si>
  <si>
    <t>5/2-01/116</t>
  </si>
  <si>
    <t>Байбеков Айся Шавкятович</t>
  </si>
  <si>
    <t>04.1 Рассылка - SMS</t>
  </si>
  <si>
    <t>5/4-06/433</t>
  </si>
  <si>
    <t>Афанасьева Елизавета Викентьева</t>
  </si>
  <si>
    <t>5/1-01/004</t>
  </si>
  <si>
    <t>Марталог Светлана Петровна</t>
  </si>
  <si>
    <t>5/4-07/438</t>
  </si>
  <si>
    <t>Давлетьянова Лилия Робертовна</t>
  </si>
  <si>
    <t>5/4-22/558</t>
  </si>
  <si>
    <t>Малых Полина Ивановна</t>
  </si>
  <si>
    <t>5/4-05/424</t>
  </si>
  <si>
    <t>Купряев Павел Алексеевич</t>
  </si>
  <si>
    <t>5/3-12/299</t>
  </si>
  <si>
    <t>Сафронов Андрей Васильевич</t>
  </si>
  <si>
    <t>5/4-16/511</t>
  </si>
  <si>
    <t>Ермольчева Александра Алексеевна</t>
  </si>
  <si>
    <t>5/1-07/046</t>
  </si>
  <si>
    <t>Кучерявый Иван Викторович</t>
  </si>
  <si>
    <t>5/3-11/294</t>
  </si>
  <si>
    <t>Терехова Светлана Анатольевна</t>
  </si>
  <si>
    <t>5/1-15/103</t>
  </si>
  <si>
    <t>Ильина Алина Александровна</t>
  </si>
  <si>
    <t>5/1-09/059</t>
  </si>
  <si>
    <t>Азизова Хадисахон</t>
  </si>
  <si>
    <t>5/3-10/290</t>
  </si>
  <si>
    <t>Григорьев Василий Анатольевич</t>
  </si>
  <si>
    <t>5/1-12/080</t>
  </si>
  <si>
    <t>Федрушкова Зоя Васильевна</t>
  </si>
  <si>
    <t>5/4-17/522</t>
  </si>
  <si>
    <t>Левина Надежда Вячеславовна</t>
  </si>
  <si>
    <t>5/1-02/013</t>
  </si>
  <si>
    <t>Тутова Светлана Юрьевна</t>
  </si>
  <si>
    <t>5/3-16/327</t>
  </si>
  <si>
    <t>Воронина Наталья Павловна</t>
  </si>
  <si>
    <t>5/2-14/205</t>
  </si>
  <si>
    <t>Пашкевич Ольга Владимировна</t>
  </si>
  <si>
    <t>Доп.соглашение о смене отделки с предчистовой на чистовую</t>
  </si>
  <si>
    <t>5/2-07/159</t>
  </si>
  <si>
    <t>Тужилова Светлана Александровна</t>
  </si>
  <si>
    <t>5/2-05/141</t>
  </si>
  <si>
    <t>Петросян Алла Владимировна</t>
  </si>
  <si>
    <t>5/4-14/494</t>
  </si>
  <si>
    <t>Наличный расчет</t>
  </si>
  <si>
    <t>Черных Екатерина Геннадьевна</t>
  </si>
  <si>
    <t>5/4-03/410</t>
  </si>
  <si>
    <t>Михайлова Марина Валерьевна</t>
  </si>
  <si>
    <t>5/2-08/165</t>
  </si>
  <si>
    <t>Румянцев Никита Юрьевич</t>
  </si>
  <si>
    <t>5/4-23/568</t>
  </si>
  <si>
    <t>Рознюк Анастасия Андреевна</t>
  </si>
  <si>
    <t>29. АН - Юпитер</t>
  </si>
  <si>
    <t>5/3-09/284</t>
  </si>
  <si>
    <t>Архипова Евгения Ильинична</t>
  </si>
  <si>
    <t>5/1-08/054</t>
  </si>
  <si>
    <t>Лузгина Светлана Александровна</t>
  </si>
  <si>
    <t>5/3-06/257</t>
  </si>
  <si>
    <t>Пеньков Сергей Сергеевич</t>
  </si>
  <si>
    <t>5/3-22/375</t>
  </si>
  <si>
    <t>Косырев Сергей Сергеевич</t>
  </si>
  <si>
    <t>5/3-13/307</t>
  </si>
  <si>
    <t>Персиянцева Наталья Владимировна</t>
  </si>
  <si>
    <t>5/4-11/474</t>
  </si>
  <si>
    <t>Зинина Юлия Александровна</t>
  </si>
  <si>
    <t>5/2-11/185</t>
  </si>
  <si>
    <t>Тимербулатов Тимур Алиевич</t>
  </si>
  <si>
    <t>5/2-12/193</t>
  </si>
  <si>
    <t>Утешкалиев Зурканай Амантаевич</t>
  </si>
  <si>
    <t>5/1-03/018</t>
  </si>
  <si>
    <t>Нестерова Анастасия Викторовна</t>
  </si>
  <si>
    <t>5/4-09/460</t>
  </si>
  <si>
    <t>Каримов Руслан Фуркатович</t>
  </si>
  <si>
    <t>5/3-19/352</t>
  </si>
  <si>
    <t>Тюфутина Анна Алексеевна</t>
  </si>
  <si>
    <t>5/4-06/432</t>
  </si>
  <si>
    <t>Сидоров Иван Валерьевич</t>
  </si>
  <si>
    <t>5/4-18/531</t>
  </si>
  <si>
    <t>Хамроева Нозанин Таджиддиновна</t>
  </si>
  <si>
    <t>Гвоздев</t>
  </si>
  <si>
    <t>5/2-06/151</t>
  </si>
  <si>
    <t>Махмудов Хурсанд Абдугафарович</t>
  </si>
  <si>
    <t>5/3-04/244</t>
  </si>
  <si>
    <t>Заряева Ольга Сергеевна</t>
  </si>
  <si>
    <t>5/3-16/328</t>
  </si>
  <si>
    <t>Волков Станислав Александрович</t>
  </si>
  <si>
    <t>5/4-01/391</t>
  </si>
  <si>
    <t>Дом.РФ</t>
  </si>
  <si>
    <t>Кочетков Павел Александрович</t>
  </si>
  <si>
    <t>5/4-11/473</t>
  </si>
  <si>
    <t>Шмакова Людмила Владимировна</t>
  </si>
  <si>
    <t>5/2-04/132</t>
  </si>
  <si>
    <t>Кабиева Гульнара Раскалиевна</t>
  </si>
  <si>
    <t>5/4-17/519</t>
  </si>
  <si>
    <t>Ример Валерий Викторович</t>
  </si>
  <si>
    <t>5/4-14/499</t>
  </si>
  <si>
    <t>Баротов Голибджон Зафарович</t>
  </si>
  <si>
    <t>06.4 Агрегаторы - ДомКлик</t>
  </si>
  <si>
    <t>5/2-13/195</t>
  </si>
  <si>
    <t>Котлярова Мария Михайловна</t>
  </si>
  <si>
    <t>5/1-07/042</t>
  </si>
  <si>
    <t>Хаустова Татьяна Павловна</t>
  </si>
  <si>
    <t>5/2-07/153</t>
  </si>
  <si>
    <t>Синяева Альбина Евгеньевна</t>
  </si>
  <si>
    <t>5/4-07/442</t>
  </si>
  <si>
    <t>Булавин Иван Игоревич</t>
  </si>
  <si>
    <t>5/2-16/216</t>
  </si>
  <si>
    <t>Митянин Николай Александрович</t>
  </si>
  <si>
    <t>5/4-19/534</t>
  </si>
  <si>
    <t>Горбашов Сергей Владимирович</t>
  </si>
  <si>
    <t>5/2-10/174</t>
  </si>
  <si>
    <t>Михеева Анна Михайловна</t>
  </si>
  <si>
    <t>5/2-10/177</t>
  </si>
  <si>
    <t>Кежаева София Юрьевна</t>
  </si>
  <si>
    <t>5/3-08/274</t>
  </si>
  <si>
    <t>Карпенко Сергей Александрович</t>
  </si>
  <si>
    <t>5/3-07/268</t>
  </si>
  <si>
    <t>Катаева Ирина Михайловна</t>
  </si>
  <si>
    <t>5/1-07/044</t>
  </si>
  <si>
    <t>Никулов Андрей Владимирович</t>
  </si>
  <si>
    <t>5/3-10/285</t>
  </si>
  <si>
    <t>Чустиль Виктория Сергеевна</t>
  </si>
  <si>
    <t>5/4-12/478</t>
  </si>
  <si>
    <t>Семёнов Александр Юриевич</t>
  </si>
  <si>
    <t>5/4-10/462</t>
  </si>
  <si>
    <t>Леванова Яна Александровна</t>
  </si>
  <si>
    <t>5/4-15/502</t>
  </si>
  <si>
    <t>Семёнова Азиза Ролановна</t>
  </si>
  <si>
    <t>5/3-14/317</t>
  </si>
  <si>
    <t>Шердяев Артем Николаевич</t>
  </si>
  <si>
    <t>Сотрудник сбера</t>
  </si>
  <si>
    <t>5/2-09/169</t>
  </si>
  <si>
    <t>Рашевский Валерий Сергеевич</t>
  </si>
  <si>
    <t>5/2-03/128</t>
  </si>
  <si>
    <t>Банько Елена Николаевна</t>
  </si>
  <si>
    <t>5/3-21/366</t>
  </si>
  <si>
    <t>Шаронов Алексей Юрьевич</t>
  </si>
  <si>
    <t>5/2-15/214</t>
  </si>
  <si>
    <t>Медведев Вадим Андреевич</t>
  </si>
  <si>
    <t>5/1-07/045</t>
  </si>
  <si>
    <t>Скидка за наличные</t>
  </si>
  <si>
    <t>Полуянов Анатолий Игоревич</t>
  </si>
  <si>
    <t>5/4-20/548</t>
  </si>
  <si>
    <t>Виноградова Татьяна Витальевна</t>
  </si>
  <si>
    <t>5/1-11/070</t>
  </si>
  <si>
    <t>Ткач Татьяна Ивановна</t>
  </si>
  <si>
    <t>5/3-19/353</t>
  </si>
  <si>
    <t>Колдакова Надежда Александровна</t>
  </si>
  <si>
    <t>5/4-18/526</t>
  </si>
  <si>
    <t>Щербакова Елена Александровна</t>
  </si>
  <si>
    <t>5/4-05/426</t>
  </si>
  <si>
    <t>Сланин Дмитрий Николаевич</t>
  </si>
  <si>
    <t>5/3-10/287</t>
  </si>
  <si>
    <t>Григоров Евгений Сергеевич</t>
  </si>
  <si>
    <t>5/1-11/073</t>
  </si>
  <si>
    <t>Пампуров Алексей Алексеевич</t>
  </si>
  <si>
    <t>5/3-15/322</t>
  </si>
  <si>
    <t>Плахотников Илья Алексеевич</t>
  </si>
  <si>
    <t>5/4-04/416</t>
  </si>
  <si>
    <t>Овсянников Александр Васильевич</t>
  </si>
  <si>
    <t>5/2-08/164</t>
  </si>
  <si>
    <t>Поступайло Алексей Юрьевич</t>
  </si>
  <si>
    <t>5/3-01/227</t>
  </si>
  <si>
    <t>Константинов Андрей Георгиевич</t>
  </si>
  <si>
    <t>32. АН - ИП Филимонова</t>
  </si>
  <si>
    <t>5/2-07/156</t>
  </si>
  <si>
    <t>Девяткин Илья Сергеевич</t>
  </si>
  <si>
    <t>5/4-04/419</t>
  </si>
  <si>
    <t>Аветисян Бабкен Гагикович</t>
  </si>
  <si>
    <t>5/3-01/226</t>
  </si>
  <si>
    <t>Асабин Сергей Николаевич</t>
  </si>
  <si>
    <t>Голенко</t>
  </si>
  <si>
    <t>5/1-13/088</t>
  </si>
  <si>
    <t>Гайнуллин Марат Нягимович</t>
  </si>
  <si>
    <t>5/4-08/447</t>
  </si>
  <si>
    <t>Коноплева Светлана Александровна</t>
  </si>
  <si>
    <t>5/4-13/488</t>
  </si>
  <si>
    <t>Брель Екатерина Алексеевна</t>
  </si>
  <si>
    <t>5/3-24/388</t>
  </si>
  <si>
    <t>Одинцов Андрей Дмитриевич</t>
  </si>
  <si>
    <t>5/4-12/483</t>
  </si>
  <si>
    <t>Смирнова Наталья Сергеевна</t>
  </si>
  <si>
    <t>5/4-16/515</t>
  </si>
  <si>
    <t>Шуругин Петр Юрьевич</t>
  </si>
  <si>
    <t>5/1-09/062</t>
  </si>
  <si>
    <t>Пелин Артем Александрович</t>
  </si>
  <si>
    <t>5/1-05/033</t>
  </si>
  <si>
    <t>Алиева Ирина Владимировна</t>
  </si>
  <si>
    <t>5/3-14/319</t>
  </si>
  <si>
    <t>Савлук Егор Владимирович</t>
  </si>
  <si>
    <t>5/3-15/325</t>
  </si>
  <si>
    <t>Сысоев Николай Владимирович</t>
  </si>
  <si>
    <t>5/4-14/498</t>
  </si>
  <si>
    <t>Дедюлина Екатерина Дмитриевна</t>
  </si>
  <si>
    <t>5/2-10/179</t>
  </si>
  <si>
    <t>Якимов Александр Алексеевич</t>
  </si>
  <si>
    <t>5/4-16/509</t>
  </si>
  <si>
    <t>Шесткова Юлия Сергеевна</t>
  </si>
  <si>
    <t>5/3-22/371</t>
  </si>
  <si>
    <t>Быкова Анна Викторовна</t>
  </si>
  <si>
    <t>5/4-07/443</t>
  </si>
  <si>
    <t>Литвиненко Александр Сергеевич</t>
  </si>
  <si>
    <t>5/2-12/188</t>
  </si>
  <si>
    <t>Ильдюганов Андрей Александрович</t>
  </si>
  <si>
    <t>5/1-04/023</t>
  </si>
  <si>
    <t>Миронова Мария Викторовна</t>
  </si>
  <si>
    <t>5/1-15/100</t>
  </si>
  <si>
    <t>Прокопчук Ирина Александровна</t>
  </si>
  <si>
    <t>5/1-05/034</t>
  </si>
  <si>
    <t>Виноградов Илья Владимирович</t>
  </si>
  <si>
    <t>5/4-21/549</t>
  </si>
  <si>
    <t>Козлов Александр Михайлович</t>
  </si>
  <si>
    <t>5/3-07/266</t>
  </si>
  <si>
    <t>Маслов Евгений Юрьевич</t>
  </si>
  <si>
    <t>36. АН - ГК Самолет</t>
  </si>
  <si>
    <t>5/1-06/041</t>
  </si>
  <si>
    <t>Оленич Олег Александрович</t>
  </si>
  <si>
    <t>08.3 Реклама в ТК - Рекламные щиты на парковке Амбара</t>
  </si>
  <si>
    <t>5/3-08/273</t>
  </si>
  <si>
    <t>Саломатина Марина Владимировна</t>
  </si>
  <si>
    <t>5/4-09/455</t>
  </si>
  <si>
    <t>Погосян Цогик</t>
  </si>
  <si>
    <t>5/2-15/211</t>
  </si>
  <si>
    <t>Гиндус Марк Всеволодович</t>
  </si>
  <si>
    <t>5/3-12/303</t>
  </si>
  <si>
    <t>Горбунова Елена Викторовна</t>
  </si>
  <si>
    <t>31. АН - Этажи</t>
  </si>
  <si>
    <t>5/4-07/444</t>
  </si>
  <si>
    <t>Репченко Анна Владимировна</t>
  </si>
  <si>
    <t>5/3-06/258</t>
  </si>
  <si>
    <t>Фильченко Ольга Владимировна</t>
  </si>
  <si>
    <t>5/4-10/461</t>
  </si>
  <si>
    <t>Горячев Михаил Александрович</t>
  </si>
  <si>
    <t>5/2-13/198</t>
  </si>
  <si>
    <t>Атнагулова Кристина Николаевна</t>
  </si>
  <si>
    <t>5/1-08/051</t>
  </si>
  <si>
    <t>Смирнова Юлия Михайловна</t>
  </si>
  <si>
    <t>5/4-01/393</t>
  </si>
  <si>
    <t>Кеняйкин Илья Сергеевич</t>
  </si>
  <si>
    <t>5/4-03/405</t>
  </si>
  <si>
    <t>Кишонкова Лариса Геннадьевна</t>
  </si>
  <si>
    <t>5/1-09/058</t>
  </si>
  <si>
    <t>Филатова Екатерина Сергеевна</t>
  </si>
  <si>
    <t>5/1-10/068</t>
  </si>
  <si>
    <t>Гараева Надежда Анатольевна</t>
  </si>
  <si>
    <t>5/4-06/430</t>
  </si>
  <si>
    <t>Бронский Игорь Сергеевич</t>
  </si>
  <si>
    <t>5/3-13/311</t>
  </si>
  <si>
    <t>Назин Дмитрий Сергеевич</t>
  </si>
  <si>
    <t>5/4-09/459</t>
  </si>
  <si>
    <t>Куликова Юлия Михайловна</t>
  </si>
  <si>
    <t>5/4-02/404</t>
  </si>
  <si>
    <t>Чёпов Сергей Викторович</t>
  </si>
  <si>
    <t>5/1-14/092</t>
  </si>
  <si>
    <t>Платонов Алексей</t>
  </si>
  <si>
    <t>5/4-23/567</t>
  </si>
  <si>
    <t>Семина Александра Андреевна</t>
  </si>
  <si>
    <t>5/4-09/458</t>
  </si>
  <si>
    <t>Сордия Ульяна Анатольевна</t>
  </si>
  <si>
    <t>5/2-06/150</t>
  </si>
  <si>
    <t>Панова Светлана Владимировна</t>
  </si>
  <si>
    <t>5/4-04/415</t>
  </si>
  <si>
    <t>Якупова Гульфия Минахметовна</t>
  </si>
  <si>
    <t>5/1-16/109</t>
  </si>
  <si>
    <t>Корхалев Денис Константинович</t>
  </si>
  <si>
    <t>5/2-04/138</t>
  </si>
  <si>
    <t>Гвоздев Владислав Игоревич</t>
  </si>
  <si>
    <t>5/1-13/084</t>
  </si>
  <si>
    <t>Шарафутдинов Денис Рашитович</t>
  </si>
  <si>
    <t>5/3-08/271</t>
  </si>
  <si>
    <t>Курмашов Аскар Сагитович</t>
  </si>
  <si>
    <t>5/1-04/021</t>
  </si>
  <si>
    <t>Ященко Алексей Михайлович</t>
  </si>
  <si>
    <t>5/4-05/423</t>
  </si>
  <si>
    <t>Мурзаева Ирина Петровна</t>
  </si>
  <si>
    <t>5/1-12/079</t>
  </si>
  <si>
    <t>Сельсков Александр Александрович</t>
  </si>
  <si>
    <t>5/1-15/098</t>
  </si>
  <si>
    <t>Махинько Семён Алексеевич</t>
  </si>
  <si>
    <t>5/2-11/183</t>
  </si>
  <si>
    <t>Преснякова Оксана Сергеевна</t>
  </si>
  <si>
    <t>5/1-10/064</t>
  </si>
  <si>
    <t xml:space="preserve">Мед работник </t>
  </si>
  <si>
    <t>Лямина Ирина Владимировна</t>
  </si>
  <si>
    <t>5/3-21/367</t>
  </si>
  <si>
    <t>Эрназарова Юлдузой Хамзалиевна</t>
  </si>
  <si>
    <t>5/1-13/087</t>
  </si>
  <si>
    <t>Баев Дмитрий Олегович</t>
  </si>
  <si>
    <t>5/3-08/277</t>
  </si>
  <si>
    <t>Ашмарин Дмитрий Евгеньевич</t>
  </si>
  <si>
    <t>5/3-10/289</t>
  </si>
  <si>
    <t>Муругова Екатерина Александровна</t>
  </si>
  <si>
    <t>5/4-06/436</t>
  </si>
  <si>
    <t>Курбанаева, Гульфия Гарифулловна</t>
  </si>
  <si>
    <t>5/4-20/546</t>
  </si>
  <si>
    <t>Коткова Елена Петровна</t>
  </si>
  <si>
    <t>5/1-15/099</t>
  </si>
  <si>
    <t>Скидка сотруднику</t>
  </si>
  <si>
    <t>Хиль Ирина Михайловна</t>
  </si>
  <si>
    <t>5/2-09/173</t>
  </si>
  <si>
    <t>Калюжин Константин Михайлович</t>
  </si>
  <si>
    <t>5/2-16/222</t>
  </si>
  <si>
    <t>Чибидин Александр Андреевич</t>
  </si>
  <si>
    <t>5/2-04/134</t>
  </si>
  <si>
    <t>Радина Марина Михайловна</t>
  </si>
  <si>
    <t>5/4-03/408</t>
  </si>
  <si>
    <t>Дошимов Самат Омирзакович</t>
  </si>
  <si>
    <t>5/2-16/218</t>
  </si>
  <si>
    <t>Кузнецова Елена Александровна</t>
  </si>
  <si>
    <t>5/4-01/395</t>
  </si>
  <si>
    <t>Сейидли Мирмагомед Мирмехман Оглы</t>
  </si>
  <si>
    <t>5/4-15/506</t>
  </si>
  <si>
    <t>Дворникова Екатерина Александровна</t>
  </si>
  <si>
    <t>5/2-12/194</t>
  </si>
  <si>
    <t>Беликов Сергей Алексеевич</t>
  </si>
  <si>
    <t>5/3-17/336</t>
  </si>
  <si>
    <t xml:space="preserve">Мостовщикова Татьяна </t>
  </si>
  <si>
    <t>5/3-14/315</t>
  </si>
  <si>
    <t>Рогозянский Иван Сергеевич</t>
  </si>
  <si>
    <t>5/1-04/026</t>
  </si>
  <si>
    <t>Халиков Бахтиёр Мансурович</t>
  </si>
  <si>
    <t>5/2-15/209</t>
  </si>
  <si>
    <t>Ширяева Наталья Сергеевна</t>
  </si>
  <si>
    <t>5/3-04/249</t>
  </si>
  <si>
    <t>Толмачева Татьяна Сергеевна</t>
  </si>
  <si>
    <t>5/1-06/035</t>
  </si>
  <si>
    <t>5/3-02/233</t>
  </si>
  <si>
    <t>Коба Мария Васильевна</t>
  </si>
  <si>
    <t>5/1-16/108</t>
  </si>
  <si>
    <t>5/3-11/297</t>
  </si>
  <si>
    <t>Ронжина Наталья Александровна</t>
  </si>
  <si>
    <t>5/2-03/127</t>
  </si>
  <si>
    <t>Краснослободцева Татьяна Александровна</t>
  </si>
  <si>
    <t>5/4-09/456</t>
  </si>
  <si>
    <t>Оганнисян Феликс Камоевич</t>
  </si>
  <si>
    <t>5/4-17/521</t>
  </si>
  <si>
    <t>Шевченко Екатерина Вадимовна</t>
  </si>
  <si>
    <t>5/3-18/345</t>
  </si>
  <si>
    <t>Кухлянский Алексей Сергеевич</t>
  </si>
  <si>
    <t>5/2-14/207</t>
  </si>
  <si>
    <t>Джумаева Зайнура Комилджоновна</t>
  </si>
  <si>
    <t>5/1-08/050</t>
  </si>
  <si>
    <t>Елин Вячеслав Юрьевич</t>
  </si>
  <si>
    <t>5/2-11/182</t>
  </si>
  <si>
    <t>Валов Анатолий Петрович</t>
  </si>
  <si>
    <t>5/1-03/020</t>
  </si>
  <si>
    <t>Филиппов Алексей Николаевич</t>
  </si>
  <si>
    <t>5/3-05/252</t>
  </si>
  <si>
    <t>Юрченко Евгения Олеговна</t>
  </si>
  <si>
    <t>5/2-05/139</t>
  </si>
  <si>
    <t>Бабенков Андрей Андреевич</t>
  </si>
  <si>
    <t>5/4-12/481</t>
  </si>
  <si>
    <t>Юлтыева Регина Зигануровна</t>
  </si>
  <si>
    <t>5/4-16/516</t>
  </si>
  <si>
    <t>Рашидова Дилрабо Туракуловна</t>
  </si>
  <si>
    <t>5/1-16/106</t>
  </si>
  <si>
    <t>Ведькалов Дмитрий Александрович</t>
  </si>
  <si>
    <t>5/3-06/262</t>
  </si>
  <si>
    <t>Немчинов Иван Юрьевич</t>
  </si>
  <si>
    <t>5/1-07/047</t>
  </si>
  <si>
    <t>Краснова Анастасия Аркадьевна</t>
  </si>
  <si>
    <t>5/4-07/441</t>
  </si>
  <si>
    <t>Вильданова Гелия Равилевна</t>
  </si>
  <si>
    <t>5/1-12/083</t>
  </si>
  <si>
    <t>Мечова Марина Викторовна</t>
  </si>
  <si>
    <t>5/4-11/475</t>
  </si>
  <si>
    <t>Меделяева Марина Викторовна</t>
  </si>
  <si>
    <t>5/2-15/210</t>
  </si>
  <si>
    <t>Циунель Мария Олеговна</t>
  </si>
  <si>
    <t>5/4-05/428</t>
  </si>
  <si>
    <t>Клянин Евгений Витальевич</t>
  </si>
  <si>
    <t>5/3-10/286</t>
  </si>
  <si>
    <t>Левагина Екатерина Максимовна</t>
  </si>
  <si>
    <t>5/4-13/487</t>
  </si>
  <si>
    <t>Скрибец Гузель Киямодиновна</t>
  </si>
  <si>
    <t>5/4-18/532</t>
  </si>
  <si>
    <t>Филиппова Виктория Алексеевна</t>
  </si>
  <si>
    <t>38. АН - Тими</t>
  </si>
  <si>
    <t>5/4-03/409</t>
  </si>
  <si>
    <t>Туйзюкова Ольга Петровна</t>
  </si>
  <si>
    <t>37. Чат-бот</t>
  </si>
  <si>
    <t>Донорская</t>
  </si>
  <si>
    <t>5/4-05/425</t>
  </si>
  <si>
    <t>Пантелеева Ирина Сергеевна</t>
  </si>
  <si>
    <t>5/1-06/036</t>
  </si>
  <si>
    <t>Шигильчин Вадим Михайлович</t>
  </si>
  <si>
    <t>5/4-05/421</t>
  </si>
  <si>
    <t>Савельев Владимир Владимирович</t>
  </si>
  <si>
    <t>5/3-16/333</t>
  </si>
  <si>
    <t>Чистякова Ольга Анатольевна</t>
  </si>
  <si>
    <t>5/3-15/321</t>
  </si>
  <si>
    <t>Мордашова Елена Викторовна</t>
  </si>
  <si>
    <t>5/4-08/446</t>
  </si>
  <si>
    <t>Землянова Елена Валерьевна</t>
  </si>
  <si>
    <t>5/3-07/267</t>
  </si>
  <si>
    <t>Шалунова Ольга Борисовна</t>
  </si>
  <si>
    <t>5/4-15/507</t>
  </si>
  <si>
    <t>Совкомбанк</t>
  </si>
  <si>
    <t>Очеретенко Дмитрий Петрович</t>
  </si>
  <si>
    <t>7,9% на 12 месяцев, далее 19,9</t>
  </si>
  <si>
    <t>5/3-18/346</t>
  </si>
  <si>
    <t>Акопян Даниил Гарушович</t>
  </si>
  <si>
    <t>5/3-23/377</t>
  </si>
  <si>
    <t>Рыбакин Степан Анатольевич</t>
  </si>
  <si>
    <t>5/4-10/464</t>
  </si>
  <si>
    <t>Милохов Никита Максимович</t>
  </si>
  <si>
    <t>5/4-02/401</t>
  </si>
  <si>
    <t>Иглин Дмитрий Олегович</t>
  </si>
  <si>
    <t>5/2-08/160</t>
  </si>
  <si>
    <t>Козяев Роман Иванович</t>
  </si>
  <si>
    <t>5/4-16/512</t>
  </si>
  <si>
    <t>Чугунова Ирина Викторовна</t>
  </si>
  <si>
    <t>5/2-06/148</t>
  </si>
  <si>
    <t>Набиева Мукаддасхон Нозимджоновна</t>
  </si>
  <si>
    <t>5/3-06/263</t>
  </si>
  <si>
    <t>Абсолют банк</t>
  </si>
  <si>
    <t>Арефьев Михаил Олегович</t>
  </si>
  <si>
    <t>5/1-08/049</t>
  </si>
  <si>
    <t>Глазунов Игорь Юрьевич</t>
  </si>
  <si>
    <t>5/3-05/253</t>
  </si>
  <si>
    <t>Гаврилов Павел Сергеевич</t>
  </si>
  <si>
    <t>Солоненко</t>
  </si>
  <si>
    <t>5/3-15/324</t>
  </si>
  <si>
    <t>Сынкова Елена Сергеевна</t>
  </si>
  <si>
    <t>5/3-02/234</t>
  </si>
  <si>
    <t>Алексеева Екатерина Александровна</t>
  </si>
  <si>
    <t>5/1-05/032</t>
  </si>
  <si>
    <t>Киреев Алексей Александрович</t>
  </si>
  <si>
    <t>35. Лидогенерация</t>
  </si>
  <si>
    <t>5/4-24/573</t>
  </si>
  <si>
    <t>Альфа-банк</t>
  </si>
  <si>
    <t>Горбачева Наталья Евгеньевна</t>
  </si>
  <si>
    <t>5/4-20/541</t>
  </si>
  <si>
    <t>Лайкова Екатерина Алексеевна</t>
  </si>
  <si>
    <t>5/4-19/540</t>
  </si>
  <si>
    <t>Ланьшова Юлия Сергеевна</t>
  </si>
  <si>
    <t>5/3-03/241</t>
  </si>
  <si>
    <t>ВБРР</t>
  </si>
  <si>
    <t>Померанцев Денис Михайлович</t>
  </si>
  <si>
    <t>5/1-15/102</t>
  </si>
  <si>
    <t>Гусейнов Магомед Курбанович</t>
  </si>
  <si>
    <t>5/2-02/122</t>
  </si>
  <si>
    <t>Аюев Александр Владимирович</t>
  </si>
  <si>
    <t>5/4-17/520</t>
  </si>
  <si>
    <t>Архипов Роман Сергеевич</t>
  </si>
  <si>
    <t>5/1-05/028</t>
  </si>
  <si>
    <t>Панарина Ирина Владимировна</t>
  </si>
  <si>
    <t>Индивидуальная скидка партнеру (Абсолют банк)</t>
  </si>
  <si>
    <t>5/3-14/316</t>
  </si>
  <si>
    <t>Саханова Анастасия Владиславовна</t>
  </si>
  <si>
    <t>5/1-13/090</t>
  </si>
  <si>
    <t>Мхитарян Джульета Арамаисовна</t>
  </si>
  <si>
    <t>5/4-21/550</t>
  </si>
  <si>
    <t>Власик Дилором Алижоновна</t>
  </si>
  <si>
    <t>5/1-16/111</t>
  </si>
  <si>
    <t>Сафиулина Анжела Сергеевна</t>
  </si>
  <si>
    <t>5/1-14/096</t>
  </si>
  <si>
    <t>Позняков Дмитрий Владимирович</t>
  </si>
  <si>
    <t>5/3-18/347</t>
  </si>
  <si>
    <t>Петрова Ксения Олеговна</t>
  </si>
  <si>
    <t>5/2-03/126</t>
  </si>
  <si>
    <t>Гизатулин Тимур Русланович</t>
  </si>
  <si>
    <t>5/3-08/276</t>
  </si>
  <si>
    <t>Кодиров Бобур Акмалович</t>
  </si>
  <si>
    <t>5/1-10/066</t>
  </si>
  <si>
    <t>Василишин Егор</t>
  </si>
  <si>
    <t>5/1-12/077</t>
  </si>
  <si>
    <t>Акбулатова Айнагуль Наурызбаевна</t>
  </si>
  <si>
    <t>5/1-02/009</t>
  </si>
  <si>
    <t>Черепова Оксана Викторовна</t>
  </si>
  <si>
    <t>5/2-10/175</t>
  </si>
  <si>
    <t>Сергеев Дмитрий Владимирович</t>
  </si>
  <si>
    <t>42. АН - ДомКлик</t>
  </si>
  <si>
    <t>5/3-14/313</t>
  </si>
  <si>
    <t>Филатова Екатерина Алексеевна</t>
  </si>
  <si>
    <t>5/3-17/338</t>
  </si>
  <si>
    <t>Кожевникова Татьяна Борисовна</t>
  </si>
  <si>
    <t>5/1-07/048</t>
  </si>
  <si>
    <t>Петров Дмитрий Николаевич</t>
  </si>
  <si>
    <t>5/3-12/302</t>
  </si>
  <si>
    <t>Сарханова Альфия Рифхатовна</t>
  </si>
  <si>
    <t>5/3-07/269</t>
  </si>
  <si>
    <t>Блажева Татьяна Ивановна</t>
  </si>
  <si>
    <t>5/3-16/330</t>
  </si>
  <si>
    <t>Тарасевич Алексей Сергеевич</t>
  </si>
  <si>
    <t>5/4-02/402</t>
  </si>
  <si>
    <t>Морозова Марина Геннадьевна</t>
  </si>
  <si>
    <t>5/3-22/370</t>
  </si>
  <si>
    <t>Ли Евгений Александрович</t>
  </si>
  <si>
    <t>5/2-09/171</t>
  </si>
  <si>
    <t>Данилина Наталья Александровна</t>
  </si>
  <si>
    <t>5/3-07/265</t>
  </si>
  <si>
    <t>Маркова Анастасия Владимировна</t>
  </si>
  <si>
    <t>5/2-05/142</t>
  </si>
  <si>
    <t>Иванченко Ирина Ивановна</t>
  </si>
  <si>
    <t>5/4-08/445</t>
  </si>
  <si>
    <t>Макарова Елена Николаевна</t>
  </si>
  <si>
    <t>5/4-14/500</t>
  </si>
  <si>
    <t>Дуспулов Канат Сакиевич</t>
  </si>
  <si>
    <t>5/3-09/283</t>
  </si>
  <si>
    <t>Курбанов Нурилислам Алилович</t>
  </si>
  <si>
    <t>5/3-23/376</t>
  </si>
  <si>
    <t>Мирзоева Арзу Худаверди кызы</t>
  </si>
  <si>
    <t>5/4-15/501</t>
  </si>
  <si>
    <t>Коновалова Лариса Леонидовна</t>
  </si>
  <si>
    <t>5/4-23/571</t>
  </si>
  <si>
    <t>Оруджев Маил Малик Оглы</t>
  </si>
  <si>
    <t>5/3-20/355</t>
  </si>
  <si>
    <t>Теплов Артем Александрович</t>
  </si>
  <si>
    <t>5/3-18/341</t>
  </si>
  <si>
    <t>Абдурахмонов Файзулло Умаркосимович</t>
  </si>
  <si>
    <t>5/4-04/420</t>
  </si>
  <si>
    <t>Черникова Елена Константиновна</t>
  </si>
  <si>
    <t>5/3-09/281</t>
  </si>
  <si>
    <t>Чернова Елена Михайловна</t>
  </si>
  <si>
    <t>5/3-13/306</t>
  </si>
  <si>
    <t>Богомолова Татьяна Васильевна</t>
  </si>
  <si>
    <t>5/4-12/480</t>
  </si>
  <si>
    <t>Яздонов Баходурджон Бахтиёрович</t>
  </si>
  <si>
    <t>5/4-14/495</t>
  </si>
  <si>
    <t>Заика Алина Владимировна</t>
  </si>
  <si>
    <t>5/2-11/184</t>
  </si>
  <si>
    <t>Маркушин Сергей Андреевич</t>
  </si>
  <si>
    <t>5/4-07/440</t>
  </si>
  <si>
    <t>Жумагалиева Диана Максудовна</t>
  </si>
  <si>
    <t>5/2-05/145</t>
  </si>
  <si>
    <t>Шигирданов Сергей Геннадьевич</t>
  </si>
  <si>
    <t>5/2-16/217</t>
  </si>
  <si>
    <t>Разумова Анастасия Рафаэльевна</t>
  </si>
  <si>
    <t>5/4-17/518</t>
  </si>
  <si>
    <t>Мороз Владимир Сергеевич</t>
  </si>
  <si>
    <t>5/2-14/202</t>
  </si>
  <si>
    <t>Курбангалеев Евгений Федорович</t>
  </si>
  <si>
    <t>5/4-24/575</t>
  </si>
  <si>
    <t>Трифонова Дарья Евгеньевна</t>
  </si>
  <si>
    <t>5/3-05/250</t>
  </si>
  <si>
    <t>Вахобов Жасурбек Зафарчонович</t>
  </si>
  <si>
    <t>5/3-15/326</t>
  </si>
  <si>
    <t>Уваров Дмитрий Борисович</t>
  </si>
  <si>
    <t>5/3-17/335</t>
  </si>
  <si>
    <t>Демина Эльвира Рашитовна</t>
  </si>
  <si>
    <t>5/1-06/040</t>
  </si>
  <si>
    <t>Русскин Андрей Алексеевич</t>
  </si>
  <si>
    <t>5/4-17/523</t>
  </si>
  <si>
    <t xml:space="preserve">Акция для IT-специалистов </t>
  </si>
  <si>
    <t>Пронин Александр Андреевич</t>
  </si>
  <si>
    <t>5/1-09/057</t>
  </si>
  <si>
    <t>Соколов Илья Константинович</t>
  </si>
  <si>
    <t>5/4-16/513</t>
  </si>
  <si>
    <t>Самойлов Андрей Игоревич</t>
  </si>
  <si>
    <t>5/4-11/476</t>
  </si>
  <si>
    <t>Куанышева Талшын Зиноллаевна</t>
  </si>
  <si>
    <t>5/2-02/120</t>
  </si>
  <si>
    <t>Саблукова Юлия Валерьевна</t>
  </si>
  <si>
    <t>5/4-11/469</t>
  </si>
  <si>
    <t>Гукасян Лилит Грантовна</t>
  </si>
  <si>
    <t>5/3-06/259</t>
  </si>
  <si>
    <t>Тошмадов Халимжон Рахимович</t>
  </si>
  <si>
    <t>5/4-14/493</t>
  </si>
  <si>
    <t>Дурандин Евгений Геннадьевич</t>
  </si>
  <si>
    <t>Нуждина</t>
  </si>
  <si>
    <t>5/4-13/486</t>
  </si>
  <si>
    <t>Леднев Самуил Дмитриевич</t>
  </si>
  <si>
    <t>5/1-02/008</t>
  </si>
  <si>
    <t>Комарова Екатерина Феликсовна</t>
  </si>
  <si>
    <t>5/1-06/038</t>
  </si>
  <si>
    <t>Шустикова Лилия Ринатовна</t>
  </si>
  <si>
    <t>5/1-05/029</t>
  </si>
  <si>
    <t>Моисеев Алексей Евгеньевич</t>
  </si>
  <si>
    <t>5/4-15/503</t>
  </si>
  <si>
    <t>Явкаева Варианна Сергеевна</t>
  </si>
  <si>
    <t>5/3-19/350</t>
  </si>
  <si>
    <t>Исайчева Евгения Юрьевна</t>
  </si>
  <si>
    <t>5/3-11/296</t>
  </si>
  <si>
    <t>Шнякин Кирилл Вячеславович</t>
  </si>
  <si>
    <t>Петрова</t>
  </si>
  <si>
    <t>м2</t>
  </si>
  <si>
    <t>февраль</t>
  </si>
  <si>
    <t>5/4-05/422</t>
  </si>
  <si>
    <t>Ястребова Елена Александровна</t>
  </si>
  <si>
    <t>Наценка 10.02.25 +1%
1К: А3
2К: Б3, В3</t>
  </si>
  <si>
    <t>Фикс 10.02.25</t>
  </si>
  <si>
    <t>Платная бронь</t>
  </si>
  <si>
    <t>Сумма скидки</t>
  </si>
  <si>
    <t>Собственные средства</t>
  </si>
  <si>
    <t>Кредитные средства</t>
  </si>
  <si>
    <t>Ставка Гос. Программы</t>
  </si>
  <si>
    <t>5/2-03/125</t>
  </si>
  <si>
    <t>Шуругина Кристина Валерьевна</t>
  </si>
  <si>
    <t>5/1-11/072</t>
  </si>
  <si>
    <t>Банк России</t>
  </si>
  <si>
    <t>Долбин Дмитрий Сергеевич</t>
  </si>
  <si>
    <t>5/3-12/301</t>
  </si>
  <si>
    <t>Макарова Марина Владимировна</t>
  </si>
  <si>
    <t>5/3-18/343</t>
  </si>
  <si>
    <t>Алижонова Фатима Абдулазизовна</t>
  </si>
  <si>
    <t>5/4-07/437</t>
  </si>
  <si>
    <t>Тухфатуллина Регина Михайловна</t>
  </si>
  <si>
    <t>Новоселье близко</t>
  </si>
  <si>
    <t xml:space="preserve">Гололобов Олег Валерьевич            </t>
  </si>
  <si>
    <t xml:space="preserve">Марталог Светлана Петровна            </t>
  </si>
  <si>
    <t xml:space="preserve">Вострышев Сергей Геннадьевич            </t>
  </si>
  <si>
    <t xml:space="preserve">Хайбулатов Диас Космович            </t>
  </si>
  <si>
    <t xml:space="preserve">Комарова Екатерина Феликсовна            </t>
  </si>
  <si>
    <t xml:space="preserve">Черепова Оксана Викторовна            </t>
  </si>
  <si>
    <t xml:space="preserve">Карий Дарья Андреевна            </t>
  </si>
  <si>
    <t xml:space="preserve">Тутова Светлана Юрьевна            </t>
  </si>
  <si>
    <t xml:space="preserve">Шеркунов Михаил Михайлович; Шеркунова Влада Владимировна         </t>
  </si>
  <si>
    <t xml:space="preserve">Идельбаева Алина Сайфитдиновна            </t>
  </si>
  <si>
    <t xml:space="preserve">Нестеров Дмитрий Олегович; Нестерова Анастасия Викторовна         </t>
  </si>
  <si>
    <t xml:space="preserve">Филиппов Алексей Николаевич            </t>
  </si>
  <si>
    <t xml:space="preserve">Ященко Алексей Михайлович; Ященко Светлана Николаевна         </t>
  </si>
  <si>
    <t xml:space="preserve">Миронова Мария Викторовна            </t>
  </si>
  <si>
    <t xml:space="preserve">Беляцкая Надежда Владимировна; Беляцкий Виталий Николаевич         </t>
  </si>
  <si>
    <t xml:space="preserve">Сидикова Вазира Хамзаевна; Халиков Бахтиёр Мансурович         </t>
  </si>
  <si>
    <t xml:space="preserve">Абузяров Эмиль Равильевич; Абузярова Виктория Владимировна         </t>
  </si>
  <si>
    <t xml:space="preserve">Панарина Ирина Владимировна            </t>
  </si>
  <si>
    <t xml:space="preserve">Моисеев Алексей Евгеньевич; Моисеев Вячеслав Евгеньевич; Моисеева Антонина Александровна      </t>
  </si>
  <si>
    <t xml:space="preserve">Фоменко Илья Владимирович; Фоменко Мария Борисовна         </t>
  </si>
  <si>
    <t xml:space="preserve">Киреев Алексей Александрович            </t>
  </si>
  <si>
    <t xml:space="preserve">Алиев Элхан Шахмурад Оглы; Алиева Ирина Владимировна        </t>
  </si>
  <si>
    <t xml:space="preserve">Виноградов Илья Владимирович            </t>
  </si>
  <si>
    <t xml:space="preserve">Шигильчин Вадим Михайлович            </t>
  </si>
  <si>
    <t xml:space="preserve">Буров Кирилл Алексеевич            </t>
  </si>
  <si>
    <t xml:space="preserve">Шустиков Денис Александрович; Шустикова Лилия Ринатовна         </t>
  </si>
  <si>
    <t xml:space="preserve">Русскин Андрей Алексеевич            </t>
  </si>
  <si>
    <t xml:space="preserve">Оленич Олег Александрович            </t>
  </si>
  <si>
    <t xml:space="preserve">Хаустова Татьяна Павловна            </t>
  </si>
  <si>
    <t xml:space="preserve">Никулов Андрей Владимирович            </t>
  </si>
  <si>
    <t xml:space="preserve">Полуянов Анатолий Игоревич            </t>
  </si>
  <si>
    <t xml:space="preserve">Кучерявая Анна Сергеевна; Кучерявый Иван Викторович         </t>
  </si>
  <si>
    <t xml:space="preserve">Краснова Анастасия Аркадьевна            </t>
  </si>
  <si>
    <t xml:space="preserve">Петров Дмитрий Николаевич            </t>
  </si>
  <si>
    <t xml:space="preserve">Глазунов Игорь Юрьевич; Криворучко Татьяна Владимировна         </t>
  </si>
  <si>
    <t xml:space="preserve">Елин Вячеслав Юрьевич; Елина Елена Александровна         </t>
  </si>
  <si>
    <t xml:space="preserve">Смирнова Юлия Михайловна            </t>
  </si>
  <si>
    <t xml:space="preserve">Лузгина Светлана Александровна            </t>
  </si>
  <si>
    <t xml:space="preserve">Соколова Александра Павловна            </t>
  </si>
  <si>
    <t xml:space="preserve">Филатов Николай Иванович; Филатова Екатерина Сергеевна         </t>
  </si>
  <si>
    <t xml:space="preserve">Азизова Хадисахон             </t>
  </si>
  <si>
    <t xml:space="preserve">Пелин Артем Александрович; Пелина Екатерина Владимировна         </t>
  </si>
  <si>
    <t xml:space="preserve">Ельмеев Тимофей Павлович; Ельмеева Надежда Андреевна         </t>
  </si>
  <si>
    <t xml:space="preserve">Лямина Ирина Владимировна            </t>
  </si>
  <si>
    <t xml:space="preserve">Василишин Егор             </t>
  </si>
  <si>
    <t xml:space="preserve">Гараева Надежда Анатольевна            </t>
  </si>
  <si>
    <t xml:space="preserve">Ткач Татьяна Ивановна            </t>
  </si>
  <si>
    <t xml:space="preserve">Долбин Дмитрий Сергеевич            </t>
  </si>
  <si>
    <t xml:space="preserve">Пампуров Алексей Алексеевич; Пампурова Лилия Шамильевна         </t>
  </si>
  <si>
    <t xml:space="preserve">Кузнецова Людмила Александровна            </t>
  </si>
  <si>
    <t xml:space="preserve">Акбулатова Айнагуль Наурызбаевна; Ишпанов Роллан Темиргалиевич         </t>
  </si>
  <si>
    <t xml:space="preserve">Сельсков Александр Александрович            </t>
  </si>
  <si>
    <t xml:space="preserve">Федрушкова Зоя Васильевна            </t>
  </si>
  <si>
    <t xml:space="preserve">Чмелева Анастасия Анатольевна            </t>
  </si>
  <si>
    <t xml:space="preserve">Мечова Марина Викторовна            </t>
  </si>
  <si>
    <t xml:space="preserve">Шарафутдинов Денис Рашитович            </t>
  </si>
  <si>
    <t xml:space="preserve">Быкова Екатерина Семеновна            </t>
  </si>
  <si>
    <t xml:space="preserve">Баев Дмитрий Олегович            </t>
  </si>
  <si>
    <t xml:space="preserve">Гайнуллин Марат Нягимович            </t>
  </si>
  <si>
    <t xml:space="preserve">Мхитарян Джульета Арамаисовна            </t>
  </si>
  <si>
    <t xml:space="preserve">Платонов Алексей             </t>
  </si>
  <si>
    <t xml:space="preserve">Елистратов Антон Александрович; Елистратова Олеся Сергеевна         </t>
  </si>
  <si>
    <t xml:space="preserve">Ивасенко Анна Сергеевна            </t>
  </si>
  <si>
    <t xml:space="preserve">Позняков Дмитрий Владимирович; Познякова Дина Вагифовна         </t>
  </si>
  <si>
    <t xml:space="preserve">Махинько Семён Алексеевич            </t>
  </si>
  <si>
    <t xml:space="preserve">Хиль Ирина Михайловна            </t>
  </si>
  <si>
    <t xml:space="preserve">Прокопчук Ирина Александровна            </t>
  </si>
  <si>
    <t xml:space="preserve">Гусейнов Магомед Курбанович; Рашкуева Аида Магомед-Камиловна         </t>
  </si>
  <si>
    <t xml:space="preserve">Ильин Сергей Юрьевич; Ильина Алина Александровна         </t>
  </si>
  <si>
    <t xml:space="preserve">Азимов Анатолий Анатольевич; Азимова Надежда Анатольевна         </t>
  </si>
  <si>
    <t xml:space="preserve">Ведькалов Дмитрий Александрович; Ведькалова Татьяна Владимировна         </t>
  </si>
  <si>
    <t xml:space="preserve">Черкашина Ирина Вячеславовна            </t>
  </si>
  <si>
    <t xml:space="preserve">Корхалев Денис Константинович            </t>
  </si>
  <si>
    <t xml:space="preserve">Сафиулина Анжела Сергеевна            </t>
  </si>
  <si>
    <t xml:space="preserve">Половинкин Константин Эдуардович; Половинкина Наталья Сергеевна         </t>
  </si>
  <si>
    <t xml:space="preserve">Байбеков Айся Шавкятович            </t>
  </si>
  <si>
    <t xml:space="preserve">Шишкова Светлана Михайловна            </t>
  </si>
  <si>
    <t xml:space="preserve">Алмазов Кирилл Александрович; Саблукова София Ивановна; Саблукова Юлия Валерьевна      </t>
  </si>
  <si>
    <t xml:space="preserve">Аюева Анна Васильевна            </t>
  </si>
  <si>
    <t xml:space="preserve">Есаян Мария Ширазовна            </t>
  </si>
  <si>
    <t xml:space="preserve">Шуругина Кристина Валерьевна            </t>
  </si>
  <si>
    <t xml:space="preserve">Гизатулин Тимур Русланович; Гизатулина Александра Дмитриевна         </t>
  </si>
  <si>
    <t xml:space="preserve">Краснослободцев Артем Алексеевич; Краснослободцев Егор Артемович; Краснослободцев Матвей Артемович; Краснослободцева Татьяна Александровна   </t>
  </si>
  <si>
    <t xml:space="preserve">Банько Елена Николаевна            </t>
  </si>
  <si>
    <t xml:space="preserve">Кроневальд Тамара Алексеевна            </t>
  </si>
  <si>
    <t xml:space="preserve">Еремян Анжелика Ширазовна            </t>
  </si>
  <si>
    <t xml:space="preserve">Кабиева Айман Тлеббергеновна; Кабиева Гульнара Раскалиевна; Кабиева Шолпан Тлеббергеновна      </t>
  </si>
  <si>
    <t xml:space="preserve">Хорунов Александр Николаевич; Хорунова Екатерина Сергеевна         </t>
  </si>
  <si>
    <t xml:space="preserve">Радина Марина Михайловна            </t>
  </si>
  <si>
    <t xml:space="preserve">Кузнецов Александр Николаевич; Кузнецова Людмила Васильевна         </t>
  </si>
  <si>
    <t xml:space="preserve">Гондрабура Василий Анатольевич; Гондрабура Ольга Владимировна         </t>
  </si>
  <si>
    <t xml:space="preserve">Галанин Сергей Александрович; Галанина Ольга Сергеевна         </t>
  </si>
  <si>
    <t xml:space="preserve">Гвоздев Владислав Игоревич            </t>
  </si>
  <si>
    <t xml:space="preserve">Бабенков Андрей Андреевич            </t>
  </si>
  <si>
    <t xml:space="preserve">Петросян Алла Владимировна            </t>
  </si>
  <si>
    <t xml:space="preserve">Иванченко Ирина Ивановна            </t>
  </si>
  <si>
    <t xml:space="preserve">Шигирданов Сергей Геннадьевич            </t>
  </si>
  <si>
    <t xml:space="preserve">Крепчук Сергей Николаевич            </t>
  </si>
  <si>
    <t xml:space="preserve">Набиева Мукаддасхон Нозимджоновна            </t>
  </si>
  <si>
    <t xml:space="preserve">Панова Светлана Владимировна            </t>
  </si>
  <si>
    <t xml:space="preserve">Махмудов Хурсанд Абдугафарович; Олимова Нодира Ятимовна         </t>
  </si>
  <si>
    <t xml:space="preserve">Нестеренко Александр Владимирович; Нестеренко Людмила Петровна         </t>
  </si>
  <si>
    <t xml:space="preserve">Синяева Альбина Евгеньевна            </t>
  </si>
  <si>
    <t xml:space="preserve">Гатауллин Алмаз Фирнатович            </t>
  </si>
  <si>
    <t xml:space="preserve">Саймуков Евгений Сергеевич; Саймукова Елена Владимировна         </t>
  </si>
  <si>
    <t xml:space="preserve">Девяткин Илья Сергеевич            </t>
  </si>
  <si>
    <t xml:space="preserve">Тужилова Светлана Александровна            </t>
  </si>
  <si>
    <t xml:space="preserve">Козяев Роман Иванович; Козяева Александра Анатольевна         </t>
  </si>
  <si>
    <t xml:space="preserve">Целых Алёна Юрьевна; Целых Сергей Александрович         </t>
  </si>
  <si>
    <t xml:space="preserve">Поступайло Алексей Юрьевич            </t>
  </si>
  <si>
    <t xml:space="preserve">Золотова Юлия Андреевна; Румянцев Никита Юрьевич         </t>
  </si>
  <si>
    <t xml:space="preserve">Рашевский Валерий Сергеевич            </t>
  </si>
  <si>
    <t xml:space="preserve">Ивасенко Антон Валериевич            </t>
  </si>
  <si>
    <t xml:space="preserve">Данилина Наталья Александровна            </t>
  </si>
  <si>
    <t xml:space="preserve">Калюжин Константин Михайлович            </t>
  </si>
  <si>
    <t xml:space="preserve">Михеева Анна Михайловна            </t>
  </si>
  <si>
    <t xml:space="preserve">Сергеев Дмитрий Владимирович            </t>
  </si>
  <si>
    <t xml:space="preserve">Шафиков Ришат Рашитович            </t>
  </si>
  <si>
    <t xml:space="preserve">Кежаева София Юрьевна            </t>
  </si>
  <si>
    <t xml:space="preserve">Дериглазова Оксана Викторовна            </t>
  </si>
  <si>
    <t xml:space="preserve">Якимов Александр Алексеевич            </t>
  </si>
  <si>
    <t xml:space="preserve">Валов Анатолий Петрович            </t>
  </si>
  <si>
    <t xml:space="preserve">Преснякова Оксана Сергеевна            </t>
  </si>
  <si>
    <t xml:space="preserve">Маркушин Сергей Андреевич            </t>
  </si>
  <si>
    <t xml:space="preserve">Кузнецова Наталья Олеговна; Тимербулатов Тимур Алиевич         </t>
  </si>
  <si>
    <t xml:space="preserve">Пазельский Максим Вячеславович            </t>
  </si>
  <si>
    <t xml:space="preserve">Ильдюганов Андрей Александрович            </t>
  </si>
  <si>
    <t xml:space="preserve">Таганов Андрей Александрович            </t>
  </si>
  <si>
    <t xml:space="preserve">Ажыгалиева Нургуль Габдулгалиевна; Утешкалиев Зурканай Амантаевич         </t>
  </si>
  <si>
    <t xml:space="preserve">Беликов Сергей Алексеевич            </t>
  </si>
  <si>
    <t xml:space="preserve">Котлярова Мария Михайловна            </t>
  </si>
  <si>
    <t xml:space="preserve">Атнагулова Кристина Николаевна            </t>
  </si>
  <si>
    <t xml:space="preserve">Курбангалеев Евгений Федорович            </t>
  </si>
  <si>
    <t xml:space="preserve">Левушкин Сергей Николаевич            </t>
  </si>
  <si>
    <t xml:space="preserve">Пашкевич Ольга Владимировна            </t>
  </si>
  <si>
    <t xml:space="preserve">Шалунова Ольга Александровна            </t>
  </si>
  <si>
    <t xml:space="preserve">Джумаева Зайнура Комилджоновна            </t>
  </si>
  <si>
    <t xml:space="preserve">Троценко Никита Вадимович            </t>
  </si>
  <si>
    <t xml:space="preserve">Ширяева Наталья Сергеевна            </t>
  </si>
  <si>
    <t xml:space="preserve">Циунель Мария Олеговна            </t>
  </si>
  <si>
    <t xml:space="preserve">Гиндус Марк Всеволодович            </t>
  </si>
  <si>
    <t xml:space="preserve">Акопян Кнарик Арсеновна; Ахинян Артур Ашотович         </t>
  </si>
  <si>
    <t xml:space="preserve">Медведев Вадим Андреевич            </t>
  </si>
  <si>
    <t xml:space="preserve">Митянин Николай Александрович; Митянина Анастасия Романовна         </t>
  </si>
  <si>
    <t xml:space="preserve">Разумова Анастасия Рафаэльевна            </t>
  </si>
  <si>
    <t xml:space="preserve">Кузнецова Елена Александровна            </t>
  </si>
  <si>
    <t xml:space="preserve">Чибидин Александр Андреевич            </t>
  </si>
  <si>
    <t xml:space="preserve">Виноходов Евгений Алексеевич; Виноходова Елена Анатольевна         </t>
  </si>
  <si>
    <t xml:space="preserve">Асабин Сергей Николаевич            </t>
  </si>
  <si>
    <t xml:space="preserve">Константинов Андрей Георгиевич; Константинова Анна Алексеевна         </t>
  </si>
  <si>
    <t xml:space="preserve">Подмарев Руслан Хафизович; Подмарева Марина Викторовна         </t>
  </si>
  <si>
    <t xml:space="preserve">Алимбекова Наталья Сергеевна            </t>
  </si>
  <si>
    <t xml:space="preserve">Сеидова Мальвина Ахмедовна            </t>
  </si>
  <si>
    <t xml:space="preserve">Коба Александр Владимирович; Коба Мария Васильевна         </t>
  </si>
  <si>
    <t xml:space="preserve">Алексеева Екатерина Александровна            </t>
  </si>
  <si>
    <t xml:space="preserve">Лысов Александр Геннадьевич; Лысова Татьяна Анатольевна         </t>
  </si>
  <si>
    <t xml:space="preserve">Александров Александр Александрович            </t>
  </si>
  <si>
    <t xml:space="preserve">Карев Владислав Вадимович; Карева Алина Салаватовна         </t>
  </si>
  <si>
    <t xml:space="preserve">Гордиенко Елена Олеговна            </t>
  </si>
  <si>
    <t xml:space="preserve">Демченко Ольга Сергеевна; Померанцев Денис Михайлович         </t>
  </si>
  <si>
    <t xml:space="preserve">Манахова Наталья Александровна            </t>
  </si>
  <si>
    <t xml:space="preserve">Заряева Ольга Сергеевна            </t>
  </si>
  <si>
    <t xml:space="preserve">Браун Михаил Алексеевич; Тюрина Екатерина Александровна         </t>
  </si>
  <si>
    <t xml:space="preserve">Толмачев Дмитрий Альбертович; Толмачева Татьяна Сергеевна         </t>
  </si>
  <si>
    <t xml:space="preserve">Вахобов Жасурбек Зафарчонович            </t>
  </si>
  <si>
    <t xml:space="preserve">Коротеева Евгения Олеговна            </t>
  </si>
  <si>
    <t xml:space="preserve">Юрченко Евгения Олеговна            </t>
  </si>
  <si>
    <t xml:space="preserve">Гаврилов Павел Сергеевич            </t>
  </si>
  <si>
    <t xml:space="preserve">Костяков Иван Викторович; Костякова Анастасия Алексеевна         </t>
  </si>
  <si>
    <t xml:space="preserve">Анферов Николай Павлович            </t>
  </si>
  <si>
    <t xml:space="preserve">Пеньков Сергей Сергеевич; Пенькова Оксана Владимировна         </t>
  </si>
  <si>
    <t xml:space="preserve">Фильченко Ольга Владимировна            </t>
  </si>
  <si>
    <t xml:space="preserve">Тошмадов Халимжон Рахимович            </t>
  </si>
  <si>
    <t xml:space="preserve">Немчинов Иван Юрьевич            </t>
  </si>
  <si>
    <t xml:space="preserve">Арефьев Михаил Олегович            </t>
  </si>
  <si>
    <t xml:space="preserve">Маркова Анастасия Владимировна            </t>
  </si>
  <si>
    <t xml:space="preserve">Маслов Евгений Юрьевич; Маслова Татьяна Евгеньевна         </t>
  </si>
  <si>
    <t xml:space="preserve">Шалунова Ольга Борисовна            </t>
  </si>
  <si>
    <t xml:space="preserve">Катаев Александр Петрович; Катаева Ирина Михайловна         </t>
  </si>
  <si>
    <t xml:space="preserve">Блажева Татьяна Ивановна            </t>
  </si>
  <si>
    <t xml:space="preserve">Солодилова Татьяна Владимировна            </t>
  </si>
  <si>
    <t xml:space="preserve">Курмашов Аскар Сагитович            </t>
  </si>
  <si>
    <t xml:space="preserve">Саломатина Марина Владимировна            </t>
  </si>
  <si>
    <t xml:space="preserve">Карпенко Екатерина Юрьевна; Карпенко Сергей Александрович         </t>
  </si>
  <si>
    <t xml:space="preserve">Егоров Максим Сергеевич; Егорова Васелина Юрьевна         </t>
  </si>
  <si>
    <t xml:space="preserve">Кодиров Бобур Акмалович; Кодирова Азизахон Усмоновна         </t>
  </si>
  <si>
    <t xml:space="preserve">Ашмарин Дмитрий Евгеньевич            </t>
  </si>
  <si>
    <t xml:space="preserve">Елисеева Екатерина Николаевна            </t>
  </si>
  <si>
    <t xml:space="preserve">Чернова Елена Михайловна            </t>
  </si>
  <si>
    <t xml:space="preserve">Курбанов Нурилислам Алилович            </t>
  </si>
  <si>
    <t xml:space="preserve">Архипова Евгения Ильинична            </t>
  </si>
  <si>
    <t xml:space="preserve">Чустиль Виктория Сергеевна            </t>
  </si>
  <si>
    <t xml:space="preserve">Левагина Екатерина Максимовна            </t>
  </si>
  <si>
    <t xml:space="preserve">Григоров Евгений Сергеевич; Григорова Елена Михайловна         </t>
  </si>
  <si>
    <t xml:space="preserve">Муругова Екатерина Александровна            </t>
  </si>
  <si>
    <t xml:space="preserve">Григорьев Василий Анатольевич; Григорьева Ирина Александровна         </t>
  </si>
  <si>
    <t xml:space="preserve">Терехова Светлана Анатольевна            </t>
  </si>
  <si>
    <t xml:space="preserve">Швед Сергей Евгеньевич            </t>
  </si>
  <si>
    <t xml:space="preserve">Шнякин Кирилл Вячеславович; Шнякин Эмир Кириллович; Шнякина Динара Сабиржановна      </t>
  </si>
  <si>
    <t xml:space="preserve">Ронжина Наталья Александровна            </t>
  </si>
  <si>
    <t xml:space="preserve">Сафронов Андрей Васильевич; Сафронова Ксения Викторовна         </t>
  </si>
  <si>
    <t xml:space="preserve">Букарева Ольга Витальевна            </t>
  </si>
  <si>
    <t xml:space="preserve">Макарова Марина Владимировна            </t>
  </si>
  <si>
    <t xml:space="preserve">Сарханова Альфия Рифхатовна            </t>
  </si>
  <si>
    <t xml:space="preserve">Горбунова Елена Викторовна            </t>
  </si>
  <si>
    <t xml:space="preserve">Мамышева Лилия Рашидовна            </t>
  </si>
  <si>
    <t xml:space="preserve">Богомолова Татьяна Васильевна            </t>
  </si>
  <si>
    <t xml:space="preserve">Персиянцева Наталья Владимировна            </t>
  </si>
  <si>
    <t xml:space="preserve">Емуранов Игорь Александрович; Емуранова Анна Игоревна         </t>
  </si>
  <si>
    <t xml:space="preserve">Назин Дмитрий Сергеевич; Назина Екатерина Александровна         </t>
  </si>
  <si>
    <t xml:space="preserve">Солдатов Николай Юрьевич            </t>
  </si>
  <si>
    <t xml:space="preserve">Филатов Дмитрий Денисович; Филатова Екатерина Алексеевна         </t>
  </si>
  <si>
    <t xml:space="preserve">Рогозянский Иван Сергеевич            </t>
  </si>
  <si>
    <t xml:space="preserve">Саханов Жонота Ибодулла угли; Саханова Анастасия Владиславовна        </t>
  </si>
  <si>
    <t xml:space="preserve">Шердяев Артем Николаевич            </t>
  </si>
  <si>
    <t xml:space="preserve">Савлук Егор Владимирович            </t>
  </si>
  <si>
    <t xml:space="preserve">Мордашова Елена Викторовна            </t>
  </si>
  <si>
    <t xml:space="preserve">Плахотников Илья Алексеевич            </t>
  </si>
  <si>
    <t xml:space="preserve">Сынкова Елена Сергеевна            </t>
  </si>
  <si>
    <t xml:space="preserve">Сысоев Николай Владимирович; Сысоева Лилия Павловна         </t>
  </si>
  <si>
    <t xml:space="preserve">Уваров Дмитрий Борисович            </t>
  </si>
  <si>
    <t xml:space="preserve">Воронина Наталья Павловна            </t>
  </si>
  <si>
    <t xml:space="preserve">Волков Станислав Александрович; Волкова Марина Александровна         </t>
  </si>
  <si>
    <t xml:space="preserve">Тарасевич Алексей Сергеевич            </t>
  </si>
  <si>
    <t xml:space="preserve">Савельев Евгений Вячеславович; Савельева Алевтина Васильевна         </t>
  </si>
  <si>
    <t xml:space="preserve">Чистяков Сергей Эдуардович; Чистяков Эдуард Сергеевич; Чистякова Ольга Анатольевна      </t>
  </si>
  <si>
    <t xml:space="preserve">Демина Эльвира Рашитовна            </t>
  </si>
  <si>
    <t xml:space="preserve">Мостовщикова Татьяна             </t>
  </si>
  <si>
    <t xml:space="preserve">Новопольская Елена Юрьевна; Новопольский Роман Алексеевич         </t>
  </si>
  <si>
    <t xml:space="preserve">Кожевникова Татьяна Борисовна            </t>
  </si>
  <si>
    <t xml:space="preserve">Абдурахмонов Файзулло Умаркосимович            </t>
  </si>
  <si>
    <t xml:space="preserve">Алижонова Фатима Абдулазизовна            </t>
  </si>
  <si>
    <t xml:space="preserve">Кухлянский Алексей Сергеевич            </t>
  </si>
  <si>
    <t>Акопян Альберт Данилович; Акопян Ангелина Даниловна; Акопян Артём Данилович; Акопян Даниил Гарушович; Акопян Елена Васильевна</t>
  </si>
  <si>
    <t xml:space="preserve">Петрова Ксения Олеговна            </t>
  </si>
  <si>
    <t xml:space="preserve">Исайчева Евгения Юрьевна            </t>
  </si>
  <si>
    <t xml:space="preserve">Тюфутина Анна Алексеевна            </t>
  </si>
  <si>
    <t xml:space="preserve">Колдакова Надежда Александровна            </t>
  </si>
  <si>
    <t xml:space="preserve">Теплов Артем Александрович            </t>
  </si>
  <si>
    <t xml:space="preserve">Шаронов Алексей Юрьевич            </t>
  </si>
  <si>
    <t xml:space="preserve">Эрназарова Юлдузой Хамзалиевна            </t>
  </si>
  <si>
    <t xml:space="preserve">Ли Анастасия Владимировна; Ли Евгений Александрович         </t>
  </si>
  <si>
    <t xml:space="preserve">Быков Владимир Юрьевич; Быкова Анна Викторовна         </t>
  </si>
  <si>
    <t xml:space="preserve">Косырев Сергей Сергеевич            </t>
  </si>
  <si>
    <t xml:space="preserve">Мирзоева Арзу Худаверди кызы           </t>
  </si>
  <si>
    <t xml:space="preserve">Рыбакин Степан Анатольевич            </t>
  </si>
  <si>
    <t xml:space="preserve">Степаненко Виктория Николаевна            </t>
  </si>
  <si>
    <t xml:space="preserve">Висков Дмитрий Владимирович; Вискова Анастасия Ильинична         </t>
  </si>
  <si>
    <t xml:space="preserve">Хуснуллина Гульфия Рафаиловна            </t>
  </si>
  <si>
    <t xml:space="preserve">Одинцов Андрей Дмитриевич            </t>
  </si>
  <si>
    <t xml:space="preserve">Кочетков Павел Александрович            </t>
  </si>
  <si>
    <t xml:space="preserve">Савина Оксана Сергеевна            </t>
  </si>
  <si>
    <t xml:space="preserve">Кеняйкин Илья Сергеевич            </t>
  </si>
  <si>
    <t xml:space="preserve">Марьина Любовь Николаевна; Марьина Татьяна Николаевна         </t>
  </si>
  <si>
    <t xml:space="preserve">Сейидли Мирмагомед Мирмехман Оглы           </t>
  </si>
  <si>
    <t xml:space="preserve">Лучинина Надежда Владимировна            </t>
  </si>
  <si>
    <t xml:space="preserve">Ильдюганова Елена Александровна            </t>
  </si>
  <si>
    <t xml:space="preserve">Иглин Дмитрий Олегович; Иглина Юлия Олеговна         </t>
  </si>
  <si>
    <t xml:space="preserve">Борзенков Юрий Евгеньевич; Морозов Иван Николаевич; Морозова Марина Геннадьевна      </t>
  </si>
  <si>
    <t xml:space="preserve">Чёпов Сергей Викторович            </t>
  </si>
  <si>
    <t xml:space="preserve">Кишонкова Лариса Геннадьевна            </t>
  </si>
  <si>
    <t xml:space="preserve">Холюнов Леонид Евгеньевич; Холюнова Дарья Владимировна         </t>
  </si>
  <si>
    <t xml:space="preserve">Зубков Дмитрий Геннадьевич            </t>
  </si>
  <si>
    <t xml:space="preserve">Дошимов Самат Омирзакович; Дошимова Гульшат Кинжигалиевна         </t>
  </si>
  <si>
    <t xml:space="preserve">Туйзюков Евгений Владимирович; Туйзюкова Ольга Петровна         </t>
  </si>
  <si>
    <t xml:space="preserve">Курбонов Шероз Мирмусоевич; Михайлова Марина Валерьевна         </t>
  </si>
  <si>
    <t xml:space="preserve">Мирзоева Наргиза Насриддиновна            </t>
  </si>
  <si>
    <t xml:space="preserve">Земсков Александр Анатольевич            </t>
  </si>
  <si>
    <t xml:space="preserve">Кузнецова Ирина Евгеньевна            </t>
  </si>
  <si>
    <t xml:space="preserve">Якупова Гульфия Минахметовна            </t>
  </si>
  <si>
    <t xml:space="preserve">Овсянников Александр Васильевич; Овсянникова Наталья Владимировна         </t>
  </si>
  <si>
    <t xml:space="preserve">Карпова Наталья Викторовна            </t>
  </si>
  <si>
    <t xml:space="preserve">Гордиенко Александр Викторович; Гордиенко Елена Олеговна         </t>
  </si>
  <si>
    <t xml:space="preserve">Аветисян Анна Арменовна; Аветисян Бабкен Гагикович         </t>
  </si>
  <si>
    <t xml:space="preserve">Черникова Ольга Константиновна            </t>
  </si>
  <si>
    <t xml:space="preserve">Савельев Владимир Владимирович; Савельева Юлия Олеговна         </t>
  </si>
  <si>
    <t xml:space="preserve">Ястребов Сергей Вениаминович; Ястребова Елена Александровна         </t>
  </si>
  <si>
    <t xml:space="preserve">Мурзаев Николай Васильевич; Мурзаева Ирина Петровна         </t>
  </si>
  <si>
    <t xml:space="preserve">Купряев Павел Алексеевич; Купряева Мария Павловна         </t>
  </si>
  <si>
    <t xml:space="preserve">Пантелеев Павел Валерьевич; Пантелеева Варвара Павловна; Пантелеева Ирина Сергеевна      </t>
  </si>
  <si>
    <t xml:space="preserve">Сланин Дмитрий Николаевич            </t>
  </si>
  <si>
    <t xml:space="preserve">Клянин Евгений Витальевич            </t>
  </si>
  <si>
    <t xml:space="preserve">Старикова Екатерина Евгеньевна            </t>
  </si>
  <si>
    <t xml:space="preserve">Бронская Лариса Байбулатовна; Бронский Игорь Сергеевич         </t>
  </si>
  <si>
    <t xml:space="preserve">Белькина Галина Васильевна            </t>
  </si>
  <si>
    <t xml:space="preserve">Сидоров Иван Валерьевич; Сидорова Татьяна Витальевна         </t>
  </si>
  <si>
    <t xml:space="preserve">Афанасьев Святослав Владимирович; Афанасьева Елизавета Викентьева         </t>
  </si>
  <si>
    <t xml:space="preserve">Толмачев Дмитрий Валерьевич            </t>
  </si>
  <si>
    <t xml:space="preserve">Курбанаева Гульфия Гарифулловна            </t>
  </si>
  <si>
    <t xml:space="preserve">Тухфатуллин Дамин Исламович; Тухфатуллин Ислам Радимович; Тухфатуллин Раиф Исламович; Тухфатуллина Регина Михайловна   </t>
  </si>
  <si>
    <t xml:space="preserve">Давлетьянова Лилия Робертовна            </t>
  </si>
  <si>
    <t xml:space="preserve">Жумагалиев Кинжитай Жадыкович; Жумагалиева Диана Максудовна         </t>
  </si>
  <si>
    <t xml:space="preserve">Вильданов Рафаиль Равильевич; Вильданова Гелия Равилевна         </t>
  </si>
  <si>
    <t xml:space="preserve">Булавин Иван Игоревич; Булавина Екатерина Наильевна         </t>
  </si>
  <si>
    <t xml:space="preserve">Литвиненко Александр Сергеевич            </t>
  </si>
  <si>
    <t xml:space="preserve">Репченко Анна Владимировна            </t>
  </si>
  <si>
    <t xml:space="preserve">Макарова Елена Николаевна            </t>
  </si>
  <si>
    <t xml:space="preserve">Землянова Елена Валерьевна            </t>
  </si>
  <si>
    <t xml:space="preserve">Коноплев Алексей Алексеевич; Коноплева Светлана Александровна         </t>
  </si>
  <si>
    <t xml:space="preserve">Бутусова Полина Владимировна            </t>
  </si>
  <si>
    <t xml:space="preserve">Татаров Антон Дмитриевич; Татарова Елена Леонидовна         </t>
  </si>
  <si>
    <t xml:space="preserve">Амелькин Александр Анатольевич; Амелькина Анна Васильевна         </t>
  </si>
  <si>
    <t xml:space="preserve">Егоров Дмитрий Васильевич            </t>
  </si>
  <si>
    <t xml:space="preserve">Арефьева Галина Андреевна            </t>
  </si>
  <si>
    <t xml:space="preserve">Егоров Николай Юрьевич            </t>
  </si>
  <si>
    <t xml:space="preserve">Погосян Цогик             </t>
  </si>
  <si>
    <t xml:space="preserve">Оганнисян Феликс Камоевич            </t>
  </si>
  <si>
    <t xml:space="preserve">Сордия Ульяна Анатольевна            </t>
  </si>
  <si>
    <t xml:space="preserve">Куликова Юлия Михайловна; Шилов Юрий Викторович         </t>
  </si>
  <si>
    <t xml:space="preserve">Каримов Руслан Фуркатович            </t>
  </si>
  <si>
    <t xml:space="preserve">Горячев Михаил Александрович            </t>
  </si>
  <si>
    <t xml:space="preserve">Леванова Яна Александровна; Маркин Александр Александрович         </t>
  </si>
  <si>
    <t xml:space="preserve">Гукалов Алексей Петрович; Гукалова Валентина Николаевна         </t>
  </si>
  <si>
    <t xml:space="preserve">Милохов Никита Максимович; Милохова Ольга Владимировна         </t>
  </si>
  <si>
    <t xml:space="preserve">Подольхов Сергей Александрович; Подольхова Ильмира Ильдусовна         </t>
  </si>
  <si>
    <t xml:space="preserve">Гафаров Искандер Нилович            </t>
  </si>
  <si>
    <t xml:space="preserve">Гукасян Лилит Грантовна            </t>
  </si>
  <si>
    <t xml:space="preserve">Вострикова Виктория Олеговна            </t>
  </si>
  <si>
    <t xml:space="preserve">Антонов Иван Дмитриевич            </t>
  </si>
  <si>
    <t xml:space="preserve">Шмаков Сергей Александрович; Шмакова Людмила Владимировна         </t>
  </si>
  <si>
    <t xml:space="preserve">Зинина Юлия Александровна            </t>
  </si>
  <si>
    <t xml:space="preserve">Меделяева Марина Викторовна            </t>
  </si>
  <si>
    <t xml:space="preserve">Куанышева Талшын Зиноллаевна            </t>
  </si>
  <si>
    <t xml:space="preserve">Кудряшов Павел Александрович            </t>
  </si>
  <si>
    <t xml:space="preserve">Семёнов Александр Юриевич            </t>
  </si>
  <si>
    <t xml:space="preserve">Яздонов Баходурджон Бахтиёрович            </t>
  </si>
  <si>
    <t xml:space="preserve">Юлтыева Регина Зигануровна            </t>
  </si>
  <si>
    <t xml:space="preserve">Смирнова Наталья Сергеевна            </t>
  </si>
  <si>
    <t xml:space="preserve">Терехов Егор Романович; Терехова Галина Борисовна         </t>
  </si>
  <si>
    <t xml:space="preserve">Волков Александр Сергеевич; Волкова Елена Андреевна         </t>
  </si>
  <si>
    <t xml:space="preserve">Леднев Самуил Дмитриевич; Леднева Милана Эдуардовна         </t>
  </si>
  <si>
    <t xml:space="preserve">Скрибец Гузель Киямодиновна            </t>
  </si>
  <si>
    <t xml:space="preserve">Брель Екатерина Алексеевна; Голубцов Максим Владимирович         </t>
  </si>
  <si>
    <t xml:space="preserve">Зеленская Ханум Варужановна; Зеленский Александр Александрович         </t>
  </si>
  <si>
    <t xml:space="preserve">Дмитриев Денис Николаевич            </t>
  </si>
  <si>
    <t xml:space="preserve">Дурандин Евгений Геннадьевич; Дурандина Аракся Арменовна         </t>
  </si>
  <si>
    <t xml:space="preserve">Черных Екатерина Геннадьевна            </t>
  </si>
  <si>
    <t xml:space="preserve">Заика Алина Владимировна            </t>
  </si>
  <si>
    <t xml:space="preserve">Дедюлина Екатерина Дмитриевна            </t>
  </si>
  <si>
    <t>Баротов Голибджон Зафарович; Боротова Самина Голибджоновна; Боротова Солиха Голибджоновна; Боротова Ясмина Голибджоновна; Таджиева Фарзона Файзуллоевна</t>
  </si>
  <si>
    <t xml:space="preserve">Дуспулов Канат Сакиевич; Дуспулова Алима Насивулловна         </t>
  </si>
  <si>
    <t xml:space="preserve">Коновалова Лариса Леонидовна            </t>
  </si>
  <si>
    <t xml:space="preserve">Семёнова Азиза Ролановна            </t>
  </si>
  <si>
    <t xml:space="preserve">Явкаева Варианна Сергеевна            </t>
  </si>
  <si>
    <t xml:space="preserve">Любаков Сергей Михайлович; Любакова Елена Александровна         </t>
  </si>
  <si>
    <t xml:space="preserve">Амонов Адхамжон Ахмаджонович; Юсупова Мастура Исмаиловна         </t>
  </si>
  <si>
    <t xml:space="preserve">Дворникова Екатерина Александровна            </t>
  </si>
  <si>
    <t xml:space="preserve">Очеретенко Дмитрий Петрович; Очеретенко Мария Вячеславовна         </t>
  </si>
  <si>
    <t xml:space="preserve">Бурнаева Алёна Викторовна            </t>
  </si>
  <si>
    <t xml:space="preserve">Шесткова Рамиля Габдельхаковна; Шесткова Юлия Сергеевна         </t>
  </si>
  <si>
    <t xml:space="preserve">Ермольчев Антон Сергеевич; Ермольчева Александра Алексеевна         </t>
  </si>
  <si>
    <t xml:space="preserve">Чугунова Ирина Викторовна            </t>
  </si>
  <si>
    <t xml:space="preserve">Самойлов Андрей Игоревич            </t>
  </si>
  <si>
    <t xml:space="preserve">Шуругин Петр Юрьевич; Шуругина Екатерина Евгеньевна         </t>
  </si>
  <si>
    <t xml:space="preserve">Алмардонова Мунира Нуманжоновна; Рашидова Дилрабо Туракуловна         </t>
  </si>
  <si>
    <t xml:space="preserve">Мороз Владимир Сергеевич            </t>
  </si>
  <si>
    <t xml:space="preserve">Ример Валерий Викторович; Ример Ирина Сергеевна         </t>
  </si>
  <si>
    <t xml:space="preserve">Архипов Роман Сергеевич            </t>
  </si>
  <si>
    <t xml:space="preserve">Шевченко Екатерина Вадимовна            </t>
  </si>
  <si>
    <t xml:space="preserve">Левина Надежда Вячеславовна            </t>
  </si>
  <si>
    <t xml:space="preserve">Пронин Александр Андреевич            </t>
  </si>
  <si>
    <t xml:space="preserve">Ягудина Юлия Султановна            </t>
  </si>
  <si>
    <t xml:space="preserve">Щербакова Елена Александровна            </t>
  </si>
  <si>
    <t xml:space="preserve">Кармышев Иван Алексеевич; Кармышева Мария Александровна         </t>
  </si>
  <si>
    <t xml:space="preserve">Хамроева Нозанин Таджиддиновна            </t>
  </si>
  <si>
    <t xml:space="preserve">Филиппова Виктория Алексеевна            </t>
  </si>
  <si>
    <t xml:space="preserve">Горбашов Сергей Владимирович            </t>
  </si>
  <si>
    <t xml:space="preserve">Ланьшова Юлия Сергеевна            </t>
  </si>
  <si>
    <t xml:space="preserve">Лайкова Екатерина Алексеевна            </t>
  </si>
  <si>
    <t xml:space="preserve">Коткова Елена Петровна            </t>
  </si>
  <si>
    <t xml:space="preserve">Халиуллина Юлия Талгатовна            </t>
  </si>
  <si>
    <t xml:space="preserve">Виноградова Татьяна Витальевна            </t>
  </si>
  <si>
    <t xml:space="preserve">Козлов Александр Михайлович; Козлова Татьяна Сергеевна         </t>
  </si>
  <si>
    <t xml:space="preserve">Власик Дилором Алижоновна            </t>
  </si>
  <si>
    <t xml:space="preserve">Малых Полина Ивановна            </t>
  </si>
  <si>
    <t xml:space="preserve">Шумилкина Елизавета Васильевна            </t>
  </si>
  <si>
    <t xml:space="preserve">Семина Александра Андреевна            </t>
  </si>
  <si>
    <t xml:space="preserve">Рознюк Анастасия Андреевна            </t>
  </si>
  <si>
    <t xml:space="preserve">Оруджев Маил Малик Оглы           </t>
  </si>
  <si>
    <t xml:space="preserve">Горбачева Наталья Евгеньевна            </t>
  </si>
  <si>
    <t xml:space="preserve">Трифонова Дарья Евгеньевна            </t>
  </si>
  <si>
    <t xml:space="preserve"> Лазарев Виталий Николаевич</t>
  </si>
  <si>
    <t>Лазарев Виталий Николаевич</t>
  </si>
  <si>
    <t>Охранник ОИ - спецскидка  4 019 100 (40%)</t>
  </si>
  <si>
    <t xml:space="preserve">Колесникова Ольга Владимировна         </t>
  </si>
  <si>
    <t>5/2-14/203</t>
  </si>
  <si>
    <t xml:space="preserve"> Беликов Александр Андреевич</t>
  </si>
  <si>
    <t>Беликов Александр Андреевич</t>
  </si>
  <si>
    <t>5/4-02/400</t>
  </si>
  <si>
    <t xml:space="preserve"> Абдуллоева Махина Бахтиёровна; Комилов Ибрахим Умаралиевич; Комилов Исмаил Умаралиевич; Комилов Наим Умаралиевич</t>
  </si>
  <si>
    <t>Абдуллоева Махина Бахтиёровна</t>
  </si>
  <si>
    <t>Арефьев</t>
  </si>
  <si>
    <t>Время действовать / Ветеран боевых действий</t>
  </si>
  <si>
    <t>Время действовать / Многодетная семья</t>
  </si>
  <si>
    <t>Время действовать</t>
  </si>
  <si>
    <t>5/3-05/256</t>
  </si>
  <si>
    <t xml:space="preserve"> Герасимова Елизавета Андреевна</t>
  </si>
  <si>
    <t>Герасимова Елизавета Андреевна</t>
  </si>
  <si>
    <t>5/3-12/305</t>
  </si>
  <si>
    <t xml:space="preserve"> Новосельская Яна Сергеевна</t>
  </si>
  <si>
    <t>Новосельская Яна Сергеевна</t>
  </si>
  <si>
    <t>Дата продажи</t>
  </si>
  <si>
    <t>Большие скидки на маленькие квартиры</t>
  </si>
  <si>
    <t>Время действовать / Индивидуальная скидка / Ветеран боевых действий</t>
  </si>
  <si>
    <t>5/3-22/374</t>
  </si>
  <si>
    <t xml:space="preserve"> Германов Дмитрий Валерьевич</t>
  </si>
  <si>
    <t>Германов Дмитрий Валерьевич</t>
  </si>
  <si>
    <t>5/2-09/172</t>
  </si>
  <si>
    <t xml:space="preserve"> Муротова Зарнигора Сулхоназаровна</t>
  </si>
  <si>
    <t>Многодетная семья/Время действовать</t>
  </si>
  <si>
    <t>Муротова Зарнигора Сулхоназаровна</t>
  </si>
  <si>
    <t>5/3-13/309</t>
  </si>
  <si>
    <t xml:space="preserve"> Шерин Виталий Сергеевич; Шерин Платон Витальевич; Шерина Марина Сергеевна; Шерина Таисия Витальевна; Шерина Ярослава Витальевна</t>
  </si>
  <si>
    <t>1.4%</t>
  </si>
  <si>
    <t>Шерин Виталий Сергеевич</t>
  </si>
  <si>
    <t>5/4-07/439</t>
  </si>
  <si>
    <t xml:space="preserve"> Гергерт Светлана Юрьевна</t>
  </si>
  <si>
    <t>Гергерт Светлана Юрьевна</t>
  </si>
  <si>
    <t>5/4-18/530</t>
  </si>
  <si>
    <t xml:space="preserve"> Дьячкова, Оксана Вячеславовна</t>
  </si>
  <si>
    <t>Дьячкова, Оксана Вячеславовна</t>
  </si>
  <si>
    <t>5/4-18/528</t>
  </si>
  <si>
    <t xml:space="preserve"> Каратаева Ирина Адольфовна</t>
  </si>
  <si>
    <t>Ветеран боевых действий/Время действовать</t>
  </si>
  <si>
    <t>Каратаева Ирина Адольфовна</t>
  </si>
  <si>
    <t>Время действовать \ Многодетная семья</t>
  </si>
  <si>
    <t xml:space="preserve"> Люкшин Алексей Александрович; Люкшина Дарья Сергеевна</t>
  </si>
  <si>
    <t>Ветеран боевых действий/Новоселье близко/Индивидуальная скидка</t>
  </si>
  <si>
    <t>Люкшина Дарья Сергеевна</t>
  </si>
  <si>
    <t>5/3-03/239</t>
  </si>
  <si>
    <t xml:space="preserve"> Икромов Азизбек Акмалович</t>
  </si>
  <si>
    <t>Икромов Азизбек Акмалович</t>
  </si>
  <si>
    <t>5/4-12/479</t>
  </si>
  <si>
    <t xml:space="preserve"> Карпушкин Виталий Андреевич</t>
  </si>
  <si>
    <t>Карпушкин Виталий Андреевич</t>
  </si>
  <si>
    <t>5/1-09/061</t>
  </si>
  <si>
    <t xml:space="preserve"> Сарибекян Сурен Грачяевич</t>
  </si>
  <si>
    <t>Сарибекян Сурен Грачяевич</t>
  </si>
  <si>
    <t>5/3-09/282</t>
  </si>
  <si>
    <t xml:space="preserve"> Шестернин Денис Александрович</t>
  </si>
  <si>
    <t>Шестернин Денис Александрович</t>
  </si>
  <si>
    <t>Время действовать / Скидка для многодетных</t>
  </si>
  <si>
    <t>Фикс за АН</t>
  </si>
  <si>
    <t>5/1-02/010</t>
  </si>
  <si>
    <t xml:space="preserve"> Ахвердян Шогик Славиковна</t>
  </si>
  <si>
    <t xml:space="preserve">Время действовать </t>
  </si>
  <si>
    <t>Ахвердян Шогик Славиковна</t>
  </si>
  <si>
    <t>43. АН - ПГР</t>
  </si>
  <si>
    <t>Да</t>
  </si>
  <si>
    <t>5/2-13/200</t>
  </si>
  <si>
    <t xml:space="preserve"> Годованик Наталья Михайловна</t>
  </si>
  <si>
    <t>Годованик Наталья Михайловна</t>
  </si>
  <si>
    <t>Нет</t>
  </si>
  <si>
    <t>5/4-10/468</t>
  </si>
  <si>
    <t xml:space="preserve"> Захаров Валерий Николаевич</t>
  </si>
  <si>
    <t>Захаров Валерий Николаевич</t>
  </si>
  <si>
    <t>5/3-15/323</t>
  </si>
  <si>
    <t xml:space="preserve"> Ишханян Ани Мкртичевна</t>
  </si>
  <si>
    <t>Ишханян Ани Мкртичевна</t>
  </si>
  <si>
    <t xml:space="preserve"> Незабудкина Светлана Сергеевна</t>
  </si>
  <si>
    <t>Незабудкина Светлана Сергеевна</t>
  </si>
  <si>
    <t>5/4-06/435</t>
  </si>
  <si>
    <t xml:space="preserve"> Звонов Александр Александрович; Звонова Яна Николаевна</t>
  </si>
  <si>
    <t>Звонов Александр Александрович</t>
  </si>
  <si>
    <t>5/1-09/060</t>
  </si>
  <si>
    <t xml:space="preserve"> Миронцева Евгения Александровна</t>
  </si>
  <si>
    <t>Миронцева Евгения Александровна</t>
  </si>
  <si>
    <t>5/3-16/329</t>
  </si>
  <si>
    <t xml:space="preserve"> Хайдаров Даврон Кодирович; Хайдарова Дилмира Саидалиевна</t>
  </si>
  <si>
    <t>Время действовать/Многодетная семья</t>
  </si>
  <si>
    <t>Хайдаров Даврон Кодирович</t>
  </si>
  <si>
    <t>5/3-16/331</t>
  </si>
  <si>
    <t xml:space="preserve"> Новиков Иван Алексеевич</t>
  </si>
  <si>
    <t>Новиков Иван Алексеевич</t>
  </si>
  <si>
    <t>Доп соглашение на смену отделки с черновой на чистовую</t>
  </si>
  <si>
    <t>Уступка</t>
  </si>
  <si>
    <t>5/1-02/007</t>
  </si>
  <si>
    <t xml:space="preserve">Поленов Евгений Александрович            </t>
  </si>
  <si>
    <t>Поленов Евгений Александрович</t>
  </si>
  <si>
    <t>Скидка новоселам</t>
  </si>
  <si>
    <t>Время действовать\Скидка семьям с детьми с ОВЗ</t>
  </si>
  <si>
    <t>Реализовано</t>
  </si>
  <si>
    <t>Остаток</t>
  </si>
  <si>
    <t>White box</t>
  </si>
  <si>
    <t xml:space="preserve"> </t>
  </si>
  <si>
    <t xml:space="preserve">  </t>
  </si>
  <si>
    <t xml:space="preserve">Итог  </t>
  </si>
  <si>
    <t>Итог  %</t>
  </si>
  <si>
    <t xml:space="preserve"> %</t>
  </si>
  <si>
    <t xml:space="preserve">    </t>
  </si>
  <si>
    <t xml:space="preserve">     </t>
  </si>
  <si>
    <t>1 Итог</t>
  </si>
  <si>
    <t>3 Итог</t>
  </si>
  <si>
    <t>4 Итог</t>
  </si>
  <si>
    <t>6 Итог</t>
  </si>
  <si>
    <t>7 Итог</t>
  </si>
  <si>
    <t>2 Итог</t>
  </si>
  <si>
    <t>5 Итог</t>
  </si>
  <si>
    <t>Секция А</t>
  </si>
  <si>
    <t>Распределить</t>
  </si>
  <si>
    <t>Секция Б</t>
  </si>
  <si>
    <t>8 Итог</t>
  </si>
  <si>
    <t>Секция В</t>
  </si>
  <si>
    <t>Секция Г</t>
  </si>
  <si>
    <t>(Все)</t>
  </si>
  <si>
    <t>5/3-17/340</t>
  </si>
  <si>
    <t xml:space="preserve"> Кувачева Юлия Олеговна</t>
  </si>
  <si>
    <t xml:space="preserve">Большие скидки на маленькие квартиры </t>
  </si>
  <si>
    <t>Кувачева Юлия Олеговна</t>
  </si>
  <si>
    <t>5/2-08/166</t>
  </si>
  <si>
    <t xml:space="preserve"> Хайитбоева Нелли Александровна</t>
  </si>
  <si>
    <t>Хайитбоева Нелли Александровна</t>
  </si>
  <si>
    <t xml:space="preserve"> Умбетов Серик Викторович</t>
  </si>
  <si>
    <t>Умбетов Серик Викторович</t>
  </si>
  <si>
    <t>5/1-16/105</t>
  </si>
  <si>
    <t xml:space="preserve"> Филиппов Сергей Николаевич</t>
  </si>
  <si>
    <t>Скидка новосёлам</t>
  </si>
  <si>
    <t>Филиппов Сергей Николаевич</t>
  </si>
  <si>
    <t>02.6 Рекомендации - Мои соседи</t>
  </si>
  <si>
    <t>5/1-08/055</t>
  </si>
  <si>
    <t xml:space="preserve"> Купцова Наталья Львовна</t>
  </si>
  <si>
    <t>Купцова Наталья Львовна</t>
  </si>
  <si>
    <t>5/2-13/199</t>
  </si>
  <si>
    <t xml:space="preserve"> Казакова Олеся Юрьевна</t>
  </si>
  <si>
    <t>Казакова Олеся Юрьевна</t>
  </si>
  <si>
    <t>5/4-20/542</t>
  </si>
  <si>
    <t xml:space="preserve"> Джамолов Джахонгир Бахтиярович</t>
  </si>
  <si>
    <t>Джамолов Джахонгир Бахтиярович</t>
  </si>
  <si>
    <t>5/4-10/465</t>
  </si>
  <si>
    <t xml:space="preserve"> Малышева Светлана Александровна</t>
  </si>
  <si>
    <t>Малышева Светлана Александровна</t>
  </si>
  <si>
    <t>5/4-05/427</t>
  </si>
  <si>
    <t xml:space="preserve"> Николаев Фёдор Владимирович; Николаева Елизавета Алексеевна</t>
  </si>
  <si>
    <t>Николаев Фёдор Владимирович</t>
  </si>
  <si>
    <t>05.6 Соцсети - Telegram</t>
  </si>
  <si>
    <t>5/2-13/197</t>
  </si>
  <si>
    <t xml:space="preserve"> Жилина Ольга Владимировна</t>
  </si>
  <si>
    <t>Жилина Ольга Владимировна</t>
  </si>
  <si>
    <t>5/4-09/457</t>
  </si>
  <si>
    <t xml:space="preserve"> Ишков Алексей Александрович</t>
  </si>
  <si>
    <t>Ишков Алексей Александрович</t>
  </si>
  <si>
    <t>5/2-02/123</t>
  </si>
  <si>
    <t xml:space="preserve"> Чернова Алиса Дмитриевна</t>
  </si>
  <si>
    <t>Чернова Алиса Дмитриевна</t>
  </si>
  <si>
    <t>5/3-06/260</t>
  </si>
  <si>
    <t xml:space="preserve"> Мурадян Артак Манвелович</t>
  </si>
  <si>
    <t>Мурадян Артак Манвелович</t>
  </si>
  <si>
    <t>5/1-02/011</t>
  </si>
  <si>
    <t xml:space="preserve"> Азизова Зебо Исроиловна</t>
  </si>
  <si>
    <t>Азизова Зебо Исроиловна</t>
  </si>
  <si>
    <t>5/4-02/398</t>
  </si>
  <si>
    <t xml:space="preserve"> Исомаддинова Фируза Фахриддиновна</t>
  </si>
  <si>
    <t>Большие скидки на маленькие квартиры/Многодетная семья</t>
  </si>
  <si>
    <t>Исомаддинова Фируза Фахриддиновна</t>
  </si>
  <si>
    <t>Расторжение</t>
  </si>
  <si>
    <t>Скидка сотруднику + Большие скидки на маленькие квартиры</t>
  </si>
  <si>
    <t>Время действовать + Индивидуальная скидка</t>
  </si>
  <si>
    <t>ТП Комната 1</t>
  </si>
  <si>
    <t>ТП Комната 2</t>
  </si>
  <si>
    <t>ТП Комната 3</t>
  </si>
  <si>
    <t>Площадь по ТП жилая</t>
  </si>
  <si>
    <t>ТП Кухня</t>
  </si>
  <si>
    <t>ТП Ванная</t>
  </si>
  <si>
    <t>ТП С\У</t>
  </si>
  <si>
    <t>ТП Гардеробная</t>
  </si>
  <si>
    <t>ТП Коридор</t>
  </si>
  <si>
    <t>ТП Лоджия 1</t>
  </si>
  <si>
    <t>ТП Лоджия 2</t>
  </si>
  <si>
    <t>ТП Лоджия 3</t>
  </si>
  <si>
    <t>ТП Летние</t>
  </si>
  <si>
    <t>ТП общая S</t>
  </si>
  <si>
    <t>ТП Площадь без летних</t>
  </si>
  <si>
    <t>Расчетная ТП площадь</t>
  </si>
  <si>
    <t>Сумма доплаты</t>
  </si>
  <si>
    <t>Расхождение</t>
  </si>
  <si>
    <t>Столбец1</t>
  </si>
  <si>
    <t>кроме того прочая
(без коэффициента)</t>
  </si>
  <si>
    <t>Расхождение, %</t>
  </si>
  <si>
    <t>район, город Самара, Южное шоссе, д. 13, квартира 1</t>
  </si>
  <si>
    <t>63:01:0407002:3260</t>
  </si>
  <si>
    <t>район, город Самара, Южное шоссе, д. 13, квартира 2</t>
  </si>
  <si>
    <t>63:01:0407002:3371</t>
  </si>
  <si>
    <t>район, город Самара, Южное шоссе, д. 13, квартира 3</t>
  </si>
  <si>
    <t>63:01:0407002:3482</t>
  </si>
  <si>
    <t>район, город Самара, Южное шоссе, д. 13, квартира 4</t>
  </si>
  <si>
    <t>63:01:0407002:3593</t>
  </si>
  <si>
    <t>район, город Самара, Южное шоссе, д. 13, квартира 5</t>
  </si>
  <si>
    <t>63:01:0407002:3693</t>
  </si>
  <si>
    <t>район, город Самара, Южное шоссе, д. 13, квартира 6</t>
  </si>
  <si>
    <t>63:01:0407002:3704</t>
  </si>
  <si>
    <t>район, город Самара, Южное шоссе, д. 13, квартира 7</t>
  </si>
  <si>
    <t>63:01:0407002:3715</t>
  </si>
  <si>
    <t>район, город Самара, Южное шоссе, д. 13, квартира 8</t>
  </si>
  <si>
    <t>63:01:0407002:3726</t>
  </si>
  <si>
    <t>район, город Самара, Южное шоссе, д. 13, квартира 9</t>
  </si>
  <si>
    <t>63:01:0407002:3150</t>
  </si>
  <si>
    <t>район, город Самара, Южное шоссе, д. 13, квартира 10</t>
  </si>
  <si>
    <t>63:01:0407002:3161</t>
  </si>
  <si>
    <t>район, город Самара, Южное шоссе, д. 13, квартира 11</t>
  </si>
  <si>
    <t>63:01:0407002:3172</t>
  </si>
  <si>
    <t>район, город Самара, Южное шоссе, д. 13, квартира 12</t>
  </si>
  <si>
    <t>63:01:0407002:3183</t>
  </si>
  <si>
    <t>район, город Самара, Южное шоссе, д. 13, квартира 13</t>
  </si>
  <si>
    <t>63:01:0407002:3194</t>
  </si>
  <si>
    <t>район, город Самара, Южное шоссе, д. 13, квартира 14</t>
  </si>
  <si>
    <t>63:01:0407002:3205</t>
  </si>
  <si>
    <t>район, город Самара, Южное шоссе, д. 13, квартира 15</t>
  </si>
  <si>
    <t>63:01:0407002:3216</t>
  </si>
  <si>
    <t>район, город Самара, Южное шоссе, д. 13, квартира 16</t>
  </si>
  <si>
    <t>63:01:0407002:3227</t>
  </si>
  <si>
    <t>район, город Самара, Южное шоссе, д. 13, квартира 17</t>
  </si>
  <si>
    <t>63:01:0407002:3238</t>
  </si>
  <si>
    <t>район, город Самара, Южное шоссе, д. 13, квартира 18</t>
  </si>
  <si>
    <t>63:01:0407002:3249</t>
  </si>
  <si>
    <t>район, город Самара, Южное шоссе, д. 13, квартира 19</t>
  </si>
  <si>
    <t>63:01:0407002:3261</t>
  </si>
  <si>
    <t>район, город Самара, Южное шоссе, д. 13, квартира 20</t>
  </si>
  <si>
    <t>63:01:0407002:3272</t>
  </si>
  <si>
    <t>район, город Самара, Южное шоссе, д. 13, квартира 21</t>
  </si>
  <si>
    <t>63:01:0407002:3283</t>
  </si>
  <si>
    <t>район, город Самара, Южное шоссе, д. 13, квартира 22</t>
  </si>
  <si>
    <t>63:01:0407002:3294</t>
  </si>
  <si>
    <t>район, город Самара, Южное шоссе, д. 13, квартира 23</t>
  </si>
  <si>
    <t>63:01:0407002:3305</t>
  </si>
  <si>
    <t>район, город Самара, Южное шоссе, д. 13, квартира 24</t>
  </si>
  <si>
    <t>63:01:0407002:3316</t>
  </si>
  <si>
    <t>район, город Самара, Южное шоссе, д. 13, квартира 25</t>
  </si>
  <si>
    <t>63:01:0407002:3327</t>
  </si>
  <si>
    <t>район, город Самара, Южное шоссе, д. 13, квартира 26</t>
  </si>
  <si>
    <t>63:01:0407002:3338</t>
  </si>
  <si>
    <t>район, город Самара, Южное шоссе, д. 13, квартира 27</t>
  </si>
  <si>
    <t>63:01:0407002:3349</t>
  </si>
  <si>
    <t>район, город Самара, Южное шоссе, д. 13, квартира 28</t>
  </si>
  <si>
    <t>63:01:0407002:3360</t>
  </si>
  <si>
    <t>район, город Самара, Южное шоссе, д. 13, квартира 29</t>
  </si>
  <si>
    <t>63:01:0407002:3372</t>
  </si>
  <si>
    <t>район, город Самара, Южное шоссе, д. 13, квартира 30</t>
  </si>
  <si>
    <t>63:01:0407002:3383</t>
  </si>
  <si>
    <t>район, город Самара, Южное шоссе, д. 13, квартира 31</t>
  </si>
  <si>
    <t>63:01:0407002:3394</t>
  </si>
  <si>
    <t>район, город Самара, Южное шоссе, д. 13, квартира 32</t>
  </si>
  <si>
    <t>63:01:0407002:3405</t>
  </si>
  <si>
    <t>район, город Самара, Южное шоссе, д. 13, квартира 33</t>
  </si>
  <si>
    <t>63:01:0407002:3416</t>
  </si>
  <si>
    <t>район, город Самара, Южное шоссе, д. 13, квартира 34</t>
  </si>
  <si>
    <t>63:01:0407002:3427</t>
  </si>
  <si>
    <t>район, город Самара, Южное шоссе, д. 13, квартира 35</t>
  </si>
  <si>
    <t>63:01:0407002:3438</t>
  </si>
  <si>
    <t>район, город Самара, Южное шоссе, д. 13, квартира 36</t>
  </si>
  <si>
    <t>63:01:0407002:3449</t>
  </si>
  <si>
    <t>район, город Самара, Южное шоссе, д. 13, квартира 37</t>
  </si>
  <si>
    <t>63:01:0407002:3460</t>
  </si>
  <si>
    <t>район, город Самара, Южное шоссе, д. 13, квартира 38</t>
  </si>
  <si>
    <t>63:01:0407002:3471</t>
  </si>
  <si>
    <t>район, город Самара, Южное шоссе, д. 13, квартира 39</t>
  </si>
  <si>
    <t>63:01:0407002:3483</t>
  </si>
  <si>
    <t>район, город Самара, Южное шоссе, д. 13, квартира 40</t>
  </si>
  <si>
    <t>63:01:0407002:3494</t>
  </si>
  <si>
    <t>район, город Самара, Южное шоссе, д. 13, квартира 41</t>
  </si>
  <si>
    <t>63:01:0407002:3505</t>
  </si>
  <si>
    <t>район, город Самара, Южное шоссе, д. 13, квартира 42</t>
  </si>
  <si>
    <t>63:01:0407002:3516</t>
  </si>
  <si>
    <t>район, город Самара, Южное шоссе, д. 13, квартира 43</t>
  </si>
  <si>
    <t>63:01:0407002:3527</t>
  </si>
  <si>
    <t>район, город Самара, Южное шоссе, д. 13, квартира 44</t>
  </si>
  <si>
    <t>63:01:0407002:3538</t>
  </si>
  <si>
    <t>район, город Самара, Южное шоссе, д. 13, квартира 45</t>
  </si>
  <si>
    <t>63:01:0407002:3549</t>
  </si>
  <si>
    <t>район, город Самара, Южное шоссе, д. 13, квартира 46</t>
  </si>
  <si>
    <t>63:01:0407002:3560</t>
  </si>
  <si>
    <t>район, город Самара, Южное шоссе, д. 13, квартира 47</t>
  </si>
  <si>
    <t>63:01:0407002:3571</t>
  </si>
  <si>
    <t>район, город Самара, Южное шоссе, д. 13, квартира 48</t>
  </si>
  <si>
    <t>63:01:0407002:3582</t>
  </si>
  <si>
    <t>район, город Самара, Южное шоссе, д. 13, квартира 49</t>
  </si>
  <si>
    <t>63:01:0407002:3594</t>
  </si>
  <si>
    <t>район, город Самара, Южное шоссе, д. 13, квартира 50</t>
  </si>
  <si>
    <t>63:01:0407002:3605</t>
  </si>
  <si>
    <t>район, город Самара, Южное шоссе, д. 13, квартира 51</t>
  </si>
  <si>
    <t>63:01:0407002:3616</t>
  </si>
  <si>
    <t>район, город Самара, Южное шоссе, д. 13, квартира 52</t>
  </si>
  <si>
    <t>63:01:0407002:3627</t>
  </si>
  <si>
    <t>район, город Самара, Южное шоссе, д. 13, квартира 53</t>
  </si>
  <si>
    <t>63:01:0407002:3638</t>
  </si>
  <si>
    <t>район, город Самара, Южное шоссе, д. 13, квартира 54</t>
  </si>
  <si>
    <t>63:01:0407002:3649</t>
  </si>
  <si>
    <t>район, город Самара, Южное шоссе, д. 13, квартира 55</t>
  </si>
  <si>
    <t>63:01:0407002:3660</t>
  </si>
  <si>
    <t>район, город Самара, Южное шоссе, д. 13, квартира 56</t>
  </si>
  <si>
    <t>63:01:0407002:3671</t>
  </si>
  <si>
    <t>район, город Самара, Южное шоссе, д. 13, квартира 57</t>
  </si>
  <si>
    <t>63:01:0407002:3682</t>
  </si>
  <si>
    <t>район, город Самара, Южное шоссе, д. 13, квартира 58</t>
  </si>
  <si>
    <t>63:01:0407002:3692</t>
  </si>
  <si>
    <t>район, город Самара, Южное шоссе, д. 13, квартира 59</t>
  </si>
  <si>
    <t>63:01:0407002:3694</t>
  </si>
  <si>
    <t>район, город Самара, Южное шоссе, д. 13, квартира 60</t>
  </si>
  <si>
    <t>63:01:0407002:3695</t>
  </si>
  <si>
    <t>район, город Самара, Южное шоссе, д. 13, квартира 61</t>
  </si>
  <si>
    <t>63:01:0407002:3696</t>
  </si>
  <si>
    <t>район, город Самара, Южное шоссе, д. 13, квартира 62</t>
  </si>
  <si>
    <t>63:01:0407002:3697</t>
  </si>
  <si>
    <t>район, город Самара, Южное шоссе, д. 13, квартира 63</t>
  </si>
  <si>
    <t>63:01:0407002:3698</t>
  </si>
  <si>
    <t>район, город Самара, Южное шоссе, д. 13, квартира 64</t>
  </si>
  <si>
    <t>63:01:0407002:3699</t>
  </si>
  <si>
    <t>район, город Самара, Южное шоссе, д. 13, квартира 65</t>
  </si>
  <si>
    <t>63:01:0407002:3700</t>
  </si>
  <si>
    <t>район, город Самара, Южное шоссе, д. 13, квартира 66</t>
  </si>
  <si>
    <t>63:01:0407002:3701</t>
  </si>
  <si>
    <t>район, город Самара, Южное шоссе, д. 13, квартира 67</t>
  </si>
  <si>
    <t>63:01:0407002:3702</t>
  </si>
  <si>
    <t>район, город Самара, Южное шоссе, д. 13, квартира 68</t>
  </si>
  <si>
    <t>63:01:0407002:3703</t>
  </si>
  <si>
    <t>район, город Самара, Южное шоссе, д. 13, квартира 69</t>
  </si>
  <si>
    <t>63:01:0407002:3705</t>
  </si>
  <si>
    <t>район, город Самара, Южное шоссе, д. 13, квартира 70</t>
  </si>
  <si>
    <t>63:01:0407002:3706</t>
  </si>
  <si>
    <t>район, город Самара, Южное шоссе, д. 13, квартира 71</t>
  </si>
  <si>
    <t>63:01:0407002:3707</t>
  </si>
  <si>
    <t>район, город Самара, Южное шоссе, д. 13, квартира 72</t>
  </si>
  <si>
    <t>63:01:0407002:3708</t>
  </si>
  <si>
    <t>район, город Самара, Южное шоссе, д. 13, квартира 73</t>
  </si>
  <si>
    <t>63:01:0407002:3709</t>
  </si>
  <si>
    <t>район, город Самара, Южное шоссе, д. 13, квартира 74</t>
  </si>
  <si>
    <t>63:01:0407002:3710</t>
  </si>
  <si>
    <t>район, город Самара, Южное шоссе, д. 13, квартира 75</t>
  </si>
  <si>
    <t>63:01:0407002:3711</t>
  </si>
  <si>
    <t>район, город Самара, Южное шоссе, д. 13, квартира 76</t>
  </si>
  <si>
    <t>63:01:0407002:3712</t>
  </si>
  <si>
    <t>район, город Самара, Южное шоссе, д. 13, квартира 77</t>
  </si>
  <si>
    <t>63:01:0407002:3713</t>
  </si>
  <si>
    <t>район, город Самара, Южное шоссе, д. 13, квартира 78</t>
  </si>
  <si>
    <t>63:01:0407002:3714</t>
  </si>
  <si>
    <t>район, город Самара, Южное шоссе, д. 13, квартира 79</t>
  </si>
  <si>
    <t>63:01:0407002:3716</t>
  </si>
  <si>
    <t>район, город Самара, Южное шоссе, д. 13, квартира 80</t>
  </si>
  <si>
    <t>63:01:0407002:3717</t>
  </si>
  <si>
    <t>район, город Самара, Южное шоссе, д. 13, квартира 81</t>
  </si>
  <si>
    <t>63:01:0407002:3718</t>
  </si>
  <si>
    <t>район, город Самара, Южное шоссе, д. 13, квартира 82</t>
  </si>
  <si>
    <t>63:01:0407002:3719</t>
  </si>
  <si>
    <t>район, город Самара, Южное шоссе, д. 13, квартира 83</t>
  </si>
  <si>
    <t>63:01:0407002:3720</t>
  </si>
  <si>
    <t>район, город Самара, Южное шоссе, д. 13, квартира 84</t>
  </si>
  <si>
    <t>63:01:0407002:3721</t>
  </si>
  <si>
    <t>район, город Самара, Южное шоссе, д. 13, квартира 85</t>
  </si>
  <si>
    <t>63:01:0407002:3722</t>
  </si>
  <si>
    <t>район, город Самара, Южное шоссе, д. 13, квартира 86</t>
  </si>
  <si>
    <t>63:01:0407002:3723</t>
  </si>
  <si>
    <t>район, город Самара, Южное шоссе, д. 13, квартира 87</t>
  </si>
  <si>
    <t>63:01:0407002:3724</t>
  </si>
  <si>
    <t>район, город Самара, Южное шоссе, д. 13, квартира 88</t>
  </si>
  <si>
    <t>63:01:0407002:3725</t>
  </si>
  <si>
    <t>район, город Самара, Южное шоссе, д. 13, квартира 89</t>
  </si>
  <si>
    <t>63:01:0407002:3727</t>
  </si>
  <si>
    <t>район, город Самара, Южное шоссе, д. 13, квартира 90</t>
  </si>
  <si>
    <t>63:01:0407002:3728</t>
  </si>
  <si>
    <t>район, город Самара, Южное шоссе, д. 13, квартира 91</t>
  </si>
  <si>
    <t>63:01:0407002:3729</t>
  </si>
  <si>
    <t>район, город Самара, Южное шоссе, д. 13, квартира 92</t>
  </si>
  <si>
    <t>63:01:0407002:3730</t>
  </si>
  <si>
    <t>район, город Самара, Южное шоссе, д. 13, квартира 93</t>
  </si>
  <si>
    <t>63:01:0407002:3731</t>
  </si>
  <si>
    <t>район, город Самара, Южное шоссе, д. 13, квартира 94</t>
  </si>
  <si>
    <t>63:01:0407002:3732</t>
  </si>
  <si>
    <t>район, город Самара, Южное шоссе, д. 13, квартира 95</t>
  </si>
  <si>
    <t>63:01:0407002:3733</t>
  </si>
  <si>
    <t>район, город Самара, Южное шоссе, д. 13, квартира 96</t>
  </si>
  <si>
    <t>63:01:0407002:3734</t>
  </si>
  <si>
    <t>район, город Самара, Южное шоссе, д. 13, квартира 97</t>
  </si>
  <si>
    <t>63:01:0407002:3735</t>
  </si>
  <si>
    <t>район, город Самара, Южное шоссе, д. 13, квартира 98</t>
  </si>
  <si>
    <t>63:01:0407002:3736</t>
  </si>
  <si>
    <t>район, город Самара, Южное шоссе, д. 13, квартира 99</t>
  </si>
  <si>
    <t>63:01:0407002:3151</t>
  </si>
  <si>
    <t>район, город Самара, Южное шоссе, д. 13, квартира 100</t>
  </si>
  <si>
    <t>63:01:0407002:3152</t>
  </si>
  <si>
    <t>район, город Самара, Южное шоссе, д. 13, квартира 101</t>
  </si>
  <si>
    <t>63:01:0407002:3153</t>
  </si>
  <si>
    <t>район, город Самара, Южное шоссе, д. 13, квартира 102</t>
  </si>
  <si>
    <t>63:01:0407002:3154</t>
  </si>
  <si>
    <t>район, город Самара, Южное шоссе, д. 13, квартира 103</t>
  </si>
  <si>
    <t>63:01:0407002:3155</t>
  </si>
  <si>
    <t>район, город Самара, Южное шоссе, д. 13, квартира 104</t>
  </si>
  <si>
    <t>63:01:0407002:3156</t>
  </si>
  <si>
    <t>район, город Самара, Южное шоссе, д. 13, квартира 105</t>
  </si>
  <si>
    <t>63:01:0407002:3157</t>
  </si>
  <si>
    <t>район, город Самара, Южное шоссе, д. 13, квартира 106</t>
  </si>
  <si>
    <t>63:01:0407002:3158</t>
  </si>
  <si>
    <t>район, город Самара, Южное шоссе, д. 13, квартира 107</t>
  </si>
  <si>
    <t>63:01:0407002:3159</t>
  </si>
  <si>
    <t>район, город Самара, Южное шоссе, д. 13, квартира 108</t>
  </si>
  <si>
    <t>63:01:0407002:3160</t>
  </si>
  <si>
    <t>район, город Самара, Южное шоссе, д. 13, квартира 109</t>
  </si>
  <si>
    <t>63:01:0407002:3162</t>
  </si>
  <si>
    <t>район, город Самара, Южное шоссе, д. 13, квартира 110</t>
  </si>
  <si>
    <t>63:01:0407002:3163</t>
  </si>
  <si>
    <t>район, город Самара, Южное шоссе, д. 13, квартира 111</t>
  </si>
  <si>
    <t>63:01:0407002:3164</t>
  </si>
  <si>
    <t>район, город Самара, Южное шоссе, д. 13, квартира 112</t>
  </si>
  <si>
    <t>63:01:0407002:3165</t>
  </si>
  <si>
    <t>район, город Самара, Южное шоссе, д. 13, квартира 113</t>
  </si>
  <si>
    <t>63:01:0407002:3166</t>
  </si>
  <si>
    <t>район, город Самара, Южное шоссе, д. 13, квартира 114</t>
  </si>
  <si>
    <t>63:01:0407002:3167</t>
  </si>
  <si>
    <t>район, город Самара, Южное шоссе, д. 13, квартира 115</t>
  </si>
  <si>
    <t>63:01:0407002:3168</t>
  </si>
  <si>
    <t>район, город Самара, Южное шоссе, д. 13, квартира 116</t>
  </si>
  <si>
    <t>63:01:0407002:3169</t>
  </si>
  <si>
    <t>район, город Самара, Южное шоссе, д. 13, квартира 117</t>
  </si>
  <si>
    <t>63:01:0407002:3170</t>
  </si>
  <si>
    <t>район, город Самара, Южное шоссе, д. 13, квартира 118</t>
  </si>
  <si>
    <t>63:01:0407002:3171</t>
  </si>
  <si>
    <t>район, город Самара, Южное шоссе, д. 13, квартира 119</t>
  </si>
  <si>
    <t>63:01:0407002:3173</t>
  </si>
  <si>
    <t>район, город Самара, Южное шоссе, д. 13, квартира 120</t>
  </si>
  <si>
    <t>63:01:0407002:3174</t>
  </si>
  <si>
    <t>район, город Самара, Южное шоссе, д. 13, квартира 121</t>
  </si>
  <si>
    <t>63:01:0407002:3175</t>
  </si>
  <si>
    <t>район, город Самара, Южное шоссе, д. 13, квартира 122</t>
  </si>
  <si>
    <t>63:01:0407002:3176</t>
  </si>
  <si>
    <t>район, город Самара, Южное шоссе, д. 13, квартира 123</t>
  </si>
  <si>
    <t>63:01:0407002:3177</t>
  </si>
  <si>
    <t>район, город Самара, Южное шоссе, д. 13, квартира 124</t>
  </si>
  <si>
    <t>63:01:0407002:3178</t>
  </si>
  <si>
    <t>район, город Самара, Южное шоссе, д. 13, квартира 125</t>
  </si>
  <si>
    <t>63:01:0407002:3179</t>
  </si>
  <si>
    <t>район, город Самара, Южное шоссе, д. 13, квартира 126</t>
  </si>
  <si>
    <t>63:01:0407002:3180</t>
  </si>
  <si>
    <t>район, город Самара, Южное шоссе, д. 13, квартира 127</t>
  </si>
  <si>
    <t>63:01:0407002:3181</t>
  </si>
  <si>
    <t>район, город Самара, Южное шоссе, д. 13, квартира 128</t>
  </si>
  <si>
    <t>63:01:0407002:3182</t>
  </si>
  <si>
    <t>район, город Самара, Южное шоссе, д. 13, квартира 129</t>
  </si>
  <si>
    <t>63:01:0407002:3184</t>
  </si>
  <si>
    <t>район, город Самара, Южное шоссе, д. 13, квартира 130</t>
  </si>
  <si>
    <t>63:01:0407002:3185</t>
  </si>
  <si>
    <t>район, город Самара, Южное шоссе, д. 13, квартира 131</t>
  </si>
  <si>
    <t>63:01:0407002:3186</t>
  </si>
  <si>
    <t>район, город Самара, Южное шоссе, д. 13, квартира 132</t>
  </si>
  <si>
    <t>63:01:0407002:3187</t>
  </si>
  <si>
    <t>район, город Самара, Южное шоссе, д. 13, квартира 133</t>
  </si>
  <si>
    <t>63:01:0407002:3188</t>
  </si>
  <si>
    <t>район, город Самара, Южное шоссе, д. 13, квартира 134</t>
  </si>
  <si>
    <t>63:01:0407002:3189</t>
  </si>
  <si>
    <t>район, город Самара, Южное шоссе, д. 13, квартира 135</t>
  </si>
  <si>
    <t>63:01:0407002:3190</t>
  </si>
  <si>
    <t>район, город Самара, Южное шоссе, д. 13, квартира 136</t>
  </si>
  <si>
    <t>63:01:0407002:3191</t>
  </si>
  <si>
    <t>район, город Самара, Южное шоссе, д. 13, квартира 137</t>
  </si>
  <si>
    <t>63:01:0407002:3192</t>
  </si>
  <si>
    <t>район, город Самара, Южное шоссе, д. 13, квартира 138</t>
  </si>
  <si>
    <t>63:01:0407002:3193</t>
  </si>
  <si>
    <t>район, город Самара, Южное шоссе, д. 13, квартира 139</t>
  </si>
  <si>
    <t>63:01:0407002:3195</t>
  </si>
  <si>
    <t>район, город Самара, Южное шоссе, д. 13, квартира 140</t>
  </si>
  <si>
    <t>63:01:0407002:3196</t>
  </si>
  <si>
    <t>район, город Самара, Южное шоссе, д. 13, квартира 141</t>
  </si>
  <si>
    <t>63:01:0407002:3197</t>
  </si>
  <si>
    <t>район, город Самара, Южное шоссе, д. 13, квартира 142</t>
  </si>
  <si>
    <t>63:01:0407002:3198</t>
  </si>
  <si>
    <t>район, город Самара, Южное шоссе, д. 13, квартира 143</t>
  </si>
  <si>
    <t>63:01:0407002:3199</t>
  </si>
  <si>
    <t>район, город Самара, Южное шоссе, д. 13, квартира 144</t>
  </si>
  <si>
    <t>63:01:0407002:3200</t>
  </si>
  <si>
    <t>район, город Самара, Южное шоссе, д. 13, квартира 145</t>
  </si>
  <si>
    <t>63:01:0407002:3201</t>
  </si>
  <si>
    <t>район, город Самара, Южное шоссе, д. 13, квартира 146</t>
  </si>
  <si>
    <t>63:01:0407002:3202</t>
  </si>
  <si>
    <t>район, город Самара, Южное шоссе, д. 13, квартира 147</t>
  </si>
  <si>
    <t>63:01:0407002:3203</t>
  </si>
  <si>
    <t>район, город Самара, Южное шоссе, д. 13, квартира 148</t>
  </si>
  <si>
    <t>63:01:0407002:3204</t>
  </si>
  <si>
    <t>район, город Самара, Южное шоссе, д. 13, квартира 149</t>
  </si>
  <si>
    <t>63:01:0407002:3206</t>
  </si>
  <si>
    <t>район, город Самара, Южное шоссе, д. 13, квартира 150</t>
  </si>
  <si>
    <t>63:01:0407002:3207</t>
  </si>
  <si>
    <t>район, город Самара, Южное шоссе, д. 13, квартира 151</t>
  </si>
  <si>
    <t>63:01:0407002:3208</t>
  </si>
  <si>
    <t>район, город Самара, Южное шоссе, д. 13, квартира 152</t>
  </si>
  <si>
    <t>63:01:0407002:3209</t>
  </si>
  <si>
    <t>район, город Самара, Южное шоссе, д. 13, квартира 153</t>
  </si>
  <si>
    <t>63:01:0407002:3210</t>
  </si>
  <si>
    <t>район, город Самара, Южное шоссе, д. 13, квартира 154</t>
  </si>
  <si>
    <t>63:01:0407002:3211</t>
  </si>
  <si>
    <t>район, город Самара, Южное шоссе, д. 13, квартира 155</t>
  </si>
  <si>
    <t>63:01:0407002:3212</t>
  </si>
  <si>
    <t>район, город Самара, Южное шоссе, д. 13, квартира 156</t>
  </si>
  <si>
    <t>63:01:0407002:3213</t>
  </si>
  <si>
    <t>район, город Самара, Южное шоссе, д. 13, квартира 157</t>
  </si>
  <si>
    <t>63:01:0407002:3214</t>
  </si>
  <si>
    <t>район, город Самара, Южное шоссе, д. 13, квартира 158</t>
  </si>
  <si>
    <t>63:01:0407002:3215</t>
  </si>
  <si>
    <t>район, город Самара, Южное шоссе, д. 13, квартира 159</t>
  </si>
  <si>
    <t>63:01:0407002:3217</t>
  </si>
  <si>
    <t>район, город Самара, Южное шоссе, д. 13, квартира 160</t>
  </si>
  <si>
    <t>63:01:0407002:3218</t>
  </si>
  <si>
    <t>район, город Самара, Южное шоссе, д. 13, квартира 161</t>
  </si>
  <si>
    <t>63:01:0407002:3219</t>
  </si>
  <si>
    <t>район, город Самара, Южное шоссе, д. 13, квартира 162</t>
  </si>
  <si>
    <t>63:01:0407002:3220</t>
  </si>
  <si>
    <t>район, город Самара, Южное шоссе, д. 13, квартира 163</t>
  </si>
  <si>
    <t>63:01:0407002:3221</t>
  </si>
  <si>
    <t>район, город Самара, Южное шоссе, д. 13, квартира 164</t>
  </si>
  <si>
    <t>63:01:0407002:3222</t>
  </si>
  <si>
    <t>район, город Самара, Южное шоссе, д. 13, квартира 165</t>
  </si>
  <si>
    <t>63:01:0407002:3223</t>
  </si>
  <si>
    <t>район, город Самара, Южное шоссе, д. 13, квартира 166</t>
  </si>
  <si>
    <t>63:01:0407002:3224</t>
  </si>
  <si>
    <t>район, город Самара, Южное шоссе, д. 13, квартира 167</t>
  </si>
  <si>
    <t>63:01:0407002:3225</t>
  </si>
  <si>
    <t>район, город Самара, Южное шоссе, д. 13, квартира 168</t>
  </si>
  <si>
    <t>63:01:0407002:3226</t>
  </si>
  <si>
    <t>район, город Самара, Южное шоссе, д. 13, квартира 169</t>
  </si>
  <si>
    <t>63:01:0407002:3228</t>
  </si>
  <si>
    <t>район, город Самара, Южное шоссе, д. 13, квартира 170</t>
  </si>
  <si>
    <t>63:01:0407002:3229</t>
  </si>
  <si>
    <t>район, город Самара, Южное шоссе, д. 13, квартира 171</t>
  </si>
  <si>
    <t>63:01:0407002:3230</t>
  </si>
  <si>
    <t>район, город Самара, Южное шоссе, д. 13, квартира 172</t>
  </si>
  <si>
    <t>63:01:0407002:3231</t>
  </si>
  <si>
    <t>район, город Самара, Южное шоссе, д. 13, квартира 173</t>
  </si>
  <si>
    <t>63:01:0407002:3232</t>
  </si>
  <si>
    <t>район, город Самара, Южное шоссе, д. 13, квартира 174</t>
  </si>
  <si>
    <t>63:01:0407002:3233</t>
  </si>
  <si>
    <t>район, город Самара, Южное шоссе, д. 13, квартира 175</t>
  </si>
  <si>
    <t>63:01:0407002:3234</t>
  </si>
  <si>
    <t>район, город Самара, Южное шоссе, д. 13, квартира 176</t>
  </si>
  <si>
    <t>63:01:0407002:3235</t>
  </si>
  <si>
    <t>район, город Самара, Южное шоссе, д. 13, квартира 177</t>
  </si>
  <si>
    <t>63:01:0407002:3236</t>
  </si>
  <si>
    <t>район, город Самара, Южное шоссе, д. 13, квартира 178</t>
  </si>
  <si>
    <t>63:01:0407002:3237</t>
  </si>
  <si>
    <t>район, город Самара, Южное шоссе, д. 13, квартира 179</t>
  </si>
  <si>
    <t>63:01:0407002:3239</t>
  </si>
  <si>
    <t>район, город Самара, Южное шоссе, д. 13, квартира 180</t>
  </si>
  <si>
    <t>63:01:0407002:3240</t>
  </si>
  <si>
    <t>район, город Самара, Южное шоссе, д. 13, квартира 181</t>
  </si>
  <si>
    <t>63:01:0407002:3241</t>
  </si>
  <si>
    <t>район, город Самара, Южное шоссе, д. 13, квартира 182</t>
  </si>
  <si>
    <t>63:01:0407002:3242</t>
  </si>
  <si>
    <t>район, город Самара, Южное шоссе, д. 13, квартира 183</t>
  </si>
  <si>
    <t>63:01:0407002:3243</t>
  </si>
  <si>
    <t>район, город Самара, Южное шоссе, д. 13, квартира 184</t>
  </si>
  <si>
    <t>63:01:0407002:3244</t>
  </si>
  <si>
    <t>район, город Самара, Южное шоссе, д. 13, квартира 185</t>
  </si>
  <si>
    <t>63:01:0407002:3245</t>
  </si>
  <si>
    <t>район, город Самара, Южное шоссе, д. 13, квартира 186</t>
  </si>
  <si>
    <t>63:01:0407002:3246</t>
  </si>
  <si>
    <t>район, город Самара, Южное шоссе, д. 13, квартира 187</t>
  </si>
  <si>
    <t>63:01:0407002:3247</t>
  </si>
  <si>
    <t>район, город Самара, Южное шоссе, д. 13, квартира 188</t>
  </si>
  <si>
    <t>63:01:0407002:3248</t>
  </si>
  <si>
    <t>район, город Самара, Южное шоссе, д. 13, квартира 189</t>
  </si>
  <si>
    <t>63:01:0407002:3250</t>
  </si>
  <si>
    <t>район, город Самара, Южное шоссе, д. 13, квартира 190</t>
  </si>
  <si>
    <t>63:01:0407002:3251</t>
  </si>
  <si>
    <t>район, город Самара, Южное шоссе, д. 13, квартира 191</t>
  </si>
  <si>
    <t>63:01:0407002:3252</t>
  </si>
  <si>
    <t>район, город Самара, Южное шоссе, д. 13, квартира 192</t>
  </si>
  <si>
    <t>63:01:0407002:3253</t>
  </si>
  <si>
    <t>район, город Самара, Южное шоссе, д. 13, квартира 193</t>
  </si>
  <si>
    <t>63:01:0407002:3254</t>
  </si>
  <si>
    <t>район, город Самара, Южное шоссе, д. 13, квартира 194</t>
  </si>
  <si>
    <t>63:01:0407002:3255</t>
  </si>
  <si>
    <t>район, город Самара, Южное шоссе, д. 13, квартира 195</t>
  </si>
  <si>
    <t>63:01:0407002:3256</t>
  </si>
  <si>
    <t>район, город Самара, Южное шоссе, д. 13, квартира 196</t>
  </si>
  <si>
    <t>63:01:0407002:3257</t>
  </si>
  <si>
    <t>район, город Самара, Южное шоссе, д. 13, квартира 197</t>
  </si>
  <si>
    <t>63:01:0407002:3258</t>
  </si>
  <si>
    <t>район, город Самара, Южное шоссе, д. 13, квартира 198</t>
  </si>
  <si>
    <t>63:01:0407002:3259</t>
  </si>
  <si>
    <t>район, город Самара, Южное шоссе, д. 13, квартира 199</t>
  </si>
  <si>
    <t>63:01:0407002:3262</t>
  </si>
  <si>
    <t>район, город Самара, Южное шоссе, д. 13, квартира 200</t>
  </si>
  <si>
    <t>63:01:0407002:3263</t>
  </si>
  <si>
    <t>район, город Самара, Южное шоссе, д. 13, квартира 201</t>
  </si>
  <si>
    <t>63:01:0407002:3264</t>
  </si>
  <si>
    <t>район, город Самара, Южное шоссе, д. 13, квартира 202</t>
  </si>
  <si>
    <t>63:01:0407002:3265</t>
  </si>
  <si>
    <t>район, город Самара, Южное шоссе, д. 13, квартира 203</t>
  </si>
  <si>
    <t>63:01:0407002:3266</t>
  </si>
  <si>
    <t>район, город Самара, Южное шоссе, д. 13, квартира 204</t>
  </si>
  <si>
    <t>63:01:0407002:3267</t>
  </si>
  <si>
    <t>район, город Самара, Южное шоссе, д. 13, квартира 205</t>
  </si>
  <si>
    <t>63:01:0407002:3268</t>
  </si>
  <si>
    <t>район, город Самара, Южное шоссе, д. 13, квартира 206</t>
  </si>
  <si>
    <t>63:01:0407002:3269</t>
  </si>
  <si>
    <t>район, город Самара, Южное шоссе, д. 13, квартира 207</t>
  </si>
  <si>
    <t>63:01:0407002:3270</t>
  </si>
  <si>
    <t>район, город Самара, Южное шоссе, д. 13, квартира 208</t>
  </si>
  <si>
    <t>63:01:0407002:3271</t>
  </si>
  <si>
    <t>район, город Самара, Южное шоссе, д. 13, квартира 209</t>
  </si>
  <si>
    <t>63:01:0407002:3273</t>
  </si>
  <si>
    <t>район, город Самара, Южное шоссе, д. 13, квартира 210</t>
  </si>
  <si>
    <t>63:01:0407002:3274</t>
  </si>
  <si>
    <t>район, город Самара, Южное шоссе, д. 13, квартира 211</t>
  </si>
  <si>
    <t>63:01:0407002:3275</t>
  </si>
  <si>
    <t>район, город Самара, Южное шоссе, д. 13, квартира 212</t>
  </si>
  <si>
    <t>63:01:0407002:3276</t>
  </si>
  <si>
    <t>район, город Самара, Южное шоссе, д. 13, квартира 213</t>
  </si>
  <si>
    <t>63:01:0407002:3277</t>
  </si>
  <si>
    <t>район, город Самара, Южное шоссе, д. 13, квартира 214</t>
  </si>
  <si>
    <t>63:01:0407002:3278</t>
  </si>
  <si>
    <t>район, город Самара, Южное шоссе, д. 13, квартира 215</t>
  </si>
  <si>
    <t>63:01:0407002:3279</t>
  </si>
  <si>
    <t>район, город Самара, Южное шоссе, д. 13, квартира 216</t>
  </si>
  <si>
    <t>63:01:0407002:3280</t>
  </si>
  <si>
    <t>район, город Самара, Южное шоссе, д. 13, квартира 217</t>
  </si>
  <si>
    <t>63:01:0407002:3281</t>
  </si>
  <si>
    <t>район, город Самара, Южное шоссе, д. 13, квартира 218</t>
  </si>
  <si>
    <t>63:01:0407002:3282</t>
  </si>
  <si>
    <t>район, город Самара, Южное шоссе, д. 13, квартира 219</t>
  </si>
  <si>
    <t>63:01:0407002:3284</t>
  </si>
  <si>
    <t>район, город Самара, Южное шоссе, д. 13, квартира 220</t>
  </si>
  <si>
    <t>63:01:0407002:3285</t>
  </si>
  <si>
    <t>район, город Самара, Южное шоссе, д. 13, квартира 221</t>
  </si>
  <si>
    <t>63:01:0407002:3286</t>
  </si>
  <si>
    <t>район, город Самара, Южное шоссе, д. 13, квартира 222</t>
  </si>
  <si>
    <t>63:01:0407002:3287</t>
  </si>
  <si>
    <t>район, город Самара, Южное шоссе, д. 13, квартира 223</t>
  </si>
  <si>
    <t>63:01:0407002:3288</t>
  </si>
  <si>
    <t>район, город Самара, Южное шоссе, д. 13, квартира 224</t>
  </si>
  <si>
    <t>63:01:0407002:3289</t>
  </si>
  <si>
    <t>район, город Самара, Южное шоссе, д. 13, квартира 225</t>
  </si>
  <si>
    <t>63:01:0407002:3290</t>
  </si>
  <si>
    <t>район, город Самара, Южное шоссе, д. 13, квартира 226</t>
  </si>
  <si>
    <t>63:01:0407002:3291</t>
  </si>
  <si>
    <t>район, город Самара, Южное шоссе, д. 13, квартира 227</t>
  </si>
  <si>
    <t>63:01:0407002:3292</t>
  </si>
  <si>
    <t>район, город Самара, Южное шоссе, д. 13, квартира 228</t>
  </si>
  <si>
    <t>63:01:0407002:3293</t>
  </si>
  <si>
    <t>район, город Самара, Южное шоссе, д. 13, квартира 229</t>
  </si>
  <si>
    <t>63:01:0407002:3295</t>
  </si>
  <si>
    <t>район, город Самара, Южное шоссе, д. 13, квартира 230</t>
  </si>
  <si>
    <t>63:01:0407002:3296</t>
  </si>
  <si>
    <t>район, город Самара, Южное шоссе, д. 13, квартира 231</t>
  </si>
  <si>
    <t>63:01:0407002:3297</t>
  </si>
  <si>
    <t>район, город Самара, Южное шоссе, д. 13, квартира 232</t>
  </si>
  <si>
    <t>63:01:0407002:3298</t>
  </si>
  <si>
    <t>район, город Самара, Южное шоссе, д. 13, квартира 233</t>
  </si>
  <si>
    <t>63:01:0407002:3299</t>
  </si>
  <si>
    <t>район, город Самара, Южное шоссе, д. 13, квартира 234</t>
  </si>
  <si>
    <t>63:01:0407002:3300</t>
  </si>
  <si>
    <t>район, город Самара, Южное шоссе, д. 13, квартира 235</t>
  </si>
  <si>
    <t>63:01:0407002:3301</t>
  </si>
  <si>
    <t>район, город Самара, Южное шоссе, д. 13, квартира 236</t>
  </si>
  <si>
    <t>63:01:0407002:3302</t>
  </si>
  <si>
    <t>район, город Самара, Южное шоссе, д. 13, квартира 237</t>
  </si>
  <si>
    <t>63:01:0407002:3303</t>
  </si>
  <si>
    <t>район, город Самара, Южное шоссе, д. 13, квартира 238</t>
  </si>
  <si>
    <t>63:01:0407002:3304</t>
  </si>
  <si>
    <t>район, город Самара, Южное шоссе, д. 13, квартира 239</t>
  </si>
  <si>
    <t>63:01:0407002:3306</t>
  </si>
  <si>
    <t>район, город Самара, Южное шоссе, д. 13, квартира 240</t>
  </si>
  <si>
    <t>63:01:0407002:3307</t>
  </si>
  <si>
    <t>район, город Самара, Южное шоссе, д. 13, квартира 241</t>
  </si>
  <si>
    <t>63:01:0407002:3308</t>
  </si>
  <si>
    <t>район, город Самара, Южное шоссе, д. 13, квартира 242</t>
  </si>
  <si>
    <t>63:01:0407002:3309</t>
  </si>
  <si>
    <t>район, город Самара, Южное шоссе, д. 13, квартира 243</t>
  </si>
  <si>
    <t>63:01:0407002:3310</t>
  </si>
  <si>
    <t>район, город Самара, Южное шоссе, д. 13, квартира 244</t>
  </si>
  <si>
    <t>63:01:0407002:3311</t>
  </si>
  <si>
    <t>район, город Самара, Южное шоссе, д. 13, квартира 245</t>
  </si>
  <si>
    <t>63:01:0407002:3312</t>
  </si>
  <si>
    <t>район, город Самара, Южное шоссе, д. 13, квартира 246</t>
  </si>
  <si>
    <t>63:01:0407002:3313</t>
  </si>
  <si>
    <t>район, город Самара, Южное шоссе, д. 13, квартира 247</t>
  </si>
  <si>
    <t>63:01:0407002:3314</t>
  </si>
  <si>
    <t>район, город Самара, Южное шоссе, д. 13, квартира 248</t>
  </si>
  <si>
    <t>63:01:0407002:3315</t>
  </si>
  <si>
    <t>район, город Самара, Южное шоссе, д. 13, квартира 249</t>
  </si>
  <si>
    <t>63:01:0407002:3317</t>
  </si>
  <si>
    <t>район, город Самара, Южное шоссе, д. 13, квартира 250</t>
  </si>
  <si>
    <t>63:01:0407002:3318</t>
  </si>
  <si>
    <t>район, город Самара, Южное шоссе, д. 13, квартира 251</t>
  </si>
  <si>
    <t>63:01:0407002:3319</t>
  </si>
  <si>
    <t>район, город Самара, Южное шоссе, д. 13, квартира 252</t>
  </si>
  <si>
    <t>63:01:0407002:3320</t>
  </si>
  <si>
    <t>район, город Самара, Южное шоссе, д. 13, квартира 253</t>
  </si>
  <si>
    <t>63:01:0407002:3321</t>
  </si>
  <si>
    <t>район, город Самара, Южное шоссе, д. 13, квартира 254</t>
  </si>
  <si>
    <t>63:01:0407002:3322</t>
  </si>
  <si>
    <t>район, город Самара, Южное шоссе, д. 13, квартира 255</t>
  </si>
  <si>
    <t>63:01:0407002:3323</t>
  </si>
  <si>
    <t>район, город Самара, Южное шоссе, д. 13, квартира 256</t>
  </si>
  <si>
    <t>63:01:0407002:3324</t>
  </si>
  <si>
    <t>район, город Самара, Южное шоссе, д. 13, квартира 257</t>
  </si>
  <si>
    <t>63:01:0407002:3325</t>
  </si>
  <si>
    <t>район, город Самара, Южное шоссе, д. 13, квартира 258</t>
  </si>
  <si>
    <t>63:01:0407002:3326</t>
  </si>
  <si>
    <t>район, город Самара, Южное шоссе, д. 13, квартира 259</t>
  </si>
  <si>
    <t>63:01:0407002:3328</t>
  </si>
  <si>
    <t>район, город Самара, Южное шоссе, д. 13, квартира 260</t>
  </si>
  <si>
    <t>63:01:0407002:3329</t>
  </si>
  <si>
    <t>район, город Самара, Южное шоссе, д. 13, квартира 261</t>
  </si>
  <si>
    <t>63:01:0407002:3330</t>
  </si>
  <si>
    <t>район, город Самара, Южное шоссе, д. 13, квартира 262</t>
  </si>
  <si>
    <t>63:01:0407002:3331</t>
  </si>
  <si>
    <t>район, город Самара, Южное шоссе, д. 13, квартира 263</t>
  </si>
  <si>
    <t>63:01:0407002:3332</t>
  </si>
  <si>
    <t>район, город Самара, Южное шоссе, д. 13, квартира 264</t>
  </si>
  <si>
    <t>63:01:0407002:3333</t>
  </si>
  <si>
    <t>район, город Самара, Южное шоссе, д. 13, квартира 265</t>
  </si>
  <si>
    <t>63:01:0407002:3334</t>
  </si>
  <si>
    <t>район, город Самара, Южное шоссе, д. 13, квартира 266</t>
  </si>
  <si>
    <t>63:01:0407002:3335</t>
  </si>
  <si>
    <t>район, город Самара, Южное шоссе, д. 13, квартира 267</t>
  </si>
  <si>
    <t>63:01:0407002:3336</t>
  </si>
  <si>
    <t>район, город Самара, Южное шоссе, д. 13, квартира 268</t>
  </si>
  <si>
    <t>63:01:0407002:3337</t>
  </si>
  <si>
    <t>район, город Самара, Южное шоссе, д. 13, квартира 269</t>
  </si>
  <si>
    <t>63:01:0407002:3339</t>
  </si>
  <si>
    <t>район, город Самара, Южное шоссе, д. 13, квартира 270</t>
  </si>
  <si>
    <t>63:01:0407002:3340</t>
  </si>
  <si>
    <t>район, город Самара, Южное шоссе, д. 13, квартира 271</t>
  </si>
  <si>
    <t>63:01:0407002:3341</t>
  </si>
  <si>
    <t>район, город Самара, Южное шоссе, д. 13, квартира 272</t>
  </si>
  <si>
    <t>63:01:0407002:3342</t>
  </si>
  <si>
    <t>район, город Самара, Южное шоссе, д. 13, квартира 273</t>
  </si>
  <si>
    <t>63:01:0407002:3343</t>
  </si>
  <si>
    <t>район, город Самара, Южное шоссе, д. 13, квартира 274</t>
  </si>
  <si>
    <t>63:01:0407002:3344</t>
  </si>
  <si>
    <t>район, город Самара, Южное шоссе, д. 13, квартира 275</t>
  </si>
  <si>
    <t>63:01:0407002:3345</t>
  </si>
  <si>
    <t>район, город Самара, Южное шоссе, д. 13, квартира 276</t>
  </si>
  <si>
    <t>63:01:0407002:3346</t>
  </si>
  <si>
    <t>район, город Самара, Южное шоссе, д. 13, квартира 277</t>
  </si>
  <si>
    <t>63:01:0407002:3347</t>
  </si>
  <si>
    <t>район, город Самара, Южное шоссе, д. 13, квартира 278</t>
  </si>
  <si>
    <t>63:01:0407002:3348</t>
  </si>
  <si>
    <t>район, город Самара, Южное шоссе, д. 13, квартира 279</t>
  </si>
  <si>
    <t>63:01:0407002:3350</t>
  </si>
  <si>
    <t>район, город Самара, Южное шоссе, д. 13, квартира 280</t>
  </si>
  <si>
    <t>63:01:0407002:3351</t>
  </si>
  <si>
    <t>район, город Самара, Южное шоссе, д. 13, квартира 281</t>
  </si>
  <si>
    <t>63:01:0407002:3352</t>
  </si>
  <si>
    <t>район, город Самара, Южное шоссе, д. 13, квартира 282</t>
  </si>
  <si>
    <t>63:01:0407002:3353</t>
  </si>
  <si>
    <t>район, город Самара, Южное шоссе, д. 13, квартира 283</t>
  </si>
  <si>
    <t>63:01:0407002:3354</t>
  </si>
  <si>
    <t>район, город Самара, Южное шоссе, д. 13, квартира 284</t>
  </si>
  <si>
    <t>63:01:0407002:3355</t>
  </si>
  <si>
    <t>район, город Самара, Южное шоссе, д. 13, квартира 285</t>
  </si>
  <si>
    <t>63:01:0407002:3356</t>
  </si>
  <si>
    <t>район, город Самара, Южное шоссе, д. 13, квартира 286</t>
  </si>
  <si>
    <t>63:01:0407002:3357</t>
  </si>
  <si>
    <t>район, город Самара, Южное шоссе, д. 13, квартира 287</t>
  </si>
  <si>
    <t>63:01:0407002:3358</t>
  </si>
  <si>
    <t>район, город Самара, Южное шоссе, д. 13, квартира 288</t>
  </si>
  <si>
    <t>63:01:0407002:3359</t>
  </si>
  <si>
    <t>район, город Самара, Южное шоссе, д. 13, квартира 289</t>
  </si>
  <si>
    <t>63:01:0407002:3361</t>
  </si>
  <si>
    <t>район, город Самара, Южное шоссе, д. 13, квартира 290</t>
  </si>
  <si>
    <t>63:01:0407002:3362</t>
  </si>
  <si>
    <t>район, город Самара, Южное шоссе, д. 13, квартира 291</t>
  </si>
  <si>
    <t>63:01:0407002:3363</t>
  </si>
  <si>
    <t>район, город Самара, Южное шоссе, д. 13, квартира 292</t>
  </si>
  <si>
    <t>63:01:0407002:3364</t>
  </si>
  <si>
    <t>район, город Самара, Южное шоссе, д. 13, квартира 293</t>
  </si>
  <si>
    <t>63:01:0407002:3365</t>
  </si>
  <si>
    <t>район, город Самара, Южное шоссе, д. 13, квартира 294</t>
  </si>
  <si>
    <t>63:01:0407002:3366</t>
  </si>
  <si>
    <t>район, город Самара, Южное шоссе, д. 13, квартира 295</t>
  </si>
  <si>
    <t>63:01:0407002:3367</t>
  </si>
  <si>
    <t>район, город Самара, Южное шоссе, д. 13, квартира 296</t>
  </si>
  <si>
    <t>63:01:0407002:3368</t>
  </si>
  <si>
    <t>район, город Самара, Южное шоссе, д. 13, квартира 297</t>
  </si>
  <si>
    <t>63:01:0407002:3369</t>
  </si>
  <si>
    <t>район, город Самара, Южное шоссе, д. 13, квартира 298</t>
  </si>
  <si>
    <t>63:01:0407002:3370</t>
  </si>
  <si>
    <t>район, город Самара, Южное шоссе, д. 13, квартира 299</t>
  </si>
  <si>
    <t>63:01:0407002:3373</t>
  </si>
  <si>
    <t>район, город Самара, Южное шоссе, д. 13, квартира 300</t>
  </si>
  <si>
    <t>63:01:0407002:3374</t>
  </si>
  <si>
    <t>район, город Самара, Южное шоссе, д. 13, квартира 301</t>
  </si>
  <si>
    <t>63:01:0407002:3375</t>
  </si>
  <si>
    <t>район, город Самара, Южное шоссе, д. 13, квартира 302</t>
  </si>
  <si>
    <t>63:01:0407002:3376</t>
  </si>
  <si>
    <t>район, город Самара, Южное шоссе, д. 13, квартира 303</t>
  </si>
  <si>
    <t>63:01:0407002:3377</t>
  </si>
  <si>
    <t>район, город Самара, Южное шоссе, д. 13, квартира 304</t>
  </si>
  <si>
    <t>63:01:0407002:3378</t>
  </si>
  <si>
    <t>район, город Самара, Южное шоссе, д. 13, квартира 305</t>
  </si>
  <si>
    <t>63:01:0407002:3379</t>
  </si>
  <si>
    <t>район, город Самара, Южное шоссе, д. 13, квартира 306</t>
  </si>
  <si>
    <t>63:01:0407002:3380</t>
  </si>
  <si>
    <t>район, город Самара, Южное шоссе, д. 13, квартира 307</t>
  </si>
  <si>
    <t>63:01:0407002:3381</t>
  </si>
  <si>
    <t>район, город Самара, Южное шоссе, д. 13, квартира 308</t>
  </si>
  <si>
    <t>63:01:0407002:3382</t>
  </si>
  <si>
    <t>район, город Самара, Южное шоссе, д. 13, квартира 309</t>
  </si>
  <si>
    <t>63:01:0407002:3384</t>
  </si>
  <si>
    <t>район, город Самара, Южное шоссе, д. 13, квартира 310</t>
  </si>
  <si>
    <t>63:01:0407002:3385</t>
  </si>
  <si>
    <t>район, город Самара, Южное шоссе, д. 13, квартира 311</t>
  </si>
  <si>
    <t>63:01:0407002:3386</t>
  </si>
  <si>
    <t>район, город Самара, Южное шоссе, д. 13, квартира 312</t>
  </si>
  <si>
    <t>63:01:0407002:3387</t>
  </si>
  <si>
    <t>район, город Самара, Южное шоссе, д. 13, квартира 313</t>
  </si>
  <si>
    <t>63:01:0407002:3388</t>
  </si>
  <si>
    <t>район, город Самара, Южное шоссе, д. 13, квартира 314</t>
  </si>
  <si>
    <t>63:01:0407002:3389</t>
  </si>
  <si>
    <t>район, город Самара, Южное шоссе, д. 13, квартира 315</t>
  </si>
  <si>
    <t>63:01:0407002:3390</t>
  </si>
  <si>
    <t>район, город Самара, Южное шоссе, д. 13, квартира 316</t>
  </si>
  <si>
    <t>63:01:0407002:3391</t>
  </si>
  <si>
    <t>район, город Самара, Южное шоссе, д. 13, квартира 317</t>
  </si>
  <si>
    <t>63:01:0407002:3392</t>
  </si>
  <si>
    <t>район, город Самара, Южное шоссе, д. 13, квартира 318</t>
  </si>
  <si>
    <t>63:01:0407002:3393</t>
  </si>
  <si>
    <t>район, город Самара, Южное шоссе, д. 13, квартира 319</t>
  </si>
  <si>
    <t>63:01:0407002:3395</t>
  </si>
  <si>
    <t>район, город Самара, Южное шоссе, д. 13, квартира 320</t>
  </si>
  <si>
    <t>63:01:0407002:3396</t>
  </si>
  <si>
    <t>район, город Самара, Южное шоссе, д. 13, квартира 321</t>
  </si>
  <si>
    <t>63:01:0407002:3397</t>
  </si>
  <si>
    <t>район, город Самара, Южное шоссе, д. 13, квартира 322</t>
  </si>
  <si>
    <t>63:01:0407002:3398</t>
  </si>
  <si>
    <t>район, город Самара, Южное шоссе, д. 13, квартира 323</t>
  </si>
  <si>
    <t>63:01:0407002:3399</t>
  </si>
  <si>
    <t>район, город Самара, Южное шоссе, д. 13, квартира 324</t>
  </si>
  <si>
    <t>63:01:0407002:3400</t>
  </si>
  <si>
    <t>район, город Самара, Южное шоссе, д. 13, квартира 325</t>
  </si>
  <si>
    <t>63:01:0407002:3401</t>
  </si>
  <si>
    <t>район, город Самара, Южное шоссе, д. 13, квартира 326</t>
  </si>
  <si>
    <t>63:01:0407002:3402</t>
  </si>
  <si>
    <t>район, город Самара, Южное шоссе, д. 13, квартира 327</t>
  </si>
  <si>
    <t>63:01:0407002:3403</t>
  </si>
  <si>
    <t>район, город Самара, Южное шоссе, д. 13, квартира 328</t>
  </si>
  <si>
    <t>63:01:0407002:3404</t>
  </si>
  <si>
    <t>район, город Самара, Южное шоссе, д. 13, квартира 329</t>
  </si>
  <si>
    <t>63:01:0407002:3406</t>
  </si>
  <si>
    <t>район, город Самара, Южное шоссе, д. 13, квартира 330</t>
  </si>
  <si>
    <t>63:01:0407002:3407</t>
  </si>
  <si>
    <t>район, город Самара, Южное шоссе, д. 13, квартира 331</t>
  </si>
  <si>
    <t>63:01:0407002:3408</t>
  </si>
  <si>
    <t>район, город Самара, Южное шоссе, д. 13, квартира 332</t>
  </si>
  <si>
    <t>63:01:0407002:3409</t>
  </si>
  <si>
    <t>район, город Самара, Южное шоссе, д. 13, квартира 333</t>
  </si>
  <si>
    <t>63:01:0407002:3410</t>
  </si>
  <si>
    <t>район, город Самара, Южное шоссе, д. 13, квартира 334</t>
  </si>
  <si>
    <t>63:01:0407002:3411</t>
  </si>
  <si>
    <t>район, город Самара, Южное шоссе, д. 13, квартира 335</t>
  </si>
  <si>
    <t>63:01:0407002:3412</t>
  </si>
  <si>
    <t>район, город Самара, Южное шоссе, д. 13, квартира 336</t>
  </si>
  <si>
    <t>63:01:0407002:3413</t>
  </si>
  <si>
    <t>район, город Самара, Южное шоссе, д. 13, квартира 337</t>
  </si>
  <si>
    <t>63:01:0407002:3414</t>
  </si>
  <si>
    <t>район, город Самара, Южное шоссе, д. 13, квартира 338</t>
  </si>
  <si>
    <t>63:01:0407002:3415</t>
  </si>
  <si>
    <t>район, город Самара, Южное шоссе, д. 13, квартира 339</t>
  </si>
  <si>
    <t>63:01:0407002:3417</t>
  </si>
  <si>
    <t>район, город Самара, Южное шоссе, д. 13, квартира 340</t>
  </si>
  <si>
    <t>63:01:0407002:3418</t>
  </si>
  <si>
    <t>район, город Самара, Южное шоссе, д. 13, квартира 341</t>
  </si>
  <si>
    <t>63:01:0407002:3419</t>
  </si>
  <si>
    <t>район, город Самара, Южное шоссе, д. 13, квартира 342</t>
  </si>
  <si>
    <t>63:01:0407002:3420</t>
  </si>
  <si>
    <t>район, город Самара, Южное шоссе, д. 13, квартира 343</t>
  </si>
  <si>
    <t>63:01:0407002:3421</t>
  </si>
  <si>
    <t>район, город Самара, Южное шоссе, д. 13, квартира 344</t>
  </si>
  <si>
    <t>63:01:0407002:3422</t>
  </si>
  <si>
    <t>район, город Самара, Южное шоссе, д. 13, квартира 345</t>
  </si>
  <si>
    <t>63:01:0407002:3423</t>
  </si>
  <si>
    <t>район, город Самара, Южное шоссе, д. 13, квартира 346</t>
  </si>
  <si>
    <t>63:01:0407002:3424</t>
  </si>
  <si>
    <t>район, город Самара, Южное шоссе, д. 13, квартира 347</t>
  </si>
  <si>
    <t>63:01:0407002:3425</t>
  </si>
  <si>
    <t>район, город Самара, Южное шоссе, д. 13, квартира 348</t>
  </si>
  <si>
    <t>63:01:0407002:3426</t>
  </si>
  <si>
    <t>район, город Самара, Южное шоссе, д. 13, квартира 349</t>
  </si>
  <si>
    <t>63:01:0407002:3428</t>
  </si>
  <si>
    <t>район, город Самара, Южное шоссе, д. 13, квартира 350</t>
  </si>
  <si>
    <t>63:01:0407002:3429</t>
  </si>
  <si>
    <t>район, город Самара, Южное шоссе, д. 13, квартира 351</t>
  </si>
  <si>
    <t>63:01:0407002:3430</t>
  </si>
  <si>
    <t>район, город Самара, Южное шоссе, д. 13, квартира 352</t>
  </si>
  <si>
    <t>63:01:0407002:3431</t>
  </si>
  <si>
    <t>район, город Самара, Южное шоссе, д. 13, квартира 353</t>
  </si>
  <si>
    <t>63:01:0407002:3432</t>
  </si>
  <si>
    <t>район, город Самара, Южное шоссе, д. 13, квартира 354</t>
  </si>
  <si>
    <t>63:01:0407002:3433</t>
  </si>
  <si>
    <t>район, город Самара, Южное шоссе, д. 13, квартира 355</t>
  </si>
  <si>
    <t>63:01:0407002:3434</t>
  </si>
  <si>
    <t>район, город Самара, Южное шоссе, д. 13, квартира 356</t>
  </si>
  <si>
    <t>63:01:0407002:3435</t>
  </si>
  <si>
    <t>район, город Самара, Южное шоссе, д. 13, квартира 357</t>
  </si>
  <si>
    <t>63:01:0407002:3436</t>
  </si>
  <si>
    <t>район, город Самара, Южное шоссе, д. 13, квартира 358</t>
  </si>
  <si>
    <t>63:01:0407002:3437</t>
  </si>
  <si>
    <t>район, город Самара, Южное шоссе, д. 13, квартира 359</t>
  </si>
  <si>
    <t>63:01:0407002:3439</t>
  </si>
  <si>
    <t>район, город Самара, Южное шоссе, д. 13, квартира 360</t>
  </si>
  <si>
    <t>63:01:0407002:3440</t>
  </si>
  <si>
    <t>район, город Самара, Южное шоссе, д. 13, квартира 361</t>
  </si>
  <si>
    <t>63:01:0407002:3441</t>
  </si>
  <si>
    <t>район, город Самара, Южное шоссе, д. 13, квартира 362</t>
  </si>
  <si>
    <t>63:01:0407002:3442</t>
  </si>
  <si>
    <t>район, город Самара, Южное шоссе, д. 13, квартира 363</t>
  </si>
  <si>
    <t>63:01:0407002:3443</t>
  </si>
  <si>
    <t>район, город Самара, Южное шоссе, д. 13, квартира 364</t>
  </si>
  <si>
    <t>63:01:0407002:3444</t>
  </si>
  <si>
    <t>район, город Самара, Южное шоссе, д. 13, квартира 365</t>
  </si>
  <si>
    <t>63:01:0407002:3445</t>
  </si>
  <si>
    <t>район, город Самара, Южное шоссе, д. 13, квартира 366</t>
  </si>
  <si>
    <t>63:01:0407002:3446</t>
  </si>
  <si>
    <t>район, город Самара, Южное шоссе, д. 13, квартира 367</t>
  </si>
  <si>
    <t>63:01:0407002:3447</t>
  </si>
  <si>
    <t>район, город Самара, Южное шоссе, д. 13, квартира 368</t>
  </si>
  <si>
    <t>63:01:0407002:3448</t>
  </si>
  <si>
    <t>район, город Самара, Южное шоссе, д. 13, квартира 369</t>
  </si>
  <si>
    <t>63:01:0407002:3450</t>
  </si>
  <si>
    <t>район, город Самара, Южное шоссе, д. 13, квартира 370</t>
  </si>
  <si>
    <t>63:01:0407002:3451</t>
  </si>
  <si>
    <t>район, город Самара, Южное шоссе, д. 13, квартира 371</t>
  </si>
  <si>
    <t>63:01:0407002:3452</t>
  </si>
  <si>
    <t>район, город Самара, Южное шоссе, д. 13, квартира 372</t>
  </si>
  <si>
    <t>63:01:0407002:3453</t>
  </si>
  <si>
    <t>район, город Самара, Южное шоссе, д. 13, квартира 373</t>
  </si>
  <si>
    <t>63:01:0407002:3454</t>
  </si>
  <si>
    <t>район, город Самара, Южное шоссе, д. 13, квартира 374</t>
  </si>
  <si>
    <t>63:01:0407002:3455</t>
  </si>
  <si>
    <t>район, город Самара, Южное шоссе, д. 13, квартира 375</t>
  </si>
  <si>
    <t>63:01:0407002:3456</t>
  </si>
  <si>
    <t>район, город Самара, Южное шоссе, д. 13, квартира 376</t>
  </si>
  <si>
    <t>63:01:0407002:3457</t>
  </si>
  <si>
    <t>район, город Самара, Южное шоссе, д. 13, квартира 377</t>
  </si>
  <si>
    <t>63:01:0407002:3458</t>
  </si>
  <si>
    <t>район, город Самара, Южное шоссе, д. 13, квартира 378</t>
  </si>
  <si>
    <t>63:01:0407002:3459</t>
  </si>
  <si>
    <t>район, город Самара, Южное шоссе, д. 13, квартира 379</t>
  </si>
  <si>
    <t>63:01:0407002:3461</t>
  </si>
  <si>
    <t>район, город Самара, Южное шоссе, д. 13, квартира 380</t>
  </si>
  <si>
    <t>63:01:0407002:3462</t>
  </si>
  <si>
    <t>район, город Самара, Южное шоссе, д. 13, квартира 381</t>
  </si>
  <si>
    <t>63:01:0407002:3463</t>
  </si>
  <si>
    <t>район, город Самара, Южное шоссе, д. 13, квартира 382</t>
  </si>
  <si>
    <t>63:01:0407002:3464</t>
  </si>
  <si>
    <t>район, город Самара, Южное шоссе, д. 13, квартира 383</t>
  </si>
  <si>
    <t>63:01:0407002:3465</t>
  </si>
  <si>
    <t>район, город Самара, Южное шоссе, д. 13, квартира 384</t>
  </si>
  <si>
    <t>63:01:0407002:3466</t>
  </si>
  <si>
    <t>район, город Самара, Южное шоссе, д. 13, квартира 385</t>
  </si>
  <si>
    <t>63:01:0407002:3467</t>
  </si>
  <si>
    <t>район, город Самара, Южное шоссе, д. 13, квартира 386</t>
  </si>
  <si>
    <t>63:01:0407002:3468</t>
  </si>
  <si>
    <t>район, город Самара, Южное шоссе, д. 13, квартира 387</t>
  </si>
  <si>
    <t>63:01:0407002:3469</t>
  </si>
  <si>
    <t>район, город Самара, Южное шоссе, д. 13, квартира 388</t>
  </si>
  <si>
    <t>63:01:0407002:3470</t>
  </si>
  <si>
    <t>район, город Самара, Южное шоссе, д. 13, квартира 389</t>
  </si>
  <si>
    <t>63:01:0407002:3472</t>
  </si>
  <si>
    <t>район, город Самара, Южное шоссе, д. 13, квартира 390</t>
  </si>
  <si>
    <t>63:01:0407002:3473</t>
  </si>
  <si>
    <t>район, город Самара, Южное шоссе, д. 13, квартира 391</t>
  </si>
  <si>
    <t>63:01:0407002:3474</t>
  </si>
  <si>
    <t>район, город Самара, Южное шоссе, д. 13, квартира 392</t>
  </si>
  <si>
    <t>63:01:0407002:3475</t>
  </si>
  <si>
    <t>район, город Самара, Южное шоссе, д. 13, квартира 393</t>
  </si>
  <si>
    <t>63:01:0407002:3476</t>
  </si>
  <si>
    <t>район, город Самара, Южное шоссе, д. 13, квартира 394</t>
  </si>
  <si>
    <t>63:01:0407002:3477</t>
  </si>
  <si>
    <t>район, город Самара, Южное шоссе, д. 13, квартира 395</t>
  </si>
  <si>
    <t>63:01:0407002:3478</t>
  </si>
  <si>
    <t>район, город Самара, Южное шоссе, д. 13, квартира 396</t>
  </si>
  <si>
    <t>63:01:0407002:3479</t>
  </si>
  <si>
    <t>район, город Самара, Южное шоссе, д. 13, квартира 397</t>
  </si>
  <si>
    <t>63:01:0407002:3480</t>
  </si>
  <si>
    <t>район, город Самара, Южное шоссе, д. 13, квартира 398</t>
  </si>
  <si>
    <t>63:01:0407002:3481</t>
  </si>
  <si>
    <t>район, город Самара, Южное шоссе, д. 13, квартира 399</t>
  </si>
  <si>
    <t>63:01:0407002:3484</t>
  </si>
  <si>
    <t>район, город Самара, Южное шоссе, д. 13, квартира 400</t>
  </si>
  <si>
    <t>63:01:0407002:3485</t>
  </si>
  <si>
    <t>район, город Самара, Южное шоссе, д. 13, квартира 401</t>
  </si>
  <si>
    <t>63:01:0407002:3486</t>
  </si>
  <si>
    <t>район, город Самара, Южное шоссе, д. 13, квартира 402</t>
  </si>
  <si>
    <t>63:01:0407002:3487</t>
  </si>
  <si>
    <t>район, город Самара, Южное шоссе, д. 13, квартира 403</t>
  </si>
  <si>
    <t>63:01:0407002:3488</t>
  </si>
  <si>
    <t>район, город Самара, Южное шоссе, д. 13, квартира 404</t>
  </si>
  <si>
    <t>63:01:0407002:3489</t>
  </si>
  <si>
    <t>район, город Самара, Южное шоссе, д. 13, квартира 405</t>
  </si>
  <si>
    <t>63:01:0407002:3490</t>
  </si>
  <si>
    <t>район, город Самара, Южное шоссе, д. 13, квартира 406</t>
  </si>
  <si>
    <t>63:01:0407002:3491</t>
  </si>
  <si>
    <t>район, город Самара, Южное шоссе, д. 13, квартира 407</t>
  </si>
  <si>
    <t>63:01:0407002:3492</t>
  </si>
  <si>
    <t>район, город Самара, Южное шоссе, д. 13, квартира 408</t>
  </si>
  <si>
    <t>63:01:0407002:3493</t>
  </si>
  <si>
    <t>район, город Самара, Южное шоссе, д. 13, квартира 409</t>
  </si>
  <si>
    <t>63:01:0407002:3495</t>
  </si>
  <si>
    <t>район, город Самара, Южное шоссе, д. 13, квартира 410</t>
  </si>
  <si>
    <t>63:01:0407002:3496</t>
  </si>
  <si>
    <t>район, город Самара, Южное шоссе, д. 13, квартира 411</t>
  </si>
  <si>
    <t>63:01:0407002:3497</t>
  </si>
  <si>
    <t>район, город Самара, Южное шоссе, д. 13, квартира 412</t>
  </si>
  <si>
    <t>63:01:0407002:3498</t>
  </si>
  <si>
    <t>район, город Самара, Южное шоссе, д. 13, квартира 413</t>
  </si>
  <si>
    <t>63:01:0407002:3499</t>
  </si>
  <si>
    <t>район, город Самара, Южное шоссе, д. 13, квартира 414</t>
  </si>
  <si>
    <t>63:01:0407002:3500</t>
  </si>
  <si>
    <t>район, город Самара, Южное шоссе, д. 13, квартира 415</t>
  </si>
  <si>
    <t>63:01:0407002:3501</t>
  </si>
  <si>
    <t>район, город Самара, Южное шоссе, д. 13, квартира 416</t>
  </si>
  <si>
    <t>63:01:0407002:3502</t>
  </si>
  <si>
    <t>район, город Самара, Южное шоссе, д. 13, квартира 417</t>
  </si>
  <si>
    <t>63:01:0407002:3503</t>
  </si>
  <si>
    <t>район, город Самара, Южное шоссе, д. 13, квартира 418</t>
  </si>
  <si>
    <t>63:01:0407002:3504</t>
  </si>
  <si>
    <t>район, город Самара, Южное шоссе, д. 13, квартира 419</t>
  </si>
  <si>
    <t>63:01:0407002:3506</t>
  </si>
  <si>
    <t>район, город Самара, Южное шоссе, д. 13, квартира 420</t>
  </si>
  <si>
    <t>63:01:0407002:3507</t>
  </si>
  <si>
    <t>район, город Самара, Южное шоссе, д. 13, квартира 421</t>
  </si>
  <si>
    <t>63:01:0407002:3508</t>
  </si>
  <si>
    <t>район, город Самара, Южное шоссе, д. 13, квартира 422</t>
  </si>
  <si>
    <t>63:01:0407002:3509</t>
  </si>
  <si>
    <t>район, город Самара, Южное шоссе, д. 13, квартира 423</t>
  </si>
  <si>
    <t>63:01:0407002:3510</t>
  </si>
  <si>
    <t>район, город Самара, Южное шоссе, д. 13, квартира 424</t>
  </si>
  <si>
    <t>63:01:0407002:3511</t>
  </si>
  <si>
    <t>район, город Самара, Южное шоссе, д. 13, квартира 425</t>
  </si>
  <si>
    <t>63:01:0407002:3512</t>
  </si>
  <si>
    <t>район, город Самара, Южное шоссе, д. 13, квартира 426</t>
  </si>
  <si>
    <t>63:01:0407002:3513</t>
  </si>
  <si>
    <t>район, город Самара, Южное шоссе, д. 13, квартира 427</t>
  </si>
  <si>
    <t>63:01:0407002:3514</t>
  </si>
  <si>
    <t>район, город Самара, Южное шоссе, д. 13, квартира 428</t>
  </si>
  <si>
    <t>63:01:0407002:3515</t>
  </si>
  <si>
    <t>район, город Самара, Южное шоссе, д. 13, квартира 429</t>
  </si>
  <si>
    <t>63:01:0407002:3517</t>
  </si>
  <si>
    <t>район, город Самара, Южное шоссе, д. 13, квартира 430</t>
  </si>
  <si>
    <t>63:01:0407002:3518</t>
  </si>
  <si>
    <t>район, город Самара, Южное шоссе, д. 13, квартира 431</t>
  </si>
  <si>
    <t>63:01:0407002:3519</t>
  </si>
  <si>
    <t>район, город Самара, Южное шоссе, д. 13, квартира 432</t>
  </si>
  <si>
    <t>63:01:0407002:3520</t>
  </si>
  <si>
    <t>район, город Самара, Южное шоссе, д. 13, квартира 433</t>
  </si>
  <si>
    <t>63:01:0407002:3521</t>
  </si>
  <si>
    <t>район, город Самара, Южное шоссе, д. 13, квартира 434</t>
  </si>
  <si>
    <t>63:01:0407002:3522</t>
  </si>
  <si>
    <t>район, город Самара, Южное шоссе, д. 13, квартира 435</t>
  </si>
  <si>
    <t>63:01:0407002:3523</t>
  </si>
  <si>
    <t>район, город Самара, Южное шоссе, д. 13, квартира 436</t>
  </si>
  <si>
    <t>63:01:0407002:3524</t>
  </si>
  <si>
    <t>район, город Самара, Южное шоссе, д. 13, квартира 437</t>
  </si>
  <si>
    <t>63:01:0407002:3525</t>
  </si>
  <si>
    <t>район, город Самара, Южное шоссе, д. 13, квартира 438</t>
  </si>
  <si>
    <t>63:01:0407002:3526</t>
  </si>
  <si>
    <t>район, город Самара, Южное шоссе, д. 13, квартира 439</t>
  </si>
  <si>
    <t>63:01:0407002:3528</t>
  </si>
  <si>
    <t>район, город Самара, Южное шоссе, д. 13, квартира 440</t>
  </si>
  <si>
    <t>63:01:0407002:3529</t>
  </si>
  <si>
    <t>район, город Самара, Южное шоссе, д. 13, квартира 441</t>
  </si>
  <si>
    <t>63:01:0407002:3530</t>
  </si>
  <si>
    <t>район, город Самара, Южное шоссе, д. 13, квартира 442</t>
  </si>
  <si>
    <t>63:01:0407002:3531</t>
  </si>
  <si>
    <t>район, город Самара, Южное шоссе, д. 13, квартира 443</t>
  </si>
  <si>
    <t>63:01:0407002:3532</t>
  </si>
  <si>
    <t>район, город Самара, Южное шоссе, д. 13, квартира 444</t>
  </si>
  <si>
    <t>63:01:0407002:3533</t>
  </si>
  <si>
    <t>район, город Самара, Южное шоссе, д. 13, квартира 445</t>
  </si>
  <si>
    <t>63:01:0407002:3534</t>
  </si>
  <si>
    <t>район, город Самара, Южное шоссе, д. 13, квартира 446</t>
  </si>
  <si>
    <t>63:01:0407002:3535</t>
  </si>
  <si>
    <t>район, город Самара, Южное шоссе, д. 13, квартира 447</t>
  </si>
  <si>
    <t>63:01:0407002:3536</t>
  </si>
  <si>
    <t>район, город Самара, Южное шоссе, д. 13, квартира 448</t>
  </si>
  <si>
    <t>63:01:0407002:3537</t>
  </si>
  <si>
    <t>район, город Самара, Южное шоссе, д. 13, квартира 449</t>
  </si>
  <si>
    <t>63:01:0407002:3539</t>
  </si>
  <si>
    <t>район, город Самара, Южное шоссе, д. 13, квартира 450</t>
  </si>
  <si>
    <t>63:01:0407002:3540</t>
  </si>
  <si>
    <t>район, город Самара, Южное шоссе, д. 13, квартира 451</t>
  </si>
  <si>
    <t>63:01:0407002:3541</t>
  </si>
  <si>
    <t>район, город Самара, Южное шоссе, д. 13, квартира 452</t>
  </si>
  <si>
    <t>63:01:0407002:3542</t>
  </si>
  <si>
    <t>район, город Самара, Южное шоссе, д. 13, квартира 453</t>
  </si>
  <si>
    <t>63:01:0407002:3543</t>
  </si>
  <si>
    <t>район, город Самара, Южное шоссе, д. 13, квартира 454</t>
  </si>
  <si>
    <t>63:01:0407002:3544</t>
  </si>
  <si>
    <t>район, город Самара, Южное шоссе, д. 13, квартира 455</t>
  </si>
  <si>
    <t>63:01:0407002:3545</t>
  </si>
  <si>
    <t>район, город Самара, Южное шоссе, д. 13, квартира 456</t>
  </si>
  <si>
    <t>63:01:0407002:3546</t>
  </si>
  <si>
    <t>район, город Самара, Южное шоссе, д. 13, квартира 457</t>
  </si>
  <si>
    <t>63:01:0407002:3547</t>
  </si>
  <si>
    <t>район, город Самара, Южное шоссе, д. 13, квартира 458</t>
  </si>
  <si>
    <t>63:01:0407002:3548</t>
  </si>
  <si>
    <t>район, город Самара, Южное шоссе, д. 13, квартира 459</t>
  </si>
  <si>
    <t>63:01:0407002:3550</t>
  </si>
  <si>
    <t>район, город Самара, Южное шоссе, д. 13, квартира 460</t>
  </si>
  <si>
    <t>63:01:0407002:3551</t>
  </si>
  <si>
    <t>район, город Самара, Южное шоссе, д. 13, квартира 461</t>
  </si>
  <si>
    <t>63:01:0407002:3552</t>
  </si>
  <si>
    <t>район, город Самара, Южное шоссе, д. 13, квартира 462</t>
  </si>
  <si>
    <t>63:01:0407002:3553</t>
  </si>
  <si>
    <t>район, город Самара, Южное шоссе, д. 13, квартира 463</t>
  </si>
  <si>
    <t>63:01:0407002:3554</t>
  </si>
  <si>
    <t>район, город Самара, Южное шоссе, д. 13, квартира 464</t>
  </si>
  <si>
    <t>63:01:0407002:3555</t>
  </si>
  <si>
    <t>район, город Самара, Южное шоссе, д. 13, квартира 465</t>
  </si>
  <si>
    <t>63:01:0407002:3556</t>
  </si>
  <si>
    <t>район, город Самара, Южное шоссе, д. 13, квартира 466</t>
  </si>
  <si>
    <t>63:01:0407002:3557</t>
  </si>
  <si>
    <t>район, город Самара, Южное шоссе, д. 13, квартира 467</t>
  </si>
  <si>
    <t>63:01:0407002:3558</t>
  </si>
  <si>
    <t>район, город Самара, Южное шоссе, д. 13, квартира 468</t>
  </si>
  <si>
    <t>63:01:0407002:3559</t>
  </si>
  <si>
    <t>район, город Самара, Южное шоссе, д. 13, квартира 469</t>
  </si>
  <si>
    <t>63:01:0407002:3561</t>
  </si>
  <si>
    <t>район, город Самара, Южное шоссе, д. 13, квартира 470</t>
  </si>
  <si>
    <t>63:01:0407002:3562</t>
  </si>
  <si>
    <t>район, город Самара, Южное шоссе, д. 13, квартира 471</t>
  </si>
  <si>
    <t>63:01:0407002:3563</t>
  </si>
  <si>
    <t>район, город Самара, Южное шоссе, д. 13, квартира 472</t>
  </si>
  <si>
    <t>63:01:0407002:3564</t>
  </si>
  <si>
    <t>район, город Самара, Южное шоссе, д. 13, квартира 473</t>
  </si>
  <si>
    <t>63:01:0407002:3565</t>
  </si>
  <si>
    <t>район, город Самара, Южное шоссе, д. 13, квартира 474</t>
  </si>
  <si>
    <t>63:01:0407002:3566</t>
  </si>
  <si>
    <t>район, город Самара, Южное шоссе, д. 13, квартира 475</t>
  </si>
  <si>
    <t>63:01:0407002:3567</t>
  </si>
  <si>
    <t>район, город Самара, Южное шоссе, д. 13, квартира 476</t>
  </si>
  <si>
    <t>63:01:0407002:3568</t>
  </si>
  <si>
    <t>район, город Самара, Южное шоссе, д. 13, квартира 477</t>
  </si>
  <si>
    <t>63:01:0407002:3569</t>
  </si>
  <si>
    <t>район, город Самара, Южное шоссе, д. 13, квартира 478</t>
  </si>
  <si>
    <t>63:01:0407002:3570</t>
  </si>
  <si>
    <t>район, город Самара, Южное шоссе, д. 13, квартира 479</t>
  </si>
  <si>
    <t>63:01:0407002:3572</t>
  </si>
  <si>
    <t>район, город Самара, Южное шоссе, д. 13, квартира 480</t>
  </si>
  <si>
    <t>63:01:0407002:3573</t>
  </si>
  <si>
    <t>район, город Самара, Южное шоссе, д. 13, квартира 481</t>
  </si>
  <si>
    <t>63:01:0407002:3574</t>
  </si>
  <si>
    <t>район, город Самара, Южное шоссе, д. 13, квартира 482</t>
  </si>
  <si>
    <t>63:01:0407002:3575</t>
  </si>
  <si>
    <t>район, город Самара, Южное шоссе, д. 13, квартира 483</t>
  </si>
  <si>
    <t>63:01:0407002:3576</t>
  </si>
  <si>
    <t>район, город Самара, Южное шоссе, д. 13, квартира 484</t>
  </si>
  <si>
    <t>63:01:0407002:3577</t>
  </si>
  <si>
    <t>район, город Самара, Южное шоссе, д. 13, квартира 485</t>
  </si>
  <si>
    <t>63:01:0407002:3578</t>
  </si>
  <si>
    <t>район, город Самара, Южное шоссе, д. 13, квартира 486</t>
  </si>
  <si>
    <t>63:01:0407002:3579</t>
  </si>
  <si>
    <t>район, город Самара, Южное шоссе, д. 13, квартира 487</t>
  </si>
  <si>
    <t>63:01:0407002:3580</t>
  </si>
  <si>
    <t>район, город Самара, Южное шоссе, д. 13, квартира 488</t>
  </si>
  <si>
    <t>63:01:0407002:3581</t>
  </si>
  <si>
    <t>район, город Самара, Южное шоссе, д. 13, квартира 489</t>
  </si>
  <si>
    <t>63:01:0407002:3583</t>
  </si>
  <si>
    <t>район, город Самара, Южное шоссе, д. 13, квартира 490</t>
  </si>
  <si>
    <t>63:01:0407002:3584</t>
  </si>
  <si>
    <t>район, город Самара, Южное шоссе, д. 13, квартира 491</t>
  </si>
  <si>
    <t>63:01:0407002:3585</t>
  </si>
  <si>
    <t>район, город Самара, Южное шоссе, д. 13, квартира 492</t>
  </si>
  <si>
    <t>63:01:0407002:3586</t>
  </si>
  <si>
    <t>район, город Самара, Южное шоссе, д. 13, квартира 493</t>
  </si>
  <si>
    <t>63:01:0407002:3587</t>
  </si>
  <si>
    <t>район, город Самара, Южное шоссе, д. 13, квартира 494</t>
  </si>
  <si>
    <t>63:01:0407002:3588</t>
  </si>
  <si>
    <t>район, город Самара, Южное шоссе, д. 13, квартира 495</t>
  </si>
  <si>
    <t>63:01:0407002:3589</t>
  </si>
  <si>
    <t>район, город Самара, Южное шоссе, д. 13, квартира 496</t>
  </si>
  <si>
    <t>63:01:0407002:3590</t>
  </si>
  <si>
    <t>район, город Самара, Южное шоссе, д. 13, квартира 497</t>
  </si>
  <si>
    <t>63:01:0407002:3591</t>
  </si>
  <si>
    <t>район, город Самара, Южное шоссе, д. 13, квартира 498</t>
  </si>
  <si>
    <t>63:01:0407002:3592</t>
  </si>
  <si>
    <t>район, город Самара, Южное шоссе, д. 13, квартира 499</t>
  </si>
  <si>
    <t>63:01:0407002:3595</t>
  </si>
  <si>
    <t>район, город Самара, Южное шоссе, д. 13, квартира 500</t>
  </si>
  <si>
    <t>63:01:0407002:3596</t>
  </si>
  <si>
    <t>район, город Самара, Южное шоссе, д. 13, квартира 501</t>
  </si>
  <si>
    <t>63:01:0407002:3597</t>
  </si>
  <si>
    <t>район, город Самара, Южное шоссе, д. 13, квартира 502</t>
  </si>
  <si>
    <t>63:01:0407002:3598</t>
  </si>
  <si>
    <t>район, город Самара, Южное шоссе, д. 13, квартира 503</t>
  </si>
  <si>
    <t>63:01:0407002:3599</t>
  </si>
  <si>
    <t>район, город Самара, Южное шоссе, д. 13, квартира 504</t>
  </si>
  <si>
    <t>63:01:0407002:3600</t>
  </si>
  <si>
    <t>район, город Самара, Южное шоссе, д. 13, квартира 505</t>
  </si>
  <si>
    <t>63:01:0407002:3601</t>
  </si>
  <si>
    <t>район, город Самара, Южное шоссе, д. 13, квартира 506</t>
  </si>
  <si>
    <t>63:01:0407002:3602</t>
  </si>
  <si>
    <t>район, город Самара, Южное шоссе, д. 13, квартира 507</t>
  </si>
  <si>
    <t>63:01:0407002:3603</t>
  </si>
  <si>
    <t>район, город Самара, Южное шоссе, д. 13, квартира 508</t>
  </si>
  <si>
    <t>63:01:0407002:3604</t>
  </si>
  <si>
    <t>район, город Самара, Южное шоссе, д. 13, квартира 509</t>
  </si>
  <si>
    <t>63:01:0407002:3606</t>
  </si>
  <si>
    <t>район, город Самара, Южное шоссе, д. 13, квартира 510</t>
  </si>
  <si>
    <t>63:01:0407002:3607</t>
  </si>
  <si>
    <t>район, город Самара, Южное шоссе, д. 13, квартира 511</t>
  </si>
  <si>
    <t>63:01:0407002:3608</t>
  </si>
  <si>
    <t>район, город Самара, Южное шоссе, д. 13, квартира 512</t>
  </si>
  <si>
    <t>63:01:0407002:3609</t>
  </si>
  <si>
    <t>район, город Самара, Южное шоссе, д. 13, квартира 513</t>
  </si>
  <si>
    <t>63:01:0407002:3610</t>
  </si>
  <si>
    <t>район, город Самара, Южное шоссе, д. 13, квартира 514</t>
  </si>
  <si>
    <t>63:01:0407002:3611</t>
  </si>
  <si>
    <t>район, город Самара, Южное шоссе, д. 13, квартира 515</t>
  </si>
  <si>
    <t>63:01:0407002:3612</t>
  </si>
  <si>
    <t>район, город Самара, Южное шоссе, д. 13, квартира 516</t>
  </si>
  <si>
    <t>63:01:0407002:3613</t>
  </si>
  <si>
    <t>район, город Самара, Южное шоссе, д. 13, квартира 517</t>
  </si>
  <si>
    <t>63:01:0407002:3614</t>
  </si>
  <si>
    <t>район, город Самара, Южное шоссе, д. 13, квартира 518</t>
  </si>
  <si>
    <t>63:01:0407002:3615</t>
  </si>
  <si>
    <t>район, город Самара, Южное шоссе, д. 13, квартира 519</t>
  </si>
  <si>
    <t>63:01:0407002:3617</t>
  </si>
  <si>
    <t>район, город Самара, Южное шоссе, д. 13, квартира 520</t>
  </si>
  <si>
    <t>63:01:0407002:3618</t>
  </si>
  <si>
    <t>район, город Самара, Южное шоссе, д. 13, квартира 521</t>
  </si>
  <si>
    <t>63:01:0407002:3619</t>
  </si>
  <si>
    <t>район, город Самара, Южное шоссе, д. 13, квартира 522</t>
  </si>
  <si>
    <t>63:01:0407002:3620</t>
  </si>
  <si>
    <t>район, город Самара, Южное шоссе, д. 13, квартира 523</t>
  </si>
  <si>
    <t>63:01:0407002:3621</t>
  </si>
  <si>
    <t>район, город Самара, Южное шоссе, д. 13, квартира 524</t>
  </si>
  <si>
    <t>63:01:0407002:3622</t>
  </si>
  <si>
    <t>район, город Самара, Южное шоссе, д. 13, квартира 525</t>
  </si>
  <si>
    <t>63:01:0407002:3623</t>
  </si>
  <si>
    <t>район, город Самара, Южное шоссе, д. 13, квартира 526</t>
  </si>
  <si>
    <t>63:01:0407002:3624</t>
  </si>
  <si>
    <t>район, город Самара, Южное шоссе, д. 13, квартира 527</t>
  </si>
  <si>
    <t>63:01:0407002:3625</t>
  </si>
  <si>
    <t>район, город Самара, Южное шоссе, д. 13, квартира 528</t>
  </si>
  <si>
    <t>63:01:0407002:3626</t>
  </si>
  <si>
    <t>район, город Самара, Южное шоссе, д. 13, квартира 529</t>
  </si>
  <si>
    <t>63:01:0407002:3628</t>
  </si>
  <si>
    <t>район, город Самара, Южное шоссе, д. 13, квартира 530</t>
  </si>
  <si>
    <t>63:01:0407002:3629</t>
  </si>
  <si>
    <t>район, город Самара, Южное шоссе, д. 13, квартира 531</t>
  </si>
  <si>
    <t>63:01:0407002:3630</t>
  </si>
  <si>
    <t>район, город Самара, Южное шоссе, д. 13, квартира 532</t>
  </si>
  <si>
    <t>63:01:0407002:3631</t>
  </si>
  <si>
    <t>район, город Самара, Южное шоссе, д. 13, квартира 533</t>
  </si>
  <si>
    <t>63:01:0407002:3632</t>
  </si>
  <si>
    <t>район, город Самара, Южное шоссе, д. 13, квартира 534</t>
  </si>
  <si>
    <t>63:01:0407002:3633</t>
  </si>
  <si>
    <t>район, город Самара, Южное шоссе, д. 13, квартира 535</t>
  </si>
  <si>
    <t>63:01:0407002:3634</t>
  </si>
  <si>
    <t>район, город Самара, Южное шоссе, д. 13, квартира 536</t>
  </si>
  <si>
    <t>63:01:0407002:3635</t>
  </si>
  <si>
    <t>район, город Самара, Южное шоссе, д. 13, квартира 537</t>
  </si>
  <si>
    <t>63:01:0407002:3636</t>
  </si>
  <si>
    <t>район, город Самара, Южное шоссе, д. 13, квартира 538</t>
  </si>
  <si>
    <t>63:01:0407002:3637</t>
  </si>
  <si>
    <t>район, город Самара, Южное шоссе, д. 13, квартира 539</t>
  </si>
  <si>
    <t>63:01:0407002:3639</t>
  </si>
  <si>
    <t>район, город Самара, Южное шоссе, д. 13, квартира 540</t>
  </si>
  <si>
    <t>63:01:0407002:3640</t>
  </si>
  <si>
    <t>район, город Самара, Южное шоссе, д. 13, квартира 541</t>
  </si>
  <si>
    <t>63:01:0407002:3641</t>
  </si>
  <si>
    <t>район, город Самара, Южное шоссе, д. 13, квартира 542</t>
  </si>
  <si>
    <t>63:01:0407002:3642</t>
  </si>
  <si>
    <t>район, город Самара, Южное шоссе, д. 13, квартира 543</t>
  </si>
  <si>
    <t>63:01:0407002:3643</t>
  </si>
  <si>
    <t>район, город Самара, Южное шоссе, д. 13, квартира 544</t>
  </si>
  <si>
    <t>63:01:0407002:3644</t>
  </si>
  <si>
    <t>район, город Самара, Южное шоссе, д. 13, квартира 545</t>
  </si>
  <si>
    <t>63:01:0407002:3645</t>
  </si>
  <si>
    <t>район, город Самара, Южное шоссе, д. 13, квартира 546</t>
  </si>
  <si>
    <t>63:01:0407002:3646</t>
  </si>
  <si>
    <t>район, город Самара, Южное шоссе, д. 13, квартира 547</t>
  </si>
  <si>
    <t>63:01:0407002:3647</t>
  </si>
  <si>
    <t>район, город Самара, Южное шоссе, д. 13, квартира 548</t>
  </si>
  <si>
    <t>63:01:0407002:3648</t>
  </si>
  <si>
    <t>район, город Самара, Южное шоссе, д. 13, квартира 549</t>
  </si>
  <si>
    <t>63:01:0407002:3650</t>
  </si>
  <si>
    <t>район, город Самара, Южное шоссе, д. 13, квартира 550</t>
  </si>
  <si>
    <t>63:01:0407002:3651</t>
  </si>
  <si>
    <t>район, город Самара, Южное шоссе, д. 13, квартира 551</t>
  </si>
  <si>
    <t>63:01:0407002:3652</t>
  </si>
  <si>
    <t>район, город Самара, Южное шоссе, д. 13, квартира 552</t>
  </si>
  <si>
    <t>63:01:0407002:3653</t>
  </si>
  <si>
    <t>район, город Самара, Южное шоссе, д. 13, квартира 553</t>
  </si>
  <si>
    <t>63:01:0407002:3654</t>
  </si>
  <si>
    <t>район, город Самара, Южное шоссе, д. 13, квартира 554</t>
  </si>
  <si>
    <t>63:01:0407002:3655</t>
  </si>
  <si>
    <t>район, город Самара, Южное шоссе, д. 13, квартира 555</t>
  </si>
  <si>
    <t>63:01:0407002:3656</t>
  </si>
  <si>
    <t>район, город Самара, Южное шоссе, д. 13, квартира 556</t>
  </si>
  <si>
    <t>63:01:0407002:3657</t>
  </si>
  <si>
    <t>район, город Самара, Южное шоссе, д. 13, квартира 557</t>
  </si>
  <si>
    <t>63:01:0407002:3658</t>
  </si>
  <si>
    <t>район, город Самара, Южное шоссе, д. 13, квартира 558</t>
  </si>
  <si>
    <t>63:01:0407002:3659</t>
  </si>
  <si>
    <t>район, город Самара, Южное шоссе, д. 13, квартира 559</t>
  </si>
  <si>
    <t>63:01:0407002:3661</t>
  </si>
  <si>
    <t>район, город Самара, Южное шоссе, д. 13, квартира 560</t>
  </si>
  <si>
    <t>63:01:0407002:3662</t>
  </si>
  <si>
    <t>район, город Самара, Южное шоссе, д. 13, квартира 561</t>
  </si>
  <si>
    <t>63:01:0407002:3663</t>
  </si>
  <si>
    <t>район, город Самара, Южное шоссе, д. 13, квартира 562</t>
  </si>
  <si>
    <t>63:01:0407002:3664</t>
  </si>
  <si>
    <t>район, город Самара, Южное шоссе, д. 13, квартира 563</t>
  </si>
  <si>
    <t>63:01:0407002:3665</t>
  </si>
  <si>
    <t>район, город Самара, Южное шоссе, д. 13, квартира 564</t>
  </si>
  <si>
    <t>63:01:0407002:3666</t>
  </si>
  <si>
    <t>район, город Самара, Южное шоссе, д. 13, квартира 565</t>
  </si>
  <si>
    <t>63:01:0407002:3667</t>
  </si>
  <si>
    <t>район, город Самара, Южное шоссе, д. 13, квартира 566</t>
  </si>
  <si>
    <t>63:01:0407002:3668</t>
  </si>
  <si>
    <t>район, город Самара, Южное шоссе, д. 13, квартира 567</t>
  </si>
  <si>
    <t>63:01:0407002:3669</t>
  </si>
  <si>
    <t>район, город Самара, Южное шоссе, д. 13, квартира 568</t>
  </si>
  <si>
    <t>63:01:0407002:3670</t>
  </si>
  <si>
    <t>район, город Самара, Южное шоссе, д. 13, квартира 569</t>
  </si>
  <si>
    <t>63:01:0407002:3672</t>
  </si>
  <si>
    <t>район, город Самара, Южное шоссе, д. 13, квартира 570</t>
  </si>
  <si>
    <t>63:01:0407002:3673</t>
  </si>
  <si>
    <t>район, город Самара, Южное шоссе, д. 13, квартира 571</t>
  </si>
  <si>
    <t>63:01:0407002:3674</t>
  </si>
  <si>
    <t>район, город Самара, Южное шоссе, д. 13, квартира 572</t>
  </si>
  <si>
    <t>63:01:0407002:3675</t>
  </si>
  <si>
    <t>район, город Самара, Южное шоссе, д. 13, квартира 573</t>
  </si>
  <si>
    <t>63:01:0407002:3676</t>
  </si>
  <si>
    <t>район, город Самара, Южное шоссе, д. 13, квартира 574</t>
  </si>
  <si>
    <t>63:01:0407002:3677</t>
  </si>
  <si>
    <t>район, город Самара, Южное шоссе, д. 13, квартира 575</t>
  </si>
  <si>
    <t>63:01:0407002:3678</t>
  </si>
  <si>
    <t>район, город Самара, Южное шоссе, д. 13, квартира 576</t>
  </si>
  <si>
    <t>63:01:0407002:3679</t>
  </si>
  <si>
    <t>район, город Самара, Южное шоссе, д. 13, квартира 577</t>
  </si>
  <si>
    <t>63:01:0407002:3680</t>
  </si>
  <si>
    <t>район, город Самара, Южное шоссе, д. 13, квартира 578</t>
  </si>
  <si>
    <t>63:01:0407002:3681</t>
  </si>
  <si>
    <t>район, город Самара, Южное шоссе, д. 13, квартира 579</t>
  </si>
  <si>
    <t>63:01:0407002:3683</t>
  </si>
  <si>
    <t>район, город Самара, Южное шоссе, д. 13, квартира 580</t>
  </si>
  <si>
    <t>63:01:0407002:3684</t>
  </si>
  <si>
    <t>Адрес</t>
  </si>
  <si>
    <t>Кадастровый номер</t>
  </si>
  <si>
    <t>Площадь в выписке</t>
  </si>
  <si>
    <t>Столбец3</t>
  </si>
  <si>
    <t>% расхождения</t>
  </si>
  <si>
    <t>Подсобная</t>
  </si>
  <si>
    <t>Стоимость после доплаты</t>
  </si>
  <si>
    <t>Пл. Бронь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</si>
</sst>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-* #,##0.00\ _₽_-;\-* #,##0.00\ _₽_-;_-* &quot;-&quot;??\ _₽_-;_-@_-"/>
    <numFmt numFmtId="165" formatCode="_-* #,##0_-;\-* #,##0_-;_-* &quot;-&quot;??_-;_-@_-"/>
    <numFmt numFmtId="166" formatCode="#,##0.000"/>
    <numFmt numFmtId="167" formatCode="#,##0_ ;\-#,##0\ "/>
    <numFmt numFmtId="168" formatCode="dd/mm/yy;@"/>
    <numFmt numFmtId="169" formatCode="#,##0.00_ ;\-#,##0.00\ "/>
    <numFmt numFmtId="170" formatCode="&quot;Студия&quot;"/>
    <numFmt numFmtId="171" formatCode="General\ &quot;комн&quot;"/>
    <numFmt numFmtId="172" formatCode="0.0%"/>
  </numFmts>
  <fonts count="4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sz val="8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9"/>
      <color rgb="FF7030A0"/>
      <name val="Arial"/>
      <family val="2"/>
      <charset val="204"/>
    </font>
    <font>
      <sz val="9"/>
      <color rgb="FF7030A0"/>
      <name val="Arial"/>
      <family val="2"/>
      <charset val="204"/>
    </font>
    <font>
      <b/>
      <sz val="11"/>
      <name val="Calibri"/>
      <family val="2"/>
      <charset val="204"/>
      <scheme val="minor"/>
    </font>
    <font>
      <sz val="11"/>
      <color rgb="FF7030A0"/>
      <name val="Calibri"/>
      <family val="2"/>
      <charset val="204"/>
      <scheme val="minor"/>
    </font>
    <font>
      <b/>
      <i/>
      <sz val="12"/>
      <color theme="0"/>
      <name val="Calibri"/>
      <family val="2"/>
      <charset val="204"/>
      <scheme val="minor"/>
    </font>
    <font>
      <b/>
      <i/>
      <sz val="12"/>
      <color rgb="FF7030A0"/>
      <name val="Calibri"/>
      <family val="2"/>
      <charset val="204"/>
      <scheme val="minor"/>
    </font>
    <font>
      <sz val="11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i/>
      <sz val="12"/>
      <color theme="0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9"/>
      <color rgb="FFFF0000"/>
      <name val="Arial"/>
      <family val="2"/>
      <charset val="204"/>
    </font>
    <font>
      <sz val="9"/>
      <color theme="0"/>
      <name val="Arial"/>
      <family val="2"/>
      <charset val="204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9"/>
      <name val="Arial"/>
      <family val="2"/>
      <charset val="204"/>
    </font>
    <font>
      <b/>
      <sz val="9"/>
      <name val="Arial"/>
      <family val="2"/>
      <charset val="204"/>
    </font>
    <font>
      <sz val="9"/>
      <color rgb="FF7030A0"/>
      <name val="Arial"/>
      <family val="2"/>
      <charset val="204"/>
    </font>
    <font>
      <sz val="9"/>
      <color rgb="FFFF0000"/>
      <name val="Arial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rgb="FF7030A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9"/>
      <name val="Arial"/>
      <family val="2"/>
      <charset val="204"/>
    </font>
    <font>
      <sz val="9"/>
      <name val="Arial"/>
      <family val="2"/>
      <charset val="204"/>
    </font>
    <font>
      <sz val="9"/>
      <name val="Arial"/>
      <family val="2"/>
      <charset val="204"/>
    </font>
    <font>
      <sz val="9"/>
      <name val="Arial"/>
      <family val="2"/>
      <charset val="204"/>
    </font>
    <font>
      <sz val="11"/>
      <name val="Calibri"/>
      <family val="2"/>
      <charset val="204"/>
    </font>
    <font>
      <sz val="11"/>
      <name val="Calibri"/>
      <family val="2"/>
    </font>
    <font>
      <b/>
      <sz val="11"/>
      <color rgb="FFFF0000"/>
      <name val="Calibri"/>
      <family val="2"/>
      <charset val="204"/>
    </font>
    <font>
      <b/>
      <sz val="11"/>
      <color theme="0"/>
      <name val="Calibri"/>
      <family val="2"/>
      <charset val="204"/>
      <scheme val="minor"/>
    </font>
    <font>
      <sz val="9"/>
      <name val="Arial"/>
      <family val="2"/>
      <charset val="204"/>
    </font>
    <font>
      <sz val="9"/>
      <name val="Arial"/>
      <family val="2"/>
      <charset val="204"/>
    </font>
    <font>
      <sz val="11"/>
      <color rgb="FF091E42"/>
      <name val="Roboto"/>
    </font>
    <font>
      <sz val="11"/>
      <color rgb="FF091E42"/>
      <name val="Roboto"/>
    </font>
    <font>
      <sz val="11"/>
      <color rgb="FF6B778C"/>
      <name val="Roboto"/>
    </font>
  </fonts>
  <fills count="1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theme="4" tint="0.79998168889431442"/>
      </patternFill>
    </fill>
    <fill>
      <patternFill patternType="solid">
        <fgColor theme="9"/>
        <bgColor theme="4" tint="0.79998168889431442"/>
      </patternFill>
    </fill>
    <fill>
      <patternFill patternType="solid">
        <fgColor rgb="FF7030A0"/>
        <bgColor theme="4" tint="0.79998168889431442"/>
      </patternFill>
    </fill>
  </fills>
  <borders count="7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3" fillId="0" borderId="0"/>
    <xf numFmtId="164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5" fillId="0" borderId="0"/>
  </cellStyleXfs>
  <cellXfs count="390">
    <xf numFmtId="0" fontId="0" fillId="0" borderId="0" xfId="0"/>
    <xf numFmtId="164" fontId="5" fillId="0" borderId="0" xfId="4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" fontId="5" fillId="0" borderId="0" xfId="4" applyNumberFormat="1" applyFont="1" applyFill="1" applyBorder="1" applyAlignment="1">
      <alignment horizontal="center" vertical="center"/>
    </xf>
    <xf numFmtId="0" fontId="4" fillId="0" borderId="0" xfId="2" applyFont="1" applyAlignment="1">
      <alignment horizontal="center" vertical="center" wrapText="1"/>
    </xf>
    <xf numFmtId="4" fontId="4" fillId="0" borderId="0" xfId="4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64" fontId="4" fillId="0" borderId="0" xfId="4" applyFont="1" applyFill="1" applyBorder="1" applyAlignment="1">
      <alignment horizontal="center" vertical="center"/>
    </xf>
    <xf numFmtId="164" fontId="4" fillId="0" borderId="0" xfId="4" applyFont="1" applyFill="1" applyAlignment="1">
      <alignment horizontal="center" vertical="center"/>
    </xf>
    <xf numFmtId="4" fontId="4" fillId="0" borderId="0" xfId="4" applyNumberFormat="1" applyFont="1" applyFill="1" applyBorder="1" applyAlignment="1">
      <alignment horizontal="center" vertical="center"/>
    </xf>
    <xf numFmtId="4" fontId="5" fillId="0" borderId="0" xfId="4" applyNumberFormat="1" applyFont="1" applyFill="1" applyBorder="1" applyAlignment="1">
      <alignment horizontal="right" vertical="center"/>
    </xf>
    <xf numFmtId="4" fontId="9" fillId="0" borderId="0" xfId="4" applyNumberFormat="1" applyFont="1" applyFill="1" applyBorder="1" applyAlignment="1">
      <alignment horizontal="right" vertical="center"/>
    </xf>
    <xf numFmtId="3" fontId="10" fillId="0" borderId="0" xfId="4" applyNumberFormat="1" applyFont="1" applyFill="1" applyBorder="1" applyAlignment="1">
      <alignment horizontal="center" vertical="center"/>
    </xf>
    <xf numFmtId="4" fontId="10" fillId="0" borderId="0" xfId="0" applyNumberFormat="1" applyFont="1" applyAlignment="1">
      <alignment horizontal="center" vertical="center"/>
    </xf>
    <xf numFmtId="4" fontId="10" fillId="0" borderId="0" xfId="4" applyNumberFormat="1" applyFont="1" applyFill="1" applyBorder="1" applyAlignment="1">
      <alignment horizontal="right" vertical="center"/>
    </xf>
    <xf numFmtId="165" fontId="10" fillId="0" borderId="0" xfId="6" applyNumberFormat="1" applyFont="1" applyFill="1" applyBorder="1" applyAlignment="1">
      <alignment horizontal="right" vertical="center"/>
    </xf>
    <xf numFmtId="0" fontId="0" fillId="0" borderId="0" xfId="0" applyAlignment="1">
      <alignment horizontal="center"/>
    </xf>
    <xf numFmtId="1" fontId="5" fillId="0" borderId="0" xfId="0" applyNumberFormat="1" applyFont="1" applyAlignment="1">
      <alignment horizontal="center" vertical="center" wrapText="1"/>
    </xf>
    <xf numFmtId="49" fontId="5" fillId="0" borderId="0" xfId="0" applyNumberFormat="1" applyFont="1" applyAlignment="1">
      <alignment horizontal="center" vertical="center" wrapText="1"/>
    </xf>
    <xf numFmtId="3" fontId="10" fillId="0" borderId="0" xfId="4" applyNumberFormat="1" applyFont="1" applyFill="1" applyBorder="1" applyAlignment="1">
      <alignment horizontal="center" vertical="center" wrapText="1"/>
    </xf>
    <xf numFmtId="4" fontId="10" fillId="0" borderId="0" xfId="0" applyNumberFormat="1" applyFont="1" applyAlignment="1">
      <alignment horizontal="center" vertical="center" wrapText="1"/>
    </xf>
    <xf numFmtId="4" fontId="0" fillId="0" borderId="0" xfId="0" applyNumberForma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left"/>
    </xf>
    <xf numFmtId="0" fontId="7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/>
    </xf>
    <xf numFmtId="4" fontId="7" fillId="0" borderId="0" xfId="0" applyNumberFormat="1" applyFont="1" applyAlignment="1">
      <alignment horizontal="center" vertical="center"/>
    </xf>
    <xf numFmtId="4" fontId="10" fillId="0" borderId="0" xfId="1" applyNumberFormat="1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 wrapText="1"/>
    </xf>
    <xf numFmtId="3" fontId="7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0" fontId="11" fillId="0" borderId="5" xfId="0" applyFont="1" applyBorder="1" applyAlignment="1">
      <alignment horizontal="center"/>
    </xf>
    <xf numFmtId="0" fontId="7" fillId="2" borderId="20" xfId="0" applyFont="1" applyFill="1" applyBorder="1" applyAlignment="1">
      <alignment horizontal="center" vertical="center" wrapText="1"/>
    </xf>
    <xf numFmtId="0" fontId="7" fillId="2" borderId="22" xfId="0" applyFont="1" applyFill="1" applyBorder="1" applyAlignment="1">
      <alignment horizontal="center" vertical="center" wrapText="1"/>
    </xf>
    <xf numFmtId="165" fontId="7" fillId="2" borderId="22" xfId="6" applyNumberFormat="1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67" fontId="7" fillId="2" borderId="22" xfId="0" applyNumberFormat="1" applyFont="1" applyFill="1" applyBorder="1" applyAlignment="1">
      <alignment horizontal="center" vertical="center"/>
    </xf>
    <xf numFmtId="167" fontId="7" fillId="2" borderId="26" xfId="0" applyNumberFormat="1" applyFont="1" applyFill="1" applyBorder="1" applyAlignment="1">
      <alignment horizontal="center" vertical="center"/>
    </xf>
    <xf numFmtId="3" fontId="0" fillId="0" borderId="17" xfId="6" applyNumberFormat="1" applyFont="1" applyBorder="1" applyAlignment="1">
      <alignment horizontal="center" vertical="center"/>
    </xf>
    <xf numFmtId="3" fontId="0" fillId="0" borderId="21" xfId="6" applyNumberFormat="1" applyFont="1" applyBorder="1" applyAlignment="1">
      <alignment horizontal="center" vertical="center"/>
    </xf>
    <xf numFmtId="3" fontId="0" fillId="0" borderId="1" xfId="6" applyNumberFormat="1" applyFont="1" applyBorder="1" applyAlignment="1">
      <alignment horizontal="center" vertical="center"/>
    </xf>
    <xf numFmtId="3" fontId="0" fillId="0" borderId="16" xfId="6" applyNumberFormat="1" applyFont="1" applyBorder="1" applyAlignment="1">
      <alignment horizontal="center" vertical="center"/>
    </xf>
    <xf numFmtId="3" fontId="0" fillId="0" borderId="24" xfId="6" applyNumberFormat="1" applyFont="1" applyBorder="1" applyAlignment="1">
      <alignment horizontal="center" vertical="center"/>
    </xf>
    <xf numFmtId="3" fontId="0" fillId="0" borderId="25" xfId="6" applyNumberFormat="1" applyFont="1" applyBorder="1" applyAlignment="1">
      <alignment horizontal="center" vertical="center"/>
    </xf>
    <xf numFmtId="4" fontId="5" fillId="0" borderId="0" xfId="4" applyNumberFormat="1" applyFont="1" applyFill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0" fillId="0" borderId="0" xfId="1" applyNumberFormat="1" applyFont="1" applyFill="1" applyBorder="1"/>
    <xf numFmtId="0" fontId="10" fillId="3" borderId="0" xfId="0" applyFont="1" applyFill="1" applyAlignment="1">
      <alignment horizontal="center" vertical="center" wrapText="1"/>
    </xf>
    <xf numFmtId="0" fontId="16" fillId="4" borderId="11" xfId="0" applyFont="1" applyFill="1" applyBorder="1" applyAlignment="1">
      <alignment horizontal="center" vertical="center" wrapText="1"/>
    </xf>
    <xf numFmtId="0" fontId="14" fillId="0" borderId="8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165" fontId="7" fillId="2" borderId="26" xfId="6" applyNumberFormat="1" applyFont="1" applyFill="1" applyBorder="1" applyAlignment="1">
      <alignment horizontal="center" vertical="center" wrapText="1"/>
    </xf>
    <xf numFmtId="3" fontId="0" fillId="0" borderId="1" xfId="6" applyNumberFormat="1" applyFont="1" applyFill="1" applyBorder="1" applyAlignment="1">
      <alignment horizontal="center" vertical="center"/>
    </xf>
    <xf numFmtId="3" fontId="0" fillId="0" borderId="16" xfId="6" applyNumberFormat="1" applyFont="1" applyFill="1" applyBorder="1" applyAlignment="1">
      <alignment horizontal="center" vertical="center"/>
    </xf>
    <xf numFmtId="165" fontId="7" fillId="3" borderId="6" xfId="6" applyNumberFormat="1" applyFont="1" applyFill="1" applyBorder="1" applyAlignment="1">
      <alignment horizontal="center" vertical="center" wrapText="1"/>
    </xf>
    <xf numFmtId="165" fontId="7" fillId="3" borderId="27" xfId="6" applyNumberFormat="1" applyFont="1" applyFill="1" applyBorder="1" applyAlignment="1">
      <alignment horizontal="center" vertical="center" wrapText="1"/>
    </xf>
    <xf numFmtId="165" fontId="7" fillId="5" borderId="6" xfId="6" applyNumberFormat="1" applyFont="1" applyFill="1" applyBorder="1" applyAlignment="1">
      <alignment horizontal="center" vertical="center" wrapText="1"/>
    </xf>
    <xf numFmtId="165" fontId="7" fillId="5" borderId="27" xfId="6" applyNumberFormat="1" applyFont="1" applyFill="1" applyBorder="1" applyAlignment="1">
      <alignment horizontal="center" vertical="center" wrapText="1"/>
    </xf>
    <xf numFmtId="165" fontId="7" fillId="6" borderId="6" xfId="6" applyNumberFormat="1" applyFont="1" applyFill="1" applyBorder="1" applyAlignment="1">
      <alignment horizontal="center" vertical="center" wrapText="1"/>
    </xf>
    <xf numFmtId="165" fontId="7" fillId="6" borderId="27" xfId="6" applyNumberFormat="1" applyFont="1" applyFill="1" applyBorder="1" applyAlignment="1">
      <alignment horizontal="center" vertical="center" wrapText="1"/>
    </xf>
    <xf numFmtId="0" fontId="8" fillId="0" borderId="2" xfId="1" applyNumberFormat="1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0" borderId="0" xfId="0" applyFont="1"/>
    <xf numFmtId="4" fontId="20" fillId="0" borderId="0" xfId="4" applyNumberFormat="1" applyFont="1" applyFill="1" applyBorder="1" applyAlignment="1">
      <alignment horizontal="center" vertical="center"/>
    </xf>
    <xf numFmtId="4" fontId="9" fillId="0" borderId="0" xfId="4" applyNumberFormat="1" applyFont="1" applyFill="1" applyBorder="1" applyAlignment="1">
      <alignment horizontal="center" vertical="center"/>
    </xf>
    <xf numFmtId="4" fontId="21" fillId="9" borderId="0" xfId="4" applyNumberFormat="1" applyFont="1" applyFill="1" applyBorder="1" applyAlignment="1">
      <alignment horizontal="center" vertical="center" wrapText="1"/>
    </xf>
    <xf numFmtId="4" fontId="21" fillId="9" borderId="0" xfId="0" applyNumberFormat="1" applyFont="1" applyFill="1" applyAlignment="1">
      <alignment horizontal="center" vertical="center" wrapText="1"/>
    </xf>
    <xf numFmtId="4" fontId="5" fillId="0" borderId="0" xfId="0" applyNumberFormat="1" applyFont="1" applyAlignment="1">
      <alignment horizontal="center" vertical="center"/>
    </xf>
    <xf numFmtId="4" fontId="9" fillId="0" borderId="0" xfId="0" applyNumberFormat="1" applyFont="1" applyAlignment="1">
      <alignment horizontal="center" vertical="center"/>
    </xf>
    <xf numFmtId="0" fontId="12" fillId="0" borderId="0" xfId="1" applyNumberFormat="1" applyFont="1" applyAlignment="1">
      <alignment horizontal="center" vertical="center"/>
    </xf>
    <xf numFmtId="4" fontId="12" fillId="0" borderId="0" xfId="1" applyNumberFormat="1" applyFont="1" applyAlignment="1">
      <alignment horizontal="center" vertical="center"/>
    </xf>
    <xf numFmtId="0" fontId="12" fillId="0" borderId="0" xfId="1" applyNumberFormat="1" applyFont="1" applyFill="1" applyAlignment="1">
      <alignment horizontal="center" vertical="center"/>
    </xf>
    <xf numFmtId="4" fontId="9" fillId="0" borderId="0" xfId="0" applyNumberFormat="1" applyFont="1" applyAlignment="1">
      <alignment horizontal="center" vertical="center" wrapText="1"/>
    </xf>
    <xf numFmtId="4" fontId="12" fillId="0" borderId="0" xfId="1" applyNumberFormat="1" applyFont="1" applyFill="1" applyAlignment="1">
      <alignment horizontal="center" vertical="center"/>
    </xf>
    <xf numFmtId="3" fontId="8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0" fontId="15" fillId="0" borderId="9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4" fontId="10" fillId="5" borderId="0" xfId="0" applyNumberFormat="1" applyFont="1" applyFill="1" applyAlignment="1">
      <alignment horizontal="center" vertical="center" wrapText="1"/>
    </xf>
    <xf numFmtId="165" fontId="4" fillId="0" borderId="0" xfId="6" applyNumberFormat="1" applyFont="1" applyFill="1" applyBorder="1" applyAlignment="1">
      <alignment horizontal="center" vertical="center" wrapText="1"/>
    </xf>
    <xf numFmtId="4" fontId="20" fillId="0" borderId="0" xfId="1" applyNumberFormat="1" applyFont="1" applyFill="1" applyBorder="1" applyAlignment="1">
      <alignment horizontal="center" vertical="center"/>
    </xf>
    <xf numFmtId="9" fontId="20" fillId="0" borderId="0" xfId="1" applyFont="1" applyFill="1" applyBorder="1" applyAlignment="1">
      <alignment horizontal="center" vertical="center"/>
    </xf>
    <xf numFmtId="169" fontId="4" fillId="0" borderId="0" xfId="4" applyNumberFormat="1" applyFont="1" applyFill="1" applyAlignment="1">
      <alignment horizontal="center" vertical="center"/>
    </xf>
    <xf numFmtId="169" fontId="4" fillId="0" borderId="0" xfId="4" applyNumberFormat="1" applyFont="1" applyFill="1" applyBorder="1" applyAlignment="1">
      <alignment horizontal="center" vertical="center"/>
    </xf>
    <xf numFmtId="4" fontId="4" fillId="0" borderId="0" xfId="4" applyNumberFormat="1" applyFont="1" applyFill="1" applyAlignment="1">
      <alignment horizontal="center" vertical="center"/>
    </xf>
    <xf numFmtId="164" fontId="4" fillId="0" borderId="0" xfId="0" applyNumberFormat="1" applyFont="1" applyFill="1" applyAlignment="1">
      <alignment horizontal="center" vertical="center"/>
    </xf>
    <xf numFmtId="169" fontId="25" fillId="0" borderId="0" xfId="4" applyNumberFormat="1" applyFont="1" applyFill="1" applyAlignment="1">
      <alignment horizontal="center" vertical="center"/>
    </xf>
    <xf numFmtId="164" fontId="4" fillId="0" borderId="0" xfId="4" applyNumberFormat="1" applyFont="1" applyFill="1" applyAlignment="1">
      <alignment horizontal="center" vertical="center"/>
    </xf>
    <xf numFmtId="4" fontId="25" fillId="0" borderId="0" xfId="4" applyNumberFormat="1" applyFont="1" applyFill="1" applyAlignment="1">
      <alignment horizontal="center" vertical="center"/>
    </xf>
    <xf numFmtId="4" fontId="24" fillId="0" borderId="0" xfId="4" applyNumberFormat="1" applyFont="1" applyFill="1" applyBorder="1" applyAlignment="1">
      <alignment horizontal="center" vertical="center"/>
    </xf>
    <xf numFmtId="0" fontId="24" fillId="0" borderId="0" xfId="0" applyFont="1" applyFill="1" applyAlignment="1">
      <alignment horizontal="center" vertical="center"/>
    </xf>
    <xf numFmtId="0" fontId="24" fillId="0" borderId="0" xfId="0" applyNumberFormat="1" applyFont="1" applyFill="1" applyBorder="1" applyAlignment="1">
      <alignment horizontal="center" vertical="center"/>
    </xf>
    <xf numFmtId="1" fontId="24" fillId="0" borderId="0" xfId="0" applyNumberFormat="1" applyFont="1" applyFill="1" applyAlignment="1">
      <alignment horizontal="center" vertical="center"/>
    </xf>
    <xf numFmtId="4" fontId="26" fillId="0" borderId="0" xfId="1" applyNumberFormat="1" applyFont="1" applyFill="1" applyAlignment="1">
      <alignment horizontal="center" vertical="center"/>
    </xf>
    <xf numFmtId="4" fontId="26" fillId="0" borderId="0" xfId="0" applyNumberFormat="1" applyFont="1" applyFill="1" applyAlignment="1">
      <alignment horizontal="center" vertical="center"/>
    </xf>
    <xf numFmtId="0" fontId="0" fillId="0" borderId="0" xfId="0" applyFill="1" applyAlignment="1">
      <alignment wrapText="1"/>
    </xf>
    <xf numFmtId="164" fontId="5" fillId="0" borderId="0" xfId="0" applyNumberFormat="1" applyFont="1" applyFill="1" applyAlignment="1">
      <alignment horizontal="center" vertical="center"/>
    </xf>
    <xf numFmtId="169" fontId="25" fillId="0" borderId="0" xfId="4" applyNumberFormat="1" applyFont="1" applyFill="1" applyBorder="1" applyAlignment="1">
      <alignment horizontal="center" vertical="center"/>
    </xf>
    <xf numFmtId="164" fontId="4" fillId="0" borderId="0" xfId="4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164" fontId="4" fillId="0" borderId="0" xfId="2" applyNumberFormat="1" applyFont="1" applyFill="1" applyAlignment="1">
      <alignment horizontal="center" vertical="center"/>
    </xf>
    <xf numFmtId="0" fontId="27" fillId="0" borderId="0" xfId="0" applyFont="1" applyFill="1" applyAlignment="1">
      <alignment vertical="center"/>
    </xf>
    <xf numFmtId="0" fontId="5" fillId="0" borderId="0" xfId="0" applyFont="1" applyFill="1" applyAlignment="1">
      <alignment horizontal="center" vertical="center"/>
    </xf>
    <xf numFmtId="1" fontId="5" fillId="0" borderId="0" xfId="0" applyNumberFormat="1" applyFont="1" applyFill="1" applyAlignment="1">
      <alignment horizontal="center" vertical="center"/>
    </xf>
    <xf numFmtId="164" fontId="5" fillId="0" borderId="0" xfId="4" applyFont="1" applyFill="1" applyAlignment="1">
      <alignment horizontal="center" vertical="center"/>
    </xf>
    <xf numFmtId="4" fontId="27" fillId="0" borderId="0" xfId="4" applyNumberFormat="1" applyFont="1" applyFill="1" applyBorder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/>
    </xf>
    <xf numFmtId="4" fontId="26" fillId="0" borderId="0" xfId="1" applyNumberFormat="1" applyFont="1" applyFill="1" applyBorder="1" applyAlignment="1">
      <alignment horizontal="center" vertical="center"/>
    </xf>
    <xf numFmtId="4" fontId="28" fillId="0" borderId="0" xfId="1" applyNumberFormat="1" applyFont="1" applyAlignment="1">
      <alignment horizontal="center" vertical="center"/>
    </xf>
    <xf numFmtId="4" fontId="24" fillId="0" borderId="0" xfId="0" applyNumberFormat="1" applyFont="1" applyFill="1" applyAlignment="1">
      <alignment horizontal="center" vertical="center"/>
    </xf>
    <xf numFmtId="0" fontId="7" fillId="2" borderId="42" xfId="0" applyFont="1" applyFill="1" applyBorder="1" applyAlignment="1">
      <alignment horizontal="center" vertical="center"/>
    </xf>
    <xf numFmtId="0" fontId="7" fillId="2" borderId="43" xfId="0" applyFont="1" applyFill="1" applyBorder="1" applyAlignment="1">
      <alignment horizontal="center" vertical="center"/>
    </xf>
    <xf numFmtId="3" fontId="7" fillId="8" borderId="40" xfId="0" applyNumberFormat="1" applyFont="1" applyFill="1" applyBorder="1" applyAlignment="1">
      <alignment horizontal="center" vertical="center"/>
    </xf>
    <xf numFmtId="3" fontId="7" fillId="8" borderId="44" xfId="0" applyNumberFormat="1" applyFont="1" applyFill="1" applyBorder="1" applyAlignment="1">
      <alignment horizontal="center" vertical="center"/>
    </xf>
    <xf numFmtId="0" fontId="7" fillId="2" borderId="45" xfId="0" applyFont="1" applyFill="1" applyBorder="1" applyAlignment="1">
      <alignment horizontal="center" vertical="center"/>
    </xf>
    <xf numFmtId="0" fontId="7" fillId="8" borderId="39" xfId="0" applyFont="1" applyFill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3" fontId="0" fillId="0" borderId="36" xfId="0" applyNumberFormat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3" fontId="0" fillId="0" borderId="30" xfId="0" applyNumberFormat="1" applyBorder="1" applyAlignment="1">
      <alignment horizontal="center" vertical="center"/>
    </xf>
    <xf numFmtId="3" fontId="0" fillId="0" borderId="29" xfId="0" applyNumberFormat="1" applyBorder="1" applyAlignment="1">
      <alignment horizontal="center" vertical="center"/>
    </xf>
    <xf numFmtId="3" fontId="0" fillId="0" borderId="28" xfId="0" applyNumberFormat="1" applyBorder="1" applyAlignment="1">
      <alignment horizontal="center" vertical="center"/>
    </xf>
    <xf numFmtId="3" fontId="0" fillId="0" borderId="34" xfId="0" applyNumberFormat="1" applyBorder="1" applyAlignment="1">
      <alignment horizontal="center" vertical="center"/>
    </xf>
    <xf numFmtId="9" fontId="0" fillId="0" borderId="8" xfId="1" applyFont="1" applyFill="1" applyBorder="1" applyAlignment="1">
      <alignment horizontal="center" vertical="center"/>
    </xf>
    <xf numFmtId="9" fontId="0" fillId="0" borderId="38" xfId="1" applyFont="1" applyFill="1" applyBorder="1" applyAlignment="1">
      <alignment horizontal="center" vertical="center"/>
    </xf>
    <xf numFmtId="0" fontId="7" fillId="6" borderId="45" xfId="0" applyFont="1" applyFill="1" applyBorder="1" applyAlignment="1">
      <alignment horizontal="center" vertical="center"/>
    </xf>
    <xf numFmtId="9" fontId="0" fillId="0" borderId="37" xfId="1" applyFont="1" applyFill="1" applyBorder="1" applyAlignment="1">
      <alignment horizontal="center" vertical="center"/>
    </xf>
    <xf numFmtId="0" fontId="7" fillId="11" borderId="48" xfId="0" applyFont="1" applyFill="1" applyBorder="1" applyAlignment="1">
      <alignment horizontal="center" vertical="center"/>
    </xf>
    <xf numFmtId="3" fontId="7" fillId="0" borderId="35" xfId="0" applyNumberFormat="1" applyFont="1" applyFill="1" applyBorder="1" applyAlignment="1">
      <alignment horizontal="center" vertical="center"/>
    </xf>
    <xf numFmtId="3" fontId="7" fillId="0" borderId="5" xfId="0" applyNumberFormat="1" applyFont="1" applyFill="1" applyBorder="1" applyAlignment="1">
      <alignment horizontal="center" vertical="center"/>
    </xf>
    <xf numFmtId="3" fontId="7" fillId="0" borderId="33" xfId="0" applyNumberFormat="1" applyFont="1" applyFill="1" applyBorder="1" applyAlignment="1">
      <alignment horizontal="center" vertical="center"/>
    </xf>
    <xf numFmtId="3" fontId="0" fillId="0" borderId="49" xfId="6" applyNumberFormat="1" applyFont="1" applyBorder="1" applyAlignment="1">
      <alignment horizontal="center" vertical="center"/>
    </xf>
    <xf numFmtId="3" fontId="0" fillId="0" borderId="50" xfId="6" applyNumberFormat="1" applyFont="1" applyBorder="1" applyAlignment="1">
      <alignment horizontal="center" vertical="center"/>
    </xf>
    <xf numFmtId="3" fontId="0" fillId="0" borderId="51" xfId="6" applyNumberFormat="1" applyFont="1" applyBorder="1" applyAlignment="1">
      <alignment horizontal="center" vertical="center"/>
    </xf>
    <xf numFmtId="3" fontId="0" fillId="0" borderId="52" xfId="6" applyNumberFormat="1" applyFont="1" applyBorder="1" applyAlignment="1">
      <alignment horizontal="center" vertical="center"/>
    </xf>
    <xf numFmtId="3" fontId="0" fillId="0" borderId="51" xfId="6" applyNumberFormat="1" applyFont="1" applyFill="1" applyBorder="1" applyAlignment="1">
      <alignment horizontal="center" vertical="center"/>
    </xf>
    <xf numFmtId="3" fontId="0" fillId="0" borderId="52" xfId="6" applyNumberFormat="1" applyFont="1" applyFill="1" applyBorder="1" applyAlignment="1">
      <alignment horizontal="center" vertical="center"/>
    </xf>
    <xf numFmtId="3" fontId="0" fillId="0" borderId="53" xfId="6" applyNumberFormat="1" applyFont="1" applyBorder="1" applyAlignment="1">
      <alignment horizontal="center" vertical="center"/>
    </xf>
    <xf numFmtId="3" fontId="0" fillId="0" borderId="54" xfId="6" applyNumberFormat="1" applyFont="1" applyBorder="1" applyAlignment="1">
      <alignment horizontal="center" vertical="center"/>
    </xf>
    <xf numFmtId="167" fontId="7" fillId="2" borderId="9" xfId="0" applyNumberFormat="1" applyFont="1" applyFill="1" applyBorder="1" applyAlignment="1">
      <alignment horizontal="center" vertical="center"/>
    </xf>
    <xf numFmtId="167" fontId="7" fillId="2" borderId="55" xfId="0" applyNumberFormat="1" applyFont="1" applyFill="1" applyBorder="1" applyAlignment="1">
      <alignment horizontal="center" vertical="center"/>
    </xf>
    <xf numFmtId="9" fontId="7" fillId="8" borderId="41" xfId="1" applyFont="1" applyFill="1" applyBorder="1" applyAlignment="1">
      <alignment horizontal="center" vertical="center"/>
    </xf>
    <xf numFmtId="0" fontId="5" fillId="0" borderId="0" xfId="2" applyFont="1" applyFill="1" applyAlignment="1">
      <alignment horizontal="center" vertical="center"/>
    </xf>
    <xf numFmtId="164" fontId="5" fillId="0" borderId="0" xfId="2" applyNumberFormat="1" applyFont="1" applyFill="1" applyAlignment="1">
      <alignment horizontal="center" vertical="center"/>
    </xf>
    <xf numFmtId="164" fontId="5" fillId="0" borderId="0" xfId="4" applyNumberFormat="1" applyFont="1" applyFill="1" applyBorder="1" applyAlignment="1">
      <alignment horizontal="center" vertical="center"/>
    </xf>
    <xf numFmtId="169" fontId="5" fillId="0" borderId="0" xfId="4" applyNumberFormat="1" applyFont="1" applyFill="1" applyBorder="1" applyAlignment="1">
      <alignment horizontal="center" vertical="center"/>
    </xf>
    <xf numFmtId="49" fontId="8" fillId="0" borderId="0" xfId="0" applyNumberFormat="1" applyFont="1" applyFill="1" applyAlignment="1">
      <alignment horizontal="center"/>
    </xf>
    <xf numFmtId="164" fontId="5" fillId="0" borderId="3" xfId="0" applyNumberFormat="1" applyFont="1" applyFill="1" applyBorder="1" applyAlignment="1">
      <alignment horizontal="center" vertical="center"/>
    </xf>
    <xf numFmtId="164" fontId="5" fillId="0" borderId="4" xfId="0" applyNumberFormat="1" applyFont="1" applyFill="1" applyBorder="1" applyAlignment="1">
      <alignment horizontal="center" vertical="center"/>
    </xf>
    <xf numFmtId="171" fontId="13" fillId="4" borderId="57" xfId="0" applyNumberFormat="1" applyFont="1" applyFill="1" applyBorder="1" applyAlignment="1">
      <alignment horizontal="center" vertical="center"/>
    </xf>
    <xf numFmtId="171" fontId="13" fillId="4" borderId="56" xfId="0" applyNumberFormat="1" applyFont="1" applyFill="1" applyBorder="1" applyAlignment="1">
      <alignment horizontal="center" vertical="center"/>
    </xf>
    <xf numFmtId="170" fontId="13" fillId="4" borderId="58" xfId="0" applyNumberFormat="1" applyFont="1" applyFill="1" applyBorder="1" applyAlignment="1">
      <alignment horizontal="center" vertical="center"/>
    </xf>
    <xf numFmtId="171" fontId="13" fillId="4" borderId="2" xfId="0" applyNumberFormat="1" applyFont="1" applyFill="1" applyBorder="1" applyAlignment="1">
      <alignment horizontal="center" vertical="center"/>
    </xf>
    <xf numFmtId="0" fontId="16" fillId="4" borderId="45" xfId="0" applyFont="1" applyFill="1" applyBorder="1" applyAlignment="1">
      <alignment horizontal="center" vertical="center" wrapText="1"/>
    </xf>
    <xf numFmtId="0" fontId="17" fillId="4" borderId="42" xfId="0" applyFont="1" applyFill="1" applyBorder="1" applyAlignment="1">
      <alignment horizontal="center" vertical="center" wrapText="1"/>
    </xf>
    <xf numFmtId="0" fontId="16" fillId="4" borderId="48" xfId="0" applyFont="1" applyFill="1" applyBorder="1" applyAlignment="1">
      <alignment horizontal="center" vertical="center" wrapText="1"/>
    </xf>
    <xf numFmtId="4" fontId="8" fillId="0" borderId="2" xfId="1" applyNumberFormat="1" applyFont="1" applyFill="1" applyBorder="1" applyAlignment="1">
      <alignment horizontal="center"/>
    </xf>
    <xf numFmtId="166" fontId="8" fillId="0" borderId="2" xfId="1" applyNumberFormat="1" applyFont="1" applyFill="1" applyBorder="1" applyAlignment="1">
      <alignment horizontal="center"/>
    </xf>
    <xf numFmtId="0" fontId="8" fillId="0" borderId="2" xfId="0" applyFont="1" applyFill="1" applyBorder="1" applyAlignment="1">
      <alignment horizontal="center"/>
    </xf>
    <xf numFmtId="0" fontId="14" fillId="0" borderId="2" xfId="0" applyFont="1" applyFill="1" applyBorder="1" applyAlignment="1">
      <alignment horizontal="left"/>
    </xf>
    <xf numFmtId="0" fontId="11" fillId="0" borderId="2" xfId="0" applyFont="1" applyFill="1" applyBorder="1" applyAlignment="1">
      <alignment horizontal="center"/>
    </xf>
    <xf numFmtId="0" fontId="8" fillId="0" borderId="2" xfId="0" applyFont="1" applyFill="1" applyBorder="1" applyAlignment="1">
      <alignment horizontal="center" vertical="center"/>
    </xf>
    <xf numFmtId="0" fontId="14" fillId="0" borderId="2" xfId="0" applyFont="1" applyFill="1" applyBorder="1" applyAlignment="1">
      <alignment vertical="center"/>
    </xf>
    <xf numFmtId="0" fontId="7" fillId="0" borderId="2" xfId="0" applyFont="1" applyFill="1" applyBorder="1" applyAlignment="1">
      <alignment horizontal="center" vertical="center"/>
    </xf>
    <xf numFmtId="0" fontId="14" fillId="0" borderId="2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4" fontId="0" fillId="0" borderId="0" xfId="0" applyNumberFormat="1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2" xfId="0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4" fillId="0" borderId="0" xfId="2" applyFont="1" applyAlignment="1">
      <alignment horizontal="left" vertical="center"/>
    </xf>
    <xf numFmtId="0" fontId="0" fillId="0" borderId="0" xfId="0" applyAlignment="1">
      <alignment horizontal="center" wrapText="1"/>
    </xf>
    <xf numFmtId="0" fontId="0" fillId="12" borderId="2" xfId="0" applyFill="1" applyBorder="1" applyAlignment="1">
      <alignment horizontal="center"/>
    </xf>
    <xf numFmtId="0" fontId="14" fillId="12" borderId="2" xfId="0" applyFont="1" applyFill="1" applyBorder="1" applyAlignment="1">
      <alignment horizontal="left" vertical="center"/>
    </xf>
    <xf numFmtId="0" fontId="11" fillId="12" borderId="2" xfId="0" applyFont="1" applyFill="1" applyBorder="1" applyAlignment="1">
      <alignment horizontal="center"/>
    </xf>
    <xf numFmtId="0" fontId="8" fillId="12" borderId="2" xfId="0" applyFont="1" applyFill="1" applyBorder="1" applyAlignment="1">
      <alignment horizontal="center" vertical="center"/>
    </xf>
    <xf numFmtId="166" fontId="8" fillId="13" borderId="2" xfId="1" applyNumberFormat="1" applyFont="1" applyFill="1" applyBorder="1" applyAlignment="1">
      <alignment horizontal="center"/>
    </xf>
    <xf numFmtId="0" fontId="8" fillId="13" borderId="2" xfId="0" applyFont="1" applyFill="1" applyBorder="1" applyAlignment="1">
      <alignment horizontal="center"/>
    </xf>
    <xf numFmtId="0" fontId="14" fillId="13" borderId="2" xfId="0" applyFont="1" applyFill="1" applyBorder="1" applyAlignment="1">
      <alignment horizontal="left"/>
    </xf>
    <xf numFmtId="0" fontId="11" fillId="13" borderId="2" xfId="0" applyFont="1" applyFill="1" applyBorder="1" applyAlignment="1">
      <alignment horizontal="center"/>
    </xf>
    <xf numFmtId="0" fontId="8" fillId="13" borderId="2" xfId="1" applyNumberFormat="1" applyFont="1" applyFill="1" applyBorder="1" applyAlignment="1">
      <alignment horizontal="center" vertical="center"/>
    </xf>
    <xf numFmtId="0" fontId="8" fillId="13" borderId="2" xfId="0" applyFont="1" applyFill="1" applyBorder="1" applyAlignment="1">
      <alignment horizontal="center" vertical="center"/>
    </xf>
    <xf numFmtId="0" fontId="30" fillId="0" borderId="2" xfId="0" applyFont="1" applyFill="1" applyBorder="1" applyAlignment="1">
      <alignment horizontal="center" vertical="center"/>
    </xf>
    <xf numFmtId="0" fontId="0" fillId="0" borderId="0" xfId="0" applyNumberFormat="1" applyFill="1" applyAlignment="1">
      <alignment horizontal="center"/>
    </xf>
    <xf numFmtId="0" fontId="29" fillId="0" borderId="0" xfId="1" applyNumberFormat="1" applyFont="1" applyAlignment="1">
      <alignment horizontal="center" vertical="center"/>
    </xf>
    <xf numFmtId="4" fontId="10" fillId="0" borderId="0" xfId="4" applyNumberFormat="1" applyFont="1" applyFill="1" applyBorder="1" applyAlignment="1">
      <alignment horizontal="center" vertical="center"/>
    </xf>
    <xf numFmtId="167" fontId="5" fillId="0" borderId="0" xfId="6" applyNumberFormat="1" applyFont="1" applyFill="1" applyBorder="1" applyAlignment="1">
      <alignment horizontal="center" vertical="center"/>
    </xf>
    <xf numFmtId="1" fontId="24" fillId="3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 wrapText="1"/>
    </xf>
    <xf numFmtId="0" fontId="32" fillId="0" borderId="0" xfId="0" applyFont="1" applyFill="1" applyAlignment="1">
      <alignment horizontal="center" vertical="center"/>
    </xf>
    <xf numFmtId="0" fontId="32" fillId="0" borderId="0" xfId="0" applyFont="1" applyFill="1" applyAlignment="1">
      <alignment horizontal="center" vertical="center" wrapText="1"/>
    </xf>
    <xf numFmtId="4" fontId="32" fillId="0" borderId="0" xfId="0" applyNumberFormat="1" applyFont="1" applyFill="1" applyAlignment="1">
      <alignment horizontal="center" vertical="center"/>
    </xf>
    <xf numFmtId="4" fontId="5" fillId="0" borderId="0" xfId="0" applyNumberFormat="1" applyFont="1" applyFill="1" applyAlignment="1">
      <alignment horizontal="center" vertical="center"/>
    </xf>
    <xf numFmtId="169" fontId="5" fillId="0" borderId="0" xfId="4" applyNumberFormat="1" applyFont="1" applyFill="1" applyAlignment="1">
      <alignment horizontal="center" vertical="center"/>
    </xf>
    <xf numFmtId="9" fontId="5" fillId="0" borderId="0" xfId="1" applyFont="1" applyFill="1" applyBorder="1" applyAlignment="1">
      <alignment horizontal="center" vertical="center"/>
    </xf>
    <xf numFmtId="0" fontId="33" fillId="0" borderId="0" xfId="0" applyFont="1" applyFill="1" applyAlignment="1">
      <alignment horizontal="center" vertical="center"/>
    </xf>
    <xf numFmtId="4" fontId="20" fillId="0" borderId="0" xfId="4" applyNumberFormat="1" applyFont="1" applyFill="1" applyAlignment="1">
      <alignment horizontal="center" vertical="center"/>
    </xf>
    <xf numFmtId="4" fontId="4" fillId="0" borderId="0" xfId="0" applyNumberFormat="1" applyFont="1" applyFill="1" applyAlignment="1">
      <alignment horizontal="center" vertical="center"/>
    </xf>
    <xf numFmtId="172" fontId="20" fillId="0" borderId="0" xfId="1" applyNumberFormat="1" applyFont="1" applyFill="1" applyBorder="1" applyAlignment="1">
      <alignment horizontal="center" vertical="center"/>
    </xf>
    <xf numFmtId="49" fontId="0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31" fillId="0" borderId="0" xfId="0" applyFont="1" applyFill="1" applyAlignment="1">
      <alignment horizontal="center" vertical="center"/>
    </xf>
    <xf numFmtId="0" fontId="34" fillId="0" borderId="0" xfId="2" applyFont="1" applyFill="1" applyAlignment="1">
      <alignment vertical="center" wrapText="1"/>
    </xf>
    <xf numFmtId="49" fontId="30" fillId="0" borderId="0" xfId="0" applyNumberFormat="1" applyFont="1" applyFill="1" applyAlignment="1">
      <alignment horizontal="center" vertical="center"/>
    </xf>
    <xf numFmtId="49" fontId="0" fillId="0" borderId="0" xfId="0" applyNumberFormat="1" applyFill="1" applyAlignment="1">
      <alignment horizontal="center"/>
    </xf>
    <xf numFmtId="167" fontId="20" fillId="0" borderId="0" xfId="6" applyNumberFormat="1" applyFont="1" applyFill="1" applyBorder="1" applyAlignment="1">
      <alignment horizontal="center" vertical="center"/>
    </xf>
    <xf numFmtId="3" fontId="5" fillId="0" borderId="0" xfId="4" applyNumberFormat="1" applyFont="1" applyFill="1" applyBorder="1" applyAlignment="1">
      <alignment horizontal="center" vertical="center"/>
    </xf>
    <xf numFmtId="2" fontId="4" fillId="0" borderId="0" xfId="1" applyNumberFormat="1" applyFont="1" applyFill="1" applyAlignment="1">
      <alignment horizontal="center" vertical="center"/>
    </xf>
    <xf numFmtId="0" fontId="33" fillId="0" borderId="0" xfId="0" applyFont="1" applyFill="1" applyAlignment="1">
      <alignment horizontal="center" vertical="center" wrapText="1"/>
    </xf>
    <xf numFmtId="49" fontId="3" fillId="0" borderId="0" xfId="7" applyNumberFormat="1" applyFont="1" applyFill="1" applyAlignment="1">
      <alignment horizontal="center"/>
    </xf>
    <xf numFmtId="0" fontId="20" fillId="0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14" fontId="0" fillId="0" borderId="0" xfId="0" applyNumberFormat="1" applyFill="1" applyAlignment="1">
      <alignment horizontal="left"/>
    </xf>
    <xf numFmtId="0" fontId="0" fillId="0" borderId="0" xfId="0" applyNumberFormat="1" applyFill="1" applyAlignment="1">
      <alignment horizontal="left"/>
    </xf>
    <xf numFmtId="4" fontId="0" fillId="0" borderId="0" xfId="0" applyNumberFormat="1" applyFill="1" applyAlignment="1">
      <alignment horizontal="left"/>
    </xf>
    <xf numFmtId="9" fontId="0" fillId="0" borderId="0" xfId="1" applyFont="1" applyFill="1" applyAlignment="1">
      <alignment horizontal="left"/>
    </xf>
    <xf numFmtId="3" fontId="0" fillId="0" borderId="0" xfId="0" applyNumberFormat="1" applyFill="1" applyAlignment="1">
      <alignment horizontal="left"/>
    </xf>
    <xf numFmtId="10" fontId="0" fillId="0" borderId="0" xfId="1" applyNumberFormat="1" applyFont="1" applyFill="1" applyAlignment="1">
      <alignment horizontal="left"/>
    </xf>
    <xf numFmtId="4" fontId="8" fillId="0" borderId="0" xfId="0" applyNumberFormat="1" applyFont="1" applyFill="1" applyAlignment="1">
      <alignment horizontal="left"/>
    </xf>
    <xf numFmtId="0" fontId="8" fillId="0" borderId="0" xfId="0" applyFont="1" applyFill="1" applyAlignment="1">
      <alignment horizontal="left"/>
    </xf>
    <xf numFmtId="0" fontId="28" fillId="0" borderId="0" xfId="0" applyFont="1" applyFill="1" applyAlignment="1">
      <alignment horizontal="left"/>
    </xf>
    <xf numFmtId="169" fontId="20" fillId="0" borderId="0" xfId="4" applyNumberFormat="1" applyFont="1" applyFill="1" applyAlignment="1">
      <alignment horizontal="center" vertical="center"/>
    </xf>
    <xf numFmtId="0" fontId="20" fillId="0" borderId="0" xfId="0" applyNumberFormat="1" applyFont="1" applyFill="1" applyBorder="1" applyAlignment="1">
      <alignment horizontal="center" vertical="center"/>
    </xf>
    <xf numFmtId="4" fontId="20" fillId="0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2" fontId="0" fillId="0" borderId="0" xfId="0" applyNumberFormat="1" applyFill="1" applyAlignment="1">
      <alignment horizontal="left" vertical="center"/>
    </xf>
    <xf numFmtId="2" fontId="0" fillId="0" borderId="0" xfId="0" applyNumberFormat="1" applyFill="1" applyAlignment="1">
      <alignment horizontal="left"/>
    </xf>
    <xf numFmtId="4" fontId="0" fillId="0" borderId="0" xfId="0" applyNumberFormat="1" applyFill="1" applyAlignment="1">
      <alignment horizontal="center" vertical="center"/>
    </xf>
    <xf numFmtId="168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0" fontId="4" fillId="0" borderId="0" xfId="2" applyFont="1" applyFill="1" applyAlignment="1">
      <alignment horizontal="center" vertical="center" wrapText="1"/>
    </xf>
    <xf numFmtId="0" fontId="0" fillId="14" borderId="0" xfId="0" applyFill="1" applyAlignment="1">
      <alignment horizontal="left"/>
    </xf>
    <xf numFmtId="49" fontId="35" fillId="0" borderId="0" xfId="7" applyNumberFormat="1" applyFill="1" applyAlignment="1">
      <alignment horizontal="center"/>
    </xf>
    <xf numFmtId="0" fontId="27" fillId="0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4" fontId="5" fillId="3" borderId="0" xfId="4" applyNumberFormat="1" applyFont="1" applyFill="1" applyBorder="1" applyAlignment="1">
      <alignment horizontal="center" vertical="center"/>
    </xf>
    <xf numFmtId="4" fontId="5" fillId="3" borderId="0" xfId="0" applyNumberFormat="1" applyFont="1" applyFill="1" applyAlignment="1">
      <alignment horizontal="center" vertical="center"/>
    </xf>
    <xf numFmtId="3" fontId="10" fillId="3" borderId="0" xfId="4" applyNumberFormat="1" applyFont="1" applyFill="1" applyBorder="1" applyAlignment="1">
      <alignment horizontal="center" vertical="center"/>
    </xf>
    <xf numFmtId="4" fontId="26" fillId="3" borderId="0" xfId="1" applyNumberFormat="1" applyFont="1" applyFill="1" applyAlignment="1">
      <alignment horizontal="center" vertical="center"/>
    </xf>
    <xf numFmtId="4" fontId="10" fillId="3" borderId="0" xfId="0" applyNumberFormat="1" applyFont="1" applyFill="1" applyAlignment="1">
      <alignment horizontal="center" vertical="center"/>
    </xf>
    <xf numFmtId="0" fontId="12" fillId="3" borderId="0" xfId="1" applyNumberFormat="1" applyFont="1" applyFill="1" applyAlignment="1">
      <alignment horizontal="center" vertical="center"/>
    </xf>
    <xf numFmtId="4" fontId="12" fillId="3" borderId="0" xfId="1" applyNumberFormat="1" applyFont="1" applyFill="1" applyAlignment="1">
      <alignment horizontal="center" vertical="center"/>
    </xf>
    <xf numFmtId="4" fontId="9" fillId="3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0" fillId="3" borderId="0" xfId="0" applyFill="1"/>
    <xf numFmtId="0" fontId="5" fillId="0" borderId="0" xfId="0" applyFont="1" applyFill="1" applyAlignment="1">
      <alignment vertical="center" wrapText="1"/>
    </xf>
    <xf numFmtId="1" fontId="24" fillId="14" borderId="0" xfId="0" applyNumberFormat="1" applyFont="1" applyFill="1" applyAlignment="1">
      <alignment horizontal="center" vertical="center"/>
    </xf>
    <xf numFmtId="0" fontId="5" fillId="14" borderId="0" xfId="0" applyFont="1" applyFill="1" applyAlignment="1">
      <alignment horizontal="center" vertical="center"/>
    </xf>
    <xf numFmtId="4" fontId="5" fillId="14" borderId="0" xfId="0" applyNumberFormat="1" applyFont="1" applyFill="1" applyAlignment="1">
      <alignment horizontal="center" vertical="center"/>
    </xf>
    <xf numFmtId="3" fontId="10" fillId="14" borderId="0" xfId="4" applyNumberFormat="1" applyFont="1" applyFill="1" applyBorder="1" applyAlignment="1">
      <alignment horizontal="center" vertical="center"/>
    </xf>
    <xf numFmtId="4" fontId="26" fillId="14" borderId="0" xfId="1" applyNumberFormat="1" applyFont="1" applyFill="1" applyAlignment="1">
      <alignment horizontal="center" vertical="center"/>
    </xf>
    <xf numFmtId="4" fontId="10" fillId="14" borderId="0" xfId="0" applyNumberFormat="1" applyFont="1" applyFill="1" applyAlignment="1">
      <alignment horizontal="center" vertical="center"/>
    </xf>
    <xf numFmtId="0" fontId="12" fillId="14" borderId="0" xfId="1" applyNumberFormat="1" applyFont="1" applyFill="1" applyAlignment="1">
      <alignment horizontal="center" vertical="center"/>
    </xf>
    <xf numFmtId="4" fontId="12" fillId="14" borderId="0" xfId="1" applyNumberFormat="1" applyFont="1" applyFill="1" applyAlignment="1">
      <alignment horizontal="center" vertical="center"/>
    </xf>
    <xf numFmtId="4" fontId="9" fillId="14" borderId="0" xfId="0" applyNumberFormat="1" applyFont="1" applyFill="1" applyAlignment="1">
      <alignment horizontal="center" vertical="center"/>
    </xf>
    <xf numFmtId="4" fontId="5" fillId="14" borderId="0" xfId="4" applyNumberFormat="1" applyFont="1" applyFill="1" applyBorder="1" applyAlignment="1">
      <alignment horizontal="center" vertical="center"/>
    </xf>
    <xf numFmtId="0" fontId="8" fillId="14" borderId="0" xfId="0" applyFont="1" applyFill="1" applyAlignment="1">
      <alignment horizontal="center"/>
    </xf>
    <xf numFmtId="0" fontId="0" fillId="14" borderId="0" xfId="0" applyFill="1"/>
    <xf numFmtId="0" fontId="0" fillId="0" borderId="0" xfId="0" pivotButton="1"/>
    <xf numFmtId="0" fontId="0" fillId="0" borderId="0" xfId="0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10" fontId="0" fillId="0" borderId="8" xfId="0" applyNumberFormat="1" applyFill="1" applyBorder="1" applyAlignment="1">
      <alignment horizontal="center" vertical="center"/>
    </xf>
    <xf numFmtId="0" fontId="7" fillId="15" borderId="39" xfId="0" applyFont="1" applyFill="1" applyBorder="1" applyAlignment="1">
      <alignment horizontal="center" vertical="center"/>
    </xf>
    <xf numFmtId="0" fontId="7" fillId="15" borderId="40" xfId="0" applyFont="1" applyFill="1" applyBorder="1" applyAlignment="1">
      <alignment horizontal="center" vertical="center"/>
    </xf>
    <xf numFmtId="0" fontId="7" fillId="15" borderId="41" xfId="0" applyNumberFormat="1" applyFont="1" applyFill="1" applyBorder="1" applyAlignment="1">
      <alignment horizontal="center" vertical="center"/>
    </xf>
    <xf numFmtId="0" fontId="7" fillId="15" borderId="39" xfId="0" applyNumberFormat="1" applyFont="1" applyFill="1" applyBorder="1" applyAlignment="1">
      <alignment horizontal="center" vertical="center"/>
    </xf>
    <xf numFmtId="10" fontId="7" fillId="15" borderId="41" xfId="0" applyNumberFormat="1" applyFont="1" applyFill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0" fillId="0" borderId="37" xfId="0" applyNumberFormat="1" applyBorder="1" applyAlignment="1">
      <alignment horizontal="center" vertical="center"/>
    </xf>
    <xf numFmtId="0" fontId="0" fillId="0" borderId="35" xfId="0" applyNumberFormat="1" applyFill="1" applyBorder="1" applyAlignment="1">
      <alignment horizontal="center" vertical="center"/>
    </xf>
    <xf numFmtId="10" fontId="0" fillId="0" borderId="37" xfId="0" applyNumberFormat="1" applyFill="1" applyBorder="1" applyAlignment="1">
      <alignment horizontal="center" vertical="center"/>
    </xf>
    <xf numFmtId="0" fontId="7" fillId="15" borderId="6" xfId="0" applyFont="1" applyFill="1" applyBorder="1" applyAlignment="1">
      <alignment horizontal="center" vertical="center"/>
    </xf>
    <xf numFmtId="0" fontId="7" fillId="15" borderId="7" xfId="0" applyFont="1" applyFill="1" applyBorder="1" applyAlignment="1">
      <alignment horizontal="center" vertical="center"/>
    </xf>
    <xf numFmtId="0" fontId="7" fillId="15" borderId="27" xfId="0" applyFont="1" applyFill="1" applyBorder="1" applyAlignment="1">
      <alignment horizontal="center" vertical="center"/>
    </xf>
    <xf numFmtId="0" fontId="7" fillId="16" borderId="6" xfId="0" applyFont="1" applyFill="1" applyBorder="1" applyAlignment="1">
      <alignment horizontal="center" vertical="center"/>
    </xf>
    <xf numFmtId="0" fontId="7" fillId="16" borderId="27" xfId="0" applyFont="1" applyFill="1" applyBorder="1" applyAlignment="1">
      <alignment horizontal="center" vertical="center"/>
    </xf>
    <xf numFmtId="0" fontId="7" fillId="10" borderId="33" xfId="0" applyFont="1" applyFill="1" applyBorder="1" applyAlignment="1">
      <alignment horizontal="center"/>
    </xf>
    <xf numFmtId="0" fontId="7" fillId="10" borderId="30" xfId="0" applyFont="1" applyFill="1" applyBorder="1" applyAlignment="1">
      <alignment horizontal="center"/>
    </xf>
    <xf numFmtId="0" fontId="7" fillId="10" borderId="38" xfId="0" applyNumberFormat="1" applyFont="1" applyFill="1" applyBorder="1" applyAlignment="1">
      <alignment horizontal="center" vertical="center"/>
    </xf>
    <xf numFmtId="0" fontId="7" fillId="10" borderId="33" xfId="0" applyNumberFormat="1" applyFont="1" applyFill="1" applyBorder="1" applyAlignment="1">
      <alignment horizontal="center" vertical="center"/>
    </xf>
    <xf numFmtId="10" fontId="7" fillId="10" borderId="38" xfId="0" applyNumberFormat="1" applyFont="1" applyFill="1" applyBorder="1" applyAlignment="1">
      <alignment horizontal="center" vertical="center"/>
    </xf>
    <xf numFmtId="0" fontId="0" fillId="0" borderId="61" xfId="0" applyBorder="1" applyAlignment="1">
      <alignment horizontal="center"/>
    </xf>
    <xf numFmtId="0" fontId="0" fillId="0" borderId="62" xfId="0" applyNumberFormat="1" applyBorder="1" applyAlignment="1">
      <alignment horizontal="center" vertical="center"/>
    </xf>
    <xf numFmtId="0" fontId="0" fillId="0" borderId="60" xfId="0" applyNumberFormat="1" applyFill="1" applyBorder="1" applyAlignment="1">
      <alignment horizontal="center" vertical="center"/>
    </xf>
    <xf numFmtId="10" fontId="0" fillId="0" borderId="62" xfId="0" applyNumberFormat="1" applyFill="1" applyBorder="1" applyAlignment="1">
      <alignment horizontal="center" vertical="center"/>
    </xf>
    <xf numFmtId="0" fontId="7" fillId="10" borderId="63" xfId="0" applyFont="1" applyFill="1" applyBorder="1" applyAlignment="1">
      <alignment horizontal="center"/>
    </xf>
    <xf numFmtId="0" fontId="7" fillId="10" borderId="59" xfId="0" applyFont="1" applyFill="1" applyBorder="1" applyAlignment="1">
      <alignment horizontal="center"/>
    </xf>
    <xf numFmtId="0" fontId="7" fillId="10" borderId="64" xfId="0" applyNumberFormat="1" applyFont="1" applyFill="1" applyBorder="1" applyAlignment="1">
      <alignment horizontal="center" vertical="center"/>
    </xf>
    <xf numFmtId="0" fontId="7" fillId="10" borderId="63" xfId="0" applyNumberFormat="1" applyFont="1" applyFill="1" applyBorder="1" applyAlignment="1">
      <alignment horizontal="center" vertical="center"/>
    </xf>
    <xf numFmtId="10" fontId="7" fillId="10" borderId="64" xfId="0" applyNumberFormat="1" applyFont="1" applyFill="1" applyBorder="1" applyAlignment="1">
      <alignment horizontal="center" vertical="center"/>
    </xf>
    <xf numFmtId="0" fontId="7" fillId="15" borderId="65" xfId="0" applyNumberFormat="1" applyFont="1" applyFill="1" applyBorder="1" applyAlignment="1">
      <alignment horizontal="center" vertical="center"/>
    </xf>
    <xf numFmtId="0" fontId="38" fillId="18" borderId="15" xfId="0" applyFont="1" applyFill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10" borderId="68" xfId="0" applyFill="1" applyBorder="1" applyAlignment="1">
      <alignment horizontal="center" vertical="center"/>
    </xf>
    <xf numFmtId="0" fontId="0" fillId="10" borderId="69" xfId="0" applyFill="1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7" fillId="17" borderId="6" xfId="0" applyFont="1" applyFill="1" applyBorder="1" applyAlignment="1">
      <alignment horizontal="center" vertical="center"/>
    </xf>
    <xf numFmtId="0" fontId="7" fillId="17" borderId="27" xfId="0" applyFont="1" applyFill="1" applyBorder="1" applyAlignment="1">
      <alignment horizontal="center" vertical="center"/>
    </xf>
    <xf numFmtId="0" fontId="0" fillId="0" borderId="35" xfId="0" applyNumberFormat="1" applyBorder="1" applyAlignment="1">
      <alignment horizontal="center" vertical="center"/>
    </xf>
    <xf numFmtId="10" fontId="0" fillId="0" borderId="37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10" fontId="0" fillId="0" borderId="8" xfId="0" applyNumberFormat="1" applyBorder="1" applyAlignment="1">
      <alignment horizontal="center" vertical="center"/>
    </xf>
    <xf numFmtId="0" fontId="0" fillId="0" borderId="60" xfId="0" applyNumberFormat="1" applyBorder="1" applyAlignment="1">
      <alignment horizontal="center" vertical="center"/>
    </xf>
    <xf numFmtId="10" fontId="0" fillId="0" borderId="62" xfId="0" applyNumberFormat="1" applyBorder="1" applyAlignment="1">
      <alignment horizontal="center" vertical="center"/>
    </xf>
    <xf numFmtId="0" fontId="7" fillId="15" borderId="71" xfId="0" applyNumberFormat="1" applyFont="1" applyFill="1" applyBorder="1" applyAlignment="1">
      <alignment horizontal="center" vertical="center"/>
    </xf>
    <xf numFmtId="9" fontId="10" fillId="0" borderId="0" xfId="1" applyFont="1" applyFill="1" applyBorder="1" applyAlignment="1">
      <alignment horizontal="right" vertical="center"/>
    </xf>
    <xf numFmtId="10" fontId="10" fillId="0" borderId="0" xfId="1" applyNumberFormat="1" applyFont="1" applyFill="1" applyBorder="1" applyAlignment="1">
      <alignment horizontal="right" vertical="center"/>
    </xf>
    <xf numFmtId="9" fontId="10" fillId="0" borderId="0" xfId="1" applyFont="1" applyFill="1" applyBorder="1" applyAlignment="1">
      <alignment horizontal="center" vertical="center"/>
    </xf>
    <xf numFmtId="166" fontId="10" fillId="0" borderId="0" xfId="4" applyNumberFormat="1" applyFont="1" applyFill="1" applyBorder="1" applyAlignment="1">
      <alignment horizontal="right" vertical="center"/>
    </xf>
    <xf numFmtId="166" fontId="4" fillId="0" borderId="0" xfId="6" applyNumberFormat="1" applyFont="1" applyFill="1" applyBorder="1" applyAlignment="1">
      <alignment horizontal="center" vertical="center" wrapText="1"/>
    </xf>
    <xf numFmtId="166" fontId="5" fillId="0" borderId="0" xfId="6" applyNumberFormat="1" applyFont="1" applyFill="1" applyBorder="1" applyAlignment="1">
      <alignment horizontal="center" vertical="center"/>
    </xf>
    <xf numFmtId="166" fontId="5" fillId="0" borderId="0" xfId="4" applyNumberFormat="1" applyFont="1" applyFill="1" applyBorder="1" applyAlignment="1">
      <alignment horizontal="center" vertical="center"/>
    </xf>
    <xf numFmtId="166" fontId="20" fillId="0" borderId="0" xfId="6" applyNumberFormat="1" applyFont="1" applyFill="1" applyBorder="1" applyAlignment="1">
      <alignment horizontal="center" vertical="center"/>
    </xf>
    <xf numFmtId="172" fontId="10" fillId="0" borderId="0" xfId="1" applyNumberFormat="1" applyFont="1" applyFill="1" applyBorder="1" applyAlignment="1">
      <alignment horizontal="right" vertical="center"/>
    </xf>
    <xf numFmtId="172" fontId="5" fillId="0" borderId="0" xfId="1" applyNumberFormat="1" applyFont="1" applyFill="1" applyBorder="1" applyAlignment="1">
      <alignment horizontal="center" vertical="center"/>
    </xf>
    <xf numFmtId="0" fontId="40" fillId="0" borderId="0" xfId="0" applyFont="1" applyFill="1" applyAlignment="1">
      <alignment horizontal="center" vertical="center"/>
    </xf>
    <xf numFmtId="0" fontId="40" fillId="0" borderId="0" xfId="0" applyFont="1" applyFill="1" applyAlignment="1">
      <alignment vertical="center" wrapText="1"/>
    </xf>
    <xf numFmtId="10" fontId="5" fillId="0" borderId="0" xfId="1" applyNumberFormat="1" applyFont="1" applyFill="1" applyAlignment="1">
      <alignment horizontal="center" vertical="center"/>
    </xf>
    <xf numFmtId="169" fontId="4" fillId="0" borderId="3" xfId="4" applyNumberFormat="1" applyFont="1" applyFill="1" applyBorder="1" applyAlignment="1">
      <alignment horizontal="center" vertical="center"/>
    </xf>
    <xf numFmtId="1" fontId="5" fillId="0" borderId="0" xfId="2" applyNumberFormat="1" applyFont="1" applyFill="1" applyAlignment="1">
      <alignment horizontal="center" vertical="center"/>
    </xf>
    <xf numFmtId="0" fontId="5" fillId="0" borderId="0" xfId="2" applyNumberFormat="1" applyFont="1" applyFill="1" applyAlignment="1">
      <alignment horizontal="center" vertical="center"/>
    </xf>
    <xf numFmtId="164" fontId="5" fillId="0" borderId="0" xfId="0" applyNumberFormat="1" applyFont="1" applyFill="1" applyBorder="1" applyAlignment="1">
      <alignment horizontal="center" vertical="center"/>
    </xf>
    <xf numFmtId="1" fontId="4" fillId="0" borderId="0" xfId="0" applyNumberFormat="1" applyFont="1" applyFill="1" applyAlignment="1">
      <alignment horizontal="center" vertical="center"/>
    </xf>
    <xf numFmtId="0" fontId="20" fillId="0" borderId="0" xfId="2" applyFont="1" applyFill="1" applyAlignment="1">
      <alignment horizontal="center" vertical="center"/>
    </xf>
    <xf numFmtId="4" fontId="5" fillId="0" borderId="0" xfId="0" applyNumberFormat="1" applyFont="1" applyFill="1" applyAlignment="1">
      <alignment vertical="center"/>
    </xf>
    <xf numFmtId="0" fontId="4" fillId="0" borderId="0" xfId="2" applyFont="1" applyFill="1" applyAlignment="1">
      <alignment horizontal="center" vertical="center"/>
    </xf>
    <xf numFmtId="0" fontId="39" fillId="0" borderId="0" xfId="0" applyFont="1" applyFill="1" applyAlignment="1">
      <alignment vertical="center" wrapText="1"/>
    </xf>
    <xf numFmtId="0" fontId="39" fillId="0" borderId="0" xfId="0" applyFont="1" applyFill="1" applyAlignment="1">
      <alignment horizontal="center" vertical="center" wrapText="1"/>
    </xf>
    <xf numFmtId="14" fontId="4" fillId="0" borderId="0" xfId="2" applyNumberFormat="1" applyFont="1" applyFill="1" applyAlignment="1">
      <alignment horizontal="center" vertical="center" wrapText="1"/>
    </xf>
    <xf numFmtId="14" fontId="4" fillId="0" borderId="0" xfId="2" applyNumberFormat="1" applyFont="1" applyFill="1" applyAlignment="1">
      <alignment horizontal="left" vertical="center" wrapText="1"/>
    </xf>
    <xf numFmtId="3" fontId="4" fillId="0" borderId="0" xfId="2" applyNumberFormat="1" applyFont="1" applyFill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31" fillId="0" borderId="0" xfId="0" applyFont="1" applyFill="1" applyAlignment="1">
      <alignment horizontal="center" vertical="center" wrapText="1"/>
    </xf>
    <xf numFmtId="10" fontId="20" fillId="0" borderId="0" xfId="1" applyNumberFormat="1" applyFont="1" applyFill="1" applyBorder="1" applyAlignment="1">
      <alignment horizontal="center" vertical="center"/>
    </xf>
    <xf numFmtId="49" fontId="36" fillId="0" borderId="0" xfId="7" applyNumberFormat="1" applyFont="1" applyFill="1" applyAlignment="1">
      <alignment horizontal="center"/>
    </xf>
    <xf numFmtId="49" fontId="37" fillId="0" borderId="0" xfId="7" applyNumberFormat="1" applyFont="1" applyFill="1" applyAlignment="1">
      <alignment horizontal="center" vertical="center"/>
    </xf>
    <xf numFmtId="4" fontId="20" fillId="0" borderId="3" xfId="4" applyNumberFormat="1" applyFont="1" applyFill="1" applyBorder="1" applyAlignment="1">
      <alignment horizontal="center" vertical="center"/>
    </xf>
    <xf numFmtId="169" fontId="4" fillId="0" borderId="0" xfId="0" applyNumberFormat="1" applyFont="1" applyFill="1" applyAlignment="1">
      <alignment horizontal="center" vertical="center"/>
    </xf>
    <xf numFmtId="172" fontId="5" fillId="0" borderId="0" xfId="1" applyNumberFormat="1" applyFont="1" applyFill="1" applyAlignment="1">
      <alignment vertical="center"/>
    </xf>
    <xf numFmtId="166" fontId="5" fillId="0" borderId="0" xfId="0" applyNumberFormat="1" applyFont="1" applyFill="1" applyAlignment="1">
      <alignment vertical="center"/>
    </xf>
    <xf numFmtId="0" fontId="42" fillId="0" borderId="0" xfId="0" applyFont="1" applyFill="1" applyAlignment="1">
      <alignment vertical="center" wrapText="1"/>
    </xf>
    <xf numFmtId="0" fontId="43" fillId="0" borderId="0" xfId="0" applyFont="1" applyFill="1" applyAlignment="1">
      <alignment vertical="center" wrapText="1"/>
    </xf>
    <xf numFmtId="0" fontId="42" fillId="0" borderId="0" xfId="0" applyFont="1" applyFill="1" applyAlignment="1">
      <alignment horizontal="left" vertical="center" wrapText="1" indent="2"/>
    </xf>
    <xf numFmtId="0" fontId="42" fillId="0" borderId="0" xfId="0" applyFont="1" applyFill="1" applyAlignment="1">
      <alignment horizontal="left" vertical="center" wrapText="1" indent="1"/>
    </xf>
    <xf numFmtId="4" fontId="41" fillId="0" borderId="0" xfId="0" applyNumberFormat="1" applyFont="1" applyFill="1" applyAlignment="1">
      <alignment horizontal="left" vertical="center" wrapText="1" indent="1"/>
    </xf>
    <xf numFmtId="168" fontId="20" fillId="0" borderId="9" xfId="0" applyNumberFormat="1" applyFont="1" applyFill="1" applyBorder="1" applyAlignment="1">
      <alignment horizontal="center" vertical="center"/>
    </xf>
    <xf numFmtId="168" fontId="20" fillId="0" borderId="15" xfId="0" applyNumberFormat="1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13" fillId="4" borderId="31" xfId="0" applyFont="1" applyFill="1" applyBorder="1" applyAlignment="1">
      <alignment horizontal="center" vertical="center"/>
    </xf>
    <xf numFmtId="0" fontId="23" fillId="10" borderId="6" xfId="0" applyFont="1" applyFill="1" applyBorder="1" applyAlignment="1">
      <alignment horizontal="center" vertical="center"/>
    </xf>
    <xf numFmtId="0" fontId="23" fillId="10" borderId="7" xfId="0" applyFont="1" applyFill="1" applyBorder="1" applyAlignment="1">
      <alignment horizontal="center" vertical="center"/>
    </xf>
    <xf numFmtId="0" fontId="23" fillId="10" borderId="27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 vertical="center" wrapText="1"/>
    </xf>
    <xf numFmtId="0" fontId="13" fillId="4" borderId="14" xfId="0" applyFont="1" applyFill="1" applyBorder="1" applyAlignment="1">
      <alignment horizontal="center" vertical="center" wrapText="1"/>
    </xf>
    <xf numFmtId="0" fontId="13" fillId="4" borderId="15" xfId="0" applyFont="1" applyFill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/>
    </xf>
    <xf numFmtId="0" fontId="7" fillId="0" borderId="57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0" fontId="7" fillId="15" borderId="11" xfId="0" applyFont="1" applyFill="1" applyBorder="1" applyAlignment="1">
      <alignment horizontal="center" vertical="center"/>
    </xf>
    <xf numFmtId="0" fontId="7" fillId="15" borderId="31" xfId="0" applyFont="1" applyFill="1" applyBorder="1" applyAlignment="1">
      <alignment horizontal="center" vertical="center"/>
    </xf>
    <xf numFmtId="0" fontId="7" fillId="15" borderId="3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7" fillId="2" borderId="9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1" xfId="0" applyFont="1" applyFill="1" applyBorder="1" applyAlignment="1">
      <alignment horizontal="center" vertical="center"/>
    </xf>
    <xf numFmtId="0" fontId="7" fillId="2" borderId="32" xfId="0" applyFont="1" applyFill="1" applyBorder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169" fontId="4" fillId="3" borderId="0" xfId="4" applyNumberFormat="1" applyFont="1" applyFill="1" applyAlignment="1">
      <alignment horizontal="center" vertical="center"/>
    </xf>
    <xf numFmtId="169" fontId="25" fillId="3" borderId="0" xfId="4" applyNumberFormat="1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0" fontId="5" fillId="3" borderId="0" xfId="0" applyFont="1" applyFill="1" applyAlignment="1">
      <alignment vertical="center"/>
    </xf>
  </cellXfs>
  <cellStyles count="8">
    <cellStyle name="Обычный" xfId="0" builtinId="0"/>
    <cellStyle name="Обычный 2" xfId="2" xr:uid="{00000000-0005-0000-0000-000001000000}"/>
    <cellStyle name="Обычный 3" xfId="7" xr:uid="{3EA782AA-840B-4C1A-9EF6-88256311016C}"/>
    <cellStyle name="Обычный 4" xfId="3" xr:uid="{00000000-0005-0000-0000-000002000000}"/>
    <cellStyle name="Процентный" xfId="1" builtinId="5"/>
    <cellStyle name="Процентный 2" xfId="5" xr:uid="{00000000-0005-0000-0000-000004000000}"/>
    <cellStyle name="Финансовый" xfId="6" builtinId="3"/>
    <cellStyle name="Финансовый 2" xfId="4" xr:uid="{00000000-0005-0000-0000-000006000000}"/>
  </cellStyles>
  <dxfs count="76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4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4" formatCode="#,##0.00"/>
    </dxf>
    <dxf>
      <numFmt numFmtId="4" formatCode="#,##0.0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4" formatCode="0.00%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ill>
        <patternFill patternType="none">
          <bgColor auto="1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fill>
        <patternFill patternType="solid">
          <bgColor rgb="FF92D050"/>
        </patternFill>
      </fill>
    </dxf>
    <dxf>
      <alignment horizontal="center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19" formatCode="d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19" formatCode="d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4" formatCode="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4" formatCode="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4" formatCode="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4" formatCode="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4" formatCode="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4" formatCode="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4" formatCode="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4" formatCode="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4" formatCode="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" formatCode="#,##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4" formatCode="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19" formatCode="d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19" formatCode="d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19" formatCode="d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7030A0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7030A0"/>
        <name val="Ari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7030A0"/>
        <name val="Ari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7030A0"/>
        <name val="Arial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alignment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8" formatCode="dd/mm/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 tint="-0.499984740745262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5" formatCode="_-* #,##0_-;\-* #,##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6" formatCode="#,##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5" formatCode="_-* #,##0_-;\-* #,##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72" formatCode="0.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5" formatCode="_-* #,##0_-;\-* #,##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7" formatCode="#,##0_ ;\-#,##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family val="2"/>
        <charset val="20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4" formatCode="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4" formatCode="_-* #,##0.00\ _₽_-;\-* #,##0.00\ _₽_-;_-* &quot;-&quot;??\ _₽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4" formatCode="_-* #,##0.00\ _₽_-;\-* #,##0.00\ _₽_-;_-* &quot;-&quot;??\ _₽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9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9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9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9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9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9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9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9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9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9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9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9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9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9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9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9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9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9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9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9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9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9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9" formatCode="#,##0.00_ ;\-#,##0.0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4" formatCode="_-* #,##0.00\ _₽_-;\-* #,##0.00\ _₽_-;_-* &quot;-&quot;??\ _₽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4" formatCode="_-* #,##0.00\ _₽_-;\-* #,##0.00\ _₽_-;_-* &quot;-&quot;??\ _₽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4" formatCode="_-* #,##0.00\ _₽_-;\-* #,##0.00\ _₽_-;_-* &quot;-&quot;??\ _₽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4" formatCode="_-* #,##0.00\ _₽_-;\-* #,##0.00\ _₽_-;_-* &quot;-&quot;??\ _₽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4" formatCode="_-* #,##0.00\ _₽_-;\-* #,##0.00\ _₽_-;_-* &quot;-&quot;??\ _₽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4" formatCode="_-* #,##0.00\ _₽_-;\-* #,##0.00\ _₽_-;_-* &quot;-&quot;??\ _₽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4" formatCode="_-* #,##0.00\ _₽_-;\-* #,##0.00\ _₽_-;_-* &quot;-&quot;??\ _₽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4" formatCode="_-* #,##0.00\ _₽_-;\-* #,##0.00\ _₽_-;_-* &quot;-&quot;??\ _₽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4" formatCode="_-* #,##0.00\ _₽_-;\-* #,##0.00\ _₽_-;_-* &quot;-&quot;??\ _₽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4" formatCode="_-* #,##0.00\ _₽_-;\-* #,##0.00\ _₽_-;_-* &quot;-&quot;??\ _₽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4" formatCode="_-* #,##0.00\ _₽_-;\-* #,##0.00\ _₽_-;_-* &quot;-&quot;??\ _₽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4" formatCode="_-* #,##0.00\ _₽_-;\-* #,##0.00\ _₽_-;_-* &quot;-&quot;??\ _₽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4" formatCode="_-* #,##0.00\ _₽_-;\-* #,##0.00\ _₽_-;_-* &quot;-&quot;??\ _₽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4" formatCode="_-* #,##0.00\ _₽_-;\-* #,##0.00\ _₽_-;_-* &quot;-&quot;??\ _₽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4" formatCode="_-* #,##0.00\ _₽_-;\-* #,##0.00\ _₽_-;_-* &quot;-&quot;??\ _₽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64" formatCode="_-* #,##0.00\ _₽_-;\-* #,##0.00\ _₽_-;_-* &quot;-&quot;??\ _₽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charset val="204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7/relationships/slicerCache" Target="slicerCaches/slicerCache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247650</xdr:colOff>
      <xdr:row>2</xdr:row>
      <xdr:rowOff>142875</xdr:rowOff>
    </xdr:from>
    <xdr:to>
      <xdr:col>13</xdr:col>
      <xdr:colOff>0</xdr:colOff>
      <xdr:row>16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Секция 1">
              <a:extLst>
                <a:ext uri="{FF2B5EF4-FFF2-40B4-BE49-F238E27FC236}">
                  <a16:creationId xmlns:a16="http://schemas.microsoft.com/office/drawing/2014/main" id="{E249E063-4FD0-1D2F-5E29-DCBE031C376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екция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15250" y="5238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0</xdr:colOff>
      <xdr:row>2</xdr:row>
      <xdr:rowOff>142875</xdr:rowOff>
    </xdr:from>
    <xdr:to>
      <xdr:col>15</xdr:col>
      <xdr:colOff>219075</xdr:colOff>
      <xdr:row>16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Тип кв 1">
              <a:extLst>
                <a:ext uri="{FF2B5EF4-FFF2-40B4-BE49-F238E27FC236}">
                  <a16:creationId xmlns:a16="http://schemas.microsoft.com/office/drawing/2014/main" id="{99D178ED-7C1A-1932-5A33-6EC25D45894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ип кв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50" y="5238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15</xdr:col>
      <xdr:colOff>0</xdr:colOff>
      <xdr:row>4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Секция">
              <a:extLst>
                <a:ext uri="{FF2B5EF4-FFF2-40B4-BE49-F238E27FC236}">
                  <a16:creationId xmlns:a16="http://schemas.microsoft.com/office/drawing/2014/main" id="{A143FB91-3EFB-ABE6-0FD4-D46CCB5244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екц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10650" y="0"/>
              <a:ext cx="1828800" cy="76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0</xdr:colOff>
      <xdr:row>0</xdr:row>
      <xdr:rowOff>1</xdr:rowOff>
    </xdr:from>
    <xdr:to>
      <xdr:col>11</xdr:col>
      <xdr:colOff>0</xdr:colOff>
      <xdr:row>4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Тип кв">
              <a:extLst>
                <a:ext uri="{FF2B5EF4-FFF2-40B4-BE49-F238E27FC236}">
                  <a16:creationId xmlns:a16="http://schemas.microsoft.com/office/drawing/2014/main" id="{296A0497-9676-1568-4287-7BA0B4DB523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ип кв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72250" y="1"/>
              <a:ext cx="1828800" cy="76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1%20&#1064;&#1090;&#1072;&#1073;/1.25%20&#1050;&#1086;&#1084;-&#1081;%20&#1076;&#1077;&#1087;&#1072;&#1088;%20&#1046;&#1050;%20&#1040;&#1084;&#1043;&#1088;&#1072;&#1076;/&#1050;&#1086;&#1084;&#1084;&#1077;&#1088;&#1095;&#1077;&#1089;&#1082;&#1080;&#1081;%20&#1076;&#1077;&#1087;&#1072;&#1088;&#1090;&#1072;&#1084;&#1077;&#1085;&#1090;%20&#1046;&#1050;/&#1054;&#1090;&#1076;&#1077;&#1083;%20&#1087;&#1088;&#1086;&#1076;&#1072;&#1078;/&#1044;&#1044;&#1059;/&#1056;&#1077;&#1077;&#1089;&#1090;&#1088;%20&#1044;&#1044;&#105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рез по отделке Д2"/>
      <sheetName val="продажа отделки"/>
      <sheetName val="реестр ДДУ Дом1"/>
      <sheetName val="Реестр ДДУ Дом2"/>
      <sheetName val="Реестр ДДУ Дом3"/>
      <sheetName val="реестр ДДУ"/>
      <sheetName val="Договора из CRM"/>
      <sheetName val="Средняя стоимость м2"/>
      <sheetName val="разбивка по типу кв.с отделкой"/>
      <sheetName val="разбивка по секциям с отделкой"/>
      <sheetName val="Глотова"/>
      <sheetName val="Глотова общ."/>
      <sheetName val="ИПП"/>
    </sheetNames>
    <sheetDataSet>
      <sheetData sheetId="0"/>
      <sheetData sheetId="1"/>
      <sheetData sheetId="2"/>
      <sheetData sheetId="3"/>
      <sheetData sheetId="4"/>
      <sheetData sheetId="5">
        <row r="357">
          <cell r="V357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Астахов Максим Александрович" refreshedDate="45831.401933680558" createdVersion="8" refreshedVersion="8" minRefreshableVersion="3" recordCount="580" xr:uid="{CECA0F1A-5D6D-4153-94F1-8022022D893F}">
  <cacheSource type="worksheet">
    <worksheetSource name="ППД5"/>
  </cacheSource>
  <cacheFields count="101">
    <cacheField name="№" numFmtId="1">
      <sharedItems containsSemiMixedTypes="0" containsString="0" containsNumber="1" containsInteger="1" minValue="1" maxValue="580"/>
    </cacheField>
    <cacheField name="Секция" numFmtId="0">
      <sharedItems count="4">
        <s v="А"/>
        <s v="Б"/>
        <s v="В"/>
        <s v="Г"/>
      </sharedItems>
    </cacheField>
    <cacheField name="Этаж" numFmtId="0">
      <sharedItems containsSemiMixedTypes="0" containsString="0" containsNumber="1" containsInteger="1" minValue="1" maxValue="24" count="2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</sharedItems>
      <fieldGroup par="97"/>
    </cacheField>
    <cacheField name="№ на этаже" numFmtId="0">
      <sharedItems containsSemiMixedTypes="0" containsString="0" containsNumber="1" containsInteger="1" minValue="1" maxValue="8" count="8">
        <n v="1"/>
        <n v="2"/>
        <n v="3"/>
        <n v="4"/>
        <n v="5"/>
        <n v="6"/>
        <n v="7"/>
        <n v="8"/>
      </sharedItems>
    </cacheField>
    <cacheField name="Тип кв" numFmtId="0">
      <sharedItems containsSemiMixedTypes="0" containsString="0" containsNumber="1" containsInteger="1" minValue="0" maxValue="3" count="4">
        <n v="1"/>
        <n v="2"/>
        <n v="0"/>
        <n v="3"/>
      </sharedItems>
    </cacheField>
    <cacheField name="Комната 1" numFmtId="164">
      <sharedItems containsSemiMixedTypes="0" containsString="0" containsNumber="1" minValue="7.13" maxValue="23.04"/>
    </cacheField>
    <cacheField name="Комната 2" numFmtId="164">
      <sharedItems containsString="0" containsBlank="1" containsNumber="1" minValue="9.9" maxValue="17.2"/>
    </cacheField>
    <cacheField name="Комната 3" numFmtId="164">
      <sharedItems containsString="0" containsBlank="1" containsNumber="1" minValue="11.42" maxValue="14.34"/>
    </cacheField>
    <cacheField name="Площадь по проекту жилая" numFmtId="164">
      <sharedItems containsSemiMixedTypes="0" containsString="0" containsNumber="1" minValue="7.13" maxValue="49.400000000000006"/>
    </cacheField>
    <cacheField name="Кухня" numFmtId="164">
      <sharedItems containsSemiMixedTypes="0" containsString="0" containsNumber="1" minValue="5.12" maxValue="27.57"/>
    </cacheField>
    <cacheField name="Ванная" numFmtId="164">
      <sharedItems containsSemiMixedTypes="0" containsString="0" containsNumber="1" minValue="3.01" maxValue="4.59"/>
    </cacheField>
    <cacheField name="С\У" numFmtId="164">
      <sharedItems containsString="0" containsBlank="1" containsNumber="1" minValue="1.55" maxValue="3.72"/>
    </cacheField>
    <cacheField name="Гардеробная" numFmtId="164">
      <sharedItems containsString="0" containsBlank="1" containsNumber="1" minValue="3.25" maxValue="3.25"/>
    </cacheField>
    <cacheField name="Коридор" numFmtId="164">
      <sharedItems containsSemiMixedTypes="0" containsString="0" containsNumber="1" minValue="3.7" maxValue="13.21"/>
    </cacheField>
    <cacheField name="Лоджия 1" numFmtId="164">
      <sharedItems containsSemiMixedTypes="0" containsString="0" containsNumber="1" minValue="2.4900000000000002" maxValue="5.42"/>
    </cacheField>
    <cacheField name="Лоджия 2" numFmtId="164">
      <sharedItems containsString="0" containsBlank="1" containsNumber="1" minValue="2.56" maxValue="2.86"/>
    </cacheField>
    <cacheField name="Лоджия 3" numFmtId="164">
      <sharedItems containsString="0" containsBlank="1" containsNumber="1" minValue="2.79" maxValue="5.42"/>
    </cacheField>
    <cacheField name="Летние" numFmtId="164">
      <sharedItems containsSemiMixedTypes="0" containsString="0" containsNumber="1" minValue="2.4900000000000002" maxValue="11.07"/>
    </cacheField>
    <cacheField name="Площадь по проекту(общая)" numFmtId="164">
      <sharedItems containsSemiMixedTypes="0" containsString="0" containsNumber="1" minValue="25.73" maxValue="87.72"/>
    </cacheField>
    <cacheField name="Площадь по проекту отапл (без летних)" numFmtId="164">
      <sharedItems containsSemiMixedTypes="0" containsString="0" containsNumber="1" minValue="22.82" maxValue="82.25"/>
    </cacheField>
    <cacheField name="Расчетная проектная площадь" numFmtId="169">
      <sharedItems containsSemiMixedTypes="0" containsString="0" containsNumber="1" minValue="24.28" maxValue="84.99"/>
    </cacheField>
    <cacheField name="м2 после К" numFmtId="169">
      <sharedItems containsSemiMixedTypes="0" containsString="0" containsNumber="1" minValue="72092.790000000008" maxValue="99865.71"/>
    </cacheField>
    <cacheField name="Повышение 16.08.23 - 5%" numFmtId="164">
      <sharedItems containsString="0" containsBlank="1" containsNumber="1" minValue="3604.6395000000007" maxValue="4993.2855000000009"/>
    </cacheField>
    <cacheField name="Фикс 16.08.23" numFmtId="164">
      <sharedItems containsSemiMixedTypes="0" containsString="0" containsNumber="1" minValue="73520.37000000001" maxValue="104858.9955"/>
    </cacheField>
    <cacheField name="Повышение 29.08.23 - 3%" numFmtId="4">
      <sharedItems containsString="0" containsBlank="1" containsNumber="1" minValue="2270.9228850000004" maxValue="3145.7698650000002"/>
    </cacheField>
    <cacheField name="Фикс 29.08.23" numFmtId="4">
      <sharedItems containsSemiMixedTypes="0" containsString="0" containsNumber="1" minValue="73520.37000000001" maxValue="108004.765365"/>
    </cacheField>
    <cacheField name="Повышение 06.09.23 СТ и 1К" numFmtId="4">
      <sharedItems containsString="0" containsBlank="1" containsNumber="1" minValue="842.14242000000002" maxValue="14921.711004375"/>
    </cacheField>
    <cacheField name="Фикс 06.09.23" numFmtId="4">
      <sharedItems containsSemiMixedTypes="0" containsString="0" containsNumber="1" minValue="73520.37000000001" maxValue="122045.38486245"/>
    </cacheField>
    <cacheField name="Повышение 23.10.23  В4 " numFmtId="4">
      <sharedItems containsString="0" containsBlank="1" containsNumber="1" minValue="1209.74811311025" maxValue="3404.4238935314997"/>
    </cacheField>
    <cacheField name="Фикс 23.10.23" numFmtId="4">
      <sharedItems containsSemiMixedTypes="0" containsString="0" containsNumber="1" minValue="73520.37000000001" maxValue="123265.8387110745"/>
    </cacheField>
    <cacheField name="Повышение 8.11.23 1К 5%" numFmtId="4">
      <sharedItems containsString="0" containsBlank="1" containsNumber="1" minValue="4297.1194212187502" maxValue="5675.25040228125"/>
    </cacheField>
    <cacheField name="Фикс 8.11.23" numFmtId="4">
      <sharedItems containsSemiMixedTypes="0" containsString="0" containsNumber="1" minValue="73520.37000000001" maxValue="123265.8387110745"/>
    </cacheField>
    <cacheField name="Корректировка 24.11.23 - 1К В5, 2К А2, №233" numFmtId="4">
      <sharedItems containsString="0" containsBlank="1" containsNumber="1" containsInteger="1" minValue="-831" maxValue="4059"/>
    </cacheField>
    <cacheField name="Фикс 8.11.24" numFmtId="4">
      <sharedItems containsSemiMixedTypes="0" containsString="0" containsNumber="1" minValue="73520.37000000001" maxValue="123265.8387110745"/>
    </cacheField>
    <cacheField name="Наценка за отделку 29.12.23 1%" numFmtId="4">
      <sharedItems containsString="0" containsBlank="1" containsNumber="1" minValue="779.68352385000026" maxValue="1232.658387110745"/>
    </cacheField>
    <cacheField name="Фикс 29.12.23" numFmtId="4">
      <sharedItems containsSemiMixedTypes="0" containsString="0" containsNumber="1" minValue="73520.37000000001" maxValue="124498.49709818524"/>
    </cacheField>
    <cacheField name="Наценка 10.01.24 5%" numFmtId="4">
      <sharedItems containsString="0" containsBlank="1" containsNumber="1" minValue="3937.4017954425017" maxValue="6224.9248549092626"/>
    </cacheField>
    <cacheField name="Фикс 10.01.24" numFmtId="4">
      <sharedItems containsSemiMixedTypes="0" containsString="0" containsNumber="1" minValue="73520.37000000001" maxValue="130723.4219530945"/>
    </cacheField>
    <cacheField name="Наценка 26.02.24 1 Этаж" numFmtId="4">
      <sharedItems containsString="0" containsBlank="1" containsNumber="1" minValue="2578.5436949424911" maxValue="12342.739719450634"/>
    </cacheField>
    <cacheField name="Фикс 26.02.24" numFmtId="4">
      <sharedItems containsSemiMixedTypes="0" containsString="0" containsNumber="1" minValue="73520.37000000001" maxValue="135000"/>
    </cacheField>
    <cacheField name="Наценка 06.03.24_x000a_СТ, 1К - 3%_x000a_2К, 3К - 2%" numFmtId="4">
      <sharedItems containsString="0" containsBlank="1" containsNumber="1" minValue="1653.7087540858506" maxValue="4050"/>
    </cacheField>
    <cacheField name="Фикс 06.03.24" numFmtId="4">
      <sharedItems containsSemiMixedTypes="0" containsString="0" containsNumber="1" minValue="73520.37000000001" maxValue="139050"/>
    </cacheField>
    <cacheField name="Наценка Г2+500" numFmtId="4">
      <sharedItems containsString="0" containsBlank="1" containsNumber="1" containsInteger="1" minValue="500" maxValue="500"/>
    </cacheField>
    <cacheField name="Фикс 13.03.25" numFmtId="4">
      <sharedItems containsSemiMixedTypes="0" containsString="0" containsNumber="1" minValue="73520.37000000001" maxValue="139050"/>
    </cacheField>
    <cacheField name="Наценка 20.03.24_x000a_2К, 3К - 2%" numFmtId="4">
      <sharedItems containsString="0" containsBlank="1" containsNumber="1" minValue="1686.7829291675678" maxValue="2244"/>
    </cacheField>
    <cacheField name="Фикс 20.03.24" numFmtId="4">
      <sharedItems containsSemiMixedTypes="0" containsString="0" containsNumber="1" minValue="73520.37000000001" maxValue="139050"/>
    </cacheField>
    <cacheField name="Наценка 08.04.24 _x000a_2К: В3 - 150_x000a_3К: Г7 +1000" numFmtId="4">
      <sharedItems containsString="0" containsBlank="1" containsNumber="1" minValue="150" maxValue="1108.2870405943008"/>
    </cacheField>
    <cacheField name="Фикс 08.04.24" numFmtId="4">
      <sharedItems containsSemiMixedTypes="0" containsString="0" containsNumber="1" minValue="73520.37000000001" maxValue="139050"/>
    </cacheField>
    <cacheField name="Наценка 16.05.24 1%_x000a_А4,А6,Б3,Б6,Б7,В2,В3,В5,В6,Г1,Г3-Г5" numFmtId="4">
      <sharedItems containsString="0" containsBlank="1" containsNumber="1" minValue="860.25929387545955" maxValue="1390.5"/>
    </cacheField>
    <cacheField name="Фикс 16.05.24" numFmtId="4">
      <sharedItems containsSemiMixedTypes="0" containsString="0" containsNumber="1" minValue="73520.37000000001" maxValue="140440.5"/>
    </cacheField>
    <cacheField name="Наценка 24.05.24_x000a_1% - Б4, Б5,Г2,Г6_x000a_2% - А1,А3,А5,Б2,Г7" numFmtId="4">
      <sharedItems containsString="0" containsBlank="1" containsNumber="1" minValue="953.67989136067445" maxValue="2499.2120092140617"/>
    </cacheField>
    <cacheField name="Фикс 24.05.24" numFmtId="4">
      <sharedItems containsSemiMixedTypes="0" containsString="0" containsNumber="1" minValue="73520.37000000001" maxValue="140440.5"/>
    </cacheField>
    <cacheField name="Наценка 06.06.24_x000a_0К: В2,Г3 +0,5%_x000a_1К: А7, Б5/4, Г6 +0,5%_x000a_3К: В6 +0,5%_x000a_1К: А3 +1%" numFmtId="4">
      <sharedItems containsString="0" containsBlank="1" containsNumber="1" minValue="443.03353634586159" maxValue="1236"/>
    </cacheField>
    <cacheField name="Фикс 06.06.24" numFmtId="4">
      <sharedItems containsSemiMixedTypes="0" containsString="0" containsNumber="1" minValue="73520.37000000001" maxValue="140440.5"/>
    </cacheField>
    <cacheField name="13.06.2024_x000a_3К - 2%" numFmtId="4">
      <sharedItems containsString="0" containsBlank="1" containsNumber="1" minValue="1737.7237736284283" maxValue="2142.8160000000003"/>
    </cacheField>
    <cacheField name="Фикс 13.06.24" numFmtId="4">
      <sharedItems containsSemiMixedTypes="0" containsString="0" containsNumber="1" minValue="73520.37000000001" maxValue="140440.5"/>
    </cacheField>
    <cacheField name="02.07.2024: Г3 А1 А3 Б5 Б7 Г2 Г6 Б3 Б4 В3 Г7 2,5% ост 0,5-1,5%" numFmtId="4">
      <sharedItems containsString="0" containsBlank="1" containsNumber="1" minValue="469.92922182989759" maxValue="3205.9587402301195"/>
    </cacheField>
    <cacheField name="Фикс 02.07.24" numFmtId="4">
      <sharedItems containsSemiMixedTypes="0" containsString="0" containsNumber="1" minValue="73520.37000000001" maxValue="142547.10750000001"/>
    </cacheField>
    <cacheField name="04.09.2024 +500_x000a_0К - Б2; 1К - А3;_x000a_2К - А6, Б4, В3, Г5" numFmtId="4">
      <sharedItems containsString="0" containsBlank="1" containsNumber="1" containsInteger="1" minValue="500" maxValue="500"/>
    </cacheField>
    <cacheField name="Фикс 04.09.24" numFmtId="4">
      <sharedItems containsSemiMixedTypes="0" containsString="0" containsNumber="1" minValue="73520.37000000001" maxValue="142547.10750000001"/>
    </cacheField>
    <cacheField name="Наценка 16.09.2024_x000a_1К: А1,В7,Г6/7,Г8 - 2%_x000a_2К: А4,А5,А6,Б1,Б6,Б3/4,В3,В4,Г4,Г5 - 4%_x000a_3К: 4%" numFmtId="4">
      <sharedItems containsString="0" containsBlank="1" containsNumber="1" minValue="2208.4122418146503" maxValue="4337.8858246770487"/>
    </cacheField>
    <cacheField name="Фикс 16.09.2024" numFmtId="4">
      <sharedItems containsSemiMixedTypes="0" containsString="0" containsNumber="1" minValue="73520.37000000001" maxValue="142547.10750000001"/>
    </cacheField>
    <cacheField name="Наценка 01.11.24_x000a_СТ: 4%_x000a_1К: 34-40м 5%; 40м+ 8%; МГН 1%_x000a_2К: 55-70м 6%; 70-73м 7%; 73-76м 8% _x000a_3К: 5%" numFmtId="0">
      <sharedItems containsString="0" containsBlank="1" containsNumber="1" minValue="1000.5344603094577" maxValue="9551.5421323561914"/>
    </cacheField>
    <cacheField name="Фикс 01.11.24" numFmtId="4">
      <sharedItems containsSemiMixedTypes="0" containsString="0" containsNumber="1" minValue="73520.37000000001" maxValue="148248.99180000002"/>
    </cacheField>
    <cacheField name="Наценка 06.11 13%" numFmtId="4">
      <sharedItems containsString="0" containsBlank="1" containsNumber="1" minValue="12769.766371300657" maxValue="19272.368934000002"/>
    </cacheField>
    <cacheField name="Фикс 06.11.24" numFmtId="4">
      <sharedItems containsSemiMixedTypes="0" containsString="0" containsNumber="1" minValue="73520.37000000001" maxValue="167521.36073400002"/>
    </cacheField>
    <cacheField name="Наценка 18.12.24 распределение КВ" numFmtId="4">
      <sharedItems containsString="0" containsBlank="1" containsNumber="1" containsInteger="1" minValue="35" maxValue="35"/>
    </cacheField>
    <cacheField name="Фикс 18.12.24" numFmtId="4">
      <sharedItems containsSemiMixedTypes="0" containsString="0" containsNumber="1" minValue="73520.37000000001" maxValue="167556.36073400002"/>
    </cacheField>
    <cacheField name="Наценка 10.02.25 +1%_x000a_1К: А3_x000a_2К: Б3, В3" numFmtId="4">
      <sharedItems containsString="0" containsBlank="1" containsNumber="1" minValue="-8474.5403742376657" maxValue="1524.4911184999999"/>
    </cacheField>
    <cacheField name="Фикс 10.02.25" numFmtId="4">
      <sharedItems containsSemiMixedTypes="0" containsString="0" containsNumber="1" minValue="73520.37000000001" maxValue="167556.36073400002"/>
    </cacheField>
    <cacheField name="утв цена м2" numFmtId="4">
      <sharedItems containsSemiMixedTypes="0" containsString="0" containsNumber="1" minValue="73520.37" maxValue="167556.35999999999"/>
    </cacheField>
    <cacheField name="Стоимость до скидки" numFmtId="4">
      <sharedItems containsSemiMixedTypes="0" containsString="0" containsNumber="1" minValue="2212043" maxValue="10524700"/>
    </cacheField>
    <cacheField name="Скидка фиксированная" numFmtId="4">
      <sharedItems containsString="0" containsBlank="1" containsNumber="1" containsInteger="1" minValue="10000" maxValue="4019100"/>
    </cacheField>
    <cacheField name="Скидка %" numFmtId="0">
      <sharedItems containsString="0" containsBlank="1" containsNumber="1" minValue="0.02" maxValue="7.0000000000000007E-2"/>
    </cacheField>
    <cacheField name="Итоговая сумма скидки" numFmtId="4">
      <sharedItems containsSemiMixedTypes="0" containsString="0" containsNumber="1" minValue="0" maxValue="4019100"/>
    </cacheField>
    <cacheField name="Цена м2 без отделки со скидкой" numFmtId="4">
      <sharedItems containsSemiMixedTypes="0" containsString="0" containsNumber="1" minValue="69109.147832530565" maxValue="167557.82312925172"/>
    </cacheField>
    <cacheField name="Стоимость ОН без отделки со скидкой" numFmtId="4">
      <sharedItems containsSemiMixedTypes="0" containsString="0" containsNumber="1" minValue="1882086.22" maxValue="10524700"/>
    </cacheField>
    <cacheField name="Отделка" numFmtId="4">
      <sharedItems count="4">
        <s v="Предчистовая"/>
        <s v="Черновая"/>
        <s v="Чистовая"/>
        <s v="White Box"/>
      </sharedItems>
      <fieldGroup par="100"/>
    </cacheField>
    <cacheField name="Стоимость отделки" numFmtId="0">
      <sharedItems containsString="0" containsBlank="1" containsNumber="1" containsInteger="1" minValue="4000" maxValue="25000"/>
    </cacheField>
    <cacheField name="Цена м2 с отделкой" numFmtId="4">
      <sharedItems containsSemiMixedTypes="0" containsString="0" containsNumber="1" minValue="74101.519081141159" maxValue="177660.62602965403"/>
    </cacheField>
    <cacheField name="Сумма отделки" numFmtId="4">
      <sharedItems containsSemiMixedTypes="0" containsString="0" containsNumber="1" minValue="0" maxValue="2024250"/>
    </cacheField>
    <cacheField name="Стоимость квартиры с отделкой" numFmtId="4">
      <sharedItems containsSemiMixedTypes="0" containsString="0" containsNumber="1" minValue="1882086.2199999997" maxValue="12510700"/>
    </cacheField>
    <cacheField name="ОН ХИТ" numFmtId="4">
      <sharedItems containsBlank="1"/>
    </cacheField>
    <cacheField name="Примечание" numFmtId="0">
      <sharedItems containsBlank="1"/>
    </cacheField>
    <cacheField name="Статус" numFmtId="49">
      <sharedItems count="5">
        <s v="Продажа"/>
        <s v="Свободно"/>
        <s v="Ус. Бронь"/>
        <s v="Пл. Бронь"/>
        <s v="Стр. Резерв"/>
      </sharedItems>
      <fieldGroup par="98"/>
    </cacheField>
    <cacheField name="Статусы CRM" numFmtId="49">
      <sharedItems count="5">
        <s v="Продажа"/>
        <s v="Свободно"/>
        <s v="Ус. Бронь"/>
        <s v="Пл. Бронь"/>
        <s v="Стр. Резерв"/>
      </sharedItems>
      <fieldGroup par="99"/>
    </cacheField>
    <cacheField name="проверка статуса" numFmtId="0">
      <sharedItems/>
    </cacheField>
    <cacheField name="КОД ОН" numFmtId="0">
      <sharedItems/>
    </cacheField>
    <cacheField name="Стоимость по переуступке" numFmtId="4">
      <sharedItems containsNonDate="0" containsString="0" containsBlank="1"/>
    </cacheField>
    <cacheField name="Округление" numFmtId="0">
      <sharedItems/>
    </cacheField>
    <cacheField name="Отделка CRM" numFmtId="49">
      <sharedItems/>
    </cacheField>
    <cacheField name="Сверка отделки" numFmtId="0">
      <sharedItems/>
    </cacheField>
    <cacheField name="Стоимость CRM" numFmtId="4">
      <sharedItems containsSemiMixedTypes="0" containsString="0" containsNumber="1" minValue="1882086.22" maxValue="12510700"/>
    </cacheField>
    <cacheField name="Сверка стоимость " numFmtId="4">
      <sharedItems containsSemiMixedTypes="0" containsString="0" containsNumber="1" minValue="-9.3132257461547852E-10" maxValue="9.3132257461547852E-10"/>
    </cacheField>
    <cacheField name="Сверка скидки" numFmtId="0">
      <sharedItems/>
    </cacheField>
    <cacheField name="Дата продажи" numFmtId="168">
      <sharedItems containsDate="1" containsMixedTypes="1" minDate="2023-09-15T00:00:00" maxDate="2025-05-06T00:00:00"/>
    </cacheField>
    <cacheField name="МОП" numFmtId="0">
      <sharedItems/>
    </cacheField>
    <cacheField name="Этаж2" numFmtId="0" databaseField="0">
      <fieldGroup base="2">
        <discretePr count="24">
          <x v="0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2"/>
          <x v="2"/>
          <x v="2"/>
          <x v="2"/>
          <x v="2"/>
          <x v="2"/>
        </discretePr>
        <groupItems count="3">
          <n v="1"/>
          <s v="Группа1"/>
          <s v="Группа2"/>
        </groupItems>
      </fieldGroup>
    </cacheField>
    <cacheField name="Статус2" numFmtId="0" databaseField="0">
      <fieldGroup base="84">
        <discretePr count="5">
          <x v="0"/>
          <x v="2"/>
          <x v="3"/>
          <x v="3"/>
          <x v="1"/>
        </discretePr>
        <groupItems count="4">
          <s v="Продажа"/>
          <s v="Стр. Резерв"/>
          <s v="Свободно"/>
          <s v="Группа1"/>
        </groupItems>
      </fieldGroup>
    </cacheField>
    <cacheField name="Статусы CRM2" numFmtId="0" databaseField="0">
      <fieldGroup base="85">
        <discretePr count="5">
          <x v="0"/>
          <x v="1"/>
          <x v="1"/>
          <x v="1"/>
          <x v="1"/>
        </discretePr>
        <groupItems count="2">
          <s v="Продажа"/>
          <s v="Группа1"/>
        </groupItems>
      </fieldGroup>
    </cacheField>
    <cacheField name="Отделка2" numFmtId="0" databaseField="0">
      <fieldGroup base="77">
        <discretePr count="4">
          <x v="2"/>
          <x v="0"/>
          <x v="1"/>
          <x v="2"/>
        </discretePr>
        <groupItems count="3">
          <s v="Черновая"/>
          <s v="Чистовая"/>
          <s v="Группа1"/>
        </groupItems>
      </fieldGroup>
    </cacheField>
  </cacheFields>
  <extLst>
    <ext xmlns:x14="http://schemas.microsoft.com/office/spreadsheetml/2009/9/main" uri="{725AE2AE-9491-48be-B2B4-4EB974FC3084}">
      <x14:pivotCacheDefinition pivotCacheId="160696968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0">
  <r>
    <n v="1"/>
    <x v="0"/>
    <x v="0"/>
    <x v="0"/>
    <x v="0"/>
    <n v="14.68"/>
    <m/>
    <m/>
    <n v="14.68"/>
    <n v="9.84"/>
    <n v="3.63"/>
    <m/>
    <m/>
    <n v="4.8899999999999997"/>
    <n v="2.7"/>
    <m/>
    <m/>
    <n v="2.7"/>
    <n v="35.74"/>
    <n v="33.04"/>
    <n v="34.39"/>
    <n v="86790.375"/>
    <n v="4339.5187500000002"/>
    <n v="91129.893750000003"/>
    <m/>
    <n v="91129.893750000003"/>
    <m/>
    <n v="91129.893750000003"/>
    <m/>
    <n v="91129.893750000003"/>
    <m/>
    <n v="91129.893750000003"/>
    <m/>
    <n v="91129.893750000003"/>
    <m/>
    <n v="91129.893750000003"/>
    <m/>
    <n v="91129.893750000003"/>
    <m/>
    <n v="91129.893750000003"/>
    <m/>
    <n v="91129.893750000003"/>
    <m/>
    <n v="91129.893750000003"/>
    <m/>
    <n v="91129.893750000003"/>
    <m/>
    <n v="91129.893750000003"/>
    <m/>
    <n v="91129.893750000003"/>
    <m/>
    <n v="91129.893750000003"/>
    <m/>
    <n v="91129.893750000003"/>
    <m/>
    <n v="91129.893750000003"/>
    <m/>
    <n v="91129.893750000003"/>
    <m/>
    <n v="91129.893750000003"/>
    <m/>
    <n v="91129.893750000003"/>
    <m/>
    <n v="91129.893750000003"/>
    <m/>
    <n v="91129.893750000003"/>
    <m/>
    <n v="91129.893750000003"/>
    <m/>
    <n v="91129.893750000003"/>
    <n v="91129.89"/>
    <n v="3133956.92"/>
    <m/>
    <m/>
    <n v="0"/>
    <n v="91129.890084326835"/>
    <n v="3133956.92"/>
    <x v="0"/>
    <n v="5000"/>
    <n v="96129.890084326835"/>
    <n v="171950"/>
    <n v="3305906.92"/>
    <s v="Хит"/>
    <m/>
    <x v="0"/>
    <x v="0"/>
    <b v="1"/>
    <s v="АГ-005-А-01-01-001"/>
    <m/>
    <s v="НЕТ"/>
    <s v="Предчистовая"/>
    <b v="1"/>
    <n v="3305906.92"/>
    <n v="0"/>
    <b v="1"/>
    <d v="2023-09-18T00:00:00"/>
    <s v="Никишов"/>
  </r>
  <r>
    <n v="2"/>
    <x v="0"/>
    <x v="0"/>
    <x v="1"/>
    <x v="1"/>
    <n v="15.82"/>
    <n v="14.9"/>
    <m/>
    <n v="30.72"/>
    <n v="18.7"/>
    <n v="4.42"/>
    <m/>
    <n v="3.25"/>
    <n v="8.3699999999999992"/>
    <n v="3"/>
    <m/>
    <m/>
    <n v="3"/>
    <n v="68.459999999999994"/>
    <n v="65.459999999999994"/>
    <n v="66.959999999999994"/>
    <n v="84941.010000000009"/>
    <n v="4247.0505000000003"/>
    <n v="89188.060500000007"/>
    <n v="2675.641815"/>
    <n v="91863.702315000002"/>
    <m/>
    <n v="91863.702315000002"/>
    <m/>
    <n v="91863.702315000002"/>
    <m/>
    <n v="91863.702315000002"/>
    <m/>
    <n v="91863.702315000002"/>
    <n v="918.63702315"/>
    <n v="92782.339338150006"/>
    <n v="4639.1169669075007"/>
    <n v="97421.456305057509"/>
    <n v="2578.5436949424911"/>
    <n v="100000"/>
    <n v="2000"/>
    <n v="102000"/>
    <m/>
    <n v="102000"/>
    <n v="2040"/>
    <n v="104040"/>
    <m/>
    <n v="104040"/>
    <m/>
    <n v="104040"/>
    <m/>
    <n v="104040"/>
    <m/>
    <n v="104040"/>
    <m/>
    <n v="104040"/>
    <n v="520.20000000000005"/>
    <n v="104560.2"/>
    <m/>
    <n v="104560.2"/>
    <m/>
    <n v="104560.2"/>
    <n v="6273.6119999999992"/>
    <n v="110833.81199999999"/>
    <n v="14408.395559999999"/>
    <n v="125242.20756"/>
    <n v="35"/>
    <n v="125277.20756"/>
    <m/>
    <n v="125277.20756"/>
    <n v="125277.21"/>
    <n v="8388600"/>
    <m/>
    <m/>
    <n v="0"/>
    <n v="125277.7777777778"/>
    <n v="8388600"/>
    <x v="1"/>
    <m/>
    <n v="125277.7777777778"/>
    <n v="0"/>
    <n v="8388600"/>
    <m/>
    <m/>
    <x v="1"/>
    <x v="1"/>
    <b v="1"/>
    <s v="АГ-005-А-01-02-002"/>
    <m/>
    <s v="ДА"/>
    <s v="Черновая"/>
    <b v="1"/>
    <n v="8388600"/>
    <n v="0"/>
    <b v="1"/>
    <s v=" "/>
    <s v=""/>
  </r>
  <r>
    <n v="3"/>
    <x v="0"/>
    <x v="0"/>
    <x v="2"/>
    <x v="0"/>
    <n v="13.59"/>
    <m/>
    <m/>
    <n v="13.59"/>
    <n v="14.97"/>
    <n v="4.1100000000000003"/>
    <m/>
    <m/>
    <n v="3.71"/>
    <n v="2.97"/>
    <m/>
    <m/>
    <n v="2.97"/>
    <n v="39.35"/>
    <n v="36.380000000000003"/>
    <n v="37.869999999999997"/>
    <n v="91657.125"/>
    <n v="4582.8562499999998"/>
    <n v="96239.981249999997"/>
    <n v="2887.1994374999999"/>
    <n v="99127.180687500004"/>
    <n v="3965.0872275000002"/>
    <n v="103092.267915"/>
    <m/>
    <n v="103092.267915"/>
    <n v="5154.6133957500006"/>
    <n v="108246.88131075"/>
    <m/>
    <n v="108246.88131075"/>
    <n v="1082.4688131075"/>
    <n v="109329.3501238575"/>
    <n v="5466.4675061928756"/>
    <n v="114795.81763005037"/>
    <n v="5204.1823699496308"/>
    <n v="120000"/>
    <n v="3600"/>
    <n v="123600"/>
    <m/>
    <n v="123600"/>
    <m/>
    <n v="123600"/>
    <m/>
    <n v="123600"/>
    <m/>
    <n v="123600"/>
    <m/>
    <n v="123600"/>
    <n v="1236"/>
    <n v="124836"/>
    <m/>
    <n v="124836"/>
    <n v="3120.9"/>
    <n v="127956.9"/>
    <n v="500"/>
    <n v="128456.9"/>
    <m/>
    <n v="128456.9"/>
    <n v="6422.8450000000003"/>
    <n v="134879.745"/>
    <n v="17534.366849999999"/>
    <n v="152414.11184999999"/>
    <n v="35"/>
    <n v="152449.11184999999"/>
    <n v="1524.4911184999999"/>
    <n v="153973.6029685"/>
    <n v="153973.6"/>
    <n v="5831000"/>
    <m/>
    <m/>
    <n v="0"/>
    <n v="153974.12199630315"/>
    <n v="5831000"/>
    <x v="1"/>
    <m/>
    <n v="153974.12199630315"/>
    <n v="0"/>
    <n v="5831000"/>
    <m/>
    <m/>
    <x v="1"/>
    <x v="1"/>
    <b v="1"/>
    <s v="АГ-005-А-01-03-003"/>
    <m/>
    <s v="ДА"/>
    <s v="Черновая"/>
    <b v="1"/>
    <n v="5831000"/>
    <n v="0"/>
    <b v="1"/>
    <s v=" "/>
    <s v=""/>
  </r>
  <r>
    <n v="4"/>
    <x v="0"/>
    <x v="0"/>
    <x v="3"/>
    <x v="1"/>
    <n v="16.46"/>
    <n v="12.47"/>
    <m/>
    <n v="28.93"/>
    <n v="27.57"/>
    <n v="4.3499999999999996"/>
    <n v="1.55"/>
    <m/>
    <n v="8"/>
    <n v="2.67"/>
    <n v="2.56"/>
    <m/>
    <n v="5.23"/>
    <n v="75.63"/>
    <n v="70.400000000000006"/>
    <n v="73.02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n v="86852.95"/>
    <n v="6342002.4100000001"/>
    <m/>
    <n v="0.02"/>
    <n v="126840.0482"/>
    <n v="85115.890988770203"/>
    <n v="6215162.3600000003"/>
    <x v="0"/>
    <n v="7500"/>
    <n v="92615.890988770203"/>
    <n v="547649.99999999907"/>
    <n v="6762812.3599999994"/>
    <m/>
    <s v="Скидка иногородним"/>
    <x v="0"/>
    <x v="0"/>
    <b v="1"/>
    <s v="АГ-005-А-01-04-004"/>
    <m/>
    <s v="НЕТ"/>
    <s v="Предчистовая"/>
    <b v="1"/>
    <n v="6762812.3600000003"/>
    <n v="9.3132257461547852E-10"/>
    <b v="1"/>
    <d v="2023-11-30T00:00:00"/>
    <s v="Никишов"/>
  </r>
  <r>
    <n v="5"/>
    <x v="0"/>
    <x v="0"/>
    <x v="4"/>
    <x v="1"/>
    <n v="14.64"/>
    <n v="10.74"/>
    <m/>
    <n v="25.380000000000003"/>
    <n v="14.35"/>
    <n v="4.16"/>
    <n v="1.93"/>
    <m/>
    <n v="11.14"/>
    <n v="2.62"/>
    <m/>
    <m/>
    <n v="2.62"/>
    <n v="59.58"/>
    <n v="56.96"/>
    <n v="58.27"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n v="79921.77"/>
    <n v="4657041.54"/>
    <m/>
    <m/>
    <n v="0"/>
    <n v="79921.770036039132"/>
    <n v="4657041.54"/>
    <x v="0"/>
    <n v="4500"/>
    <n v="84421.770036039132"/>
    <n v="262215"/>
    <n v="4919256.54"/>
    <m/>
    <m/>
    <x v="0"/>
    <x v="0"/>
    <b v="1"/>
    <s v="АГ-005-А-01-05-005"/>
    <m/>
    <s v="НЕТ"/>
    <s v="Предчистовая"/>
    <b v="1"/>
    <n v="4919256.54"/>
    <n v="0"/>
    <b v="1"/>
    <d v="2023-09-19T00:00:00"/>
    <s v="Никишов"/>
  </r>
  <r>
    <n v="6"/>
    <x v="0"/>
    <x v="0"/>
    <x v="5"/>
    <x v="0"/>
    <n v="18.489999999999998"/>
    <m/>
    <m/>
    <n v="18.489999999999998"/>
    <n v="13.04"/>
    <n v="3.9"/>
    <m/>
    <m/>
    <n v="5.99"/>
    <n v="2.65"/>
    <m/>
    <m/>
    <n v="2.65"/>
    <n v="44.07"/>
    <n v="41.42"/>
    <n v="42.75"/>
    <n v="83951.4375"/>
    <n v="4197.5718750000005"/>
    <n v="88149.009374999994"/>
    <n v="2644.4702812499995"/>
    <n v="90793.479656249998"/>
    <n v="3631.7391862499999"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n v="94425.22"/>
    <n v="4036678.16"/>
    <m/>
    <m/>
    <n v="0"/>
    <n v="94425.22011695907"/>
    <n v="4036678.16"/>
    <x v="2"/>
    <n v="22000"/>
    <n v="116425.22011695907"/>
    <n v="940500"/>
    <n v="4977178.16"/>
    <m/>
    <m/>
    <x v="0"/>
    <x v="0"/>
    <b v="1"/>
    <s v="АГ-005-А-01-06-006"/>
    <m/>
    <s v="НЕТ"/>
    <s v="Чистовая"/>
    <b v="1"/>
    <n v="4977178.16"/>
    <n v="0"/>
    <b v="1"/>
    <d v="2023-10-24T00:00:00"/>
    <s v="Калачева"/>
  </r>
  <r>
    <n v="7"/>
    <x v="0"/>
    <x v="1"/>
    <x v="0"/>
    <x v="0"/>
    <n v="14.68"/>
    <m/>
    <m/>
    <n v="14.68"/>
    <n v="9.84"/>
    <n v="3.63"/>
    <m/>
    <m/>
    <n v="4.8899999999999997"/>
    <n v="2.7"/>
    <m/>
    <m/>
    <n v="2.7"/>
    <n v="35.74"/>
    <n v="33.04"/>
    <n v="34.39"/>
    <n v="83545.875"/>
    <m/>
    <n v="83545.875"/>
    <m/>
    <n v="83545.875"/>
    <m/>
    <n v="83545.875"/>
    <m/>
    <n v="83545.875"/>
    <m/>
    <n v="83545.875"/>
    <m/>
    <n v="83545.875"/>
    <m/>
    <n v="83545.875"/>
    <m/>
    <n v="83545.875"/>
    <m/>
    <n v="83545.875"/>
    <m/>
    <n v="83545.875"/>
    <m/>
    <n v="83545.875"/>
    <m/>
    <n v="83545.875"/>
    <m/>
    <n v="83545.875"/>
    <m/>
    <n v="83545.875"/>
    <m/>
    <n v="83545.875"/>
    <m/>
    <n v="83545.875"/>
    <m/>
    <n v="83545.875"/>
    <m/>
    <n v="83545.875"/>
    <m/>
    <n v="83545.875"/>
    <m/>
    <n v="83545.875"/>
    <m/>
    <n v="83545.875"/>
    <m/>
    <n v="83545.875"/>
    <m/>
    <n v="83545.875"/>
    <m/>
    <n v="83545.875"/>
    <n v="83545.88"/>
    <n v="2873142.81"/>
    <n v="20000"/>
    <m/>
    <n v="20000"/>
    <n v="82964.315498691474"/>
    <n v="2853142.81"/>
    <x v="1"/>
    <m/>
    <n v="82964.315498691474"/>
    <n v="0"/>
    <n v="2853142.81"/>
    <s v="Хит"/>
    <s v="Зачетная квартира"/>
    <x v="0"/>
    <x v="0"/>
    <b v="1"/>
    <s v="АГ-005-А-02-01-007"/>
    <m/>
    <s v="НЕТ"/>
    <s v="Черновая"/>
    <b v="1"/>
    <n v="2853142.81"/>
    <n v="0"/>
    <b v="1"/>
    <d v="2023-09-25T00:00:00"/>
    <s v="Дик"/>
  </r>
  <r>
    <n v="8"/>
    <x v="0"/>
    <x v="1"/>
    <x v="1"/>
    <x v="1"/>
    <n v="15.82"/>
    <n v="15.54"/>
    <m/>
    <n v="31.36"/>
    <n v="19.440000000000001"/>
    <n v="4.42"/>
    <m/>
    <n v="3.25"/>
    <n v="8.5299999999999994"/>
    <n v="3"/>
    <m/>
    <m/>
    <n v="3"/>
    <n v="70"/>
    <n v="67"/>
    <n v="68.5"/>
    <n v="84941.010000000009"/>
    <n v="4247.0505000000003"/>
    <n v="89188.060500000007"/>
    <n v="2675.641815"/>
    <n v="91863.702315000002"/>
    <m/>
    <n v="91863.702315000002"/>
    <m/>
    <n v="91863.702315000002"/>
    <m/>
    <n v="91863.702315000002"/>
    <n v="-831"/>
    <n v="91032.702315000002"/>
    <n v="910.32702315000006"/>
    <n v="91943.029338150009"/>
    <n v="4597.1514669075004"/>
    <n v="96540.180805057505"/>
    <m/>
    <n v="96540.180805057505"/>
    <n v="1930.8036161011501"/>
    <n v="98470.984421158661"/>
    <m/>
    <n v="98470.984421158661"/>
    <n v="1969.4196884231733"/>
    <n v="100440.40410958184"/>
    <m/>
    <n v="100440.40410958184"/>
    <m/>
    <n v="100440.40410958184"/>
    <m/>
    <n v="100440.40410958184"/>
    <m/>
    <n v="100440.40410958184"/>
    <m/>
    <n v="100440.40410958184"/>
    <n v="502.20202054790923"/>
    <n v="100942.60613012974"/>
    <m/>
    <n v="100942.60613012974"/>
    <m/>
    <n v="100942.60613012974"/>
    <n v="6056.5563678077842"/>
    <n v="106999.16249793753"/>
    <n v="13909.891124731879"/>
    <n v="120909.05362266941"/>
    <n v="35"/>
    <n v="120944.05362266941"/>
    <m/>
    <n v="120944.05362266941"/>
    <n v="120944.05"/>
    <n v="8284700"/>
    <m/>
    <n v="0.02"/>
    <n v="165694"/>
    <n v="118525.63503649634"/>
    <n v="8119006"/>
    <x v="1"/>
    <m/>
    <n v="118525.63503649634"/>
    <n v="0"/>
    <n v="8119006"/>
    <m/>
    <s v="Скидка иногородним"/>
    <x v="0"/>
    <x v="0"/>
    <b v="1"/>
    <s v="АГ-005-А-02-02-008"/>
    <m/>
    <s v="ДА"/>
    <s v="Черновая"/>
    <b v="1"/>
    <n v="8119006"/>
    <n v="0"/>
    <b v="1"/>
    <d v="2024-12-26T00:00:00"/>
    <s v="Нуждина"/>
  </r>
  <r>
    <n v="9"/>
    <x v="0"/>
    <x v="1"/>
    <x v="2"/>
    <x v="0"/>
    <n v="13.6"/>
    <m/>
    <m/>
    <n v="13.6"/>
    <n v="14.97"/>
    <n v="4.1100000000000003"/>
    <m/>
    <m/>
    <n v="3.7"/>
    <n v="2.69"/>
    <m/>
    <m/>
    <n v="2.69"/>
    <n v="39.07"/>
    <n v="36.380000000000003"/>
    <n v="37.729999999999997"/>
    <n v="88412.625"/>
    <n v="4420.6312500000004"/>
    <n v="92833.256250000006"/>
    <n v="2784.9976875000002"/>
    <n v="95618.253937500005"/>
    <n v="6693.2777756250007"/>
    <n v="102311.531713125"/>
    <m/>
    <n v="102311.531713125"/>
    <n v="5115.5765856562502"/>
    <n v="107427.10829878126"/>
    <m/>
    <n v="107427.10829878126"/>
    <n v="1074.2710829878126"/>
    <n v="108501.37938176907"/>
    <n v="5425.0689690884537"/>
    <n v="113926.44835085754"/>
    <m/>
    <n v="113926.44835085754"/>
    <n v="3417.7934505257258"/>
    <n v="117344.24180138326"/>
    <m/>
    <n v="117344.24180138326"/>
    <m/>
    <n v="117344.24180138326"/>
    <m/>
    <n v="117344.24180138326"/>
    <m/>
    <n v="117344.24180138326"/>
    <m/>
    <n v="117344.24180138326"/>
    <n v="1173.4424180138326"/>
    <n v="118517.6842193971"/>
    <m/>
    <n v="118517.6842193971"/>
    <n v="2962.9421054849277"/>
    <n v="121480.62632488202"/>
    <n v="500"/>
    <n v="121980.62632488202"/>
    <m/>
    <n v="121980.62632488202"/>
    <m/>
    <n v="121980.62632488202"/>
    <m/>
    <n v="121980.62632488202"/>
    <m/>
    <n v="121980.62632488202"/>
    <m/>
    <n v="121980.62632488202"/>
    <n v="121980.63"/>
    <n v="4602400"/>
    <m/>
    <m/>
    <n v="0"/>
    <n v="121982.50728862974"/>
    <n v="4602400"/>
    <x v="1"/>
    <m/>
    <n v="121982.50728862974"/>
    <n v="0"/>
    <n v="4602400"/>
    <m/>
    <m/>
    <x v="0"/>
    <x v="0"/>
    <b v="1"/>
    <s v="АГ-005-А-02-03-009"/>
    <m/>
    <s v="ДА"/>
    <s v="Черновая"/>
    <b v="1"/>
    <n v="4602400"/>
    <n v="0"/>
    <b v="1"/>
    <d v="2024-10-24T00:00:00"/>
    <s v="Дик"/>
  </r>
  <r>
    <n v="10"/>
    <x v="0"/>
    <x v="1"/>
    <x v="3"/>
    <x v="0"/>
    <n v="22.91"/>
    <m/>
    <m/>
    <n v="22.91"/>
    <n v="14.58"/>
    <n v="4.34"/>
    <n v="3.71"/>
    <m/>
    <n v="10.98"/>
    <n v="3.74"/>
    <m/>
    <m/>
    <n v="3.74"/>
    <n v="60.26"/>
    <n v="56.52"/>
    <n v="58.39"/>
    <n v="78679.125"/>
    <n v="3933.9562500000002"/>
    <n v="82613.081250000003"/>
    <n v="2478.3924375000001"/>
    <n v="85091.473687500009"/>
    <n v="850.91473687500013"/>
    <n v="85942.388424375007"/>
    <m/>
    <n v="85942.388424375007"/>
    <n v="4297.1194212187502"/>
    <n v="90239.507845593762"/>
    <m/>
    <n v="90239.507845593762"/>
    <n v="902.39507845593766"/>
    <n v="91141.902924049704"/>
    <n v="4557.095146202485"/>
    <n v="95698.998070252186"/>
    <m/>
    <n v="95698.998070252186"/>
    <n v="2870.9699421075657"/>
    <n v="98569.96801235975"/>
    <m/>
    <n v="98569.96801235975"/>
    <m/>
    <n v="98569.96801235975"/>
    <m/>
    <n v="98569.96801235975"/>
    <n v="985.69968012359755"/>
    <n v="99555.667692483345"/>
    <m/>
    <n v="99555.667692483345"/>
    <m/>
    <n v="99555.667692483345"/>
    <m/>
    <n v="99555.667692483345"/>
    <n v="497.77833846241674"/>
    <n v="100053.44603094576"/>
    <m/>
    <n v="100053.44603094576"/>
    <m/>
    <n v="100053.44603094576"/>
    <n v="1000.5344603094577"/>
    <n v="101053.98049125522"/>
    <n v="13137.01746386318"/>
    <n v="114190.99795511839"/>
    <n v="35"/>
    <n v="114225.99795511839"/>
    <m/>
    <n v="114225.99795511839"/>
    <n v="114226"/>
    <n v="6669700"/>
    <n v="467120"/>
    <m/>
    <n v="467120"/>
    <n v="106226.75115601986"/>
    <n v="6202580"/>
    <x v="1"/>
    <m/>
    <n v="106226.75115601986"/>
    <n v="0"/>
    <n v="6202580"/>
    <s v="МГН"/>
    <s v="Большие скидки на маленькие квартиры"/>
    <x v="0"/>
    <x v="0"/>
    <b v="1"/>
    <s v="АГ-005-А-02-04-010"/>
    <m/>
    <s v="ДА"/>
    <s v="Черновая"/>
    <b v="1"/>
    <n v="6202580"/>
    <n v="0"/>
    <b v="1"/>
    <d v="2025-05-05T00:00:00"/>
    <s v="Никишов"/>
  </r>
  <r>
    <n v="11"/>
    <x v="0"/>
    <x v="1"/>
    <x v="4"/>
    <x v="1"/>
    <n v="16.46"/>
    <n v="12.47"/>
    <m/>
    <n v="28.93"/>
    <n v="18"/>
    <n v="4.3499999999999996"/>
    <n v="1.55"/>
    <m/>
    <n v="8"/>
    <n v="2.67"/>
    <m/>
    <m/>
    <n v="2.67"/>
    <n v="63.5"/>
    <n v="60.83"/>
    <n v="62.17"/>
    <n v="81466.150500000003"/>
    <n v="4073.3075250000002"/>
    <n v="85539.458025"/>
    <n v="2566.1837407499997"/>
    <n v="88105.641765749999"/>
    <m/>
    <n v="88105.641765749999"/>
    <m/>
    <n v="88105.641765749999"/>
    <m/>
    <n v="88105.641765749999"/>
    <m/>
    <n v="88105.641765749999"/>
    <n v="881.05641765749999"/>
    <n v="88986.698183407498"/>
    <n v="4449.3349091703749"/>
    <n v="93436.033092577869"/>
    <m/>
    <n v="93436.033092577869"/>
    <n v="1868.7206618515575"/>
    <n v="95304.753754429432"/>
    <m/>
    <n v="95304.753754429432"/>
    <n v="1906.0950750885886"/>
    <n v="97210.848829518014"/>
    <m/>
    <n v="97210.848829518014"/>
    <m/>
    <n v="97210.848829518014"/>
    <m/>
    <n v="97210.848829518014"/>
    <n v="486.05424414759005"/>
    <n v="97696.903073665599"/>
    <m/>
    <n v="97696.903073665599"/>
    <n v="976.96903073665601"/>
    <n v="98673.872104402253"/>
    <m/>
    <n v="98673.872104402253"/>
    <n v="3946.9548841760902"/>
    <n v="102620.82698857834"/>
    <n v="6157.2496193146999"/>
    <n v="108778.07660789303"/>
    <n v="14141.149959026096"/>
    <n v="122919.22656691913"/>
    <n v="35"/>
    <n v="122954.22656691913"/>
    <m/>
    <n v="122954.22656691913"/>
    <n v="122954.23"/>
    <n v="7644100"/>
    <n v="300000"/>
    <n v="0.03"/>
    <n v="529323"/>
    <n v="114440.67878397941"/>
    <n v="7114777"/>
    <x v="3"/>
    <n v="10000"/>
    <n v="124440.67878397941"/>
    <n v="621700"/>
    <n v="7736477"/>
    <m/>
    <s v="Время действовать / Многодетная семья"/>
    <x v="0"/>
    <x v="0"/>
    <b v="1"/>
    <s v="АГ-005-А-02-05-011"/>
    <m/>
    <s v="ДА"/>
    <s v="White Box"/>
    <b v="1"/>
    <n v="7736477"/>
    <n v="0"/>
    <b v="1"/>
    <s v=" "/>
    <s v=""/>
  </r>
  <r>
    <n v="12"/>
    <x v="0"/>
    <x v="1"/>
    <x v="5"/>
    <x v="1"/>
    <n v="14.64"/>
    <n v="10.74"/>
    <m/>
    <n v="25.380000000000003"/>
    <n v="14.35"/>
    <n v="4.16"/>
    <n v="1.93"/>
    <m/>
    <n v="11.03"/>
    <n v="2.62"/>
    <m/>
    <m/>
    <n v="2.62"/>
    <n v="59.47"/>
    <n v="56.85"/>
    <n v="58.16"/>
    <n v="82238.34150000001"/>
    <n v="4111.9170750000003"/>
    <n v="86350.258575000014"/>
    <n v="2590.5077572500004"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n v="88940.77"/>
    <n v="5172795.18"/>
    <m/>
    <m/>
    <n v="0"/>
    <n v="88940.769944979373"/>
    <n v="5172795.18"/>
    <x v="0"/>
    <n v="7500"/>
    <n v="96440.769944979373"/>
    <n v="436200"/>
    <n v="5608995.1799999997"/>
    <m/>
    <m/>
    <x v="0"/>
    <x v="0"/>
    <b v="1"/>
    <s v="АГ-005-А-02-06-012"/>
    <m/>
    <s v="НЕТ"/>
    <s v="Предчистовая"/>
    <b v="1"/>
    <n v="5608995.1799999997"/>
    <n v="0"/>
    <b v="1"/>
    <d v="2023-11-16T00:00:00"/>
    <s v="Дик"/>
  </r>
  <r>
    <n v="13"/>
    <x v="0"/>
    <x v="1"/>
    <x v="6"/>
    <x v="0"/>
    <n v="18.489999999999998"/>
    <m/>
    <m/>
    <n v="18.489999999999998"/>
    <n v="13.04"/>
    <n v="3.9"/>
    <m/>
    <m/>
    <n v="5.99"/>
    <n v="2.65"/>
    <m/>
    <m/>
    <n v="2.65"/>
    <n v="44.07"/>
    <n v="41.42"/>
    <n v="42.75"/>
    <n v="84762.5625"/>
    <n v="4238.1281250000002"/>
    <n v="89000.690625000003"/>
    <n v="2670.02071875"/>
    <n v="91670.711343750008"/>
    <n v="3666.8284537500003"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n v="95337.54"/>
    <n v="4075679.84"/>
    <m/>
    <m/>
    <n v="0"/>
    <n v="95337.540116959062"/>
    <n v="4075679.84"/>
    <x v="0"/>
    <n v="7500"/>
    <n v="102837.54011695906"/>
    <n v="320625"/>
    <n v="4396304.84"/>
    <m/>
    <m/>
    <x v="0"/>
    <x v="0"/>
    <b v="1"/>
    <s v="АГ-005-А-02-07-013"/>
    <m/>
    <s v="НЕТ"/>
    <s v="Предчистовая"/>
    <b v="1"/>
    <n v="4396304.84"/>
    <n v="0"/>
    <b v="1"/>
    <d v="2023-12-15T00:00:00"/>
    <s v="Дик"/>
  </r>
  <r>
    <n v="14"/>
    <x v="0"/>
    <x v="2"/>
    <x v="0"/>
    <x v="0"/>
    <n v="14.68"/>
    <m/>
    <m/>
    <n v="14.68"/>
    <n v="9.84"/>
    <n v="3.63"/>
    <m/>
    <m/>
    <n v="4.8899999999999997"/>
    <n v="2.7"/>
    <m/>
    <m/>
    <n v="2.7"/>
    <n v="35.74"/>
    <n v="33.04"/>
    <n v="34.39"/>
    <n v="83545.875"/>
    <n v="4177.2937499999998"/>
    <n v="87723.168749999997"/>
    <m/>
    <n v="87723.168749999997"/>
    <m/>
    <n v="87723.168749999997"/>
    <m/>
    <n v="87723.168749999997"/>
    <m/>
    <n v="87723.168749999997"/>
    <m/>
    <n v="87723.168749999997"/>
    <m/>
    <n v="87723.168749999997"/>
    <m/>
    <n v="87723.168749999997"/>
    <m/>
    <n v="87723.168749999997"/>
    <m/>
    <n v="87723.168749999997"/>
    <m/>
    <n v="87723.168749999997"/>
    <m/>
    <n v="87723.168749999997"/>
    <m/>
    <n v="87723.168749999997"/>
    <m/>
    <n v="87723.168749999997"/>
    <m/>
    <n v="87723.168749999997"/>
    <m/>
    <n v="87723.168749999997"/>
    <m/>
    <n v="87723.168749999997"/>
    <m/>
    <n v="87723.168749999997"/>
    <m/>
    <n v="87723.168749999997"/>
    <m/>
    <n v="87723.168749999997"/>
    <m/>
    <n v="87723.168749999997"/>
    <m/>
    <n v="87723.168749999997"/>
    <m/>
    <n v="87723.168749999997"/>
    <m/>
    <n v="87723.168749999997"/>
    <n v="87723.17"/>
    <n v="3016799.82"/>
    <m/>
    <m/>
    <n v="0"/>
    <n v="87723.170107589409"/>
    <n v="3016799.82"/>
    <x v="1"/>
    <m/>
    <n v="87723.170107589409"/>
    <n v="0"/>
    <n v="3016799.82"/>
    <s v="Хит"/>
    <m/>
    <x v="0"/>
    <x v="0"/>
    <b v="1"/>
    <s v="АГ-005-А-03-01-014"/>
    <m/>
    <s v="НЕТ"/>
    <s v="Черновая"/>
    <b v="1"/>
    <n v="3016799.82"/>
    <n v="0"/>
    <b v="1"/>
    <d v="2023-09-19T00:00:00"/>
    <s v="Калачева"/>
  </r>
  <r>
    <n v="15"/>
    <x v="0"/>
    <x v="2"/>
    <x v="1"/>
    <x v="1"/>
    <n v="15.82"/>
    <n v="15.54"/>
    <m/>
    <n v="31.36"/>
    <n v="19.440000000000001"/>
    <n v="4.42"/>
    <m/>
    <n v="3.25"/>
    <n v="8.5299999999999994"/>
    <n v="3"/>
    <m/>
    <m/>
    <n v="3"/>
    <n v="70"/>
    <n v="67"/>
    <n v="68.5"/>
    <n v="84941.010000000009"/>
    <n v="4247.0505000000003"/>
    <n v="89188.060500000007"/>
    <n v="2675.641815"/>
    <n v="91863.702315000002"/>
    <m/>
    <n v="91863.702315000002"/>
    <m/>
    <n v="91863.702315000002"/>
    <m/>
    <n v="91863.702315000002"/>
    <n v="-831"/>
    <n v="91032.702315000002"/>
    <n v="910.32702315000006"/>
    <n v="91943.029338150009"/>
    <n v="4597.1514669075004"/>
    <n v="96540.180805057505"/>
    <m/>
    <n v="96540.180805057505"/>
    <n v="1930.8036161011501"/>
    <n v="98470.984421158661"/>
    <m/>
    <n v="98470.984421158661"/>
    <n v="1969.4196884231733"/>
    <n v="100440.40410958184"/>
    <m/>
    <n v="100440.40410958184"/>
    <m/>
    <n v="100440.40410958184"/>
    <m/>
    <n v="100440.40410958184"/>
    <m/>
    <n v="100440.40410958184"/>
    <m/>
    <n v="100440.40410958184"/>
    <n v="502.20202054790923"/>
    <n v="100942.60613012974"/>
    <m/>
    <n v="100942.60613012974"/>
    <m/>
    <n v="100942.60613012974"/>
    <n v="6056.5563678077842"/>
    <n v="106999.16249793753"/>
    <n v="13909.891124731879"/>
    <n v="120909.05362266941"/>
    <n v="35"/>
    <n v="120944.05362266941"/>
    <m/>
    <n v="120944.05362266941"/>
    <n v="120944.05"/>
    <n v="8284700"/>
    <m/>
    <m/>
    <n v="0"/>
    <n v="120944.52554744526"/>
    <n v="8284700"/>
    <x v="3"/>
    <n v="10000"/>
    <n v="130944.52554744526"/>
    <n v="685000"/>
    <n v="8969700"/>
    <m/>
    <m/>
    <x v="1"/>
    <x v="1"/>
    <b v="1"/>
    <s v="АГ-005-А-03-02-015"/>
    <m/>
    <s v="ДА"/>
    <s v="White Box"/>
    <b v="1"/>
    <n v="8969700"/>
    <n v="0"/>
    <b v="1"/>
    <s v=" "/>
    <s v=""/>
  </r>
  <r>
    <n v="16"/>
    <x v="0"/>
    <x v="2"/>
    <x v="2"/>
    <x v="0"/>
    <n v="13.6"/>
    <m/>
    <m/>
    <n v="13.6"/>
    <n v="14.97"/>
    <n v="4.1100000000000003"/>
    <m/>
    <m/>
    <n v="3.7"/>
    <n v="2.69"/>
    <m/>
    <m/>
    <n v="2.69"/>
    <n v="39.07"/>
    <n v="36.380000000000003"/>
    <n v="37.729999999999997"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n v="88412.63"/>
    <n v="3335808.53"/>
    <m/>
    <m/>
    <n v="0"/>
    <n v="88412.630002650418"/>
    <n v="3335808.53"/>
    <x v="0"/>
    <n v="4500"/>
    <n v="92912.630002650418"/>
    <n v="169785"/>
    <n v="3505593.53"/>
    <m/>
    <m/>
    <x v="0"/>
    <x v="0"/>
    <b v="1"/>
    <s v="АГ-005-А-03-03-016"/>
    <m/>
    <s v="НЕТ"/>
    <s v="Предчистовая"/>
    <b v="1"/>
    <n v="3505593.53"/>
    <n v="0"/>
    <b v="1"/>
    <d v="2023-09-19T00:00:00"/>
    <s v="Дик"/>
  </r>
  <r>
    <n v="17"/>
    <x v="0"/>
    <x v="2"/>
    <x v="3"/>
    <x v="1"/>
    <n v="16.61"/>
    <n v="11.38"/>
    <m/>
    <n v="27.990000000000002"/>
    <n v="14.58"/>
    <n v="4.34"/>
    <n v="2.08"/>
    <m/>
    <n v="8.82"/>
    <n v="2.56"/>
    <m/>
    <m/>
    <n v="2.56"/>
    <n v="60.37"/>
    <n v="57.81"/>
    <n v="59.09"/>
    <n v="81080.055000000008"/>
    <n v="4054.0027500000006"/>
    <n v="85134.057750000007"/>
    <n v="2554.0217325000003"/>
    <n v="87688.079482500005"/>
    <m/>
    <n v="87688.079482500005"/>
    <m/>
    <n v="87688.079482500005"/>
    <m/>
    <n v="87688.079482500005"/>
    <m/>
    <n v="87688.079482500005"/>
    <n v="876.88079482500007"/>
    <n v="88564.960277325008"/>
    <n v="4428.2480138662504"/>
    <n v="92993.208291191258"/>
    <m/>
    <n v="92993.208291191258"/>
    <n v="1859.8641658238253"/>
    <n v="94853.072457015078"/>
    <m/>
    <n v="94853.072457015078"/>
    <n v="1897.0614491403016"/>
    <n v="96750.133906155374"/>
    <m/>
    <n v="96750.133906155374"/>
    <n v="967.50133906155372"/>
    <n v="97717.635245216923"/>
    <m/>
    <n v="97717.635245216923"/>
    <m/>
    <n v="97717.635245216923"/>
    <m/>
    <n v="97717.635245216923"/>
    <n v="1465.7645286782538"/>
    <n v="99183.399773895173"/>
    <m/>
    <n v="99183.399773895173"/>
    <n v="3967.3359909558071"/>
    <n v="103150.73576485098"/>
    <n v="6189.0441458910582"/>
    <n v="109339.77991074204"/>
    <n v="14214.171388396466"/>
    <n v="123553.95129913851"/>
    <n v="35"/>
    <n v="123588.95129913851"/>
    <m/>
    <n v="123588.95129913851"/>
    <n v="123588.95"/>
    <n v="7302900"/>
    <n v="507550"/>
    <m/>
    <n v="507550"/>
    <n v="115000"/>
    <n v="6795350"/>
    <x v="1"/>
    <m/>
    <n v="115000"/>
    <n v="0"/>
    <n v="6795350"/>
    <m/>
    <s v="Скидка новоселам"/>
    <x v="2"/>
    <x v="2"/>
    <b v="1"/>
    <s v="АГ-005-А-03-04-017"/>
    <m/>
    <s v="ДА"/>
    <s v="Черновая"/>
    <b v="1"/>
    <n v="6795350"/>
    <n v="0"/>
    <b v="1"/>
    <s v=" "/>
    <s v=""/>
  </r>
  <r>
    <n v="18"/>
    <x v="0"/>
    <x v="2"/>
    <x v="4"/>
    <x v="1"/>
    <n v="16.46"/>
    <n v="12.47"/>
    <m/>
    <n v="28.93"/>
    <n v="18"/>
    <n v="4.3499999999999996"/>
    <n v="1.55"/>
    <m/>
    <n v="8"/>
    <n v="2.67"/>
    <m/>
    <m/>
    <n v="2.67"/>
    <n v="63.5"/>
    <n v="60.83"/>
    <n v="62.17"/>
    <n v="81080.055000000008"/>
    <n v="4054.0027500000006"/>
    <n v="85134.057750000007"/>
    <n v="2554.0217325000003"/>
    <n v="87688.079482500005"/>
    <m/>
    <n v="87688.079482500005"/>
    <m/>
    <n v="87688.079482500005"/>
    <m/>
    <n v="87688.079482500005"/>
    <m/>
    <n v="87688.079482500005"/>
    <m/>
    <n v="87688.079482500005"/>
    <m/>
    <n v="87688.079482500005"/>
    <m/>
    <n v="87688.079482500005"/>
    <m/>
    <n v="87688.079482500005"/>
    <m/>
    <n v="87688.079482500005"/>
    <m/>
    <n v="87688.079482500005"/>
    <m/>
    <n v="87688.079482500005"/>
    <m/>
    <n v="87688.079482500005"/>
    <m/>
    <n v="87688.079482500005"/>
    <m/>
    <n v="87688.079482500005"/>
    <m/>
    <n v="87688.079482500005"/>
    <m/>
    <n v="87688.079482500005"/>
    <m/>
    <n v="87688.079482500005"/>
    <m/>
    <n v="87688.079482500005"/>
    <m/>
    <n v="87688.079482500005"/>
    <m/>
    <n v="87688.079482500005"/>
    <m/>
    <n v="87688.079482500005"/>
    <m/>
    <n v="87688.079482500005"/>
    <n v="87688.08"/>
    <n v="5451600"/>
    <n v="30000"/>
    <m/>
    <n v="30000"/>
    <n v="87206.047933086695"/>
    <n v="5421600"/>
    <x v="0"/>
    <n v="7500"/>
    <n v="94706.047933086695"/>
    <n v="466275"/>
    <n v="5887875"/>
    <m/>
    <s v="Скидка с елки"/>
    <x v="0"/>
    <x v="0"/>
    <b v="1"/>
    <s v="АГ-005-А-03-05-018"/>
    <m/>
    <s v="ДА"/>
    <s v="Предчистовая"/>
    <b v="1"/>
    <n v="5887875"/>
    <n v="0"/>
    <b v="1"/>
    <d v="2023-12-29T00:00:00"/>
    <s v="Дик"/>
  </r>
  <r>
    <n v="19"/>
    <x v="0"/>
    <x v="2"/>
    <x v="5"/>
    <x v="1"/>
    <n v="14.64"/>
    <n v="10.74"/>
    <m/>
    <n v="25.380000000000003"/>
    <n v="14.35"/>
    <n v="4.16"/>
    <n v="1.93"/>
    <m/>
    <n v="11.03"/>
    <n v="2.6219999999999999"/>
    <m/>
    <m/>
    <n v="2.6219999999999999"/>
    <n v="59.47"/>
    <n v="56.85"/>
    <n v="58.16"/>
    <n v="82238.34150000001"/>
    <n v="4111.9170750000003"/>
    <n v="86350.258575000014"/>
    <n v="2590.5077572500004"/>
    <n v="88940.766332250016"/>
    <m/>
    <n v="88940.766332250016"/>
    <m/>
    <n v="88940.766332250016"/>
    <m/>
    <n v="88940.766332250016"/>
    <m/>
    <n v="88940.766332250016"/>
    <n v="889.40766332250018"/>
    <n v="89830.173995572521"/>
    <n v="4491.5086997786266"/>
    <n v="94321.682695351148"/>
    <m/>
    <n v="94321.682695351148"/>
    <n v="1886.433653907023"/>
    <n v="96208.116349258169"/>
    <m/>
    <n v="96208.116349258169"/>
    <n v="1924.1623269851634"/>
    <n v="98132.278676243339"/>
    <m/>
    <n v="98132.278676243339"/>
    <n v="981.32278676243345"/>
    <n v="99113.601463005776"/>
    <m/>
    <n v="99113.601463005776"/>
    <m/>
    <n v="99113.601463005776"/>
    <m/>
    <n v="99113.601463005776"/>
    <n v="1486.7040219450867"/>
    <n v="100600.30548495086"/>
    <n v="500"/>
    <n v="101100.30548495086"/>
    <n v="4044.0122193980346"/>
    <n v="105144.3177043489"/>
    <n v="6308.6590622609338"/>
    <n v="111452.97676660983"/>
    <n v="14488.886979659279"/>
    <n v="125941.86374626911"/>
    <n v="35"/>
    <n v="125976.86374626911"/>
    <m/>
    <n v="125976.86374626911"/>
    <n v="125976.86"/>
    <n v="7326900"/>
    <n v="300000"/>
    <n v="0.03"/>
    <n v="519807"/>
    <n v="117040.80123796425"/>
    <n v="6807093"/>
    <x v="1"/>
    <m/>
    <n v="117040.80123796425"/>
    <n v="0"/>
    <n v="6807093"/>
    <m/>
    <s v="Время действовать\Скидка семьям с детьми с ОВЗ"/>
    <x v="2"/>
    <x v="2"/>
    <b v="1"/>
    <s v="АГ-005-А-03-06-019"/>
    <m/>
    <s v="ДА"/>
    <s v="Черновая"/>
    <b v="1"/>
    <n v="6807093"/>
    <n v="0"/>
    <b v="1"/>
    <s v=" "/>
    <s v=""/>
  </r>
  <r>
    <n v="20"/>
    <x v="0"/>
    <x v="2"/>
    <x v="6"/>
    <x v="0"/>
    <n v="18.489999999999998"/>
    <m/>
    <m/>
    <n v="18.489999999999998"/>
    <n v="13.04"/>
    <n v="3.9"/>
    <m/>
    <m/>
    <n v="5.99"/>
    <n v="2.65"/>
    <m/>
    <m/>
    <n v="2.65"/>
    <n v="44.07"/>
    <n v="41.42"/>
    <n v="42.75"/>
    <n v="84762.5625"/>
    <n v="4238.1281250000002"/>
    <n v="89000.690625000003"/>
    <n v="2670.02071875"/>
    <n v="91670.711343750008"/>
    <n v="3666.8284537500003"/>
    <n v="95337.539797500009"/>
    <m/>
    <n v="95337.539797500009"/>
    <n v="4766.8769898750006"/>
    <n v="100104.41678737501"/>
    <m/>
    <n v="100104.41678737501"/>
    <n v="1001.0441678737501"/>
    <n v="101105.46095524877"/>
    <n v="5055.2730477624391"/>
    <n v="106160.73400301121"/>
    <m/>
    <n v="106160.73400301121"/>
    <n v="3184.8220200903361"/>
    <n v="109345.55602310154"/>
    <m/>
    <n v="109345.55602310154"/>
    <m/>
    <n v="109345.55602310154"/>
    <m/>
    <n v="109345.55602310154"/>
    <m/>
    <n v="109345.55602310154"/>
    <m/>
    <n v="109345.55602310154"/>
    <m/>
    <n v="109345.55602310154"/>
    <m/>
    <n v="109345.55602310154"/>
    <m/>
    <n v="109345.55602310154"/>
    <m/>
    <n v="109345.55602310154"/>
    <m/>
    <n v="109345.55602310154"/>
    <m/>
    <n v="109345.55602310154"/>
    <m/>
    <n v="109345.55602310154"/>
    <m/>
    <n v="109345.55602310154"/>
    <m/>
    <n v="109345.55602310154"/>
    <n v="109345.56"/>
    <n v="4674600"/>
    <m/>
    <n v="0.03"/>
    <n v="140238"/>
    <n v="106066.94736842105"/>
    <n v="4534362"/>
    <x v="2"/>
    <n v="20000"/>
    <n v="126066.94736842105"/>
    <n v="855000"/>
    <n v="5389362"/>
    <m/>
    <s v="Ветеран боевых действий"/>
    <x v="0"/>
    <x v="0"/>
    <b v="1"/>
    <s v="АГ-005-А-03-07-020"/>
    <m/>
    <s v="ДА"/>
    <s v="Чистовая"/>
    <b v="1"/>
    <n v="5389362"/>
    <n v="0"/>
    <b v="1"/>
    <d v="2024-07-15T00:00:00"/>
    <s v="Дик"/>
  </r>
  <r>
    <n v="21"/>
    <x v="0"/>
    <x v="3"/>
    <x v="0"/>
    <x v="0"/>
    <n v="14.68"/>
    <m/>
    <m/>
    <n v="14.68"/>
    <n v="9.84"/>
    <n v="3.63"/>
    <m/>
    <m/>
    <n v="4.8899999999999997"/>
    <n v="2.7"/>
    <m/>
    <m/>
    <n v="2.7"/>
    <n v="35.74"/>
    <n v="33.04"/>
    <n v="34.39"/>
    <n v="83545.875"/>
    <n v="4177.2937499999998"/>
    <n v="87723.168749999997"/>
    <n v="2631.6950624999999"/>
    <n v="90354.8638125"/>
    <n v="12649.680933750002"/>
    <n v="103004.54474625"/>
    <m/>
    <n v="103004.54474625"/>
    <n v="5150.2272373125006"/>
    <n v="108154.7719835625"/>
    <m/>
    <n v="108154.7719835625"/>
    <n v="1081.547719835625"/>
    <n v="109236.31970339813"/>
    <n v="5461.8159851699065"/>
    <n v="114698.13568856803"/>
    <m/>
    <n v="114698.13568856803"/>
    <n v="3440.9440706570408"/>
    <n v="118139.07975922507"/>
    <m/>
    <n v="118139.07975922507"/>
    <m/>
    <n v="118139.07975922507"/>
    <m/>
    <n v="118139.07975922507"/>
    <m/>
    <n v="118139.07975922507"/>
    <m/>
    <n v="118139.07975922507"/>
    <m/>
    <n v="118139.07975922507"/>
    <m/>
    <n v="118139.07975922507"/>
    <m/>
    <n v="118139.07975922507"/>
    <m/>
    <n v="118139.07975922507"/>
    <m/>
    <n v="118139.07975922507"/>
    <m/>
    <n v="118139.07975922507"/>
    <m/>
    <n v="118139.07975922507"/>
    <m/>
    <n v="118139.07975922507"/>
    <m/>
    <n v="118139.07975922507"/>
    <n v="118139.08"/>
    <n v="4062900"/>
    <m/>
    <m/>
    <n v="0"/>
    <n v="118141.90171561501"/>
    <n v="4062900"/>
    <x v="3"/>
    <n v="7000"/>
    <n v="125141.90171561501"/>
    <n v="240730"/>
    <n v="4303630"/>
    <s v="Хит"/>
    <m/>
    <x v="0"/>
    <x v="0"/>
    <b v="1"/>
    <s v="АГ-005-А-04-01-021"/>
    <m/>
    <s v="ДА"/>
    <s v="White Box"/>
    <b v="1"/>
    <n v="4303630"/>
    <n v="0"/>
    <b v="1"/>
    <d v="2024-06-18T00:00:00"/>
    <s v="Дик"/>
  </r>
  <r>
    <n v="22"/>
    <x v="0"/>
    <x v="3"/>
    <x v="1"/>
    <x v="1"/>
    <n v="15.82"/>
    <n v="15.54"/>
    <m/>
    <n v="31.36"/>
    <n v="19.440000000000001"/>
    <n v="4.42"/>
    <m/>
    <n v="3.25"/>
    <n v="8.5299999999999994"/>
    <n v="3"/>
    <m/>
    <m/>
    <n v="3"/>
    <n v="70"/>
    <n v="67"/>
    <n v="68.5"/>
    <n v="84941.010000000009"/>
    <n v="4247.0505000000003"/>
    <n v="89188.060500000007"/>
    <n v="2675.641815"/>
    <n v="91863.702315000002"/>
    <m/>
    <n v="91863.702315000002"/>
    <m/>
    <n v="91863.702315000002"/>
    <m/>
    <n v="91863.702315000002"/>
    <n v="-831"/>
    <n v="91032.702315000002"/>
    <n v="910.32702315000006"/>
    <n v="91943.029338150009"/>
    <n v="4597.1514669075004"/>
    <n v="96540.180805057505"/>
    <m/>
    <n v="96540.180805057505"/>
    <n v="1930.8036161011501"/>
    <n v="98470.984421158661"/>
    <m/>
    <n v="98470.984421158661"/>
    <n v="1969.4196884231733"/>
    <n v="100440.40410958184"/>
    <m/>
    <n v="100440.40410958184"/>
    <m/>
    <n v="100440.40410958184"/>
    <m/>
    <n v="100440.40410958184"/>
    <m/>
    <n v="100440.40410958184"/>
    <m/>
    <n v="100440.40410958184"/>
    <n v="502.20202054790923"/>
    <n v="100942.60613012974"/>
    <m/>
    <n v="100942.60613012974"/>
    <m/>
    <n v="100942.60613012974"/>
    <n v="6056.5563678077842"/>
    <n v="106999.16249793753"/>
    <n v="13909.891124731879"/>
    <n v="120909.05362266941"/>
    <n v="35"/>
    <n v="120944.05362266941"/>
    <m/>
    <n v="120944.05362266941"/>
    <n v="120944.05"/>
    <n v="8284700"/>
    <m/>
    <m/>
    <n v="0"/>
    <n v="120944.52554744526"/>
    <n v="8284700"/>
    <x v="1"/>
    <m/>
    <n v="120944.52554744526"/>
    <n v="0"/>
    <n v="8284700"/>
    <m/>
    <m/>
    <x v="1"/>
    <x v="1"/>
    <b v="1"/>
    <s v="АГ-005-А-04-02-022"/>
    <m/>
    <s v="ДА"/>
    <s v="Черновая"/>
    <b v="1"/>
    <n v="8284700"/>
    <n v="0"/>
    <b v="1"/>
    <s v=" "/>
    <s v=""/>
  </r>
  <r>
    <n v="23"/>
    <x v="0"/>
    <x v="3"/>
    <x v="2"/>
    <x v="0"/>
    <n v="13.6"/>
    <m/>
    <m/>
    <n v="13.6"/>
    <n v="14.97"/>
    <n v="4.1100000000000003"/>
    <m/>
    <m/>
    <n v="3.7"/>
    <n v="2.69"/>
    <m/>
    <m/>
    <n v="2.69"/>
    <n v="39.07"/>
    <n v="36.380000000000003"/>
    <n v="37.729999999999997"/>
    <n v="88412.625"/>
    <n v="4420.6312500000004"/>
    <n v="92833.256250000006"/>
    <n v="2784.9976875000002"/>
    <n v="95618.253937500005"/>
    <n v="6693.2777756250007"/>
    <n v="102311.531713125"/>
    <m/>
    <n v="102311.531713125"/>
    <n v="5115.5765856562502"/>
    <n v="107427.10829878126"/>
    <m/>
    <n v="107427.10829878126"/>
    <n v="1074.2710829878126"/>
    <n v="108501.37938176907"/>
    <n v="5425.0689690884537"/>
    <n v="113926.44835085754"/>
    <m/>
    <n v="113926.44835085754"/>
    <n v="3417.7934505257258"/>
    <n v="117344.24180138326"/>
    <m/>
    <n v="117344.24180138326"/>
    <m/>
    <n v="117344.24180138326"/>
    <m/>
    <n v="117344.24180138326"/>
    <m/>
    <n v="117344.24180138326"/>
    <m/>
    <n v="117344.24180138326"/>
    <m/>
    <n v="117344.24180138326"/>
    <m/>
    <n v="117344.24180138326"/>
    <m/>
    <n v="117344.24180138326"/>
    <m/>
    <n v="117344.24180138326"/>
    <m/>
    <n v="117344.24180138326"/>
    <m/>
    <n v="117344.24180138326"/>
    <m/>
    <n v="117344.24180138326"/>
    <m/>
    <n v="117344.24180138326"/>
    <m/>
    <n v="117344.24180138326"/>
    <n v="117344.24"/>
    <n v="4427400"/>
    <m/>
    <m/>
    <n v="0"/>
    <n v="117344.28836469653"/>
    <n v="4427400"/>
    <x v="2"/>
    <n v="20000"/>
    <n v="137344.28836469655"/>
    <n v="754600"/>
    <n v="5182000"/>
    <m/>
    <m/>
    <x v="0"/>
    <x v="0"/>
    <b v="1"/>
    <s v="АГ-005-А-04-03-023"/>
    <m/>
    <s v="ДА"/>
    <s v="Чистовая"/>
    <b v="1"/>
    <n v="5182000"/>
    <n v="0"/>
    <b v="1"/>
    <d v="2024-05-21T00:00:00"/>
    <s v="Никишов"/>
  </r>
  <r>
    <n v="24"/>
    <x v="0"/>
    <x v="3"/>
    <x v="3"/>
    <x v="1"/>
    <n v="16.61"/>
    <n v="11.38"/>
    <m/>
    <n v="27.990000000000002"/>
    <n v="14.58"/>
    <n v="4.34"/>
    <n v="2.08"/>
    <m/>
    <n v="8.82"/>
    <n v="2.56"/>
    <m/>
    <m/>
    <n v="2.56"/>
    <n v="60.37"/>
    <n v="57.81"/>
    <n v="59.09"/>
    <n v="81080.055000000008"/>
    <n v="4054.0027500000006"/>
    <n v="85134.057750000007"/>
    <n v="2554.0217325000003"/>
    <n v="87688.079482500005"/>
    <m/>
    <n v="87688.079482500005"/>
    <m/>
    <n v="87688.079482500005"/>
    <m/>
    <n v="87688.079482500005"/>
    <m/>
    <n v="87688.079482500005"/>
    <n v="876.88079482500007"/>
    <n v="88564.960277325008"/>
    <n v="4428.2480138662504"/>
    <n v="92993.208291191258"/>
    <m/>
    <n v="92993.208291191258"/>
    <n v="1859.8641658238253"/>
    <n v="94853.072457015078"/>
    <m/>
    <n v="94853.072457015078"/>
    <n v="1897.0614491403016"/>
    <n v="96750.133906155374"/>
    <m/>
    <n v="96750.133906155374"/>
    <n v="967.50133906155372"/>
    <n v="97717.635245216923"/>
    <m/>
    <n v="97717.635245216923"/>
    <m/>
    <n v="97717.635245216923"/>
    <m/>
    <n v="97717.635245216923"/>
    <n v="1465.7645286782538"/>
    <n v="99183.399773895173"/>
    <m/>
    <n v="99183.399773895173"/>
    <n v="3967.3359909558071"/>
    <n v="103150.73576485098"/>
    <n v="6189.0441458910582"/>
    <n v="109339.77991074204"/>
    <n v="14214.171388396466"/>
    <n v="123553.95129913851"/>
    <n v="35"/>
    <n v="123588.95129913851"/>
    <m/>
    <n v="123588.95129913851"/>
    <n v="123588.95"/>
    <n v="7302900"/>
    <n v="507550"/>
    <m/>
    <n v="507550"/>
    <n v="115000"/>
    <n v="6795350"/>
    <x v="2"/>
    <n v="25000"/>
    <n v="140000"/>
    <n v="1477250.0000000009"/>
    <n v="8272600.0000000009"/>
    <m/>
    <m/>
    <x v="3"/>
    <x v="3"/>
    <b v="1"/>
    <s v="АГ-005-А-04-04-024"/>
    <m/>
    <s v="ДА"/>
    <s v="Чистовая"/>
    <b v="1"/>
    <n v="8272600"/>
    <n v="-9.3132257461547852E-10"/>
    <b v="1"/>
    <s v=" "/>
    <s v=""/>
  </r>
  <r>
    <n v="25"/>
    <x v="0"/>
    <x v="3"/>
    <x v="4"/>
    <x v="1"/>
    <n v="16.46"/>
    <n v="12.47"/>
    <m/>
    <n v="28.93"/>
    <n v="18"/>
    <n v="4.3499999999999996"/>
    <n v="1.55"/>
    <m/>
    <n v="8"/>
    <n v="2.67"/>
    <m/>
    <m/>
    <n v="2.67"/>
    <n v="63.5"/>
    <n v="60.83"/>
    <n v="62.17"/>
    <n v="81080.055000000008"/>
    <m/>
    <n v="81080.055000000008"/>
    <m/>
    <n v="81080.055000000008"/>
    <m/>
    <n v="81080.055000000008"/>
    <m/>
    <n v="81080.055000000008"/>
    <m/>
    <n v="81080.055000000008"/>
    <m/>
    <n v="81080.055000000008"/>
    <m/>
    <n v="81080.055000000008"/>
    <m/>
    <n v="81080.055000000008"/>
    <m/>
    <n v="81080.055000000008"/>
    <m/>
    <n v="81080.055000000008"/>
    <m/>
    <n v="81080.055000000008"/>
    <m/>
    <n v="81080.055000000008"/>
    <m/>
    <n v="81080.055000000008"/>
    <m/>
    <n v="81080.055000000008"/>
    <m/>
    <n v="81080.055000000008"/>
    <m/>
    <n v="81080.055000000008"/>
    <m/>
    <n v="81080.055000000008"/>
    <m/>
    <n v="81080.055000000008"/>
    <m/>
    <n v="81080.055000000008"/>
    <m/>
    <n v="81080.055000000008"/>
    <m/>
    <n v="81080.055000000008"/>
    <m/>
    <n v="81080.055000000008"/>
    <m/>
    <n v="81080.055000000008"/>
    <m/>
    <n v="81080.055000000008"/>
    <n v="81080.06"/>
    <n v="5040747.33"/>
    <m/>
    <m/>
    <n v="0"/>
    <n v="81080.05999678302"/>
    <n v="5040747.33"/>
    <x v="2"/>
    <n v="15500"/>
    <n v="96580.05999678302"/>
    <n v="963635"/>
    <n v="6004382.3300000001"/>
    <m/>
    <m/>
    <x v="0"/>
    <x v="0"/>
    <b v="1"/>
    <s v="АГ-005-А-04-05-025"/>
    <m/>
    <s v="НЕТ"/>
    <s v="Чистовая"/>
    <b v="1"/>
    <n v="6004382.3300000001"/>
    <n v="0"/>
    <b v="1"/>
    <d v="2023-09-15T00:00:00"/>
    <s v="Кофанова"/>
  </r>
  <r>
    <n v="26"/>
    <x v="0"/>
    <x v="3"/>
    <x v="5"/>
    <x v="1"/>
    <n v="14.64"/>
    <n v="10.74"/>
    <m/>
    <n v="25.380000000000003"/>
    <n v="14.35"/>
    <n v="4.16"/>
    <n v="1.93"/>
    <m/>
    <n v="11.03"/>
    <n v="2.6219999999999999"/>
    <m/>
    <m/>
    <n v="2.6219999999999999"/>
    <n v="59.47"/>
    <n v="56.85"/>
    <n v="58.16"/>
    <n v="82238.34150000001"/>
    <n v="4111.9170750000003"/>
    <n v="86350.258575000014"/>
    <n v="2590.5077572500004"/>
    <n v="88940.766332250016"/>
    <m/>
    <n v="88940.766332250016"/>
    <m/>
    <n v="88940.766332250016"/>
    <m/>
    <n v="88940.766332250016"/>
    <m/>
    <n v="88940.766332250016"/>
    <n v="889.40766332250018"/>
    <n v="89830.173995572521"/>
    <n v="4491.5086997786266"/>
    <n v="94321.682695351148"/>
    <m/>
    <n v="94321.682695351148"/>
    <n v="1886.433653907023"/>
    <n v="96208.116349258169"/>
    <m/>
    <n v="96208.116349258169"/>
    <n v="1924.1623269851634"/>
    <n v="98132.278676243339"/>
    <m/>
    <n v="98132.278676243339"/>
    <n v="981.32278676243345"/>
    <n v="99113.601463005776"/>
    <m/>
    <n v="99113.601463005776"/>
    <m/>
    <n v="99113.601463005776"/>
    <m/>
    <n v="99113.601463005776"/>
    <m/>
    <n v="99113.601463005776"/>
    <m/>
    <n v="99113.601463005776"/>
    <m/>
    <n v="99113.601463005776"/>
    <m/>
    <n v="99113.601463005776"/>
    <m/>
    <n v="99113.601463005776"/>
    <m/>
    <n v="99113.601463005776"/>
    <m/>
    <n v="99113.601463005776"/>
    <n v="99113.600000000006"/>
    <n v="5764500"/>
    <m/>
    <n v="0.03"/>
    <n v="172935"/>
    <n v="96141.076341127933"/>
    <n v="5591565"/>
    <x v="1"/>
    <m/>
    <n v="96141.076341127933"/>
    <n v="0"/>
    <n v="5591565"/>
    <m/>
    <s v="Многодетная семья"/>
    <x v="0"/>
    <x v="0"/>
    <b v="1"/>
    <s v="АГ-005-А-04-06-026"/>
    <m/>
    <s v="ДА"/>
    <s v="Черновая"/>
    <b v="1"/>
    <n v="5591565"/>
    <n v="0"/>
    <b v="1"/>
    <d v="2024-06-26T00:00:00"/>
    <s v="Полехович"/>
  </r>
  <r>
    <n v="27"/>
    <x v="0"/>
    <x v="3"/>
    <x v="6"/>
    <x v="0"/>
    <n v="18.489999999999998"/>
    <m/>
    <m/>
    <n v="18.489999999999998"/>
    <n v="13.04"/>
    <n v="3.9"/>
    <m/>
    <m/>
    <n v="5.99"/>
    <n v="2.65"/>
    <m/>
    <m/>
    <n v="2.65"/>
    <n v="44.07"/>
    <n v="41.42"/>
    <n v="42.75"/>
    <n v="84762.5625"/>
    <n v="4238.1281250000002"/>
    <n v="89000.690625000003"/>
    <n v="2670.02071875"/>
    <n v="91670.711343750008"/>
    <n v="3666.8284537500003"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m/>
    <n v="95337.539797500009"/>
    <n v="95337.54"/>
    <n v="4075679.84"/>
    <m/>
    <m/>
    <n v="0"/>
    <n v="95337.540116959062"/>
    <n v="4075679.84"/>
    <x v="1"/>
    <m/>
    <n v="95337.540116959062"/>
    <n v="0"/>
    <n v="4075679.84"/>
    <m/>
    <m/>
    <x v="0"/>
    <x v="0"/>
    <b v="1"/>
    <s v="АГ-005-А-04-07-027"/>
    <m/>
    <s v="НЕТ"/>
    <s v="Черновая"/>
    <b v="1"/>
    <n v="4075679.84"/>
    <n v="0"/>
    <b v="1"/>
    <d v="2023-10-31T00:00:00"/>
    <s v="Кофанова"/>
  </r>
  <r>
    <n v="28"/>
    <x v="0"/>
    <x v="4"/>
    <x v="0"/>
    <x v="0"/>
    <n v="14.68"/>
    <m/>
    <m/>
    <n v="14.68"/>
    <n v="9.84"/>
    <n v="3.63"/>
    <m/>
    <m/>
    <n v="4.8899999999999997"/>
    <n v="2.7"/>
    <m/>
    <m/>
    <n v="2.7"/>
    <n v="35.74"/>
    <n v="33.04"/>
    <n v="34.39"/>
    <n v="82734.75"/>
    <n v="4136.7375000000002"/>
    <n v="86871.487500000003"/>
    <n v="2606.1446249999999"/>
    <n v="89477.632125000004"/>
    <n v="12526.868497500001"/>
    <n v="102004.50062250001"/>
    <m/>
    <n v="102004.50062250001"/>
    <n v="5100.2250311250009"/>
    <n v="107104.72565362501"/>
    <m/>
    <n v="107104.72565362501"/>
    <n v="1071.0472565362502"/>
    <n v="108175.77291016125"/>
    <n v="5408.7886455080625"/>
    <n v="113584.56155566931"/>
    <m/>
    <n v="113584.56155566931"/>
    <n v="3407.5368466700793"/>
    <n v="116992.09840233938"/>
    <m/>
    <n v="116992.09840233938"/>
    <m/>
    <n v="116992.09840233938"/>
    <m/>
    <n v="116992.09840233938"/>
    <m/>
    <n v="116992.09840233938"/>
    <m/>
    <n v="116992.09840233938"/>
    <m/>
    <n v="116992.09840233938"/>
    <m/>
    <n v="116992.09840233938"/>
    <n v="2924.8024600584849"/>
    <n v="119916.90086239787"/>
    <m/>
    <n v="119916.90086239787"/>
    <n v="2398.3380172479574"/>
    <n v="122315.23887964583"/>
    <m/>
    <n v="122315.23887964583"/>
    <m/>
    <n v="122315.23887964583"/>
    <m/>
    <n v="122315.23887964583"/>
    <m/>
    <n v="122315.23887964583"/>
    <n v="122315.24"/>
    <n v="4206500"/>
    <m/>
    <n v="0.02"/>
    <n v="84130"/>
    <n v="119871.1834835708"/>
    <n v="4122370"/>
    <x v="1"/>
    <m/>
    <n v="119871.1834835708"/>
    <n v="0"/>
    <n v="4122370"/>
    <s v="Хит"/>
    <s v="Акция для партнеров "/>
    <x v="0"/>
    <x v="0"/>
    <b v="1"/>
    <s v="АГ-005-А-05-01-028"/>
    <m/>
    <s v="ДА"/>
    <s v="Черновая"/>
    <b v="1"/>
    <n v="4122370"/>
    <n v="0"/>
    <b v="1"/>
    <d v="2024-10-17T00:00:00"/>
    <s v="Полехович"/>
  </r>
  <r>
    <n v="29"/>
    <x v="0"/>
    <x v="4"/>
    <x v="1"/>
    <x v="1"/>
    <n v="15.82"/>
    <n v="15.54"/>
    <m/>
    <n v="31.36"/>
    <n v="19.440000000000001"/>
    <n v="4.42"/>
    <m/>
    <n v="3.25"/>
    <n v="8.5299999999999994"/>
    <n v="3"/>
    <m/>
    <m/>
    <n v="3"/>
    <n v="70"/>
    <n v="67"/>
    <n v="68.5"/>
    <n v="84168.819000000003"/>
    <n v="4208.4409500000002"/>
    <n v="88377.259950000007"/>
    <n v="2651.3177985000002"/>
    <n v="91028.577748500014"/>
    <m/>
    <n v="91028.577748500014"/>
    <m/>
    <n v="91028.577748500014"/>
    <m/>
    <n v="91028.577748500014"/>
    <n v="-831"/>
    <n v="90197.577748500014"/>
    <n v="901.97577748500021"/>
    <n v="91099.553525985015"/>
    <n v="4554.9776762992506"/>
    <n v="95654.53120228427"/>
    <m/>
    <n v="95654.53120228427"/>
    <n v="1913.0906240456854"/>
    <n v="97567.621826329952"/>
    <m/>
    <n v="97567.621826329952"/>
    <n v="1951.3524365265991"/>
    <n v="99518.974262856558"/>
    <m/>
    <n v="99518.974262856558"/>
    <m/>
    <n v="99518.974262856558"/>
    <m/>
    <n v="99518.974262856558"/>
    <m/>
    <n v="99518.974262856558"/>
    <m/>
    <n v="99518.974262856558"/>
    <n v="497.59487131428278"/>
    <n v="100016.56913417084"/>
    <m/>
    <n v="100016.56913417084"/>
    <m/>
    <n v="100016.56913417084"/>
    <n v="6000.9941480502503"/>
    <n v="106017.56328222109"/>
    <n v="13782.283226688742"/>
    <n v="119799.84650890983"/>
    <m/>
    <n v="119799.84650890983"/>
    <m/>
    <n v="119799.84650890983"/>
    <n v="119799.85"/>
    <n v="8206300"/>
    <m/>
    <n v="0.02"/>
    <n v="164126"/>
    <n v="117404"/>
    <n v="8042174"/>
    <x v="3"/>
    <n v="10000"/>
    <n v="127404"/>
    <n v="685000"/>
    <n v="8727174"/>
    <m/>
    <s v="Скидка иногородним"/>
    <x v="0"/>
    <x v="0"/>
    <b v="1"/>
    <s v="АГ-005-А-05-02-029"/>
    <m/>
    <s v="ДА"/>
    <s v="White Box"/>
    <b v="1"/>
    <n v="8727174"/>
    <n v="0"/>
    <b v="1"/>
    <d v="2024-12-28T00:00:00"/>
    <s v="Нуждина"/>
  </r>
  <r>
    <n v="30"/>
    <x v="0"/>
    <x v="4"/>
    <x v="2"/>
    <x v="0"/>
    <n v="13.6"/>
    <m/>
    <m/>
    <n v="13.6"/>
    <n v="14.97"/>
    <n v="4.1100000000000003"/>
    <m/>
    <m/>
    <n v="3.7"/>
    <n v="2.69"/>
    <m/>
    <m/>
    <n v="2.69"/>
    <n v="39.07"/>
    <n v="36.380000000000003"/>
    <n v="37.729999999999997"/>
    <n v="87601.5"/>
    <n v="4380.0749999999998"/>
    <n v="91981.574999999997"/>
    <n v="2759.4472499999997"/>
    <n v="94741.022249999995"/>
    <n v="6631.8715575000006"/>
    <n v="101372.89380749999"/>
    <m/>
    <n v="101372.89380749999"/>
    <n v="5068.6446903750002"/>
    <n v="106441.53849787499"/>
    <m/>
    <n v="106441.53849787499"/>
    <n v="1064.4153849787499"/>
    <n v="107505.95388285375"/>
    <n v="5375.2976941426878"/>
    <n v="112881.25157699644"/>
    <m/>
    <n v="112881.25157699644"/>
    <n v="3386.437547309893"/>
    <n v="116267.68912430633"/>
    <m/>
    <n v="116267.68912430633"/>
    <m/>
    <n v="116267.68912430633"/>
    <m/>
    <n v="116267.68912430633"/>
    <m/>
    <n v="116267.68912430633"/>
    <m/>
    <n v="116267.68912430633"/>
    <n v="1162.6768912430632"/>
    <n v="117430.36601554939"/>
    <m/>
    <n v="117430.36601554939"/>
    <n v="2935.7591503887347"/>
    <n v="120366.12516593812"/>
    <n v="500"/>
    <n v="120866.12516593812"/>
    <m/>
    <n v="120866.12516593812"/>
    <n v="6043.3062582969069"/>
    <n v="126909.43142423502"/>
    <n v="16498.226085150553"/>
    <n v="143407.65750938558"/>
    <n v="35"/>
    <n v="143442.65750938558"/>
    <n v="1434.4265750938557"/>
    <n v="144877.08408447943"/>
    <n v="144877.07999999999"/>
    <n v="5466300"/>
    <m/>
    <m/>
    <n v="0"/>
    <n v="144879.40630797774"/>
    <n v="5466300"/>
    <x v="1"/>
    <m/>
    <n v="144879.40630797774"/>
    <n v="0"/>
    <n v="5466300"/>
    <m/>
    <m/>
    <x v="1"/>
    <x v="1"/>
    <b v="1"/>
    <s v="АГ-005-А-05-03-030"/>
    <m/>
    <s v="ДА"/>
    <s v="Черновая"/>
    <b v="1"/>
    <n v="5466300"/>
    <n v="0"/>
    <b v="1"/>
    <s v=" "/>
    <s v=""/>
  </r>
  <r>
    <n v="31"/>
    <x v="0"/>
    <x v="4"/>
    <x v="3"/>
    <x v="1"/>
    <n v="16.61"/>
    <n v="11.38"/>
    <m/>
    <n v="27.990000000000002"/>
    <n v="14.58"/>
    <n v="4.34"/>
    <n v="2.08"/>
    <m/>
    <n v="8.82"/>
    <n v="2.56"/>
    <m/>
    <m/>
    <n v="2.56"/>
    <n v="60.37"/>
    <n v="57.81"/>
    <n v="59.09"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n v="80307.86"/>
    <n v="4745391.45"/>
    <m/>
    <m/>
    <n v="0"/>
    <n v="80307.86004400067"/>
    <n v="4745391.45"/>
    <x v="0"/>
    <n v="4500"/>
    <n v="84807.86004400067"/>
    <n v="265905"/>
    <n v="5011296.45"/>
    <m/>
    <m/>
    <x v="0"/>
    <x v="0"/>
    <b v="1"/>
    <s v="АГ-005-А-05-04-031"/>
    <m/>
    <s v="НЕТ"/>
    <s v="Предчистовая"/>
    <b v="1"/>
    <n v="5011296.45"/>
    <n v="0"/>
    <b v="1"/>
    <d v="2023-09-18T00:00:00"/>
    <s v="Дик"/>
  </r>
  <r>
    <n v="32"/>
    <x v="0"/>
    <x v="4"/>
    <x v="4"/>
    <x v="1"/>
    <n v="16.46"/>
    <n v="12.47"/>
    <m/>
    <n v="28.93"/>
    <n v="18"/>
    <n v="4.3499999999999996"/>
    <n v="1.55"/>
    <m/>
    <n v="8"/>
    <n v="2.67"/>
    <m/>
    <m/>
    <n v="2.67"/>
    <n v="63.5"/>
    <n v="60.83"/>
    <n v="62.17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m/>
    <n v="95828.704059430078"/>
    <m/>
    <n v="95828.704059430078"/>
    <n v="479.14352029715042"/>
    <n v="96307.847579727226"/>
    <m/>
    <n v="96307.847579727226"/>
    <n v="1444.6177136959084"/>
    <n v="97752.465293423127"/>
    <m/>
    <n v="97752.465293423127"/>
    <n v="3910.0986117369252"/>
    <n v="101662.56390516006"/>
    <m/>
    <n v="101662.56390516006"/>
    <m/>
    <n v="101662.56390516006"/>
    <m/>
    <n v="101662.56390516006"/>
    <m/>
    <n v="101662.56390516006"/>
    <n v="101662.56"/>
    <n v="6320400"/>
    <m/>
    <m/>
    <n v="0"/>
    <n v="101663.18159884188"/>
    <n v="6320400"/>
    <x v="3"/>
    <n v="7000"/>
    <n v="108663.18159884188"/>
    <n v="435190"/>
    <n v="6755590"/>
    <m/>
    <m/>
    <x v="0"/>
    <x v="0"/>
    <b v="1"/>
    <s v="АГ-005-А-05-05-032"/>
    <m/>
    <s v="ДА"/>
    <s v="White Box"/>
    <b v="1"/>
    <n v="6755590"/>
    <n v="0"/>
    <b v="1"/>
    <d v="2024-09-30T00:00:00"/>
    <s v="Дик"/>
  </r>
  <r>
    <n v="33"/>
    <x v="0"/>
    <x v="4"/>
    <x v="5"/>
    <x v="1"/>
    <n v="14.64"/>
    <n v="10.74"/>
    <m/>
    <n v="25.380000000000003"/>
    <n v="14.35"/>
    <n v="4.16"/>
    <n v="1.93"/>
    <m/>
    <n v="11.03"/>
    <n v="2.6219999999999999"/>
    <m/>
    <m/>
    <n v="2.6219999999999999"/>
    <n v="59.47"/>
    <n v="56.85"/>
    <n v="58.16"/>
    <n v="81466.150500000003"/>
    <n v="4073.3075250000002"/>
    <n v="85539.458025"/>
    <n v="2566.1837407499997"/>
    <n v="88105.641765749999"/>
    <m/>
    <n v="88105.641765749999"/>
    <m/>
    <n v="88105.641765749999"/>
    <m/>
    <n v="88105.641765749999"/>
    <m/>
    <n v="88105.641765749999"/>
    <n v="881.05641765749999"/>
    <n v="88986.698183407498"/>
    <n v="4449.3349091703749"/>
    <n v="93436.033092577869"/>
    <m/>
    <n v="93436.033092577869"/>
    <n v="1868.7206618515575"/>
    <n v="95304.753754429432"/>
    <m/>
    <n v="95304.753754429432"/>
    <n v="1906.0950750885886"/>
    <n v="97210.848829518014"/>
    <m/>
    <n v="97210.848829518014"/>
    <m/>
    <n v="97210.848829518014"/>
    <m/>
    <n v="97210.848829518014"/>
    <m/>
    <n v="97210.848829518014"/>
    <m/>
    <n v="97210.848829518014"/>
    <m/>
    <n v="97210.848829518014"/>
    <m/>
    <n v="97210.848829518014"/>
    <m/>
    <n v="97210.848829518014"/>
    <m/>
    <n v="97210.848829518014"/>
    <m/>
    <n v="97210.848829518014"/>
    <m/>
    <n v="97210.848829518014"/>
    <m/>
    <n v="97210.848829518014"/>
    <n v="97210.85"/>
    <n v="5653800"/>
    <n v="88000"/>
    <m/>
    <n v="88000"/>
    <n v="95698.074277854204"/>
    <n v="5565800"/>
    <x v="2"/>
    <n v="20000"/>
    <n v="115698.0742778542"/>
    <n v="1163200"/>
    <n v="6729000"/>
    <m/>
    <s v="Весна"/>
    <x v="0"/>
    <x v="0"/>
    <b v="1"/>
    <s v="АГ-005-А-05-06-033"/>
    <m/>
    <s v="ДА"/>
    <s v="Чистовая"/>
    <b v="1"/>
    <n v="6729000"/>
    <n v="0"/>
    <b v="1"/>
    <d v="2024-04-27T00:00:00"/>
    <s v="Полехович"/>
  </r>
  <r>
    <n v="34"/>
    <x v="0"/>
    <x v="4"/>
    <x v="6"/>
    <x v="0"/>
    <n v="18.489999999999998"/>
    <m/>
    <m/>
    <n v="18.489999999999998"/>
    <n v="13.04"/>
    <n v="3.9"/>
    <m/>
    <m/>
    <n v="5.99"/>
    <n v="2.65"/>
    <m/>
    <m/>
    <n v="2.65"/>
    <n v="44.07"/>
    <n v="41.42"/>
    <n v="42.75"/>
    <n v="83951.4375"/>
    <n v="4197.5718750000005"/>
    <n v="88149.009374999994"/>
    <n v="2644.4702812499995"/>
    <n v="90793.479656249998"/>
    <n v="3631.7391862499999"/>
    <n v="94425.218842499991"/>
    <m/>
    <n v="94425.218842499991"/>
    <n v="4721.2609421249999"/>
    <n v="99146.479784624986"/>
    <m/>
    <n v="99146.479784624986"/>
    <n v="991.46479784624989"/>
    <n v="100137.94458247123"/>
    <n v="5006.8972291235623"/>
    <n v="105144.84181159479"/>
    <m/>
    <n v="105144.84181159479"/>
    <n v="3154.3452543478434"/>
    <n v="108299.18706594263"/>
    <m/>
    <n v="108299.18706594263"/>
    <m/>
    <n v="108299.18706594263"/>
    <m/>
    <n v="108299.18706594263"/>
    <m/>
    <n v="108299.18706594263"/>
    <m/>
    <n v="108299.18706594263"/>
    <m/>
    <n v="108299.18706594263"/>
    <m/>
    <n v="108299.18706594263"/>
    <m/>
    <n v="108299.18706594263"/>
    <m/>
    <n v="108299.18706594263"/>
    <m/>
    <n v="108299.18706594263"/>
    <m/>
    <n v="108299.18706594263"/>
    <m/>
    <n v="108299.18706594263"/>
    <m/>
    <n v="108299.18706594263"/>
    <m/>
    <n v="108299.18706594263"/>
    <n v="108299.19"/>
    <n v="4629800"/>
    <m/>
    <m/>
    <n v="0"/>
    <n v="108299.41520467836"/>
    <n v="4629800"/>
    <x v="1"/>
    <m/>
    <n v="108299.41520467836"/>
    <n v="0"/>
    <n v="4629800"/>
    <m/>
    <m/>
    <x v="0"/>
    <x v="0"/>
    <b v="1"/>
    <s v="АГ-005-А-05-07-034"/>
    <m/>
    <s v="ДА"/>
    <s v="Черновая"/>
    <b v="1"/>
    <n v="4629800"/>
    <n v="0"/>
    <b v="1"/>
    <d v="2024-05-23T00:00:00"/>
    <s v="Калачева"/>
  </r>
  <r>
    <n v="35"/>
    <x v="0"/>
    <x v="5"/>
    <x v="0"/>
    <x v="0"/>
    <n v="14.68"/>
    <m/>
    <m/>
    <n v="14.68"/>
    <n v="9.84"/>
    <n v="3.63"/>
    <m/>
    <m/>
    <n v="4.8899999999999997"/>
    <n v="2.7"/>
    <m/>
    <m/>
    <n v="2.7"/>
    <n v="35.74"/>
    <n v="33.04"/>
    <n v="34.39"/>
    <n v="82734.75"/>
    <n v="4136.7375000000002"/>
    <n v="86871.487500000003"/>
    <n v="2606.1446249999999"/>
    <n v="89477.632125000004"/>
    <n v="12526.868497500001"/>
    <n v="102004.50062250001"/>
    <m/>
    <n v="102004.50062250001"/>
    <n v="5100.2250311250009"/>
    <n v="107104.72565362501"/>
    <m/>
    <n v="107104.72565362501"/>
    <n v="1071.0472565362502"/>
    <n v="108175.77291016125"/>
    <n v="5408.7886455080625"/>
    <n v="113584.56155566931"/>
    <m/>
    <n v="113584.56155566931"/>
    <n v="3407.5368466700793"/>
    <n v="116992.09840233938"/>
    <m/>
    <n v="116992.09840233938"/>
    <m/>
    <n v="116992.09840233938"/>
    <m/>
    <n v="116992.09840233938"/>
    <m/>
    <n v="116992.09840233938"/>
    <n v="2339.8419680467878"/>
    <n v="119331.94037038618"/>
    <m/>
    <n v="119331.94037038618"/>
    <m/>
    <n v="119331.94037038618"/>
    <n v="2983.2985092596546"/>
    <n v="122315.23887964583"/>
    <m/>
    <n v="122315.23887964583"/>
    <n v="2446.3047775929167"/>
    <n v="124761.54365723874"/>
    <n v="6238.0771828619372"/>
    <n v="130999.62084010067"/>
    <n v="17029.950709213088"/>
    <n v="148029.57154931375"/>
    <n v="35"/>
    <n v="148064.57154931375"/>
    <m/>
    <n v="148064.57154931375"/>
    <n v="148064.57"/>
    <n v="5092000"/>
    <m/>
    <n v="0.02"/>
    <n v="101840"/>
    <n v="145104.97237569062"/>
    <n v="4990160"/>
    <x v="2"/>
    <n v="25000"/>
    <n v="170104.97237569062"/>
    <n v="859750"/>
    <n v="5849910"/>
    <s v="Хит"/>
    <s v="Скидка иногородним"/>
    <x v="0"/>
    <x v="0"/>
    <b v="1"/>
    <s v="АГ-005-А-06-01-035"/>
    <m/>
    <s v="ДА"/>
    <s v="Чистовая"/>
    <b v="1"/>
    <n v="5849910"/>
    <n v="0"/>
    <b v="1"/>
    <d v="2025-02-24T00:00:00"/>
    <s v="Полехович"/>
  </r>
  <r>
    <n v="36"/>
    <x v="0"/>
    <x v="5"/>
    <x v="1"/>
    <x v="1"/>
    <n v="15.82"/>
    <n v="15.54"/>
    <m/>
    <n v="31.36"/>
    <n v="19.440000000000001"/>
    <n v="4.42"/>
    <m/>
    <n v="3.25"/>
    <n v="8.5299999999999994"/>
    <n v="3"/>
    <m/>
    <m/>
    <n v="3"/>
    <n v="70"/>
    <n v="67"/>
    <n v="68.5"/>
    <n v="84168.819000000003"/>
    <n v="4208.4409500000002"/>
    <n v="88377.259950000007"/>
    <n v="2651.3177985000002"/>
    <n v="91028.577748500014"/>
    <m/>
    <n v="91028.577748500014"/>
    <m/>
    <n v="91028.577748500014"/>
    <m/>
    <n v="91028.577748500014"/>
    <n v="-831"/>
    <n v="90197.577748500014"/>
    <n v="901.97577748500021"/>
    <n v="91099.553525985015"/>
    <n v="4554.9776762992506"/>
    <n v="95654.53120228427"/>
    <m/>
    <n v="95654.53120228427"/>
    <n v="1913.0906240456854"/>
    <n v="97567.621826329952"/>
    <m/>
    <n v="97567.621826329952"/>
    <n v="1951.3524365265991"/>
    <n v="99518.974262856558"/>
    <m/>
    <n v="99518.974262856558"/>
    <m/>
    <n v="99518.974262856558"/>
    <m/>
    <n v="99518.974262856558"/>
    <m/>
    <n v="99518.974262856558"/>
    <m/>
    <n v="99518.974262856558"/>
    <n v="497.59487131428278"/>
    <n v="100016.56913417084"/>
    <m/>
    <n v="100016.56913417084"/>
    <m/>
    <n v="100016.56913417084"/>
    <m/>
    <n v="100016.56913417084"/>
    <m/>
    <n v="100016.56913417084"/>
    <m/>
    <n v="100016.56913417084"/>
    <m/>
    <n v="100016.56913417084"/>
    <n v="100016.57"/>
    <n v="6851200"/>
    <m/>
    <m/>
    <n v="0"/>
    <n v="100017.51824817518"/>
    <n v="6851200"/>
    <x v="3"/>
    <n v="7000"/>
    <n v="107017.51824817518"/>
    <n v="479500"/>
    <n v="7330700"/>
    <m/>
    <m/>
    <x v="0"/>
    <x v="0"/>
    <b v="1"/>
    <s v="АГ-005-А-06-02-036"/>
    <m/>
    <s v="ДА"/>
    <s v="White Box"/>
    <b v="1"/>
    <n v="7330700"/>
    <n v="0"/>
    <b v="1"/>
    <d v="2024-08-12T00:00:00"/>
    <s v="Дик"/>
  </r>
  <r>
    <n v="37"/>
    <x v="0"/>
    <x v="5"/>
    <x v="2"/>
    <x v="0"/>
    <n v="13.6"/>
    <m/>
    <m/>
    <n v="13.6"/>
    <n v="14.97"/>
    <n v="4.1100000000000003"/>
    <m/>
    <m/>
    <n v="3.7"/>
    <n v="2.69"/>
    <m/>
    <m/>
    <n v="2.69"/>
    <n v="39.07"/>
    <n v="36.380000000000003"/>
    <n v="37.729999999999997"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n v="87601.5"/>
    <n v="3305204.6"/>
    <m/>
    <m/>
    <n v="0"/>
    <n v="87601.500132520552"/>
    <n v="3305204.6"/>
    <x v="2"/>
    <n v="15000"/>
    <n v="102601.50013252055"/>
    <n v="565950"/>
    <n v="3871154.6"/>
    <m/>
    <m/>
    <x v="0"/>
    <x v="0"/>
    <b v="1"/>
    <s v="АГ-005-А-06-03-037"/>
    <m/>
    <s v="НЕТ"/>
    <s v="Чистовая"/>
    <b v="1"/>
    <n v="3871154.6"/>
    <n v="0"/>
    <b v="1"/>
    <d v="2023-09-19T00:00:00"/>
    <s v="Калачева"/>
  </r>
  <r>
    <n v="38"/>
    <x v="0"/>
    <x v="5"/>
    <x v="3"/>
    <x v="1"/>
    <n v="16.61"/>
    <n v="11.38"/>
    <m/>
    <n v="27.990000000000002"/>
    <n v="14.58"/>
    <n v="4.34"/>
    <n v="2.08"/>
    <m/>
    <n v="8.82"/>
    <n v="2.56"/>
    <m/>
    <m/>
    <n v="2.56"/>
    <n v="60.37"/>
    <n v="57.81"/>
    <n v="59.09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n v="958.28704059430083"/>
    <n v="96786.991100024374"/>
    <m/>
    <n v="96786.991100024374"/>
    <m/>
    <n v="96786.991100024374"/>
    <m/>
    <n v="96786.991100024374"/>
    <n v="1451.8048665003655"/>
    <n v="98238.795966524733"/>
    <m/>
    <n v="98238.795966524733"/>
    <n v="3929.5518386609892"/>
    <n v="102168.34780518572"/>
    <n v="6130.1008683111431"/>
    <n v="108298.44867349687"/>
    <n v="14078.798327554594"/>
    <n v="122377.24700105147"/>
    <n v="35"/>
    <n v="122412.24700105147"/>
    <m/>
    <n v="122412.24700105147"/>
    <n v="122412.25"/>
    <n v="7233400"/>
    <m/>
    <n v="0.02"/>
    <n v="144668"/>
    <n v="119965.00253850059"/>
    <n v="7088732"/>
    <x v="2"/>
    <n v="25000"/>
    <n v="144965.00253850059"/>
    <n v="1477250"/>
    <n v="8565982"/>
    <m/>
    <s v="Скидка иногородним"/>
    <x v="0"/>
    <x v="0"/>
    <b v="1"/>
    <s v="АГ-005-А-06-04-038"/>
    <m/>
    <s v="ДА"/>
    <s v="Чистовая"/>
    <b v="1"/>
    <n v="8565982"/>
    <n v="0"/>
    <b v="1"/>
    <d v="2024-12-26T00:00:00"/>
    <s v="Никишов"/>
  </r>
  <r>
    <n v="39"/>
    <x v="0"/>
    <x v="5"/>
    <x v="4"/>
    <x v="1"/>
    <n v="16.46"/>
    <n v="12.47"/>
    <m/>
    <n v="28.93"/>
    <n v="18"/>
    <n v="4.3499999999999996"/>
    <n v="1.55"/>
    <m/>
    <n v="8"/>
    <n v="2.67"/>
    <m/>
    <m/>
    <n v="2.67"/>
    <n v="63.5"/>
    <n v="60.83"/>
    <n v="62.17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m/>
    <n v="95828.704059430078"/>
    <n v="1916.5740811886017"/>
    <n v="97745.278140618684"/>
    <m/>
    <n v="97745.278140618684"/>
    <m/>
    <n v="97745.278140618684"/>
    <n v="1466.1791721092802"/>
    <n v="99211.457312727958"/>
    <m/>
    <n v="99211.457312727958"/>
    <n v="3968.4582925091186"/>
    <n v="103179.91560523708"/>
    <n v="6190.7949363142243"/>
    <n v="109370.71054155131"/>
    <n v="14218.19237040167"/>
    <n v="123588.90291195297"/>
    <n v="35"/>
    <n v="123623.90291195297"/>
    <m/>
    <n v="123623.90291195297"/>
    <n v="123623.9"/>
    <n v="7685700"/>
    <m/>
    <m/>
    <n v="0"/>
    <n v="123623.93437349204"/>
    <n v="7685700"/>
    <x v="3"/>
    <n v="10000"/>
    <n v="133623.93437349203"/>
    <n v="621699.99999999907"/>
    <n v="8307399.9999999991"/>
    <m/>
    <m/>
    <x v="1"/>
    <x v="1"/>
    <b v="1"/>
    <s v="АГ-005-А-06-05-039"/>
    <m/>
    <s v="ДА"/>
    <s v="White Box"/>
    <b v="1"/>
    <n v="8307400"/>
    <n v="9.3132257461547852E-10"/>
    <b v="1"/>
    <s v=" "/>
    <s v=""/>
  </r>
  <r>
    <n v="40"/>
    <x v="0"/>
    <x v="5"/>
    <x v="5"/>
    <x v="1"/>
    <n v="14.64"/>
    <n v="10.74"/>
    <m/>
    <n v="25.380000000000003"/>
    <n v="14.35"/>
    <n v="4.16"/>
    <n v="1.93"/>
    <m/>
    <n v="11.03"/>
    <n v="2.6219999999999999"/>
    <m/>
    <m/>
    <n v="2.6219999999999999"/>
    <n v="59.47"/>
    <n v="56.85"/>
    <n v="58.16"/>
    <n v="81466.150500000003"/>
    <n v="4073.3075250000002"/>
    <n v="85539.458025"/>
    <n v="2566.1837407499997"/>
    <n v="88105.641765749999"/>
    <m/>
    <n v="88105.641765749999"/>
    <m/>
    <n v="88105.641765749999"/>
    <m/>
    <n v="88105.641765749999"/>
    <m/>
    <n v="88105.641765749999"/>
    <n v="881.05641765749999"/>
    <n v="88986.698183407498"/>
    <n v="4449.3349091703749"/>
    <n v="93436.033092577869"/>
    <m/>
    <n v="93436.033092577869"/>
    <n v="1868.7206618515575"/>
    <n v="95304.753754429432"/>
    <m/>
    <n v="95304.753754429432"/>
    <n v="1906.0950750885886"/>
    <n v="97210.848829518014"/>
    <m/>
    <n v="97210.848829518014"/>
    <n v="972.10848829518011"/>
    <n v="98182.957317813198"/>
    <m/>
    <n v="98182.957317813198"/>
    <m/>
    <n v="98182.957317813198"/>
    <m/>
    <n v="98182.957317813198"/>
    <n v="1472.7443597671979"/>
    <n v="99655.701677580393"/>
    <n v="500"/>
    <n v="100155.70167758039"/>
    <n v="4006.2280671032158"/>
    <n v="104161.92974468361"/>
    <n v="6249.7157846810169"/>
    <n v="110411.64552936463"/>
    <n v="14353.513918817402"/>
    <n v="124765.15944818204"/>
    <m/>
    <n v="124765.15944818204"/>
    <m/>
    <n v="124765.15944818204"/>
    <n v="124765.16"/>
    <n v="7256400"/>
    <m/>
    <n v="0.02"/>
    <n v="145128"/>
    <n v="122270.83906464925"/>
    <n v="7111272"/>
    <x v="3"/>
    <n v="8000"/>
    <n v="130270.83906464925"/>
    <n v="465280"/>
    <n v="7576552"/>
    <m/>
    <s v="Скидка иногородним"/>
    <x v="0"/>
    <x v="0"/>
    <b v="1"/>
    <s v="АГ-005-А-06-06-040"/>
    <m/>
    <s v="ДА"/>
    <s v="White Box"/>
    <b v="1"/>
    <n v="7576552"/>
    <n v="0"/>
    <b v="1"/>
    <d v="2024-12-05T00:00:00"/>
    <s v="Никишов"/>
  </r>
  <r>
    <n v="41"/>
    <x v="0"/>
    <x v="5"/>
    <x v="6"/>
    <x v="0"/>
    <n v="18.489999999999998"/>
    <m/>
    <m/>
    <n v="18.489999999999998"/>
    <n v="13.04"/>
    <n v="3.9"/>
    <m/>
    <m/>
    <n v="5.99"/>
    <n v="2.65"/>
    <m/>
    <m/>
    <n v="2.65"/>
    <n v="44.07"/>
    <n v="41.42"/>
    <n v="42.75"/>
    <n v="83951.4375"/>
    <n v="4197.5718750000005"/>
    <n v="88149.009374999994"/>
    <n v="2644.4702812499995"/>
    <n v="90793.479656249998"/>
    <n v="3631.7391862499999"/>
    <n v="94425.218842499991"/>
    <m/>
    <n v="94425.218842499991"/>
    <n v="4721.2609421249999"/>
    <n v="99146.479784624986"/>
    <m/>
    <n v="99146.479784624986"/>
    <n v="991.46479784624989"/>
    <n v="100137.94458247123"/>
    <n v="5006.8972291235623"/>
    <n v="105144.84181159479"/>
    <m/>
    <n v="105144.84181159479"/>
    <n v="3154.3452543478434"/>
    <n v="108299.18706594263"/>
    <m/>
    <n v="108299.18706594263"/>
    <m/>
    <n v="108299.18706594263"/>
    <m/>
    <n v="108299.18706594263"/>
    <m/>
    <n v="108299.18706594263"/>
    <m/>
    <n v="108299.18706594263"/>
    <m/>
    <n v="108299.18706594263"/>
    <m/>
    <n v="108299.18706594263"/>
    <m/>
    <n v="108299.18706594263"/>
    <m/>
    <n v="108299.18706594263"/>
    <m/>
    <n v="108299.18706594263"/>
    <m/>
    <n v="108299.18706594263"/>
    <m/>
    <n v="108299.18706594263"/>
    <m/>
    <n v="108299.18706594263"/>
    <m/>
    <n v="108299.18706594263"/>
    <n v="108299.19"/>
    <n v="4629800"/>
    <m/>
    <m/>
    <n v="0"/>
    <n v="108299.41520467836"/>
    <n v="4629800"/>
    <x v="3"/>
    <n v="7000"/>
    <n v="115299.41520467836"/>
    <n v="299250"/>
    <n v="4929050"/>
    <m/>
    <m/>
    <x v="0"/>
    <x v="0"/>
    <b v="1"/>
    <s v="АГ-005-А-06-07-041"/>
    <m/>
    <s v="ДА"/>
    <s v="White Box"/>
    <b v="1"/>
    <n v="4929050"/>
    <n v="0"/>
    <b v="1"/>
    <d v="2024-05-27T00:00:00"/>
    <s v="Голенко"/>
  </r>
  <r>
    <n v="42"/>
    <x v="0"/>
    <x v="6"/>
    <x v="0"/>
    <x v="0"/>
    <n v="14.68"/>
    <m/>
    <m/>
    <n v="14.68"/>
    <n v="9.84"/>
    <n v="3.63"/>
    <m/>
    <m/>
    <n v="4.8899999999999997"/>
    <n v="2.7"/>
    <m/>
    <m/>
    <n v="2.7"/>
    <n v="35.74"/>
    <n v="33.04"/>
    <n v="34.39"/>
    <n v="82734.75"/>
    <n v="4136.7375000000002"/>
    <n v="86871.487500000003"/>
    <n v="2606.1446249999999"/>
    <n v="89477.632125000004"/>
    <n v="12526.868497500001"/>
    <n v="102004.50062250001"/>
    <m/>
    <n v="102004.50062250001"/>
    <n v="5100.2250311250009"/>
    <n v="107104.72565362501"/>
    <m/>
    <n v="107104.72565362501"/>
    <n v="1071.0472565362502"/>
    <n v="108175.77291016125"/>
    <n v="5408.7886455080625"/>
    <n v="113584.56155566931"/>
    <m/>
    <n v="113584.56155566931"/>
    <m/>
    <n v="113584.56155566931"/>
    <m/>
    <n v="113584.56155566931"/>
    <m/>
    <n v="113584.56155566931"/>
    <m/>
    <n v="113584.56155566931"/>
    <m/>
    <n v="113584.56155566931"/>
    <m/>
    <n v="113584.56155566931"/>
    <m/>
    <n v="113584.56155566931"/>
    <m/>
    <n v="113584.56155566931"/>
    <m/>
    <n v="113584.56155566931"/>
    <m/>
    <n v="113584.56155566931"/>
    <m/>
    <n v="113584.56155566931"/>
    <m/>
    <n v="113584.56155566931"/>
    <m/>
    <n v="113584.56155566931"/>
    <m/>
    <n v="113584.56155566931"/>
    <m/>
    <n v="113584.56155566931"/>
    <n v="113584.56"/>
    <n v="3906200"/>
    <m/>
    <n v="0.03"/>
    <n v="117186"/>
    <n v="110177.78423960453"/>
    <n v="3789014"/>
    <x v="2"/>
    <n v="20000"/>
    <n v="130177.78423960453"/>
    <n v="687800"/>
    <n v="4476814"/>
    <s v="Хит"/>
    <s v="Ветеран боевых действий"/>
    <x v="0"/>
    <x v="0"/>
    <b v="1"/>
    <s v="АГ-005-А-07-01-042"/>
    <m/>
    <s v="ДА"/>
    <s v="Чистовая"/>
    <b v="1"/>
    <n v="4476814"/>
    <n v="0"/>
    <b v="1"/>
    <d v="2024-02-27T00:00:00"/>
    <s v="Полехович"/>
  </r>
  <r>
    <n v="43"/>
    <x v="0"/>
    <x v="6"/>
    <x v="1"/>
    <x v="1"/>
    <n v="15.82"/>
    <n v="15.54"/>
    <m/>
    <n v="31.36"/>
    <n v="19.440000000000001"/>
    <n v="4.42"/>
    <m/>
    <n v="3.25"/>
    <n v="8.5299999999999994"/>
    <n v="3"/>
    <m/>
    <m/>
    <n v="3"/>
    <n v="70"/>
    <n v="67"/>
    <n v="68.5"/>
    <n v="84168.819000000003"/>
    <n v="4208.4409500000002"/>
    <n v="88377.259950000007"/>
    <n v="2651.3177985000002"/>
    <n v="91028.577748500014"/>
    <m/>
    <n v="91028.577748500014"/>
    <m/>
    <n v="91028.577748500014"/>
    <m/>
    <n v="91028.577748500014"/>
    <n v="-831"/>
    <n v="90197.577748500014"/>
    <n v="901.97577748500021"/>
    <n v="91099.553525985015"/>
    <n v="4554.9776762992506"/>
    <n v="95654.53120228427"/>
    <m/>
    <n v="95654.53120228427"/>
    <n v="1913.0906240456854"/>
    <n v="97567.621826329952"/>
    <m/>
    <n v="97567.621826329952"/>
    <n v="1951.3524365265991"/>
    <n v="99518.974262856558"/>
    <m/>
    <n v="99518.974262856558"/>
    <m/>
    <n v="99518.974262856558"/>
    <m/>
    <n v="99518.974262856558"/>
    <m/>
    <n v="99518.974262856558"/>
    <m/>
    <n v="99518.974262856558"/>
    <n v="497.59487131428278"/>
    <n v="100016.56913417084"/>
    <m/>
    <n v="100016.56913417084"/>
    <m/>
    <n v="100016.56913417084"/>
    <n v="6000.9941480502503"/>
    <n v="106017.56328222109"/>
    <n v="13782.283226688742"/>
    <n v="119799.84650890983"/>
    <n v="35"/>
    <n v="119834.84650890983"/>
    <m/>
    <n v="119834.84650890983"/>
    <n v="119834.85"/>
    <n v="8208700"/>
    <m/>
    <m/>
    <n v="0"/>
    <n v="119835.03649635037"/>
    <n v="8208700"/>
    <x v="3"/>
    <n v="10000"/>
    <n v="129835.03649635037"/>
    <n v="685000"/>
    <n v="8893700"/>
    <m/>
    <m/>
    <x v="1"/>
    <x v="1"/>
    <b v="1"/>
    <s v="АГ-005-А-07-02-043"/>
    <m/>
    <s v="ДА"/>
    <s v="White Box"/>
    <b v="1"/>
    <n v="8893700"/>
    <n v="0"/>
    <b v="1"/>
    <s v=" "/>
    <s v=""/>
  </r>
  <r>
    <n v="44"/>
    <x v="0"/>
    <x v="6"/>
    <x v="2"/>
    <x v="0"/>
    <n v="13.6"/>
    <m/>
    <m/>
    <n v="13.6"/>
    <n v="14.97"/>
    <n v="4.1100000000000003"/>
    <m/>
    <m/>
    <n v="3.7"/>
    <n v="2.69"/>
    <m/>
    <m/>
    <n v="2.69"/>
    <n v="39.07"/>
    <n v="36.380000000000003"/>
    <n v="37.729999999999997"/>
    <n v="87601.5"/>
    <n v="4380.0749999999998"/>
    <n v="91981.574999999997"/>
    <n v="2759.4472499999997"/>
    <n v="94741.022249999995"/>
    <n v="6631.8715575000006"/>
    <n v="101372.89380749999"/>
    <m/>
    <n v="101372.89380749999"/>
    <n v="5068.6446903750002"/>
    <n v="106441.53849787499"/>
    <m/>
    <n v="106441.53849787499"/>
    <n v="1064.4153849787499"/>
    <n v="107505.95388285375"/>
    <n v="5375.2976941426878"/>
    <n v="112881.25157699644"/>
    <m/>
    <n v="112881.25157699644"/>
    <m/>
    <n v="112881.25157699644"/>
    <m/>
    <n v="112881.25157699644"/>
    <m/>
    <n v="112881.25157699644"/>
    <m/>
    <n v="112881.25157699644"/>
    <m/>
    <n v="112881.25157699644"/>
    <m/>
    <n v="112881.25157699644"/>
    <m/>
    <n v="112881.25157699644"/>
    <m/>
    <n v="112881.25157699644"/>
    <m/>
    <n v="112881.25157699644"/>
    <m/>
    <n v="112881.25157699644"/>
    <m/>
    <n v="112881.25157699644"/>
    <m/>
    <n v="112881.25157699644"/>
    <m/>
    <n v="112881.25157699644"/>
    <m/>
    <n v="112881.25157699644"/>
    <m/>
    <n v="112881.25157699644"/>
    <n v="112881.25"/>
    <n v="4259100"/>
    <n v="88888"/>
    <m/>
    <n v="88888"/>
    <n v="110527.74980121919"/>
    <n v="4170212"/>
    <x v="1"/>
    <m/>
    <n v="110527.74980121919"/>
    <n v="0"/>
    <n v="4170212"/>
    <m/>
    <s v="Весна"/>
    <x v="0"/>
    <x v="0"/>
    <b v="1"/>
    <s v="АГ-005-А-07-03-044"/>
    <m/>
    <s v="ДА"/>
    <s v="Черновая"/>
    <b v="1"/>
    <n v="4170212"/>
    <n v="0"/>
    <b v="1"/>
    <d v="2024-03-16T00:00:00"/>
    <s v="Дик"/>
  </r>
  <r>
    <n v="45"/>
    <x v="0"/>
    <x v="6"/>
    <x v="3"/>
    <x v="1"/>
    <n v="16.61"/>
    <n v="11.38"/>
    <m/>
    <n v="27.990000000000002"/>
    <n v="14.58"/>
    <n v="4.34"/>
    <n v="2.08"/>
    <m/>
    <n v="8.82"/>
    <n v="2.56"/>
    <m/>
    <m/>
    <n v="2.56"/>
    <n v="60.37"/>
    <n v="57.81"/>
    <n v="59.09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m/>
    <n v="93949.709862186355"/>
    <m/>
    <n v="93949.709862186355"/>
    <m/>
    <n v="93949.709862186355"/>
    <m/>
    <n v="93949.709862186355"/>
    <m/>
    <n v="93949.709862186355"/>
    <m/>
    <n v="93949.709862186355"/>
    <m/>
    <n v="93949.709862186355"/>
    <m/>
    <n v="93949.709862186355"/>
    <m/>
    <n v="93949.709862186355"/>
    <m/>
    <n v="93949.709862186355"/>
    <m/>
    <n v="93949.709862186355"/>
    <m/>
    <n v="93949.709862186355"/>
    <m/>
    <n v="93949.709862186355"/>
    <n v="93949.71"/>
    <n v="5551500"/>
    <m/>
    <n v="0.03"/>
    <n v="166545"/>
    <n v="91131.409713995599"/>
    <n v="5384955"/>
    <x v="3"/>
    <n v="7000"/>
    <n v="98131.409713995599"/>
    <n v="413630"/>
    <n v="5798585"/>
    <m/>
    <s v="Наличные"/>
    <x v="0"/>
    <x v="0"/>
    <b v="1"/>
    <s v="АГ-005-А-07-04-045"/>
    <m/>
    <s v="ДА"/>
    <s v="White Box"/>
    <b v="1"/>
    <n v="5798585"/>
    <n v="0"/>
    <b v="1"/>
    <d v="2024-03-26T00:00:00"/>
    <s v="Никишов"/>
  </r>
  <r>
    <n v="46"/>
    <x v="0"/>
    <x v="6"/>
    <x v="4"/>
    <x v="1"/>
    <n v="16.46"/>
    <n v="12.47"/>
    <m/>
    <n v="28.93"/>
    <n v="18"/>
    <n v="4.3499999999999996"/>
    <n v="1.55"/>
    <m/>
    <n v="8"/>
    <n v="2.67"/>
    <m/>
    <m/>
    <n v="2.67"/>
    <n v="63.5"/>
    <n v="60.83"/>
    <n v="62.17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n v="86852.95"/>
    <n v="5399700"/>
    <n v="30000"/>
    <m/>
    <n v="30000"/>
    <n v="86371.240147981342"/>
    <n v="5369700"/>
    <x v="2"/>
    <n v="22000"/>
    <n v="108371.24014798134"/>
    <n v="1367740"/>
    <n v="6737440"/>
    <m/>
    <s v="Скидка с елки"/>
    <x v="0"/>
    <x v="0"/>
    <b v="1"/>
    <s v="АГ-005-А-07-05-046"/>
    <m/>
    <s v="ДА"/>
    <s v="Чистовая"/>
    <b v="1"/>
    <n v="6737440"/>
    <n v="0"/>
    <b v="1"/>
    <d v="2023-12-12T00:00:00"/>
    <s v="Никишов"/>
  </r>
  <r>
    <n v="47"/>
    <x v="0"/>
    <x v="6"/>
    <x v="5"/>
    <x v="1"/>
    <n v="14.64"/>
    <n v="10.74"/>
    <m/>
    <n v="25.380000000000003"/>
    <n v="14.35"/>
    <n v="4.16"/>
    <n v="1.93"/>
    <m/>
    <n v="11.03"/>
    <n v="2.6219999999999999"/>
    <m/>
    <m/>
    <n v="2.6219999999999999"/>
    <n v="59.47"/>
    <n v="56.85"/>
    <n v="58.16"/>
    <n v="81466.150500000003"/>
    <n v="4073.3075250000002"/>
    <n v="85539.458025"/>
    <n v="2566.1837407499997"/>
    <n v="88105.641765749999"/>
    <m/>
    <n v="88105.641765749999"/>
    <m/>
    <n v="88105.641765749999"/>
    <m/>
    <n v="88105.641765749999"/>
    <m/>
    <n v="88105.641765749999"/>
    <n v="881.05641765749999"/>
    <n v="88986.698183407498"/>
    <n v="4449.3349091703749"/>
    <n v="93436.033092577869"/>
    <m/>
    <n v="93436.033092577869"/>
    <n v="1868.7206618515575"/>
    <n v="95304.753754429432"/>
    <m/>
    <n v="95304.753754429432"/>
    <n v="1906.0950750885886"/>
    <n v="97210.848829518014"/>
    <m/>
    <n v="97210.848829518014"/>
    <n v="972.10848829518011"/>
    <n v="98182.957317813198"/>
    <m/>
    <n v="98182.957317813198"/>
    <m/>
    <n v="98182.957317813198"/>
    <m/>
    <n v="98182.957317813198"/>
    <n v="1472.7443597671979"/>
    <n v="99655.701677580393"/>
    <m/>
    <n v="99655.701677580393"/>
    <m/>
    <n v="99655.701677580393"/>
    <m/>
    <n v="99655.701677580393"/>
    <m/>
    <n v="99655.701677580393"/>
    <m/>
    <n v="99655.701677580393"/>
    <m/>
    <n v="99655.701677580393"/>
    <n v="99655.7"/>
    <n v="5796000"/>
    <m/>
    <m/>
    <n v="0"/>
    <n v="99656.121045392021"/>
    <n v="5796000"/>
    <x v="3"/>
    <n v="7000"/>
    <n v="106656.12104539202"/>
    <n v="407120"/>
    <n v="6203120"/>
    <m/>
    <m/>
    <x v="0"/>
    <x v="0"/>
    <b v="1"/>
    <s v="АГ-005-А-07-06-047"/>
    <m/>
    <s v="ДА"/>
    <s v="White Box"/>
    <b v="1"/>
    <n v="6203120"/>
    <n v="0"/>
    <b v="1"/>
    <d v="2024-07-29T00:00:00"/>
    <s v="Полехович"/>
  </r>
  <r>
    <n v="48"/>
    <x v="0"/>
    <x v="6"/>
    <x v="6"/>
    <x v="0"/>
    <n v="18.489999999999998"/>
    <m/>
    <m/>
    <n v="18.489999999999998"/>
    <n v="13.04"/>
    <n v="3.9"/>
    <m/>
    <m/>
    <n v="5.99"/>
    <n v="2.65"/>
    <m/>
    <m/>
    <n v="2.65"/>
    <n v="44.07"/>
    <n v="41.42"/>
    <n v="42.75"/>
    <n v="83951.4375"/>
    <n v="4197.5718750000005"/>
    <n v="88149.009374999994"/>
    <n v="2644.4702812499995"/>
    <n v="90793.479656249998"/>
    <n v="3631.7391862499999"/>
    <n v="94425.218842499991"/>
    <m/>
    <n v="94425.218842499991"/>
    <n v="4721.2609421249999"/>
    <n v="99146.479784624986"/>
    <m/>
    <n v="99146.479784624986"/>
    <n v="991.46479784624989"/>
    <n v="100137.94458247123"/>
    <n v="5006.8972291235623"/>
    <n v="105144.84181159479"/>
    <m/>
    <n v="105144.84181159479"/>
    <n v="3154.3452543478434"/>
    <n v="108299.18706594263"/>
    <m/>
    <n v="108299.18706594263"/>
    <m/>
    <n v="108299.18706594263"/>
    <m/>
    <n v="108299.18706594263"/>
    <m/>
    <n v="108299.18706594263"/>
    <m/>
    <n v="108299.18706594263"/>
    <n v="541.49593532971323"/>
    <n v="108840.68300127235"/>
    <m/>
    <n v="108840.68300127235"/>
    <n v="1632.6102450190851"/>
    <n v="110473.29324629143"/>
    <m/>
    <n v="110473.29324629143"/>
    <m/>
    <n v="110473.29324629143"/>
    <m/>
    <n v="110473.29324629143"/>
    <m/>
    <n v="110473.29324629143"/>
    <m/>
    <n v="110473.29324629143"/>
    <m/>
    <n v="110473.29324629143"/>
    <n v="110473.29"/>
    <n v="4722800"/>
    <m/>
    <n v="0.02"/>
    <n v="94456"/>
    <n v="108265.35672514619"/>
    <n v="4628344"/>
    <x v="1"/>
    <m/>
    <n v="108265.35672514619"/>
    <n v="0"/>
    <n v="4628344"/>
    <m/>
    <s v="Скидка иногородним"/>
    <x v="0"/>
    <x v="0"/>
    <b v="1"/>
    <s v="АГ-005-А-07-07-048"/>
    <m/>
    <s v="ДА"/>
    <s v="Черновая"/>
    <b v="1"/>
    <n v="4628344"/>
    <n v="0"/>
    <b v="1"/>
    <d v="2024-10-25T00:00:00"/>
    <s v="Никишов"/>
  </r>
  <r>
    <n v="49"/>
    <x v="0"/>
    <x v="7"/>
    <x v="0"/>
    <x v="0"/>
    <n v="14.68"/>
    <m/>
    <m/>
    <n v="14.68"/>
    <n v="9.84"/>
    <n v="3.63"/>
    <m/>
    <m/>
    <n v="4.8899999999999997"/>
    <n v="2.7"/>
    <m/>
    <m/>
    <n v="2.7"/>
    <n v="35.74"/>
    <n v="33.04"/>
    <n v="34.39"/>
    <n v="82734.75"/>
    <n v="4136.7375000000002"/>
    <n v="86871.487500000003"/>
    <n v="2606.1446249999999"/>
    <n v="89477.632125000004"/>
    <n v="12526.868497500001"/>
    <n v="102004.50062250001"/>
    <m/>
    <n v="102004.50062250001"/>
    <n v="5100.2250311250009"/>
    <n v="107104.72565362501"/>
    <m/>
    <n v="107104.72565362501"/>
    <n v="1071.0472565362502"/>
    <n v="108175.77291016125"/>
    <n v="5408.7886455080625"/>
    <n v="113584.56155566931"/>
    <m/>
    <n v="113584.56155566931"/>
    <n v="3407.5368466700793"/>
    <n v="116992.09840233938"/>
    <m/>
    <n v="116992.09840233938"/>
    <m/>
    <n v="116992.09840233938"/>
    <m/>
    <n v="116992.09840233938"/>
    <m/>
    <n v="116992.09840233938"/>
    <n v="2339.8419680467878"/>
    <n v="119331.94037038618"/>
    <m/>
    <n v="119331.94037038618"/>
    <m/>
    <n v="119331.94037038618"/>
    <n v="2983.2985092596546"/>
    <n v="122315.23887964583"/>
    <m/>
    <n v="122315.23887964583"/>
    <m/>
    <n v="122315.23887964583"/>
    <m/>
    <n v="122315.23887964583"/>
    <m/>
    <n v="122315.23887964583"/>
    <m/>
    <n v="122315.23887964583"/>
    <m/>
    <n v="122315.23887964583"/>
    <n v="122315.24"/>
    <n v="4206500"/>
    <m/>
    <m/>
    <n v="0"/>
    <n v="122317.53416690898"/>
    <n v="4206500"/>
    <x v="3"/>
    <n v="7000"/>
    <n v="129317.53416690898"/>
    <n v="240730"/>
    <n v="4447230"/>
    <s v="Хит"/>
    <m/>
    <x v="0"/>
    <x v="0"/>
    <b v="1"/>
    <s v="АГ-005-А-08-01-049"/>
    <m/>
    <s v="ДА"/>
    <s v="White Box"/>
    <b v="1"/>
    <n v="4447230"/>
    <n v="0"/>
    <b v="1"/>
    <d v="2024-09-24T00:00:00"/>
    <s v="Дик"/>
  </r>
  <r>
    <n v="50"/>
    <x v="0"/>
    <x v="7"/>
    <x v="1"/>
    <x v="1"/>
    <n v="15.82"/>
    <n v="15.54"/>
    <m/>
    <n v="31.36"/>
    <n v="19.440000000000001"/>
    <n v="4.42"/>
    <m/>
    <n v="3.25"/>
    <n v="8.5299999999999994"/>
    <n v="3"/>
    <m/>
    <m/>
    <n v="3"/>
    <n v="70"/>
    <n v="67"/>
    <n v="68.5"/>
    <n v="84168.819000000003"/>
    <n v="4208.4409500000002"/>
    <n v="88377.259950000007"/>
    <n v="2651.3177985000002"/>
    <n v="91028.577748500014"/>
    <m/>
    <n v="91028.577748500014"/>
    <m/>
    <n v="91028.577748500014"/>
    <m/>
    <n v="91028.577748500014"/>
    <n v="-831"/>
    <n v="90197.577748500014"/>
    <n v="901.97577748500021"/>
    <n v="91099.553525985015"/>
    <n v="4554.9776762992506"/>
    <n v="95654.53120228427"/>
    <m/>
    <n v="95654.53120228427"/>
    <n v="1913.0906240456854"/>
    <n v="97567.621826329952"/>
    <m/>
    <n v="97567.621826329952"/>
    <n v="1951.3524365265991"/>
    <n v="99518.974262856558"/>
    <m/>
    <n v="99518.974262856558"/>
    <m/>
    <n v="99518.974262856558"/>
    <m/>
    <n v="99518.974262856558"/>
    <m/>
    <n v="99518.974262856558"/>
    <m/>
    <n v="99518.974262856558"/>
    <m/>
    <n v="99518.974262856558"/>
    <m/>
    <n v="99518.974262856558"/>
    <m/>
    <n v="99518.974262856558"/>
    <m/>
    <n v="99518.974262856558"/>
    <m/>
    <n v="99518.974262856558"/>
    <m/>
    <n v="99518.974262856558"/>
    <m/>
    <n v="99518.974262856558"/>
    <n v="99518.97"/>
    <n v="6817100"/>
    <n v="100000"/>
    <m/>
    <n v="100000"/>
    <n v="98059.854014598546"/>
    <n v="6717100"/>
    <x v="1"/>
    <m/>
    <n v="98059.854014598546"/>
    <n v="0"/>
    <n v="6717100"/>
    <m/>
    <s v="Молодая семья"/>
    <x v="0"/>
    <x v="0"/>
    <b v="1"/>
    <s v="АГ-005-А-08-02-050"/>
    <m/>
    <s v="ДА"/>
    <s v="Черновая"/>
    <b v="1"/>
    <n v="6717100"/>
    <n v="0"/>
    <b v="1"/>
    <d v="2024-07-01T00:00:00"/>
    <s v="Дик"/>
  </r>
  <r>
    <n v="51"/>
    <x v="0"/>
    <x v="7"/>
    <x v="2"/>
    <x v="0"/>
    <n v="13.6"/>
    <m/>
    <m/>
    <n v="13.6"/>
    <n v="14.97"/>
    <n v="4.1100000000000003"/>
    <m/>
    <m/>
    <n v="3.7"/>
    <n v="2.69"/>
    <m/>
    <m/>
    <n v="2.69"/>
    <n v="39.07"/>
    <n v="36.380000000000003"/>
    <n v="37.729999999999997"/>
    <n v="87601.5"/>
    <n v="4380.0749999999998"/>
    <n v="91981.574999999997"/>
    <n v="2759.4472499999997"/>
    <n v="94741.022249999995"/>
    <n v="6631.8715575000006"/>
    <n v="101372.89380749999"/>
    <m/>
    <n v="101372.89380749999"/>
    <n v="5068.6446903750002"/>
    <n v="106441.53849787499"/>
    <m/>
    <n v="106441.53849787499"/>
    <n v="1064.4153849787499"/>
    <n v="107505.95388285375"/>
    <n v="5375.2976941426878"/>
    <n v="112881.25157699644"/>
    <m/>
    <n v="112881.25157699644"/>
    <n v="3386.437547309893"/>
    <n v="116267.68912430633"/>
    <m/>
    <n v="116267.68912430633"/>
    <m/>
    <n v="116267.68912430633"/>
    <m/>
    <n v="116267.68912430633"/>
    <m/>
    <n v="116267.68912430633"/>
    <m/>
    <n v="116267.68912430633"/>
    <m/>
    <n v="116267.68912430633"/>
    <m/>
    <n v="116267.68912430633"/>
    <m/>
    <n v="116267.68912430633"/>
    <m/>
    <n v="116267.68912430633"/>
    <m/>
    <n v="116267.68912430633"/>
    <m/>
    <n v="116267.68912430633"/>
    <m/>
    <n v="116267.68912430633"/>
    <m/>
    <n v="116267.68912430633"/>
    <m/>
    <n v="116267.68912430633"/>
    <n v="116267.69"/>
    <n v="4386800"/>
    <m/>
    <m/>
    <n v="0"/>
    <n v="116268.22157434403"/>
    <n v="4386800"/>
    <x v="2"/>
    <n v="20000"/>
    <n v="136268.22157434403"/>
    <n v="754600"/>
    <n v="5141400"/>
    <m/>
    <m/>
    <x v="0"/>
    <x v="0"/>
    <b v="1"/>
    <s v="АГ-005-А-08-03-051"/>
    <m/>
    <s v="ДА"/>
    <s v="Чистовая"/>
    <b v="1"/>
    <n v="5141400"/>
    <n v="0"/>
    <b v="1"/>
    <d v="2024-05-30T00:00:00"/>
    <s v="Голенко"/>
  </r>
  <r>
    <n v="52"/>
    <x v="0"/>
    <x v="7"/>
    <x v="3"/>
    <x v="1"/>
    <n v="16.61"/>
    <n v="11.38"/>
    <m/>
    <n v="27.990000000000002"/>
    <n v="14.58"/>
    <n v="4.34"/>
    <n v="2.08"/>
    <m/>
    <n v="8.82"/>
    <n v="2.56"/>
    <m/>
    <m/>
    <n v="2.56"/>
    <n v="60.37"/>
    <n v="57.81"/>
    <n v="59.09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n v="958.28704059430083"/>
    <n v="96786.991100024374"/>
    <m/>
    <n v="96786.991100024374"/>
    <m/>
    <n v="96786.991100024374"/>
    <m/>
    <n v="96786.991100024374"/>
    <n v="1451.8048665003655"/>
    <n v="98238.795966524733"/>
    <m/>
    <n v="98238.795966524733"/>
    <n v="3929.5518386609892"/>
    <n v="102168.34780518572"/>
    <n v="6130.1008683111431"/>
    <n v="108298.44867349687"/>
    <n v="14078.798327554594"/>
    <n v="122377.24700105147"/>
    <n v="35"/>
    <n v="122412.24700105147"/>
    <m/>
    <n v="122412.24700105147"/>
    <n v="122412.25"/>
    <n v="7233400"/>
    <m/>
    <m/>
    <n v="0"/>
    <n v="122413.26789642917"/>
    <n v="7233400"/>
    <x v="3"/>
    <n v="10000"/>
    <n v="132413.26789642917"/>
    <n v="590900"/>
    <n v="7824300"/>
    <m/>
    <m/>
    <x v="2"/>
    <x v="2"/>
    <b v="1"/>
    <s v="АГ-005-А-08-04-052"/>
    <m/>
    <s v="ДА"/>
    <s v="White Box"/>
    <b v="1"/>
    <n v="7824300"/>
    <n v="0"/>
    <b v="1"/>
    <s v=" "/>
    <s v=""/>
  </r>
  <r>
    <n v="53"/>
    <x v="0"/>
    <x v="7"/>
    <x v="4"/>
    <x v="1"/>
    <n v="16.46"/>
    <n v="12.47"/>
    <m/>
    <n v="28.93"/>
    <n v="18"/>
    <n v="4.3499999999999996"/>
    <n v="1.55"/>
    <m/>
    <n v="8"/>
    <n v="2.67"/>
    <m/>
    <m/>
    <n v="2.67"/>
    <n v="63.5"/>
    <n v="60.83"/>
    <n v="62.17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m/>
    <n v="95828.704059430078"/>
    <n v="1916.5740811886017"/>
    <n v="97745.278140618684"/>
    <n v="488.72639070309344"/>
    <n v="98234.004531321771"/>
    <m/>
    <n v="98234.004531321771"/>
    <n v="1473.5100679698264"/>
    <n v="99707.514599291593"/>
    <m/>
    <n v="99707.514599291593"/>
    <n v="3988.3005839716639"/>
    <n v="103695.81518326326"/>
    <n v="6221.7489109957951"/>
    <n v="109917.56409425905"/>
    <n v="14289.283332253677"/>
    <n v="124206.84742651273"/>
    <n v="35"/>
    <n v="124241.84742651273"/>
    <m/>
    <n v="124241.84742651273"/>
    <n v="124241.85"/>
    <n v="7724200"/>
    <m/>
    <m/>
    <n v="0"/>
    <n v="124243.20411774167"/>
    <n v="7724200"/>
    <x v="3"/>
    <n v="10000"/>
    <n v="134243.20411774167"/>
    <n v="621700"/>
    <n v="8345900"/>
    <m/>
    <m/>
    <x v="1"/>
    <x v="1"/>
    <b v="1"/>
    <s v="АГ-005-А-08-05-053"/>
    <m/>
    <s v="ДА"/>
    <s v="White Box"/>
    <b v="1"/>
    <n v="8345900"/>
    <n v="0"/>
    <b v="1"/>
    <s v=" "/>
    <s v=""/>
  </r>
  <r>
    <n v="54"/>
    <x v="0"/>
    <x v="7"/>
    <x v="5"/>
    <x v="1"/>
    <n v="14.64"/>
    <n v="10.74"/>
    <m/>
    <n v="25.380000000000003"/>
    <n v="14.35"/>
    <n v="4.16"/>
    <n v="1.93"/>
    <m/>
    <n v="11.03"/>
    <n v="2.6219999999999999"/>
    <m/>
    <m/>
    <n v="2.6219999999999999"/>
    <n v="59.47"/>
    <n v="56.85"/>
    <n v="58.16"/>
    <n v="81466.150500000003"/>
    <n v="4073.3075250000002"/>
    <n v="85539.458025"/>
    <n v="2566.1837407499997"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n v="88105.64"/>
    <n v="5124300"/>
    <m/>
    <n v="0.02"/>
    <n v="102486"/>
    <n v="86344.807427785418"/>
    <n v="5021814"/>
    <x v="2"/>
    <n v="22000"/>
    <n v="108344.80742778542"/>
    <n v="1279519.9999999991"/>
    <n v="6301333.9999999991"/>
    <m/>
    <s v="Скидка иногородним"/>
    <x v="0"/>
    <x v="0"/>
    <b v="1"/>
    <s v="АГ-005-А-08-06-054"/>
    <m/>
    <s v="ДА"/>
    <s v="Чистовая"/>
    <b v="1"/>
    <n v="6301334"/>
    <n v="9.3132257461547852E-10"/>
    <b v="1"/>
    <d v="2023-12-25T00:00:00"/>
    <s v="Дик"/>
  </r>
  <r>
    <n v="55"/>
    <x v="0"/>
    <x v="7"/>
    <x v="6"/>
    <x v="0"/>
    <n v="18.489999999999998"/>
    <m/>
    <m/>
    <n v="18.489999999999998"/>
    <n v="13.04"/>
    <n v="3.9"/>
    <m/>
    <m/>
    <n v="5.99"/>
    <n v="2.65"/>
    <m/>
    <m/>
    <n v="2.65"/>
    <n v="44.07"/>
    <n v="41.42"/>
    <n v="42.75"/>
    <n v="83951.4375"/>
    <n v="4197.5718750000005"/>
    <n v="88149.009374999994"/>
    <n v="2644.4702812499995"/>
    <n v="90793.479656249998"/>
    <n v="3631.7391862499999"/>
    <n v="94425.218842499991"/>
    <m/>
    <n v="94425.218842499991"/>
    <n v="4721.2609421249999"/>
    <n v="99146.479784624986"/>
    <m/>
    <n v="99146.479784624986"/>
    <n v="991.46479784624989"/>
    <n v="100137.94458247123"/>
    <n v="5006.8972291235623"/>
    <n v="105144.84181159479"/>
    <m/>
    <n v="105144.84181159479"/>
    <n v="3154.3452543478434"/>
    <n v="108299.18706594263"/>
    <m/>
    <n v="108299.18706594263"/>
    <m/>
    <n v="108299.18706594263"/>
    <m/>
    <n v="108299.18706594263"/>
    <m/>
    <n v="108299.18706594263"/>
    <m/>
    <n v="108299.18706594263"/>
    <n v="541.49593532971323"/>
    <n v="108840.68300127235"/>
    <m/>
    <n v="108840.68300127235"/>
    <n v="1632.6102450190851"/>
    <n v="110473.29324629143"/>
    <m/>
    <n v="110473.29324629143"/>
    <m/>
    <n v="110473.29324629143"/>
    <n v="8837.8634597033142"/>
    <n v="119311.15670599474"/>
    <n v="15510.450371779318"/>
    <n v="134821.60707777407"/>
    <n v="35"/>
    <n v="134856.60707777407"/>
    <m/>
    <n v="134856.60707777407"/>
    <n v="134856.60999999999"/>
    <n v="5765200"/>
    <n v="342000"/>
    <m/>
    <n v="342000"/>
    <n v="126858.47953216374"/>
    <n v="5423200"/>
    <x v="1"/>
    <m/>
    <n v="126858.47953216374"/>
    <n v="0"/>
    <n v="5423200"/>
    <m/>
    <s v="Большие скидки на маленькие квартиры"/>
    <x v="0"/>
    <x v="0"/>
    <b v="1"/>
    <s v="АГ-005-А-08-07-055"/>
    <m/>
    <s v="ДА"/>
    <s v="Черновая"/>
    <b v="1"/>
    <n v="5423200"/>
    <n v="0"/>
    <b v="1"/>
    <s v=" "/>
    <s v=""/>
  </r>
  <r>
    <n v="56"/>
    <x v="0"/>
    <x v="8"/>
    <x v="0"/>
    <x v="0"/>
    <n v="14.68"/>
    <m/>
    <m/>
    <n v="14.68"/>
    <n v="9.84"/>
    <n v="3.63"/>
    <m/>
    <m/>
    <n v="4.8899999999999997"/>
    <n v="2.7"/>
    <m/>
    <m/>
    <n v="2.7"/>
    <n v="35.74"/>
    <n v="33.04"/>
    <n v="34.39"/>
    <n v="82734.75"/>
    <n v="4136.7375000000002"/>
    <n v="86871.487500000003"/>
    <n v="2606.1446249999999"/>
    <n v="89477.632125000004"/>
    <n v="12526.868497500001"/>
    <n v="102004.50062250001"/>
    <m/>
    <n v="102004.50062250001"/>
    <n v="5100.2250311250009"/>
    <n v="107104.72565362501"/>
    <m/>
    <n v="107104.72565362501"/>
    <n v="1071.0472565362502"/>
    <n v="108175.77291016125"/>
    <n v="5408.7886455080625"/>
    <n v="113584.56155566931"/>
    <m/>
    <n v="113584.56155566931"/>
    <n v="3407.5368466700793"/>
    <n v="116992.09840233938"/>
    <m/>
    <n v="116992.09840233938"/>
    <m/>
    <n v="116992.09840233938"/>
    <m/>
    <n v="116992.09840233938"/>
    <m/>
    <n v="116992.09840233938"/>
    <n v="2339.8419680467878"/>
    <n v="119331.94037038618"/>
    <m/>
    <n v="119331.94037038618"/>
    <m/>
    <n v="119331.94037038618"/>
    <n v="2983.2985092596546"/>
    <n v="122315.23887964583"/>
    <m/>
    <n v="122315.23887964583"/>
    <n v="2446.3047775929167"/>
    <n v="124761.54365723874"/>
    <n v="6238.0771828619372"/>
    <n v="130999.62084010067"/>
    <n v="17029.950709213088"/>
    <n v="148029.57154931375"/>
    <n v="35"/>
    <n v="148064.57154931375"/>
    <m/>
    <n v="148064.57154931375"/>
    <n v="148064.57"/>
    <n v="5092000"/>
    <m/>
    <m/>
    <n v="0"/>
    <n v="148066.29834254144"/>
    <n v="5092000"/>
    <x v="3"/>
    <n v="10000"/>
    <n v="158066.29834254144"/>
    <n v="343900"/>
    <n v="5435900"/>
    <s v="Хит"/>
    <m/>
    <x v="1"/>
    <x v="1"/>
    <b v="1"/>
    <s v="АГ-005-А-09-01-056"/>
    <m/>
    <s v="ДА"/>
    <s v="White Box"/>
    <b v="1"/>
    <n v="5435900"/>
    <n v="0"/>
    <b v="1"/>
    <s v=" "/>
    <s v=""/>
  </r>
  <r>
    <n v="57"/>
    <x v="0"/>
    <x v="8"/>
    <x v="1"/>
    <x v="1"/>
    <n v="15.82"/>
    <n v="15.54"/>
    <m/>
    <n v="31.36"/>
    <n v="19.440000000000001"/>
    <n v="4.42"/>
    <m/>
    <n v="3.25"/>
    <n v="8.5299999999999994"/>
    <n v="3"/>
    <m/>
    <m/>
    <n v="3"/>
    <n v="70"/>
    <n v="67"/>
    <n v="68.5"/>
    <n v="84168.819000000003"/>
    <n v="4208.4409500000002"/>
    <n v="88377.259950000007"/>
    <n v="2651.3177985000002"/>
    <n v="91028.577748500014"/>
    <m/>
    <n v="91028.577748500014"/>
    <m/>
    <n v="91028.577748500014"/>
    <m/>
    <n v="91028.577748500014"/>
    <n v="-831"/>
    <n v="90197.577748500014"/>
    <n v="901.97577748500021"/>
    <n v="91099.553525985015"/>
    <n v="4554.9776762992506"/>
    <n v="95654.53120228427"/>
    <m/>
    <n v="95654.53120228427"/>
    <n v="1913.0906240456854"/>
    <n v="97567.621826329952"/>
    <m/>
    <n v="97567.621826329952"/>
    <n v="1951.3524365265991"/>
    <n v="99518.974262856558"/>
    <m/>
    <n v="99518.974262856558"/>
    <m/>
    <n v="99518.974262856558"/>
    <m/>
    <n v="99518.974262856558"/>
    <m/>
    <n v="99518.974262856558"/>
    <m/>
    <n v="99518.974262856558"/>
    <n v="497.59487131428278"/>
    <n v="100016.56913417084"/>
    <m/>
    <n v="100016.56913417084"/>
    <m/>
    <n v="100016.56913417084"/>
    <m/>
    <n v="100016.56913417084"/>
    <m/>
    <n v="100016.56913417084"/>
    <m/>
    <n v="100016.56913417084"/>
    <m/>
    <n v="100016.56913417084"/>
    <n v="100016.57"/>
    <n v="6851200"/>
    <m/>
    <n v="0.03"/>
    <n v="205536"/>
    <n v="97016.992700729927"/>
    <n v="6645664"/>
    <x v="3"/>
    <n v="8000"/>
    <n v="105016.99270072993"/>
    <n v="548000"/>
    <n v="7193664"/>
    <m/>
    <s v="Ветеран боевых действий"/>
    <x v="0"/>
    <x v="0"/>
    <b v="1"/>
    <s v="АГ-005-А-09-02-057"/>
    <m/>
    <s v="ДА"/>
    <s v="White Box"/>
    <b v="1"/>
    <n v="7193664"/>
    <n v="0"/>
    <b v="1"/>
    <d v="2024-12-16T00:00:00"/>
    <s v="Полехович"/>
  </r>
  <r>
    <n v="58"/>
    <x v="0"/>
    <x v="8"/>
    <x v="2"/>
    <x v="0"/>
    <n v="13.6"/>
    <m/>
    <m/>
    <n v="13.6"/>
    <n v="14.97"/>
    <n v="4.1100000000000003"/>
    <m/>
    <m/>
    <n v="3.7"/>
    <n v="2.69"/>
    <m/>
    <m/>
    <n v="2.69"/>
    <n v="39.07"/>
    <n v="36.380000000000003"/>
    <n v="37.729999999999997"/>
    <n v="87601.5"/>
    <n v="4380.0749999999998"/>
    <n v="91981.574999999997"/>
    <n v="2759.4472499999997"/>
    <n v="94741.022249999995"/>
    <n v="6631.8715575000006"/>
    <n v="101372.89380749999"/>
    <m/>
    <n v="101372.89380749999"/>
    <n v="5068.6446903750002"/>
    <n v="106441.53849787499"/>
    <m/>
    <n v="106441.53849787499"/>
    <n v="1064.4153849787499"/>
    <n v="107505.95388285375"/>
    <n v="5375.2976941426878"/>
    <n v="112881.25157699644"/>
    <m/>
    <n v="112881.25157699644"/>
    <n v="3386.437547309893"/>
    <n v="116267.68912430633"/>
    <m/>
    <n v="116267.68912430633"/>
    <m/>
    <n v="116267.68912430633"/>
    <m/>
    <n v="116267.68912430633"/>
    <m/>
    <n v="116267.68912430633"/>
    <n v="2325.3537824861264"/>
    <n v="118593.04290679246"/>
    <m/>
    <n v="118593.04290679246"/>
    <m/>
    <n v="118593.04290679246"/>
    <m/>
    <n v="118593.04290679246"/>
    <m/>
    <n v="118593.04290679246"/>
    <m/>
    <n v="118593.04290679246"/>
    <m/>
    <n v="118593.04290679246"/>
    <m/>
    <n v="118593.04290679246"/>
    <m/>
    <n v="118593.04290679246"/>
    <m/>
    <n v="118593.04290679246"/>
    <n v="118593.04"/>
    <n v="4474600"/>
    <m/>
    <m/>
    <n v="0"/>
    <n v="118595.28226875166"/>
    <n v="4474600"/>
    <x v="2"/>
    <n v="20000"/>
    <n v="138595.28226875165"/>
    <n v="754599.99999999907"/>
    <n v="5229199.9999999991"/>
    <m/>
    <m/>
    <x v="0"/>
    <x v="0"/>
    <b v="1"/>
    <s v="АГ-005-А-09-03-058"/>
    <m/>
    <s v="ДА"/>
    <s v="Чистовая"/>
    <b v="1"/>
    <n v="5229200"/>
    <n v="9.3132257461547852E-10"/>
    <b v="1"/>
    <d v="2024-05-31T00:00:00"/>
    <s v="Калачева"/>
  </r>
  <r>
    <n v="59"/>
    <x v="0"/>
    <x v="8"/>
    <x v="3"/>
    <x v="1"/>
    <n v="16.61"/>
    <n v="11.38"/>
    <m/>
    <n v="27.990000000000002"/>
    <n v="14.58"/>
    <n v="4.34"/>
    <n v="2.08"/>
    <m/>
    <n v="8.82"/>
    <n v="2.56"/>
    <m/>
    <m/>
    <n v="2.56"/>
    <n v="60.37"/>
    <n v="57.81"/>
    <n v="59.09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n v="86852.95"/>
    <n v="5132200"/>
    <m/>
    <m/>
    <n v="0"/>
    <n v="86853.951599255364"/>
    <n v="5132200"/>
    <x v="1"/>
    <m/>
    <n v="86853.951599255364"/>
    <n v="0"/>
    <n v="5132200"/>
    <m/>
    <m/>
    <x v="0"/>
    <x v="0"/>
    <b v="1"/>
    <s v="АГ-005-А-09-04-059"/>
    <m/>
    <s v="ДА"/>
    <s v="Черновая"/>
    <b v="1"/>
    <n v="5132200"/>
    <n v="0"/>
    <b v="1"/>
    <d v="2023-12-13T00:00:00"/>
    <s v="Полехович"/>
  </r>
  <r>
    <n v="60"/>
    <x v="0"/>
    <x v="8"/>
    <x v="4"/>
    <x v="1"/>
    <n v="16.46"/>
    <n v="12.47"/>
    <m/>
    <n v="28.93"/>
    <n v="18"/>
    <n v="4.3499999999999996"/>
    <n v="1.55"/>
    <m/>
    <n v="8"/>
    <n v="2.67"/>
    <m/>
    <m/>
    <n v="2.67"/>
    <n v="63.5"/>
    <n v="60.83"/>
    <n v="62.17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m/>
    <n v="95828.704059430078"/>
    <n v="1916.5740811886017"/>
    <n v="97745.278140618684"/>
    <n v="488.72639070309344"/>
    <n v="98234.004531321771"/>
    <m/>
    <n v="98234.004531321771"/>
    <n v="1473.5100679698264"/>
    <n v="99707.514599291593"/>
    <m/>
    <n v="99707.514599291593"/>
    <n v="3988.3005839716639"/>
    <n v="103695.81518326326"/>
    <n v="6221.7489109957951"/>
    <n v="109917.56409425905"/>
    <n v="14289.283332253677"/>
    <n v="124206.84742651273"/>
    <n v="35"/>
    <n v="124241.84742651273"/>
    <m/>
    <n v="124241.84742651273"/>
    <n v="124241.85"/>
    <n v="7724200"/>
    <n v="300000"/>
    <n v="0.03"/>
    <n v="531726"/>
    <n v="115690.42946758887"/>
    <n v="7192474"/>
    <x v="3"/>
    <n v="10000"/>
    <n v="125690.42946758887"/>
    <n v="621700"/>
    <n v="7814174"/>
    <m/>
    <s v="Время действовать \ Многодетная семья"/>
    <x v="0"/>
    <x v="0"/>
    <b v="1"/>
    <s v="АГ-005-А-09-05-060"/>
    <m/>
    <s v="ДА"/>
    <s v="White Box"/>
    <b v="1"/>
    <n v="7814174"/>
    <n v="0"/>
    <b v="1"/>
    <d v="2025-04-18T00:00:00"/>
    <s v="Полехович"/>
  </r>
  <r>
    <n v="61"/>
    <x v="0"/>
    <x v="8"/>
    <x v="5"/>
    <x v="1"/>
    <n v="14.64"/>
    <n v="10.74"/>
    <m/>
    <n v="25.380000000000003"/>
    <n v="14.35"/>
    <n v="4.16"/>
    <n v="1.93"/>
    <m/>
    <n v="11.03"/>
    <n v="2.6219999999999999"/>
    <m/>
    <m/>
    <n v="2.6219999999999999"/>
    <n v="59.47"/>
    <n v="56.85"/>
    <n v="58.16"/>
    <n v="81466.150500000003"/>
    <n v="4073.3075250000002"/>
    <n v="85539.458025"/>
    <n v="2566.1837407499997"/>
    <n v="88105.641765749999"/>
    <m/>
    <n v="88105.641765749999"/>
    <m/>
    <n v="88105.641765749999"/>
    <m/>
    <n v="88105.641765749999"/>
    <m/>
    <n v="88105.641765749999"/>
    <n v="881.05641765749999"/>
    <n v="88986.698183407498"/>
    <n v="4449.3349091703749"/>
    <n v="93436.033092577869"/>
    <m/>
    <n v="93436.033092577869"/>
    <n v="1868.7206618515575"/>
    <n v="95304.753754429432"/>
    <m/>
    <n v="95304.753754429432"/>
    <n v="1906.0950750885886"/>
    <n v="97210.848829518014"/>
    <m/>
    <n v="97210.848829518014"/>
    <n v="972.10848829518011"/>
    <n v="98182.957317813198"/>
    <m/>
    <n v="98182.957317813198"/>
    <m/>
    <n v="98182.957317813198"/>
    <m/>
    <n v="98182.957317813198"/>
    <n v="1472.7443597671979"/>
    <n v="99655.701677580393"/>
    <n v="500"/>
    <n v="100155.70167758039"/>
    <n v="4006.2280671032158"/>
    <n v="104161.92974468361"/>
    <n v="6249.7157846810169"/>
    <n v="110411.64552936463"/>
    <n v="14353.513918817402"/>
    <n v="124765.15944818204"/>
    <n v="35"/>
    <n v="124800.15944818204"/>
    <m/>
    <n v="124800.15944818204"/>
    <n v="124800.16"/>
    <n v="7258400"/>
    <n v="300000"/>
    <m/>
    <n v="300000"/>
    <n v="119642.36588720771"/>
    <n v="6958400"/>
    <x v="2"/>
    <n v="25000"/>
    <n v="144642.36588720771"/>
    <n v="1454000"/>
    <n v="8412400"/>
    <m/>
    <s v="Время действовать"/>
    <x v="0"/>
    <x v="0"/>
    <b v="1"/>
    <s v="АГ-005-А-09-06-061"/>
    <m/>
    <s v="ДА"/>
    <s v="Чистовая"/>
    <b v="1"/>
    <n v="8412400"/>
    <n v="0"/>
    <b v="1"/>
    <d v="2025-04-02T00:00:00"/>
    <s v="Дик"/>
  </r>
  <r>
    <n v="62"/>
    <x v="0"/>
    <x v="8"/>
    <x v="6"/>
    <x v="0"/>
    <n v="18.489999999999998"/>
    <m/>
    <m/>
    <n v="18.489999999999998"/>
    <n v="13.04"/>
    <n v="3.9"/>
    <m/>
    <m/>
    <n v="5.99"/>
    <n v="2.65"/>
    <m/>
    <m/>
    <n v="2.65"/>
    <n v="44.07"/>
    <n v="41.42"/>
    <n v="42.75"/>
    <n v="83951.4375"/>
    <n v="4197.5718750000005"/>
    <n v="88149.009374999994"/>
    <n v="2644.4702812499995"/>
    <n v="90793.479656249998"/>
    <n v="3631.7391862499999"/>
    <n v="94425.218842499991"/>
    <m/>
    <n v="94425.218842499991"/>
    <n v="4721.2609421249999"/>
    <n v="99146.479784624986"/>
    <m/>
    <n v="99146.479784624986"/>
    <n v="991.46479784624989"/>
    <n v="100137.94458247123"/>
    <n v="5006.8972291235623"/>
    <n v="105144.84181159479"/>
    <m/>
    <n v="105144.84181159479"/>
    <n v="3154.3452543478434"/>
    <n v="108299.18706594263"/>
    <m/>
    <n v="108299.18706594263"/>
    <m/>
    <n v="108299.18706594263"/>
    <m/>
    <n v="108299.18706594263"/>
    <m/>
    <n v="108299.18706594263"/>
    <m/>
    <n v="108299.18706594263"/>
    <m/>
    <n v="108299.18706594263"/>
    <m/>
    <n v="108299.18706594263"/>
    <m/>
    <n v="108299.18706594263"/>
    <m/>
    <n v="108299.18706594263"/>
    <m/>
    <n v="108299.18706594263"/>
    <m/>
    <n v="108299.18706594263"/>
    <m/>
    <n v="108299.18706594263"/>
    <m/>
    <n v="108299.18706594263"/>
    <m/>
    <n v="108299.18706594263"/>
    <n v="108299.19"/>
    <n v="4629800"/>
    <m/>
    <n v="0.03"/>
    <n v="138894"/>
    <n v="105050.43274853801"/>
    <n v="4490906"/>
    <x v="2"/>
    <n v="20000"/>
    <n v="125050.43274853801"/>
    <n v="855000"/>
    <n v="5345906"/>
    <m/>
    <s v="Ветеран боевых действий"/>
    <x v="0"/>
    <x v="0"/>
    <b v="1"/>
    <s v="АГ-005-А-09-07-062"/>
    <m/>
    <s v="ДА"/>
    <s v="Чистовая"/>
    <b v="1"/>
    <n v="5345906"/>
    <n v="0"/>
    <b v="1"/>
    <d v="2024-04-30T00:00:00"/>
    <s v="Дик"/>
  </r>
  <r>
    <n v="63"/>
    <x v="0"/>
    <x v="9"/>
    <x v="0"/>
    <x v="0"/>
    <n v="14.68"/>
    <m/>
    <m/>
    <n v="14.68"/>
    <n v="9.84"/>
    <n v="3.63"/>
    <m/>
    <m/>
    <n v="4.8899999999999997"/>
    <n v="2.7"/>
    <m/>
    <m/>
    <n v="2.7"/>
    <n v="35.74"/>
    <n v="33.04"/>
    <n v="34.39"/>
    <n v="82734.75"/>
    <m/>
    <n v="82734.75"/>
    <m/>
    <n v="82734.75"/>
    <m/>
    <n v="82734.75"/>
    <m/>
    <n v="82734.75"/>
    <m/>
    <n v="82734.75"/>
    <m/>
    <n v="82734.75"/>
    <m/>
    <n v="82734.75"/>
    <m/>
    <n v="82734.75"/>
    <m/>
    <n v="82734.75"/>
    <m/>
    <n v="82734.75"/>
    <m/>
    <n v="82734.75"/>
    <m/>
    <n v="82734.75"/>
    <m/>
    <n v="82734.75"/>
    <m/>
    <n v="82734.75"/>
    <m/>
    <n v="82734.75"/>
    <m/>
    <n v="82734.75"/>
    <m/>
    <n v="82734.75"/>
    <m/>
    <n v="82734.75"/>
    <m/>
    <n v="82734.75"/>
    <m/>
    <n v="82734.75"/>
    <m/>
    <n v="82734.75"/>
    <m/>
    <n v="82734.75"/>
    <m/>
    <n v="82734.75"/>
    <m/>
    <n v="82734.75"/>
    <n v="82734.75"/>
    <n v="2845248.05"/>
    <m/>
    <n v="0.06"/>
    <n v="170714.88299999997"/>
    <n v="77770.665018900836"/>
    <n v="2674533.17"/>
    <x v="2"/>
    <n v="15500"/>
    <n v="93270.665018900836"/>
    <n v="533045"/>
    <n v="3207578.17"/>
    <s v="Хит"/>
    <s v="Ветеран боевых действий"/>
    <x v="0"/>
    <x v="0"/>
    <b v="1"/>
    <s v="АГ-005-А-10-01-063"/>
    <m/>
    <s v="НЕТ"/>
    <s v="Чистовая"/>
    <b v="1"/>
    <n v="3207578.17"/>
    <n v="0"/>
    <b v="1"/>
    <d v="2023-09-22T00:00:00"/>
    <s v="Кофанова"/>
  </r>
  <r>
    <n v="64"/>
    <x v="0"/>
    <x v="9"/>
    <x v="1"/>
    <x v="1"/>
    <n v="15.82"/>
    <n v="15.54"/>
    <m/>
    <n v="31.36"/>
    <n v="19.440000000000001"/>
    <n v="4.42"/>
    <m/>
    <n v="3.25"/>
    <n v="8.5299999999999994"/>
    <n v="3"/>
    <m/>
    <m/>
    <n v="3"/>
    <n v="70"/>
    <n v="67"/>
    <n v="68.5"/>
    <n v="84168.819000000003"/>
    <n v="4208.4409500000002"/>
    <n v="88377.259950000007"/>
    <n v="2651.3177985000002"/>
    <n v="91028.577748500014"/>
    <m/>
    <n v="91028.577748500014"/>
    <m/>
    <n v="91028.577748500014"/>
    <m/>
    <n v="91028.577748500014"/>
    <n v="-831"/>
    <n v="90197.577748500014"/>
    <n v="901.97577748500021"/>
    <n v="91099.553525985015"/>
    <n v="4554.9776762992506"/>
    <n v="95654.53120228427"/>
    <m/>
    <n v="95654.53120228427"/>
    <n v="1913.0906240456854"/>
    <n v="97567.621826329952"/>
    <m/>
    <n v="97567.621826329952"/>
    <n v="1951.3524365265991"/>
    <n v="99518.974262856558"/>
    <m/>
    <n v="99518.974262856558"/>
    <m/>
    <n v="99518.974262856558"/>
    <m/>
    <n v="99518.974262856558"/>
    <m/>
    <n v="99518.974262856558"/>
    <m/>
    <n v="99518.974262856558"/>
    <m/>
    <n v="99518.974262856558"/>
    <m/>
    <n v="99518.974262856558"/>
    <m/>
    <n v="99518.974262856558"/>
    <m/>
    <n v="99518.974262856558"/>
    <m/>
    <n v="99518.974262856558"/>
    <m/>
    <n v="99518.974262856558"/>
    <m/>
    <n v="99518.974262856558"/>
    <n v="99518.97"/>
    <n v="6817100"/>
    <n v="100000"/>
    <m/>
    <n v="100000"/>
    <n v="98059.854014598546"/>
    <n v="6717100"/>
    <x v="3"/>
    <n v="7000"/>
    <n v="105059.85401459855"/>
    <n v="479500"/>
    <n v="7196600"/>
    <m/>
    <s v="Скидка мед работнику"/>
    <x v="0"/>
    <x v="0"/>
    <b v="1"/>
    <s v="АГ-005-А-10-02-064"/>
    <m/>
    <s v="ДА"/>
    <s v="White Box"/>
    <b v="1"/>
    <n v="7196600"/>
    <n v="0"/>
    <b v="1"/>
    <d v="2024-06-21T00:00:00"/>
    <s v="Полехович"/>
  </r>
  <r>
    <n v="65"/>
    <x v="0"/>
    <x v="9"/>
    <x v="2"/>
    <x v="0"/>
    <n v="13.6"/>
    <m/>
    <m/>
    <n v="13.6"/>
    <n v="14.97"/>
    <n v="4.1100000000000003"/>
    <m/>
    <m/>
    <n v="3.7"/>
    <n v="2.69"/>
    <m/>
    <m/>
    <n v="2.69"/>
    <n v="39.07"/>
    <n v="36.380000000000003"/>
    <n v="37.729999999999997"/>
    <n v="87601.5"/>
    <n v="4380.0749999999998"/>
    <n v="91981.574999999997"/>
    <n v="2759.4472499999997"/>
    <n v="94741.022249999995"/>
    <n v="6631.8715575000006"/>
    <n v="101372.89380749999"/>
    <m/>
    <n v="101372.89380749999"/>
    <n v="5068.6446903750002"/>
    <n v="106441.53849787499"/>
    <m/>
    <n v="106441.53849787499"/>
    <n v="1064.4153849787499"/>
    <n v="107505.95388285375"/>
    <n v="5375.2976941426878"/>
    <n v="112881.25157699644"/>
    <m/>
    <n v="112881.25157699644"/>
    <n v="3386.437547309893"/>
    <n v="116267.68912430633"/>
    <m/>
    <n v="116267.68912430633"/>
    <m/>
    <n v="116267.68912430633"/>
    <m/>
    <n v="116267.68912430633"/>
    <m/>
    <n v="116267.68912430633"/>
    <n v="2325.3537824861264"/>
    <n v="118593.04290679246"/>
    <n v="1185.9304290679245"/>
    <n v="119778.97333586038"/>
    <m/>
    <n v="119778.97333586038"/>
    <n v="2994.4743333965098"/>
    <n v="122773.4476692569"/>
    <n v="500"/>
    <n v="123273.4476692569"/>
    <m/>
    <n v="123273.4476692569"/>
    <n v="6163.6723834628456"/>
    <n v="129437.12005271975"/>
    <n v="16826.825606853567"/>
    <n v="146263.94565957331"/>
    <n v="35"/>
    <n v="146298.94565957331"/>
    <n v="1462.9894565957331"/>
    <n v="147761.93511616904"/>
    <n v="147761.94"/>
    <n v="5575100"/>
    <m/>
    <m/>
    <n v="0"/>
    <n v="147763.05327325736"/>
    <n v="5575100"/>
    <x v="3"/>
    <n v="10000"/>
    <n v="157763.05327325736"/>
    <n v="377300"/>
    <n v="5952400"/>
    <m/>
    <m/>
    <x v="1"/>
    <x v="1"/>
    <b v="1"/>
    <s v="АГ-005-А-10-03-065"/>
    <m/>
    <s v="ДА"/>
    <s v="White Box"/>
    <b v="1"/>
    <n v="5952400"/>
    <n v="0"/>
    <b v="1"/>
    <s v=" "/>
    <s v=""/>
  </r>
  <r>
    <n v="66"/>
    <x v="0"/>
    <x v="9"/>
    <x v="3"/>
    <x v="1"/>
    <n v="16.61"/>
    <n v="11.38"/>
    <m/>
    <n v="27.990000000000002"/>
    <n v="14.58"/>
    <n v="4.34"/>
    <n v="2.08"/>
    <m/>
    <n v="8.82"/>
    <n v="2.56"/>
    <m/>
    <m/>
    <n v="2.56"/>
    <n v="60.37"/>
    <n v="57.81"/>
    <n v="59.09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n v="958.28704059430083"/>
    <n v="96786.991100024374"/>
    <m/>
    <n v="96786.991100024374"/>
    <m/>
    <n v="96786.991100024374"/>
    <m/>
    <n v="96786.991100024374"/>
    <n v="1451.8048665003655"/>
    <n v="98238.795966524733"/>
    <m/>
    <n v="98238.795966524733"/>
    <m/>
    <n v="98238.795966524733"/>
    <m/>
    <n v="98238.795966524733"/>
    <m/>
    <n v="98238.795966524733"/>
    <m/>
    <n v="98238.795966524733"/>
    <m/>
    <n v="98238.795966524733"/>
    <n v="98238.8"/>
    <n v="5805000"/>
    <m/>
    <n v="0.02"/>
    <n v="116100"/>
    <n v="96275.173464207139"/>
    <n v="5688900"/>
    <x v="1"/>
    <m/>
    <n v="96275.173464207139"/>
    <n v="0"/>
    <n v="5688900"/>
    <m/>
    <s v="Индивидуальная скидка"/>
    <x v="0"/>
    <x v="0"/>
    <b v="1"/>
    <s v="АГ-005-А-10-04-066"/>
    <m/>
    <s v="ДА"/>
    <s v="Черновая"/>
    <b v="1"/>
    <n v="5688900"/>
    <n v="0"/>
    <b v="1"/>
    <d v="2024-10-24T00:00:00"/>
    <s v="Никишов"/>
  </r>
  <r>
    <n v="67"/>
    <x v="0"/>
    <x v="9"/>
    <x v="4"/>
    <x v="1"/>
    <n v="16.46"/>
    <n v="12.47"/>
    <m/>
    <n v="28.93"/>
    <n v="18"/>
    <n v="4.3499999999999996"/>
    <n v="1.55"/>
    <m/>
    <n v="8"/>
    <n v="2.67"/>
    <m/>
    <m/>
    <n v="2.67"/>
    <n v="63.5"/>
    <n v="60.83"/>
    <n v="62.17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m/>
    <n v="95828.704059430078"/>
    <n v="1916.5740811886017"/>
    <n v="97745.278140618684"/>
    <n v="488.72639070309344"/>
    <n v="98234.004531321771"/>
    <m/>
    <n v="98234.004531321771"/>
    <n v="1473.5100679698264"/>
    <n v="99707.514599291593"/>
    <m/>
    <n v="99707.514599291593"/>
    <n v="3988.3005839716639"/>
    <n v="103695.81518326326"/>
    <n v="6221.7489109957951"/>
    <n v="109917.56409425905"/>
    <n v="14289.283332253677"/>
    <n v="124206.84742651273"/>
    <n v="35"/>
    <n v="124241.84742651273"/>
    <m/>
    <n v="124241.84742651273"/>
    <n v="124241.85"/>
    <n v="7724200"/>
    <m/>
    <m/>
    <n v="0"/>
    <n v="124243.20411774167"/>
    <n v="7724200"/>
    <x v="3"/>
    <n v="10000"/>
    <n v="134243.20411774167"/>
    <n v="621700"/>
    <n v="8345900"/>
    <m/>
    <m/>
    <x v="1"/>
    <x v="1"/>
    <b v="1"/>
    <s v="АГ-005-А-10-05-067"/>
    <m/>
    <s v="ДА"/>
    <s v="White Box"/>
    <b v="1"/>
    <n v="8345900"/>
    <n v="0"/>
    <b v="1"/>
    <s v=" "/>
    <s v=""/>
  </r>
  <r>
    <n v="68"/>
    <x v="0"/>
    <x v="9"/>
    <x v="5"/>
    <x v="1"/>
    <n v="14.64"/>
    <n v="10.74"/>
    <m/>
    <n v="25.380000000000003"/>
    <n v="14.35"/>
    <n v="4.16"/>
    <n v="1.93"/>
    <m/>
    <n v="11.03"/>
    <n v="2.6219999999999999"/>
    <m/>
    <m/>
    <n v="2.6219999999999999"/>
    <n v="59.47"/>
    <n v="56.85"/>
    <n v="58.16"/>
    <n v="81466.150500000003"/>
    <n v="4073.3075250000002"/>
    <n v="85539.458025"/>
    <n v="2566.1837407499997"/>
    <n v="88105.641765749999"/>
    <m/>
    <n v="88105.641765749999"/>
    <m/>
    <n v="88105.641765749999"/>
    <m/>
    <n v="88105.641765749999"/>
    <m/>
    <n v="88105.641765749999"/>
    <n v="881.05641765749999"/>
    <n v="88986.698183407498"/>
    <n v="4449.3349091703749"/>
    <n v="93436.033092577869"/>
    <m/>
    <n v="93436.033092577869"/>
    <n v="1868.7206618515575"/>
    <n v="95304.753754429432"/>
    <m/>
    <n v="95304.753754429432"/>
    <n v="1906.0950750885886"/>
    <n v="97210.848829518014"/>
    <m/>
    <n v="97210.848829518014"/>
    <m/>
    <n v="97210.848829518014"/>
    <m/>
    <n v="97210.848829518014"/>
    <m/>
    <n v="97210.848829518014"/>
    <m/>
    <n v="97210.848829518014"/>
    <m/>
    <n v="97210.848829518014"/>
    <m/>
    <n v="97210.848829518014"/>
    <m/>
    <n v="97210.848829518014"/>
    <m/>
    <n v="97210.848829518014"/>
    <m/>
    <n v="97210.848829518014"/>
    <m/>
    <n v="97210.848829518014"/>
    <m/>
    <n v="97210.848829518014"/>
    <n v="97210.85"/>
    <n v="5653800"/>
    <m/>
    <m/>
    <n v="0"/>
    <n v="97211.141678129308"/>
    <n v="5653800"/>
    <x v="2"/>
    <n v="20000"/>
    <n v="117211.14167812931"/>
    <n v="1163200"/>
    <n v="6817000"/>
    <m/>
    <m/>
    <x v="0"/>
    <x v="0"/>
    <b v="1"/>
    <s v="АГ-005-А-10-06-068"/>
    <m/>
    <s v="ДА"/>
    <s v="Чистовая"/>
    <b v="1"/>
    <n v="6817000"/>
    <n v="0"/>
    <b v="1"/>
    <d v="2024-06-04T00:00:00"/>
    <s v="Дик"/>
  </r>
  <r>
    <n v="69"/>
    <x v="0"/>
    <x v="9"/>
    <x v="6"/>
    <x v="0"/>
    <n v="18.489999999999998"/>
    <m/>
    <m/>
    <n v="18.489999999999998"/>
    <n v="13.04"/>
    <n v="3.9"/>
    <m/>
    <m/>
    <n v="5.99"/>
    <n v="2.65"/>
    <m/>
    <m/>
    <n v="2.65"/>
    <n v="44.07"/>
    <n v="41.42"/>
    <n v="42.75"/>
    <n v="83951.4375"/>
    <n v="4197.5718750000005"/>
    <n v="88149.009374999994"/>
    <n v="2644.4702812499995"/>
    <n v="90793.479656249998"/>
    <n v="3631.7391862499999"/>
    <n v="94425.218842499991"/>
    <m/>
    <n v="94425.218842499991"/>
    <n v="4721.2609421249999"/>
    <n v="99146.479784624986"/>
    <m/>
    <n v="99146.479784624986"/>
    <n v="991.46479784624989"/>
    <n v="100137.94458247123"/>
    <n v="5006.8972291235623"/>
    <n v="105144.84181159479"/>
    <m/>
    <n v="105144.84181159479"/>
    <n v="3154.3452543478434"/>
    <n v="108299.18706594263"/>
    <m/>
    <n v="108299.18706594263"/>
    <m/>
    <n v="108299.18706594263"/>
    <m/>
    <n v="108299.18706594263"/>
    <m/>
    <n v="108299.18706594263"/>
    <m/>
    <n v="108299.18706594263"/>
    <n v="541.49593532971323"/>
    <n v="108840.68300127235"/>
    <m/>
    <n v="108840.68300127235"/>
    <n v="1632.6102450190851"/>
    <n v="110473.29324629143"/>
    <m/>
    <n v="110473.29324629143"/>
    <m/>
    <n v="110473.29324629143"/>
    <n v="8837.8634597033142"/>
    <n v="119311.15670599474"/>
    <n v="15510.450371779318"/>
    <n v="134821.60707777407"/>
    <n v="35"/>
    <n v="134856.60707777407"/>
    <m/>
    <n v="134856.60707777407"/>
    <n v="134856.60999999999"/>
    <n v="5765200"/>
    <n v="342000"/>
    <m/>
    <n v="342000"/>
    <n v="126858.47953216374"/>
    <n v="5423200"/>
    <x v="1"/>
    <m/>
    <n v="126858.47953216374"/>
    <n v="0"/>
    <n v="5423200"/>
    <m/>
    <s v="Большие скидки на маленькие квартиры"/>
    <x v="2"/>
    <x v="2"/>
    <b v="1"/>
    <s v="АГ-005-А-10-07-069"/>
    <m/>
    <s v="ДА"/>
    <s v="Черновая"/>
    <b v="1"/>
    <n v="5423200"/>
    <n v="0"/>
    <b v="1"/>
    <s v=" "/>
    <s v=""/>
  </r>
  <r>
    <n v="70"/>
    <x v="0"/>
    <x v="10"/>
    <x v="0"/>
    <x v="0"/>
    <n v="14.68"/>
    <m/>
    <m/>
    <n v="14.68"/>
    <n v="9.84"/>
    <n v="3.63"/>
    <m/>
    <m/>
    <n v="4.8899999999999997"/>
    <n v="2.7"/>
    <m/>
    <m/>
    <n v="2.7"/>
    <n v="35.74"/>
    <n v="33.04"/>
    <n v="34.39"/>
    <n v="82734.75"/>
    <n v="4136.7375000000002"/>
    <n v="86871.487500000003"/>
    <n v="2606.1446249999999"/>
    <n v="89477.632125000004"/>
    <n v="12526.868497500001"/>
    <n v="102004.50062250001"/>
    <m/>
    <n v="102004.50062250001"/>
    <n v="5100.2250311250009"/>
    <n v="107104.72565362501"/>
    <m/>
    <n v="107104.72565362501"/>
    <n v="1071.0472565362502"/>
    <n v="108175.77291016125"/>
    <n v="5408.7886455080625"/>
    <n v="113584.56155566931"/>
    <m/>
    <n v="113584.56155566931"/>
    <n v="3407.5368466700793"/>
    <n v="116992.09840233938"/>
    <m/>
    <n v="116992.09840233938"/>
    <m/>
    <n v="116992.09840233938"/>
    <m/>
    <n v="116992.09840233938"/>
    <m/>
    <n v="116992.09840233938"/>
    <m/>
    <n v="116992.09840233938"/>
    <m/>
    <n v="116992.09840233938"/>
    <m/>
    <n v="116992.09840233938"/>
    <m/>
    <n v="116992.09840233938"/>
    <m/>
    <n v="116992.09840233938"/>
    <m/>
    <n v="116992.09840233938"/>
    <m/>
    <n v="116992.09840233938"/>
    <m/>
    <n v="116992.09840233938"/>
    <m/>
    <n v="116992.09840233938"/>
    <m/>
    <n v="116992.09840233938"/>
    <n v="116992.1"/>
    <n v="4023400"/>
    <n v="88888"/>
    <m/>
    <n v="88888"/>
    <n v="114408.60715324222"/>
    <n v="3934512"/>
    <x v="2"/>
    <n v="20000"/>
    <n v="134408.60715324222"/>
    <n v="687800"/>
    <n v="4622312"/>
    <s v="Хит"/>
    <s v="Весна"/>
    <x v="0"/>
    <x v="0"/>
    <b v="1"/>
    <s v="АГ-005-А-11-01-070"/>
    <m/>
    <s v="ДА"/>
    <s v="Чистовая"/>
    <b v="1"/>
    <n v="4622312"/>
    <n v="0"/>
    <b v="1"/>
    <d v="2024-03-26T00:00:00"/>
    <s v="Полехович"/>
  </r>
  <r>
    <n v="71"/>
    <x v="0"/>
    <x v="10"/>
    <x v="1"/>
    <x v="1"/>
    <n v="15.82"/>
    <n v="15.54"/>
    <m/>
    <n v="31.36"/>
    <n v="19.440000000000001"/>
    <n v="4.42"/>
    <m/>
    <n v="3.25"/>
    <n v="8.5299999999999994"/>
    <n v="3"/>
    <m/>
    <m/>
    <n v="3"/>
    <n v="70"/>
    <n v="67"/>
    <n v="68.5"/>
    <n v="84168.819000000003"/>
    <n v="4208.4409500000002"/>
    <n v="88377.259950000007"/>
    <n v="2651.3177985000002"/>
    <n v="91028.577748500014"/>
    <m/>
    <n v="91028.577748500014"/>
    <m/>
    <n v="91028.577748500014"/>
    <m/>
    <n v="91028.577748500014"/>
    <n v="-831"/>
    <n v="90197.577748500014"/>
    <n v="901.97577748500021"/>
    <n v="91099.553525985015"/>
    <n v="4554.9776762992506"/>
    <n v="95654.53120228427"/>
    <m/>
    <n v="95654.53120228427"/>
    <n v="1913.0906240456854"/>
    <n v="97567.621826329952"/>
    <m/>
    <n v="97567.621826329952"/>
    <n v="1951.3524365265991"/>
    <n v="99518.974262856558"/>
    <m/>
    <n v="99518.974262856558"/>
    <m/>
    <n v="99518.974262856558"/>
    <m/>
    <n v="99518.974262856558"/>
    <m/>
    <n v="99518.974262856558"/>
    <m/>
    <n v="99518.974262856558"/>
    <n v="497.59487131428278"/>
    <n v="100016.56913417084"/>
    <m/>
    <n v="100016.56913417084"/>
    <m/>
    <n v="100016.56913417084"/>
    <n v="6000.9941480502503"/>
    <n v="106017.56328222109"/>
    <n v="13782.283226688742"/>
    <n v="119799.84650890983"/>
    <n v="35"/>
    <n v="119834.84650890983"/>
    <m/>
    <n v="119834.84650890983"/>
    <n v="119834.85"/>
    <n v="8208700"/>
    <m/>
    <m/>
    <n v="0"/>
    <n v="119835.03649635037"/>
    <n v="8208700"/>
    <x v="1"/>
    <m/>
    <n v="119835.03649635037"/>
    <n v="0"/>
    <n v="8208700"/>
    <m/>
    <m/>
    <x v="1"/>
    <x v="1"/>
    <b v="1"/>
    <s v="АГ-005-А-11-02-071"/>
    <m/>
    <s v="ДА"/>
    <s v="Черновая"/>
    <b v="1"/>
    <n v="8208700"/>
    <n v="0"/>
    <b v="1"/>
    <s v=" "/>
    <s v=""/>
  </r>
  <r>
    <n v="72"/>
    <x v="0"/>
    <x v="10"/>
    <x v="2"/>
    <x v="0"/>
    <n v="13.6"/>
    <m/>
    <m/>
    <n v="13.6"/>
    <n v="14.97"/>
    <n v="4.1100000000000003"/>
    <m/>
    <m/>
    <n v="3.7"/>
    <n v="2.69"/>
    <m/>
    <m/>
    <n v="2.69"/>
    <n v="39.07"/>
    <n v="36.380000000000003"/>
    <n v="37.729999999999997"/>
    <n v="87601.5"/>
    <n v="4380.0749999999998"/>
    <n v="91981.574999999997"/>
    <n v="2759.4472499999997"/>
    <n v="94741.022249999995"/>
    <n v="6631.8715575000006"/>
    <n v="101372.89380749999"/>
    <m/>
    <n v="101372.89380749999"/>
    <n v="5068.6446903750002"/>
    <n v="106441.53849787499"/>
    <m/>
    <n v="106441.53849787499"/>
    <n v="1064.4153849787499"/>
    <n v="107505.95388285375"/>
    <n v="5375.2976941426878"/>
    <n v="112881.25157699644"/>
    <m/>
    <n v="112881.25157699644"/>
    <n v="3386.437547309893"/>
    <n v="116267.68912430633"/>
    <m/>
    <n v="116267.68912430633"/>
    <m/>
    <n v="116267.68912430633"/>
    <m/>
    <n v="116267.68912430633"/>
    <m/>
    <n v="116267.68912430633"/>
    <n v="2325.3537824861264"/>
    <n v="118593.04290679246"/>
    <n v="1185.9304290679245"/>
    <n v="119778.97333586038"/>
    <m/>
    <n v="119778.97333586038"/>
    <n v="2994.4743333965098"/>
    <n v="122773.4476692569"/>
    <n v="500"/>
    <n v="123273.4476692569"/>
    <m/>
    <n v="123273.4476692569"/>
    <n v="6163.6723834628456"/>
    <n v="129437.12005271975"/>
    <n v="16826.825606853567"/>
    <n v="146263.94565957331"/>
    <m/>
    <n v="146263.94565957331"/>
    <m/>
    <n v="146263.94565957331"/>
    <n v="146263.95000000001"/>
    <n v="5518600"/>
    <m/>
    <n v="0.02"/>
    <n v="110372"/>
    <n v="143340.25974025976"/>
    <n v="5408228"/>
    <x v="2"/>
    <n v="25000"/>
    <n v="168340.25974025976"/>
    <n v="943250"/>
    <n v="6351478"/>
    <m/>
    <s v="Скидка иногородним"/>
    <x v="0"/>
    <x v="0"/>
    <b v="1"/>
    <s v="АГ-005-А-11-03-072"/>
    <m/>
    <s v="ДА"/>
    <s v="Чистовая"/>
    <b v="1"/>
    <n v="6351478"/>
    <n v="0"/>
    <b v="1"/>
    <d v="2025-02-12T00:00:00"/>
    <s v="Нуждина"/>
  </r>
  <r>
    <n v="73"/>
    <x v="0"/>
    <x v="10"/>
    <x v="3"/>
    <x v="1"/>
    <n v="16.61"/>
    <n v="11.38"/>
    <m/>
    <n v="27.990000000000002"/>
    <n v="14.58"/>
    <n v="4.34"/>
    <n v="2.08"/>
    <m/>
    <n v="8.82"/>
    <n v="2.56"/>
    <m/>
    <m/>
    <n v="2.56"/>
    <n v="60.37"/>
    <n v="57.81"/>
    <n v="59.09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n v="95828.7"/>
    <n v="5662600"/>
    <n v="88888"/>
    <m/>
    <n v="88888"/>
    <n v="94325.808089355211"/>
    <n v="5573712"/>
    <x v="3"/>
    <n v="7000"/>
    <n v="101325.80808935521"/>
    <n v="413630"/>
    <n v="5987342"/>
    <m/>
    <s v="Весна"/>
    <x v="0"/>
    <x v="0"/>
    <b v="1"/>
    <s v="АГ-005-А-11-04-073"/>
    <m/>
    <s v="ДА"/>
    <s v="White Box"/>
    <b v="1"/>
    <n v="5987342"/>
    <n v="0"/>
    <b v="1"/>
    <d v="2024-04-13T00:00:00"/>
    <s v="Полехович"/>
  </r>
  <r>
    <n v="74"/>
    <x v="0"/>
    <x v="10"/>
    <x v="4"/>
    <x v="1"/>
    <n v="16.46"/>
    <n v="12.47"/>
    <m/>
    <n v="28.93"/>
    <n v="18"/>
    <n v="4.3499999999999996"/>
    <n v="1.55"/>
    <m/>
    <n v="8"/>
    <n v="2.67"/>
    <m/>
    <m/>
    <n v="2.67"/>
    <n v="63.5"/>
    <n v="60.83"/>
    <n v="62.17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m/>
    <n v="95828.704059430078"/>
    <n v="1916.5740811886017"/>
    <n v="97745.278140618684"/>
    <n v="488.72639070309344"/>
    <n v="98234.004531321771"/>
    <m/>
    <n v="98234.004531321771"/>
    <n v="1473.5100679698264"/>
    <n v="99707.514599291593"/>
    <m/>
    <n v="99707.514599291593"/>
    <n v="3988.3005839716639"/>
    <n v="103695.81518326326"/>
    <n v="6221.7489109957951"/>
    <n v="109917.56409425905"/>
    <n v="14289.283332253677"/>
    <n v="124206.84742651273"/>
    <n v="35"/>
    <n v="124241.84742651273"/>
    <m/>
    <n v="124241.84742651273"/>
    <n v="124241.85"/>
    <n v="7724200"/>
    <n v="636820"/>
    <m/>
    <n v="636820"/>
    <n v="114000"/>
    <n v="7087380"/>
    <x v="1"/>
    <m/>
    <n v="114000"/>
    <n v="0"/>
    <n v="7087380"/>
    <m/>
    <s v="Скидка новоселам"/>
    <x v="2"/>
    <x v="2"/>
    <b v="1"/>
    <s v="АГ-005-А-11-05-074"/>
    <m/>
    <s v="ДА"/>
    <s v="Черновая"/>
    <b v="1"/>
    <n v="7087380"/>
    <n v="0"/>
    <b v="1"/>
    <s v=" "/>
    <s v=""/>
  </r>
  <r>
    <n v="75"/>
    <x v="0"/>
    <x v="10"/>
    <x v="5"/>
    <x v="1"/>
    <n v="14.64"/>
    <n v="10.74"/>
    <m/>
    <n v="25.380000000000003"/>
    <n v="14.35"/>
    <n v="4.16"/>
    <n v="1.93"/>
    <m/>
    <n v="11.03"/>
    <n v="2.6219999999999999"/>
    <m/>
    <m/>
    <n v="2.6219999999999999"/>
    <n v="59.47"/>
    <n v="56.85"/>
    <n v="58.16"/>
    <n v="81466.150500000003"/>
    <n v="4073.3075250000002"/>
    <n v="85539.458025"/>
    <n v="2566.1837407499997"/>
    <n v="88105.641765749999"/>
    <m/>
    <n v="88105.641765749999"/>
    <m/>
    <n v="88105.641765749999"/>
    <m/>
    <n v="88105.641765749999"/>
    <m/>
    <n v="88105.641765749999"/>
    <n v="881.05641765749999"/>
    <n v="88986.698183407498"/>
    <n v="4449.3349091703749"/>
    <n v="93436.033092577869"/>
    <m/>
    <n v="93436.033092577869"/>
    <n v="1868.7206618515575"/>
    <n v="95304.753754429432"/>
    <m/>
    <n v="95304.753754429432"/>
    <n v="1906.0950750885886"/>
    <n v="97210.848829518014"/>
    <m/>
    <n v="97210.848829518014"/>
    <n v="972.10848829518011"/>
    <n v="98182.957317813198"/>
    <m/>
    <n v="98182.957317813198"/>
    <m/>
    <n v="98182.957317813198"/>
    <m/>
    <n v="98182.957317813198"/>
    <n v="1472.7443597671979"/>
    <n v="99655.701677580393"/>
    <n v="500"/>
    <n v="100155.70167758039"/>
    <n v="4006.2280671032158"/>
    <n v="104161.92974468361"/>
    <n v="6249.7157846810169"/>
    <n v="110411.64552936463"/>
    <n v="14353.513918817402"/>
    <n v="124765.15944818204"/>
    <n v="35"/>
    <n v="124800.15944818204"/>
    <m/>
    <n v="124800.15944818204"/>
    <n v="124800.16"/>
    <n v="7258400"/>
    <m/>
    <m/>
    <n v="0"/>
    <n v="124800.55020632737"/>
    <n v="7258400"/>
    <x v="1"/>
    <m/>
    <n v="124800.55020632737"/>
    <n v="0"/>
    <n v="7258400"/>
    <m/>
    <m/>
    <x v="1"/>
    <x v="1"/>
    <b v="1"/>
    <s v="АГ-005-А-11-06-075"/>
    <m/>
    <s v="ДА"/>
    <s v="Черновая"/>
    <b v="1"/>
    <n v="7258400"/>
    <n v="0"/>
    <b v="1"/>
    <s v=" "/>
    <s v=""/>
  </r>
  <r>
    <n v="76"/>
    <x v="0"/>
    <x v="10"/>
    <x v="6"/>
    <x v="0"/>
    <n v="18.489999999999998"/>
    <m/>
    <m/>
    <n v="18.489999999999998"/>
    <n v="13.04"/>
    <n v="3.9"/>
    <m/>
    <m/>
    <n v="5.99"/>
    <n v="2.65"/>
    <m/>
    <m/>
    <n v="2.65"/>
    <n v="44.07"/>
    <n v="41.42"/>
    <n v="42.75"/>
    <n v="83951.4375"/>
    <n v="4197.5718750000005"/>
    <n v="88149.009374999994"/>
    <n v="2644.4702812499995"/>
    <n v="90793.479656249998"/>
    <n v="3631.7391862499999"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n v="94425.22"/>
    <n v="4036678.16"/>
    <m/>
    <n v="0.02"/>
    <n v="80733.563200000004"/>
    <n v="92536.715789473688"/>
    <n v="3955944.6"/>
    <x v="0"/>
    <n v="7500"/>
    <n v="100036.71578947369"/>
    <n v="320625.00000000047"/>
    <n v="4276569.6000000006"/>
    <m/>
    <s v="Наличные"/>
    <x v="0"/>
    <x v="0"/>
    <b v="1"/>
    <s v="АГ-005-А-11-07-076"/>
    <m/>
    <s v="НЕТ"/>
    <s v="Предчистовая"/>
    <b v="1"/>
    <n v="4276569.5999999996"/>
    <n v="-9.3132257461547852E-10"/>
    <b v="1"/>
    <d v="2023-11-21T00:00:00"/>
    <s v="Полехович"/>
  </r>
  <r>
    <n v="77"/>
    <x v="0"/>
    <x v="11"/>
    <x v="0"/>
    <x v="0"/>
    <n v="14.68"/>
    <m/>
    <m/>
    <n v="14.68"/>
    <n v="9.84"/>
    <n v="3.63"/>
    <m/>
    <m/>
    <n v="4.8899999999999997"/>
    <n v="2.7"/>
    <m/>
    <m/>
    <n v="2.7"/>
    <n v="35.74"/>
    <n v="33.04"/>
    <n v="34.39"/>
    <n v="82734.75"/>
    <n v="4136.7375000000002"/>
    <n v="86871.487500000003"/>
    <n v="2606.1446249999999"/>
    <n v="89477.632125000004"/>
    <n v="12526.868497500001"/>
    <n v="102004.50062250001"/>
    <m/>
    <n v="102004.50062250001"/>
    <n v="5100.2250311250009"/>
    <n v="107104.72565362501"/>
    <m/>
    <n v="107104.72565362501"/>
    <n v="1071.0472565362502"/>
    <n v="108175.77291016125"/>
    <n v="5408.7886455080625"/>
    <n v="113584.56155566931"/>
    <m/>
    <n v="113584.56155566931"/>
    <n v="3407.5368466700793"/>
    <n v="116992.09840233938"/>
    <m/>
    <n v="116992.09840233938"/>
    <m/>
    <n v="116992.09840233938"/>
    <m/>
    <n v="116992.09840233938"/>
    <m/>
    <n v="116992.09840233938"/>
    <n v="2339.8419680467878"/>
    <n v="119331.94037038618"/>
    <m/>
    <n v="119331.94037038618"/>
    <m/>
    <n v="119331.94037038618"/>
    <n v="2983.2985092596546"/>
    <n v="122315.23887964583"/>
    <m/>
    <n v="122315.23887964583"/>
    <n v="2446.3047775929167"/>
    <n v="124761.54365723874"/>
    <m/>
    <n v="124761.54365723874"/>
    <m/>
    <n v="124761.54365723874"/>
    <m/>
    <n v="124761.54365723874"/>
    <m/>
    <n v="124761.54365723874"/>
    <n v="124761.54"/>
    <n v="4290600"/>
    <m/>
    <n v="0.02"/>
    <n v="85812"/>
    <n v="122267.75225356208"/>
    <n v="4204788"/>
    <x v="3"/>
    <n v="8000"/>
    <n v="130267.75225356208"/>
    <n v="275120"/>
    <n v="4479908"/>
    <s v="Хит"/>
    <s v="Скидка иногородним"/>
    <x v="0"/>
    <x v="0"/>
    <b v="1"/>
    <s v="АГ-005-А-12-01-077"/>
    <m/>
    <s v="ДА"/>
    <s v="White Box"/>
    <b v="1"/>
    <n v="4479908"/>
    <n v="0"/>
    <b v="1"/>
    <d v="2024-10-24T00:00:00"/>
    <s v="Дик"/>
  </r>
  <r>
    <n v="78"/>
    <x v="0"/>
    <x v="11"/>
    <x v="1"/>
    <x v="1"/>
    <n v="15.82"/>
    <n v="15.54"/>
    <m/>
    <n v="31.36"/>
    <n v="19.440000000000001"/>
    <n v="4.42"/>
    <m/>
    <n v="3.25"/>
    <n v="8.5299999999999994"/>
    <n v="3"/>
    <m/>
    <m/>
    <n v="3"/>
    <n v="70"/>
    <n v="67"/>
    <n v="68.5"/>
    <n v="84168.819000000003"/>
    <n v="4208.4409500000002"/>
    <n v="88377.259950000007"/>
    <n v="2651.3177985000002"/>
    <n v="91028.577748500014"/>
    <m/>
    <n v="91028.577748500014"/>
    <m/>
    <n v="91028.577748500014"/>
    <m/>
    <n v="91028.577748500014"/>
    <n v="-831"/>
    <n v="90197.577748500014"/>
    <n v="901.97577748500021"/>
    <n v="91099.553525985015"/>
    <n v="4554.9776762992506"/>
    <n v="95654.53120228427"/>
    <m/>
    <n v="95654.53120228427"/>
    <n v="1913.0906240456854"/>
    <n v="97567.621826329952"/>
    <m/>
    <n v="97567.621826329952"/>
    <n v="1951.3524365265991"/>
    <n v="99518.974262856558"/>
    <m/>
    <n v="99518.974262856558"/>
    <m/>
    <n v="99518.974262856558"/>
    <m/>
    <n v="99518.974262856558"/>
    <m/>
    <n v="99518.974262856558"/>
    <m/>
    <n v="99518.974262856558"/>
    <n v="497.59487131428278"/>
    <n v="100016.56913417084"/>
    <m/>
    <n v="100016.56913417084"/>
    <m/>
    <n v="100016.56913417084"/>
    <n v="6000.9941480502503"/>
    <n v="106017.56328222109"/>
    <n v="13782.283226688742"/>
    <n v="119799.84650890983"/>
    <n v="35"/>
    <n v="119834.84650890983"/>
    <m/>
    <n v="119834.84650890983"/>
    <n v="119834.85"/>
    <n v="8208700"/>
    <m/>
    <m/>
    <n v="0"/>
    <n v="119835.03649635037"/>
    <n v="8208700"/>
    <x v="3"/>
    <n v="10000"/>
    <n v="129835.03649635037"/>
    <n v="685000"/>
    <n v="8893700"/>
    <m/>
    <m/>
    <x v="1"/>
    <x v="1"/>
    <b v="1"/>
    <s v="АГ-005-А-12-02-078"/>
    <m/>
    <s v="ДА"/>
    <s v="White Box"/>
    <b v="1"/>
    <n v="8893700"/>
    <n v="0"/>
    <b v="1"/>
    <s v=" "/>
    <s v=""/>
  </r>
  <r>
    <n v="79"/>
    <x v="0"/>
    <x v="11"/>
    <x v="2"/>
    <x v="0"/>
    <n v="13.6"/>
    <m/>
    <m/>
    <n v="13.6"/>
    <n v="14.97"/>
    <n v="4.1100000000000003"/>
    <m/>
    <m/>
    <n v="3.7"/>
    <n v="2.69"/>
    <m/>
    <m/>
    <n v="2.69"/>
    <n v="39.07"/>
    <n v="36.380000000000003"/>
    <n v="37.729999999999997"/>
    <n v="87601.5"/>
    <n v="4380.0749999999998"/>
    <n v="91981.574999999997"/>
    <n v="2759.4472499999997"/>
    <n v="94741.022249999995"/>
    <n v="6631.8715575000006"/>
    <n v="101372.89380749999"/>
    <m/>
    <n v="101372.89380749999"/>
    <n v="5068.6446903750002"/>
    <n v="106441.53849787499"/>
    <m/>
    <n v="106441.53849787499"/>
    <n v="1064.4153849787499"/>
    <n v="107505.95388285375"/>
    <n v="5375.2976941426878"/>
    <n v="112881.25157699644"/>
    <m/>
    <n v="112881.25157699644"/>
    <n v="3386.437547309893"/>
    <n v="116267.68912430633"/>
    <m/>
    <n v="116267.68912430633"/>
    <m/>
    <n v="116267.68912430633"/>
    <m/>
    <n v="116267.68912430633"/>
    <m/>
    <n v="116267.68912430633"/>
    <n v="2325.3537824861264"/>
    <n v="118593.04290679246"/>
    <n v="1185.9304290679245"/>
    <n v="119778.97333586038"/>
    <m/>
    <n v="119778.97333586038"/>
    <m/>
    <n v="119778.97333586038"/>
    <m/>
    <n v="119778.97333586038"/>
    <m/>
    <n v="119778.97333586038"/>
    <m/>
    <n v="119778.97333586038"/>
    <m/>
    <n v="119778.97333586038"/>
    <m/>
    <n v="119778.97333586038"/>
    <m/>
    <n v="119778.97333586038"/>
    <n v="119778.97"/>
    <n v="4519300"/>
    <m/>
    <m/>
    <n v="0"/>
    <n v="119780.01590246489"/>
    <n v="4519300"/>
    <x v="2"/>
    <n v="20000"/>
    <n v="139780.01590246489"/>
    <n v="754600"/>
    <n v="5273900"/>
    <m/>
    <m/>
    <x v="0"/>
    <x v="0"/>
    <b v="1"/>
    <s v="АГ-005-А-12-03-079"/>
    <m/>
    <s v="ДА"/>
    <s v="Чистовая"/>
    <b v="1"/>
    <n v="5273900"/>
    <n v="0"/>
    <b v="1"/>
    <d v="2024-06-20T00:00:00"/>
    <s v="Дик"/>
  </r>
  <r>
    <n v="80"/>
    <x v="0"/>
    <x v="11"/>
    <x v="3"/>
    <x v="1"/>
    <n v="16.61"/>
    <n v="11.38"/>
    <m/>
    <n v="27.990000000000002"/>
    <n v="14.58"/>
    <n v="4.34"/>
    <n v="2.08"/>
    <m/>
    <n v="8.82"/>
    <n v="2.56"/>
    <m/>
    <m/>
    <n v="2.56"/>
    <n v="60.37"/>
    <n v="57.81"/>
    <n v="59.09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n v="86852.95"/>
    <n v="5132200"/>
    <n v="100000"/>
    <m/>
    <n v="100000"/>
    <n v="85161.61787104416"/>
    <n v="5032200"/>
    <x v="0"/>
    <n v="7500"/>
    <n v="92661.61787104416"/>
    <n v="443175"/>
    <n v="5475375"/>
    <m/>
    <s v="Скидка с елки"/>
    <x v="0"/>
    <x v="0"/>
    <b v="1"/>
    <s v="АГ-005-А-12-04-080"/>
    <m/>
    <s v="ДА"/>
    <s v="Предчистовая"/>
    <b v="1"/>
    <n v="5475375"/>
    <n v="0"/>
    <b v="1"/>
    <d v="2023-12-14T00:00:00"/>
    <s v="Полехович"/>
  </r>
  <r>
    <n v="81"/>
    <x v="0"/>
    <x v="11"/>
    <x v="4"/>
    <x v="1"/>
    <n v="16.46"/>
    <n v="12.47"/>
    <m/>
    <n v="28.93"/>
    <n v="18"/>
    <n v="4.3499999999999996"/>
    <n v="1.55"/>
    <m/>
    <n v="8"/>
    <n v="2.67"/>
    <m/>
    <m/>
    <n v="2.67"/>
    <n v="63.5"/>
    <n v="60.83"/>
    <n v="62.17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m/>
    <n v="95828.704059430078"/>
    <n v="1916.5740811886017"/>
    <n v="97745.278140618684"/>
    <n v="488.72639070309344"/>
    <n v="98234.004531321771"/>
    <m/>
    <n v="98234.004531321771"/>
    <n v="1473.5100679698264"/>
    <n v="99707.514599291593"/>
    <m/>
    <n v="99707.514599291593"/>
    <n v="3988.3005839716639"/>
    <n v="103695.81518326326"/>
    <n v="6221.7489109957951"/>
    <n v="109917.56409425905"/>
    <n v="14289.283332253677"/>
    <n v="124206.84742651273"/>
    <n v="35"/>
    <n v="124241.84742651273"/>
    <m/>
    <n v="124241.84742651273"/>
    <n v="124241.85"/>
    <n v="7724200"/>
    <m/>
    <m/>
    <n v="0"/>
    <n v="124243.20411774167"/>
    <n v="7724200"/>
    <x v="3"/>
    <n v="10000"/>
    <n v="134243.20411774167"/>
    <n v="621700"/>
    <n v="8345900"/>
    <m/>
    <m/>
    <x v="1"/>
    <x v="1"/>
    <b v="1"/>
    <s v="АГ-005-А-12-05-081"/>
    <m/>
    <s v="ДА"/>
    <s v="White Box"/>
    <b v="1"/>
    <n v="8345900"/>
    <n v="0"/>
    <b v="1"/>
    <s v=" "/>
    <s v=""/>
  </r>
  <r>
    <n v="82"/>
    <x v="0"/>
    <x v="11"/>
    <x v="5"/>
    <x v="1"/>
    <n v="14.64"/>
    <n v="10.74"/>
    <m/>
    <n v="25.380000000000003"/>
    <n v="14.35"/>
    <n v="4.16"/>
    <n v="1.93"/>
    <m/>
    <n v="11.03"/>
    <n v="2.6219999999999999"/>
    <m/>
    <m/>
    <n v="2.6219999999999999"/>
    <n v="59.47"/>
    <n v="56.85"/>
    <n v="58.16"/>
    <n v="81466.150500000003"/>
    <n v="4073.3075250000002"/>
    <n v="85539.458025"/>
    <n v="2566.1837407499997"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n v="88105.64"/>
    <n v="5124224.0199999996"/>
    <m/>
    <m/>
    <n v="0"/>
    <n v="88105.639958734522"/>
    <n v="5124224.0199999996"/>
    <x v="2"/>
    <n v="22000"/>
    <n v="110105.63995873452"/>
    <n v="1279520"/>
    <n v="6403744.0199999996"/>
    <m/>
    <m/>
    <x v="0"/>
    <x v="0"/>
    <b v="1"/>
    <s v="АГ-005-А-12-06-082"/>
    <m/>
    <s v="НЕТ"/>
    <s v="Чистовая"/>
    <b v="1"/>
    <n v="6403744.0199999996"/>
    <n v="0"/>
    <b v="1"/>
    <d v="2023-11-11T00:00:00"/>
    <s v="Полехович"/>
  </r>
  <r>
    <n v="83"/>
    <x v="0"/>
    <x v="11"/>
    <x v="6"/>
    <x v="0"/>
    <n v="18.489999999999998"/>
    <m/>
    <m/>
    <n v="18.489999999999998"/>
    <n v="13.04"/>
    <n v="3.9"/>
    <m/>
    <m/>
    <n v="5.99"/>
    <n v="2.65"/>
    <m/>
    <m/>
    <n v="2.65"/>
    <n v="44.07"/>
    <n v="41.42"/>
    <n v="42.75"/>
    <n v="83951.4375"/>
    <n v="4197.5718750000005"/>
    <n v="88149.009374999994"/>
    <n v="2644.4702812499995"/>
    <n v="90793.479656249998"/>
    <n v="3631.7391862499999"/>
    <n v="94425.218842499991"/>
    <m/>
    <n v="94425.218842499991"/>
    <n v="4721.2609421249999"/>
    <n v="99146.479784624986"/>
    <m/>
    <n v="99146.479784624986"/>
    <n v="991.46479784624989"/>
    <n v="100137.94458247123"/>
    <n v="5006.8972291235623"/>
    <n v="105144.84181159479"/>
    <m/>
    <n v="105144.84181159479"/>
    <n v="3154.3452543478434"/>
    <n v="108299.18706594263"/>
    <m/>
    <n v="108299.18706594263"/>
    <m/>
    <n v="108299.18706594263"/>
    <m/>
    <n v="108299.18706594263"/>
    <m/>
    <n v="108299.18706594263"/>
    <m/>
    <n v="108299.18706594263"/>
    <n v="541.49593532971323"/>
    <n v="108840.68300127235"/>
    <m/>
    <n v="108840.68300127235"/>
    <n v="1632.6102450190851"/>
    <n v="110473.29324629143"/>
    <m/>
    <n v="110473.29324629143"/>
    <m/>
    <n v="110473.29324629143"/>
    <m/>
    <n v="110473.29324629143"/>
    <m/>
    <n v="110473.29324629143"/>
    <m/>
    <n v="110473.29324629143"/>
    <m/>
    <n v="110473.29324629143"/>
    <n v="110473.29"/>
    <n v="4722800"/>
    <n v="50000"/>
    <m/>
    <n v="50000"/>
    <n v="109305.26315789473"/>
    <n v="4672800"/>
    <x v="3"/>
    <n v="7000"/>
    <n v="116305.26315789473"/>
    <n v="299250"/>
    <n v="4972050"/>
    <m/>
    <s v="Скидка мед работнику"/>
    <x v="0"/>
    <x v="0"/>
    <b v="1"/>
    <s v="АГ-005-А-12-07-083"/>
    <m/>
    <s v="ДА"/>
    <s v="White Box"/>
    <b v="1"/>
    <n v="4972050"/>
    <n v="0"/>
    <b v="1"/>
    <d v="2024-07-30T00:00:00"/>
    <s v="Дик"/>
  </r>
  <r>
    <n v="84"/>
    <x v="0"/>
    <x v="12"/>
    <x v="0"/>
    <x v="0"/>
    <n v="14.68"/>
    <m/>
    <m/>
    <n v="14.68"/>
    <n v="9.84"/>
    <n v="3.63"/>
    <m/>
    <m/>
    <n v="4.8899999999999997"/>
    <n v="2.7"/>
    <m/>
    <m/>
    <n v="2.7"/>
    <n v="35.74"/>
    <n v="33.04"/>
    <n v="34.39"/>
    <n v="82734.75"/>
    <n v="4136.7375000000002"/>
    <n v="86871.487500000003"/>
    <n v="2606.1446249999999"/>
    <n v="89477.632125000004"/>
    <n v="12526.868497500001"/>
    <n v="102004.50062250001"/>
    <m/>
    <n v="102004.50062250001"/>
    <n v="5100.2250311250009"/>
    <n v="107104.72565362501"/>
    <m/>
    <n v="107104.72565362501"/>
    <n v="1071.0472565362502"/>
    <n v="108175.77291016125"/>
    <n v="5408.7886455080625"/>
    <n v="113584.56155566931"/>
    <m/>
    <n v="113584.56155566931"/>
    <n v="3407.5368466700793"/>
    <n v="116992.09840233938"/>
    <m/>
    <n v="116992.09840233938"/>
    <m/>
    <n v="116992.09840233938"/>
    <m/>
    <n v="116992.09840233938"/>
    <m/>
    <n v="116992.09840233938"/>
    <m/>
    <n v="116992.09840233938"/>
    <m/>
    <n v="116992.09840233938"/>
    <m/>
    <n v="116992.09840233938"/>
    <m/>
    <n v="116992.09840233938"/>
    <m/>
    <n v="116992.09840233938"/>
    <m/>
    <n v="116992.09840233938"/>
    <m/>
    <n v="116992.09840233938"/>
    <m/>
    <n v="116992.09840233938"/>
    <m/>
    <n v="116992.09840233938"/>
    <m/>
    <n v="116992.09840233938"/>
    <n v="116992.1"/>
    <n v="4023400"/>
    <m/>
    <m/>
    <n v="0"/>
    <n v="116993.31200930502"/>
    <n v="4023400"/>
    <x v="1"/>
    <m/>
    <n v="116993.31200930502"/>
    <n v="0"/>
    <n v="4023400"/>
    <s v="Хит"/>
    <m/>
    <x v="0"/>
    <x v="0"/>
    <b v="1"/>
    <s v="АГ-005-А-13-01-084"/>
    <m/>
    <s v="ДА"/>
    <s v="Черновая"/>
    <b v="1"/>
    <n v="4023400"/>
    <n v="0"/>
    <b v="1"/>
    <d v="2024-06-14T00:00:00"/>
    <s v="Дик"/>
  </r>
  <r>
    <n v="85"/>
    <x v="0"/>
    <x v="12"/>
    <x v="1"/>
    <x v="1"/>
    <n v="15.82"/>
    <n v="15.54"/>
    <m/>
    <n v="31.36"/>
    <n v="19.440000000000001"/>
    <n v="4.42"/>
    <m/>
    <n v="3.25"/>
    <n v="8.5299999999999994"/>
    <n v="3"/>
    <m/>
    <m/>
    <n v="3"/>
    <n v="70"/>
    <n v="67"/>
    <n v="68.5"/>
    <n v="84168.819000000003"/>
    <n v="4208.4409500000002"/>
    <n v="88377.259950000007"/>
    <n v="2651.3177985000002"/>
    <n v="91028.577748500014"/>
    <m/>
    <n v="91028.577748500014"/>
    <m/>
    <n v="91028.577748500014"/>
    <m/>
    <n v="91028.577748500014"/>
    <n v="-831"/>
    <n v="90197.577748500014"/>
    <n v="901.97577748500021"/>
    <n v="91099.553525985015"/>
    <n v="4554.9776762992506"/>
    <n v="95654.53120228427"/>
    <m/>
    <n v="95654.53120228427"/>
    <n v="1913.0906240456854"/>
    <n v="97567.621826329952"/>
    <m/>
    <n v="97567.621826329952"/>
    <n v="1951.3524365265991"/>
    <n v="99518.974262856558"/>
    <m/>
    <n v="99518.974262856558"/>
    <m/>
    <n v="99518.974262856558"/>
    <m/>
    <n v="99518.974262856558"/>
    <m/>
    <n v="99518.974262856558"/>
    <m/>
    <n v="99518.974262856558"/>
    <n v="497.59487131428278"/>
    <n v="100016.56913417084"/>
    <m/>
    <n v="100016.56913417084"/>
    <m/>
    <n v="100016.56913417084"/>
    <n v="6000.9941480502503"/>
    <n v="106017.56328222109"/>
    <n v="13782.283226688742"/>
    <n v="119799.84650890983"/>
    <n v="35"/>
    <n v="119834.84650890983"/>
    <m/>
    <n v="119834.84650890983"/>
    <n v="119834.85"/>
    <n v="8208700"/>
    <m/>
    <m/>
    <n v="0"/>
    <n v="119835.03649635037"/>
    <n v="8208700"/>
    <x v="3"/>
    <n v="10000"/>
    <n v="129835.03649635037"/>
    <n v="685000"/>
    <n v="8893700"/>
    <m/>
    <m/>
    <x v="1"/>
    <x v="1"/>
    <b v="1"/>
    <s v="АГ-005-А-13-02-085"/>
    <m/>
    <s v="ДА"/>
    <s v="White Box"/>
    <b v="1"/>
    <n v="8893700"/>
    <n v="0"/>
    <b v="1"/>
    <s v=" "/>
    <s v=""/>
  </r>
  <r>
    <n v="86"/>
    <x v="0"/>
    <x v="12"/>
    <x v="2"/>
    <x v="0"/>
    <n v="13.6"/>
    <m/>
    <m/>
    <n v="13.6"/>
    <n v="14.97"/>
    <n v="4.1100000000000003"/>
    <m/>
    <m/>
    <n v="3.7"/>
    <n v="2.69"/>
    <m/>
    <m/>
    <n v="2.69"/>
    <n v="39.07"/>
    <n v="36.380000000000003"/>
    <n v="37.729999999999997"/>
    <n v="87601.5"/>
    <n v="4380.0749999999998"/>
    <n v="91981.574999999997"/>
    <n v="2759.4472499999997"/>
    <n v="94741.022249999995"/>
    <n v="6631.8715575000006"/>
    <n v="101372.89380749999"/>
    <m/>
    <n v="101372.89380749999"/>
    <m/>
    <n v="101372.89380749999"/>
    <m/>
    <n v="101372.89380749999"/>
    <m/>
    <n v="101372.89380749999"/>
    <m/>
    <n v="101372.89380749999"/>
    <m/>
    <n v="101372.89380749999"/>
    <m/>
    <n v="101372.89380749999"/>
    <m/>
    <n v="101372.89380749999"/>
    <m/>
    <n v="101372.89380749999"/>
    <m/>
    <n v="101372.89380749999"/>
    <m/>
    <n v="101372.89380749999"/>
    <m/>
    <n v="101372.89380749999"/>
    <m/>
    <n v="101372.89380749999"/>
    <m/>
    <n v="101372.89380749999"/>
    <m/>
    <n v="101372.89380749999"/>
    <m/>
    <n v="101372.89380749999"/>
    <m/>
    <n v="101372.89380749999"/>
    <m/>
    <n v="101372.89380749999"/>
    <m/>
    <n v="101372.89380749999"/>
    <m/>
    <n v="101372.89380749999"/>
    <m/>
    <n v="101372.89380749999"/>
    <n v="101372.89"/>
    <n v="3824799.14"/>
    <m/>
    <m/>
    <n v="0"/>
    <n v="101372.89000795124"/>
    <n v="3824799.14"/>
    <x v="1"/>
    <m/>
    <n v="101372.89000795124"/>
    <n v="0"/>
    <n v="3824799.14"/>
    <m/>
    <m/>
    <x v="0"/>
    <x v="0"/>
    <b v="1"/>
    <s v="АГ-005-А-13-03-086"/>
    <m/>
    <s v="НЕТ"/>
    <s v="Черновая"/>
    <b v="1"/>
    <n v="3824799.14"/>
    <n v="0"/>
    <b v="1"/>
    <d v="2023-11-13T00:00:00"/>
    <s v="Полехович"/>
  </r>
  <r>
    <n v="87"/>
    <x v="0"/>
    <x v="12"/>
    <x v="3"/>
    <x v="1"/>
    <n v="16.61"/>
    <n v="11.38"/>
    <m/>
    <n v="27.990000000000002"/>
    <n v="14.58"/>
    <n v="4.34"/>
    <n v="2.08"/>
    <m/>
    <n v="8.82"/>
    <n v="2.56"/>
    <m/>
    <m/>
    <n v="2.56"/>
    <n v="60.37"/>
    <n v="57.81"/>
    <n v="59.09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n v="958.28704059430083"/>
    <n v="96786.991100024374"/>
    <m/>
    <n v="96786.991100024374"/>
    <m/>
    <n v="96786.991100024374"/>
    <m/>
    <n v="96786.991100024374"/>
    <m/>
    <n v="96786.991100024374"/>
    <m/>
    <n v="96786.991100024374"/>
    <m/>
    <n v="96786.991100024374"/>
    <m/>
    <n v="96786.991100024374"/>
    <m/>
    <n v="96786.991100024374"/>
    <m/>
    <n v="96786.991100024374"/>
    <m/>
    <n v="96786.991100024374"/>
    <n v="96786.99"/>
    <n v="5719200"/>
    <m/>
    <m/>
    <n v="0"/>
    <n v="96787.950583855127"/>
    <n v="5719200"/>
    <x v="3"/>
    <n v="7000"/>
    <n v="103787.95058385513"/>
    <n v="413630"/>
    <n v="6132830"/>
    <m/>
    <m/>
    <x v="0"/>
    <x v="0"/>
    <b v="1"/>
    <s v="АГ-005-А-13-04-087"/>
    <m/>
    <s v="ДА"/>
    <s v="White Box"/>
    <b v="1"/>
    <n v="6132830"/>
    <n v="0"/>
    <b v="1"/>
    <d v="2024-06-21T00:00:00"/>
    <s v="Полехович"/>
  </r>
  <r>
    <n v="88"/>
    <x v="0"/>
    <x v="12"/>
    <x v="4"/>
    <x v="1"/>
    <n v="16.46"/>
    <n v="12.47"/>
    <m/>
    <n v="28.93"/>
    <n v="18"/>
    <n v="4.3499999999999996"/>
    <n v="1.55"/>
    <m/>
    <n v="8"/>
    <n v="2.67"/>
    <m/>
    <m/>
    <n v="2.67"/>
    <n v="63.5"/>
    <n v="60.83"/>
    <n v="62.17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n v="95828.7"/>
    <n v="5957700"/>
    <n v="88888"/>
    <m/>
    <n v="88888"/>
    <n v="94399.420942576806"/>
    <n v="5868812"/>
    <x v="1"/>
    <m/>
    <n v="94399.420942576806"/>
    <n v="0"/>
    <n v="5868812"/>
    <m/>
    <s v="Весна"/>
    <x v="0"/>
    <x v="0"/>
    <b v="1"/>
    <s v="АГ-005-А-13-05-088"/>
    <m/>
    <s v="ДА"/>
    <s v="Черновая"/>
    <b v="1"/>
    <n v="5868812"/>
    <n v="0"/>
    <b v="1"/>
    <d v="2024-04-23T00:00:00"/>
    <s v="Дик"/>
  </r>
  <r>
    <n v="89"/>
    <x v="0"/>
    <x v="12"/>
    <x v="5"/>
    <x v="1"/>
    <n v="14.64"/>
    <n v="10.74"/>
    <m/>
    <n v="25.380000000000003"/>
    <n v="14.35"/>
    <n v="4.16"/>
    <n v="1.93"/>
    <m/>
    <n v="11.03"/>
    <n v="2.6219999999999999"/>
    <m/>
    <m/>
    <n v="2.6219999999999999"/>
    <n v="59.47"/>
    <n v="56.85"/>
    <n v="58.16"/>
    <n v="81466.150500000003"/>
    <n v="4073.3075250000002"/>
    <n v="85539.458025"/>
    <n v="2566.1837407499997"/>
    <n v="88105.641765749999"/>
    <m/>
    <n v="88105.641765749999"/>
    <m/>
    <n v="88105.641765749999"/>
    <m/>
    <n v="88105.641765749999"/>
    <m/>
    <n v="88105.641765749999"/>
    <n v="881.05641765749999"/>
    <n v="88986.698183407498"/>
    <n v="4449.3349091703749"/>
    <n v="93436.033092577869"/>
    <m/>
    <n v="93436.033092577869"/>
    <n v="1868.7206618515575"/>
    <n v="95304.753754429432"/>
    <m/>
    <n v="95304.753754429432"/>
    <n v="1906.0950750885886"/>
    <n v="97210.848829518014"/>
    <m/>
    <n v="97210.848829518014"/>
    <n v="972.10848829518011"/>
    <n v="98182.957317813198"/>
    <m/>
    <n v="98182.957317813198"/>
    <m/>
    <n v="98182.957317813198"/>
    <m/>
    <n v="98182.957317813198"/>
    <n v="1472.7443597671979"/>
    <n v="99655.701677580393"/>
    <n v="500"/>
    <n v="100155.70167758039"/>
    <n v="4006.2280671032158"/>
    <n v="104161.92974468361"/>
    <n v="6249.7157846810169"/>
    <n v="110411.64552936463"/>
    <n v="14353.513918817402"/>
    <n v="124765.15944818204"/>
    <n v="35"/>
    <n v="124800.15944818204"/>
    <m/>
    <n v="124800.15944818204"/>
    <n v="124800.16"/>
    <n v="7258400"/>
    <m/>
    <m/>
    <n v="0"/>
    <n v="124800.55020632737"/>
    <n v="7258400"/>
    <x v="1"/>
    <m/>
    <n v="124800.55020632737"/>
    <n v="0"/>
    <n v="7258400"/>
    <m/>
    <m/>
    <x v="2"/>
    <x v="2"/>
    <b v="1"/>
    <s v="АГ-005-А-13-06-089"/>
    <m/>
    <s v="ДА"/>
    <s v="Черновая"/>
    <b v="1"/>
    <n v="7258400"/>
    <n v="0"/>
    <b v="1"/>
    <s v=" "/>
    <s v=""/>
  </r>
  <r>
    <n v="90"/>
    <x v="0"/>
    <x v="12"/>
    <x v="6"/>
    <x v="0"/>
    <n v="18.489999999999998"/>
    <m/>
    <m/>
    <n v="18.489999999999998"/>
    <n v="13.04"/>
    <n v="3.9"/>
    <m/>
    <m/>
    <n v="5.99"/>
    <n v="2.65"/>
    <m/>
    <m/>
    <n v="2.65"/>
    <n v="44.07"/>
    <n v="41.42"/>
    <n v="42.75"/>
    <n v="83951.4375"/>
    <n v="4197.5718750000005"/>
    <n v="88149.009374999994"/>
    <n v="2644.4702812499995"/>
    <n v="90793.479656249998"/>
    <n v="3631.7391862499999"/>
    <n v="94425.218842499991"/>
    <m/>
    <n v="94425.218842499991"/>
    <n v="4721.2609421249999"/>
    <n v="99146.479784624986"/>
    <m/>
    <n v="99146.479784624986"/>
    <n v="991.46479784624989"/>
    <n v="100137.94458247123"/>
    <n v="5006.8972291235623"/>
    <n v="105144.84181159479"/>
    <m/>
    <n v="105144.84181159479"/>
    <n v="3154.3452543478434"/>
    <n v="108299.18706594263"/>
    <m/>
    <n v="108299.18706594263"/>
    <m/>
    <n v="108299.18706594263"/>
    <m/>
    <n v="108299.18706594263"/>
    <m/>
    <n v="108299.18706594263"/>
    <m/>
    <n v="108299.18706594263"/>
    <n v="541.49593532971323"/>
    <n v="108840.68300127235"/>
    <m/>
    <n v="108840.68300127235"/>
    <n v="1632.6102450190851"/>
    <n v="110473.29324629143"/>
    <m/>
    <n v="110473.29324629143"/>
    <m/>
    <n v="110473.29324629143"/>
    <m/>
    <n v="110473.29324629143"/>
    <m/>
    <n v="110473.29324629143"/>
    <m/>
    <n v="110473.29324629143"/>
    <m/>
    <n v="110473.29324629143"/>
    <n v="110473.29"/>
    <n v="4722800"/>
    <m/>
    <m/>
    <n v="0"/>
    <n v="110474.85380116959"/>
    <n v="4722800"/>
    <x v="3"/>
    <n v="7000"/>
    <n v="117474.85380116959"/>
    <n v="299250"/>
    <n v="5022050"/>
    <m/>
    <m/>
    <x v="0"/>
    <x v="0"/>
    <b v="1"/>
    <s v="АГ-005-А-13-07-090"/>
    <m/>
    <s v="ДА"/>
    <s v="White Box"/>
    <b v="1"/>
    <n v="5022050"/>
    <n v="0"/>
    <b v="1"/>
    <d v="2024-10-23T00:00:00"/>
    <s v="Полехович"/>
  </r>
  <r>
    <n v="91"/>
    <x v="0"/>
    <x v="13"/>
    <x v="0"/>
    <x v="0"/>
    <n v="14.68"/>
    <m/>
    <m/>
    <n v="14.68"/>
    <n v="9.84"/>
    <n v="3.63"/>
    <m/>
    <m/>
    <n v="4.8899999999999997"/>
    <n v="2.7"/>
    <m/>
    <m/>
    <n v="2.7"/>
    <n v="35.74"/>
    <n v="33.04"/>
    <n v="34.39"/>
    <n v="82734.75"/>
    <n v="4136.7375000000002"/>
    <n v="86871.487500000003"/>
    <n v="2606.1446249999999"/>
    <n v="89477.632125000004"/>
    <n v="12526.868497500001"/>
    <n v="102004.50062250001"/>
    <m/>
    <n v="102004.50062250001"/>
    <n v="5100.2250311250009"/>
    <n v="107104.72565362501"/>
    <m/>
    <n v="107104.72565362501"/>
    <n v="1071.0472565362502"/>
    <n v="108175.77291016125"/>
    <n v="5408.7886455080625"/>
    <n v="113584.56155566931"/>
    <m/>
    <n v="113584.56155566931"/>
    <n v="3407.5368466700793"/>
    <n v="116992.09840233938"/>
    <m/>
    <n v="116992.09840233938"/>
    <m/>
    <n v="116992.09840233938"/>
    <m/>
    <n v="116992.09840233938"/>
    <m/>
    <n v="116992.09840233938"/>
    <n v="2339.8419680467878"/>
    <n v="119331.94037038618"/>
    <m/>
    <n v="119331.94037038618"/>
    <m/>
    <n v="119331.94037038618"/>
    <n v="2983.2985092596546"/>
    <n v="122315.23887964583"/>
    <m/>
    <n v="122315.23887964583"/>
    <n v="2446.3047775929167"/>
    <n v="124761.54365723874"/>
    <n v="6238.0771828619372"/>
    <n v="130999.62084010067"/>
    <n v="17029.950709213088"/>
    <n v="148029.57154931375"/>
    <n v="35"/>
    <n v="148064.57154931375"/>
    <m/>
    <n v="148064.57154931375"/>
    <n v="148064.57"/>
    <n v="5092000"/>
    <m/>
    <m/>
    <n v="0"/>
    <n v="148066.29834254144"/>
    <n v="5092000"/>
    <x v="3"/>
    <n v="10000"/>
    <n v="158066.29834254144"/>
    <n v="343900"/>
    <n v="5435900"/>
    <s v="Хит"/>
    <m/>
    <x v="1"/>
    <x v="1"/>
    <b v="1"/>
    <s v="АГ-005-А-14-01-091"/>
    <m/>
    <s v="ДА"/>
    <s v="White Box"/>
    <b v="1"/>
    <n v="5435900"/>
    <n v="0"/>
    <b v="1"/>
    <s v=" "/>
    <s v=""/>
  </r>
  <r>
    <n v="92"/>
    <x v="0"/>
    <x v="13"/>
    <x v="1"/>
    <x v="1"/>
    <n v="15.82"/>
    <n v="15.54"/>
    <m/>
    <n v="31.36"/>
    <n v="19.440000000000001"/>
    <n v="4.42"/>
    <m/>
    <n v="3.25"/>
    <n v="8.5299999999999994"/>
    <n v="3"/>
    <m/>
    <m/>
    <n v="3"/>
    <n v="70"/>
    <n v="67"/>
    <n v="68.5"/>
    <n v="84168.819000000003"/>
    <n v="4208.4409500000002"/>
    <n v="88377.259950000007"/>
    <n v="2651.3177985000002"/>
    <n v="91028.577748500014"/>
    <m/>
    <n v="91028.577748500014"/>
    <m/>
    <n v="91028.577748500014"/>
    <m/>
    <n v="91028.577748500014"/>
    <n v="-831"/>
    <n v="90197.577748500014"/>
    <n v="901.97577748500021"/>
    <n v="91099.553525985015"/>
    <n v="4554.9776762992506"/>
    <n v="95654.53120228427"/>
    <m/>
    <n v="95654.53120228427"/>
    <n v="1913.0906240456854"/>
    <n v="97567.621826329952"/>
    <m/>
    <n v="97567.621826329952"/>
    <n v="1951.3524365265991"/>
    <n v="99518.974262856558"/>
    <m/>
    <n v="99518.974262856558"/>
    <m/>
    <n v="99518.974262856558"/>
    <m/>
    <n v="99518.974262856558"/>
    <m/>
    <n v="99518.974262856558"/>
    <m/>
    <n v="99518.974262856558"/>
    <m/>
    <n v="99518.974262856558"/>
    <m/>
    <n v="99518.974262856558"/>
    <m/>
    <n v="99518.974262856558"/>
    <m/>
    <n v="99518.974262856558"/>
    <m/>
    <n v="99518.974262856558"/>
    <m/>
    <n v="99518.974262856558"/>
    <m/>
    <n v="99518.974262856558"/>
    <n v="99518.97"/>
    <n v="6817100"/>
    <m/>
    <m/>
    <n v="0"/>
    <n v="99519.708029197078"/>
    <n v="6817100"/>
    <x v="3"/>
    <n v="7000"/>
    <n v="106519.70802919708"/>
    <n v="479500"/>
    <n v="7296600"/>
    <m/>
    <m/>
    <x v="0"/>
    <x v="0"/>
    <b v="1"/>
    <s v="АГ-005-А-14-02-092"/>
    <m/>
    <s v="ДА"/>
    <s v="White Box"/>
    <b v="1"/>
    <n v="7296600"/>
    <n v="0"/>
    <b v="1"/>
    <d v="2024-06-10T00:00:00"/>
    <s v="Полехович"/>
  </r>
  <r>
    <n v="93"/>
    <x v="0"/>
    <x v="13"/>
    <x v="2"/>
    <x v="0"/>
    <n v="13.6"/>
    <m/>
    <m/>
    <n v="13.6"/>
    <n v="14.97"/>
    <n v="4.1100000000000003"/>
    <m/>
    <m/>
    <n v="3.7"/>
    <n v="2.69"/>
    <m/>
    <m/>
    <n v="2.69"/>
    <n v="39.07"/>
    <n v="36.380000000000003"/>
    <n v="37.729999999999997"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n v="87601.5"/>
    <n v="3305204.6"/>
    <m/>
    <m/>
    <n v="0"/>
    <n v="87601.500132520552"/>
    <n v="3305204.6"/>
    <x v="1"/>
    <m/>
    <n v="87601.500132520552"/>
    <n v="0"/>
    <n v="3305204.6"/>
    <m/>
    <m/>
    <x v="0"/>
    <x v="0"/>
    <b v="1"/>
    <s v="АГ-005-А-14-03-093"/>
    <m/>
    <s v="НЕТ"/>
    <s v="Черновая"/>
    <b v="1"/>
    <n v="3305204.6"/>
    <n v="0"/>
    <b v="1"/>
    <d v="2023-09-15T00:00:00"/>
    <s v="Никишов"/>
  </r>
  <r>
    <n v="94"/>
    <x v="0"/>
    <x v="13"/>
    <x v="3"/>
    <x v="1"/>
    <n v="16.61"/>
    <n v="11.38"/>
    <m/>
    <n v="27.990000000000002"/>
    <n v="14.58"/>
    <n v="4.34"/>
    <n v="2.08"/>
    <m/>
    <n v="8.82"/>
    <n v="2.56"/>
    <m/>
    <m/>
    <n v="2.56"/>
    <n v="60.37"/>
    <n v="57.81"/>
    <n v="59.09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n v="958.28704059430083"/>
    <n v="96786.991100024374"/>
    <m/>
    <n v="96786.991100024374"/>
    <m/>
    <n v="96786.991100024374"/>
    <m/>
    <n v="96786.991100024374"/>
    <n v="1451.8048665003655"/>
    <n v="98238.795966524733"/>
    <m/>
    <n v="98238.795966524733"/>
    <n v="3929.5518386609892"/>
    <n v="102168.34780518572"/>
    <n v="6130.1008683111431"/>
    <n v="108298.44867349687"/>
    <n v="14078.798327554594"/>
    <n v="122377.24700105147"/>
    <n v="35"/>
    <n v="122412.24700105147"/>
    <m/>
    <n v="122412.24700105147"/>
    <n v="122412.25"/>
    <n v="7233400"/>
    <m/>
    <m/>
    <n v="0"/>
    <n v="122413.26789642917"/>
    <n v="7233400"/>
    <x v="1"/>
    <m/>
    <n v="122413.26789642917"/>
    <n v="0"/>
    <n v="7233400"/>
    <m/>
    <m/>
    <x v="1"/>
    <x v="1"/>
    <b v="1"/>
    <s v="АГ-005-А-14-04-094"/>
    <m/>
    <s v="ДА"/>
    <s v="Черновая"/>
    <b v="1"/>
    <n v="7233400"/>
    <n v="0"/>
    <b v="1"/>
    <s v=" "/>
    <s v=""/>
  </r>
  <r>
    <n v="95"/>
    <x v="0"/>
    <x v="13"/>
    <x v="4"/>
    <x v="1"/>
    <n v="16.46"/>
    <n v="12.47"/>
    <m/>
    <n v="28.93"/>
    <n v="18"/>
    <n v="4.3499999999999996"/>
    <n v="1.55"/>
    <m/>
    <n v="8"/>
    <n v="2.67"/>
    <m/>
    <m/>
    <n v="2.67"/>
    <n v="63.5"/>
    <n v="60.83"/>
    <n v="62.17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n v="86852.95"/>
    <n v="5399647.9000000004"/>
    <m/>
    <n v="0.02"/>
    <n v="107992.95800000001"/>
    <n v="85115.890944185303"/>
    <n v="5291654.9400000004"/>
    <x v="0"/>
    <n v="7500"/>
    <n v="92615.890944185303"/>
    <n v="466275"/>
    <n v="5757929.9400000004"/>
    <m/>
    <s v="Скидка иногородним"/>
    <x v="0"/>
    <x v="0"/>
    <b v="1"/>
    <s v="АГ-005-А-14-05-095"/>
    <m/>
    <s v="НЕТ"/>
    <s v="Предчистовая"/>
    <b v="1"/>
    <n v="5757929.9400000004"/>
    <n v="0"/>
    <b v="1"/>
    <d v="2023-10-26T00:00:00"/>
    <s v="Никишов"/>
  </r>
  <r>
    <n v="96"/>
    <x v="0"/>
    <x v="13"/>
    <x v="5"/>
    <x v="1"/>
    <n v="14.64"/>
    <n v="10.74"/>
    <m/>
    <n v="25.380000000000003"/>
    <n v="14.35"/>
    <n v="4.16"/>
    <n v="1.93"/>
    <m/>
    <n v="11.03"/>
    <n v="2.6219999999999999"/>
    <m/>
    <m/>
    <n v="2.6219999999999999"/>
    <n v="59.47"/>
    <n v="56.85"/>
    <n v="58.16"/>
    <n v="81466.150500000003"/>
    <n v="4073.3075250000002"/>
    <n v="85539.458025"/>
    <n v="2566.1837407499997"/>
    <n v="88105.641765749999"/>
    <m/>
    <n v="88105.641765749999"/>
    <m/>
    <n v="88105.641765749999"/>
    <m/>
    <n v="88105.641765749999"/>
    <m/>
    <n v="88105.641765749999"/>
    <n v="881.05641765749999"/>
    <n v="88986.698183407498"/>
    <n v="4449.3349091703749"/>
    <n v="93436.033092577869"/>
    <m/>
    <n v="93436.033092577869"/>
    <n v="1868.7206618515575"/>
    <n v="95304.753754429432"/>
    <m/>
    <n v="95304.753754429432"/>
    <n v="1906.0950750885886"/>
    <n v="97210.848829518014"/>
    <m/>
    <n v="97210.848829518014"/>
    <n v="972.10848829518011"/>
    <n v="98182.957317813198"/>
    <m/>
    <n v="98182.957317813198"/>
    <m/>
    <n v="98182.957317813198"/>
    <m/>
    <n v="98182.957317813198"/>
    <n v="1472.7443597671979"/>
    <n v="99655.701677580393"/>
    <n v="500"/>
    <n v="100155.70167758039"/>
    <n v="4006.2280671032158"/>
    <n v="104161.92974468361"/>
    <m/>
    <n v="104161.92974468361"/>
    <m/>
    <n v="104161.92974468361"/>
    <m/>
    <n v="104161.92974468361"/>
    <m/>
    <n v="104161.92974468361"/>
    <n v="104161.93"/>
    <n v="6058100"/>
    <m/>
    <n v="0.03"/>
    <n v="181743"/>
    <n v="101037.77510316369"/>
    <n v="5876357"/>
    <x v="3"/>
    <n v="8000"/>
    <n v="109037.77510316369"/>
    <n v="465280"/>
    <n v="6341637"/>
    <m/>
    <s v="Многодетная семья"/>
    <x v="0"/>
    <x v="0"/>
    <b v="1"/>
    <s v="АГ-005-А-14-06-096"/>
    <m/>
    <s v="ДА"/>
    <s v="White Box"/>
    <b v="1"/>
    <n v="6341637"/>
    <n v="0"/>
    <b v="1"/>
    <d v="2024-10-23T00:00:00"/>
    <s v="Дик"/>
  </r>
  <r>
    <n v="97"/>
    <x v="0"/>
    <x v="13"/>
    <x v="6"/>
    <x v="0"/>
    <n v="18.489999999999998"/>
    <m/>
    <m/>
    <n v="18.489999999999998"/>
    <n v="13.04"/>
    <n v="3.9"/>
    <m/>
    <m/>
    <n v="5.99"/>
    <n v="2.65"/>
    <m/>
    <m/>
    <n v="2.65"/>
    <n v="44.07"/>
    <n v="41.42"/>
    <n v="42.75"/>
    <n v="83951.4375"/>
    <n v="4197.5718750000005"/>
    <n v="88149.009374999994"/>
    <n v="2644.4702812499995"/>
    <n v="90793.479656249998"/>
    <n v="3631.7391862499999"/>
    <n v="94425.218842499991"/>
    <m/>
    <n v="94425.218842499991"/>
    <n v="4721.2609421249999"/>
    <n v="99146.479784624986"/>
    <m/>
    <n v="99146.479784624986"/>
    <n v="991.46479784624989"/>
    <n v="100137.94458247123"/>
    <n v="5006.8972291235623"/>
    <n v="105144.84181159479"/>
    <m/>
    <n v="105144.84181159479"/>
    <n v="3154.3452543478434"/>
    <n v="108299.18706594263"/>
    <m/>
    <n v="108299.18706594263"/>
    <m/>
    <n v="108299.18706594263"/>
    <m/>
    <n v="108299.18706594263"/>
    <m/>
    <n v="108299.18706594263"/>
    <m/>
    <n v="108299.18706594263"/>
    <n v="541.49593532971323"/>
    <n v="108840.68300127235"/>
    <m/>
    <n v="108840.68300127235"/>
    <n v="1632.6102450190851"/>
    <n v="110473.29324629143"/>
    <m/>
    <n v="110473.29324629143"/>
    <m/>
    <n v="110473.29324629143"/>
    <n v="8837.8634597033142"/>
    <n v="119311.15670599474"/>
    <n v="15510.450371779318"/>
    <n v="134821.60707777407"/>
    <n v="35"/>
    <n v="134856.60707777407"/>
    <m/>
    <n v="134856.60707777407"/>
    <n v="134856.60999999999"/>
    <n v="5765200"/>
    <n v="342000"/>
    <m/>
    <n v="342000"/>
    <n v="126858.47953216374"/>
    <n v="5423200"/>
    <x v="3"/>
    <n v="10000"/>
    <n v="136858.47953216374"/>
    <n v="427500"/>
    <n v="5850700"/>
    <m/>
    <s v="Большие скидки на маленькие квартиры"/>
    <x v="2"/>
    <x v="2"/>
    <b v="1"/>
    <s v="АГ-005-А-14-07-097"/>
    <m/>
    <s v="ДА"/>
    <s v="White Box"/>
    <b v="1"/>
    <n v="5850700"/>
    <n v="0"/>
    <b v="1"/>
    <s v=" "/>
    <s v=""/>
  </r>
  <r>
    <n v="98"/>
    <x v="0"/>
    <x v="14"/>
    <x v="0"/>
    <x v="0"/>
    <n v="14.68"/>
    <m/>
    <m/>
    <n v="14.68"/>
    <n v="9.84"/>
    <n v="3.63"/>
    <m/>
    <m/>
    <n v="4.8899999999999997"/>
    <n v="2.7"/>
    <m/>
    <m/>
    <n v="2.7"/>
    <n v="35.74"/>
    <n v="33.04"/>
    <n v="34.39"/>
    <n v="82734.75"/>
    <n v="4136.7375000000002"/>
    <n v="86871.487500000003"/>
    <n v="2606.1446249999999"/>
    <n v="89477.632125000004"/>
    <n v="12526.868497500001"/>
    <n v="102004.50062250001"/>
    <m/>
    <n v="102004.50062250001"/>
    <n v="5100.2250311250009"/>
    <n v="107104.72565362501"/>
    <m/>
    <n v="107104.72565362501"/>
    <n v="1071.0472565362502"/>
    <n v="108175.77291016125"/>
    <n v="5408.7886455080625"/>
    <n v="113584.56155566931"/>
    <m/>
    <n v="113584.56155566931"/>
    <n v="3407.5368466700793"/>
    <n v="116992.09840233938"/>
    <m/>
    <n v="116992.09840233938"/>
    <m/>
    <n v="116992.09840233938"/>
    <m/>
    <n v="116992.09840233938"/>
    <m/>
    <n v="116992.09840233938"/>
    <n v="2339.8419680467878"/>
    <n v="119331.94037038618"/>
    <m/>
    <n v="119331.94037038618"/>
    <m/>
    <n v="119331.94037038618"/>
    <m/>
    <n v="119331.94037038618"/>
    <m/>
    <n v="119331.94037038618"/>
    <m/>
    <n v="119331.94037038618"/>
    <m/>
    <n v="119331.94037038618"/>
    <m/>
    <n v="119331.94037038618"/>
    <m/>
    <n v="119331.94037038618"/>
    <m/>
    <n v="119331.94037038618"/>
    <n v="119331.94"/>
    <n v="4103900"/>
    <m/>
    <m/>
    <n v="0"/>
    <n v="119334.10875254434"/>
    <n v="4103900"/>
    <x v="1"/>
    <m/>
    <n v="119334.10875254434"/>
    <n v="0"/>
    <n v="4103900"/>
    <s v="Хит"/>
    <m/>
    <x v="0"/>
    <x v="0"/>
    <b v="1"/>
    <s v="АГ-005-А-15-01-098"/>
    <m/>
    <s v="ДА"/>
    <s v="Черновая"/>
    <b v="1"/>
    <n v="4103900"/>
    <n v="0"/>
    <b v="1"/>
    <d v="2024-06-21T00:00:00"/>
    <s v="Дик"/>
  </r>
  <r>
    <n v="99"/>
    <x v="0"/>
    <x v="14"/>
    <x v="1"/>
    <x v="1"/>
    <n v="15.82"/>
    <n v="15.54"/>
    <m/>
    <n v="31.36"/>
    <n v="19.440000000000001"/>
    <n v="4.42"/>
    <m/>
    <n v="3.25"/>
    <n v="8.5299999999999994"/>
    <n v="3"/>
    <m/>
    <m/>
    <n v="3"/>
    <n v="70"/>
    <n v="67"/>
    <n v="68.5"/>
    <n v="84168.819000000003"/>
    <n v="4208.4409500000002"/>
    <n v="88377.259950000007"/>
    <n v="2651.3177985000002"/>
    <n v="91028.577748500014"/>
    <m/>
    <n v="91028.577748500014"/>
    <m/>
    <n v="91028.577748500014"/>
    <m/>
    <n v="91028.577748500014"/>
    <n v="-831"/>
    <n v="90197.577748500014"/>
    <n v="901.97577748500021"/>
    <n v="91099.553525985015"/>
    <n v="4554.9776762992506"/>
    <n v="95654.53120228427"/>
    <m/>
    <n v="95654.53120228427"/>
    <n v="1913.0906240456854"/>
    <n v="97567.621826329952"/>
    <m/>
    <n v="97567.621826329952"/>
    <n v="1951.3524365265991"/>
    <n v="99518.974262856558"/>
    <m/>
    <n v="99518.974262856558"/>
    <m/>
    <n v="99518.974262856558"/>
    <m/>
    <n v="99518.974262856558"/>
    <m/>
    <n v="99518.974262856558"/>
    <m/>
    <n v="99518.974262856558"/>
    <m/>
    <n v="99518.974262856558"/>
    <m/>
    <n v="99518.974262856558"/>
    <m/>
    <n v="99518.974262856558"/>
    <m/>
    <n v="99518.974262856558"/>
    <m/>
    <n v="99518.974262856558"/>
    <m/>
    <n v="99518.974262856558"/>
    <m/>
    <n v="99518.974262856558"/>
    <n v="99518.97"/>
    <n v="6817100"/>
    <n v="700000"/>
    <m/>
    <n v="700000"/>
    <n v="89300.729927007298"/>
    <n v="6117100"/>
    <x v="3"/>
    <n v="7000"/>
    <n v="96300.729927007298"/>
    <n v="479500"/>
    <n v="6596600"/>
    <m/>
    <s v=" Индивидуальная скидка"/>
    <x v="0"/>
    <x v="0"/>
    <b v="1"/>
    <s v="АГ-005-А-15-02-099"/>
    <m/>
    <s v="ДА"/>
    <s v="White Box"/>
    <b v="1"/>
    <n v="6596600"/>
    <n v="0"/>
    <b v="1"/>
    <d v="2024-06-22T00:00:00"/>
    <s v="Координатор"/>
  </r>
  <r>
    <n v="100"/>
    <x v="0"/>
    <x v="14"/>
    <x v="2"/>
    <x v="0"/>
    <n v="13.6"/>
    <m/>
    <m/>
    <n v="13.6"/>
    <n v="14.97"/>
    <n v="4.1100000000000003"/>
    <m/>
    <m/>
    <n v="3.7"/>
    <n v="2.69"/>
    <m/>
    <m/>
    <n v="2.69"/>
    <n v="39.07"/>
    <n v="36.380000000000003"/>
    <n v="37.729999999999997"/>
    <n v="87601.5"/>
    <n v="4380.0749999999998"/>
    <n v="91981.574999999997"/>
    <n v="2759.4472499999997"/>
    <n v="94741.022249999995"/>
    <n v="6631.8715575000006"/>
    <n v="101372.89380749999"/>
    <m/>
    <n v="101372.89380749999"/>
    <n v="5068.6446903750002"/>
    <n v="106441.53849787499"/>
    <m/>
    <n v="106441.53849787499"/>
    <n v="1064.4153849787499"/>
    <n v="107505.95388285375"/>
    <n v="5375.2976941426878"/>
    <n v="112881.25157699644"/>
    <m/>
    <n v="112881.25157699644"/>
    <n v="3386.437547309893"/>
    <n v="116267.68912430633"/>
    <m/>
    <n v="116267.68912430633"/>
    <m/>
    <n v="116267.68912430633"/>
    <m/>
    <n v="116267.68912430633"/>
    <m/>
    <n v="116267.68912430633"/>
    <m/>
    <n v="116267.68912430633"/>
    <m/>
    <n v="116267.68912430633"/>
    <m/>
    <n v="116267.68912430633"/>
    <m/>
    <n v="116267.68912430633"/>
    <m/>
    <n v="116267.68912430633"/>
    <m/>
    <n v="116267.68912430633"/>
    <m/>
    <n v="116267.68912430633"/>
    <m/>
    <n v="116267.68912430633"/>
    <m/>
    <n v="116267.68912430633"/>
    <m/>
    <n v="116267.68912430633"/>
    <n v="116267.69"/>
    <n v="4386800"/>
    <m/>
    <m/>
    <n v="0"/>
    <n v="116268.22157434403"/>
    <n v="4386800"/>
    <x v="2"/>
    <n v="20000"/>
    <n v="136268.22157434403"/>
    <n v="754600"/>
    <n v="5141400"/>
    <m/>
    <m/>
    <x v="0"/>
    <x v="0"/>
    <b v="1"/>
    <s v="АГ-005-А-15-03-100"/>
    <m/>
    <s v="ДА"/>
    <s v="Чистовая"/>
    <b v="1"/>
    <n v="5141400"/>
    <n v="0"/>
    <b v="1"/>
    <d v="2024-05-21T00:00:00"/>
    <s v="Полехович"/>
  </r>
  <r>
    <n v="101"/>
    <x v="0"/>
    <x v="14"/>
    <x v="3"/>
    <x v="1"/>
    <n v="16.61"/>
    <n v="11.38"/>
    <m/>
    <n v="27.990000000000002"/>
    <n v="14.58"/>
    <n v="4.34"/>
    <n v="2.08"/>
    <m/>
    <n v="8.82"/>
    <n v="2.56"/>
    <m/>
    <m/>
    <n v="2.56"/>
    <n v="60.37"/>
    <n v="57.81"/>
    <n v="59.09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n v="958.28704059430083"/>
    <n v="96786.991100024374"/>
    <m/>
    <n v="96786.991100024374"/>
    <m/>
    <n v="96786.991100024374"/>
    <m/>
    <n v="96786.991100024374"/>
    <n v="1451.8048665003655"/>
    <n v="98238.795966524733"/>
    <m/>
    <n v="98238.795966524733"/>
    <n v="3929.5518386609892"/>
    <n v="102168.34780518572"/>
    <n v="6130.1008683111431"/>
    <n v="108298.44867349687"/>
    <n v="14078.798327554594"/>
    <n v="122377.24700105147"/>
    <n v="35"/>
    <n v="122412.24700105147"/>
    <m/>
    <n v="122412.24700105147"/>
    <n v="122412.25"/>
    <n v="7233400"/>
    <n v="300000"/>
    <n v="0.03"/>
    <n v="517002"/>
    <n v="113663.86867490268"/>
    <n v="6716398"/>
    <x v="1"/>
    <m/>
    <n v="113663.86867490268"/>
    <n v="0"/>
    <n v="6716398"/>
    <m/>
    <s v="Время действовать / Многодетная семья"/>
    <x v="2"/>
    <x v="2"/>
    <b v="1"/>
    <s v="АГ-005-А-15-04-101"/>
    <m/>
    <s v="ДА"/>
    <s v="Черновая"/>
    <b v="1"/>
    <n v="6716398"/>
    <n v="0"/>
    <b v="1"/>
    <s v=" "/>
    <s v=""/>
  </r>
  <r>
    <n v="102"/>
    <x v="0"/>
    <x v="14"/>
    <x v="4"/>
    <x v="1"/>
    <n v="16.46"/>
    <n v="12.47"/>
    <m/>
    <n v="28.93"/>
    <n v="18"/>
    <n v="4.3499999999999996"/>
    <n v="1.55"/>
    <m/>
    <n v="8"/>
    <n v="2.67"/>
    <m/>
    <m/>
    <n v="2.67"/>
    <n v="63.5"/>
    <n v="60.83"/>
    <n v="62.17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m/>
    <n v="95828.704059430078"/>
    <n v="1916.5740811886017"/>
    <n v="97745.278140618684"/>
    <n v="488.72639070309344"/>
    <n v="98234.004531321771"/>
    <m/>
    <n v="98234.004531321771"/>
    <n v="1473.5100679698264"/>
    <n v="99707.514599291593"/>
    <m/>
    <n v="99707.514599291593"/>
    <n v="3988.3005839716639"/>
    <n v="103695.81518326326"/>
    <m/>
    <n v="103695.81518326326"/>
    <m/>
    <n v="103695.81518326326"/>
    <m/>
    <n v="103695.81518326326"/>
    <m/>
    <n v="103695.81518326326"/>
    <n v="103695.82"/>
    <n v="6446800"/>
    <m/>
    <n v="0.03"/>
    <n v="193404"/>
    <n v="100585.4270548496"/>
    <n v="6253396"/>
    <x v="1"/>
    <m/>
    <n v="100585.4270548496"/>
    <n v="0"/>
    <n v="6253396"/>
    <m/>
    <s v="Ветеран боевых действий"/>
    <x v="0"/>
    <x v="0"/>
    <b v="1"/>
    <s v="АГ-005-А-15-05-102"/>
    <m/>
    <s v="ДА"/>
    <s v="Черновая"/>
    <b v="1"/>
    <n v="6253396"/>
    <n v="0"/>
    <b v="1"/>
    <d v="2024-10-11T00:00:00"/>
    <s v="Никишов"/>
  </r>
  <r>
    <n v="103"/>
    <x v="0"/>
    <x v="14"/>
    <x v="5"/>
    <x v="1"/>
    <n v="14.64"/>
    <n v="10.74"/>
    <m/>
    <n v="25.380000000000003"/>
    <n v="14.35"/>
    <n v="4.16"/>
    <n v="1.93"/>
    <m/>
    <n v="11.03"/>
    <n v="2.6219999999999999"/>
    <m/>
    <m/>
    <n v="2.6219999999999999"/>
    <n v="59.47"/>
    <n v="56.85"/>
    <n v="58.16"/>
    <n v="81466.150500000003"/>
    <n v="4073.3075250000002"/>
    <n v="85539.458025"/>
    <n v="2566.1837407499997"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n v="88105.64"/>
    <n v="5124300"/>
    <m/>
    <n v="0.02"/>
    <n v="102486"/>
    <n v="86344.807427785418"/>
    <n v="5021814"/>
    <x v="2"/>
    <n v="22000"/>
    <n v="108344.80742778542"/>
    <n v="1279519.9999999991"/>
    <n v="6301333.9999999991"/>
    <m/>
    <s v="Скидка иногородним"/>
    <x v="0"/>
    <x v="0"/>
    <b v="1"/>
    <s v="АГ-005-А-15-06-103"/>
    <m/>
    <s v="ДА"/>
    <s v="Чистовая"/>
    <b v="1"/>
    <n v="6301334"/>
    <n v="9.3132257461547852E-10"/>
    <b v="1"/>
    <d v="2023-12-13T00:00:00"/>
    <s v="Дик"/>
  </r>
  <r>
    <n v="104"/>
    <x v="0"/>
    <x v="14"/>
    <x v="6"/>
    <x v="0"/>
    <n v="18.489999999999998"/>
    <m/>
    <m/>
    <n v="18.489999999999998"/>
    <n v="13.04"/>
    <n v="3.9"/>
    <m/>
    <m/>
    <n v="5.99"/>
    <n v="2.65"/>
    <m/>
    <m/>
    <n v="2.65"/>
    <n v="44.07"/>
    <n v="41.42"/>
    <n v="42.75"/>
    <n v="83951.4375"/>
    <n v="4197.5718750000005"/>
    <n v="88149.009374999994"/>
    <n v="2644.4702812499995"/>
    <n v="90793.479656249998"/>
    <n v="3631.7391862499999"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m/>
    <n v="94425.218842499991"/>
    <n v="94425.22"/>
    <n v="4036678.16"/>
    <m/>
    <m/>
    <n v="0"/>
    <n v="94425.22011695907"/>
    <n v="4036678.16"/>
    <x v="2"/>
    <n v="22000"/>
    <n v="116425.22011695907"/>
    <n v="940500"/>
    <n v="4977178.16"/>
    <m/>
    <m/>
    <x v="0"/>
    <x v="0"/>
    <b v="1"/>
    <s v="АГ-005-А-15-07-104"/>
    <m/>
    <s v="НЕТ"/>
    <s v="Чистовая"/>
    <b v="1"/>
    <n v="4977178.16"/>
    <n v="0"/>
    <b v="1"/>
    <d v="2023-10-25T00:00:00"/>
    <s v="Дик"/>
  </r>
  <r>
    <n v="105"/>
    <x v="0"/>
    <x v="15"/>
    <x v="0"/>
    <x v="0"/>
    <n v="14.68"/>
    <m/>
    <m/>
    <n v="14.68"/>
    <n v="9.84"/>
    <n v="3.63"/>
    <m/>
    <m/>
    <n v="4.8899999999999997"/>
    <n v="2.7"/>
    <m/>
    <m/>
    <n v="2.7"/>
    <n v="35.74"/>
    <n v="33.04"/>
    <n v="34.39"/>
    <n v="82734.75"/>
    <n v="4136.7375000000002"/>
    <n v="86871.487500000003"/>
    <n v="2606.1446249999999"/>
    <n v="89477.632125000004"/>
    <n v="12526.868497500001"/>
    <n v="102004.50062250001"/>
    <m/>
    <n v="102004.50062250001"/>
    <n v="5100.2250311250009"/>
    <n v="107104.72565362501"/>
    <m/>
    <n v="107104.72565362501"/>
    <n v="1071.0472565362502"/>
    <n v="108175.77291016125"/>
    <n v="5408.7886455080625"/>
    <n v="113584.56155566931"/>
    <m/>
    <n v="113584.56155566931"/>
    <n v="3407.5368466700793"/>
    <n v="116992.09840233938"/>
    <m/>
    <n v="116992.09840233938"/>
    <m/>
    <n v="116992.09840233938"/>
    <m/>
    <n v="116992.09840233938"/>
    <m/>
    <n v="116992.09840233938"/>
    <n v="2339.8419680467878"/>
    <n v="119331.94037038618"/>
    <m/>
    <n v="119331.94037038618"/>
    <m/>
    <n v="119331.94037038618"/>
    <n v="2983.2985092596546"/>
    <n v="122315.23887964583"/>
    <m/>
    <n v="122315.23887964583"/>
    <n v="2446.3047775929167"/>
    <n v="124761.54365723874"/>
    <n v="6238.0771828619372"/>
    <n v="130999.62084010067"/>
    <n v="17029.950709213088"/>
    <n v="148029.57154931375"/>
    <n v="35"/>
    <n v="148064.57154931375"/>
    <m/>
    <n v="148064.57154931375"/>
    <n v="148064.57"/>
    <n v="5092000"/>
    <n v="793250"/>
    <m/>
    <n v="793250"/>
    <n v="125000"/>
    <n v="4298750"/>
    <x v="2"/>
    <n v="25000"/>
    <n v="150000"/>
    <n v="859750"/>
    <n v="5158500"/>
    <s v="Хит"/>
    <s v="Скидка новоселам"/>
    <x v="0"/>
    <x v="0"/>
    <b v="1"/>
    <s v="АГ-005-А-16-01-105"/>
    <m/>
    <s v="ДА"/>
    <s v="Чистовая"/>
    <b v="1"/>
    <n v="5158500"/>
    <n v="0"/>
    <b v="1"/>
    <s v=" "/>
    <s v=""/>
  </r>
  <r>
    <n v="106"/>
    <x v="0"/>
    <x v="15"/>
    <x v="1"/>
    <x v="1"/>
    <n v="15.82"/>
    <n v="15.54"/>
    <m/>
    <n v="31.36"/>
    <n v="19.440000000000001"/>
    <n v="4.42"/>
    <m/>
    <n v="3.25"/>
    <n v="8.5299999999999994"/>
    <n v="3"/>
    <m/>
    <m/>
    <n v="3"/>
    <n v="70"/>
    <n v="67"/>
    <n v="68.5"/>
    <n v="84168.819000000003"/>
    <n v="4208.4409500000002"/>
    <n v="88377.259950000007"/>
    <n v="2651.3177985000002"/>
    <n v="91028.577748500014"/>
    <m/>
    <n v="91028.577748500014"/>
    <m/>
    <n v="91028.577748500014"/>
    <m/>
    <n v="91028.577748500014"/>
    <n v="-831"/>
    <n v="90197.577748500014"/>
    <n v="901.97577748500021"/>
    <n v="91099.553525985015"/>
    <n v="4554.9776762992506"/>
    <n v="95654.53120228427"/>
    <m/>
    <n v="95654.53120228427"/>
    <n v="1913.0906240456854"/>
    <n v="97567.621826329952"/>
    <m/>
    <n v="97567.621826329952"/>
    <n v="1951.3524365265991"/>
    <n v="99518.974262856558"/>
    <m/>
    <n v="99518.974262856558"/>
    <m/>
    <n v="99518.974262856558"/>
    <m/>
    <n v="99518.974262856558"/>
    <m/>
    <n v="99518.974262856558"/>
    <m/>
    <n v="99518.974262856558"/>
    <n v="497.59487131428278"/>
    <n v="100016.56913417084"/>
    <m/>
    <n v="100016.56913417084"/>
    <m/>
    <n v="100016.56913417084"/>
    <m/>
    <n v="100016.56913417084"/>
    <m/>
    <n v="100016.56913417084"/>
    <m/>
    <n v="100016.56913417084"/>
    <m/>
    <n v="100016.56913417084"/>
    <n v="100016.57"/>
    <n v="6851200"/>
    <n v="200000"/>
    <m/>
    <n v="200000"/>
    <n v="97097.810218978106"/>
    <n v="6651200"/>
    <x v="2"/>
    <n v="20000"/>
    <n v="117097.81021897811"/>
    <n v="1370000"/>
    <n v="8021200"/>
    <m/>
    <s v="Квартира месяца"/>
    <x v="0"/>
    <x v="0"/>
    <b v="1"/>
    <s v="АГ-005-А-16-02-106"/>
    <m/>
    <s v="ДА"/>
    <s v="Чистовая"/>
    <b v="1"/>
    <n v="8021200"/>
    <n v="0"/>
    <b v="1"/>
    <d v="2024-07-25T00:00:00"/>
    <s v="Дик"/>
  </r>
  <r>
    <n v="107"/>
    <x v="0"/>
    <x v="15"/>
    <x v="2"/>
    <x v="0"/>
    <n v="13.6"/>
    <m/>
    <m/>
    <n v="13.6"/>
    <n v="14.97"/>
    <n v="4.1100000000000003"/>
    <m/>
    <m/>
    <n v="3.7"/>
    <n v="2.69"/>
    <m/>
    <m/>
    <n v="2.69"/>
    <n v="39.07"/>
    <n v="36.380000000000003"/>
    <n v="37.729999999999997"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n v="87601.5"/>
    <n v="3305204.6"/>
    <m/>
    <m/>
    <n v="0"/>
    <n v="87601.500132520552"/>
    <n v="3305204.6"/>
    <x v="0"/>
    <n v="4000"/>
    <n v="91601.500132520552"/>
    <n v="150920"/>
    <n v="3456124.6"/>
    <m/>
    <m/>
    <x v="0"/>
    <x v="0"/>
    <b v="1"/>
    <s v="АГ-005-А-16-03-107"/>
    <m/>
    <s v="НЕТ"/>
    <s v="Предчистовая"/>
    <b v="1"/>
    <n v="3456124.6"/>
    <n v="0"/>
    <b v="1"/>
    <d v="2023-09-20T00:00:00"/>
    <s v="Калачева"/>
  </r>
  <r>
    <n v="108"/>
    <x v="0"/>
    <x v="15"/>
    <x v="3"/>
    <x v="1"/>
    <n v="16.61"/>
    <n v="11.38"/>
    <m/>
    <n v="27.990000000000002"/>
    <n v="14.58"/>
    <n v="4.34"/>
    <n v="2.08"/>
    <m/>
    <n v="8.82"/>
    <n v="2.56"/>
    <m/>
    <m/>
    <n v="2.56"/>
    <n v="60.37"/>
    <n v="57.81"/>
    <n v="59.09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n v="958.28704059430083"/>
    <n v="96786.991100024374"/>
    <m/>
    <n v="96786.991100024374"/>
    <m/>
    <n v="96786.991100024374"/>
    <m/>
    <n v="96786.991100024374"/>
    <n v="1451.8048665003655"/>
    <n v="98238.795966524733"/>
    <m/>
    <n v="98238.795966524733"/>
    <n v="3929.5518386609892"/>
    <n v="102168.34780518572"/>
    <n v="6130.1008683111431"/>
    <n v="108298.44867349687"/>
    <n v="14078.798327554594"/>
    <n v="122377.24700105147"/>
    <n v="35"/>
    <n v="122412.24700105147"/>
    <m/>
    <n v="122412.24700105147"/>
    <n v="122412.25"/>
    <n v="7233400"/>
    <n v="350000"/>
    <n v="0.03"/>
    <n v="567002"/>
    <n v="112817.70181079708"/>
    <n v="6666398"/>
    <x v="2"/>
    <n v="25000"/>
    <n v="137817.70181079709"/>
    <n v="1477250.0000000009"/>
    <n v="8143648.0000000009"/>
    <m/>
    <s v="Время действовать / Индивидуальная скидка / Ветеран боевых действий"/>
    <x v="0"/>
    <x v="0"/>
    <b v="1"/>
    <s v="АГ-005-А-16-04-108"/>
    <m/>
    <s v="ДА"/>
    <s v="Чистовая"/>
    <b v="1"/>
    <n v="8143648"/>
    <n v="-9.3132257461547852E-10"/>
    <b v="1"/>
    <d v="2025-04-12T00:00:00"/>
    <s v="Дик"/>
  </r>
  <r>
    <n v="109"/>
    <x v="0"/>
    <x v="15"/>
    <x v="4"/>
    <x v="1"/>
    <n v="16.46"/>
    <n v="12.47"/>
    <m/>
    <n v="28.93"/>
    <n v="18"/>
    <n v="4.3499999999999996"/>
    <n v="1.55"/>
    <m/>
    <n v="8"/>
    <n v="2.67"/>
    <m/>
    <m/>
    <n v="2.67"/>
    <n v="63.5"/>
    <n v="60.83"/>
    <n v="62.17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m/>
    <n v="95828.704059430078"/>
    <n v="1916.5740811886017"/>
    <n v="97745.278140618684"/>
    <m/>
    <n v="97745.278140618684"/>
    <m/>
    <n v="97745.278140618684"/>
    <m/>
    <n v="97745.278140618684"/>
    <m/>
    <n v="97745.278140618684"/>
    <m/>
    <n v="97745.278140618684"/>
    <m/>
    <n v="97745.278140618684"/>
    <m/>
    <n v="97745.278140618684"/>
    <m/>
    <n v="97745.278140618684"/>
    <m/>
    <n v="97745.278140618684"/>
    <n v="97745.279999999999"/>
    <n v="6076900"/>
    <m/>
    <m/>
    <n v="0"/>
    <n v="97746.501528068198"/>
    <n v="6076900"/>
    <x v="1"/>
    <m/>
    <n v="97746.501528068198"/>
    <n v="0"/>
    <n v="6076900"/>
    <m/>
    <m/>
    <x v="0"/>
    <x v="0"/>
    <b v="1"/>
    <s v="АГ-005-А-16-05-109"/>
    <m/>
    <s v="ДА"/>
    <s v="Черновая"/>
    <b v="1"/>
    <n v="6076900"/>
    <n v="0"/>
    <b v="1"/>
    <d v="2024-06-13T00:00:00"/>
    <s v="Голенко"/>
  </r>
  <r>
    <n v="110"/>
    <x v="0"/>
    <x v="15"/>
    <x v="5"/>
    <x v="1"/>
    <n v="14.64"/>
    <n v="10.74"/>
    <m/>
    <n v="25.380000000000003"/>
    <n v="14.35"/>
    <n v="4.16"/>
    <n v="1.93"/>
    <m/>
    <n v="11.03"/>
    <n v="2.6219999999999999"/>
    <m/>
    <m/>
    <n v="2.6219999999999999"/>
    <n v="59.47"/>
    <n v="56.85"/>
    <n v="58.16"/>
    <n v="81466.150500000003"/>
    <n v="4073.3075250000002"/>
    <n v="85539.458025"/>
    <n v="2566.1837407499997"/>
    <n v="88105.641765749999"/>
    <m/>
    <n v="88105.641765749999"/>
    <m/>
    <n v="88105.641765749999"/>
    <m/>
    <n v="88105.641765749999"/>
    <m/>
    <n v="88105.641765749999"/>
    <n v="881.05641765749999"/>
    <n v="88986.698183407498"/>
    <n v="4449.3349091703749"/>
    <n v="93436.033092577869"/>
    <m/>
    <n v="93436.033092577869"/>
    <n v="1868.7206618515575"/>
    <n v="95304.753754429432"/>
    <m/>
    <n v="95304.753754429432"/>
    <n v="1906.0950750885886"/>
    <n v="97210.848829518014"/>
    <m/>
    <n v="97210.848829518014"/>
    <n v="972.10848829518011"/>
    <n v="98182.957317813198"/>
    <m/>
    <n v="98182.957317813198"/>
    <m/>
    <n v="98182.957317813198"/>
    <m/>
    <n v="98182.957317813198"/>
    <n v="1472.7443597671979"/>
    <n v="99655.701677580393"/>
    <n v="500"/>
    <n v="100155.70167758039"/>
    <n v="4006.2280671032158"/>
    <n v="104161.92974468361"/>
    <n v="6249.7157846810169"/>
    <n v="110411.64552936463"/>
    <n v="14353.513918817402"/>
    <n v="124765.15944818204"/>
    <n v="35"/>
    <n v="124800.15944818204"/>
    <m/>
    <n v="124800.15944818204"/>
    <n v="124800.16"/>
    <n v="7258400"/>
    <m/>
    <m/>
    <n v="0"/>
    <n v="124800.55020632737"/>
    <n v="7258400"/>
    <x v="1"/>
    <m/>
    <n v="124800.55020632737"/>
    <n v="0"/>
    <n v="7258400"/>
    <m/>
    <m/>
    <x v="1"/>
    <x v="1"/>
    <b v="1"/>
    <s v="АГ-005-А-16-06-110"/>
    <m/>
    <s v="ДА"/>
    <s v="Черновая"/>
    <b v="1"/>
    <n v="7258400"/>
    <n v="0"/>
    <b v="1"/>
    <s v=" "/>
    <s v=""/>
  </r>
  <r>
    <n v="111"/>
    <x v="0"/>
    <x v="15"/>
    <x v="6"/>
    <x v="0"/>
    <n v="18.489999999999998"/>
    <m/>
    <m/>
    <n v="18.489999999999998"/>
    <n v="13.04"/>
    <n v="3.9"/>
    <m/>
    <m/>
    <n v="5.99"/>
    <n v="2.65"/>
    <m/>
    <m/>
    <n v="2.65"/>
    <n v="44.07"/>
    <n v="41.42"/>
    <n v="42.75"/>
    <n v="83951.4375"/>
    <n v="4197.5718750000005"/>
    <n v="88149.009374999994"/>
    <n v="2644.4702812499995"/>
    <n v="90793.479656249998"/>
    <n v="3631.7391862499999"/>
    <n v="94425.218842499991"/>
    <m/>
    <n v="94425.218842499991"/>
    <n v="4721.2609421249999"/>
    <n v="99146.479784624986"/>
    <m/>
    <n v="99146.479784624986"/>
    <n v="991.46479784624989"/>
    <n v="100137.94458247123"/>
    <n v="5006.8972291235623"/>
    <n v="105144.84181159479"/>
    <m/>
    <n v="105144.84181159479"/>
    <n v="3154.3452543478434"/>
    <n v="108299.18706594263"/>
    <m/>
    <n v="108299.18706594263"/>
    <m/>
    <n v="108299.18706594263"/>
    <m/>
    <n v="108299.18706594263"/>
    <m/>
    <n v="108299.18706594263"/>
    <m/>
    <n v="108299.18706594263"/>
    <n v="541.49593532971323"/>
    <n v="108840.68300127235"/>
    <m/>
    <n v="108840.68300127235"/>
    <n v="1632.6102450190851"/>
    <n v="110473.29324629143"/>
    <m/>
    <n v="110473.29324629143"/>
    <m/>
    <n v="110473.29324629143"/>
    <m/>
    <n v="110473.29324629143"/>
    <m/>
    <n v="110473.29324629143"/>
    <m/>
    <n v="110473.29324629143"/>
    <m/>
    <n v="110473.29324629143"/>
    <n v="110473.29"/>
    <n v="4722800"/>
    <m/>
    <n v="0.02"/>
    <n v="94456"/>
    <n v="108265.35672514619"/>
    <n v="4628344"/>
    <x v="3"/>
    <n v="8000"/>
    <n v="116265.35672514619"/>
    <n v="342000"/>
    <n v="4970344"/>
    <m/>
    <s v="Скидка иногородним"/>
    <x v="0"/>
    <x v="0"/>
    <b v="1"/>
    <s v="АГ-005-А-16-07-111"/>
    <m/>
    <s v="ДА"/>
    <s v="White Box"/>
    <b v="1"/>
    <n v="4970344"/>
    <n v="0"/>
    <b v="1"/>
    <d v="2024-10-23T00:00:00"/>
    <s v="Дик"/>
  </r>
  <r>
    <n v="112"/>
    <x v="1"/>
    <x v="0"/>
    <x v="0"/>
    <x v="1"/>
    <n v="15.91"/>
    <n v="12.02"/>
    <m/>
    <n v="27.93"/>
    <n v="15.31"/>
    <n v="3.85"/>
    <n v="2.2999999999999998"/>
    <m/>
    <n v="9.4499999999999993"/>
    <n v="2.75"/>
    <m/>
    <m/>
    <n v="2.75"/>
    <n v="61.59"/>
    <n v="58.84"/>
    <n v="60.22"/>
    <n v="81466.150500000003"/>
    <n v="4073.3075250000002"/>
    <n v="85539.458025"/>
    <n v="2566.1837407499997"/>
    <n v="88105.641765749999"/>
    <m/>
    <n v="88105.641765749999"/>
    <m/>
    <n v="88105.641765749999"/>
    <m/>
    <n v="88105.641765749999"/>
    <m/>
    <n v="88105.641765749999"/>
    <n v="881.05641765749999"/>
    <n v="88986.698183407498"/>
    <n v="4449.3349091703749"/>
    <n v="93436.033092577869"/>
    <n v="6563.966907422131"/>
    <n v="100000"/>
    <n v="2000"/>
    <n v="102000"/>
    <m/>
    <n v="102000"/>
    <n v="2040"/>
    <n v="104040"/>
    <m/>
    <n v="104040"/>
    <m/>
    <n v="104040"/>
    <m/>
    <n v="104040"/>
    <m/>
    <n v="104040"/>
    <m/>
    <n v="104040"/>
    <n v="1560.6"/>
    <n v="105600.6"/>
    <m/>
    <n v="105600.6"/>
    <n v="4224.0240000000003"/>
    <n v="109824.62400000001"/>
    <n v="6589.4774400000006"/>
    <n v="116414.10144000001"/>
    <n v="15133.833187200002"/>
    <n v="131547.93462720001"/>
    <n v="35"/>
    <n v="131582.93462720001"/>
    <m/>
    <n v="131582.93462720001"/>
    <n v="131582.93"/>
    <n v="7924000"/>
    <m/>
    <m/>
    <n v="0"/>
    <n v="131584.19129857191"/>
    <n v="7924000"/>
    <x v="1"/>
    <m/>
    <n v="131584.19129857191"/>
    <n v="0"/>
    <n v="7924000"/>
    <m/>
    <m/>
    <x v="1"/>
    <x v="1"/>
    <b v="1"/>
    <s v="АГ-005-Б-01-01-112"/>
    <m/>
    <s v="ДА"/>
    <s v="Черновая"/>
    <b v="1"/>
    <n v="7924000"/>
    <n v="0"/>
    <b v="1"/>
    <s v=" "/>
    <s v=""/>
  </r>
  <r>
    <n v="113"/>
    <x v="1"/>
    <x v="0"/>
    <x v="1"/>
    <x v="2"/>
    <n v="7.13"/>
    <m/>
    <m/>
    <n v="7.13"/>
    <n v="5.12"/>
    <n v="3.65"/>
    <m/>
    <m/>
    <n v="6.92"/>
    <n v="2.91"/>
    <m/>
    <m/>
    <n v="2.91"/>
    <n v="25.73"/>
    <n v="22.82"/>
    <n v="24.28"/>
    <n v="98989.695000000007"/>
    <n v="4949.4847500000005"/>
    <n v="103939.17975000001"/>
    <m/>
    <n v="103939.17975000001"/>
    <m/>
    <n v="103939.17975000001"/>
    <m/>
    <n v="103939.17975000001"/>
    <m/>
    <n v="103939.17975000001"/>
    <m/>
    <n v="103939.17975000001"/>
    <m/>
    <n v="103939.17975000001"/>
    <m/>
    <n v="103939.17975000001"/>
    <m/>
    <n v="103939.17975000001"/>
    <m/>
    <n v="103939.17975000001"/>
    <m/>
    <n v="103939.17975000001"/>
    <m/>
    <n v="103939.17975000001"/>
    <m/>
    <n v="103939.17975000001"/>
    <m/>
    <n v="103939.17975000001"/>
    <m/>
    <n v="103939.17975000001"/>
    <m/>
    <n v="103939.17975000001"/>
    <m/>
    <n v="103939.17975000001"/>
    <m/>
    <n v="103939.17975000001"/>
    <m/>
    <n v="103939.17975000001"/>
    <m/>
    <n v="103939.17975000001"/>
    <m/>
    <n v="103939.17975000001"/>
    <m/>
    <n v="103939.17975000001"/>
    <m/>
    <n v="103939.17975000001"/>
    <m/>
    <n v="103939.17975000001"/>
    <n v="103939.18"/>
    <n v="2523643.29"/>
    <m/>
    <m/>
    <n v="0"/>
    <n v="103939.17998352554"/>
    <n v="2523643.29"/>
    <x v="1"/>
    <m/>
    <n v="103939.17998352554"/>
    <n v="0"/>
    <n v="2523643.29"/>
    <m/>
    <m/>
    <x v="0"/>
    <x v="0"/>
    <b v="1"/>
    <s v="АГ-005-Б-01-02-113"/>
    <m/>
    <s v="НЕТ"/>
    <s v="Черновая"/>
    <b v="1"/>
    <n v="2523643.29"/>
    <n v="0"/>
    <b v="1"/>
    <d v="2023-09-19T00:00:00"/>
    <s v="Дик"/>
  </r>
  <r>
    <n v="114"/>
    <x v="1"/>
    <x v="0"/>
    <x v="2"/>
    <x v="1"/>
    <n v="14.6"/>
    <n v="13.12"/>
    <m/>
    <n v="27.72"/>
    <n v="14.35"/>
    <n v="3.68"/>
    <n v="2.57"/>
    <m/>
    <n v="7.95"/>
    <n v="2.65"/>
    <m/>
    <m/>
    <n v="2.65"/>
    <n v="58.92"/>
    <n v="56.27"/>
    <n v="57.6"/>
    <n v="79921.768500000006"/>
    <n v="3996.0884250000004"/>
    <n v="83917.856925"/>
    <n v="2517.5357077499998"/>
    <n v="86435.392632749994"/>
    <m/>
    <n v="86435.392632749994"/>
    <m/>
    <n v="86435.392632749994"/>
    <m/>
    <n v="86435.392632749994"/>
    <m/>
    <n v="86435.392632749994"/>
    <n v="864.35392632749995"/>
    <n v="87299.746559077495"/>
    <n v="4364.9873279538751"/>
    <n v="91664.733887031369"/>
    <n v="8335.2661129686312"/>
    <n v="100000"/>
    <n v="2000"/>
    <n v="102000"/>
    <m/>
    <n v="102000"/>
    <n v="2040"/>
    <n v="104040"/>
    <m/>
    <n v="104040"/>
    <n v="1040.4000000000001"/>
    <n v="105080.4"/>
    <m/>
    <n v="105080.4"/>
    <m/>
    <n v="105080.4"/>
    <m/>
    <n v="105080.4"/>
    <n v="2627.01"/>
    <n v="107707.40999999999"/>
    <m/>
    <n v="107707.40999999999"/>
    <n v="4308.2963999999993"/>
    <n v="112015.7064"/>
    <n v="6720.942383999999"/>
    <n v="118736.64878399999"/>
    <n v="15435.764341919999"/>
    <n v="134172.41312591999"/>
    <n v="35"/>
    <n v="134207.41312591999"/>
    <n v="1342.0741312591999"/>
    <n v="135549.48725717919"/>
    <n v="135549.49"/>
    <n v="7807700"/>
    <m/>
    <m/>
    <n v="0"/>
    <n v="135550.34722222222"/>
    <n v="7807700"/>
    <x v="1"/>
    <m/>
    <n v="135550.34722222222"/>
    <n v="0"/>
    <n v="7807700"/>
    <s v="Хит"/>
    <m/>
    <x v="1"/>
    <x v="1"/>
    <b v="1"/>
    <s v="АГ-005-Б-01-03-114"/>
    <m/>
    <s v="ДА"/>
    <s v="Черновая"/>
    <b v="1"/>
    <n v="7807700"/>
    <n v="0"/>
    <b v="1"/>
    <s v=" "/>
    <s v=""/>
  </r>
  <r>
    <n v="115"/>
    <x v="1"/>
    <x v="0"/>
    <x v="3"/>
    <x v="0"/>
    <n v="12.06"/>
    <m/>
    <m/>
    <n v="12.06"/>
    <n v="13.18"/>
    <n v="4.1100000000000003"/>
    <m/>
    <m/>
    <n v="7.09"/>
    <n v="2.84"/>
    <m/>
    <m/>
    <n v="2.84"/>
    <n v="39.28"/>
    <n v="36.44"/>
    <n v="37.86"/>
    <n v="91657.125"/>
    <n v="4582.8562499999998"/>
    <n v="96239.981249999997"/>
    <n v="2887.1994374999999"/>
    <n v="99127.180687500004"/>
    <n v="4460.7231309375002"/>
    <n v="103587.90381843751"/>
    <m/>
    <n v="103587.90381843751"/>
    <n v="5179.3951909218758"/>
    <n v="108767.29900935938"/>
    <m/>
    <n v="108767.29900935938"/>
    <n v="1087.6729900935939"/>
    <n v="109854.97199945297"/>
    <n v="5492.7485999726487"/>
    <n v="115347.72059942562"/>
    <n v="4652.2794005743781"/>
    <n v="120000"/>
    <n v="3600"/>
    <n v="123600"/>
    <m/>
    <n v="123600"/>
    <m/>
    <n v="123600"/>
    <m/>
    <n v="123600"/>
    <m/>
    <n v="123600"/>
    <n v="1236"/>
    <n v="124836"/>
    <n v="624.18000000000006"/>
    <n v="125460.18"/>
    <m/>
    <n v="125460.18"/>
    <n v="1881.9026999999999"/>
    <n v="127342.0827"/>
    <m/>
    <n v="127342.0827"/>
    <m/>
    <n v="127342.0827"/>
    <n v="6367.1041350000005"/>
    <n v="133709.186835"/>
    <n v="17382.194288549999"/>
    <n v="151091.38112355"/>
    <n v="35"/>
    <n v="151126.38112355"/>
    <m/>
    <n v="151126.38112355"/>
    <n v="151126.38"/>
    <n v="5721700"/>
    <m/>
    <m/>
    <n v="0"/>
    <n v="151127.83940834654"/>
    <n v="5721700"/>
    <x v="1"/>
    <m/>
    <n v="151127.83940834654"/>
    <n v="0"/>
    <n v="5721700"/>
    <m/>
    <m/>
    <x v="1"/>
    <x v="1"/>
    <b v="1"/>
    <s v="АГ-005-Б-01-04-115"/>
    <m/>
    <s v="ДА"/>
    <s v="Черновая"/>
    <b v="1"/>
    <n v="5721700"/>
    <n v="0"/>
    <b v="1"/>
    <s v=" "/>
    <s v=""/>
  </r>
  <r>
    <n v="116"/>
    <x v="1"/>
    <x v="0"/>
    <x v="4"/>
    <x v="1"/>
    <n v="17.2"/>
    <n v="14.31"/>
    <m/>
    <n v="31.509999999999998"/>
    <n v="13.39"/>
    <n v="4.2"/>
    <m/>
    <m/>
    <n v="13.21"/>
    <n v="2.79"/>
    <n v="2.68"/>
    <m/>
    <n v="5.4700000000000006"/>
    <n v="67.78"/>
    <n v="62.31"/>
    <n v="65.05"/>
    <n v="78377.386500000008"/>
    <n v="3918.8693250000006"/>
    <n v="82296.255825000015"/>
    <n v="2468.8876747500003"/>
    <n v="84765.143499750018"/>
    <m/>
    <n v="84765.143499750018"/>
    <m/>
    <n v="84765.143499750018"/>
    <m/>
    <n v="84765.143499750018"/>
    <m/>
    <n v="84765.143499750018"/>
    <m/>
    <n v="84765.143499750018"/>
    <m/>
    <n v="84765.143499750018"/>
    <m/>
    <n v="84765.143499750018"/>
    <m/>
    <n v="84765.143499750018"/>
    <m/>
    <n v="84765.143499750018"/>
    <m/>
    <n v="84765.143499750018"/>
    <m/>
    <n v="84765.143499750018"/>
    <m/>
    <n v="84765.143499750018"/>
    <m/>
    <n v="84765.143499750018"/>
    <m/>
    <n v="84765.143499750018"/>
    <m/>
    <n v="84765.143499750018"/>
    <m/>
    <n v="84765.143499750018"/>
    <m/>
    <n v="84765.143499750018"/>
    <m/>
    <n v="84765.143499750018"/>
    <m/>
    <n v="84765.143499750018"/>
    <m/>
    <n v="84765.143499750018"/>
    <m/>
    <n v="84765.143499750018"/>
    <m/>
    <n v="84765.143499750018"/>
    <n v="84765.14"/>
    <n v="5513972.3600000003"/>
    <m/>
    <n v="0.02"/>
    <n v="110279.44720000001"/>
    <n v="83069.837202152194"/>
    <n v="5403692.9100000001"/>
    <x v="1"/>
    <m/>
    <n v="83069.837202152194"/>
    <n v="0"/>
    <n v="5403692.9100000001"/>
    <m/>
    <s v="Скидка иногородним"/>
    <x v="0"/>
    <x v="0"/>
    <b v="1"/>
    <s v="АГ-005-Б-01-05-116"/>
    <m/>
    <s v="НЕТ"/>
    <s v="Черновая"/>
    <b v="1"/>
    <n v="5403692.9100000001"/>
    <n v="0"/>
    <b v="1"/>
    <d v="2023-11-28T00:00:00"/>
    <s v="Дик"/>
  </r>
  <r>
    <n v="117"/>
    <x v="1"/>
    <x v="0"/>
    <x v="5"/>
    <x v="1"/>
    <n v="17.48"/>
    <n v="16.54"/>
    <m/>
    <n v="34.019999999999996"/>
    <n v="13.04"/>
    <n v="3.9"/>
    <m/>
    <m/>
    <n v="9.8800000000000008"/>
    <n v="2.65"/>
    <m/>
    <m/>
    <n v="2.65"/>
    <n v="63.49"/>
    <n v="60.84"/>
    <n v="62.17"/>
    <n v="79921.768500000006"/>
    <n v="3996.0884250000004"/>
    <n v="83917.856925"/>
    <n v="2517.5357077499998"/>
    <n v="86435.392632749994"/>
    <m/>
    <n v="86435.392632749994"/>
    <m/>
    <n v="86435.392632749994"/>
    <m/>
    <n v="86435.392632749994"/>
    <m/>
    <n v="86435.392632749994"/>
    <n v="864.35392632749995"/>
    <n v="87299.746559077495"/>
    <n v="4364.9873279538751"/>
    <n v="91664.733887031369"/>
    <n v="8335.2661129686312"/>
    <n v="100000"/>
    <n v="2000"/>
    <n v="102000"/>
    <m/>
    <n v="102000"/>
    <n v="2040"/>
    <n v="104040"/>
    <m/>
    <n v="104040"/>
    <n v="1040.4000000000001"/>
    <n v="105080.4"/>
    <m/>
    <n v="105080.4"/>
    <m/>
    <n v="105080.4"/>
    <m/>
    <n v="105080.4"/>
    <n v="1576.2059999999999"/>
    <n v="106656.606"/>
    <m/>
    <n v="106656.606"/>
    <n v="4266.2642400000004"/>
    <n v="110922.87024"/>
    <n v="6655.3722144000003"/>
    <n v="117578.24245440001"/>
    <n v="15285.171519072002"/>
    <n v="132863.41397347202"/>
    <n v="35"/>
    <n v="132898.41397347202"/>
    <m/>
    <n v="132898.41397347202"/>
    <n v="132898.41"/>
    <n v="8262300"/>
    <m/>
    <m/>
    <n v="0"/>
    <n v="132898.50410165676"/>
    <n v="8262300"/>
    <x v="2"/>
    <n v="25000"/>
    <n v="157898.50410165676"/>
    <n v="1554250"/>
    <n v="9816550"/>
    <m/>
    <m/>
    <x v="1"/>
    <x v="1"/>
    <b v="1"/>
    <s v="АГ-005-Б-01-06-117"/>
    <m/>
    <s v="ДА"/>
    <s v="Чистовая"/>
    <b v="1"/>
    <n v="9816550"/>
    <n v="0"/>
    <b v="1"/>
    <s v=" "/>
    <s v=""/>
  </r>
  <r>
    <n v="118"/>
    <x v="1"/>
    <x v="1"/>
    <x v="0"/>
    <x v="1"/>
    <n v="15.91"/>
    <n v="12.02"/>
    <m/>
    <n v="27.93"/>
    <n v="15.31"/>
    <n v="3.85"/>
    <n v="2.2999999999999998"/>
    <m/>
    <n v="9.4499999999999993"/>
    <n v="2.75"/>
    <m/>
    <m/>
    <n v="2.75"/>
    <n v="61.59"/>
    <n v="58.84"/>
    <n v="60.22"/>
    <n v="81080.055000000008"/>
    <n v="4054.0027500000006"/>
    <n v="85134.057750000007"/>
    <n v="2554.0217325000003"/>
    <n v="87688.079482500005"/>
    <m/>
    <n v="87688.079482500005"/>
    <m/>
    <n v="87688.079482500005"/>
    <m/>
    <n v="87688.079482500005"/>
    <m/>
    <n v="87688.079482500005"/>
    <n v="876.88079482500007"/>
    <n v="88564.960277325008"/>
    <n v="4428.2480138662504"/>
    <n v="92993.208291191258"/>
    <m/>
    <n v="92993.208291191258"/>
    <n v="1859.8641658238253"/>
    <n v="94853.072457015078"/>
    <m/>
    <n v="94853.072457015078"/>
    <n v="1897.0614491403016"/>
    <n v="96750.133906155374"/>
    <m/>
    <n v="96750.133906155374"/>
    <m/>
    <n v="96750.133906155374"/>
    <m/>
    <n v="96750.133906155374"/>
    <m/>
    <n v="96750.133906155374"/>
    <m/>
    <n v="96750.133906155374"/>
    <n v="1451.2520085923306"/>
    <n v="98201.385914747705"/>
    <m/>
    <n v="98201.385914747705"/>
    <n v="3928.0554365899084"/>
    <n v="102129.44135133762"/>
    <n v="6127.7664810802571"/>
    <n v="108257.20783241787"/>
    <n v="14073.437018214325"/>
    <n v="122330.6448506322"/>
    <n v="35"/>
    <n v="122365.6448506322"/>
    <m/>
    <n v="122365.6448506322"/>
    <n v="122365.64"/>
    <n v="7368900"/>
    <m/>
    <m/>
    <n v="0"/>
    <n v="122366.32348057124"/>
    <n v="7368900"/>
    <x v="3"/>
    <n v="10000"/>
    <n v="132366.32348057124"/>
    <n v="602200"/>
    <n v="7971100"/>
    <m/>
    <m/>
    <x v="1"/>
    <x v="1"/>
    <b v="1"/>
    <s v="АГ-005-Б-02-01-118"/>
    <m/>
    <s v="ДА"/>
    <s v="White Box"/>
    <b v="1"/>
    <n v="7971100"/>
    <n v="0"/>
    <b v="1"/>
    <s v=" "/>
    <s v=""/>
  </r>
  <r>
    <n v="119"/>
    <x v="1"/>
    <x v="1"/>
    <x v="1"/>
    <x v="2"/>
    <n v="7.13"/>
    <m/>
    <m/>
    <n v="7.13"/>
    <n v="5.12"/>
    <n v="3.65"/>
    <m/>
    <m/>
    <n v="6.92"/>
    <n v="2.91"/>
    <m/>
    <m/>
    <n v="2.91"/>
    <n v="25.73"/>
    <n v="22.82"/>
    <n v="24.28"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n v="91105.56"/>
    <n v="2212043"/>
    <m/>
    <m/>
    <n v="0"/>
    <n v="91105.560131795719"/>
    <n v="2212043"/>
    <x v="2"/>
    <n v="15500"/>
    <n v="106605.56013179572"/>
    <n v="376340"/>
    <n v="2588383"/>
    <m/>
    <m/>
    <x v="0"/>
    <x v="0"/>
    <b v="1"/>
    <s v="АГ-005-Б-02-02-119"/>
    <m/>
    <s v="НЕТ"/>
    <s v="Чистовая"/>
    <b v="1"/>
    <n v="2588383"/>
    <n v="0"/>
    <b v="1"/>
    <d v="2023-09-26T00:00:00"/>
    <s v="Калачева"/>
  </r>
  <r>
    <n v="120"/>
    <x v="1"/>
    <x v="1"/>
    <x v="2"/>
    <x v="1"/>
    <n v="14.6"/>
    <n v="13.12"/>
    <m/>
    <n v="27.72"/>
    <n v="14.35"/>
    <n v="3.68"/>
    <n v="2.57"/>
    <m/>
    <n v="7.95"/>
    <n v="2.65"/>
    <m/>
    <m/>
    <n v="2.65"/>
    <n v="58.92"/>
    <n v="56.27"/>
    <n v="57.6"/>
    <n v="79535.67300000001"/>
    <n v="3976.7836500000008"/>
    <n v="83512.456650000007"/>
    <n v="2505.3736994999999"/>
    <n v="86017.8303495"/>
    <m/>
    <n v="86017.8303495"/>
    <m/>
    <n v="86017.8303495"/>
    <m/>
    <n v="86017.8303495"/>
    <m/>
    <n v="86017.8303495"/>
    <n v="860.17830349500002"/>
    <n v="86878.008652995006"/>
    <n v="4343.9004326497507"/>
    <n v="91221.909085644758"/>
    <m/>
    <n v="91221.909085644758"/>
    <n v="1824.4381817128951"/>
    <n v="93046.347267357647"/>
    <m/>
    <n v="93046.347267357647"/>
    <n v="1860.9269453471529"/>
    <n v="94907.274212704797"/>
    <m/>
    <n v="94907.274212704797"/>
    <n v="949.07274212704795"/>
    <n v="95856.346954831839"/>
    <m/>
    <n v="95856.346954831839"/>
    <m/>
    <n v="95856.346954831839"/>
    <m/>
    <n v="95856.346954831839"/>
    <n v="2396.4086738707961"/>
    <n v="98252.755628702638"/>
    <m/>
    <n v="98252.755628702638"/>
    <n v="3930.1102251481057"/>
    <n v="102182.86585385074"/>
    <n v="6130.9719512310448"/>
    <n v="108313.83780508178"/>
    <n v="14080.798914660632"/>
    <n v="122394.63671974241"/>
    <m/>
    <n v="122394.63671974241"/>
    <m/>
    <n v="122394.63671974241"/>
    <n v="122394.64"/>
    <n v="7050000"/>
    <m/>
    <n v="0.03"/>
    <n v="211500"/>
    <n v="118723.95833333333"/>
    <n v="6838500"/>
    <x v="3"/>
    <n v="10000"/>
    <n v="128723.95833333333"/>
    <n v="576000"/>
    <n v="7414500"/>
    <s v="Хит"/>
    <s v="Индивидуальная скидка"/>
    <x v="0"/>
    <x v="0"/>
    <b v="1"/>
    <s v="АГ-005-Б-02-03-120"/>
    <m/>
    <s v="ДА"/>
    <s v="White Box"/>
    <b v="1"/>
    <n v="7414500"/>
    <n v="0"/>
    <b v="1"/>
    <d v="2024-12-17T00:00:00"/>
    <s v="Никишов"/>
  </r>
  <r>
    <n v="121"/>
    <x v="1"/>
    <x v="1"/>
    <x v="3"/>
    <x v="1"/>
    <n v="15.45"/>
    <n v="14.5"/>
    <m/>
    <n v="29.95"/>
    <n v="11.95"/>
    <n v="3.86"/>
    <n v="2.37"/>
    <m/>
    <n v="8.8699999999999992"/>
    <n v="2.62"/>
    <m/>
    <m/>
    <n v="2.62"/>
    <n v="59.62"/>
    <n v="57"/>
    <n v="58.31"/>
    <n v="80693.959500000012"/>
    <n v="4034.697975000001"/>
    <n v="84728.657475000015"/>
    <n v="2541.8597242500005"/>
    <n v="87270.517199250011"/>
    <m/>
    <n v="87270.517199250011"/>
    <m/>
    <n v="87270.517199250011"/>
    <m/>
    <n v="87270.517199250011"/>
    <m/>
    <n v="87270.517199250011"/>
    <n v="872.70517199250014"/>
    <n v="88143.222371242504"/>
    <n v="4407.161118562125"/>
    <n v="92550.383489804633"/>
    <m/>
    <n v="92550.383489804633"/>
    <n v="1851.0076697960926"/>
    <n v="94401.391159600724"/>
    <m/>
    <n v="94401.391159600724"/>
    <n v="1888.0278231920145"/>
    <n v="96289.418982792733"/>
    <m/>
    <n v="96289.418982792733"/>
    <m/>
    <n v="96289.418982792733"/>
    <n v="962.89418982792733"/>
    <n v="97252.313172620663"/>
    <m/>
    <n v="97252.313172620663"/>
    <m/>
    <n v="97252.313172620663"/>
    <n v="2431.3078293155168"/>
    <n v="99683.621001936175"/>
    <n v="500"/>
    <n v="100183.62100193618"/>
    <n v="4007.3448400774473"/>
    <n v="104190.96584201363"/>
    <n v="6251.4579505208176"/>
    <n v="110442.42379253445"/>
    <n v="14357.515093029479"/>
    <n v="124799.93888556393"/>
    <n v="35"/>
    <n v="124834.93888556393"/>
    <m/>
    <n v="124834.93888556393"/>
    <n v="124834.94"/>
    <n v="7279200"/>
    <m/>
    <m/>
    <n v="0"/>
    <n v="124836.22020236666"/>
    <n v="7279200"/>
    <x v="3"/>
    <n v="10000"/>
    <n v="134836.22020236665"/>
    <n v="583099.99999999907"/>
    <n v="7862299.9999999991"/>
    <m/>
    <m/>
    <x v="1"/>
    <x v="1"/>
    <b v="1"/>
    <s v="АГ-005-Б-02-04-121"/>
    <m/>
    <s v="ДА"/>
    <s v="White Box"/>
    <b v="1"/>
    <n v="7862300"/>
    <n v="9.3132257461547852E-10"/>
    <b v="1"/>
    <s v=" "/>
    <s v=""/>
  </r>
  <r>
    <n v="122"/>
    <x v="1"/>
    <x v="1"/>
    <x v="4"/>
    <x v="0"/>
    <n v="12.06"/>
    <m/>
    <m/>
    <n v="12.06"/>
    <n v="13.18"/>
    <n v="4.1100000000000003"/>
    <m/>
    <m/>
    <n v="7.09"/>
    <n v="2.84"/>
    <m/>
    <m/>
    <n v="2.84"/>
    <n v="39.28"/>
    <n v="36.44"/>
    <n v="37.86"/>
    <n v="88412.625"/>
    <n v="4420.6312500000004"/>
    <n v="92833.256250000006"/>
    <n v="2784.9976875000002"/>
    <n v="95618.253937500005"/>
    <n v="4302.8214271875004"/>
    <n v="99921.075364687509"/>
    <m/>
    <n v="99921.075364687509"/>
    <n v="4996.0537682343756"/>
    <n v="104917.12913292188"/>
    <m/>
    <n v="104917.12913292188"/>
    <n v="1049.1712913292188"/>
    <n v="105966.30042425109"/>
    <n v="5298.3150212125547"/>
    <n v="111264.61544546366"/>
    <m/>
    <n v="111264.61544546366"/>
    <n v="3337.9384633639097"/>
    <n v="114602.55390882757"/>
    <m/>
    <n v="114602.55390882757"/>
    <m/>
    <n v="114602.55390882757"/>
    <m/>
    <n v="114602.55390882757"/>
    <m/>
    <n v="114602.55390882757"/>
    <n v="1146.0255390882758"/>
    <n v="115748.57944791585"/>
    <n v="578.74289723957929"/>
    <n v="116327.32234515544"/>
    <m/>
    <n v="116327.32234515544"/>
    <n v="2908.1830586288861"/>
    <n v="119235.50540378432"/>
    <m/>
    <n v="119235.50540378432"/>
    <m/>
    <n v="119235.50540378432"/>
    <m/>
    <n v="119235.50540378432"/>
    <m/>
    <n v="119235.50540378432"/>
    <m/>
    <n v="119235.50540378432"/>
    <m/>
    <n v="119235.50540378432"/>
    <n v="119235.51"/>
    <n v="4514300"/>
    <m/>
    <n v="0.02"/>
    <n v="90286"/>
    <n v="116851.92815636555"/>
    <n v="4424014"/>
    <x v="3"/>
    <n v="8000"/>
    <n v="124851.92815636555"/>
    <n v="302880"/>
    <n v="4726894"/>
    <m/>
    <s v="Скидка иногородним"/>
    <x v="0"/>
    <x v="0"/>
    <b v="1"/>
    <s v="АГ-005-Б-02-05-122"/>
    <m/>
    <s v="ДА"/>
    <s v="White Box"/>
    <b v="1"/>
    <n v="4726894"/>
    <n v="0"/>
    <b v="1"/>
    <d v="2024-10-11T00:00:00"/>
    <s v="Дик"/>
  </r>
  <r>
    <n v="123"/>
    <x v="1"/>
    <x v="1"/>
    <x v="5"/>
    <x v="3"/>
    <n v="17.89"/>
    <n v="17.2"/>
    <n v="14.31"/>
    <n v="49.400000000000006"/>
    <n v="13.39"/>
    <n v="4.2"/>
    <n v="2.0499999999999998"/>
    <m/>
    <n v="13.21"/>
    <n v="2.79"/>
    <n v="2.68"/>
    <m/>
    <n v="5.4700000000000006"/>
    <n v="87.72"/>
    <n v="82.25"/>
    <n v="84.99"/>
    <n v="72806.580000000016"/>
    <n v="3640.3290000000011"/>
    <n v="76446.909000000014"/>
    <n v="2293.4072700000002"/>
    <n v="78740.31627000001"/>
    <m/>
    <n v="78740.31627000001"/>
    <m/>
    <n v="78740.31627000001"/>
    <m/>
    <n v="78740.31627000001"/>
    <m/>
    <n v="78740.31627000001"/>
    <n v="787.40316270000017"/>
    <n v="79527.719432700003"/>
    <n v="3976.3859716350003"/>
    <n v="83504.105404335001"/>
    <m/>
    <n v="83504.105404335001"/>
    <n v="1670.0821080867001"/>
    <n v="85174.187512421704"/>
    <m/>
    <n v="85174.187512421704"/>
    <n v="1703.483750248434"/>
    <n v="86877.671262670134"/>
    <m/>
    <n v="86877.671262670134"/>
    <n v="868.7767126267014"/>
    <n v="87746.447975296833"/>
    <m/>
    <n v="87746.447975296833"/>
    <m/>
    <n v="87746.447975296833"/>
    <n v="1754.9289595059367"/>
    <n v="89501.376934802771"/>
    <n v="1342.5206540220415"/>
    <n v="90843.89758882481"/>
    <m/>
    <n v="90843.89758882481"/>
    <n v="3633.7559035529925"/>
    <n v="94477.653492377809"/>
    <n v="4723.8826746188906"/>
    <n v="99201.536166996695"/>
    <n v="12896.199701709571"/>
    <n v="112097.73586870627"/>
    <n v="35"/>
    <n v="112132.73586870627"/>
    <m/>
    <n v="112132.73586870627"/>
    <n v="112132.74"/>
    <n v="9530200"/>
    <n v="400000"/>
    <n v="0.03"/>
    <n v="685906"/>
    <n v="104062.7603247441"/>
    <n v="8844294"/>
    <x v="1"/>
    <m/>
    <n v="104062.7603247441"/>
    <n v="0"/>
    <n v="8844294"/>
    <m/>
    <s v="Время действовать / Многодетная семья"/>
    <x v="0"/>
    <x v="0"/>
    <b v="1"/>
    <s v="АГ-005-Б-02-06-123"/>
    <m/>
    <s v="ДА"/>
    <s v="Черновая"/>
    <b v="1"/>
    <n v="8844294"/>
    <n v="0"/>
    <b v="1"/>
    <s v=" "/>
    <s v=""/>
  </r>
  <r>
    <n v="124"/>
    <x v="1"/>
    <x v="1"/>
    <x v="6"/>
    <x v="0"/>
    <n v="17.89"/>
    <m/>
    <m/>
    <n v="17.89"/>
    <n v="13.04"/>
    <n v="3.9"/>
    <m/>
    <m/>
    <n v="6.12"/>
    <n v="2.65"/>
    <m/>
    <m/>
    <n v="2.65"/>
    <n v="43.6"/>
    <n v="40.950000000000003"/>
    <n v="42.28"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n v="84762.559999999998"/>
    <n v="3583761.04"/>
    <m/>
    <m/>
    <n v="0"/>
    <n v="84762.560075685906"/>
    <n v="3583761.04"/>
    <x v="0"/>
    <n v="4500"/>
    <n v="89262.560075685906"/>
    <n v="190260"/>
    <n v="3774021.04"/>
    <m/>
    <m/>
    <x v="0"/>
    <x v="0"/>
    <b v="1"/>
    <s v="АГ-005-Б-02-07-124"/>
    <m/>
    <s v="НЕТ"/>
    <s v="Предчистовая"/>
    <b v="1"/>
    <n v="3774021.04"/>
    <n v="0"/>
    <b v="1"/>
    <d v="2023-09-16T00:00:00"/>
    <s v="Никишов"/>
  </r>
  <r>
    <n v="125"/>
    <x v="1"/>
    <x v="2"/>
    <x v="0"/>
    <x v="1"/>
    <n v="15.91"/>
    <n v="12.02"/>
    <m/>
    <n v="27.93"/>
    <n v="15.31"/>
    <n v="3.85"/>
    <n v="2.2999999999999998"/>
    <m/>
    <n v="9.4499999999999993"/>
    <n v="2.75"/>
    <m/>
    <m/>
    <n v="2.75"/>
    <n v="61.59"/>
    <n v="58.84"/>
    <n v="60.22"/>
    <n v="81080.055000000008"/>
    <n v="4054.0027500000006"/>
    <n v="85134.057750000007"/>
    <n v="2554.0217325000003"/>
    <n v="87688.079482500005"/>
    <m/>
    <n v="87688.079482500005"/>
    <m/>
    <n v="87688.079482500005"/>
    <m/>
    <n v="87688.079482500005"/>
    <m/>
    <n v="87688.079482500005"/>
    <n v="876.88079482500007"/>
    <n v="88564.960277325008"/>
    <n v="4428.2480138662504"/>
    <n v="92993.208291191258"/>
    <m/>
    <n v="92993.208291191258"/>
    <n v="1859.8641658238253"/>
    <n v="94853.072457015078"/>
    <m/>
    <n v="94853.072457015078"/>
    <n v="1897.0614491403016"/>
    <n v="96750.133906155374"/>
    <m/>
    <n v="96750.133906155374"/>
    <m/>
    <n v="96750.133906155374"/>
    <m/>
    <n v="96750.133906155374"/>
    <m/>
    <n v="96750.133906155374"/>
    <m/>
    <n v="96750.133906155374"/>
    <n v="1451.2520085923306"/>
    <n v="98201.385914747705"/>
    <m/>
    <n v="98201.385914747705"/>
    <n v="3928.0554365899084"/>
    <n v="102129.44135133762"/>
    <n v="6127.7664810802571"/>
    <n v="108257.20783241787"/>
    <n v="14073.437018214325"/>
    <n v="122330.6448506322"/>
    <n v="35"/>
    <n v="122365.6448506322"/>
    <m/>
    <n v="122365.6448506322"/>
    <n v="122365.64"/>
    <n v="7368900"/>
    <m/>
    <m/>
    <n v="0"/>
    <n v="122366.32348057124"/>
    <n v="7368900"/>
    <x v="1"/>
    <m/>
    <n v="122366.32348057124"/>
    <n v="0"/>
    <n v="7368900"/>
    <m/>
    <m/>
    <x v="0"/>
    <x v="0"/>
    <b v="1"/>
    <s v="АГ-005-Б-03-01-125"/>
    <m/>
    <s v="ДА"/>
    <s v="Черновая"/>
    <b v="1"/>
    <n v="7368900"/>
    <n v="0"/>
    <b v="1"/>
    <d v="2025-02-10T00:00:00"/>
    <s v="Дик"/>
  </r>
  <r>
    <n v="126"/>
    <x v="1"/>
    <x v="2"/>
    <x v="1"/>
    <x v="2"/>
    <n v="7.13"/>
    <m/>
    <m/>
    <n v="7.13"/>
    <n v="5.12"/>
    <n v="3.65"/>
    <m/>
    <m/>
    <n v="6.92"/>
    <n v="2.91"/>
    <m/>
    <m/>
    <n v="2.91"/>
    <n v="25.73"/>
    <n v="22.82"/>
    <n v="24.28"/>
    <n v="91105.56"/>
    <n v="4555.2780000000002"/>
    <n v="95660.838000000003"/>
    <n v="2869.8251399999999"/>
    <n v="98530.663140000004"/>
    <n v="14779.599471"/>
    <n v="113310.262611"/>
    <m/>
    <n v="113310.262611"/>
    <m/>
    <n v="113310.262611"/>
    <m/>
    <n v="113310.262611"/>
    <n v="1133.1026261100001"/>
    <n v="114443.36523711"/>
    <n v="5722.1682618555005"/>
    <n v="120165.53349896551"/>
    <m/>
    <n v="120165.53349896551"/>
    <n v="3604.9660049689651"/>
    <n v="123770.49950393448"/>
    <m/>
    <n v="123770.49950393448"/>
    <m/>
    <n v="123770.49950393448"/>
    <m/>
    <n v="123770.49950393448"/>
    <m/>
    <n v="123770.49950393448"/>
    <n v="2475.4099900786896"/>
    <n v="126245.90949401318"/>
    <m/>
    <n v="126245.90949401318"/>
    <m/>
    <n v="126245.90949401318"/>
    <n v="1893.6886424101976"/>
    <n v="128139.59813642337"/>
    <n v="500"/>
    <n v="128639.59813642337"/>
    <m/>
    <n v="128639.59813642337"/>
    <m/>
    <n v="128639.59813642337"/>
    <m/>
    <n v="128639.59813642337"/>
    <m/>
    <n v="128639.59813642337"/>
    <m/>
    <n v="128639.59813642337"/>
    <n v="128639.6"/>
    <n v="3123400"/>
    <m/>
    <n v="0.02"/>
    <n v="62468"/>
    <n v="126068.03953871499"/>
    <n v="3060932"/>
    <x v="2"/>
    <n v="24000"/>
    <n v="150068.03953871498"/>
    <n v="582720"/>
    <n v="3643652"/>
    <m/>
    <s v="Скидка иногородним"/>
    <x v="0"/>
    <x v="0"/>
    <b v="1"/>
    <s v="АГ-005-Б-03-02-126"/>
    <m/>
    <s v="ДА"/>
    <s v="Чистовая"/>
    <b v="1"/>
    <n v="3643652"/>
    <n v="0"/>
    <b v="1"/>
    <d v="2024-10-23T00:00:00"/>
    <s v="Полехович"/>
  </r>
  <r>
    <n v="127"/>
    <x v="1"/>
    <x v="2"/>
    <x v="2"/>
    <x v="1"/>
    <n v="14.6"/>
    <n v="13.12"/>
    <m/>
    <n v="27.72"/>
    <n v="14.35"/>
    <n v="3.68"/>
    <n v="2.57"/>
    <m/>
    <n v="7.95"/>
    <n v="2.65"/>
    <m/>
    <m/>
    <n v="2.65"/>
    <n v="58.92"/>
    <n v="56.27"/>
    <n v="57.6"/>
    <n v="79535.67300000001"/>
    <n v="3976.7836500000008"/>
    <n v="83512.456650000007"/>
    <n v="2505.3736994999999"/>
    <n v="86017.8303495"/>
    <m/>
    <n v="86017.8303495"/>
    <m/>
    <n v="86017.8303495"/>
    <m/>
    <n v="86017.8303495"/>
    <m/>
    <n v="86017.8303495"/>
    <n v="860.17830349500002"/>
    <n v="86878.008652995006"/>
    <n v="4343.9004326497507"/>
    <n v="91221.909085644758"/>
    <m/>
    <n v="91221.909085644758"/>
    <n v="1824.4381817128951"/>
    <n v="93046.347267357647"/>
    <m/>
    <n v="93046.347267357647"/>
    <n v="1860.9269453471529"/>
    <n v="94907.274212704797"/>
    <m/>
    <n v="94907.274212704797"/>
    <n v="949.07274212704795"/>
    <n v="95856.346954831839"/>
    <m/>
    <n v="95856.346954831839"/>
    <m/>
    <n v="95856.346954831839"/>
    <m/>
    <n v="95856.346954831839"/>
    <m/>
    <n v="95856.346954831839"/>
    <m/>
    <n v="95856.346954831839"/>
    <m/>
    <n v="95856.346954831839"/>
    <m/>
    <n v="95856.346954831839"/>
    <m/>
    <n v="95856.346954831839"/>
    <m/>
    <n v="95856.346954831839"/>
    <m/>
    <n v="95856.346954831839"/>
    <n v="95856.35"/>
    <n v="5521400"/>
    <m/>
    <m/>
    <n v="0"/>
    <n v="95857.638888888891"/>
    <n v="5521400"/>
    <x v="1"/>
    <m/>
    <n v="95857.638888888891"/>
    <n v="0"/>
    <n v="5521400"/>
    <s v="Хит"/>
    <m/>
    <x v="0"/>
    <x v="0"/>
    <b v="1"/>
    <s v="АГ-005-Б-03-03-127"/>
    <m/>
    <s v="ДА"/>
    <s v="Черновая"/>
    <b v="1"/>
    <n v="5521400"/>
    <n v="0"/>
    <b v="1"/>
    <d v="2024-06-28T00:00:00"/>
    <s v="Полехович"/>
  </r>
  <r>
    <n v="128"/>
    <x v="1"/>
    <x v="2"/>
    <x v="3"/>
    <x v="1"/>
    <n v="15.45"/>
    <n v="14.5"/>
    <m/>
    <n v="29.95"/>
    <n v="11.95"/>
    <n v="3.86"/>
    <n v="2.37"/>
    <m/>
    <n v="8.8699999999999992"/>
    <n v="2.62"/>
    <m/>
    <m/>
    <n v="2.62"/>
    <n v="59.62"/>
    <n v="57"/>
    <n v="58.31"/>
    <n v="80693.959500000012"/>
    <n v="4034.697975000001"/>
    <n v="84728.657475000015"/>
    <n v="2541.8597242500005"/>
    <n v="87270.517199250011"/>
    <m/>
    <n v="87270.517199250011"/>
    <m/>
    <n v="87270.517199250011"/>
    <m/>
    <n v="87270.517199250011"/>
    <m/>
    <n v="87270.517199250011"/>
    <n v="872.70517199250014"/>
    <n v="88143.222371242504"/>
    <n v="4407.161118562125"/>
    <n v="92550.383489804633"/>
    <m/>
    <n v="92550.383489804633"/>
    <n v="1851.0076697960926"/>
    <n v="94401.391159600724"/>
    <m/>
    <n v="94401.391159600724"/>
    <m/>
    <n v="94401.391159600724"/>
    <m/>
    <n v="94401.391159600724"/>
    <m/>
    <n v="94401.391159600724"/>
    <m/>
    <n v="94401.391159600724"/>
    <m/>
    <n v="94401.391159600724"/>
    <m/>
    <n v="94401.391159600724"/>
    <m/>
    <n v="94401.391159600724"/>
    <m/>
    <n v="94401.391159600724"/>
    <m/>
    <n v="94401.391159600724"/>
    <m/>
    <n v="94401.391159600724"/>
    <m/>
    <n v="94401.391159600724"/>
    <m/>
    <n v="94401.391159600724"/>
    <m/>
    <n v="94401.391159600724"/>
    <n v="94401.39"/>
    <n v="5504600"/>
    <n v="88888"/>
    <m/>
    <n v="88888"/>
    <n v="92877.928314182805"/>
    <n v="5415712"/>
    <x v="3"/>
    <n v="7000"/>
    <n v="99877.928314182805"/>
    <n v="408170"/>
    <n v="5823882"/>
    <m/>
    <s v="Весна"/>
    <x v="0"/>
    <x v="0"/>
    <b v="1"/>
    <s v="АГ-005-Б-03-04-128"/>
    <m/>
    <s v="ДА"/>
    <s v="White Box"/>
    <b v="1"/>
    <n v="5823882"/>
    <n v="0"/>
    <b v="1"/>
    <d v="2024-03-21T00:00:00"/>
    <s v="Полехович"/>
  </r>
  <r>
    <n v="129"/>
    <x v="1"/>
    <x v="2"/>
    <x v="4"/>
    <x v="0"/>
    <n v="12.06"/>
    <m/>
    <m/>
    <n v="12.06"/>
    <n v="13.18"/>
    <n v="4.1100000000000003"/>
    <m/>
    <m/>
    <n v="7.09"/>
    <n v="2.84"/>
    <m/>
    <m/>
    <n v="2.84"/>
    <n v="39.28"/>
    <n v="36.44"/>
    <n v="37.86"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m/>
    <n v="88412.625"/>
    <n v="88412.63"/>
    <n v="3347302.17"/>
    <m/>
    <n v="0.06"/>
    <n v="200838.13019999999"/>
    <n v="83107.872160591651"/>
    <n v="3146464.04"/>
    <x v="1"/>
    <m/>
    <n v="83107.872160591651"/>
    <n v="0"/>
    <n v="3146464.04"/>
    <m/>
    <s v="Ветеран боевых действий"/>
    <x v="0"/>
    <x v="0"/>
    <b v="1"/>
    <s v="АГ-005-Б-03-05-129"/>
    <m/>
    <s v="НЕТ"/>
    <s v="Черновая"/>
    <b v="1"/>
    <n v="3146464.04"/>
    <n v="0"/>
    <b v="1"/>
    <d v="2023-09-19T00:00:00"/>
    <s v="Гайганова"/>
  </r>
  <r>
    <n v="130"/>
    <x v="1"/>
    <x v="2"/>
    <x v="5"/>
    <x v="3"/>
    <n v="17.89"/>
    <n v="17.2"/>
    <n v="14.31"/>
    <n v="49.400000000000006"/>
    <n v="13.39"/>
    <n v="4.2"/>
    <n v="2.0499999999999998"/>
    <m/>
    <n v="13.21"/>
    <n v="2.79"/>
    <n v="2.68"/>
    <m/>
    <n v="5.4700000000000006"/>
    <n v="87.72"/>
    <n v="82.25"/>
    <n v="84.99"/>
    <n v="72806.580000000016"/>
    <n v="3640.3290000000011"/>
    <n v="76446.909000000014"/>
    <n v="2293.4072700000002"/>
    <n v="78740.31627000001"/>
    <m/>
    <n v="78740.31627000001"/>
    <m/>
    <n v="78740.31627000001"/>
    <m/>
    <n v="78740.31627000001"/>
    <m/>
    <n v="78740.31627000001"/>
    <n v="787.40316270000017"/>
    <n v="79527.719432700003"/>
    <n v="3976.3859716350003"/>
    <n v="83504.105404335001"/>
    <m/>
    <n v="83504.105404335001"/>
    <n v="1670.0821080867001"/>
    <n v="85174.187512421704"/>
    <m/>
    <n v="85174.187512421704"/>
    <n v="1703.483750248434"/>
    <n v="86877.671262670134"/>
    <m/>
    <n v="86877.671262670134"/>
    <n v="868.7767126267014"/>
    <n v="87746.447975296833"/>
    <m/>
    <n v="87746.447975296833"/>
    <m/>
    <n v="87746.447975296833"/>
    <n v="1754.9289595059367"/>
    <n v="89501.376934802771"/>
    <n v="1342.5206540220415"/>
    <n v="90843.89758882481"/>
    <m/>
    <n v="90843.89758882481"/>
    <n v="3633.7559035529925"/>
    <n v="94477.653492377809"/>
    <n v="4723.8826746188906"/>
    <n v="99201.536166996695"/>
    <n v="12896.199701709571"/>
    <n v="112097.73586870627"/>
    <n v="35"/>
    <n v="112132.73586870627"/>
    <m/>
    <n v="112132.73586870627"/>
    <n v="112132.74"/>
    <n v="9530200"/>
    <m/>
    <m/>
    <n v="0"/>
    <n v="112133.19214025181"/>
    <n v="9530200"/>
    <x v="3"/>
    <n v="10000"/>
    <n v="122133.19214025181"/>
    <n v="849900"/>
    <n v="10380100"/>
    <m/>
    <m/>
    <x v="1"/>
    <x v="1"/>
    <b v="1"/>
    <s v="АГ-005-Б-03-06-130"/>
    <m/>
    <s v="ДА"/>
    <s v="White Box"/>
    <b v="1"/>
    <n v="10380100"/>
    <n v="0"/>
    <b v="1"/>
    <s v=" "/>
    <s v=""/>
  </r>
  <r>
    <n v="131"/>
    <x v="1"/>
    <x v="2"/>
    <x v="6"/>
    <x v="0"/>
    <n v="17.89"/>
    <m/>
    <m/>
    <n v="17.89"/>
    <n v="13.04"/>
    <n v="3.9"/>
    <m/>
    <m/>
    <n v="6.12"/>
    <n v="2.65"/>
    <m/>
    <m/>
    <n v="2.65"/>
    <n v="43.6"/>
    <n v="40.950000000000003"/>
    <n v="42.28"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n v="84762.559999999998"/>
    <n v="3583761.04"/>
    <m/>
    <m/>
    <n v="0"/>
    <n v="84762.560075685906"/>
    <n v="3583761.04"/>
    <x v="0"/>
    <n v="4500"/>
    <n v="89262.560075685906"/>
    <n v="190260"/>
    <n v="3774021.04"/>
    <m/>
    <m/>
    <x v="0"/>
    <x v="0"/>
    <b v="1"/>
    <s v="АГ-005-Б-03-07-131"/>
    <m/>
    <s v="НЕТ"/>
    <s v="Предчистовая"/>
    <b v="1"/>
    <n v="3774021.04"/>
    <n v="0"/>
    <b v="1"/>
    <d v="2023-09-16T00:00:00"/>
    <s v="Никишов"/>
  </r>
  <r>
    <n v="132"/>
    <x v="1"/>
    <x v="3"/>
    <x v="0"/>
    <x v="1"/>
    <n v="15.91"/>
    <n v="12.02"/>
    <m/>
    <n v="27.93"/>
    <n v="15.31"/>
    <n v="3.85"/>
    <n v="2.2999999999999998"/>
    <m/>
    <n v="9.4499999999999993"/>
    <n v="2.75"/>
    <m/>
    <m/>
    <n v="2.75"/>
    <n v="61.59"/>
    <n v="58.84"/>
    <n v="60.22"/>
    <n v="82624.437000000005"/>
    <n v="4131.2218500000008"/>
    <n v="86755.658850000007"/>
    <n v="2602.6697655000003"/>
    <n v="89358.32861550001"/>
    <m/>
    <n v="89358.32861550001"/>
    <m/>
    <n v="89358.32861550001"/>
    <m/>
    <n v="89358.32861550001"/>
    <m/>
    <n v="89358.32861550001"/>
    <n v="893.58328615500011"/>
    <n v="90251.91190165501"/>
    <n v="4512.5955950827511"/>
    <n v="94764.507496737759"/>
    <m/>
    <n v="94764.507496737759"/>
    <m/>
    <n v="94764.507496737759"/>
    <m/>
    <n v="94764.507496737759"/>
    <m/>
    <n v="94764.507496737759"/>
    <m/>
    <n v="94764.507496737759"/>
    <m/>
    <n v="94764.507496737759"/>
    <m/>
    <n v="94764.507496737759"/>
    <m/>
    <n v="94764.507496737759"/>
    <m/>
    <n v="94764.507496737759"/>
    <m/>
    <n v="94764.507496737759"/>
    <m/>
    <n v="94764.507496737759"/>
    <m/>
    <n v="94764.507496737759"/>
    <m/>
    <n v="94764.507496737759"/>
    <m/>
    <n v="94764.507496737759"/>
    <m/>
    <n v="94764.507496737759"/>
    <m/>
    <n v="94764.507496737759"/>
    <n v="94764.51"/>
    <n v="5706800"/>
    <m/>
    <n v="0.03"/>
    <n v="171204"/>
    <n v="91922.882763201589"/>
    <n v="5535596"/>
    <x v="2"/>
    <n v="20000"/>
    <n v="111922.88276320159"/>
    <n v="1204400"/>
    <n v="6739996"/>
    <m/>
    <s v="Ветеран боевых действий"/>
    <x v="0"/>
    <x v="0"/>
    <b v="1"/>
    <s v="АГ-005-Б-04-01-132"/>
    <m/>
    <s v="ДА"/>
    <s v="Чистовая"/>
    <b v="1"/>
    <n v="6739996"/>
    <n v="0"/>
    <b v="1"/>
    <d v="2024-02-22T00:00:00"/>
    <s v="Дик"/>
  </r>
  <r>
    <n v="133"/>
    <x v="1"/>
    <x v="3"/>
    <x v="1"/>
    <x v="2"/>
    <n v="7.13"/>
    <m/>
    <m/>
    <n v="7.13"/>
    <n v="5.12"/>
    <n v="3.65"/>
    <m/>
    <m/>
    <n v="6.92"/>
    <n v="2.91"/>
    <m/>
    <m/>
    <n v="2.91"/>
    <n v="25.73"/>
    <n v="22.82"/>
    <n v="24.28"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n v="92857.59"/>
    <n v="2254582.29"/>
    <m/>
    <m/>
    <n v="0"/>
    <n v="92857.590197693571"/>
    <n v="2254582.29"/>
    <x v="0"/>
    <n v="4500"/>
    <n v="97357.590197693571"/>
    <n v="109260"/>
    <n v="2363842.29"/>
    <m/>
    <m/>
    <x v="0"/>
    <x v="0"/>
    <b v="1"/>
    <s v="АГ-005-Б-04-02-133"/>
    <m/>
    <s v="НЕТ"/>
    <s v="Предчистовая"/>
    <b v="1"/>
    <n v="2363842.29"/>
    <n v="0"/>
    <b v="1"/>
    <d v="2023-09-19T00:00:00"/>
    <s v="Кофанова"/>
  </r>
  <r>
    <n v="134"/>
    <x v="1"/>
    <x v="3"/>
    <x v="2"/>
    <x v="1"/>
    <n v="14.6"/>
    <n v="13.12"/>
    <m/>
    <n v="27.72"/>
    <n v="14.35"/>
    <n v="3.68"/>
    <n v="2.57"/>
    <m/>
    <n v="7.95"/>
    <n v="2.65"/>
    <m/>
    <m/>
    <n v="2.65"/>
    <n v="58.92"/>
    <n v="56.27"/>
    <n v="57.6"/>
    <n v="81080.055000000008"/>
    <n v="4054.0027500000006"/>
    <n v="85134.057750000007"/>
    <n v="2554.0217325000003"/>
    <n v="87688.079482500005"/>
    <m/>
    <n v="87688.079482500005"/>
    <m/>
    <n v="87688.079482500005"/>
    <m/>
    <n v="87688.079482500005"/>
    <m/>
    <n v="87688.079482500005"/>
    <n v="876.88079482500007"/>
    <n v="88564.960277325008"/>
    <n v="4428.2480138662504"/>
    <n v="92993.208291191258"/>
    <m/>
    <n v="92993.208291191258"/>
    <n v="1859.8641658238253"/>
    <n v="94853.072457015078"/>
    <m/>
    <n v="94853.072457015078"/>
    <n v="1897.0614491403016"/>
    <n v="96750.133906155374"/>
    <m/>
    <n v="96750.133906155374"/>
    <n v="967.50133906155372"/>
    <n v="97717.635245216923"/>
    <m/>
    <n v="97717.635245216923"/>
    <m/>
    <n v="97717.635245216923"/>
    <m/>
    <n v="97717.635245216923"/>
    <m/>
    <n v="97717.635245216923"/>
    <m/>
    <n v="97717.635245216923"/>
    <m/>
    <n v="97717.635245216923"/>
    <m/>
    <n v="97717.635245216923"/>
    <m/>
    <n v="97717.635245216923"/>
    <m/>
    <n v="97717.635245216923"/>
    <m/>
    <n v="97717.635245216923"/>
    <n v="97717.64"/>
    <n v="5628600"/>
    <m/>
    <n v="0.03"/>
    <n v="168858"/>
    <n v="94787.1875"/>
    <n v="5459742"/>
    <x v="2"/>
    <n v="20000"/>
    <n v="114787.1875"/>
    <n v="1152000"/>
    <n v="6611742"/>
    <s v="Хит"/>
    <s v="Ветеран боевых действий"/>
    <x v="0"/>
    <x v="0"/>
    <b v="1"/>
    <s v="АГ-005-Б-04-03-134"/>
    <m/>
    <s v="ДА"/>
    <s v="Чистовая"/>
    <b v="1"/>
    <n v="6611742"/>
    <n v="0"/>
    <b v="1"/>
    <d v="2024-06-23T00:00:00"/>
    <s v="Никишов"/>
  </r>
  <r>
    <n v="135"/>
    <x v="1"/>
    <x v="3"/>
    <x v="3"/>
    <x v="1"/>
    <n v="15.45"/>
    <n v="14.5"/>
    <m/>
    <n v="29.95"/>
    <n v="11.95"/>
    <n v="3.86"/>
    <n v="2.37"/>
    <m/>
    <n v="8.8699999999999992"/>
    <n v="2.62"/>
    <m/>
    <m/>
    <n v="2.62"/>
    <n v="59.62"/>
    <n v="57"/>
    <n v="58.31"/>
    <n v="82238.34150000001"/>
    <n v="4111.9170750000003"/>
    <n v="86350.258575000014"/>
    <n v="2590.5077572500004"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n v="88940.77"/>
    <n v="5186136.3"/>
    <m/>
    <n v="0.02"/>
    <n v="103722.726"/>
    <n v="87161.954553249874"/>
    <n v="5082413.57"/>
    <x v="2"/>
    <n v="22000"/>
    <n v="109161.95455324987"/>
    <n v="1282820"/>
    <n v="6365233.5700000003"/>
    <m/>
    <s v="Скидка иногородним"/>
    <x v="0"/>
    <x v="0"/>
    <b v="1"/>
    <s v="АГ-005-Б-04-04-135"/>
    <m/>
    <s v="НЕТ"/>
    <s v="Чистовая"/>
    <b v="1"/>
    <n v="6365233.5700000003"/>
    <n v="0"/>
    <b v="1"/>
    <d v="2023-10-31T00:00:00"/>
    <s v="Кофанова"/>
  </r>
  <r>
    <n v="136"/>
    <x v="1"/>
    <x v="3"/>
    <x v="4"/>
    <x v="0"/>
    <n v="12.06"/>
    <m/>
    <m/>
    <n v="12.06"/>
    <n v="13.18"/>
    <n v="4.1100000000000003"/>
    <m/>
    <m/>
    <n v="7.09"/>
    <n v="2.84"/>
    <m/>
    <m/>
    <n v="2.84"/>
    <n v="39.28"/>
    <n v="36.44"/>
    <n v="37.86"/>
    <n v="90034.875"/>
    <n v="4501.7437500000005"/>
    <n v="94536.618749999994"/>
    <m/>
    <n v="94536.618749999994"/>
    <m/>
    <n v="94536.618749999994"/>
    <m/>
    <n v="94536.618749999994"/>
    <m/>
    <n v="94536.618749999994"/>
    <m/>
    <n v="94536.618749999994"/>
    <m/>
    <n v="94536.618749999994"/>
    <m/>
    <n v="94536.618749999994"/>
    <m/>
    <n v="94536.618749999994"/>
    <m/>
    <n v="94536.618749999994"/>
    <m/>
    <n v="94536.618749999994"/>
    <m/>
    <n v="94536.618749999994"/>
    <m/>
    <n v="94536.618749999994"/>
    <m/>
    <n v="94536.618749999994"/>
    <m/>
    <n v="94536.618749999994"/>
    <m/>
    <n v="94536.618749999994"/>
    <m/>
    <n v="94536.618749999994"/>
    <m/>
    <n v="94536.618749999994"/>
    <m/>
    <n v="94536.618749999994"/>
    <m/>
    <n v="94536.618749999994"/>
    <m/>
    <n v="94536.618749999994"/>
    <m/>
    <n v="94536.618749999994"/>
    <m/>
    <n v="94536.618749999994"/>
    <m/>
    <n v="94536.618749999994"/>
    <n v="94536.62"/>
    <n v="3579156.43"/>
    <m/>
    <n v="0.02"/>
    <n v="71583.128600000011"/>
    <n v="92645.887480190169"/>
    <n v="3507573.3"/>
    <x v="1"/>
    <m/>
    <n v="92645.887480190169"/>
    <n v="0"/>
    <n v="3507573.3"/>
    <m/>
    <s v="Скидка инвестору"/>
    <x v="0"/>
    <x v="0"/>
    <b v="1"/>
    <s v="АГ-005-Б-04-05-136"/>
    <m/>
    <s v="НЕТ"/>
    <s v="Черновая"/>
    <b v="1"/>
    <n v="3507573.3"/>
    <n v="0"/>
    <b v="1"/>
    <d v="2023-09-19T00:00:00"/>
    <s v="Калачева"/>
  </r>
  <r>
    <n v="137"/>
    <x v="1"/>
    <x v="3"/>
    <x v="5"/>
    <x v="3"/>
    <n v="17.89"/>
    <n v="17.2"/>
    <n v="14.31"/>
    <n v="49.400000000000006"/>
    <n v="13.39"/>
    <n v="4.2"/>
    <n v="2.0499999999999998"/>
    <m/>
    <n v="13.21"/>
    <n v="2.79"/>
    <n v="2.68"/>
    <m/>
    <n v="5.4700000000000006"/>
    <n v="87.72"/>
    <n v="82.25"/>
    <n v="84.99"/>
    <n v="74234.160000000018"/>
    <n v="3711.708000000001"/>
    <n v="77945.868000000017"/>
    <n v="2338.3760400000006"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n v="80284.240000000005"/>
    <n v="6823357.5599999996"/>
    <m/>
    <n v="0.03"/>
    <n v="204700.72679999997"/>
    <n v="77875.712789739977"/>
    <n v="6618656.8300000001"/>
    <x v="0"/>
    <n v="7500"/>
    <n v="85375.712789739977"/>
    <n v="637425"/>
    <n v="7256081.8300000001"/>
    <m/>
    <s v="Скидка семьям с детьми с ОВЗ"/>
    <x v="0"/>
    <x v="0"/>
    <b v="1"/>
    <s v="АГ-005-Б-04-06-137"/>
    <m/>
    <s v="НЕТ"/>
    <s v="Предчистовая"/>
    <b v="1"/>
    <n v="7256081.8300000001"/>
    <n v="0"/>
    <b v="1"/>
    <d v="2023-09-19T00:00:00"/>
    <s v="Никишов"/>
  </r>
  <r>
    <n v="138"/>
    <x v="1"/>
    <x v="3"/>
    <x v="6"/>
    <x v="0"/>
    <n v="17.89"/>
    <m/>
    <m/>
    <n v="17.89"/>
    <n v="13.04"/>
    <n v="3.9"/>
    <m/>
    <m/>
    <n v="6.12"/>
    <n v="2.65"/>
    <m/>
    <m/>
    <n v="2.65"/>
    <n v="43.6"/>
    <n v="40.950000000000003"/>
    <n v="42.28"/>
    <n v="86384.8125"/>
    <n v="4319.2406250000004"/>
    <n v="90704.053125000006"/>
    <n v="2721.1215937500001"/>
    <n v="93425.17471875"/>
    <n v="2802.7552415625"/>
    <n v="96227.929960312496"/>
    <m/>
    <n v="96227.929960312496"/>
    <n v="4811.3964980156252"/>
    <n v="101039.32645832813"/>
    <m/>
    <n v="101039.32645832813"/>
    <n v="1010.3932645832813"/>
    <n v="102049.71972291141"/>
    <n v="5102.4859861455707"/>
    <n v="107152.20570905699"/>
    <m/>
    <n v="107152.20570905699"/>
    <n v="3214.5661712717097"/>
    <n v="110366.7718803287"/>
    <m/>
    <n v="110366.7718803287"/>
    <m/>
    <n v="110366.7718803287"/>
    <m/>
    <n v="110366.7718803287"/>
    <n v="1103.667718803287"/>
    <n v="111470.43959913199"/>
    <m/>
    <n v="111470.43959913199"/>
    <m/>
    <n v="111470.43959913199"/>
    <m/>
    <n v="111470.43959913199"/>
    <m/>
    <n v="111470.43959913199"/>
    <m/>
    <n v="111470.43959913199"/>
    <m/>
    <n v="111470.43959913199"/>
    <m/>
    <n v="111470.43959913199"/>
    <m/>
    <n v="111470.43959913199"/>
    <m/>
    <n v="111470.43959913199"/>
    <m/>
    <n v="111470.43959913199"/>
    <n v="111470.44"/>
    <n v="4713000"/>
    <m/>
    <m/>
    <n v="0"/>
    <n v="111471.14474929044"/>
    <n v="4713000"/>
    <x v="2"/>
    <n v="20000"/>
    <n v="131471.14474929043"/>
    <n v="845599.99999999907"/>
    <n v="5558599.9999999991"/>
    <m/>
    <m/>
    <x v="0"/>
    <x v="0"/>
    <b v="1"/>
    <s v="АГ-005-Б-04-07-138"/>
    <m/>
    <s v="ДА"/>
    <s v="Чистовая"/>
    <b v="1"/>
    <n v="5558600"/>
    <n v="9.3132257461547852E-10"/>
    <b v="1"/>
    <d v="2024-06-14T00:00:00"/>
    <s v="Дик"/>
  </r>
  <r>
    <n v="139"/>
    <x v="1"/>
    <x v="4"/>
    <x v="0"/>
    <x v="1"/>
    <n v="15.91"/>
    <n v="12.02"/>
    <m/>
    <n v="27.93"/>
    <n v="15.31"/>
    <n v="3.85"/>
    <n v="2.2999999999999998"/>
    <m/>
    <n v="9.4499999999999993"/>
    <n v="2.75"/>
    <m/>
    <m/>
    <n v="2.75"/>
    <n v="61.59"/>
    <n v="58.84"/>
    <n v="60.22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m/>
    <n v="95828.704059430078"/>
    <m/>
    <n v="95828.704059430078"/>
    <m/>
    <n v="95828.704059430078"/>
    <m/>
    <n v="95828.704059430078"/>
    <n v="1437.430560891451"/>
    <n v="97266.134620321536"/>
    <m/>
    <n v="97266.134620321536"/>
    <m/>
    <n v="97266.134620321536"/>
    <m/>
    <n v="97266.134620321536"/>
    <m/>
    <n v="97266.134620321536"/>
    <m/>
    <n v="97266.134620321536"/>
    <m/>
    <n v="97266.134620321536"/>
    <n v="97266.13"/>
    <n v="5857400"/>
    <m/>
    <m/>
    <n v="0"/>
    <n v="97266.688807705083"/>
    <n v="5857400"/>
    <x v="3"/>
    <n v="7000"/>
    <n v="104266.68880770508"/>
    <n v="421540"/>
    <n v="6278940"/>
    <m/>
    <m/>
    <x v="0"/>
    <x v="0"/>
    <b v="1"/>
    <s v="АГ-005-Б-05-01-139"/>
    <m/>
    <s v="ДА"/>
    <s v="White Box"/>
    <b v="1"/>
    <n v="6278940"/>
    <n v="0"/>
    <b v="1"/>
    <d v="2024-07-19T00:00:00"/>
    <s v="Полехович"/>
  </r>
  <r>
    <n v="140"/>
    <x v="1"/>
    <x v="4"/>
    <x v="1"/>
    <x v="2"/>
    <n v="7.13"/>
    <m/>
    <m/>
    <n v="7.13"/>
    <n v="5.12"/>
    <n v="3.65"/>
    <m/>
    <m/>
    <n v="6.92"/>
    <n v="2.91"/>
    <m/>
    <m/>
    <n v="2.91"/>
    <n v="25.73"/>
    <n v="22.82"/>
    <n v="24.28"/>
    <n v="90229.544999999998"/>
    <n v="4511.4772499999999"/>
    <n v="94741.022249999995"/>
    <n v="2842.2306674999995"/>
    <n v="97583.252917499995"/>
    <n v="14637.487937624999"/>
    <n v="112220.740855125"/>
    <m/>
    <n v="112220.740855125"/>
    <m/>
    <n v="112220.740855125"/>
    <m/>
    <n v="112220.740855125"/>
    <n v="1122.20740855125"/>
    <n v="113342.94826367624"/>
    <n v="5667.1474131838122"/>
    <n v="119010.09567686006"/>
    <m/>
    <n v="119010.09567686006"/>
    <n v="3570.3028703058017"/>
    <n v="122580.39854716587"/>
    <m/>
    <n v="122580.39854716587"/>
    <m/>
    <n v="122580.39854716587"/>
    <m/>
    <n v="122580.39854716587"/>
    <m/>
    <n v="122580.39854716587"/>
    <n v="2451.6079709433175"/>
    <n v="125032.00651810918"/>
    <m/>
    <n v="125032.00651810918"/>
    <m/>
    <n v="125032.00651810918"/>
    <n v="1875.4800977716377"/>
    <n v="126907.48661588081"/>
    <n v="500"/>
    <n v="127407.48661588081"/>
    <m/>
    <n v="127407.48661588081"/>
    <n v="5096.2994646352327"/>
    <n v="132503.78608051606"/>
    <n v="17225.492190467088"/>
    <n v="149729.27827098314"/>
    <n v="35"/>
    <n v="149764.27827098314"/>
    <m/>
    <n v="149764.27827098314"/>
    <n v="149764.28"/>
    <n v="3636300"/>
    <n v="194240"/>
    <m/>
    <n v="194240"/>
    <n v="141765.2388797364"/>
    <n v="3442060"/>
    <x v="1"/>
    <m/>
    <n v="141765.2388797364"/>
    <n v="0"/>
    <n v="3442060"/>
    <m/>
    <s v="Большие скидки на маленькие квартиры"/>
    <x v="0"/>
    <x v="0"/>
    <b v="1"/>
    <s v="АГ-005-Б-05-02-140"/>
    <m/>
    <s v="ДА"/>
    <s v="Черновая"/>
    <b v="1"/>
    <n v="3442060"/>
    <n v="0"/>
    <b v="1"/>
    <d v="2025-04-25T00:00:00"/>
    <s v="Нуждина"/>
  </r>
  <r>
    <n v="141"/>
    <x v="1"/>
    <x v="4"/>
    <x v="2"/>
    <x v="1"/>
    <n v="14.6"/>
    <n v="13.12"/>
    <m/>
    <n v="27.72"/>
    <n v="14.35"/>
    <n v="3.68"/>
    <n v="2.57"/>
    <m/>
    <n v="7.95"/>
    <n v="2.65"/>
    <m/>
    <m/>
    <n v="2.65"/>
    <n v="58.92"/>
    <n v="56.27"/>
    <n v="57.6"/>
    <n v="78763.482000000004"/>
    <n v="3938.1741000000002"/>
    <n v="82701.656100000007"/>
    <n v="2481.0496830000002"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n v="85182.71"/>
    <n v="4906600"/>
    <n v="30000"/>
    <m/>
    <n v="30000"/>
    <n v="84663.194444444438"/>
    <n v="4876600"/>
    <x v="1"/>
    <m/>
    <n v="84663.194444444438"/>
    <n v="0"/>
    <n v="4876600"/>
    <s v="Хит"/>
    <s v="Скидка с елки"/>
    <x v="0"/>
    <x v="0"/>
    <b v="1"/>
    <s v="АГ-005-Б-05-03-141"/>
    <m/>
    <s v="ДА"/>
    <s v="Черновая"/>
    <b v="1"/>
    <n v="4876600"/>
    <n v="0"/>
    <b v="1"/>
    <d v="2023-12-21T00:00:00"/>
    <s v="Полехович"/>
  </r>
  <r>
    <n v="142"/>
    <x v="1"/>
    <x v="4"/>
    <x v="3"/>
    <x v="1"/>
    <n v="15.45"/>
    <n v="14.5"/>
    <m/>
    <n v="29.95"/>
    <n v="11.95"/>
    <n v="3.86"/>
    <n v="2.37"/>
    <m/>
    <n v="8.8699999999999992"/>
    <n v="2.62"/>
    <m/>
    <m/>
    <n v="2.62"/>
    <n v="59.62"/>
    <n v="57"/>
    <n v="58.31"/>
    <n v="79921.768500000006"/>
    <n v="3996.0884250000004"/>
    <n v="83917.856925"/>
    <n v="2517.5357077499998"/>
    <n v="86435.392632749994"/>
    <m/>
    <n v="86435.392632749994"/>
    <m/>
    <n v="86435.392632749994"/>
    <m/>
    <n v="86435.392632749994"/>
    <m/>
    <n v="86435.392632749994"/>
    <n v="864.35392632749995"/>
    <n v="87299.746559077495"/>
    <n v="4364.9873279538751"/>
    <n v="91664.733887031369"/>
    <m/>
    <n v="91664.733887031369"/>
    <n v="1833.2946777406273"/>
    <n v="93498.028564772001"/>
    <m/>
    <n v="93498.028564772001"/>
    <n v="1869.9605712954401"/>
    <n v="95367.989136067437"/>
    <m/>
    <n v="95367.989136067437"/>
    <m/>
    <n v="95367.989136067437"/>
    <n v="953.67989136067445"/>
    <n v="96321.669027428114"/>
    <m/>
    <n v="96321.669027428114"/>
    <m/>
    <n v="96321.669027428114"/>
    <n v="2408.0417256857031"/>
    <n v="98729.710753113817"/>
    <n v="500"/>
    <n v="99229.710753113817"/>
    <n v="3969.1884301245527"/>
    <n v="103198.89918323838"/>
    <m/>
    <n v="103198.89918323838"/>
    <m/>
    <n v="103198.89918323838"/>
    <m/>
    <n v="103198.89918323838"/>
    <m/>
    <n v="103198.89918323838"/>
    <n v="103198.9"/>
    <n v="6017600"/>
    <m/>
    <m/>
    <n v="0"/>
    <n v="103200.13719773623"/>
    <n v="6017600"/>
    <x v="1"/>
    <m/>
    <n v="103200.13719773623"/>
    <n v="0"/>
    <n v="6017600"/>
    <m/>
    <m/>
    <x v="0"/>
    <x v="0"/>
    <b v="1"/>
    <s v="АГ-005-Б-05-04-142"/>
    <m/>
    <s v="ДА"/>
    <s v="Черновая"/>
    <b v="1"/>
    <n v="6017600"/>
    <n v="0"/>
    <b v="1"/>
    <d v="2024-10-29T00:00:00"/>
    <s v="Дик"/>
  </r>
  <r>
    <n v="143"/>
    <x v="1"/>
    <x v="4"/>
    <x v="4"/>
    <x v="0"/>
    <n v="12.06"/>
    <m/>
    <m/>
    <n v="12.06"/>
    <n v="13.18"/>
    <n v="4.1100000000000003"/>
    <m/>
    <m/>
    <n v="7.09"/>
    <n v="2.84"/>
    <m/>
    <m/>
    <n v="2.84"/>
    <n v="39.28"/>
    <n v="36.44"/>
    <n v="37.86"/>
    <n v="87601.5"/>
    <n v="4380.0749999999998"/>
    <n v="91981.574999999997"/>
    <n v="2759.4472499999997"/>
    <n v="94741.022249999995"/>
    <n v="4263.34600125"/>
    <n v="99004.368251249995"/>
    <m/>
    <n v="99004.368251249995"/>
    <n v="4950.2184125624999"/>
    <n v="103954.5866638125"/>
    <m/>
    <n v="103954.5866638125"/>
    <n v="1039.5458666381251"/>
    <n v="104994.13253045063"/>
    <n v="5249.7066265225321"/>
    <n v="110243.83915697316"/>
    <m/>
    <n v="110243.83915697316"/>
    <n v="3307.3151747091947"/>
    <n v="113551.15433168235"/>
    <m/>
    <n v="113551.15433168235"/>
    <m/>
    <n v="113551.15433168235"/>
    <m/>
    <n v="113551.15433168235"/>
    <m/>
    <n v="113551.15433168235"/>
    <n v="1135.5115433168235"/>
    <n v="114686.66587499918"/>
    <n v="573.43332937499588"/>
    <n v="115260.09920437417"/>
    <m/>
    <n v="115260.09920437417"/>
    <n v="2881.5024801093546"/>
    <n v="118141.60168448352"/>
    <m/>
    <n v="118141.60168448352"/>
    <m/>
    <n v="118141.60168448352"/>
    <n v="5907.080084224177"/>
    <n v="124048.6817687077"/>
    <n v="16126.328629932001"/>
    <n v="140175.01039863969"/>
    <n v="35"/>
    <n v="140210.01039863969"/>
    <m/>
    <n v="140210.01039863969"/>
    <n v="140210.01"/>
    <n v="5308400"/>
    <m/>
    <m/>
    <n v="0"/>
    <n v="140211.30480718435"/>
    <n v="5308400"/>
    <x v="3"/>
    <n v="10000"/>
    <n v="150211.30480718435"/>
    <n v="378599.99999999907"/>
    <n v="5686999.9999999991"/>
    <m/>
    <m/>
    <x v="1"/>
    <x v="1"/>
    <b v="1"/>
    <s v="АГ-005-Б-05-05-143"/>
    <m/>
    <s v="ДА"/>
    <s v="White Box"/>
    <b v="1"/>
    <n v="5687000"/>
    <n v="9.3132257461547852E-10"/>
    <b v="1"/>
    <s v=" "/>
    <s v=""/>
  </r>
  <r>
    <n v="144"/>
    <x v="1"/>
    <x v="4"/>
    <x v="5"/>
    <x v="3"/>
    <n v="17.89"/>
    <n v="17.2"/>
    <n v="14.31"/>
    <n v="49.400000000000006"/>
    <n v="13.39"/>
    <n v="4.2"/>
    <n v="2.0499999999999998"/>
    <m/>
    <n v="13.21"/>
    <n v="2.79"/>
    <n v="2.68"/>
    <m/>
    <n v="5.4700000000000006"/>
    <n v="87.72"/>
    <n v="82.25"/>
    <n v="84.99"/>
    <n v="72092.790000000008"/>
    <n v="3604.6395000000007"/>
    <n v="75697.429500000013"/>
    <n v="2270.9228850000004"/>
    <n v="77968.35238500002"/>
    <m/>
    <n v="77968.35238500002"/>
    <m/>
    <n v="77968.35238500002"/>
    <m/>
    <n v="77968.35238500002"/>
    <m/>
    <n v="77968.35238500002"/>
    <n v="779.68352385000026"/>
    <n v="78748.035908850026"/>
    <n v="3937.4017954425017"/>
    <n v="82685.437704292533"/>
    <m/>
    <n v="82685.437704292533"/>
    <n v="1653.7087540858506"/>
    <n v="84339.146458378382"/>
    <m/>
    <n v="84339.146458378382"/>
    <n v="1686.7829291675678"/>
    <n v="86025.929387545955"/>
    <m/>
    <n v="86025.929387545955"/>
    <n v="860.25929387545955"/>
    <n v="86886.188681421409"/>
    <m/>
    <n v="86886.188681421409"/>
    <m/>
    <n v="86886.188681421409"/>
    <n v="1737.7237736284283"/>
    <n v="88623.912455049838"/>
    <n v="1329.3586868257476"/>
    <n v="89953.271141875579"/>
    <m/>
    <n v="89953.271141875579"/>
    <n v="3598.130845675023"/>
    <n v="93551.401987550606"/>
    <n v="4677.5700993775308"/>
    <n v="98228.97208692813"/>
    <n v="12769.766371300657"/>
    <n v="110998.73845822879"/>
    <n v="35"/>
    <n v="111033.73845822879"/>
    <m/>
    <n v="111033.73845822879"/>
    <n v="111033.74"/>
    <n v="9436800"/>
    <m/>
    <m/>
    <n v="0"/>
    <n v="111034.23932227322"/>
    <n v="9436800"/>
    <x v="3"/>
    <n v="10000"/>
    <n v="121034.23932227322"/>
    <n v="849900"/>
    <n v="10286700"/>
    <m/>
    <m/>
    <x v="1"/>
    <x v="1"/>
    <b v="1"/>
    <s v="АГ-005-Б-05-06-144"/>
    <m/>
    <s v="ДА"/>
    <s v="White Box"/>
    <b v="1"/>
    <n v="10286700"/>
    <n v="0"/>
    <b v="1"/>
    <s v=" "/>
    <s v=""/>
  </r>
  <r>
    <n v="145"/>
    <x v="1"/>
    <x v="4"/>
    <x v="6"/>
    <x v="0"/>
    <n v="17.89"/>
    <m/>
    <m/>
    <n v="17.89"/>
    <n v="13.04"/>
    <n v="3.9"/>
    <m/>
    <m/>
    <n v="6.12"/>
    <n v="2.65"/>
    <m/>
    <m/>
    <n v="2.65"/>
    <n v="43.6"/>
    <n v="40.950000000000003"/>
    <n v="42.28"/>
    <n v="83951.4375"/>
    <n v="4197.5718750000005"/>
    <n v="88149.009374999994"/>
    <n v="2644.4702812499995"/>
    <n v="90793.479656249998"/>
    <n v="2723.8043896874997"/>
    <n v="93517.2840459375"/>
    <m/>
    <n v="93517.2840459375"/>
    <n v="4675.8642022968752"/>
    <n v="98193.148248234371"/>
    <m/>
    <n v="98193.148248234371"/>
    <n v="981.93148248234377"/>
    <n v="99175.079730716709"/>
    <n v="4958.7539865358358"/>
    <n v="104133.83371725255"/>
    <m/>
    <n v="104133.83371725255"/>
    <n v="3124.0150115175766"/>
    <n v="107257.84872877013"/>
    <m/>
    <n v="107257.84872877013"/>
    <m/>
    <n v="107257.84872877013"/>
    <m/>
    <n v="107257.84872877013"/>
    <n v="1072.5784872877014"/>
    <n v="108330.42721605783"/>
    <m/>
    <n v="108330.42721605783"/>
    <m/>
    <n v="108330.42721605783"/>
    <m/>
    <n v="108330.42721605783"/>
    <n v="2708.2606804014458"/>
    <n v="111038.68789645928"/>
    <m/>
    <n v="111038.68789645928"/>
    <m/>
    <n v="111038.68789645928"/>
    <m/>
    <n v="111038.68789645928"/>
    <m/>
    <n v="111038.68789645928"/>
    <m/>
    <n v="111038.68789645928"/>
    <m/>
    <n v="111038.68789645928"/>
    <n v="111038.69"/>
    <n v="4694800"/>
    <n v="544800"/>
    <m/>
    <n v="544800"/>
    <n v="98155.15610217597"/>
    <n v="4150000"/>
    <x v="1"/>
    <m/>
    <n v="98155.15610217597"/>
    <n v="0"/>
    <n v="4150000"/>
    <m/>
    <s v="Индивидуальная скидка"/>
    <x v="0"/>
    <x v="0"/>
    <b v="1"/>
    <s v="АГ-005-Б-05-07-145"/>
    <m/>
    <s v="ДА"/>
    <s v="Черновая"/>
    <b v="1"/>
    <n v="4150000"/>
    <n v="0"/>
    <b v="1"/>
    <d v="2024-11-21T00:00:00"/>
    <s v="Никишов"/>
  </r>
  <r>
    <n v="146"/>
    <x v="1"/>
    <x v="5"/>
    <x v="0"/>
    <x v="1"/>
    <n v="15.91"/>
    <n v="12.02"/>
    <m/>
    <n v="27.93"/>
    <n v="15.31"/>
    <n v="3.85"/>
    <n v="2.2999999999999998"/>
    <m/>
    <n v="9.4499999999999993"/>
    <n v="2.75"/>
    <m/>
    <m/>
    <n v="2.75"/>
    <n v="61.59"/>
    <n v="58.84"/>
    <n v="60.22"/>
    <n v="81852.246000000014"/>
    <n v="4092.6123000000007"/>
    <n v="85944.858300000022"/>
    <n v="2578.3457490000005"/>
    <n v="88523.204049000022"/>
    <m/>
    <n v="88523.204049000022"/>
    <m/>
    <n v="88523.204049000022"/>
    <m/>
    <n v="88523.204049000022"/>
    <m/>
    <n v="88523.204049000022"/>
    <n v="885.23204049000026"/>
    <n v="89408.436089490016"/>
    <n v="4470.4218044745012"/>
    <n v="93878.857893964523"/>
    <m/>
    <n v="93878.857893964523"/>
    <n v="1877.5771578792906"/>
    <n v="95756.435051843815"/>
    <m/>
    <n v="95756.435051843815"/>
    <n v="1915.1287010368762"/>
    <n v="97671.563752880698"/>
    <m/>
    <n v="97671.563752880698"/>
    <m/>
    <n v="97671.563752880698"/>
    <m/>
    <n v="97671.563752880698"/>
    <m/>
    <n v="97671.563752880698"/>
    <m/>
    <n v="97671.563752880698"/>
    <n v="1465.0734562932105"/>
    <n v="99136.637209173903"/>
    <m/>
    <n v="99136.637209173903"/>
    <n v="3965.4654883669564"/>
    <n v="103102.10269754086"/>
    <n v="6186.1261618524513"/>
    <n v="109288.2288593933"/>
    <n v="14207.46975172113"/>
    <n v="123495.69861111444"/>
    <n v="35"/>
    <n v="123530.69861111444"/>
    <m/>
    <n v="123530.69861111444"/>
    <n v="123530.7"/>
    <n v="7439100"/>
    <m/>
    <m/>
    <n v="0"/>
    <n v="123532.04915310528"/>
    <n v="7439100"/>
    <x v="3"/>
    <n v="10000"/>
    <n v="133532.0491531053"/>
    <n v="602200.00000000093"/>
    <n v="8041300.0000000009"/>
    <m/>
    <m/>
    <x v="1"/>
    <x v="1"/>
    <b v="1"/>
    <s v="АГ-005-Б-06-01-146"/>
    <m/>
    <s v="ДА"/>
    <s v="White Box"/>
    <b v="1"/>
    <n v="8041300"/>
    <n v="-9.3132257461547852E-10"/>
    <b v="1"/>
    <s v=" "/>
    <s v=""/>
  </r>
  <r>
    <n v="147"/>
    <x v="1"/>
    <x v="5"/>
    <x v="1"/>
    <x v="2"/>
    <n v="7.13"/>
    <m/>
    <m/>
    <n v="7.13"/>
    <n v="5.12"/>
    <n v="3.65"/>
    <m/>
    <m/>
    <n v="6.92"/>
    <n v="2.91"/>
    <m/>
    <m/>
    <n v="2.91"/>
    <n v="25.73"/>
    <n v="22.82"/>
    <n v="24.28"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n v="91981.58"/>
    <n v="2233312.7599999998"/>
    <m/>
    <m/>
    <n v="0"/>
    <n v="91981.579901153193"/>
    <n v="2233312.7599999998"/>
    <x v="0"/>
    <n v="4500"/>
    <n v="96481.579901153193"/>
    <n v="109260"/>
    <n v="2342572.7599999998"/>
    <m/>
    <m/>
    <x v="0"/>
    <x v="0"/>
    <b v="1"/>
    <s v="АГ-005-Б-06-02-147"/>
    <m/>
    <s v="НЕТ"/>
    <s v="Предчистовая"/>
    <b v="1"/>
    <n v="2342572.7599999998"/>
    <n v="0"/>
    <b v="1"/>
    <d v="2023-09-18T00:00:00"/>
    <s v="Дик"/>
  </r>
  <r>
    <n v="148"/>
    <x v="1"/>
    <x v="5"/>
    <x v="2"/>
    <x v="1"/>
    <n v="14.6"/>
    <n v="13.12"/>
    <m/>
    <n v="27.72"/>
    <n v="14.35"/>
    <n v="3.68"/>
    <n v="2.57"/>
    <m/>
    <n v="7.95"/>
    <n v="2.65"/>
    <m/>
    <m/>
    <n v="2.65"/>
    <n v="58.92"/>
    <n v="56.27"/>
    <n v="57.6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n v="958.28704059430083"/>
    <n v="96786.991100024374"/>
    <m/>
    <n v="96786.991100024374"/>
    <m/>
    <n v="96786.991100024374"/>
    <m/>
    <n v="96786.991100024374"/>
    <n v="2419.6747775006093"/>
    <n v="99206.665877524982"/>
    <m/>
    <n v="99206.665877524982"/>
    <m/>
    <n v="99206.665877524982"/>
    <m/>
    <n v="99206.665877524982"/>
    <m/>
    <n v="99206.665877524982"/>
    <m/>
    <n v="99206.665877524982"/>
    <m/>
    <n v="99206.665877524982"/>
    <n v="99206.67"/>
    <n v="5714400"/>
    <m/>
    <n v="0.03"/>
    <n v="171432"/>
    <n v="96232.083333333328"/>
    <n v="5542968"/>
    <x v="3"/>
    <n v="7000"/>
    <n v="103232.08333333333"/>
    <n v="403200"/>
    <n v="5946168"/>
    <s v="Хит"/>
    <s v="Скидка семьям с детьми с ОВЗ"/>
    <x v="0"/>
    <x v="0"/>
    <b v="1"/>
    <s v="АГ-005-Б-06-03-148"/>
    <m/>
    <s v="ДА"/>
    <s v="White Box"/>
    <b v="1"/>
    <n v="5946168"/>
    <n v="0"/>
    <b v="1"/>
    <d v="2024-09-20T00:00:00"/>
    <s v="Дик"/>
  </r>
  <r>
    <n v="149"/>
    <x v="1"/>
    <x v="5"/>
    <x v="3"/>
    <x v="1"/>
    <n v="15.45"/>
    <n v="14.5"/>
    <m/>
    <n v="29.95"/>
    <n v="11.95"/>
    <n v="3.86"/>
    <n v="2.37"/>
    <m/>
    <n v="8.8699999999999992"/>
    <n v="2.62"/>
    <m/>
    <m/>
    <n v="2.62"/>
    <n v="59.62"/>
    <n v="57"/>
    <n v="58.31"/>
    <n v="81466.150500000003"/>
    <n v="4073.3075250000002"/>
    <n v="85539.458025"/>
    <n v="2566.1837407499997"/>
    <n v="88105.641765749999"/>
    <m/>
    <n v="88105.641765749999"/>
    <m/>
    <n v="88105.641765749999"/>
    <m/>
    <n v="88105.641765749999"/>
    <m/>
    <n v="88105.641765749999"/>
    <n v="881.05641765749999"/>
    <n v="88986.698183407498"/>
    <n v="4449.3349091703749"/>
    <n v="93436.033092577869"/>
    <m/>
    <n v="93436.033092577869"/>
    <n v="1868.7206618515575"/>
    <n v="95304.753754429432"/>
    <m/>
    <n v="95304.753754429432"/>
    <n v="1906.0950750885886"/>
    <n v="97210.848829518014"/>
    <m/>
    <n v="97210.848829518014"/>
    <m/>
    <n v="97210.848829518014"/>
    <n v="972.10848829518011"/>
    <n v="98182.957317813198"/>
    <m/>
    <n v="98182.957317813198"/>
    <m/>
    <n v="98182.957317813198"/>
    <n v="2454.5739329453299"/>
    <n v="100637.53125075853"/>
    <n v="500"/>
    <n v="101137.53125075853"/>
    <n v="4045.5012500303415"/>
    <n v="105183.03250078888"/>
    <n v="6310.9819500473322"/>
    <n v="111494.01445083621"/>
    <n v="14494.221878608709"/>
    <n v="125988.23632944492"/>
    <n v="35"/>
    <n v="126023.23632944492"/>
    <m/>
    <n v="126023.23632944492"/>
    <n v="126023.24"/>
    <n v="7348500"/>
    <m/>
    <m/>
    <n v="0"/>
    <n v="126024.69559252272"/>
    <n v="7348500"/>
    <x v="1"/>
    <m/>
    <n v="126024.69559252272"/>
    <n v="0"/>
    <n v="7348500"/>
    <m/>
    <m/>
    <x v="1"/>
    <x v="1"/>
    <b v="1"/>
    <s v="АГ-005-Б-06-04-149"/>
    <m/>
    <s v="ДА"/>
    <s v="Черновая"/>
    <b v="1"/>
    <n v="7348500"/>
    <n v="0"/>
    <b v="1"/>
    <s v=" "/>
    <s v=""/>
  </r>
  <r>
    <n v="150"/>
    <x v="1"/>
    <x v="5"/>
    <x v="4"/>
    <x v="0"/>
    <n v="12.06"/>
    <m/>
    <m/>
    <n v="12.06"/>
    <n v="13.18"/>
    <n v="4.1100000000000003"/>
    <m/>
    <m/>
    <n v="7.09"/>
    <n v="2.84"/>
    <m/>
    <m/>
    <n v="2.84"/>
    <n v="39.28"/>
    <n v="36.44"/>
    <n v="37.86"/>
    <n v="89223.75"/>
    <n v="4461.1875"/>
    <n v="93684.9375"/>
    <n v="2810.5481249999998"/>
    <n v="96495.485625000001"/>
    <n v="4342.2968531249999"/>
    <n v="100837.78247812499"/>
    <m/>
    <n v="100837.78247812499"/>
    <n v="5041.8891239062505"/>
    <n v="105879.67160203125"/>
    <m/>
    <n v="105879.67160203125"/>
    <n v="1058.7967160203125"/>
    <n v="106938.46831805156"/>
    <n v="5346.9234159025782"/>
    <n v="112285.39173395414"/>
    <m/>
    <n v="112285.39173395414"/>
    <n v="3368.5617520186238"/>
    <n v="115653.95348597276"/>
    <m/>
    <n v="115653.95348597276"/>
    <m/>
    <n v="115653.95348597276"/>
    <m/>
    <n v="115653.95348597276"/>
    <m/>
    <n v="115653.95348597276"/>
    <n v="1156.5395348597276"/>
    <n v="116810.49302083248"/>
    <m/>
    <n v="116810.49302083248"/>
    <m/>
    <n v="116810.49302083248"/>
    <m/>
    <n v="116810.49302083248"/>
    <m/>
    <n v="116810.49302083248"/>
    <m/>
    <n v="116810.49302083248"/>
    <m/>
    <n v="116810.49302083248"/>
    <m/>
    <n v="116810.49302083248"/>
    <m/>
    <n v="116810.49302083248"/>
    <m/>
    <n v="116810.49302083248"/>
    <n v="116810.49"/>
    <n v="4422500"/>
    <m/>
    <m/>
    <n v="0"/>
    <n v="116811.93872160591"/>
    <n v="4422500"/>
    <x v="1"/>
    <m/>
    <n v="116811.93872160591"/>
    <n v="0"/>
    <n v="4422500"/>
    <m/>
    <m/>
    <x v="0"/>
    <x v="0"/>
    <b v="1"/>
    <s v="АГ-005-Б-06-05-150"/>
    <m/>
    <s v="ДА"/>
    <s v="Черновая"/>
    <b v="1"/>
    <n v="4422500"/>
    <n v="0"/>
    <b v="1"/>
    <d v="2024-06-11T00:00:00"/>
    <s v="Дик"/>
  </r>
  <r>
    <n v="151"/>
    <x v="1"/>
    <x v="5"/>
    <x v="5"/>
    <x v="3"/>
    <n v="17.89"/>
    <n v="17.2"/>
    <n v="14.31"/>
    <n v="49.400000000000006"/>
    <n v="13.39"/>
    <n v="4.2"/>
    <n v="2.0499999999999998"/>
    <m/>
    <n v="13.21"/>
    <n v="2.79"/>
    <n v="2.68"/>
    <m/>
    <n v="5.4700000000000006"/>
    <n v="87.72"/>
    <n v="82.25"/>
    <n v="84.99"/>
    <n v="73520.37000000001"/>
    <n v="3676.0185000000006"/>
    <n v="77196.388500000015"/>
    <n v="2315.8916550000004"/>
    <n v="79512.280155000015"/>
    <m/>
    <n v="79512.280155000015"/>
    <m/>
    <n v="79512.280155000015"/>
    <m/>
    <n v="79512.280155000015"/>
    <m/>
    <n v="79512.280155000015"/>
    <n v="795.12280155000019"/>
    <n v="80307.40295655001"/>
    <n v="4015.3701478275007"/>
    <n v="84322.773104377513"/>
    <m/>
    <n v="84322.773104377513"/>
    <m/>
    <n v="84322.773104377513"/>
    <m/>
    <n v="84322.773104377513"/>
    <m/>
    <n v="84322.773104377513"/>
    <m/>
    <n v="84322.773104377513"/>
    <m/>
    <n v="84322.773104377513"/>
    <m/>
    <n v="84322.773104377513"/>
    <m/>
    <n v="84322.773104377513"/>
    <m/>
    <n v="84322.773104377513"/>
    <m/>
    <n v="84322.773104377513"/>
    <m/>
    <n v="84322.773104377513"/>
    <m/>
    <n v="84322.773104377513"/>
    <m/>
    <n v="84322.773104377513"/>
    <m/>
    <n v="84322.773104377513"/>
    <m/>
    <n v="84322.773104377513"/>
    <m/>
    <n v="84322.773104377513"/>
    <n v="84322.77"/>
    <n v="7166600"/>
    <m/>
    <n v="0.04"/>
    <n v="286664"/>
    <n v="80949.947052594434"/>
    <n v="6879936"/>
    <x v="3"/>
    <n v="7000"/>
    <n v="87949.947052594434"/>
    <n v="594930.00000000093"/>
    <n v="7474866.0000000009"/>
    <m/>
    <s v="Ветеран боевых действий"/>
    <x v="0"/>
    <x v="0"/>
    <b v="1"/>
    <s v="АГ-005-Б-06-06-151"/>
    <m/>
    <s v="ДА"/>
    <s v="White Box"/>
    <b v="1"/>
    <n v="7474866"/>
    <n v="-9.3132257461547852E-10"/>
    <b v="1"/>
    <d v="2024-01-24T00:00:00"/>
    <s v="Никишов"/>
  </r>
  <r>
    <n v="152"/>
    <x v="1"/>
    <x v="5"/>
    <x v="6"/>
    <x v="0"/>
    <n v="17.89"/>
    <m/>
    <m/>
    <n v="17.89"/>
    <n v="13.04"/>
    <n v="3.9"/>
    <m/>
    <m/>
    <n v="6.12"/>
    <n v="2.65"/>
    <m/>
    <m/>
    <n v="2.65"/>
    <n v="43.6"/>
    <n v="40.950000000000003"/>
    <n v="42.28"/>
    <n v="85573.6875"/>
    <n v="4278.6843749999998"/>
    <n v="89852.371874999997"/>
    <n v="2695.5711562499996"/>
    <n v="92547.94303124999"/>
    <n v="2776.4382909374995"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n v="95324.38"/>
    <n v="4030314.79"/>
    <m/>
    <m/>
    <n v="0"/>
    <n v="95324.380085146637"/>
    <n v="4030314.79"/>
    <x v="1"/>
    <m/>
    <n v="95324.380085146637"/>
    <n v="0"/>
    <n v="4030314.79"/>
    <m/>
    <m/>
    <x v="0"/>
    <x v="0"/>
    <b v="1"/>
    <s v="АГ-005-Б-06-07-152"/>
    <m/>
    <s v="НЕТ"/>
    <s v="Черновая"/>
    <b v="1"/>
    <n v="4030314.79"/>
    <n v="0"/>
    <b v="1"/>
    <d v="2023-09-30T00:00:00"/>
    <s v="Никишов"/>
  </r>
  <r>
    <n v="153"/>
    <x v="1"/>
    <x v="6"/>
    <x v="0"/>
    <x v="1"/>
    <n v="15.91"/>
    <n v="12.02"/>
    <m/>
    <n v="27.93"/>
    <n v="15.31"/>
    <n v="3.85"/>
    <n v="2.2999999999999998"/>
    <m/>
    <n v="9.4499999999999993"/>
    <n v="2.75"/>
    <m/>
    <m/>
    <n v="2.75"/>
    <n v="61.59"/>
    <n v="58.84"/>
    <n v="60.22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n v="92107.56"/>
    <n v="5546800"/>
    <m/>
    <n v="0.03"/>
    <n v="166404"/>
    <n v="89345.665891730328"/>
    <n v="5380396"/>
    <x v="2"/>
    <n v="20000"/>
    <n v="109345.66589173033"/>
    <n v="1204400"/>
    <n v="6584796"/>
    <m/>
    <s v="Ветеран боевых действий"/>
    <x v="0"/>
    <x v="0"/>
    <b v="1"/>
    <s v="АГ-005-Б-07-01-153"/>
    <m/>
    <s v="ДА"/>
    <s v="Чистовая"/>
    <b v="1"/>
    <n v="6584796"/>
    <n v="0"/>
    <b v="1"/>
    <d v="2024-02-29T00:00:00"/>
    <s v="Дик"/>
  </r>
  <r>
    <n v="154"/>
    <x v="1"/>
    <x v="6"/>
    <x v="1"/>
    <x v="2"/>
    <n v="7.13"/>
    <m/>
    <m/>
    <n v="7.13"/>
    <n v="5.12"/>
    <n v="3.65"/>
    <m/>
    <m/>
    <n v="6.92"/>
    <n v="2.91"/>
    <m/>
    <m/>
    <n v="2.91"/>
    <n v="25.73"/>
    <n v="22.82"/>
    <n v="24.28"/>
    <n v="90229.544999999998"/>
    <n v="4511.4772499999999"/>
    <n v="94741.022249999995"/>
    <n v="2842.2306674999995"/>
    <n v="97583.252917499995"/>
    <n v="14637.487937624999"/>
    <n v="112220.740855125"/>
    <m/>
    <n v="112220.740855125"/>
    <m/>
    <n v="112220.740855125"/>
    <m/>
    <n v="112220.740855125"/>
    <m/>
    <n v="112220.740855125"/>
    <m/>
    <n v="112220.740855125"/>
    <m/>
    <n v="112220.740855125"/>
    <m/>
    <n v="112220.740855125"/>
    <m/>
    <n v="112220.740855125"/>
    <m/>
    <n v="112220.740855125"/>
    <m/>
    <n v="112220.740855125"/>
    <m/>
    <n v="112220.740855125"/>
    <m/>
    <n v="112220.740855125"/>
    <m/>
    <n v="112220.740855125"/>
    <m/>
    <n v="112220.740855125"/>
    <m/>
    <n v="112220.740855125"/>
    <m/>
    <n v="112220.740855125"/>
    <m/>
    <n v="112220.740855125"/>
    <m/>
    <n v="112220.740855125"/>
    <m/>
    <n v="112220.740855125"/>
    <m/>
    <n v="112220.740855125"/>
    <m/>
    <n v="112220.740855125"/>
    <n v="112220.74"/>
    <n v="2724719.57"/>
    <m/>
    <n v="0.03"/>
    <n v="81741.58709999999"/>
    <n v="108854.11779242173"/>
    <n v="2642977.98"/>
    <x v="1"/>
    <m/>
    <n v="108854.11779242173"/>
    <n v="0"/>
    <n v="2642977.98"/>
    <m/>
    <s v="ТЕРМЫ: для розыгрыша"/>
    <x v="0"/>
    <x v="0"/>
    <b v="1"/>
    <s v="АГ-005-Б-07-02-154"/>
    <m/>
    <s v="НЕТ"/>
    <s v="Черновая"/>
    <b v="1"/>
    <n v="2642977.98"/>
    <n v="0"/>
    <b v="1"/>
    <d v="2023-10-31T00:00:00"/>
    <s v="Координатор"/>
  </r>
  <r>
    <n v="155"/>
    <x v="1"/>
    <x v="6"/>
    <x v="2"/>
    <x v="1"/>
    <n v="14.6"/>
    <n v="13.12"/>
    <m/>
    <n v="27.72"/>
    <n v="14.35"/>
    <n v="3.68"/>
    <n v="2.57"/>
    <m/>
    <n v="7.95"/>
    <n v="2.65"/>
    <m/>
    <m/>
    <n v="2.65"/>
    <n v="58.92"/>
    <n v="56.27"/>
    <n v="57.6"/>
    <n v="78763.482000000004"/>
    <n v="3938.1741000000002"/>
    <n v="82701.656100000007"/>
    <n v="2481.0496830000002"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m/>
    <n v="85182.705783000012"/>
    <n v="85182.71"/>
    <n v="4906524.0999999996"/>
    <n v="120000"/>
    <m/>
    <n v="120000"/>
    <n v="83099.376736111109"/>
    <n v="4786524.0999999996"/>
    <x v="1"/>
    <m/>
    <n v="83099.376736111109"/>
    <n v="0"/>
    <n v="4786524.0999999996"/>
    <s v="Хит"/>
    <s v="Молодая семья"/>
    <x v="0"/>
    <x v="0"/>
    <b v="1"/>
    <s v="АГ-005-Б-07-03-155"/>
    <m/>
    <s v="НЕТ"/>
    <s v="Черновая"/>
    <b v="1"/>
    <n v="4786524.0999999996"/>
    <n v="0"/>
    <b v="1"/>
    <d v="2023-09-15T00:00:00"/>
    <s v="Дик"/>
  </r>
  <r>
    <n v="156"/>
    <x v="1"/>
    <x v="6"/>
    <x v="3"/>
    <x v="1"/>
    <n v="15.45"/>
    <n v="14.5"/>
    <m/>
    <n v="29.95"/>
    <n v="11.95"/>
    <n v="3.86"/>
    <n v="2.37"/>
    <m/>
    <n v="8.8699999999999992"/>
    <n v="2.62"/>
    <m/>
    <m/>
    <n v="2.62"/>
    <n v="59.62"/>
    <n v="57"/>
    <n v="58.31"/>
    <n v="79921.768500000006"/>
    <n v="3996.0884250000004"/>
    <n v="83917.856925"/>
    <n v="2517.5357077499998"/>
    <n v="86435.392632749994"/>
    <m/>
    <n v="86435.392632749994"/>
    <m/>
    <n v="86435.392632749994"/>
    <m/>
    <n v="86435.392632749994"/>
    <m/>
    <n v="86435.392632749994"/>
    <n v="864.35392632749995"/>
    <n v="87299.746559077495"/>
    <n v="4364.9873279538751"/>
    <n v="91664.733887031369"/>
    <m/>
    <n v="91664.733887031369"/>
    <n v="1833.2946777406273"/>
    <n v="93498.028564772001"/>
    <m/>
    <n v="93498.028564772001"/>
    <n v="1869.9605712954401"/>
    <n v="95367.989136067437"/>
    <m/>
    <n v="95367.989136067437"/>
    <m/>
    <n v="95367.989136067437"/>
    <m/>
    <n v="95367.989136067437"/>
    <m/>
    <n v="95367.989136067437"/>
    <m/>
    <n v="95367.989136067437"/>
    <m/>
    <n v="95367.989136067437"/>
    <m/>
    <n v="95367.989136067437"/>
    <m/>
    <n v="95367.989136067437"/>
    <m/>
    <n v="95367.989136067437"/>
    <m/>
    <n v="95367.989136067437"/>
    <m/>
    <n v="95367.989136067437"/>
    <m/>
    <n v="95367.989136067437"/>
    <n v="95367.99"/>
    <n v="5561000"/>
    <n v="178888"/>
    <m/>
    <n v="178888"/>
    <n v="92301.69782198593"/>
    <n v="5382112"/>
    <x v="1"/>
    <m/>
    <n v="92301.69782198593"/>
    <n v="0"/>
    <n v="5382112"/>
    <m/>
    <s v="Индивидуальная скидка"/>
    <x v="0"/>
    <x v="0"/>
    <b v="1"/>
    <s v="АГ-005-Б-07-04-156"/>
    <m/>
    <s v="ДА"/>
    <s v="Черновая"/>
    <b v="1"/>
    <n v="5382112"/>
    <n v="0"/>
    <b v="1"/>
    <d v="2024-04-19T00:00:00"/>
    <s v="Никишов"/>
  </r>
  <r>
    <n v="157"/>
    <x v="1"/>
    <x v="6"/>
    <x v="4"/>
    <x v="0"/>
    <n v="12.06"/>
    <m/>
    <m/>
    <n v="12.06"/>
    <n v="13.18"/>
    <n v="4.1100000000000003"/>
    <m/>
    <m/>
    <n v="7.09"/>
    <n v="2.84"/>
    <m/>
    <m/>
    <n v="2.84"/>
    <n v="39.28"/>
    <n v="36.44"/>
    <n v="37.86"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m/>
    <n v="87601.5"/>
    <n v="87601.5"/>
    <n v="3316592.79"/>
    <m/>
    <n v="0.06"/>
    <n v="198995.5674"/>
    <n v="82345.40993132595"/>
    <n v="3117597.22"/>
    <x v="1"/>
    <m/>
    <n v="82345.40993132595"/>
    <n v="0"/>
    <n v="3117597.22"/>
    <m/>
    <s v="Ветеран боевых действий"/>
    <x v="0"/>
    <x v="0"/>
    <b v="1"/>
    <s v="АГ-005-Б-07-05-157"/>
    <m/>
    <s v="НЕТ"/>
    <s v="Черновая"/>
    <b v="1"/>
    <n v="3117597.22"/>
    <n v="0"/>
    <b v="1"/>
    <d v="2023-09-19T00:00:00"/>
    <s v="Гайганова"/>
  </r>
  <r>
    <n v="158"/>
    <x v="1"/>
    <x v="6"/>
    <x v="5"/>
    <x v="3"/>
    <n v="17.89"/>
    <n v="17.2"/>
    <n v="14.31"/>
    <n v="49.400000000000006"/>
    <n v="13.39"/>
    <n v="4.2"/>
    <n v="2.0499999999999998"/>
    <m/>
    <n v="13.21"/>
    <n v="2.79"/>
    <n v="2.68"/>
    <m/>
    <n v="5.4700000000000006"/>
    <n v="87.72"/>
    <n v="82.25"/>
    <n v="84.99"/>
    <n v="72092.790000000008"/>
    <n v="3604.6395000000007"/>
    <n v="75697.429500000013"/>
    <n v="2270.9228850000004"/>
    <n v="77968.35238500002"/>
    <m/>
    <n v="77968.35238500002"/>
    <m/>
    <n v="77968.35238500002"/>
    <m/>
    <n v="77968.35238500002"/>
    <m/>
    <n v="77968.35238500002"/>
    <n v="779.68352385000026"/>
    <n v="78748.035908850026"/>
    <n v="3937.4017954425017"/>
    <n v="82685.437704292533"/>
    <m/>
    <n v="82685.437704292533"/>
    <n v="1653.7087540858506"/>
    <n v="84339.146458378382"/>
    <m/>
    <n v="84339.146458378382"/>
    <n v="1686.7829291675678"/>
    <n v="86025.929387545955"/>
    <m/>
    <n v="86025.929387545955"/>
    <n v="860.25929387545955"/>
    <n v="86886.188681421409"/>
    <m/>
    <n v="86886.188681421409"/>
    <m/>
    <n v="86886.188681421409"/>
    <n v="1737.7237736284283"/>
    <n v="88623.912455049838"/>
    <n v="1329.3586868257476"/>
    <n v="89953.271141875579"/>
    <m/>
    <n v="89953.271141875579"/>
    <n v="3598.130845675023"/>
    <n v="93551.401987550606"/>
    <n v="4677.5700993775308"/>
    <n v="98228.97208692813"/>
    <n v="12769.766371300657"/>
    <n v="110998.73845822879"/>
    <n v="35"/>
    <n v="111033.73845822879"/>
    <m/>
    <n v="111033.73845822879"/>
    <n v="111033.74"/>
    <n v="9436800"/>
    <m/>
    <m/>
    <n v="0"/>
    <n v="111034.23932227322"/>
    <n v="9436800"/>
    <x v="3"/>
    <n v="10000"/>
    <n v="121034.23932227322"/>
    <n v="849900"/>
    <n v="10286700"/>
    <m/>
    <m/>
    <x v="1"/>
    <x v="1"/>
    <b v="1"/>
    <s v="АГ-005-Б-07-06-158"/>
    <m/>
    <s v="ДА"/>
    <s v="White Box"/>
    <b v="1"/>
    <n v="10286700"/>
    <n v="0"/>
    <b v="1"/>
    <s v=" "/>
    <s v=""/>
  </r>
  <r>
    <n v="159"/>
    <x v="1"/>
    <x v="6"/>
    <x v="6"/>
    <x v="0"/>
    <n v="17.89"/>
    <m/>
    <m/>
    <n v="17.89"/>
    <n v="13.04"/>
    <n v="3.9"/>
    <m/>
    <m/>
    <n v="6.12"/>
    <n v="2.65"/>
    <m/>
    <m/>
    <n v="2.65"/>
    <n v="43.6"/>
    <n v="40.950000000000003"/>
    <n v="42.28"/>
    <n v="83951.4375"/>
    <n v="4197.5718750000005"/>
    <n v="88149.009374999994"/>
    <n v="2644.4702812499995"/>
    <n v="90793.479656249998"/>
    <n v="2723.8043896874997"/>
    <n v="93517.2840459375"/>
    <m/>
    <n v="93517.2840459375"/>
    <n v="4675.8642022968752"/>
    <n v="98193.148248234371"/>
    <m/>
    <n v="98193.148248234371"/>
    <m/>
    <n v="98193.148248234371"/>
    <m/>
    <n v="98193.148248234371"/>
    <m/>
    <n v="98193.148248234371"/>
    <m/>
    <n v="98193.148248234371"/>
    <m/>
    <n v="98193.148248234371"/>
    <m/>
    <n v="98193.148248234371"/>
    <m/>
    <n v="98193.148248234371"/>
    <m/>
    <n v="98193.148248234371"/>
    <m/>
    <n v="98193.148248234371"/>
    <m/>
    <n v="98193.148248234371"/>
    <m/>
    <n v="98193.148248234371"/>
    <m/>
    <n v="98193.148248234371"/>
    <m/>
    <n v="98193.148248234371"/>
    <m/>
    <n v="98193.148248234371"/>
    <m/>
    <n v="98193.148248234371"/>
    <m/>
    <n v="98193.148248234371"/>
    <m/>
    <n v="98193.148248234371"/>
    <m/>
    <n v="98193.148248234371"/>
    <n v="98193.15"/>
    <n v="4151700"/>
    <m/>
    <m/>
    <n v="0"/>
    <n v="98195.364238410591"/>
    <n v="4151700"/>
    <x v="0"/>
    <n v="7500"/>
    <n v="105695.36423841059"/>
    <n v="317100"/>
    <n v="4468800"/>
    <m/>
    <m/>
    <x v="0"/>
    <x v="0"/>
    <b v="1"/>
    <s v="АГ-005-Б-07-07-159"/>
    <m/>
    <s v="ДА"/>
    <s v="Предчистовая"/>
    <b v="1"/>
    <n v="4468800"/>
    <n v="0"/>
    <b v="1"/>
    <d v="2023-12-19T00:00:00"/>
    <s v="Никишов"/>
  </r>
  <r>
    <n v="160"/>
    <x v="1"/>
    <x v="7"/>
    <x v="0"/>
    <x v="1"/>
    <n v="15.91"/>
    <n v="12.02"/>
    <m/>
    <n v="27.93"/>
    <n v="15.31"/>
    <n v="3.85"/>
    <n v="2.2999999999999998"/>
    <m/>
    <n v="9.4499999999999993"/>
    <n v="2.75"/>
    <m/>
    <m/>
    <n v="2.75"/>
    <n v="61.59"/>
    <n v="58.84"/>
    <n v="60.22"/>
    <n v="81852.246000000014"/>
    <n v="4092.6123000000007"/>
    <n v="85944.858300000022"/>
    <n v="2578.3457490000005"/>
    <n v="88523.204049000022"/>
    <m/>
    <n v="88523.204049000022"/>
    <m/>
    <n v="88523.204049000022"/>
    <m/>
    <n v="88523.204049000022"/>
    <m/>
    <n v="88523.204049000022"/>
    <n v="885.23204049000026"/>
    <n v="89408.436089490016"/>
    <n v="4470.4218044745012"/>
    <n v="93878.857893964523"/>
    <m/>
    <n v="93878.857893964523"/>
    <n v="1877.5771578792906"/>
    <n v="95756.435051843815"/>
    <m/>
    <n v="95756.435051843815"/>
    <n v="1915.1287010368762"/>
    <n v="97671.563752880698"/>
    <m/>
    <n v="97671.563752880698"/>
    <m/>
    <n v="97671.563752880698"/>
    <m/>
    <n v="97671.563752880698"/>
    <m/>
    <n v="97671.563752880698"/>
    <m/>
    <n v="97671.563752880698"/>
    <n v="1465.0734562932105"/>
    <n v="99136.637209173903"/>
    <m/>
    <n v="99136.637209173903"/>
    <m/>
    <n v="99136.637209173903"/>
    <m/>
    <n v="99136.637209173903"/>
    <m/>
    <n v="99136.637209173903"/>
    <m/>
    <n v="99136.637209173903"/>
    <m/>
    <n v="99136.637209173903"/>
    <n v="99136.639999999999"/>
    <n v="5970100"/>
    <n v="100000"/>
    <m/>
    <n v="100000"/>
    <n v="97477.582198605116"/>
    <n v="5870100"/>
    <x v="2"/>
    <n v="20000"/>
    <n v="117477.58219860512"/>
    <n v="1204400"/>
    <n v="7074500"/>
    <m/>
    <s v="Молодая семья"/>
    <x v="0"/>
    <x v="0"/>
    <b v="1"/>
    <s v="АГ-005-Б-08-01-160"/>
    <m/>
    <s v="ДА"/>
    <s v="Чистовая"/>
    <b v="1"/>
    <n v="7074500"/>
    <n v="0"/>
    <b v="1"/>
    <d v="2024-09-19T00:00:00"/>
    <s v="Полехович"/>
  </r>
  <r>
    <n v="161"/>
    <x v="1"/>
    <x v="7"/>
    <x v="1"/>
    <x v="2"/>
    <n v="7.13"/>
    <m/>
    <m/>
    <n v="7.13"/>
    <n v="5.12"/>
    <n v="3.65"/>
    <m/>
    <m/>
    <n v="6.92"/>
    <n v="2.91"/>
    <m/>
    <m/>
    <n v="2.91"/>
    <n v="25.73"/>
    <n v="22.82"/>
    <n v="24.28"/>
    <n v="91981.574999999997"/>
    <n v="4599.0787499999997"/>
    <n v="96580.653749999998"/>
    <n v="2897.4196124999999"/>
    <n v="99478.073362499999"/>
    <n v="14921.711004375"/>
    <n v="114399.784366875"/>
    <m/>
    <n v="114399.784366875"/>
    <m/>
    <n v="114399.784366875"/>
    <m/>
    <n v="114399.784366875"/>
    <n v="1143.99784366875"/>
    <n v="115543.78221054375"/>
    <n v="5777.1891105271879"/>
    <n v="121320.97132107095"/>
    <m/>
    <n v="121320.97132107095"/>
    <n v="3639.629139632128"/>
    <n v="124960.60046070308"/>
    <m/>
    <n v="124960.60046070308"/>
    <m/>
    <n v="124960.60046070308"/>
    <m/>
    <n v="124960.60046070308"/>
    <m/>
    <n v="124960.60046070308"/>
    <n v="2499.2120092140617"/>
    <n v="127459.81246991715"/>
    <m/>
    <n v="127459.81246991715"/>
    <m/>
    <n v="127459.81246991715"/>
    <n v="1911.8971870487571"/>
    <n v="129371.7096569659"/>
    <n v="500"/>
    <n v="129871.7096569659"/>
    <m/>
    <n v="129871.7096569659"/>
    <n v="5194.8683862786365"/>
    <n v="135066.57804324455"/>
    <n v="17558.655145621793"/>
    <n v="152625.23318886635"/>
    <n v="35"/>
    <n v="152660.23318886635"/>
    <m/>
    <n v="152660.23318886635"/>
    <n v="152660.23000000001"/>
    <n v="3706600"/>
    <m/>
    <m/>
    <n v="0"/>
    <n v="152660.62602965403"/>
    <n v="3706600"/>
    <x v="3"/>
    <n v="10000"/>
    <n v="162660.62602965403"/>
    <n v="242800"/>
    <n v="3949400"/>
    <m/>
    <m/>
    <x v="1"/>
    <x v="1"/>
    <b v="1"/>
    <s v="АГ-005-Б-08-02-161"/>
    <m/>
    <s v="ДА"/>
    <s v="White Box"/>
    <b v="1"/>
    <n v="3949400"/>
    <n v="0"/>
    <b v="1"/>
    <s v=" "/>
    <s v=""/>
  </r>
  <r>
    <n v="162"/>
    <x v="1"/>
    <x v="7"/>
    <x v="2"/>
    <x v="1"/>
    <n v="14.6"/>
    <n v="13.12"/>
    <m/>
    <n v="27.72"/>
    <n v="14.35"/>
    <n v="3.68"/>
    <n v="2.57"/>
    <m/>
    <n v="7.95"/>
    <n v="2.65"/>
    <m/>
    <m/>
    <n v="2.65"/>
    <n v="58.92"/>
    <n v="56.27"/>
    <n v="57.6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n v="86852.95"/>
    <n v="5002729.92"/>
    <m/>
    <n v="0.02"/>
    <n v="100054.5984"/>
    <n v="85115.890972222231"/>
    <n v="4902675.32"/>
    <x v="0"/>
    <n v="7500"/>
    <n v="92615.890972222231"/>
    <n v="432000"/>
    <n v="5334675.32"/>
    <s v="Хит"/>
    <s v="Скидка иногородним"/>
    <x v="0"/>
    <x v="0"/>
    <b v="1"/>
    <s v="АГ-005-Б-08-03-162"/>
    <m/>
    <s v="НЕТ"/>
    <s v="Предчистовая"/>
    <b v="1"/>
    <n v="5334675.32"/>
    <n v="0"/>
    <b v="1"/>
    <d v="2023-11-24T00:00:00"/>
    <s v="Никишов"/>
  </r>
  <r>
    <n v="163"/>
    <x v="1"/>
    <x v="7"/>
    <x v="3"/>
    <x v="1"/>
    <n v="15.45"/>
    <n v="14.5"/>
    <m/>
    <n v="29.95"/>
    <n v="11.95"/>
    <n v="3.86"/>
    <n v="2.37"/>
    <m/>
    <n v="8.8699999999999992"/>
    <n v="2.62"/>
    <m/>
    <m/>
    <n v="2.62"/>
    <n v="59.62"/>
    <n v="57"/>
    <n v="58.31"/>
    <n v="81466.150500000003"/>
    <n v="4073.3075250000002"/>
    <n v="85539.458025"/>
    <n v="2566.1837407499997"/>
    <n v="88105.641765749999"/>
    <m/>
    <n v="88105.641765749999"/>
    <m/>
    <n v="88105.641765749999"/>
    <m/>
    <n v="88105.641765749999"/>
    <m/>
    <n v="88105.641765749999"/>
    <n v="881.05641765749999"/>
    <n v="88986.698183407498"/>
    <n v="4449.3349091703749"/>
    <n v="93436.033092577869"/>
    <m/>
    <n v="93436.033092577869"/>
    <n v="1868.7206618515575"/>
    <n v="95304.753754429432"/>
    <m/>
    <n v="95304.753754429432"/>
    <n v="1906.0950750885886"/>
    <n v="97210.848829518014"/>
    <m/>
    <n v="97210.848829518014"/>
    <m/>
    <n v="97210.848829518014"/>
    <n v="972.10848829518011"/>
    <n v="98182.957317813198"/>
    <m/>
    <n v="98182.957317813198"/>
    <m/>
    <n v="98182.957317813198"/>
    <n v="2454.5739329453299"/>
    <n v="100637.53125075853"/>
    <n v="500"/>
    <n v="101137.53125075853"/>
    <n v="4045.5012500303415"/>
    <n v="105183.03250078888"/>
    <n v="6310.9819500473322"/>
    <n v="111494.01445083621"/>
    <n v="14494.221878608709"/>
    <n v="125988.23632944492"/>
    <n v="35"/>
    <n v="126023.23632944492"/>
    <m/>
    <n v="126023.23632944492"/>
    <n v="126023.24"/>
    <n v="7348500"/>
    <m/>
    <m/>
    <n v="0"/>
    <n v="126024.69559252272"/>
    <n v="7348500"/>
    <x v="1"/>
    <m/>
    <n v="126024.69559252272"/>
    <n v="0"/>
    <n v="7348500"/>
    <m/>
    <m/>
    <x v="1"/>
    <x v="1"/>
    <b v="1"/>
    <s v="АГ-005-Б-08-04-163"/>
    <m/>
    <s v="ДА"/>
    <s v="Черновая"/>
    <b v="1"/>
    <n v="7348500"/>
    <n v="0"/>
    <b v="1"/>
    <s v=" "/>
    <s v=""/>
  </r>
  <r>
    <n v="164"/>
    <x v="1"/>
    <x v="7"/>
    <x v="4"/>
    <x v="0"/>
    <n v="12.06"/>
    <m/>
    <m/>
    <n v="12.06"/>
    <n v="13.18"/>
    <n v="4.1100000000000003"/>
    <m/>
    <m/>
    <n v="7.09"/>
    <n v="2.84"/>
    <m/>
    <m/>
    <n v="2.84"/>
    <n v="39.28"/>
    <n v="36.44"/>
    <n v="37.86"/>
    <n v="89223.75"/>
    <n v="4461.1875"/>
    <n v="93684.9375"/>
    <n v="2810.5481249999998"/>
    <n v="96495.485625000001"/>
    <n v="4342.2968531249999"/>
    <n v="100837.78247812499"/>
    <m/>
    <n v="100837.78247812499"/>
    <n v="5041.8891239062505"/>
    <n v="105879.67160203125"/>
    <m/>
    <n v="105879.67160203125"/>
    <n v="1058.7967160203125"/>
    <n v="106938.46831805156"/>
    <n v="5346.9234159025782"/>
    <n v="112285.39173395414"/>
    <m/>
    <n v="112285.39173395414"/>
    <n v="3368.5617520186238"/>
    <n v="115653.95348597276"/>
    <m/>
    <n v="115653.95348597276"/>
    <m/>
    <n v="115653.95348597276"/>
    <m/>
    <n v="115653.95348597276"/>
    <m/>
    <n v="115653.95348597276"/>
    <m/>
    <n v="115653.95348597276"/>
    <m/>
    <n v="115653.95348597276"/>
    <m/>
    <n v="115653.95348597276"/>
    <m/>
    <n v="115653.95348597276"/>
    <m/>
    <n v="115653.95348597276"/>
    <m/>
    <n v="115653.95348597276"/>
    <m/>
    <n v="115653.95348597276"/>
    <m/>
    <n v="115653.95348597276"/>
    <m/>
    <n v="115653.95348597276"/>
    <m/>
    <n v="115653.95348597276"/>
    <n v="115653.95"/>
    <n v="4378700"/>
    <n v="88888"/>
    <m/>
    <n v="88888"/>
    <n v="113307.23718964607"/>
    <n v="4289812"/>
    <x v="2"/>
    <n v="20000"/>
    <n v="133307.23718964605"/>
    <n v="757199.99999999907"/>
    <n v="5047011.9999999991"/>
    <m/>
    <s v="Весна"/>
    <x v="0"/>
    <x v="0"/>
    <b v="1"/>
    <s v="АГ-005-Б-08-05-164"/>
    <m/>
    <s v="ДА"/>
    <s v="Чистовая"/>
    <b v="1"/>
    <n v="5047012"/>
    <n v="9.3132257461547852E-10"/>
    <b v="1"/>
    <d v="2024-04-15T00:00:00"/>
    <s v="Дик"/>
  </r>
  <r>
    <n v="165"/>
    <x v="1"/>
    <x v="7"/>
    <x v="5"/>
    <x v="3"/>
    <n v="17.89"/>
    <n v="17.2"/>
    <n v="14.31"/>
    <n v="49.400000000000006"/>
    <n v="13.39"/>
    <n v="4.2"/>
    <n v="2.0499999999999998"/>
    <m/>
    <n v="13.21"/>
    <n v="2.79"/>
    <n v="2.68"/>
    <m/>
    <n v="5.4700000000000006"/>
    <n v="87.72"/>
    <n v="82.25"/>
    <n v="84.99"/>
    <n v="73520.37000000001"/>
    <n v="3676.0185000000006"/>
    <n v="77196.388500000015"/>
    <n v="2315.8916550000004"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n v="79512.28"/>
    <n v="6757748.6799999997"/>
    <m/>
    <m/>
    <n v="0"/>
    <n v="79512.280032945055"/>
    <n v="6757748.6799999997"/>
    <x v="0"/>
    <n v="7500"/>
    <n v="87012.280032945055"/>
    <n v="637425"/>
    <n v="7395173.6799999997"/>
    <m/>
    <m/>
    <x v="0"/>
    <x v="0"/>
    <b v="1"/>
    <s v="АГ-005-Б-08-06-165"/>
    <m/>
    <s v="НЕТ"/>
    <s v="Предчистовая"/>
    <b v="1"/>
    <n v="7395173.6799999997"/>
    <n v="0"/>
    <b v="1"/>
    <d v="2023-12-22T00:00:00"/>
    <s v="Полехович"/>
  </r>
  <r>
    <n v="166"/>
    <x v="1"/>
    <x v="7"/>
    <x v="6"/>
    <x v="0"/>
    <n v="17.89"/>
    <m/>
    <m/>
    <n v="17.89"/>
    <n v="13.04"/>
    <n v="3.9"/>
    <m/>
    <m/>
    <n v="6.12"/>
    <n v="2.65"/>
    <m/>
    <m/>
    <n v="2.65"/>
    <n v="43.6"/>
    <n v="40.950000000000003"/>
    <n v="42.28"/>
    <n v="85573.6875"/>
    <n v="4278.6843749999998"/>
    <n v="89852.371874999997"/>
    <n v="2695.5711562499996"/>
    <n v="92547.94303124999"/>
    <n v="2776.4382909374995"/>
    <n v="95324.381322187488"/>
    <m/>
    <n v="95324.381322187488"/>
    <n v="4766.2190661093746"/>
    <n v="100090.60038829687"/>
    <m/>
    <n v="100090.60038829687"/>
    <n v="1000.9060038829687"/>
    <n v="101091.50639217983"/>
    <n v="5054.5753196089918"/>
    <n v="106146.08171178882"/>
    <m/>
    <n v="106146.08171178882"/>
    <n v="3184.3824513536647"/>
    <n v="109330.46416314249"/>
    <m/>
    <n v="109330.46416314249"/>
    <m/>
    <n v="109330.46416314249"/>
    <m/>
    <n v="109330.46416314249"/>
    <n v="1093.3046416314248"/>
    <n v="110423.76880477392"/>
    <m/>
    <n v="110423.76880477392"/>
    <m/>
    <n v="110423.76880477392"/>
    <m/>
    <n v="110423.76880477392"/>
    <n v="2760.5942201193484"/>
    <n v="113184.36302489327"/>
    <m/>
    <n v="113184.36302489327"/>
    <m/>
    <n v="113184.36302489327"/>
    <n v="9054.7490419914629"/>
    <n v="122239.11206688474"/>
    <n v="15891.084568695018"/>
    <n v="138130.19663557975"/>
    <n v="35"/>
    <n v="138165.19663557975"/>
    <m/>
    <n v="138165.19663557975"/>
    <n v="138165.20000000001"/>
    <n v="5841700"/>
    <n v="338240"/>
    <m/>
    <n v="338240"/>
    <n v="130166.98202459792"/>
    <n v="5503460"/>
    <x v="2"/>
    <n v="25000"/>
    <n v="155166.98202459794"/>
    <n v="1057000.0000000009"/>
    <n v="6560460.0000000009"/>
    <m/>
    <s v="Большие скидки на маленькие квартиры"/>
    <x v="0"/>
    <x v="0"/>
    <b v="1"/>
    <s v="АГ-005-Б-08-07-166"/>
    <m/>
    <s v="ДА"/>
    <s v="Чистовая"/>
    <b v="1"/>
    <n v="6560460"/>
    <n v="-9.3132257461547852E-10"/>
    <b v="1"/>
    <s v=" "/>
    <s v=""/>
  </r>
  <r>
    <n v="167"/>
    <x v="1"/>
    <x v="8"/>
    <x v="0"/>
    <x v="1"/>
    <n v="15.91"/>
    <n v="12.02"/>
    <m/>
    <n v="27.93"/>
    <n v="15.31"/>
    <n v="3.85"/>
    <n v="2.2999999999999998"/>
    <m/>
    <n v="9.4499999999999993"/>
    <n v="2.75"/>
    <m/>
    <m/>
    <n v="2.75"/>
    <n v="61.59"/>
    <n v="58.84"/>
    <n v="60.22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m/>
    <n v="95828.704059430078"/>
    <m/>
    <n v="95828.704059430078"/>
    <m/>
    <n v="95828.704059430078"/>
    <m/>
    <n v="95828.704059430078"/>
    <n v="1437.430560891451"/>
    <n v="97266.134620321536"/>
    <m/>
    <n v="97266.134620321536"/>
    <n v="3890.6453848128617"/>
    <n v="101156.78000513439"/>
    <n v="6069.4068003080638"/>
    <n v="107226.18680544246"/>
    <n v="13939.40428470752"/>
    <n v="121165.59109014997"/>
    <n v="35"/>
    <n v="121200.59109014997"/>
    <m/>
    <n v="121200.59109014997"/>
    <n v="121200.59"/>
    <n v="7298700"/>
    <m/>
    <m/>
    <n v="0"/>
    <n v="121200.5978080372"/>
    <n v="7298700"/>
    <x v="1"/>
    <m/>
    <n v="121200.5978080372"/>
    <n v="0"/>
    <n v="7298700"/>
    <m/>
    <m/>
    <x v="1"/>
    <x v="1"/>
    <b v="1"/>
    <s v="АГ-005-Б-09-01-167"/>
    <m/>
    <s v="ДА"/>
    <s v="Черновая"/>
    <b v="1"/>
    <n v="7298700"/>
    <n v="0"/>
    <b v="1"/>
    <s v=" "/>
    <s v=""/>
  </r>
  <r>
    <n v="168"/>
    <x v="1"/>
    <x v="8"/>
    <x v="1"/>
    <x v="2"/>
    <n v="7.13"/>
    <m/>
    <m/>
    <n v="7.13"/>
    <n v="5.12"/>
    <n v="3.65"/>
    <m/>
    <m/>
    <n v="6.92"/>
    <n v="2.91"/>
    <m/>
    <m/>
    <n v="2.91"/>
    <n v="25.73"/>
    <n v="22.82"/>
    <n v="24.28"/>
    <n v="90229.544999999998"/>
    <n v="4511.4772499999999"/>
    <n v="94741.022249999995"/>
    <n v="2842.2306674999995"/>
    <n v="97583.252917499995"/>
    <n v="14637.487937624999"/>
    <n v="112220.740855125"/>
    <m/>
    <n v="112220.740855125"/>
    <m/>
    <n v="112220.740855125"/>
    <m/>
    <n v="112220.740855125"/>
    <n v="1122.20740855125"/>
    <n v="113342.94826367624"/>
    <n v="5667.1474131838122"/>
    <n v="119010.09567686006"/>
    <m/>
    <n v="119010.09567686006"/>
    <n v="3570.3028703058017"/>
    <n v="122580.39854716587"/>
    <m/>
    <n v="122580.39854716587"/>
    <m/>
    <n v="122580.39854716587"/>
    <m/>
    <n v="122580.39854716587"/>
    <m/>
    <n v="122580.39854716587"/>
    <n v="2451.6079709433175"/>
    <n v="125032.00651810918"/>
    <m/>
    <n v="125032.00651810918"/>
    <m/>
    <n v="125032.00651810918"/>
    <n v="1875.4800977716377"/>
    <n v="126907.48661588081"/>
    <n v="500"/>
    <n v="127407.48661588081"/>
    <m/>
    <n v="127407.48661588081"/>
    <n v="5096.2994646352327"/>
    <n v="132503.78608051606"/>
    <n v="17225.492190467088"/>
    <n v="149729.27827098314"/>
    <n v="35"/>
    <n v="149764.27827098314"/>
    <m/>
    <n v="149764.27827098314"/>
    <n v="149764.28"/>
    <n v="3636300"/>
    <m/>
    <m/>
    <n v="0"/>
    <n v="149765.2388797364"/>
    <n v="3636300"/>
    <x v="1"/>
    <m/>
    <n v="149765.2388797364"/>
    <n v="0"/>
    <n v="3636300"/>
    <m/>
    <m/>
    <x v="1"/>
    <x v="1"/>
    <b v="1"/>
    <s v="АГ-005-Б-09-02-168"/>
    <m/>
    <s v="ДА"/>
    <s v="Черновая"/>
    <b v="1"/>
    <n v="3636300"/>
    <n v="0"/>
    <b v="1"/>
    <s v=" "/>
    <s v=""/>
  </r>
  <r>
    <n v="169"/>
    <x v="1"/>
    <x v="8"/>
    <x v="2"/>
    <x v="1"/>
    <n v="14.6"/>
    <n v="13.12"/>
    <m/>
    <n v="27.72"/>
    <n v="14.35"/>
    <n v="3.68"/>
    <n v="2.57"/>
    <m/>
    <n v="7.95"/>
    <n v="2.65"/>
    <m/>
    <m/>
    <n v="2.65"/>
    <n v="58.92"/>
    <n v="56.27"/>
    <n v="57.6"/>
    <n v="78763.482000000004"/>
    <n v="3938.1741000000002"/>
    <n v="82701.656100000007"/>
    <n v="2481.0496830000002"/>
    <n v="85182.705783000012"/>
    <m/>
    <n v="85182.705783000012"/>
    <m/>
    <n v="85182.705783000012"/>
    <m/>
    <n v="85182.705783000012"/>
    <m/>
    <n v="85182.705783000012"/>
    <n v="851.82705783000017"/>
    <n v="86034.532840830012"/>
    <n v="4301.7266420415008"/>
    <n v="90336.259482871508"/>
    <m/>
    <n v="90336.259482871508"/>
    <m/>
    <n v="90336.259482871508"/>
    <m/>
    <n v="90336.259482871508"/>
    <m/>
    <n v="90336.259482871508"/>
    <m/>
    <n v="90336.259482871508"/>
    <m/>
    <n v="90336.259482871508"/>
    <m/>
    <n v="90336.259482871508"/>
    <m/>
    <n v="90336.259482871508"/>
    <m/>
    <n v="90336.259482871508"/>
    <m/>
    <n v="90336.259482871508"/>
    <m/>
    <n v="90336.259482871508"/>
    <m/>
    <n v="90336.259482871508"/>
    <m/>
    <n v="90336.259482871508"/>
    <m/>
    <n v="90336.259482871508"/>
    <m/>
    <n v="90336.259482871508"/>
    <m/>
    <n v="90336.259482871508"/>
    <n v="90336.26"/>
    <n v="5203400"/>
    <m/>
    <n v="0.03"/>
    <n v="156102"/>
    <n v="87626.701388888891"/>
    <n v="5047298"/>
    <x v="3"/>
    <n v="7000"/>
    <n v="94626.701388888891"/>
    <n v="403200"/>
    <n v="5450498"/>
    <s v="Хит"/>
    <s v="Ветеран боевых действий"/>
    <x v="0"/>
    <x v="0"/>
    <b v="1"/>
    <s v="АГ-005-Б-09-03-169"/>
    <m/>
    <s v="ДА"/>
    <s v="White Box"/>
    <b v="1"/>
    <n v="5450498"/>
    <n v="0"/>
    <b v="1"/>
    <d v="2024-03-21T00:00:00"/>
    <s v="Никишов"/>
  </r>
  <r>
    <n v="170"/>
    <x v="1"/>
    <x v="8"/>
    <x v="3"/>
    <x v="1"/>
    <n v="15.45"/>
    <n v="14.5"/>
    <m/>
    <n v="29.95"/>
    <n v="11.95"/>
    <n v="3.86"/>
    <n v="2.37"/>
    <m/>
    <n v="8.8699999999999992"/>
    <n v="2.62"/>
    <m/>
    <m/>
    <n v="2.62"/>
    <n v="59.62"/>
    <n v="57"/>
    <n v="58.31"/>
    <n v="79921.768500000006"/>
    <n v="3996.0884250000004"/>
    <n v="83917.856925"/>
    <n v="2517.5357077499998"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n v="86435.39"/>
    <n v="5040047.59"/>
    <m/>
    <n v="0.02"/>
    <n v="100800.9518"/>
    <n v="84706.682215743436"/>
    <n v="4939246.6399999997"/>
    <x v="0"/>
    <n v="7500"/>
    <n v="92206.682215743436"/>
    <n v="437325"/>
    <n v="5376571.6399999997"/>
    <m/>
    <s v="Скидка иногородним"/>
    <x v="0"/>
    <x v="0"/>
    <b v="1"/>
    <s v="АГ-005-Б-09-04-170"/>
    <m/>
    <s v="НЕТ"/>
    <s v="Предчистовая"/>
    <b v="1"/>
    <n v="5376571.6399999997"/>
    <n v="0"/>
    <b v="1"/>
    <d v="2023-11-17T00:00:00"/>
    <s v="Никишов"/>
  </r>
  <r>
    <n v="171"/>
    <x v="1"/>
    <x v="8"/>
    <x v="4"/>
    <x v="0"/>
    <n v="12.06"/>
    <m/>
    <m/>
    <n v="12.06"/>
    <n v="13.18"/>
    <n v="4.1100000000000003"/>
    <m/>
    <m/>
    <n v="7.09"/>
    <n v="2.84"/>
    <m/>
    <m/>
    <n v="2.84"/>
    <n v="39.28"/>
    <n v="36.44"/>
    <n v="37.86"/>
    <n v="87601.5"/>
    <n v="4380.0749999999998"/>
    <n v="91981.574999999997"/>
    <n v="2759.4472499999997"/>
    <n v="94741.022249999995"/>
    <n v="4263.34600125"/>
    <n v="99004.368251249995"/>
    <m/>
    <n v="99004.368251249995"/>
    <n v="4950.2184125624999"/>
    <n v="103954.5866638125"/>
    <m/>
    <n v="103954.5866638125"/>
    <n v="1039.5458666381251"/>
    <n v="104994.13253045063"/>
    <n v="5249.7066265225321"/>
    <n v="110243.83915697316"/>
    <m/>
    <n v="110243.83915697316"/>
    <n v="3307.3151747091947"/>
    <n v="113551.15433168235"/>
    <m/>
    <n v="113551.15433168235"/>
    <m/>
    <n v="113551.15433168235"/>
    <m/>
    <n v="113551.15433168235"/>
    <m/>
    <n v="113551.15433168235"/>
    <n v="1135.5115433168235"/>
    <n v="114686.66587499918"/>
    <n v="573.43332937499588"/>
    <n v="115260.09920437417"/>
    <m/>
    <n v="115260.09920437417"/>
    <n v="2881.5024801093546"/>
    <n v="118141.60168448352"/>
    <m/>
    <n v="118141.60168448352"/>
    <m/>
    <n v="118141.60168448352"/>
    <m/>
    <n v="118141.60168448352"/>
    <m/>
    <n v="118141.60168448352"/>
    <m/>
    <n v="118141.60168448352"/>
    <m/>
    <n v="118141.60168448352"/>
    <n v="118141.6"/>
    <n v="4472900"/>
    <m/>
    <n v="0.03"/>
    <n v="134187"/>
    <n v="114598.86423666138"/>
    <n v="4338713"/>
    <x v="2"/>
    <n v="24000"/>
    <n v="138598.86423666138"/>
    <n v="908640"/>
    <n v="5247353"/>
    <m/>
    <s v="Ветеран боевых действий"/>
    <x v="0"/>
    <x v="0"/>
    <b v="1"/>
    <s v="АГ-005-Б-09-05-171"/>
    <m/>
    <s v="ДА"/>
    <s v="Чистовая"/>
    <b v="1"/>
    <n v="5247353"/>
    <n v="0"/>
    <b v="1"/>
    <d v="2024-10-29T00:00:00"/>
    <s v="Дик"/>
  </r>
  <r>
    <n v="172"/>
    <x v="1"/>
    <x v="8"/>
    <x v="5"/>
    <x v="3"/>
    <n v="17.89"/>
    <n v="17.2"/>
    <n v="14.31"/>
    <n v="49.400000000000006"/>
    <n v="13.39"/>
    <n v="4.2"/>
    <n v="2.0499999999999998"/>
    <m/>
    <n v="13.21"/>
    <n v="2.79"/>
    <n v="2.68"/>
    <m/>
    <n v="5.4700000000000006"/>
    <n v="87.72"/>
    <n v="82.25"/>
    <n v="84.99"/>
    <n v="72092.790000000008"/>
    <n v="3604.6395000000007"/>
    <n v="75697.429500000013"/>
    <n v="2270.9228850000004"/>
    <n v="77968.35238500002"/>
    <m/>
    <n v="77968.35238500002"/>
    <m/>
    <n v="77968.35238500002"/>
    <m/>
    <n v="77968.35238500002"/>
    <m/>
    <n v="77968.35238500002"/>
    <n v="779.68352385000026"/>
    <n v="78748.035908850026"/>
    <n v="3937.4017954425017"/>
    <n v="82685.437704292533"/>
    <m/>
    <n v="82685.437704292533"/>
    <n v="1653.7087540858506"/>
    <n v="84339.146458378382"/>
    <m/>
    <n v="84339.146458378382"/>
    <n v="1686.7829291675678"/>
    <n v="86025.929387545955"/>
    <m/>
    <n v="86025.929387545955"/>
    <n v="860.25929387545955"/>
    <n v="86886.188681421409"/>
    <m/>
    <n v="86886.188681421409"/>
    <m/>
    <n v="86886.188681421409"/>
    <n v="1737.7237736284283"/>
    <n v="88623.912455049838"/>
    <n v="1329.3586868257476"/>
    <n v="89953.271141875579"/>
    <m/>
    <n v="89953.271141875579"/>
    <n v="3598.130845675023"/>
    <n v="93551.401987550606"/>
    <n v="4677.5700993775308"/>
    <n v="98228.97208692813"/>
    <n v="12769.766371300657"/>
    <n v="110998.73845822879"/>
    <n v="35"/>
    <n v="111033.73845822879"/>
    <m/>
    <n v="111033.73845822879"/>
    <n v="111033.74"/>
    <n v="9436800"/>
    <n v="400000"/>
    <n v="0.03"/>
    <n v="683104"/>
    <n v="102996.77609130487"/>
    <n v="8753696"/>
    <x v="1"/>
    <m/>
    <n v="102996.77609130487"/>
    <n v="0"/>
    <n v="8753696"/>
    <m/>
    <s v="Время действовать / Многодетная семья"/>
    <x v="0"/>
    <x v="0"/>
    <b v="1"/>
    <s v="АГ-005-Б-09-06-172"/>
    <m/>
    <s v="ДА"/>
    <s v="Черновая"/>
    <b v="1"/>
    <n v="8753696"/>
    <n v="0"/>
    <b v="1"/>
    <d v="2025-03-28T00:00:00"/>
    <s v="Полехович"/>
  </r>
  <r>
    <n v="173"/>
    <x v="1"/>
    <x v="8"/>
    <x v="6"/>
    <x v="0"/>
    <n v="17.89"/>
    <m/>
    <m/>
    <n v="17.89"/>
    <n v="13.04"/>
    <n v="3.9"/>
    <m/>
    <m/>
    <n v="6.12"/>
    <n v="2.65"/>
    <m/>
    <m/>
    <n v="2.65"/>
    <n v="43.6"/>
    <n v="40.950000000000003"/>
    <n v="42.28"/>
    <n v="83951.4375"/>
    <n v="4197.5718750000005"/>
    <n v="88149.009374999994"/>
    <n v="2644.4702812499995"/>
    <n v="90793.479656249998"/>
    <n v="2723.8043896874997"/>
    <n v="93517.2840459375"/>
    <m/>
    <n v="93517.2840459375"/>
    <n v="4675.8642022968752"/>
    <n v="98193.148248234371"/>
    <m/>
    <n v="98193.148248234371"/>
    <n v="981.93148248234377"/>
    <n v="99175.079730716709"/>
    <n v="4958.7539865358358"/>
    <n v="104133.83371725255"/>
    <m/>
    <n v="104133.83371725255"/>
    <n v="3124.0150115175766"/>
    <n v="107257.84872877013"/>
    <m/>
    <n v="107257.84872877013"/>
    <m/>
    <n v="107257.84872877013"/>
    <m/>
    <n v="107257.84872877013"/>
    <n v="1072.5784872877014"/>
    <n v="108330.42721605783"/>
    <m/>
    <n v="108330.42721605783"/>
    <m/>
    <n v="108330.42721605783"/>
    <m/>
    <n v="108330.42721605783"/>
    <m/>
    <n v="108330.42721605783"/>
    <m/>
    <n v="108330.42721605783"/>
    <m/>
    <n v="108330.42721605783"/>
    <m/>
    <n v="108330.42721605783"/>
    <m/>
    <n v="108330.42721605783"/>
    <m/>
    <n v="108330.42721605783"/>
    <m/>
    <n v="108330.42721605783"/>
    <n v="108330.43"/>
    <n v="4580300"/>
    <m/>
    <m/>
    <n v="0"/>
    <n v="108332.54493850521"/>
    <n v="4580300"/>
    <x v="3"/>
    <n v="7000"/>
    <n v="115332.54493850521"/>
    <n v="295960"/>
    <n v="4876260"/>
    <m/>
    <m/>
    <x v="0"/>
    <x v="0"/>
    <b v="1"/>
    <s v="АГ-005-Б-09-07-173"/>
    <m/>
    <s v="ДА"/>
    <s v="White Box"/>
    <b v="1"/>
    <n v="4876260"/>
    <n v="0"/>
    <b v="1"/>
    <d v="2024-06-22T00:00:00"/>
    <s v="Дик"/>
  </r>
  <r>
    <n v="174"/>
    <x v="1"/>
    <x v="9"/>
    <x v="0"/>
    <x v="1"/>
    <n v="15.91"/>
    <n v="12.02"/>
    <m/>
    <n v="27.93"/>
    <n v="15.31"/>
    <n v="3.85"/>
    <n v="2.2999999999999998"/>
    <m/>
    <n v="9.4499999999999993"/>
    <n v="2.75"/>
    <m/>
    <m/>
    <n v="2.75"/>
    <n v="61.59"/>
    <n v="58.84"/>
    <n v="60.22"/>
    <n v="81852.246000000014"/>
    <n v="4092.6123000000007"/>
    <n v="85944.858300000022"/>
    <n v="2578.3457490000005"/>
    <n v="88523.204049000022"/>
    <m/>
    <n v="88523.204049000022"/>
    <m/>
    <n v="88523.204049000022"/>
    <m/>
    <n v="88523.204049000022"/>
    <m/>
    <n v="88523.204049000022"/>
    <n v="885.23204049000026"/>
    <n v="89408.436089490016"/>
    <n v="4470.4218044745012"/>
    <n v="93878.857893964523"/>
    <m/>
    <n v="93878.857893964523"/>
    <m/>
    <n v="93878.857893964523"/>
    <m/>
    <n v="93878.857893964523"/>
    <m/>
    <n v="93878.857893964523"/>
    <m/>
    <n v="93878.857893964523"/>
    <m/>
    <n v="93878.857893964523"/>
    <m/>
    <n v="93878.857893964523"/>
    <m/>
    <n v="93878.857893964523"/>
    <m/>
    <n v="93878.857893964523"/>
    <m/>
    <n v="93878.857893964523"/>
    <m/>
    <n v="93878.857893964523"/>
    <m/>
    <n v="93878.857893964523"/>
    <m/>
    <n v="93878.857893964523"/>
    <m/>
    <n v="93878.857893964523"/>
    <m/>
    <n v="93878.857893964523"/>
    <m/>
    <n v="93878.857893964523"/>
    <n v="93878.86"/>
    <n v="5653400"/>
    <m/>
    <m/>
    <n v="0"/>
    <n v="93879.109930255727"/>
    <n v="5653400"/>
    <x v="1"/>
    <m/>
    <n v="93879.109930255727"/>
    <n v="0"/>
    <n v="5653400"/>
    <m/>
    <m/>
    <x v="0"/>
    <x v="0"/>
    <b v="1"/>
    <s v="АГ-005-Б-10-01-174"/>
    <m/>
    <s v="ДА"/>
    <s v="Черновая"/>
    <b v="1"/>
    <n v="5653400"/>
    <n v="0"/>
    <b v="1"/>
    <d v="2024-02-29T00:00:00"/>
    <s v="Полехович"/>
  </r>
  <r>
    <n v="175"/>
    <x v="1"/>
    <x v="9"/>
    <x v="1"/>
    <x v="2"/>
    <n v="7.13"/>
    <m/>
    <m/>
    <n v="7.13"/>
    <n v="5.12"/>
    <n v="3.65"/>
    <m/>
    <m/>
    <n v="6.92"/>
    <n v="2.91"/>
    <m/>
    <m/>
    <n v="2.91"/>
    <n v="25.73"/>
    <n v="22.82"/>
    <n v="24.28"/>
    <n v="91981.574999999997"/>
    <n v="4599.0787499999997"/>
    <n v="96580.653749999998"/>
    <n v="2897.4196124999999"/>
    <n v="99478.073362499999"/>
    <n v="14921.711004375"/>
    <n v="114399.784366875"/>
    <m/>
    <n v="114399.784366875"/>
    <m/>
    <n v="114399.784366875"/>
    <m/>
    <n v="114399.784366875"/>
    <n v="1143.99784366875"/>
    <n v="115543.78221054375"/>
    <n v="5777.1891105271879"/>
    <n v="121320.97132107095"/>
    <m/>
    <n v="121320.97132107095"/>
    <n v="3639.629139632128"/>
    <n v="124960.60046070308"/>
    <m/>
    <n v="124960.60046070308"/>
    <m/>
    <n v="124960.60046070308"/>
    <m/>
    <n v="124960.60046070308"/>
    <m/>
    <n v="124960.60046070308"/>
    <n v="2499.2120092140617"/>
    <n v="127459.81246991715"/>
    <m/>
    <n v="127459.81246991715"/>
    <m/>
    <n v="127459.81246991715"/>
    <n v="1911.8971870487571"/>
    <n v="129371.7096569659"/>
    <n v="500"/>
    <n v="129871.7096569659"/>
    <m/>
    <n v="129871.7096569659"/>
    <m/>
    <n v="129871.7096569659"/>
    <m/>
    <n v="129871.7096569659"/>
    <m/>
    <n v="129871.7096569659"/>
    <m/>
    <n v="129871.7096569659"/>
    <n v="129871.71"/>
    <n v="3153300"/>
    <n v="50000"/>
    <m/>
    <n v="50000"/>
    <n v="127813.01482701811"/>
    <n v="3103300"/>
    <x v="2"/>
    <n v="24000"/>
    <n v="151813.01482701811"/>
    <n v="582720"/>
    <n v="3686020"/>
    <m/>
    <s v="Зачетная квартира"/>
    <x v="0"/>
    <x v="0"/>
    <b v="1"/>
    <s v="АГ-005-Б-10-02-175"/>
    <m/>
    <s v="ДА"/>
    <s v="Чистовая"/>
    <b v="1"/>
    <n v="3686020"/>
    <n v="0"/>
    <b v="1"/>
    <d v="2024-10-24T00:00:00"/>
    <s v="Полехович"/>
  </r>
  <r>
    <n v="176"/>
    <x v="1"/>
    <x v="9"/>
    <x v="2"/>
    <x v="1"/>
    <n v="14.6"/>
    <n v="13.12"/>
    <m/>
    <n v="27.72"/>
    <n v="14.35"/>
    <n v="3.68"/>
    <n v="2.57"/>
    <m/>
    <n v="7.95"/>
    <n v="2.65"/>
    <m/>
    <m/>
    <n v="2.65"/>
    <n v="58.92"/>
    <n v="56.27"/>
    <n v="57.6"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m/>
    <n v="80307.864000000001"/>
    <n v="80307.86"/>
    <n v="4625732.74"/>
    <m/>
    <m/>
    <n v="0"/>
    <n v="80307.860069444447"/>
    <n v="4625732.74"/>
    <x v="2"/>
    <n v="15500"/>
    <n v="95807.860069444447"/>
    <n v="892800"/>
    <n v="5518532.7400000002"/>
    <s v="Хит"/>
    <m/>
    <x v="0"/>
    <x v="0"/>
    <b v="1"/>
    <s v="АГ-005-Б-10-03-176"/>
    <m/>
    <s v="НЕТ"/>
    <s v="Чистовая"/>
    <b v="1"/>
    <n v="5518532.7400000002"/>
    <n v="0"/>
    <b v="1"/>
    <d v="2023-09-19T00:00:00"/>
    <s v="Дик"/>
  </r>
  <r>
    <n v="177"/>
    <x v="1"/>
    <x v="9"/>
    <x v="3"/>
    <x v="1"/>
    <n v="15.45"/>
    <n v="14.5"/>
    <m/>
    <n v="29.95"/>
    <n v="11.95"/>
    <n v="3.86"/>
    <n v="2.37"/>
    <m/>
    <n v="8.8699999999999992"/>
    <n v="2.62"/>
    <m/>
    <m/>
    <n v="2.62"/>
    <n v="59.62"/>
    <n v="57"/>
    <n v="58.31"/>
    <n v="81466.150500000003"/>
    <n v="4073.3075250000002"/>
    <n v="85539.458025"/>
    <n v="2566.1837407499997"/>
    <n v="88105.641765749999"/>
    <m/>
    <n v="88105.641765749999"/>
    <m/>
    <n v="88105.641765749999"/>
    <m/>
    <n v="88105.641765749999"/>
    <m/>
    <n v="88105.641765749999"/>
    <n v="881.05641765749999"/>
    <n v="88986.698183407498"/>
    <n v="4449.3349091703749"/>
    <n v="93436.033092577869"/>
    <m/>
    <n v="93436.033092577869"/>
    <m/>
    <n v="93436.033092577869"/>
    <m/>
    <n v="93436.033092577869"/>
    <m/>
    <n v="93436.033092577869"/>
    <m/>
    <n v="93436.033092577869"/>
    <m/>
    <n v="93436.033092577869"/>
    <m/>
    <n v="93436.033092577869"/>
    <m/>
    <n v="93436.033092577869"/>
    <m/>
    <n v="93436.033092577869"/>
    <m/>
    <n v="93436.033092577869"/>
    <m/>
    <n v="93436.033092577869"/>
    <m/>
    <n v="93436.033092577869"/>
    <m/>
    <n v="93436.033092577869"/>
    <m/>
    <n v="93436.033092577869"/>
    <m/>
    <n v="93436.033092577869"/>
    <m/>
    <n v="93436.033092577869"/>
    <n v="93436.03"/>
    <n v="5448300"/>
    <m/>
    <m/>
    <n v="0"/>
    <n v="93436.803292745666"/>
    <n v="5448300"/>
    <x v="2"/>
    <n v="20000"/>
    <n v="113436.80329274567"/>
    <n v="1166200"/>
    <n v="6614500"/>
    <m/>
    <m/>
    <x v="0"/>
    <x v="0"/>
    <b v="1"/>
    <s v="АГ-005-Б-10-04-177"/>
    <m/>
    <s v="ДА"/>
    <s v="Чистовая"/>
    <b v="1"/>
    <n v="6614500"/>
    <n v="0"/>
    <b v="1"/>
    <d v="2024-02-29T00:00:00"/>
    <s v="Полехович"/>
  </r>
  <r>
    <n v="178"/>
    <x v="1"/>
    <x v="9"/>
    <x v="4"/>
    <x v="0"/>
    <n v="12.06"/>
    <m/>
    <m/>
    <n v="12.06"/>
    <n v="13.18"/>
    <n v="4.1100000000000003"/>
    <m/>
    <m/>
    <n v="7.09"/>
    <n v="2.84"/>
    <m/>
    <m/>
    <n v="2.84"/>
    <n v="39.28"/>
    <n v="36.44"/>
    <n v="37.86"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n v="89223.75"/>
    <n v="3378011.18"/>
    <m/>
    <m/>
    <n v="0"/>
    <n v="89223.750132065514"/>
    <n v="3378011.18"/>
    <x v="0"/>
    <n v="4500"/>
    <n v="93723.750132065514"/>
    <n v="170370"/>
    <n v="3548381.18"/>
    <m/>
    <m/>
    <x v="0"/>
    <x v="0"/>
    <b v="1"/>
    <s v="АГ-005-Б-10-05-178"/>
    <m/>
    <s v="НЕТ"/>
    <s v="Предчистовая"/>
    <b v="1"/>
    <n v="3548381.18"/>
    <n v="0"/>
    <b v="1"/>
    <d v="2023-09-16T00:00:00"/>
    <s v="Никишов"/>
  </r>
  <r>
    <n v="179"/>
    <x v="1"/>
    <x v="9"/>
    <x v="5"/>
    <x v="3"/>
    <n v="17.89"/>
    <n v="17.2"/>
    <n v="14.31"/>
    <n v="49.400000000000006"/>
    <n v="13.39"/>
    <n v="4.2"/>
    <n v="2.0499999999999998"/>
    <m/>
    <n v="13.21"/>
    <n v="2.79"/>
    <n v="2.68"/>
    <m/>
    <n v="5.4700000000000006"/>
    <n v="87.72"/>
    <n v="82.25"/>
    <n v="84.99"/>
    <n v="73520.37000000001"/>
    <n v="3676.0185000000006"/>
    <n v="77196.388500000015"/>
    <n v="2315.8916550000004"/>
    <n v="79512.280155000015"/>
    <m/>
    <n v="79512.280155000015"/>
    <m/>
    <n v="79512.280155000015"/>
    <m/>
    <n v="79512.280155000015"/>
    <m/>
    <n v="79512.280155000015"/>
    <n v="795.12280155000019"/>
    <n v="80307.40295655001"/>
    <n v="4015.3701478275007"/>
    <n v="84322.773104377513"/>
    <m/>
    <n v="84322.773104377513"/>
    <n v="1686.4554620875504"/>
    <n v="86009.22856646507"/>
    <m/>
    <n v="86009.22856646507"/>
    <n v="1720.1845713293014"/>
    <n v="87729.41313779437"/>
    <m/>
    <n v="87729.41313779437"/>
    <m/>
    <n v="87729.41313779437"/>
    <m/>
    <n v="87729.41313779437"/>
    <m/>
    <n v="87729.41313779437"/>
    <m/>
    <n v="87729.41313779437"/>
    <m/>
    <n v="87729.41313779437"/>
    <m/>
    <n v="87729.41313779437"/>
    <m/>
    <n v="87729.41313779437"/>
    <m/>
    <n v="87729.41313779437"/>
    <m/>
    <n v="87729.41313779437"/>
    <m/>
    <n v="87729.41313779437"/>
    <m/>
    <n v="87729.41313779437"/>
    <n v="87729.41"/>
    <n v="7456200"/>
    <n v="90000"/>
    <m/>
    <n v="90000"/>
    <n v="86671.373102717975"/>
    <n v="7366200"/>
    <x v="1"/>
    <m/>
    <n v="86671.373102717975"/>
    <n v="0"/>
    <n v="7366200"/>
    <m/>
    <s v="Поехали в Амград"/>
    <x v="0"/>
    <x v="0"/>
    <b v="1"/>
    <s v="АГ-005-Б-10-06-179"/>
    <m/>
    <s v="ДА"/>
    <s v="Черновая"/>
    <b v="1"/>
    <n v="7366200"/>
    <n v="0"/>
    <b v="1"/>
    <d v="2024-05-15T00:00:00"/>
    <s v="Дик"/>
  </r>
  <r>
    <n v="180"/>
    <x v="1"/>
    <x v="9"/>
    <x v="6"/>
    <x v="0"/>
    <n v="17.89"/>
    <m/>
    <m/>
    <n v="17.89"/>
    <n v="13.04"/>
    <n v="3.9"/>
    <m/>
    <m/>
    <n v="6.12"/>
    <n v="2.65"/>
    <m/>
    <m/>
    <n v="2.65"/>
    <n v="43.6"/>
    <n v="40.950000000000003"/>
    <n v="42.28"/>
    <n v="85573.6875"/>
    <n v="4278.6843749999998"/>
    <n v="89852.371874999997"/>
    <n v="2695.5711562499996"/>
    <n v="92547.94303124999"/>
    <n v="2776.4382909374995"/>
    <n v="95324.381322187488"/>
    <m/>
    <n v="95324.381322187488"/>
    <n v="4766.2190661093746"/>
    <n v="100090.60038829687"/>
    <m/>
    <n v="100090.60038829687"/>
    <n v="1000.9060038829687"/>
    <n v="101091.50639217983"/>
    <n v="5054.5753196089918"/>
    <n v="106146.08171178882"/>
    <m/>
    <n v="106146.08171178882"/>
    <n v="3184.3824513536647"/>
    <n v="109330.46416314249"/>
    <m/>
    <n v="109330.46416314249"/>
    <m/>
    <n v="109330.46416314249"/>
    <m/>
    <n v="109330.46416314249"/>
    <n v="1093.3046416314248"/>
    <n v="110423.76880477392"/>
    <m/>
    <n v="110423.76880477392"/>
    <m/>
    <n v="110423.76880477392"/>
    <m/>
    <n v="110423.76880477392"/>
    <n v="2760.5942201193484"/>
    <n v="113184.36302489327"/>
    <m/>
    <n v="113184.36302489327"/>
    <m/>
    <n v="113184.36302489327"/>
    <n v="9054.7490419914629"/>
    <n v="122239.11206688474"/>
    <n v="15891.084568695018"/>
    <n v="138130.19663557975"/>
    <n v="35"/>
    <n v="138165.19663557975"/>
    <m/>
    <n v="138165.19663557975"/>
    <n v="138165.20000000001"/>
    <n v="5841700"/>
    <m/>
    <m/>
    <n v="0"/>
    <n v="138166.98202459791"/>
    <n v="5841700"/>
    <x v="3"/>
    <n v="10000"/>
    <n v="148166.98202459791"/>
    <n v="422800"/>
    <n v="6264500"/>
    <m/>
    <m/>
    <x v="1"/>
    <x v="1"/>
    <b v="1"/>
    <s v="АГ-005-Б-10-07-180"/>
    <m/>
    <s v="ДА"/>
    <s v="White Box"/>
    <b v="1"/>
    <n v="6264500"/>
    <n v="0"/>
    <b v="1"/>
    <s v=" "/>
    <s v=""/>
  </r>
  <r>
    <n v="181"/>
    <x v="1"/>
    <x v="10"/>
    <x v="0"/>
    <x v="1"/>
    <n v="15.91"/>
    <n v="12.02"/>
    <m/>
    <n v="27.93"/>
    <n v="15.31"/>
    <n v="3.85"/>
    <n v="2.2999999999999998"/>
    <m/>
    <n v="9.4499999999999993"/>
    <n v="2.75"/>
    <m/>
    <m/>
    <n v="2.75"/>
    <n v="61.59"/>
    <n v="58.84"/>
    <n v="60.22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m/>
    <n v="95828.704059430078"/>
    <m/>
    <n v="95828.704059430078"/>
    <m/>
    <n v="95828.704059430078"/>
    <m/>
    <n v="95828.704059430078"/>
    <n v="1437.430560891451"/>
    <n v="97266.134620321536"/>
    <m/>
    <n v="97266.134620321536"/>
    <n v="3890.6453848128617"/>
    <n v="101156.78000513439"/>
    <n v="6069.4068003080638"/>
    <n v="107226.18680544246"/>
    <n v="13939.40428470752"/>
    <n v="121165.59109014997"/>
    <n v="35"/>
    <n v="121200.59109014997"/>
    <m/>
    <n v="121200.59109014997"/>
    <n v="121200.59"/>
    <n v="7298700"/>
    <m/>
    <m/>
    <n v="0"/>
    <n v="121200.5978080372"/>
    <n v="7298700"/>
    <x v="3"/>
    <n v="10000"/>
    <n v="131200.59780803719"/>
    <n v="602199.99999999907"/>
    <n v="7900899.9999999991"/>
    <m/>
    <m/>
    <x v="1"/>
    <x v="1"/>
    <b v="1"/>
    <s v="АГ-005-Б-11-01-181"/>
    <m/>
    <s v="ДА"/>
    <s v="White Box"/>
    <b v="1"/>
    <n v="7900900"/>
    <n v="9.3132257461547852E-10"/>
    <b v="1"/>
    <s v=" "/>
    <s v=""/>
  </r>
  <r>
    <n v="182"/>
    <x v="1"/>
    <x v="10"/>
    <x v="1"/>
    <x v="2"/>
    <n v="7.13"/>
    <m/>
    <m/>
    <n v="7.13"/>
    <n v="5.12"/>
    <n v="3.65"/>
    <m/>
    <m/>
    <n v="6.92"/>
    <n v="2.91"/>
    <m/>
    <m/>
    <n v="2.91"/>
    <n v="25.73"/>
    <n v="22.82"/>
    <n v="24.28"/>
    <n v="90229.544999999998"/>
    <n v="4511.4772499999999"/>
    <n v="94741.022249999995"/>
    <n v="2842.2306674999995"/>
    <n v="97583.252917499995"/>
    <n v="14637.487937624999"/>
    <n v="112220.740855125"/>
    <m/>
    <n v="112220.740855125"/>
    <m/>
    <n v="112220.740855125"/>
    <m/>
    <n v="112220.740855125"/>
    <n v="1122.20740855125"/>
    <n v="113342.94826367624"/>
    <n v="5667.1474131838122"/>
    <n v="119010.09567686006"/>
    <m/>
    <n v="119010.09567686006"/>
    <n v="3570.3028703058017"/>
    <n v="122580.39854716587"/>
    <m/>
    <n v="122580.39854716587"/>
    <m/>
    <n v="122580.39854716587"/>
    <m/>
    <n v="122580.39854716587"/>
    <m/>
    <n v="122580.39854716587"/>
    <n v="2451.6079709433175"/>
    <n v="125032.00651810918"/>
    <m/>
    <n v="125032.00651810918"/>
    <m/>
    <n v="125032.00651810918"/>
    <m/>
    <n v="125032.00651810918"/>
    <m/>
    <n v="125032.00651810918"/>
    <m/>
    <n v="125032.00651810918"/>
    <m/>
    <n v="125032.00651810918"/>
    <m/>
    <n v="125032.00651810918"/>
    <m/>
    <n v="125032.00651810918"/>
    <m/>
    <n v="125032.00651810918"/>
    <n v="125032.01"/>
    <n v="3035800"/>
    <m/>
    <n v="0.03"/>
    <n v="91074"/>
    <n v="121281.96046128501"/>
    <n v="2944726"/>
    <x v="2"/>
    <n v="20000"/>
    <n v="141281.96046128502"/>
    <n v="485600.00000000047"/>
    <n v="3430326.0000000005"/>
    <m/>
    <s v="Наличные"/>
    <x v="0"/>
    <x v="0"/>
    <b v="1"/>
    <s v="АГ-005-Б-11-02-182"/>
    <m/>
    <s v="ДА"/>
    <s v="Чистовая"/>
    <b v="1"/>
    <n v="3430326"/>
    <n v="-4.6566128730773926E-10"/>
    <b v="1"/>
    <d v="2024-07-08T00:00:00"/>
    <s v="Дик"/>
  </r>
  <r>
    <n v="183"/>
    <x v="1"/>
    <x v="10"/>
    <x v="2"/>
    <x v="1"/>
    <n v="14.6"/>
    <n v="13.12"/>
    <m/>
    <n v="27.72"/>
    <n v="14.35"/>
    <n v="3.68"/>
    <n v="2.57"/>
    <m/>
    <n v="7.95"/>
    <n v="2.65"/>
    <m/>
    <m/>
    <n v="2.65"/>
    <n v="58.92"/>
    <n v="56.27"/>
    <n v="57.6"/>
    <n v="78763.482000000004"/>
    <n v="3938.1741000000002"/>
    <n v="82701.656100000007"/>
    <n v="2481.0496830000002"/>
    <n v="85182.705783000012"/>
    <m/>
    <n v="85182.705783000012"/>
    <m/>
    <n v="85182.705783000012"/>
    <m/>
    <n v="85182.705783000012"/>
    <m/>
    <n v="85182.705783000012"/>
    <n v="851.82705783000017"/>
    <n v="86034.532840830012"/>
    <n v="4301.7266420415008"/>
    <n v="90336.259482871508"/>
    <m/>
    <n v="90336.259482871508"/>
    <n v="1806.7251896574303"/>
    <n v="92142.984672528939"/>
    <m/>
    <n v="92142.984672528939"/>
    <n v="1842.8596934505788"/>
    <n v="93985.844365979516"/>
    <m/>
    <n v="93985.844365979516"/>
    <n v="939.85844365979517"/>
    <n v="94925.702809639304"/>
    <m/>
    <n v="94925.702809639304"/>
    <m/>
    <n v="94925.702809639304"/>
    <m/>
    <n v="94925.702809639304"/>
    <m/>
    <n v="94925.702809639304"/>
    <m/>
    <n v="94925.702809639304"/>
    <m/>
    <n v="94925.702809639304"/>
    <m/>
    <n v="94925.702809639304"/>
    <m/>
    <n v="94925.702809639304"/>
    <m/>
    <n v="94925.702809639304"/>
    <m/>
    <n v="94925.702809639304"/>
    <n v="94925.7"/>
    <n v="5467800"/>
    <m/>
    <m/>
    <n v="0"/>
    <n v="94927.083333333328"/>
    <n v="5467800"/>
    <x v="2"/>
    <n v="20000"/>
    <n v="114927.08333333333"/>
    <n v="1152000"/>
    <n v="6619800"/>
    <s v="Хит"/>
    <m/>
    <x v="0"/>
    <x v="0"/>
    <b v="1"/>
    <s v="АГ-005-Б-11-03-183"/>
    <m/>
    <s v="ДА"/>
    <s v="Чистовая"/>
    <b v="1"/>
    <n v="6619800"/>
    <n v="0"/>
    <b v="1"/>
    <d v="2024-06-21T00:00:00"/>
    <s v="Полехович"/>
  </r>
  <r>
    <n v="184"/>
    <x v="1"/>
    <x v="10"/>
    <x v="3"/>
    <x v="1"/>
    <n v="15.45"/>
    <n v="14.5"/>
    <m/>
    <n v="29.95"/>
    <n v="11.95"/>
    <n v="3.86"/>
    <n v="2.37"/>
    <m/>
    <n v="8.8699999999999992"/>
    <n v="2.62"/>
    <m/>
    <m/>
    <n v="2.62"/>
    <n v="59.62"/>
    <n v="57"/>
    <n v="58.31"/>
    <n v="79921.768500000006"/>
    <n v="3996.0884250000004"/>
    <n v="83917.856925"/>
    <n v="2517.5357077499998"/>
    <n v="86435.392632749994"/>
    <m/>
    <n v="86435.392632749994"/>
    <m/>
    <n v="86435.392632749994"/>
    <m/>
    <n v="86435.392632749994"/>
    <m/>
    <n v="86435.392632749994"/>
    <n v="864.35392632749995"/>
    <n v="87299.746559077495"/>
    <n v="4364.9873279538751"/>
    <n v="91664.733887031369"/>
    <m/>
    <n v="91664.733887031369"/>
    <n v="1833.2946777406273"/>
    <n v="93498.028564772001"/>
    <m/>
    <n v="93498.028564772001"/>
    <n v="1869.9605712954401"/>
    <n v="95367.989136067437"/>
    <m/>
    <n v="95367.989136067437"/>
    <m/>
    <n v="95367.989136067437"/>
    <n v="953.67989136067445"/>
    <n v="96321.669027428114"/>
    <m/>
    <n v="96321.669027428114"/>
    <m/>
    <n v="96321.669027428114"/>
    <n v="2408.0417256857031"/>
    <n v="98729.710753113817"/>
    <n v="500"/>
    <n v="99229.710753113817"/>
    <n v="3969.1884301245527"/>
    <n v="103198.89918323838"/>
    <n v="6191.933950994302"/>
    <n v="109390.83313423267"/>
    <n v="14220.808307450248"/>
    <n v="123611.64144168292"/>
    <m/>
    <n v="123611.64144168292"/>
    <m/>
    <n v="123611.64144168292"/>
    <n v="123611.64"/>
    <n v="7207800"/>
    <m/>
    <n v="0.02"/>
    <n v="144156"/>
    <n v="121139.49579831932"/>
    <n v="7063644"/>
    <x v="3"/>
    <n v="8000"/>
    <n v="129139.49579831932"/>
    <n v="466480"/>
    <n v="7530124"/>
    <m/>
    <s v="Скидка иногородним"/>
    <x v="0"/>
    <x v="0"/>
    <b v="1"/>
    <s v="АГ-005-Б-11-04-184"/>
    <m/>
    <s v="ДА"/>
    <s v="White Box"/>
    <b v="1"/>
    <n v="7530124"/>
    <n v="0"/>
    <b v="1"/>
    <d v="2024-11-20T00:00:00"/>
    <s v="Дик"/>
  </r>
  <r>
    <n v="185"/>
    <x v="1"/>
    <x v="10"/>
    <x v="4"/>
    <x v="0"/>
    <n v="12.06"/>
    <m/>
    <m/>
    <n v="12.06"/>
    <n v="13.18"/>
    <n v="4.1100000000000003"/>
    <m/>
    <m/>
    <n v="7.09"/>
    <n v="2.84"/>
    <m/>
    <m/>
    <n v="2.84"/>
    <n v="39.28"/>
    <n v="36.44"/>
    <n v="37.86"/>
    <n v="87601.5"/>
    <n v="4380.0749999999998"/>
    <n v="91981.574999999997"/>
    <n v="2759.4472499999997"/>
    <n v="94741.022249999995"/>
    <n v="4263.34600125"/>
    <n v="99004.368251249995"/>
    <m/>
    <n v="99004.368251249995"/>
    <n v="4950.2184125624999"/>
    <n v="103954.5866638125"/>
    <m/>
    <n v="103954.5866638125"/>
    <m/>
    <n v="103954.5866638125"/>
    <m/>
    <n v="103954.5866638125"/>
    <m/>
    <n v="103954.5866638125"/>
    <m/>
    <n v="103954.5866638125"/>
    <m/>
    <n v="103954.5866638125"/>
    <m/>
    <n v="103954.5866638125"/>
    <m/>
    <n v="103954.5866638125"/>
    <m/>
    <n v="103954.5866638125"/>
    <m/>
    <n v="103954.5866638125"/>
    <m/>
    <n v="103954.5866638125"/>
    <m/>
    <n v="103954.5866638125"/>
    <m/>
    <n v="103954.5866638125"/>
    <m/>
    <n v="103954.5866638125"/>
    <m/>
    <n v="103954.5866638125"/>
    <m/>
    <n v="103954.5866638125"/>
    <m/>
    <n v="103954.5866638125"/>
    <m/>
    <n v="103954.5866638125"/>
    <m/>
    <n v="103954.5866638125"/>
    <n v="103954.59"/>
    <n v="3935800"/>
    <m/>
    <m/>
    <n v="0"/>
    <n v="103956.6825145272"/>
    <n v="3935800"/>
    <x v="2"/>
    <n v="22000"/>
    <n v="125956.6825145272"/>
    <n v="832920"/>
    <n v="4768720"/>
    <m/>
    <m/>
    <x v="0"/>
    <x v="0"/>
    <b v="1"/>
    <s v="АГ-005-Б-11-05-185"/>
    <m/>
    <s v="ДА"/>
    <s v="Чистовая"/>
    <b v="1"/>
    <n v="4768720"/>
    <n v="0"/>
    <b v="1"/>
    <d v="2023-12-29T00:00:00"/>
    <s v="Никишов"/>
  </r>
  <r>
    <n v="186"/>
    <x v="1"/>
    <x v="10"/>
    <x v="5"/>
    <x v="3"/>
    <n v="17.89"/>
    <n v="17.2"/>
    <n v="14.31"/>
    <n v="49.400000000000006"/>
    <n v="13.39"/>
    <n v="4.2"/>
    <n v="2.0499999999999998"/>
    <m/>
    <n v="13.21"/>
    <n v="2.79"/>
    <n v="2.68"/>
    <m/>
    <n v="5.4700000000000006"/>
    <n v="87.72"/>
    <n v="82.25"/>
    <n v="84.99"/>
    <n v="72092.790000000008"/>
    <n v="3604.6395000000007"/>
    <n v="75697.429500000013"/>
    <n v="2270.9228850000004"/>
    <n v="77968.35238500002"/>
    <m/>
    <n v="77968.35238500002"/>
    <m/>
    <n v="77968.35238500002"/>
    <m/>
    <n v="77968.35238500002"/>
    <m/>
    <n v="77968.35238500002"/>
    <n v="779.68352385000026"/>
    <n v="78748.035908850026"/>
    <n v="3937.4017954425017"/>
    <n v="82685.437704292533"/>
    <m/>
    <n v="82685.437704292533"/>
    <n v="1653.7087540858506"/>
    <n v="84339.146458378382"/>
    <m/>
    <n v="84339.146458378382"/>
    <n v="1686.7829291675678"/>
    <n v="86025.929387545955"/>
    <m/>
    <n v="86025.929387545955"/>
    <n v="860.25929387545955"/>
    <n v="86886.188681421409"/>
    <m/>
    <n v="86886.188681421409"/>
    <m/>
    <n v="86886.188681421409"/>
    <n v="1737.7237736284283"/>
    <n v="88623.912455049838"/>
    <n v="1329.3586868257476"/>
    <n v="89953.271141875579"/>
    <m/>
    <n v="89953.271141875579"/>
    <n v="3598.130845675023"/>
    <n v="93551.401987550606"/>
    <n v="4677.5700993775308"/>
    <n v="98228.97208692813"/>
    <n v="12769.766371300657"/>
    <n v="110998.73845822879"/>
    <n v="35"/>
    <n v="111033.73845822879"/>
    <m/>
    <n v="111033.73845822879"/>
    <n v="111033.74"/>
    <n v="9436800"/>
    <m/>
    <m/>
    <n v="0"/>
    <n v="111034.23932227322"/>
    <n v="9436800"/>
    <x v="1"/>
    <m/>
    <n v="111034.23932227322"/>
    <n v="0"/>
    <n v="9436800"/>
    <m/>
    <m/>
    <x v="1"/>
    <x v="1"/>
    <b v="1"/>
    <s v="АГ-005-Б-11-06-186"/>
    <m/>
    <s v="ДА"/>
    <s v="Черновая"/>
    <b v="1"/>
    <n v="9436800"/>
    <n v="0"/>
    <b v="1"/>
    <s v=" "/>
    <s v=""/>
  </r>
  <r>
    <n v="187"/>
    <x v="1"/>
    <x v="10"/>
    <x v="6"/>
    <x v="0"/>
    <n v="17.89"/>
    <m/>
    <m/>
    <n v="17.89"/>
    <n v="13.04"/>
    <n v="3.9"/>
    <m/>
    <m/>
    <n v="6.12"/>
    <n v="2.65"/>
    <m/>
    <m/>
    <n v="2.65"/>
    <n v="43.6"/>
    <n v="40.950000000000003"/>
    <n v="42.28"/>
    <n v="83951.4375"/>
    <n v="4197.5718750000005"/>
    <n v="88149.009374999994"/>
    <n v="2644.4702812499995"/>
    <n v="90793.479656249998"/>
    <n v="2723.8043896874997"/>
    <n v="93517.2840459375"/>
    <m/>
    <n v="93517.2840459375"/>
    <m/>
    <n v="93517.2840459375"/>
    <m/>
    <n v="93517.2840459375"/>
    <m/>
    <n v="93517.2840459375"/>
    <m/>
    <n v="93517.2840459375"/>
    <m/>
    <n v="93517.2840459375"/>
    <m/>
    <n v="93517.2840459375"/>
    <m/>
    <n v="93517.2840459375"/>
    <m/>
    <n v="93517.2840459375"/>
    <m/>
    <n v="93517.2840459375"/>
    <m/>
    <n v="93517.2840459375"/>
    <m/>
    <n v="93517.2840459375"/>
    <m/>
    <n v="93517.2840459375"/>
    <m/>
    <n v="93517.2840459375"/>
    <m/>
    <n v="93517.2840459375"/>
    <m/>
    <n v="93517.2840459375"/>
    <m/>
    <n v="93517.2840459375"/>
    <m/>
    <n v="93517.2840459375"/>
    <m/>
    <n v="93517.2840459375"/>
    <m/>
    <n v="93517.2840459375"/>
    <m/>
    <n v="93517.2840459375"/>
    <n v="93517.28"/>
    <n v="3953910.6"/>
    <m/>
    <m/>
    <n v="0"/>
    <n v="93517.280037842953"/>
    <n v="3953910.6"/>
    <x v="1"/>
    <m/>
    <n v="93517.280037842953"/>
    <n v="0"/>
    <n v="3953910.6"/>
    <m/>
    <m/>
    <x v="0"/>
    <x v="0"/>
    <b v="1"/>
    <s v="АГ-005-Б-11-07-187"/>
    <m/>
    <s v="НЕТ"/>
    <s v="Черновая"/>
    <b v="1"/>
    <n v="3953910.6"/>
    <n v="0"/>
    <b v="1"/>
    <d v="2023-10-31T00:00:00"/>
    <s v="Никишов"/>
  </r>
  <r>
    <n v="188"/>
    <x v="1"/>
    <x v="11"/>
    <x v="0"/>
    <x v="1"/>
    <n v="15.91"/>
    <n v="12.02"/>
    <m/>
    <n v="27.93"/>
    <n v="15.31"/>
    <n v="3.85"/>
    <n v="2.2999999999999998"/>
    <m/>
    <n v="9.4499999999999993"/>
    <n v="2.75"/>
    <m/>
    <m/>
    <n v="2.75"/>
    <n v="61.59"/>
    <n v="58.84"/>
    <n v="60.22"/>
    <n v="81852.246000000014"/>
    <n v="4092.6123000000007"/>
    <n v="85944.858300000022"/>
    <n v="2578.3457490000005"/>
    <n v="88523.204049000022"/>
    <m/>
    <n v="88523.204049000022"/>
    <m/>
    <n v="88523.204049000022"/>
    <m/>
    <n v="88523.204049000022"/>
    <m/>
    <n v="88523.204049000022"/>
    <n v="885.23204049000026"/>
    <n v="89408.436089490016"/>
    <n v="4470.4218044745012"/>
    <n v="93878.857893964523"/>
    <m/>
    <n v="93878.857893964523"/>
    <n v="1877.5771578792906"/>
    <n v="95756.435051843815"/>
    <m/>
    <n v="95756.435051843815"/>
    <n v="1915.1287010368762"/>
    <n v="97671.563752880698"/>
    <m/>
    <n v="97671.563752880698"/>
    <m/>
    <n v="97671.563752880698"/>
    <m/>
    <n v="97671.563752880698"/>
    <m/>
    <n v="97671.563752880698"/>
    <m/>
    <n v="97671.563752880698"/>
    <m/>
    <n v="97671.563752880698"/>
    <m/>
    <n v="97671.563752880698"/>
    <m/>
    <n v="97671.563752880698"/>
    <m/>
    <n v="97671.563752880698"/>
    <m/>
    <n v="97671.563752880698"/>
    <m/>
    <n v="97671.563752880698"/>
    <m/>
    <n v="97671.563752880698"/>
    <n v="97671.56"/>
    <n v="5881800"/>
    <m/>
    <m/>
    <n v="0"/>
    <n v="97671.86981069413"/>
    <n v="5881800"/>
    <x v="3"/>
    <n v="7000"/>
    <n v="104671.86981069413"/>
    <n v="421540"/>
    <n v="6303340"/>
    <m/>
    <m/>
    <x v="0"/>
    <x v="0"/>
    <b v="1"/>
    <s v="АГ-005-Б-12-01-188"/>
    <m/>
    <s v="ДА"/>
    <s v="White Box"/>
    <b v="1"/>
    <n v="6303340"/>
    <n v="0"/>
    <b v="1"/>
    <d v="2024-05-21T00:00:00"/>
    <s v="Дик"/>
  </r>
  <r>
    <n v="189"/>
    <x v="1"/>
    <x v="11"/>
    <x v="1"/>
    <x v="2"/>
    <n v="7.13"/>
    <m/>
    <m/>
    <n v="7.13"/>
    <n v="5.12"/>
    <n v="3.65"/>
    <m/>
    <m/>
    <n v="6.92"/>
    <n v="2.91"/>
    <m/>
    <m/>
    <n v="2.91"/>
    <n v="25.73"/>
    <n v="22.82"/>
    <n v="24.28"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n v="91981.58"/>
    <n v="2233312.7599999998"/>
    <m/>
    <m/>
    <n v="0"/>
    <n v="91981.579901153193"/>
    <n v="2233312.7599999998"/>
    <x v="1"/>
    <m/>
    <n v="91981.579901153193"/>
    <n v="0"/>
    <n v="2233312.7599999998"/>
    <m/>
    <m/>
    <x v="0"/>
    <x v="0"/>
    <b v="1"/>
    <s v="АГ-005-Б-12-02-189"/>
    <m/>
    <s v="НЕТ"/>
    <s v="Черновая"/>
    <b v="1"/>
    <n v="2233312.7599999998"/>
    <n v="0"/>
    <b v="1"/>
    <d v="2023-09-19T00:00:00"/>
    <s v="Кофанова"/>
  </r>
  <r>
    <n v="190"/>
    <x v="1"/>
    <x v="11"/>
    <x v="2"/>
    <x v="1"/>
    <n v="14.6"/>
    <n v="13.12"/>
    <m/>
    <n v="27.72"/>
    <n v="14.35"/>
    <n v="3.68"/>
    <n v="2.57"/>
    <m/>
    <n v="7.95"/>
    <n v="2.65"/>
    <m/>
    <m/>
    <n v="2.65"/>
    <n v="58.92"/>
    <n v="56.27"/>
    <n v="57.6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n v="958.28704059430083"/>
    <n v="96786.991100024374"/>
    <m/>
    <n v="96786.991100024374"/>
    <m/>
    <n v="96786.991100024374"/>
    <m/>
    <n v="96786.991100024374"/>
    <n v="2419.6747775006093"/>
    <n v="99206.665877524982"/>
    <m/>
    <n v="99206.665877524982"/>
    <n v="3968.2666351009993"/>
    <n v="103174.93251262598"/>
    <n v="6190.4959507575586"/>
    <n v="109365.42846338353"/>
    <n v="14217.505700239861"/>
    <n v="123582.9341636234"/>
    <n v="35"/>
    <n v="123617.9341636234"/>
    <n v="1236.1793416362341"/>
    <n v="124854.11350525964"/>
    <n v="124854.11"/>
    <n v="7191600"/>
    <m/>
    <m/>
    <n v="0"/>
    <n v="124854.16666666666"/>
    <n v="7191600"/>
    <x v="2"/>
    <n v="25000"/>
    <n v="149854.16666666666"/>
    <n v="1440000"/>
    <n v="8631600"/>
    <s v="Хит"/>
    <m/>
    <x v="1"/>
    <x v="1"/>
    <b v="1"/>
    <s v="АГ-005-Б-12-03-190"/>
    <m/>
    <s v="ДА"/>
    <s v="Чистовая"/>
    <b v="1"/>
    <n v="8631600"/>
    <n v="0"/>
    <b v="1"/>
    <s v=" "/>
    <s v=""/>
  </r>
  <r>
    <n v="191"/>
    <x v="1"/>
    <x v="11"/>
    <x v="3"/>
    <x v="1"/>
    <n v="15.45"/>
    <n v="14.5"/>
    <m/>
    <n v="29.95"/>
    <n v="11.95"/>
    <n v="3.86"/>
    <n v="2.37"/>
    <m/>
    <n v="8.8699999999999992"/>
    <n v="2.62"/>
    <m/>
    <m/>
    <n v="2.62"/>
    <n v="59.62"/>
    <n v="57"/>
    <n v="58.31"/>
    <n v="81466.150500000003"/>
    <n v="4073.3075250000002"/>
    <n v="85539.458025"/>
    <n v="2566.1837407499997"/>
    <n v="88105.641765749999"/>
    <m/>
    <n v="88105.641765749999"/>
    <m/>
    <n v="88105.641765749999"/>
    <m/>
    <n v="88105.641765749999"/>
    <m/>
    <n v="88105.641765749999"/>
    <n v="881.05641765749999"/>
    <n v="88986.698183407498"/>
    <n v="4449.3349091703749"/>
    <n v="93436.033092577869"/>
    <m/>
    <n v="93436.033092577869"/>
    <n v="1868.7206618515575"/>
    <n v="95304.753754429432"/>
    <m/>
    <n v="95304.753754429432"/>
    <n v="1906.0950750885886"/>
    <n v="97210.848829518014"/>
    <m/>
    <n v="97210.848829518014"/>
    <m/>
    <n v="97210.848829518014"/>
    <n v="972.10848829518011"/>
    <n v="98182.957317813198"/>
    <m/>
    <n v="98182.957317813198"/>
    <m/>
    <n v="98182.957317813198"/>
    <n v="2454.5739329453299"/>
    <n v="100637.53125075853"/>
    <n v="500"/>
    <n v="101137.53125075853"/>
    <n v="4045.5012500303415"/>
    <n v="105183.03250078888"/>
    <n v="6310.9819500473322"/>
    <n v="111494.01445083621"/>
    <n v="14494.221878608709"/>
    <n v="125988.23632944492"/>
    <n v="35"/>
    <n v="126023.23632944492"/>
    <m/>
    <n v="126023.23632944492"/>
    <n v="126023.24"/>
    <n v="7348500"/>
    <m/>
    <m/>
    <n v="0"/>
    <n v="126024.69559252272"/>
    <n v="7348500"/>
    <x v="3"/>
    <n v="10000"/>
    <n v="136024.69559252274"/>
    <n v="583100.00000000093"/>
    <n v="7931600.0000000009"/>
    <m/>
    <m/>
    <x v="1"/>
    <x v="1"/>
    <b v="1"/>
    <s v="АГ-005-Б-12-04-191"/>
    <m/>
    <s v="ДА"/>
    <s v="White Box"/>
    <b v="1"/>
    <n v="7931600"/>
    <n v="-9.3132257461547852E-10"/>
    <b v="1"/>
    <s v=" "/>
    <s v=""/>
  </r>
  <r>
    <n v="192"/>
    <x v="1"/>
    <x v="11"/>
    <x v="4"/>
    <x v="0"/>
    <n v="12.06"/>
    <m/>
    <m/>
    <n v="12.06"/>
    <n v="13.18"/>
    <n v="4.1100000000000003"/>
    <m/>
    <m/>
    <n v="7.09"/>
    <n v="2.84"/>
    <m/>
    <m/>
    <n v="2.84"/>
    <n v="39.28"/>
    <n v="36.44"/>
    <n v="37.86"/>
    <n v="89223.75"/>
    <n v="4461.1875"/>
    <n v="93684.9375"/>
    <n v="2810.5481249999998"/>
    <n v="96495.485625000001"/>
    <n v="4342.2968531249999"/>
    <n v="100837.78247812499"/>
    <m/>
    <n v="100837.78247812499"/>
    <n v="5041.8891239062505"/>
    <n v="105879.67160203125"/>
    <m/>
    <n v="105879.67160203125"/>
    <n v="1058.7967160203125"/>
    <n v="106938.46831805156"/>
    <n v="5346.9234159025782"/>
    <n v="112285.39173395414"/>
    <m/>
    <n v="112285.39173395414"/>
    <n v="3368.5617520186238"/>
    <n v="115653.95348597276"/>
    <m/>
    <n v="115653.95348597276"/>
    <m/>
    <n v="115653.95348597276"/>
    <m/>
    <n v="115653.95348597276"/>
    <m/>
    <n v="115653.95348597276"/>
    <n v="1156.5395348597276"/>
    <n v="116810.49302083248"/>
    <n v="584.05246510416237"/>
    <n v="117394.54548593664"/>
    <m/>
    <n v="117394.54548593664"/>
    <n v="2934.8636371484163"/>
    <n v="120329.40912308506"/>
    <m/>
    <n v="120329.40912308506"/>
    <m/>
    <n v="120329.40912308506"/>
    <n v="6016.470456154253"/>
    <n v="126345.87957923932"/>
    <n v="16424.964345301112"/>
    <n v="142770.84392454044"/>
    <n v="35"/>
    <n v="142805.84392454044"/>
    <m/>
    <n v="142805.84392454044"/>
    <n v="142805.84"/>
    <n v="5406700"/>
    <m/>
    <m/>
    <n v="0"/>
    <n v="142807.71262546224"/>
    <n v="5406700"/>
    <x v="1"/>
    <m/>
    <n v="142807.71262546224"/>
    <n v="0"/>
    <n v="5406700"/>
    <m/>
    <m/>
    <x v="1"/>
    <x v="1"/>
    <b v="1"/>
    <s v="АГ-005-Б-12-05-192"/>
    <m/>
    <s v="ДА"/>
    <s v="Черновая"/>
    <b v="1"/>
    <n v="5406700"/>
    <n v="0"/>
    <b v="1"/>
    <s v=" "/>
    <s v=""/>
  </r>
  <r>
    <n v="193"/>
    <x v="1"/>
    <x v="11"/>
    <x v="5"/>
    <x v="3"/>
    <n v="17.89"/>
    <n v="17.2"/>
    <n v="14.31"/>
    <n v="49.400000000000006"/>
    <n v="13.39"/>
    <n v="4.2"/>
    <n v="2.0499999999999998"/>
    <m/>
    <n v="13.21"/>
    <n v="2.79"/>
    <n v="2.68"/>
    <m/>
    <n v="5.4700000000000006"/>
    <n v="87.72"/>
    <n v="82.25"/>
    <n v="84.99"/>
    <n v="73520.37000000001"/>
    <n v="3676.0185000000006"/>
    <n v="77196.388500000015"/>
    <n v="2315.8916550000004"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m/>
    <n v="79512.280155000015"/>
    <n v="79512.28"/>
    <n v="6757800"/>
    <m/>
    <n v="0.05"/>
    <n v="337890"/>
    <n v="75537.239675255914"/>
    <n v="6419910"/>
    <x v="1"/>
    <m/>
    <n v="75537.239675255914"/>
    <n v="0"/>
    <n v="6419910"/>
    <m/>
    <s v="Ветеран боевых действий"/>
    <x v="0"/>
    <x v="0"/>
    <b v="1"/>
    <s v="АГ-005-Б-12-06-193"/>
    <m/>
    <s v="ДА"/>
    <s v="Черновая"/>
    <b v="1"/>
    <n v="6419910"/>
    <n v="0"/>
    <b v="1"/>
    <d v="2023-12-29T00:00:00"/>
    <s v="Дик"/>
  </r>
  <r>
    <n v="194"/>
    <x v="1"/>
    <x v="11"/>
    <x v="6"/>
    <x v="0"/>
    <n v="17.89"/>
    <m/>
    <m/>
    <n v="17.89"/>
    <n v="13.04"/>
    <n v="3.9"/>
    <m/>
    <m/>
    <n v="6.12"/>
    <n v="2.65"/>
    <m/>
    <m/>
    <n v="2.65"/>
    <n v="43.6"/>
    <n v="40.950000000000003"/>
    <n v="42.28"/>
    <n v="85573.6875"/>
    <n v="4278.6843749999998"/>
    <n v="89852.371874999997"/>
    <n v="2695.5711562499996"/>
    <n v="92547.94303124999"/>
    <n v="2776.4382909374995"/>
    <n v="95324.381322187488"/>
    <m/>
    <n v="95324.381322187488"/>
    <n v="4766.2190661093746"/>
    <n v="100090.60038829687"/>
    <m/>
    <n v="100090.60038829687"/>
    <n v="1000.9060038829687"/>
    <n v="101091.50639217983"/>
    <n v="5054.5753196089918"/>
    <n v="106146.08171178882"/>
    <m/>
    <n v="106146.08171178882"/>
    <n v="3184.3824513536647"/>
    <n v="109330.46416314249"/>
    <m/>
    <n v="109330.46416314249"/>
    <m/>
    <n v="109330.46416314249"/>
    <m/>
    <n v="109330.46416314249"/>
    <n v="1093.3046416314248"/>
    <n v="110423.76880477392"/>
    <m/>
    <n v="110423.76880477392"/>
    <m/>
    <n v="110423.76880477392"/>
    <m/>
    <n v="110423.76880477392"/>
    <m/>
    <n v="110423.76880477392"/>
    <m/>
    <n v="110423.76880477392"/>
    <m/>
    <n v="110423.76880477392"/>
    <m/>
    <n v="110423.76880477392"/>
    <m/>
    <n v="110423.76880477392"/>
    <m/>
    <n v="110423.76880477392"/>
    <m/>
    <n v="110423.76880477392"/>
    <n v="110423.77"/>
    <n v="4668800"/>
    <m/>
    <m/>
    <n v="0"/>
    <n v="110425.73320719016"/>
    <n v="4668800"/>
    <x v="3"/>
    <n v="7000"/>
    <n v="117425.73320719016"/>
    <n v="295960"/>
    <n v="4964760"/>
    <m/>
    <m/>
    <x v="0"/>
    <x v="0"/>
    <b v="1"/>
    <s v="АГ-005-Б-12-07-194"/>
    <m/>
    <s v="ДА"/>
    <s v="White Box"/>
    <b v="1"/>
    <n v="4964760"/>
    <n v="0"/>
    <b v="1"/>
    <d v="2024-06-25T00:00:00"/>
    <s v="Дик"/>
  </r>
  <r>
    <n v="195"/>
    <x v="1"/>
    <x v="12"/>
    <x v="0"/>
    <x v="1"/>
    <n v="15.91"/>
    <n v="12.02"/>
    <m/>
    <n v="27.93"/>
    <n v="15.31"/>
    <n v="3.85"/>
    <n v="2.2999999999999998"/>
    <m/>
    <n v="9.4499999999999993"/>
    <n v="2.75"/>
    <m/>
    <m/>
    <n v="2.75"/>
    <n v="61.59"/>
    <n v="58.84"/>
    <n v="60.22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n v="92107.56"/>
    <n v="5546800"/>
    <m/>
    <m/>
    <n v="0"/>
    <n v="92108.933909000334"/>
    <n v="5546800"/>
    <x v="1"/>
    <m/>
    <n v="92108.933909000334"/>
    <n v="0"/>
    <n v="5546800"/>
    <m/>
    <m/>
    <x v="0"/>
    <x v="0"/>
    <b v="1"/>
    <s v="АГ-005-Б-13-01-195"/>
    <m/>
    <s v="ДА"/>
    <s v="Черновая"/>
    <b v="1"/>
    <n v="5546800"/>
    <n v="0"/>
    <b v="1"/>
    <d v="2024-02-27T00:00:00"/>
    <s v="Полехович"/>
  </r>
  <r>
    <n v="196"/>
    <x v="1"/>
    <x v="12"/>
    <x v="1"/>
    <x v="2"/>
    <n v="7.13"/>
    <m/>
    <m/>
    <n v="7.13"/>
    <n v="5.12"/>
    <n v="3.65"/>
    <m/>
    <m/>
    <n v="6.92"/>
    <n v="2.91"/>
    <m/>
    <m/>
    <n v="2.91"/>
    <n v="25.73"/>
    <n v="22.82"/>
    <n v="24.28"/>
    <n v="90229.544999999998"/>
    <n v="4511.4772499999999"/>
    <n v="94741.022249999995"/>
    <n v="2842.2306674999995"/>
    <n v="97583.252917499995"/>
    <n v="14637.487937624999"/>
    <n v="112220.740855125"/>
    <m/>
    <n v="112220.740855125"/>
    <m/>
    <n v="112220.740855125"/>
    <m/>
    <n v="112220.740855125"/>
    <n v="1122.20740855125"/>
    <n v="113342.94826367624"/>
    <n v="5667.1474131838122"/>
    <n v="119010.09567686006"/>
    <m/>
    <n v="119010.09567686006"/>
    <n v="3570.3028703058017"/>
    <n v="122580.39854716587"/>
    <m/>
    <n v="122580.39854716587"/>
    <m/>
    <n v="122580.39854716587"/>
    <m/>
    <n v="122580.39854716587"/>
    <m/>
    <n v="122580.39854716587"/>
    <n v="2451.6079709433175"/>
    <n v="125032.00651810918"/>
    <m/>
    <n v="125032.00651810918"/>
    <m/>
    <n v="125032.00651810918"/>
    <n v="1875.4800977716377"/>
    <n v="126907.48661588081"/>
    <n v="500"/>
    <n v="127407.48661588081"/>
    <m/>
    <n v="127407.48661588081"/>
    <n v="5096.2994646352327"/>
    <n v="132503.78608051606"/>
    <n v="17225.492190467088"/>
    <n v="149729.27827098314"/>
    <n v="35"/>
    <n v="149764.27827098314"/>
    <m/>
    <n v="149764.27827098314"/>
    <n v="149764.28"/>
    <n v="3636300"/>
    <m/>
    <m/>
    <n v="0"/>
    <n v="149765.2388797364"/>
    <n v="3636300"/>
    <x v="3"/>
    <n v="10000"/>
    <n v="159765.2388797364"/>
    <n v="242800"/>
    <n v="3879100"/>
    <m/>
    <m/>
    <x v="1"/>
    <x v="1"/>
    <b v="1"/>
    <s v="АГ-005-Б-13-02-196"/>
    <m/>
    <s v="ДА"/>
    <s v="White Box"/>
    <b v="1"/>
    <n v="3879100"/>
    <n v="0"/>
    <b v="1"/>
    <s v=" "/>
    <s v=""/>
  </r>
  <r>
    <n v="197"/>
    <x v="1"/>
    <x v="12"/>
    <x v="2"/>
    <x v="1"/>
    <n v="14.6"/>
    <n v="13.12"/>
    <m/>
    <n v="27.72"/>
    <n v="14.35"/>
    <n v="3.68"/>
    <n v="2.57"/>
    <m/>
    <n v="7.95"/>
    <n v="2.65"/>
    <m/>
    <m/>
    <n v="2.65"/>
    <n v="58.92"/>
    <n v="56.27"/>
    <n v="57.6"/>
    <n v="78763.482000000004"/>
    <n v="3938.1741000000002"/>
    <n v="82701.656100000007"/>
    <n v="2481.0496830000002"/>
    <n v="85182.705783000012"/>
    <m/>
    <n v="85182.705783000012"/>
    <m/>
    <n v="85182.705783000012"/>
    <m/>
    <n v="85182.705783000012"/>
    <m/>
    <n v="85182.705783000012"/>
    <n v="851.82705783000017"/>
    <n v="86034.532840830012"/>
    <n v="4301.7266420415008"/>
    <n v="90336.259482871508"/>
    <m/>
    <n v="90336.259482871508"/>
    <n v="1806.7251896574303"/>
    <n v="92142.984672528939"/>
    <m/>
    <n v="92142.984672528939"/>
    <n v="1842.8596934505788"/>
    <n v="93985.844365979516"/>
    <m/>
    <n v="93985.844365979516"/>
    <n v="939.85844365979517"/>
    <n v="94925.702809639304"/>
    <m/>
    <n v="94925.702809639304"/>
    <m/>
    <n v="94925.702809639304"/>
    <m/>
    <n v="94925.702809639304"/>
    <n v="2373.1425702409829"/>
    <n v="97298.84537988028"/>
    <m/>
    <n v="97298.84537988028"/>
    <n v="3891.9538151952111"/>
    <n v="101190.79919507549"/>
    <n v="6071.4479517045293"/>
    <n v="107262.24714678002"/>
    <n v="13944.092129081404"/>
    <n v="121206.33927586142"/>
    <n v="35"/>
    <n v="121241.33927586142"/>
    <n v="1212.4133927586142"/>
    <n v="122453.75266862003"/>
    <n v="122453.75"/>
    <n v="7053400"/>
    <n v="300000"/>
    <m/>
    <n v="300000"/>
    <n v="117246.52777777778"/>
    <n v="6753400"/>
    <x v="2"/>
    <n v="25000"/>
    <n v="142246.52777777778"/>
    <n v="1440000"/>
    <n v="8193400"/>
    <s v="Хит"/>
    <s v="Время действовать"/>
    <x v="0"/>
    <x v="0"/>
    <b v="1"/>
    <s v="АГ-005-Б-13-03-197"/>
    <m/>
    <s v="ДА"/>
    <s v="Чистовая"/>
    <b v="1"/>
    <n v="8193400"/>
    <n v="0"/>
    <b v="1"/>
    <s v=" "/>
    <s v=""/>
  </r>
  <r>
    <n v="198"/>
    <x v="1"/>
    <x v="12"/>
    <x v="3"/>
    <x v="1"/>
    <n v="15.45"/>
    <n v="14.5"/>
    <m/>
    <n v="29.95"/>
    <n v="11.95"/>
    <n v="3.86"/>
    <n v="2.37"/>
    <m/>
    <n v="8.8699999999999992"/>
    <n v="2.62"/>
    <m/>
    <m/>
    <n v="2.62"/>
    <n v="59.62"/>
    <n v="57"/>
    <n v="58.31"/>
    <n v="79921.768500000006"/>
    <n v="3996.0884250000004"/>
    <n v="83917.856925"/>
    <n v="2517.5357077499998"/>
    <n v="86435.392632749994"/>
    <m/>
    <n v="86435.392632749994"/>
    <m/>
    <n v="86435.392632749994"/>
    <m/>
    <n v="86435.392632749994"/>
    <m/>
    <n v="86435.392632749994"/>
    <n v="864.35392632749995"/>
    <n v="87299.746559077495"/>
    <n v="4364.9873279538751"/>
    <n v="91664.733887031369"/>
    <m/>
    <n v="91664.733887031369"/>
    <n v="1833.2946777406273"/>
    <n v="93498.028564772001"/>
    <m/>
    <n v="93498.028564772001"/>
    <n v="1869.9605712954401"/>
    <n v="95367.989136067437"/>
    <m/>
    <n v="95367.989136067437"/>
    <m/>
    <n v="95367.989136067437"/>
    <m/>
    <n v="95367.989136067437"/>
    <m/>
    <n v="95367.989136067437"/>
    <m/>
    <n v="95367.989136067437"/>
    <m/>
    <n v="95367.989136067437"/>
    <m/>
    <n v="95367.989136067437"/>
    <m/>
    <n v="95367.989136067437"/>
    <m/>
    <n v="95367.989136067437"/>
    <m/>
    <n v="95367.989136067437"/>
    <m/>
    <n v="95367.989136067437"/>
    <m/>
    <n v="95367.989136067437"/>
    <n v="95367.99"/>
    <n v="5561000"/>
    <m/>
    <n v="0.03"/>
    <n v="166830"/>
    <n v="92508.48910992968"/>
    <n v="5394170"/>
    <x v="2"/>
    <n v="20000"/>
    <n v="112508.48910992968"/>
    <n v="1166200"/>
    <n v="6560370"/>
    <m/>
    <s v="Ветеран боевых действий"/>
    <x v="0"/>
    <x v="0"/>
    <b v="1"/>
    <s v="АГ-005-Б-13-04-198"/>
    <m/>
    <s v="ДА"/>
    <s v="Чистовая"/>
    <b v="1"/>
    <n v="6560370"/>
    <n v="0"/>
    <b v="1"/>
    <d v="2024-05-29T00:00:00"/>
    <s v="Дик"/>
  </r>
  <r>
    <n v="199"/>
    <x v="1"/>
    <x v="12"/>
    <x v="4"/>
    <x v="0"/>
    <n v="12.06"/>
    <m/>
    <m/>
    <n v="12.06"/>
    <n v="13.18"/>
    <n v="4.1100000000000003"/>
    <m/>
    <m/>
    <n v="7.09"/>
    <n v="2.84"/>
    <m/>
    <m/>
    <n v="2.84"/>
    <n v="39.28"/>
    <n v="36.44"/>
    <n v="37.86"/>
    <n v="87601.5"/>
    <n v="4380.0749999999998"/>
    <n v="91981.574999999997"/>
    <n v="2759.4472499999997"/>
    <n v="94741.022249999995"/>
    <n v="4263.34600125"/>
    <n v="99004.368251249995"/>
    <m/>
    <n v="99004.368251249995"/>
    <n v="4950.2184125624999"/>
    <n v="103954.5866638125"/>
    <m/>
    <n v="103954.5866638125"/>
    <n v="1039.5458666381251"/>
    <n v="104994.13253045063"/>
    <n v="5249.7066265225321"/>
    <n v="110243.83915697316"/>
    <m/>
    <n v="110243.83915697316"/>
    <n v="3307.3151747091947"/>
    <n v="113551.15433168235"/>
    <m/>
    <n v="113551.15433168235"/>
    <m/>
    <n v="113551.15433168235"/>
    <m/>
    <n v="113551.15433168235"/>
    <m/>
    <n v="113551.15433168235"/>
    <n v="1135.5115433168235"/>
    <n v="114686.66587499918"/>
    <n v="573.43332937499588"/>
    <n v="115260.09920437417"/>
    <m/>
    <n v="115260.09920437417"/>
    <n v="2881.5024801093546"/>
    <n v="118141.60168448352"/>
    <m/>
    <n v="118141.60168448352"/>
    <m/>
    <n v="118141.60168448352"/>
    <n v="5907.080084224177"/>
    <n v="124048.6817687077"/>
    <n v="16126.328629932001"/>
    <n v="140175.01039863969"/>
    <n v="35"/>
    <n v="140210.01039863969"/>
    <m/>
    <n v="140210.01039863969"/>
    <n v="140210.01"/>
    <n v="5308400"/>
    <n v="302880"/>
    <m/>
    <n v="302880"/>
    <n v="132211.30480718435"/>
    <n v="5005520"/>
    <x v="2"/>
    <n v="25000"/>
    <n v="157211.30480718435"/>
    <n v="946499.99999999907"/>
    <n v="5952019.9999999991"/>
    <m/>
    <s v="Большие скидки на маленькие квартиры"/>
    <x v="0"/>
    <x v="0"/>
    <b v="1"/>
    <s v="АГ-005-Б-13-05-199"/>
    <m/>
    <s v="ДА"/>
    <s v="Чистовая"/>
    <b v="1"/>
    <n v="5952020"/>
    <n v="9.3132257461547852E-10"/>
    <b v="1"/>
    <s v=" "/>
    <s v=""/>
  </r>
  <r>
    <n v="200"/>
    <x v="1"/>
    <x v="12"/>
    <x v="5"/>
    <x v="3"/>
    <n v="17.89"/>
    <n v="17.2"/>
    <n v="14.31"/>
    <n v="49.400000000000006"/>
    <n v="13.39"/>
    <n v="4.2"/>
    <n v="2.0499999999999998"/>
    <m/>
    <n v="13.21"/>
    <n v="2.79"/>
    <n v="2.68"/>
    <m/>
    <n v="5.4700000000000006"/>
    <n v="87.72"/>
    <n v="82.25"/>
    <n v="84.99"/>
    <n v="72092.790000000008"/>
    <n v="3604.6395000000007"/>
    <n v="75697.429500000013"/>
    <n v="2270.9228850000004"/>
    <n v="77968.35238500002"/>
    <m/>
    <n v="77968.35238500002"/>
    <m/>
    <n v="77968.35238500002"/>
    <m/>
    <n v="77968.35238500002"/>
    <m/>
    <n v="77968.35238500002"/>
    <n v="779.68352385000026"/>
    <n v="78748.035908850026"/>
    <n v="3937.4017954425017"/>
    <n v="82685.437704292533"/>
    <m/>
    <n v="82685.437704292533"/>
    <n v="1653.7087540858506"/>
    <n v="84339.146458378382"/>
    <m/>
    <n v="84339.146458378382"/>
    <n v="1686.7829291675678"/>
    <n v="86025.929387545955"/>
    <m/>
    <n v="86025.929387545955"/>
    <n v="860.25929387545955"/>
    <n v="86886.188681421409"/>
    <m/>
    <n v="86886.188681421409"/>
    <m/>
    <n v="86886.188681421409"/>
    <n v="1737.7237736284283"/>
    <n v="88623.912455049838"/>
    <n v="1329.3586868257476"/>
    <n v="89953.271141875579"/>
    <m/>
    <n v="89953.271141875579"/>
    <n v="3598.130845675023"/>
    <n v="93551.401987550606"/>
    <n v="4677.5700993775308"/>
    <n v="98228.97208692813"/>
    <n v="12769.766371300657"/>
    <n v="110998.73845822879"/>
    <n v="35"/>
    <n v="111033.73845822879"/>
    <m/>
    <n v="111033.73845822879"/>
    <n v="111033.74"/>
    <n v="9436800"/>
    <n v="400000"/>
    <m/>
    <n v="400000"/>
    <n v="106327.80327097306"/>
    <n v="9036800"/>
    <x v="1"/>
    <m/>
    <n v="106327.80327097306"/>
    <n v="0"/>
    <n v="9036800"/>
    <m/>
    <s v="Время действовать"/>
    <x v="0"/>
    <x v="0"/>
    <b v="1"/>
    <s v="АГ-005-Б-13-06-200"/>
    <m/>
    <s v="ДА"/>
    <s v="Черновая"/>
    <b v="1"/>
    <n v="9036800"/>
    <n v="0"/>
    <b v="1"/>
    <d v="2025-04-30T00:00:00"/>
    <s v="Нуждина"/>
  </r>
  <r>
    <n v="201"/>
    <x v="1"/>
    <x v="12"/>
    <x v="6"/>
    <x v="0"/>
    <n v="17.89"/>
    <m/>
    <m/>
    <n v="17.89"/>
    <n v="13.04"/>
    <n v="3.9"/>
    <m/>
    <m/>
    <n v="6.12"/>
    <n v="2.65"/>
    <m/>
    <m/>
    <n v="2.65"/>
    <n v="43.6"/>
    <n v="40.950000000000003"/>
    <n v="42.28"/>
    <n v="83951.4375"/>
    <n v="4197.5718750000005"/>
    <n v="88149.009374999994"/>
    <n v="2644.4702812499995"/>
    <n v="90793.479656249998"/>
    <n v="2723.8043896874997"/>
    <n v="93517.2840459375"/>
    <m/>
    <n v="93517.2840459375"/>
    <n v="4675.8642022968752"/>
    <n v="98193.148248234371"/>
    <m/>
    <n v="98193.148248234371"/>
    <n v="981.93148248234377"/>
    <n v="99175.079730716709"/>
    <n v="4958.7539865358358"/>
    <n v="104133.83371725255"/>
    <m/>
    <n v="104133.83371725255"/>
    <n v="3124.0150115175766"/>
    <n v="107257.84872877013"/>
    <m/>
    <n v="107257.84872877013"/>
    <m/>
    <n v="107257.84872877013"/>
    <m/>
    <n v="107257.84872877013"/>
    <n v="1072.5784872877014"/>
    <n v="108330.42721605783"/>
    <m/>
    <n v="108330.42721605783"/>
    <m/>
    <n v="108330.42721605783"/>
    <m/>
    <n v="108330.42721605783"/>
    <n v="2708.2606804014458"/>
    <n v="111038.68789645928"/>
    <m/>
    <n v="111038.68789645928"/>
    <m/>
    <n v="111038.68789645928"/>
    <n v="8883.0950317167426"/>
    <n v="119921.78292817602"/>
    <n v="15589.831780662884"/>
    <n v="135511.6147088389"/>
    <n v="35"/>
    <n v="135546.6147088389"/>
    <m/>
    <n v="135546.6147088389"/>
    <n v="135546.60999999999"/>
    <n v="5731000"/>
    <m/>
    <m/>
    <n v="0"/>
    <n v="135548.72280037843"/>
    <n v="5731000"/>
    <x v="1"/>
    <m/>
    <n v="135548.72280037843"/>
    <n v="0"/>
    <n v="5731000"/>
    <m/>
    <m/>
    <x v="1"/>
    <x v="1"/>
    <b v="1"/>
    <s v="АГ-005-Б-13-07-201"/>
    <m/>
    <s v="ДА"/>
    <s v="Черновая"/>
    <b v="1"/>
    <n v="5731000"/>
    <n v="0"/>
    <b v="1"/>
    <s v=" "/>
    <s v=""/>
  </r>
  <r>
    <n v="202"/>
    <x v="1"/>
    <x v="13"/>
    <x v="0"/>
    <x v="1"/>
    <n v="15.91"/>
    <n v="12.02"/>
    <m/>
    <n v="27.93"/>
    <n v="15.31"/>
    <n v="3.85"/>
    <n v="2.2999999999999998"/>
    <m/>
    <n v="9.4499999999999993"/>
    <n v="2.75"/>
    <m/>
    <m/>
    <n v="2.75"/>
    <n v="61.59"/>
    <n v="58.84"/>
    <n v="60.22"/>
    <n v="81852.246000000014"/>
    <n v="4092.6123000000007"/>
    <n v="85944.858300000022"/>
    <n v="2578.3457490000005"/>
    <n v="88523.204049000022"/>
    <m/>
    <n v="88523.204049000022"/>
    <m/>
    <n v="88523.204049000022"/>
    <m/>
    <n v="88523.204049000022"/>
    <m/>
    <n v="88523.204049000022"/>
    <n v="885.23204049000026"/>
    <n v="89408.436089490016"/>
    <n v="4470.4218044745012"/>
    <n v="93878.857893964523"/>
    <m/>
    <n v="93878.857893964523"/>
    <n v="1877.5771578792906"/>
    <n v="95756.435051843815"/>
    <m/>
    <n v="95756.435051843815"/>
    <n v="1915.1287010368762"/>
    <n v="97671.563752880698"/>
    <m/>
    <n v="97671.563752880698"/>
    <m/>
    <n v="97671.563752880698"/>
    <m/>
    <n v="97671.563752880698"/>
    <m/>
    <n v="97671.563752880698"/>
    <m/>
    <n v="97671.563752880698"/>
    <n v="1465.0734562932105"/>
    <n v="99136.637209173903"/>
    <m/>
    <n v="99136.637209173903"/>
    <n v="3965.4654883669564"/>
    <n v="103102.10269754086"/>
    <n v="6186.1261618524513"/>
    <n v="109288.2288593933"/>
    <n v="14207.46975172113"/>
    <n v="123495.69861111444"/>
    <m/>
    <n v="123495.69861111444"/>
    <m/>
    <n v="123495.69861111444"/>
    <n v="123495.7"/>
    <n v="7437000"/>
    <m/>
    <n v="0.03"/>
    <n v="223110"/>
    <n v="119792.26170707407"/>
    <n v="7213890"/>
    <x v="3"/>
    <n v="10000"/>
    <n v="129792.26170707407"/>
    <n v="602200"/>
    <n v="7816090"/>
    <m/>
    <s v="Ветеран боевых действий"/>
    <x v="0"/>
    <x v="0"/>
    <b v="1"/>
    <s v="АГ-005-Б-14-01-202"/>
    <m/>
    <s v="ДА"/>
    <s v="White Box"/>
    <b v="1"/>
    <n v="7816090"/>
    <n v="0"/>
    <b v="1"/>
    <d v="2024-11-25T00:00:00"/>
    <s v="Дик"/>
  </r>
  <r>
    <n v="203"/>
    <x v="1"/>
    <x v="13"/>
    <x v="1"/>
    <x v="2"/>
    <n v="7.13"/>
    <m/>
    <m/>
    <n v="7.13"/>
    <n v="5.12"/>
    <n v="3.65"/>
    <m/>
    <m/>
    <n v="6.92"/>
    <n v="2.91"/>
    <m/>
    <m/>
    <n v="2.91"/>
    <n v="25.73"/>
    <n v="22.82"/>
    <n v="24.28"/>
    <n v="91981.574999999997"/>
    <n v="4599.0787499999997"/>
    <n v="96580.653749999998"/>
    <n v="2897.4196124999999"/>
    <n v="99478.073362499999"/>
    <n v="14921.711004375"/>
    <n v="114399.784366875"/>
    <m/>
    <n v="114399.784366875"/>
    <m/>
    <n v="114399.784366875"/>
    <m/>
    <n v="114399.784366875"/>
    <n v="1143.99784366875"/>
    <n v="115543.78221054375"/>
    <n v="5777.1891105271879"/>
    <n v="121320.97132107095"/>
    <m/>
    <n v="121320.97132107095"/>
    <n v="3639.629139632128"/>
    <n v="124960.60046070308"/>
    <m/>
    <n v="124960.60046070308"/>
    <m/>
    <n v="124960.60046070308"/>
    <m/>
    <n v="124960.60046070308"/>
    <m/>
    <n v="124960.60046070308"/>
    <n v="2499.2120092140617"/>
    <n v="127459.81246991715"/>
    <m/>
    <n v="127459.81246991715"/>
    <m/>
    <n v="127459.81246991715"/>
    <n v="1911.8971870487571"/>
    <n v="129371.7096569659"/>
    <n v="500"/>
    <n v="129871.7096569659"/>
    <m/>
    <n v="129871.7096569659"/>
    <n v="5194.8683862786365"/>
    <n v="135066.57804324455"/>
    <n v="17558.655145621793"/>
    <n v="152625.23318886635"/>
    <n v="35"/>
    <n v="152660.23318886635"/>
    <m/>
    <n v="152660.23318886635"/>
    <n v="152660.23000000001"/>
    <n v="3706600"/>
    <m/>
    <m/>
    <n v="0"/>
    <n v="152660.62602965403"/>
    <n v="3706600"/>
    <x v="2"/>
    <n v="25000"/>
    <n v="177660.62602965403"/>
    <n v="607000"/>
    <n v="4313600"/>
    <m/>
    <m/>
    <x v="0"/>
    <x v="0"/>
    <b v="1"/>
    <s v="АГ-005-Б-14-02-203"/>
    <m/>
    <s v="ДА"/>
    <s v="Чистовая"/>
    <b v="1"/>
    <n v="4313600"/>
    <n v="0"/>
    <b v="1"/>
    <d v="2025-02-28T00:00:00"/>
    <s v="Полехович"/>
  </r>
  <r>
    <n v="204"/>
    <x v="1"/>
    <x v="13"/>
    <x v="2"/>
    <x v="1"/>
    <n v="14.6"/>
    <n v="13.12"/>
    <m/>
    <n v="27.72"/>
    <n v="14.35"/>
    <n v="3.68"/>
    <n v="2.57"/>
    <m/>
    <n v="7.95"/>
    <n v="2.65"/>
    <m/>
    <m/>
    <n v="2.65"/>
    <n v="58.92"/>
    <n v="56.27"/>
    <n v="57.6"/>
    <n v="80307.864000000001"/>
    <n v="4015.3932000000004"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n v="84323.26"/>
    <n v="4857019.78"/>
    <m/>
    <m/>
    <n v="0"/>
    <n v="84323.260069444441"/>
    <n v="4857019.78"/>
    <x v="2"/>
    <n v="16000"/>
    <n v="100323.26006944444"/>
    <n v="921600"/>
    <n v="5778619.7800000003"/>
    <s v="Хит"/>
    <m/>
    <x v="0"/>
    <x v="0"/>
    <b v="1"/>
    <s v="АГ-005-Б-14-03-204"/>
    <m/>
    <s v="НЕТ"/>
    <s v="Чистовая"/>
    <b v="1"/>
    <n v="5778619.7800000003"/>
    <n v="0"/>
    <b v="1"/>
    <d v="2023-09-15T00:00:00"/>
    <s v="Никишов"/>
  </r>
  <r>
    <n v="205"/>
    <x v="1"/>
    <x v="13"/>
    <x v="3"/>
    <x v="1"/>
    <n v="15.45"/>
    <n v="14.5"/>
    <m/>
    <n v="29.95"/>
    <n v="11.95"/>
    <n v="3.86"/>
    <n v="2.37"/>
    <m/>
    <n v="8.8699999999999992"/>
    <n v="2.62"/>
    <m/>
    <m/>
    <n v="2.62"/>
    <n v="59.62"/>
    <n v="57"/>
    <n v="58.31"/>
    <n v="81466.150500000003"/>
    <n v="4073.3075250000002"/>
    <n v="85539.458025"/>
    <n v="2566.1837407499997"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m/>
    <n v="88105.641765749999"/>
    <n v="88105.64"/>
    <n v="5137500"/>
    <m/>
    <n v="0.05"/>
    <n v="256875"/>
    <n v="83701.337677928313"/>
    <n v="4880625"/>
    <x v="2"/>
    <n v="7500"/>
    <n v="91201.337677928313"/>
    <n v="437325"/>
    <n v="5317950"/>
    <m/>
    <s v="Ветеран боевых действий_x000a_Чистовая по решению ОГ"/>
    <x v="0"/>
    <x v="0"/>
    <b v="1"/>
    <s v="АГ-005-Б-14-04-205"/>
    <m/>
    <s v="ДА"/>
    <s v="Чистовая"/>
    <b v="1"/>
    <n v="5317950"/>
    <n v="0"/>
    <b v="1"/>
    <d v="2023-12-15T00:00:00"/>
    <s v="Дик"/>
  </r>
  <r>
    <n v="206"/>
    <x v="1"/>
    <x v="13"/>
    <x v="4"/>
    <x v="0"/>
    <n v="12.06"/>
    <m/>
    <m/>
    <n v="12.06"/>
    <n v="13.18"/>
    <n v="4.1100000000000003"/>
    <m/>
    <m/>
    <n v="7.09"/>
    <n v="2.84"/>
    <m/>
    <m/>
    <n v="2.84"/>
    <n v="39.28"/>
    <n v="36.44"/>
    <n v="37.86"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m/>
    <n v="89223.75"/>
    <n v="89223.75"/>
    <n v="3378011.18"/>
    <m/>
    <m/>
    <n v="0"/>
    <n v="89223.750132065514"/>
    <n v="3378011.18"/>
    <x v="0"/>
    <n v="4500"/>
    <n v="93723.750132065514"/>
    <n v="170370"/>
    <n v="3548381.18"/>
    <m/>
    <m/>
    <x v="0"/>
    <x v="0"/>
    <b v="1"/>
    <s v="АГ-005-Б-14-05-206"/>
    <m/>
    <s v="НЕТ"/>
    <s v="Предчистовая"/>
    <b v="1"/>
    <n v="3548381.18"/>
    <n v="0"/>
    <b v="1"/>
    <d v="2023-09-15T00:00:00"/>
    <s v="Никишов"/>
  </r>
  <r>
    <n v="207"/>
    <x v="1"/>
    <x v="13"/>
    <x v="5"/>
    <x v="3"/>
    <n v="17.89"/>
    <n v="17.2"/>
    <n v="14.31"/>
    <n v="49.400000000000006"/>
    <n v="13.39"/>
    <n v="4.2"/>
    <n v="2.0499999999999998"/>
    <m/>
    <n v="13.21"/>
    <n v="2.79"/>
    <n v="2.68"/>
    <m/>
    <n v="5.4700000000000006"/>
    <n v="87.72"/>
    <n v="82.25"/>
    <n v="84.99"/>
    <n v="73520.37000000001"/>
    <n v="3676.0185000000006"/>
    <n v="77196.388500000015"/>
    <n v="2315.8916550000004"/>
    <n v="79512.280155000015"/>
    <m/>
    <n v="79512.280155000015"/>
    <m/>
    <n v="79512.280155000015"/>
    <m/>
    <n v="79512.280155000015"/>
    <m/>
    <n v="79512.280155000015"/>
    <n v="795.12280155000019"/>
    <n v="80307.40295655001"/>
    <n v="4015.3701478275007"/>
    <n v="84322.773104377513"/>
    <m/>
    <n v="84322.773104377513"/>
    <n v="1686.4554620875504"/>
    <n v="86009.22856646507"/>
    <m/>
    <n v="86009.22856646507"/>
    <n v="1720.1845713293014"/>
    <n v="87729.41313779437"/>
    <m/>
    <n v="87729.41313779437"/>
    <n v="877.2941313779437"/>
    <n v="88606.707269172315"/>
    <m/>
    <n v="88606.707269172315"/>
    <m/>
    <n v="88606.707269172315"/>
    <n v="1772.1341453834464"/>
    <n v="90378.841414555762"/>
    <m/>
    <n v="90378.841414555762"/>
    <m/>
    <n v="90378.841414555762"/>
    <m/>
    <n v="90378.841414555762"/>
    <m/>
    <n v="90378.841414555762"/>
    <m/>
    <n v="90378.841414555762"/>
    <m/>
    <n v="90378.841414555762"/>
    <m/>
    <n v="90378.841414555762"/>
    <n v="90378.84"/>
    <n v="7681300"/>
    <m/>
    <n v="0.03"/>
    <n v="230439"/>
    <n v="87667.50205906578"/>
    <n v="7450861"/>
    <x v="1"/>
    <m/>
    <n v="87667.50205906578"/>
    <n v="0"/>
    <n v="7450861"/>
    <m/>
    <s v="Многодетная семья"/>
    <x v="0"/>
    <x v="0"/>
    <b v="1"/>
    <s v="АГ-005-Б-14-06-207"/>
    <m/>
    <s v="ДА"/>
    <s v="Черновая"/>
    <b v="1"/>
    <n v="7450861"/>
    <n v="0"/>
    <b v="1"/>
    <d v="2024-06-29T00:00:00"/>
    <s v="Полехович"/>
  </r>
  <r>
    <n v="208"/>
    <x v="1"/>
    <x v="13"/>
    <x v="6"/>
    <x v="0"/>
    <n v="17.89"/>
    <m/>
    <m/>
    <n v="17.89"/>
    <n v="13.04"/>
    <n v="3.9"/>
    <m/>
    <m/>
    <n v="6.12"/>
    <n v="2.65"/>
    <m/>
    <m/>
    <n v="2.65"/>
    <n v="43.6"/>
    <n v="40.950000000000003"/>
    <n v="42.28"/>
    <n v="85573.6875"/>
    <n v="4278.6843749999998"/>
    <n v="89852.371874999997"/>
    <n v="2695.5711562499996"/>
    <n v="92547.94303124999"/>
    <n v="2776.4382909374995"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m/>
    <n v="95324.381322187488"/>
    <n v="95324.38"/>
    <n v="4030314.79"/>
    <m/>
    <n v="0.06"/>
    <n v="241818.88740000001"/>
    <n v="89604.917218543036"/>
    <n v="3788495.9"/>
    <x v="1"/>
    <m/>
    <n v="89604.917218543036"/>
    <n v="0"/>
    <n v="3788495.8999999994"/>
    <m/>
    <s v="Ветеран боевых действий"/>
    <x v="0"/>
    <x v="0"/>
    <b v="1"/>
    <s v="АГ-005-Б-14-07-208"/>
    <m/>
    <s v="НЕТ"/>
    <s v="Черновая"/>
    <b v="1"/>
    <n v="3788495.9"/>
    <n v="4.6566128730773926E-10"/>
    <b v="1"/>
    <d v="2023-09-25T00:00:00"/>
    <s v="Дик"/>
  </r>
  <r>
    <n v="209"/>
    <x v="1"/>
    <x v="14"/>
    <x v="0"/>
    <x v="1"/>
    <n v="15.91"/>
    <n v="12.02"/>
    <m/>
    <n v="27.93"/>
    <n v="15.31"/>
    <n v="3.85"/>
    <n v="2.2999999999999998"/>
    <m/>
    <n v="9.4499999999999993"/>
    <n v="2.75"/>
    <m/>
    <m/>
    <n v="2.75"/>
    <n v="61.59"/>
    <n v="58.84"/>
    <n v="60.22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n v="95828.7"/>
    <n v="5770900"/>
    <m/>
    <m/>
    <n v="0"/>
    <n v="95830.288940551312"/>
    <n v="5770900"/>
    <x v="1"/>
    <m/>
    <n v="95830.288940551312"/>
    <n v="0"/>
    <n v="5770900"/>
    <m/>
    <m/>
    <x v="0"/>
    <x v="0"/>
    <b v="1"/>
    <s v="АГ-005-Б-15-01-209"/>
    <m/>
    <s v="ДА"/>
    <s v="Черновая"/>
    <b v="1"/>
    <n v="5770900"/>
    <n v="0"/>
    <b v="1"/>
    <d v="2024-06-26T00:00:00"/>
    <s v="Дик"/>
  </r>
  <r>
    <n v="210"/>
    <x v="1"/>
    <x v="14"/>
    <x v="1"/>
    <x v="2"/>
    <n v="7.13"/>
    <m/>
    <m/>
    <n v="7.13"/>
    <n v="5.12"/>
    <n v="3.65"/>
    <m/>
    <m/>
    <n v="6.92"/>
    <n v="2.91"/>
    <m/>
    <m/>
    <n v="2.91"/>
    <n v="25.73"/>
    <n v="22.82"/>
    <n v="24.28"/>
    <n v="90229.544999999998"/>
    <n v="4511.4772499999999"/>
    <n v="94741.022249999995"/>
    <n v="2842.2306674999995"/>
    <n v="97583.252917499995"/>
    <n v="14637.487937624999"/>
    <n v="112220.740855125"/>
    <m/>
    <n v="112220.740855125"/>
    <m/>
    <n v="112220.740855125"/>
    <m/>
    <n v="112220.740855125"/>
    <n v="1122.20740855125"/>
    <n v="113342.94826367624"/>
    <n v="5667.1474131838122"/>
    <n v="119010.09567686006"/>
    <m/>
    <n v="119010.09567686006"/>
    <n v="3570.3028703058017"/>
    <n v="122580.39854716587"/>
    <m/>
    <n v="122580.39854716587"/>
    <m/>
    <n v="122580.39854716587"/>
    <m/>
    <n v="122580.39854716587"/>
    <m/>
    <n v="122580.39854716587"/>
    <n v="2451.6079709433175"/>
    <n v="125032.00651810918"/>
    <m/>
    <n v="125032.00651810918"/>
    <m/>
    <n v="125032.00651810918"/>
    <n v="1875.4800977716377"/>
    <n v="126907.48661588081"/>
    <m/>
    <n v="126907.48661588081"/>
    <m/>
    <n v="126907.48661588081"/>
    <m/>
    <n v="126907.48661588081"/>
    <m/>
    <n v="126907.48661588081"/>
    <m/>
    <n v="126907.48661588081"/>
    <m/>
    <n v="126907.48661588081"/>
    <n v="126907.49"/>
    <n v="3081400"/>
    <m/>
    <m/>
    <n v="0"/>
    <n v="126911.03789126853"/>
    <n v="3081400"/>
    <x v="2"/>
    <n v="20000"/>
    <n v="146911.03789126853"/>
    <n v="485600"/>
    <n v="3567000"/>
    <m/>
    <m/>
    <x v="0"/>
    <x v="0"/>
    <b v="1"/>
    <s v="АГ-005-Б-15-02-210"/>
    <m/>
    <s v="ДА"/>
    <s v="Чистовая"/>
    <b v="1"/>
    <n v="3567000"/>
    <n v="0"/>
    <b v="1"/>
    <d v="2024-07-31T00:00:00"/>
    <s v="Полехович"/>
  </r>
  <r>
    <n v="211"/>
    <x v="1"/>
    <x v="14"/>
    <x v="2"/>
    <x v="1"/>
    <n v="14.6"/>
    <n v="13.12"/>
    <m/>
    <n v="27.72"/>
    <n v="14.35"/>
    <n v="3.68"/>
    <n v="2.57"/>
    <m/>
    <n v="7.95"/>
    <n v="2.65"/>
    <m/>
    <m/>
    <n v="2.65"/>
    <n v="58.92"/>
    <n v="56.27"/>
    <n v="57.6"/>
    <n v="78763.482000000004"/>
    <n v="3938.1741000000002"/>
    <n v="82701.656100000007"/>
    <n v="2481.0496830000002"/>
    <n v="85182.705783000012"/>
    <m/>
    <n v="85182.705783000012"/>
    <m/>
    <n v="85182.705783000012"/>
    <m/>
    <n v="85182.705783000012"/>
    <m/>
    <n v="85182.705783000012"/>
    <n v="851.82705783000017"/>
    <n v="86034.532840830012"/>
    <n v="4301.7266420415008"/>
    <n v="90336.259482871508"/>
    <m/>
    <n v="90336.259482871508"/>
    <n v="1806.7251896574303"/>
    <n v="92142.984672528939"/>
    <m/>
    <n v="92142.984672528939"/>
    <n v="1842.8596934505788"/>
    <n v="93985.844365979516"/>
    <m/>
    <n v="93985.844365979516"/>
    <n v="939.85844365979517"/>
    <n v="94925.702809639304"/>
    <m/>
    <n v="94925.702809639304"/>
    <m/>
    <n v="94925.702809639304"/>
    <m/>
    <n v="94925.702809639304"/>
    <m/>
    <n v="94925.702809639304"/>
    <m/>
    <n v="94925.702809639304"/>
    <m/>
    <n v="94925.702809639304"/>
    <m/>
    <n v="94925.702809639304"/>
    <m/>
    <n v="94925.702809639304"/>
    <m/>
    <n v="94925.702809639304"/>
    <m/>
    <n v="94925.702809639304"/>
    <n v="94925.7"/>
    <n v="5467800"/>
    <m/>
    <m/>
    <n v="0"/>
    <n v="94927.083333333328"/>
    <n v="5467800"/>
    <x v="2"/>
    <n v="20000"/>
    <n v="114927.08333333333"/>
    <n v="1152000"/>
    <n v="6619800"/>
    <s v="Хит"/>
    <m/>
    <x v="0"/>
    <x v="0"/>
    <b v="1"/>
    <s v="АГ-005-Б-15-03-211"/>
    <m/>
    <s v="ДА"/>
    <s v="Чистовая"/>
    <b v="1"/>
    <n v="6619800"/>
    <n v="0"/>
    <b v="1"/>
    <d v="2024-05-28T00:00:00"/>
    <s v="Калачева"/>
  </r>
  <r>
    <n v="212"/>
    <x v="1"/>
    <x v="14"/>
    <x v="3"/>
    <x v="1"/>
    <n v="15.45"/>
    <n v="14.5"/>
    <m/>
    <n v="29.95"/>
    <n v="11.95"/>
    <n v="3.86"/>
    <n v="2.37"/>
    <m/>
    <n v="8.8699999999999992"/>
    <n v="2.62"/>
    <m/>
    <m/>
    <n v="2.62"/>
    <n v="59.62"/>
    <n v="57"/>
    <n v="58.31"/>
    <n v="79921.768500000006"/>
    <n v="3996.0884250000004"/>
    <n v="83917.856925"/>
    <n v="2517.5357077499998"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m/>
    <n v="86435.392632749994"/>
    <n v="86435.39"/>
    <n v="5040047.59"/>
    <n v="120000"/>
    <m/>
    <n v="120000"/>
    <n v="84377.423941004963"/>
    <n v="4920047.59"/>
    <x v="1"/>
    <m/>
    <n v="84377.423941004963"/>
    <n v="0"/>
    <n v="4920047.59"/>
    <m/>
    <s v="Молодая семья"/>
    <x v="0"/>
    <x v="0"/>
    <b v="1"/>
    <s v="АГ-005-Б-15-04-212"/>
    <m/>
    <s v="НЕТ"/>
    <s v="Черновая"/>
    <b v="1"/>
    <n v="4920047.59"/>
    <n v="0"/>
    <b v="1"/>
    <d v="2023-11-17T00:00:00"/>
    <s v="Никишов"/>
  </r>
  <r>
    <n v="213"/>
    <x v="1"/>
    <x v="14"/>
    <x v="4"/>
    <x v="0"/>
    <n v="12.06"/>
    <m/>
    <m/>
    <n v="12.06"/>
    <n v="13.18"/>
    <n v="4.1100000000000003"/>
    <m/>
    <m/>
    <n v="7.09"/>
    <n v="2.84"/>
    <m/>
    <m/>
    <n v="2.84"/>
    <n v="39.28"/>
    <n v="36.44"/>
    <n v="37.86"/>
    <n v="87601.5"/>
    <n v="4380.0749999999998"/>
    <n v="91981.574999999997"/>
    <n v="2759.4472499999997"/>
    <n v="94741.022249999995"/>
    <n v="4263.34600125"/>
    <n v="99004.368251249995"/>
    <m/>
    <n v="99004.368251249995"/>
    <n v="4950.2184125624999"/>
    <n v="103954.5866638125"/>
    <m/>
    <n v="103954.5866638125"/>
    <n v="1039.5458666381251"/>
    <n v="104994.13253045063"/>
    <n v="5249.7066265225321"/>
    <n v="110243.83915697316"/>
    <m/>
    <n v="110243.83915697316"/>
    <n v="3307.3151747091947"/>
    <n v="113551.15433168235"/>
    <m/>
    <n v="113551.15433168235"/>
    <m/>
    <n v="113551.15433168235"/>
    <m/>
    <n v="113551.15433168235"/>
    <m/>
    <n v="113551.15433168235"/>
    <n v="1135.5115433168235"/>
    <n v="114686.66587499918"/>
    <n v="573.43332937499588"/>
    <n v="115260.09920437417"/>
    <m/>
    <n v="115260.09920437417"/>
    <n v="2881.5024801093546"/>
    <n v="118141.60168448352"/>
    <m/>
    <n v="118141.60168448352"/>
    <m/>
    <n v="118141.60168448352"/>
    <n v="5907.080084224177"/>
    <n v="124048.6817687077"/>
    <n v="16126.328629932001"/>
    <n v="140175.01039863969"/>
    <n v="35"/>
    <n v="140210.01039863969"/>
    <m/>
    <n v="140210.01039863969"/>
    <n v="140210.01"/>
    <n v="5308400"/>
    <m/>
    <m/>
    <n v="0"/>
    <n v="140211.30480718435"/>
    <n v="5308400"/>
    <x v="1"/>
    <m/>
    <n v="140211.30480718435"/>
    <n v="0"/>
    <n v="5308399.9999999991"/>
    <m/>
    <m/>
    <x v="1"/>
    <x v="1"/>
    <b v="1"/>
    <s v="АГ-005-Б-15-05-213"/>
    <m/>
    <s v="ДА"/>
    <s v="Черновая"/>
    <b v="1"/>
    <n v="5308400"/>
    <n v="9.3132257461547852E-10"/>
    <b v="1"/>
    <s v=" "/>
    <s v=""/>
  </r>
  <r>
    <n v="214"/>
    <x v="1"/>
    <x v="14"/>
    <x v="5"/>
    <x v="3"/>
    <n v="17.89"/>
    <n v="17.2"/>
    <n v="14.31"/>
    <n v="49.400000000000006"/>
    <n v="13.39"/>
    <n v="4.2"/>
    <n v="2.0499999999999998"/>
    <m/>
    <n v="13.21"/>
    <n v="2.79"/>
    <n v="2.68"/>
    <m/>
    <n v="5.4700000000000006"/>
    <n v="87.72"/>
    <n v="82.25"/>
    <n v="84.99"/>
    <n v="72092.790000000008"/>
    <n v="3604.6395000000007"/>
    <n v="75697.429500000013"/>
    <n v="2270.9228850000004"/>
    <n v="77968.35238500002"/>
    <m/>
    <n v="77968.35238500002"/>
    <m/>
    <n v="77968.35238500002"/>
    <m/>
    <n v="77968.35238500002"/>
    <m/>
    <n v="77968.35238500002"/>
    <n v="779.68352385000026"/>
    <n v="78748.035908850026"/>
    <n v="3937.4017954425017"/>
    <n v="82685.437704292533"/>
    <m/>
    <n v="82685.437704292533"/>
    <m/>
    <n v="82685.437704292533"/>
    <m/>
    <n v="82685.437704292533"/>
    <m/>
    <n v="82685.437704292533"/>
    <m/>
    <n v="82685.437704292533"/>
    <m/>
    <n v="82685.437704292533"/>
    <m/>
    <n v="82685.437704292533"/>
    <m/>
    <n v="82685.437704292533"/>
    <m/>
    <n v="82685.437704292533"/>
    <m/>
    <n v="82685.437704292533"/>
    <m/>
    <n v="82685.437704292533"/>
    <m/>
    <n v="82685.437704292533"/>
    <m/>
    <n v="82685.437704292533"/>
    <m/>
    <n v="82685.437704292533"/>
    <m/>
    <n v="82685.437704292533"/>
    <m/>
    <n v="82685.437704292533"/>
    <n v="82685.440000000002"/>
    <n v="7027500"/>
    <m/>
    <m/>
    <n v="0"/>
    <n v="82686.198376279572"/>
    <n v="7027500"/>
    <x v="2"/>
    <n v="20000"/>
    <n v="102686.19837627957"/>
    <n v="1699800"/>
    <n v="8727300"/>
    <m/>
    <m/>
    <x v="0"/>
    <x v="0"/>
    <b v="1"/>
    <s v="АГ-005-Б-15-06-214"/>
    <m/>
    <s v="ДА"/>
    <s v="Чистовая"/>
    <b v="1"/>
    <n v="8727300"/>
    <n v="0"/>
    <b v="1"/>
    <d v="2024-03-26T00:00:00"/>
    <s v="Дик"/>
  </r>
  <r>
    <n v="215"/>
    <x v="1"/>
    <x v="14"/>
    <x v="6"/>
    <x v="0"/>
    <n v="17.89"/>
    <m/>
    <m/>
    <n v="17.89"/>
    <n v="13.04"/>
    <n v="3.9"/>
    <m/>
    <m/>
    <n v="6.12"/>
    <n v="2.65"/>
    <m/>
    <m/>
    <n v="2.65"/>
    <n v="43.6"/>
    <n v="40.950000000000003"/>
    <n v="42.28"/>
    <n v="83951.4375"/>
    <n v="4197.5718750000005"/>
    <n v="88149.009374999994"/>
    <n v="2644.4702812499995"/>
    <n v="90793.479656249998"/>
    <n v="2723.8043896874997"/>
    <n v="93517.2840459375"/>
    <m/>
    <n v="93517.2840459375"/>
    <n v="4675.8642022968752"/>
    <n v="98193.148248234371"/>
    <m/>
    <n v="98193.148248234371"/>
    <n v="981.93148248234377"/>
    <n v="99175.079730716709"/>
    <n v="4958.7539865358358"/>
    <n v="104133.83371725255"/>
    <m/>
    <n v="104133.83371725255"/>
    <n v="3124.0150115175766"/>
    <n v="107257.84872877013"/>
    <m/>
    <n v="107257.84872877013"/>
    <m/>
    <n v="107257.84872877013"/>
    <m/>
    <n v="107257.84872877013"/>
    <n v="1072.5784872877014"/>
    <n v="108330.42721605783"/>
    <m/>
    <n v="108330.42721605783"/>
    <m/>
    <n v="108330.42721605783"/>
    <m/>
    <n v="108330.42721605783"/>
    <n v="2708.2606804014458"/>
    <n v="111038.68789645928"/>
    <m/>
    <n v="111038.68789645928"/>
    <m/>
    <n v="111038.68789645928"/>
    <n v="8883.0950317167426"/>
    <n v="119921.78292817602"/>
    <n v="15589.831780662884"/>
    <n v="135511.6147088389"/>
    <n v="35"/>
    <n v="135546.6147088389"/>
    <m/>
    <n v="135546.6147088389"/>
    <n v="135546.60999999999"/>
    <n v="5731000"/>
    <m/>
    <m/>
    <n v="0"/>
    <n v="135548.72280037843"/>
    <n v="5731000"/>
    <x v="1"/>
    <m/>
    <n v="135548.72280037843"/>
    <n v="0"/>
    <n v="5731000"/>
    <m/>
    <m/>
    <x v="1"/>
    <x v="1"/>
    <b v="1"/>
    <s v="АГ-005-Б-15-07-215"/>
    <m/>
    <s v="ДА"/>
    <s v="Черновая"/>
    <b v="1"/>
    <n v="5731000"/>
    <n v="0"/>
    <b v="1"/>
    <s v=" "/>
    <s v=""/>
  </r>
  <r>
    <n v="216"/>
    <x v="1"/>
    <x v="15"/>
    <x v="0"/>
    <x v="1"/>
    <n v="15.91"/>
    <n v="12.02"/>
    <m/>
    <n v="27.93"/>
    <n v="15.31"/>
    <n v="3.85"/>
    <n v="2.2999999999999998"/>
    <m/>
    <n v="9.4499999999999993"/>
    <n v="2.75"/>
    <m/>
    <m/>
    <n v="2.75"/>
    <n v="61.59"/>
    <n v="58.84"/>
    <n v="60.22"/>
    <n v="81852.246000000014"/>
    <n v="4092.6123000000007"/>
    <n v="85944.858300000022"/>
    <n v="2578.3457490000005"/>
    <n v="88523.204049000022"/>
    <m/>
    <n v="88523.204049000022"/>
    <m/>
    <n v="88523.204049000022"/>
    <m/>
    <n v="88523.204049000022"/>
    <m/>
    <n v="88523.204049000022"/>
    <n v="885.23204049000026"/>
    <n v="89408.436089490016"/>
    <n v="4470.4218044745012"/>
    <n v="93878.857893964523"/>
    <m/>
    <n v="93878.857893964523"/>
    <m/>
    <n v="93878.857893964523"/>
    <m/>
    <n v="93878.857893964523"/>
    <m/>
    <n v="93878.857893964523"/>
    <m/>
    <n v="93878.857893964523"/>
    <m/>
    <n v="93878.857893964523"/>
    <m/>
    <n v="93878.857893964523"/>
    <m/>
    <n v="93878.857893964523"/>
    <m/>
    <n v="93878.857893964523"/>
    <m/>
    <n v="93878.857893964523"/>
    <m/>
    <n v="93878.857893964523"/>
    <m/>
    <n v="93878.857893964523"/>
    <m/>
    <n v="93878.857893964523"/>
    <m/>
    <n v="93878.857893964523"/>
    <m/>
    <n v="93878.857893964523"/>
    <m/>
    <n v="93878.857893964523"/>
    <n v="93878.86"/>
    <n v="5653400"/>
    <m/>
    <m/>
    <n v="0"/>
    <n v="93879.109930255727"/>
    <n v="5653400"/>
    <x v="1"/>
    <m/>
    <n v="93879.109930255727"/>
    <n v="0"/>
    <n v="5653400"/>
    <m/>
    <m/>
    <x v="0"/>
    <x v="0"/>
    <b v="1"/>
    <s v="АГ-005-Б-16-01-216"/>
    <m/>
    <s v="ДА"/>
    <s v="Черновая"/>
    <b v="1"/>
    <n v="5653400"/>
    <n v="0"/>
    <b v="1"/>
    <d v="2024-02-29T00:00:00"/>
    <s v="Никишов"/>
  </r>
  <r>
    <n v="217"/>
    <x v="1"/>
    <x v="15"/>
    <x v="1"/>
    <x v="2"/>
    <n v="7.13"/>
    <m/>
    <m/>
    <n v="7.13"/>
    <n v="5.12"/>
    <n v="3.65"/>
    <m/>
    <m/>
    <n v="6.92"/>
    <n v="2.91"/>
    <m/>
    <m/>
    <n v="2.91"/>
    <n v="25.73"/>
    <n v="22.82"/>
    <n v="24.28"/>
    <n v="91981.574999999997"/>
    <n v="4599.0787499999997"/>
    <n v="96580.653749999998"/>
    <n v="2897.4196124999999"/>
    <n v="99478.073362499999"/>
    <n v="14921.711004375"/>
    <n v="114399.784366875"/>
    <m/>
    <n v="114399.784366875"/>
    <m/>
    <n v="114399.784366875"/>
    <m/>
    <n v="114399.784366875"/>
    <n v="1143.99784366875"/>
    <n v="115543.78221054375"/>
    <n v="5777.1891105271879"/>
    <n v="121320.97132107095"/>
    <m/>
    <n v="121320.97132107095"/>
    <n v="3639.629139632128"/>
    <n v="124960.60046070308"/>
    <m/>
    <n v="124960.60046070308"/>
    <m/>
    <n v="124960.60046070308"/>
    <m/>
    <n v="124960.60046070308"/>
    <m/>
    <n v="124960.60046070308"/>
    <n v="2499.2120092140617"/>
    <n v="127459.81246991715"/>
    <m/>
    <n v="127459.81246991715"/>
    <m/>
    <n v="127459.81246991715"/>
    <n v="1911.8971870487571"/>
    <n v="129371.7096569659"/>
    <n v="500"/>
    <n v="129871.7096569659"/>
    <m/>
    <n v="129871.7096569659"/>
    <n v="5194.8683862786365"/>
    <n v="135066.57804324455"/>
    <n v="17558.655145621793"/>
    <n v="152625.23318886635"/>
    <m/>
    <n v="152625.23318886635"/>
    <m/>
    <n v="152625.23318886635"/>
    <n v="152625.23000000001"/>
    <n v="3705800"/>
    <m/>
    <n v="0.02"/>
    <n v="74116"/>
    <n v="149575.12355848434"/>
    <n v="3631684"/>
    <x v="1"/>
    <m/>
    <n v="149575.12355848434"/>
    <n v="0"/>
    <n v="3631684"/>
    <m/>
    <s v="Скидка иногородним"/>
    <x v="0"/>
    <x v="0"/>
    <b v="1"/>
    <s v="АГ-005-Б-16-02-217"/>
    <m/>
    <s v="ДА"/>
    <s v="Черновая"/>
    <b v="1"/>
    <n v="3631684"/>
    <n v="0"/>
    <b v="1"/>
    <d v="2024-11-22T00:00:00"/>
    <s v="Никишов"/>
  </r>
  <r>
    <n v="218"/>
    <x v="1"/>
    <x v="15"/>
    <x v="2"/>
    <x v="1"/>
    <n v="14.6"/>
    <n v="13.12"/>
    <m/>
    <n v="27.72"/>
    <n v="14.35"/>
    <n v="3.68"/>
    <n v="2.57"/>
    <m/>
    <n v="7.95"/>
    <n v="2.65"/>
    <m/>
    <m/>
    <n v="2.65"/>
    <n v="58.92"/>
    <n v="56.27"/>
    <n v="57.6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n v="958.28704059430083"/>
    <n v="96786.991100024374"/>
    <m/>
    <n v="96786.991100024374"/>
    <m/>
    <n v="96786.991100024374"/>
    <m/>
    <n v="96786.991100024374"/>
    <m/>
    <n v="96786.991100024374"/>
    <m/>
    <n v="96786.991100024374"/>
    <m/>
    <n v="96786.991100024374"/>
    <m/>
    <n v="96786.991100024374"/>
    <m/>
    <n v="96786.991100024374"/>
    <m/>
    <n v="96786.991100024374"/>
    <m/>
    <n v="96786.991100024374"/>
    <n v="96786.99"/>
    <n v="5575000"/>
    <m/>
    <m/>
    <n v="0"/>
    <n v="96788.194444444438"/>
    <n v="5575000"/>
    <x v="3"/>
    <n v="7000"/>
    <n v="103788.19444444444"/>
    <n v="403200"/>
    <n v="5978200"/>
    <s v="Хит"/>
    <m/>
    <x v="0"/>
    <x v="0"/>
    <b v="1"/>
    <s v="АГ-005-Б-16-03-218"/>
    <m/>
    <s v="ДА"/>
    <s v="White Box"/>
    <b v="1"/>
    <n v="5978200"/>
    <n v="0"/>
    <b v="1"/>
    <d v="2024-06-24T00:00:00"/>
    <s v="Никишов"/>
  </r>
  <r>
    <n v="219"/>
    <x v="1"/>
    <x v="15"/>
    <x v="3"/>
    <x v="1"/>
    <n v="15.45"/>
    <n v="14.5"/>
    <m/>
    <n v="29.95"/>
    <n v="11.95"/>
    <n v="3.86"/>
    <n v="2.37"/>
    <m/>
    <n v="8.8699999999999992"/>
    <n v="2.62"/>
    <m/>
    <m/>
    <n v="2.62"/>
    <n v="59.62"/>
    <n v="57"/>
    <n v="58.31"/>
    <n v="81466.150500000003"/>
    <n v="4073.3075250000002"/>
    <n v="85539.458025"/>
    <n v="2566.1837407499997"/>
    <n v="88105.641765749999"/>
    <m/>
    <n v="88105.641765749999"/>
    <m/>
    <n v="88105.641765749999"/>
    <m/>
    <n v="88105.641765749999"/>
    <m/>
    <n v="88105.641765749999"/>
    <n v="881.05641765749999"/>
    <n v="88986.698183407498"/>
    <n v="4449.3349091703749"/>
    <n v="93436.033092577869"/>
    <m/>
    <n v="93436.033092577869"/>
    <n v="1868.7206618515575"/>
    <n v="95304.753754429432"/>
    <m/>
    <n v="95304.753754429432"/>
    <n v="1906.0950750885886"/>
    <n v="97210.848829518014"/>
    <m/>
    <n v="97210.848829518014"/>
    <m/>
    <n v="97210.848829518014"/>
    <n v="972.10848829518011"/>
    <n v="98182.957317813198"/>
    <m/>
    <n v="98182.957317813198"/>
    <m/>
    <n v="98182.957317813198"/>
    <n v="2454.5739329453299"/>
    <n v="100637.53125075853"/>
    <n v="500"/>
    <n v="101137.53125075853"/>
    <n v="4045.5012500303415"/>
    <n v="105183.03250078888"/>
    <n v="6310.9819500473322"/>
    <n v="111494.01445083621"/>
    <n v="14494.221878608709"/>
    <n v="125988.23632944492"/>
    <n v="35"/>
    <n v="126023.23632944492"/>
    <m/>
    <n v="126023.23632944492"/>
    <n v="126023.24"/>
    <n v="7348500"/>
    <m/>
    <m/>
    <n v="0"/>
    <n v="126024.69559252272"/>
    <n v="7348500"/>
    <x v="1"/>
    <m/>
    <n v="126024.69559252272"/>
    <n v="0"/>
    <n v="7348500"/>
    <m/>
    <m/>
    <x v="1"/>
    <x v="1"/>
    <b v="1"/>
    <s v="АГ-005-Б-16-04-219"/>
    <m/>
    <s v="ДА"/>
    <s v="Черновая"/>
    <b v="1"/>
    <n v="7348500"/>
    <n v="0"/>
    <b v="1"/>
    <s v=" "/>
    <s v=""/>
  </r>
  <r>
    <n v="220"/>
    <x v="1"/>
    <x v="15"/>
    <x v="4"/>
    <x v="0"/>
    <n v="12.06"/>
    <m/>
    <m/>
    <n v="12.06"/>
    <n v="13.18"/>
    <n v="4.1100000000000003"/>
    <m/>
    <m/>
    <n v="7.09"/>
    <n v="2.84"/>
    <m/>
    <m/>
    <n v="2.84"/>
    <n v="39.28"/>
    <n v="36.44"/>
    <n v="37.86"/>
    <n v="89223.75"/>
    <n v="4461.1875"/>
    <n v="93684.9375"/>
    <n v="2810.5481249999998"/>
    <n v="96495.485625000001"/>
    <n v="4342.2968531249999"/>
    <n v="100837.78247812499"/>
    <m/>
    <n v="100837.78247812499"/>
    <n v="5041.8891239062505"/>
    <n v="105879.67160203125"/>
    <m/>
    <n v="105879.67160203125"/>
    <n v="1058.7967160203125"/>
    <n v="106938.46831805156"/>
    <n v="5346.9234159025782"/>
    <n v="112285.39173395414"/>
    <m/>
    <n v="112285.39173395414"/>
    <n v="3368.5617520186238"/>
    <n v="115653.95348597276"/>
    <m/>
    <n v="115653.95348597276"/>
    <m/>
    <n v="115653.95348597276"/>
    <m/>
    <n v="115653.95348597276"/>
    <m/>
    <n v="115653.95348597276"/>
    <n v="1156.5395348597276"/>
    <n v="116810.49302083248"/>
    <n v="584.05246510416237"/>
    <n v="117394.54548593664"/>
    <m/>
    <n v="117394.54548593664"/>
    <n v="2934.8636371484163"/>
    <n v="120329.40912308506"/>
    <m/>
    <n v="120329.40912308506"/>
    <m/>
    <n v="120329.40912308506"/>
    <n v="6016.470456154253"/>
    <n v="126345.87957923932"/>
    <n v="16424.964345301112"/>
    <n v="142770.84392454044"/>
    <n v="35"/>
    <n v="142805.84392454044"/>
    <m/>
    <n v="142805.84392454044"/>
    <n v="142805.84"/>
    <n v="5406700"/>
    <m/>
    <m/>
    <n v="0"/>
    <n v="142807.71262546224"/>
    <n v="5406700"/>
    <x v="1"/>
    <m/>
    <n v="142807.71262546224"/>
    <n v="0"/>
    <n v="5406700"/>
    <m/>
    <m/>
    <x v="1"/>
    <x v="1"/>
    <b v="1"/>
    <s v="АГ-005-Б-16-05-220"/>
    <m/>
    <s v="ДА"/>
    <s v="Черновая"/>
    <b v="1"/>
    <n v="5406700"/>
    <n v="0"/>
    <b v="1"/>
    <s v=" "/>
    <s v=""/>
  </r>
  <r>
    <n v="221"/>
    <x v="1"/>
    <x v="15"/>
    <x v="5"/>
    <x v="3"/>
    <n v="17.89"/>
    <n v="17.2"/>
    <n v="14.31"/>
    <n v="49.400000000000006"/>
    <n v="13.39"/>
    <n v="4.2"/>
    <n v="2.0499999999999998"/>
    <m/>
    <n v="13.21"/>
    <n v="2.79"/>
    <n v="2.68"/>
    <m/>
    <n v="5.4700000000000006"/>
    <n v="87.72"/>
    <n v="82.25"/>
    <n v="84.99"/>
    <n v="73520.37000000001"/>
    <n v="3676.0185000000006"/>
    <n v="77196.388500000015"/>
    <n v="2315.8916550000004"/>
    <n v="79512.280155000015"/>
    <m/>
    <n v="79512.280155000015"/>
    <m/>
    <n v="79512.280155000015"/>
    <m/>
    <n v="79512.280155000015"/>
    <m/>
    <n v="79512.280155000015"/>
    <n v="795.12280155000019"/>
    <n v="80307.40295655001"/>
    <n v="4015.3701478275007"/>
    <n v="84322.773104377513"/>
    <m/>
    <n v="84322.773104377513"/>
    <n v="1686.4554620875504"/>
    <n v="86009.22856646507"/>
    <m/>
    <n v="86009.22856646507"/>
    <n v="1720.1845713293014"/>
    <n v="87729.41313779437"/>
    <m/>
    <n v="87729.41313779437"/>
    <n v="877.2941313779437"/>
    <n v="88606.707269172315"/>
    <m/>
    <n v="88606.707269172315"/>
    <n v="443.03353634586159"/>
    <n v="89049.740805518173"/>
    <n v="1780.9948161103634"/>
    <n v="90830.735621628541"/>
    <n v="1362.4610343244281"/>
    <n v="92193.196655952968"/>
    <m/>
    <n v="92193.196655952968"/>
    <n v="3687.7278662381186"/>
    <n v="95880.924522191082"/>
    <n v="4794.0462261095545"/>
    <n v="100674.97074830064"/>
    <n v="13087.746197279082"/>
    <n v="113762.71694557971"/>
    <n v="35"/>
    <n v="113797.71694557971"/>
    <m/>
    <n v="113797.71694557971"/>
    <n v="113797.72"/>
    <n v="9671700"/>
    <m/>
    <m/>
    <n v="0"/>
    <n v="113798.09389339923"/>
    <n v="9671700"/>
    <x v="3"/>
    <n v="10000"/>
    <n v="123798.09389339923"/>
    <n v="849900"/>
    <n v="10521600"/>
    <m/>
    <m/>
    <x v="1"/>
    <x v="1"/>
    <b v="1"/>
    <s v="АГ-005-Б-16-06-221"/>
    <m/>
    <s v="ДА"/>
    <s v="White Box"/>
    <b v="1"/>
    <n v="10521600"/>
    <n v="0"/>
    <b v="1"/>
    <s v=" "/>
    <s v=""/>
  </r>
  <r>
    <n v="222"/>
    <x v="1"/>
    <x v="15"/>
    <x v="6"/>
    <x v="0"/>
    <n v="17.89"/>
    <m/>
    <m/>
    <n v="17.89"/>
    <n v="13.04"/>
    <n v="3.9"/>
    <m/>
    <m/>
    <n v="6.12"/>
    <n v="2.65"/>
    <m/>
    <m/>
    <n v="2.65"/>
    <n v="43.6"/>
    <n v="40.950000000000003"/>
    <n v="42.28"/>
    <n v="85573.6875"/>
    <n v="4278.6843749999998"/>
    <n v="89852.371874999997"/>
    <n v="2695.5711562499996"/>
    <n v="92547.94303124999"/>
    <n v="2776.4382909374995"/>
    <n v="95324.381322187488"/>
    <m/>
    <n v="95324.381322187488"/>
    <n v="4766.2190661093746"/>
    <n v="100090.60038829687"/>
    <m/>
    <n v="100090.60038829687"/>
    <n v="1000.9060038829687"/>
    <n v="101091.50639217983"/>
    <n v="5054.5753196089918"/>
    <n v="106146.08171178882"/>
    <m/>
    <n v="106146.08171178882"/>
    <n v="3184.3824513536647"/>
    <n v="109330.46416314249"/>
    <m/>
    <n v="109330.46416314249"/>
    <m/>
    <n v="109330.46416314249"/>
    <m/>
    <n v="109330.46416314249"/>
    <n v="1093.3046416314248"/>
    <n v="110423.76880477392"/>
    <m/>
    <n v="110423.76880477392"/>
    <m/>
    <n v="110423.76880477392"/>
    <m/>
    <n v="110423.76880477392"/>
    <m/>
    <n v="110423.76880477392"/>
    <m/>
    <n v="110423.76880477392"/>
    <m/>
    <n v="110423.76880477392"/>
    <m/>
    <n v="110423.76880477392"/>
    <m/>
    <n v="110423.76880477392"/>
    <m/>
    <n v="110423.76880477392"/>
    <m/>
    <n v="110423.76880477392"/>
    <n v="110423.77"/>
    <n v="4668800"/>
    <m/>
    <m/>
    <n v="0"/>
    <n v="110425.73320719016"/>
    <n v="4668800"/>
    <x v="2"/>
    <n v="20000"/>
    <n v="130425.73320719016"/>
    <n v="845600"/>
    <n v="5514400"/>
    <m/>
    <m/>
    <x v="0"/>
    <x v="0"/>
    <b v="1"/>
    <s v="АГ-005-Б-16-07-222"/>
    <m/>
    <s v="ДА"/>
    <s v="Чистовая"/>
    <b v="1"/>
    <n v="5514400"/>
    <n v="0"/>
    <b v="1"/>
    <d v="2024-06-22T00:00:00"/>
    <s v="Дик"/>
  </r>
  <r>
    <n v="223"/>
    <x v="2"/>
    <x v="0"/>
    <x v="0"/>
    <x v="1"/>
    <n v="17.63"/>
    <n v="13.69"/>
    <m/>
    <n v="31.32"/>
    <n v="20.05"/>
    <n v="3.54"/>
    <n v="2.93"/>
    <m/>
    <n v="12.19"/>
    <n v="2.68"/>
    <m/>
    <m/>
    <n v="2.68"/>
    <n v="72.709999999999994"/>
    <n v="70.03"/>
    <n v="71.37"/>
    <n v="77219.100000000006"/>
    <n v="3860.9550000000004"/>
    <n v="81080.055000000008"/>
    <n v="2432.4016500000002"/>
    <n v="83512.456650000007"/>
    <m/>
    <n v="83512.456650000007"/>
    <m/>
    <n v="83512.456650000007"/>
    <m/>
    <n v="83512.456650000007"/>
    <n v="4059"/>
    <n v="87571.456650000007"/>
    <n v="875.71456650000005"/>
    <n v="88447.171216500006"/>
    <n v="4422.3585608250005"/>
    <n v="92869.529777325006"/>
    <n v="7130.4702226749941"/>
    <n v="100000"/>
    <n v="2000"/>
    <n v="102000"/>
    <m/>
    <n v="102000"/>
    <n v="2040"/>
    <n v="104040"/>
    <m/>
    <n v="104040"/>
    <m/>
    <n v="104040"/>
    <m/>
    <n v="104040"/>
    <m/>
    <n v="104040"/>
    <m/>
    <n v="104040"/>
    <n v="1560.6"/>
    <n v="105600.6"/>
    <m/>
    <n v="105600.6"/>
    <m/>
    <n v="105600.6"/>
    <n v="7392.0420000000013"/>
    <n v="112992.64200000001"/>
    <n v="14689.043460000001"/>
    <n v="127681.68546000001"/>
    <n v="35"/>
    <n v="127716.68546000001"/>
    <m/>
    <n v="127716.68546000001"/>
    <n v="127716.69"/>
    <n v="9115200"/>
    <m/>
    <m/>
    <n v="0"/>
    <n v="127717.52837326608"/>
    <n v="9115200"/>
    <x v="1"/>
    <m/>
    <n v="127717.52837326608"/>
    <n v="0"/>
    <n v="9115200"/>
    <s v="Антихит"/>
    <s v="февраль"/>
    <x v="1"/>
    <x v="1"/>
    <b v="1"/>
    <s v="АГ-005-В-01-01-223"/>
    <m/>
    <s v="ДА"/>
    <s v="Черновая"/>
    <b v="1"/>
    <n v="9115200"/>
    <n v="0"/>
    <b v="1"/>
    <s v=" "/>
    <s v=""/>
  </r>
  <r>
    <n v="224"/>
    <x v="2"/>
    <x v="0"/>
    <x v="1"/>
    <x v="2"/>
    <n v="7.18"/>
    <m/>
    <m/>
    <n v="7.18"/>
    <n v="5.17"/>
    <n v="3.72"/>
    <m/>
    <m/>
    <n v="6.97"/>
    <n v="2.97"/>
    <m/>
    <m/>
    <n v="2.97"/>
    <n v="26.01"/>
    <n v="23.04"/>
    <n v="24.53"/>
    <n v="99865.71"/>
    <n v="4993.2855000000009"/>
    <n v="104858.9955"/>
    <m/>
    <n v="104858.9955"/>
    <m/>
    <n v="104858.9955"/>
    <m/>
    <n v="104858.9955"/>
    <m/>
    <n v="104858.9955"/>
    <m/>
    <n v="104858.9955"/>
    <m/>
    <n v="104858.9955"/>
    <m/>
    <n v="104858.9955"/>
    <m/>
    <n v="104858.9955"/>
    <m/>
    <n v="104858.9955"/>
    <m/>
    <n v="104858.9955"/>
    <m/>
    <n v="104858.9955"/>
    <m/>
    <n v="104858.9955"/>
    <m/>
    <n v="104858.9955"/>
    <m/>
    <n v="104858.9955"/>
    <m/>
    <n v="104858.9955"/>
    <m/>
    <n v="104858.9955"/>
    <m/>
    <n v="104858.9955"/>
    <m/>
    <n v="104858.9955"/>
    <m/>
    <n v="104858.9955"/>
    <m/>
    <n v="104858.9955"/>
    <m/>
    <n v="104858.9955"/>
    <m/>
    <n v="104858.9955"/>
    <m/>
    <n v="104858.9955"/>
    <n v="104859"/>
    <n v="2572191.27"/>
    <m/>
    <m/>
    <n v="0"/>
    <n v="104859"/>
    <n v="2572191.27"/>
    <x v="1"/>
    <m/>
    <n v="104859"/>
    <n v="0"/>
    <n v="2572191.27"/>
    <m/>
    <m/>
    <x v="0"/>
    <x v="0"/>
    <b v="1"/>
    <s v="АГ-005-В-01-02-224"/>
    <m/>
    <s v="НЕТ"/>
    <s v="Черновая"/>
    <b v="1"/>
    <n v="2572191.27"/>
    <n v="0"/>
    <b v="1"/>
    <d v="2023-09-19T00:00:00"/>
    <s v="Дик"/>
  </r>
  <r>
    <n v="225"/>
    <x v="2"/>
    <x v="0"/>
    <x v="2"/>
    <x v="1"/>
    <n v="13.69"/>
    <n v="10.16"/>
    <m/>
    <n v="23.85"/>
    <n v="18.71"/>
    <n v="3.49"/>
    <n v="2.11"/>
    <m/>
    <n v="7.09"/>
    <n v="2.65"/>
    <m/>
    <m/>
    <n v="2.65"/>
    <n v="57.9"/>
    <n v="55.25"/>
    <n v="56.58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n v="7892.4413115820062"/>
    <n v="100000"/>
    <n v="2000"/>
    <n v="102000"/>
    <m/>
    <n v="102000"/>
    <n v="2040"/>
    <n v="104040"/>
    <n v="150"/>
    <n v="104190"/>
    <n v="1041.9000000000001"/>
    <n v="105231.9"/>
    <m/>
    <n v="105231.9"/>
    <m/>
    <n v="105231.9"/>
    <m/>
    <n v="105231.9"/>
    <n v="2630.7975000000001"/>
    <n v="107862.69749999999"/>
    <n v="500"/>
    <n v="108362.69749999999"/>
    <n v="4334.5078999999996"/>
    <n v="112697.20539999999"/>
    <n v="6761.8323239999991"/>
    <n v="119459.03772399999"/>
    <n v="15529.67490412"/>
    <n v="134988.71262812"/>
    <n v="35"/>
    <n v="135023.71262812"/>
    <n v="1350.2371262812001"/>
    <n v="136373.9497544012"/>
    <n v="136373.95000000001"/>
    <n v="7716100"/>
    <m/>
    <m/>
    <n v="0"/>
    <n v="136375.04418522445"/>
    <n v="7716100"/>
    <x v="1"/>
    <m/>
    <n v="136375.04418522445"/>
    <n v="0"/>
    <n v="7716099.9999999991"/>
    <s v="Хит"/>
    <m/>
    <x v="1"/>
    <x v="1"/>
    <b v="1"/>
    <s v="АГ-005-В-01-03-225"/>
    <m/>
    <s v="ДА"/>
    <s v="Черновая"/>
    <b v="1"/>
    <n v="7716100"/>
    <n v="9.3132257461547852E-10"/>
    <b v="1"/>
    <s v=" "/>
    <s v=""/>
  </r>
  <r>
    <n v="226"/>
    <x v="2"/>
    <x v="0"/>
    <x v="3"/>
    <x v="1"/>
    <n v="12.54"/>
    <n v="9.9"/>
    <m/>
    <n v="22.439999999999998"/>
    <n v="12.74"/>
    <n v="4.05"/>
    <m/>
    <m/>
    <n v="7.09"/>
    <n v="2.84"/>
    <m/>
    <m/>
    <n v="2.84"/>
    <n v="49.16"/>
    <n v="46.32"/>
    <n v="47.74"/>
    <n v="86485.392000000007"/>
    <n v="4324.2696000000005"/>
    <n v="90809.661600000007"/>
    <n v="2724.2898479999999"/>
    <n v="93533.951448000007"/>
    <m/>
    <n v="93533.951448000007"/>
    <m/>
    <n v="93533.951448000007"/>
    <m/>
    <n v="93533.951448000007"/>
    <m/>
    <n v="93533.951448000007"/>
    <n v="935.33951448000005"/>
    <n v="94469.290962480009"/>
    <n v="4723.4645481240004"/>
    <n v="99192.755510604009"/>
    <n v="10807.244489395991"/>
    <n v="110000"/>
    <n v="2200"/>
    <n v="112200"/>
    <m/>
    <n v="112200"/>
    <n v="2244"/>
    <n v="114444"/>
    <m/>
    <n v="114444"/>
    <m/>
    <n v="114444"/>
    <m/>
    <n v="114444"/>
    <m/>
    <n v="114444"/>
    <m/>
    <n v="114444"/>
    <m/>
    <n v="114444"/>
    <m/>
    <n v="114444"/>
    <m/>
    <n v="114444"/>
    <m/>
    <n v="114444"/>
    <m/>
    <n v="114444"/>
    <m/>
    <n v="114444"/>
    <m/>
    <n v="114444"/>
    <n v="114444"/>
    <n v="5463600"/>
    <m/>
    <n v="0.03"/>
    <n v="163908"/>
    <n v="111011.56263091747"/>
    <n v="5299692"/>
    <x v="1"/>
    <m/>
    <n v="111011.56263091747"/>
    <n v="0"/>
    <n v="5299692"/>
    <m/>
    <s v="Ветеран боевых действий"/>
    <x v="0"/>
    <x v="0"/>
    <b v="1"/>
    <s v="АГ-005-В-01-04-226"/>
    <m/>
    <s v="ДА"/>
    <s v="Черновая"/>
    <b v="1"/>
    <n v="5299692"/>
    <n v="0"/>
    <b v="1"/>
    <d v="2024-04-22T00:00:00"/>
    <s v="Голенко"/>
  </r>
  <r>
    <n v="227"/>
    <x v="2"/>
    <x v="0"/>
    <x v="4"/>
    <x v="3"/>
    <n v="17.2"/>
    <n v="14.64"/>
    <n v="14.34"/>
    <n v="46.18"/>
    <n v="13.15"/>
    <n v="4.03"/>
    <n v="1.76"/>
    <m/>
    <n v="13.11"/>
    <n v="2.79"/>
    <n v="2.68"/>
    <m/>
    <n v="5.4700000000000006"/>
    <n v="83.7"/>
    <n v="78.23"/>
    <n v="80.97"/>
    <n v="74234.160000000018"/>
    <n v="3711.708000000001"/>
    <n v="77945.868000000017"/>
    <n v="2338.3760400000006"/>
    <n v="80284.24404000002"/>
    <m/>
    <n v="80284.24404000002"/>
    <m/>
    <n v="80284.24404000002"/>
    <m/>
    <n v="80284.24404000002"/>
    <m/>
    <n v="80284.24404000002"/>
    <n v="802.84244040000021"/>
    <n v="81087.086480400016"/>
    <n v="4054.3543240200011"/>
    <n v="85141.44080442001"/>
    <n v="4858.55919557999"/>
    <n v="90000"/>
    <n v="1800"/>
    <n v="91800"/>
    <m/>
    <n v="91800"/>
    <n v="1836"/>
    <n v="93636"/>
    <m/>
    <n v="93636"/>
    <m/>
    <n v="93636"/>
    <m/>
    <n v="93636"/>
    <m/>
    <n v="93636"/>
    <m/>
    <n v="93636"/>
    <m/>
    <n v="93636"/>
    <m/>
    <n v="93636"/>
    <m/>
    <n v="93636"/>
    <m/>
    <n v="93636"/>
    <m/>
    <n v="93636"/>
    <m/>
    <n v="93636"/>
    <m/>
    <n v="93636"/>
    <n v="93636"/>
    <n v="7581800"/>
    <n v="90000"/>
    <m/>
    <n v="90000"/>
    <n v="92525.626775348894"/>
    <n v="7491800"/>
    <x v="1"/>
    <m/>
    <n v="92525.626775348894"/>
    <n v="0"/>
    <n v="7491800"/>
    <m/>
    <s v="Поехали в Амград"/>
    <x v="0"/>
    <x v="0"/>
    <b v="1"/>
    <s v="АГ-005-В-01-05-227"/>
    <m/>
    <s v="ДА"/>
    <s v="Черновая"/>
    <b v="1"/>
    <n v="7491800"/>
    <n v="0"/>
    <b v="1"/>
    <d v="2024-04-20T00:00:00"/>
    <s v="Никишов"/>
  </r>
  <r>
    <n v="228"/>
    <x v="2"/>
    <x v="0"/>
    <x v="5"/>
    <x v="0"/>
    <n v="14.3"/>
    <m/>
    <m/>
    <n v="14.3"/>
    <n v="8.43"/>
    <n v="3.79"/>
    <m/>
    <m/>
    <n v="6.92"/>
    <n v="2.64"/>
    <m/>
    <m/>
    <n v="2.64"/>
    <n v="36.08"/>
    <n v="33.44"/>
    <n v="34.76"/>
    <n v="88007.0625"/>
    <m/>
    <n v="88007.0625"/>
    <m/>
    <n v="88007.0625"/>
    <m/>
    <n v="88007.0625"/>
    <m/>
    <n v="88007.0625"/>
    <m/>
    <n v="88007.0625"/>
    <m/>
    <n v="88007.0625"/>
    <m/>
    <n v="88007.0625"/>
    <m/>
    <n v="88007.0625"/>
    <m/>
    <n v="88007.0625"/>
    <m/>
    <n v="88007.0625"/>
    <m/>
    <n v="88007.0625"/>
    <m/>
    <n v="88007.0625"/>
    <m/>
    <n v="88007.0625"/>
    <m/>
    <n v="88007.0625"/>
    <m/>
    <n v="88007.0625"/>
    <m/>
    <n v="88007.0625"/>
    <m/>
    <n v="88007.0625"/>
    <m/>
    <n v="88007.0625"/>
    <m/>
    <n v="88007.0625"/>
    <m/>
    <n v="88007.0625"/>
    <m/>
    <n v="88007.0625"/>
    <m/>
    <n v="88007.0625"/>
    <m/>
    <n v="88007.0625"/>
    <m/>
    <n v="88007.0625"/>
    <n v="88007.06"/>
    <n v="3059125.41"/>
    <m/>
    <n v="0.02"/>
    <n v="61182.508200000004"/>
    <n v="86246.918872266979"/>
    <n v="2997942.9"/>
    <x v="2"/>
    <n v="15500"/>
    <n v="101746.91887226698"/>
    <n v="538780"/>
    <n v="3536722.9"/>
    <s v="Хит"/>
    <s v="Гордость России"/>
    <x v="0"/>
    <x v="0"/>
    <b v="1"/>
    <s v="АГ-005-В-01-06-228"/>
    <m/>
    <s v="НЕТ"/>
    <s v="Чистовая"/>
    <b v="1"/>
    <n v="3536722.9"/>
    <n v="0"/>
    <b v="1"/>
    <d v="2023-09-20T00:00:00"/>
    <s v="Гайганова"/>
  </r>
  <r>
    <n v="229"/>
    <x v="2"/>
    <x v="1"/>
    <x v="0"/>
    <x v="1"/>
    <n v="17.63"/>
    <n v="13.69"/>
    <m/>
    <n v="31.32"/>
    <n v="20.05"/>
    <n v="3.54"/>
    <n v="2.93"/>
    <m/>
    <n v="12.19"/>
    <n v="4.6500000000000004"/>
    <n v="2.68"/>
    <m/>
    <n v="7.33"/>
    <n v="77.36"/>
    <n v="70.03"/>
    <n v="73.7"/>
    <n v="79535.67300000001"/>
    <n v="3976.7836500000008"/>
    <n v="83512.456650000007"/>
    <n v="2505.3736994999999"/>
    <n v="86017.8303495"/>
    <m/>
    <n v="86017.8303495"/>
    <m/>
    <n v="86017.8303495"/>
    <m/>
    <n v="86017.8303495"/>
    <m/>
    <n v="86017.8303495"/>
    <n v="860.17830349500002"/>
    <n v="86878.008652995006"/>
    <n v="4343.9004326497507"/>
    <n v="91221.909085644758"/>
    <m/>
    <n v="91221.909085644758"/>
    <n v="1824.4381817128951"/>
    <n v="93046.347267357647"/>
    <m/>
    <n v="93046.347267357647"/>
    <n v="1860.9269453471529"/>
    <n v="94907.274212704797"/>
    <m/>
    <n v="94907.274212704797"/>
    <m/>
    <n v="94907.274212704797"/>
    <m/>
    <n v="94907.274212704797"/>
    <m/>
    <n v="94907.274212704797"/>
    <m/>
    <n v="94907.274212704797"/>
    <n v="474.53637106352397"/>
    <n v="95381.810583768325"/>
    <m/>
    <n v="95381.810583768325"/>
    <m/>
    <n v="95381.810583768325"/>
    <n v="7630.5448467014658"/>
    <n v="103012.35543046979"/>
    <n v="13391.606205961074"/>
    <n v="116403.96163643086"/>
    <n v="35"/>
    <n v="116438.96163643086"/>
    <m/>
    <n v="116438.96163643086"/>
    <n v="116438.96"/>
    <n v="8581600"/>
    <m/>
    <m/>
    <n v="0"/>
    <n v="116439.62008141112"/>
    <n v="8581600"/>
    <x v="3"/>
    <n v="10000"/>
    <n v="126439.62008141112"/>
    <n v="737000"/>
    <n v="9318600"/>
    <s v="Антихит"/>
    <m/>
    <x v="1"/>
    <x v="1"/>
    <b v="1"/>
    <s v="АГ-005-В-02-01-229"/>
    <m/>
    <s v="ДА"/>
    <s v="White Box"/>
    <b v="1"/>
    <n v="9318600"/>
    <n v="0"/>
    <b v="1"/>
    <s v=" "/>
    <s v=""/>
  </r>
  <r>
    <n v="230"/>
    <x v="2"/>
    <x v="1"/>
    <x v="1"/>
    <x v="2"/>
    <n v="7.18"/>
    <m/>
    <m/>
    <n v="7.18"/>
    <n v="5.17"/>
    <n v="3.72"/>
    <m/>
    <m/>
    <n v="6.97"/>
    <n v="2.97"/>
    <m/>
    <m/>
    <n v="2.97"/>
    <n v="26.01"/>
    <n v="23.04"/>
    <n v="24.53"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n v="91981.58"/>
    <n v="2256308.16"/>
    <m/>
    <m/>
    <n v="0"/>
    <n v="91981.58010599266"/>
    <n v="2256308.16"/>
    <x v="2"/>
    <n v="15500"/>
    <n v="107481.58010599266"/>
    <n v="380215"/>
    <n v="2636523.16"/>
    <m/>
    <m/>
    <x v="0"/>
    <x v="0"/>
    <b v="1"/>
    <s v="АГ-005-В-02-02-230"/>
    <m/>
    <s v="НЕТ"/>
    <s v="Чистовая"/>
    <b v="1"/>
    <n v="2636523.16"/>
    <n v="0"/>
    <b v="1"/>
    <d v="2023-09-19T00:00:00"/>
    <s v="Калачева"/>
  </r>
  <r>
    <n v="231"/>
    <x v="2"/>
    <x v="1"/>
    <x v="2"/>
    <x v="1"/>
    <n v="13.69"/>
    <n v="10.16"/>
    <m/>
    <n v="23.85"/>
    <n v="18.71"/>
    <n v="3.49"/>
    <n v="2.11"/>
    <m/>
    <n v="7.09"/>
    <n v="2.65"/>
    <m/>
    <m/>
    <n v="2.65"/>
    <n v="57.9"/>
    <n v="55.25"/>
    <n v="56.58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n v="150"/>
    <n v="95978.704059430078"/>
    <n v="959.78704059430083"/>
    <n v="96938.491100024374"/>
    <m/>
    <n v="96938.491100024374"/>
    <m/>
    <n v="96938.491100024374"/>
    <m/>
    <n v="96938.491100024374"/>
    <n v="2423.4622775006096"/>
    <n v="99361.953377524987"/>
    <n v="500"/>
    <n v="99861.953377524987"/>
    <n v="3994.4781351009997"/>
    <n v="103856.43151262599"/>
    <n v="6231.3858907575595"/>
    <n v="110087.81740338355"/>
    <n v="14311.416262439863"/>
    <n v="124399.23366582341"/>
    <n v="35"/>
    <n v="124434.23366582341"/>
    <n v="1244.3423366582342"/>
    <n v="125678.57600248164"/>
    <n v="125678.58"/>
    <n v="7110900"/>
    <m/>
    <m/>
    <n v="0"/>
    <n v="125678.68504772005"/>
    <n v="7110900"/>
    <x v="3"/>
    <n v="10000"/>
    <n v="135678.68504772004"/>
    <n v="565799.99999999907"/>
    <n v="7676699.9999999991"/>
    <s v="Хит"/>
    <m/>
    <x v="1"/>
    <x v="1"/>
    <b v="1"/>
    <s v="АГ-005-В-02-03-231"/>
    <m/>
    <s v="ДА"/>
    <s v="White Box"/>
    <b v="1"/>
    <n v="7676700"/>
    <n v="9.3132257461547852E-10"/>
    <b v="1"/>
    <s v=" "/>
    <s v=""/>
  </r>
  <r>
    <n v="232"/>
    <x v="2"/>
    <x v="1"/>
    <x v="3"/>
    <x v="0"/>
    <n v="23.04"/>
    <m/>
    <m/>
    <n v="23.04"/>
    <n v="14.85"/>
    <n v="4.59"/>
    <n v="3.72"/>
    <m/>
    <n v="11.41"/>
    <n v="4.1399999999999997"/>
    <m/>
    <m/>
    <n v="4.1399999999999997"/>
    <n v="61.75"/>
    <n v="57.61"/>
    <n v="59.68"/>
    <n v="77868"/>
    <n v="3893.4"/>
    <n v="81761.399999999994"/>
    <n v="2452.8419999999996"/>
    <n v="84214.241999999998"/>
    <n v="842.14242000000002"/>
    <n v="85056.384420000002"/>
    <m/>
    <n v="85056.384420000002"/>
    <m/>
    <n v="85056.384420000002"/>
    <m/>
    <n v="85056.384420000002"/>
    <m/>
    <n v="85056.384420000002"/>
    <m/>
    <n v="85056.384420000002"/>
    <m/>
    <n v="85056.384420000002"/>
    <m/>
    <n v="85056.384420000002"/>
    <m/>
    <n v="85056.384420000002"/>
    <m/>
    <n v="85056.384420000002"/>
    <m/>
    <n v="85056.384420000002"/>
    <m/>
    <n v="85056.384420000002"/>
    <m/>
    <n v="85056.384420000002"/>
    <m/>
    <n v="85056.384420000002"/>
    <m/>
    <n v="85056.384420000002"/>
    <m/>
    <n v="85056.384420000002"/>
    <m/>
    <n v="85056.384420000002"/>
    <m/>
    <n v="85056.384420000002"/>
    <m/>
    <n v="85056.384420000002"/>
    <m/>
    <n v="85056.384420000002"/>
    <m/>
    <n v="85056.384420000002"/>
    <m/>
    <n v="85056.384420000002"/>
    <n v="85056.38"/>
    <n v="5076164.76"/>
    <m/>
    <m/>
    <n v="0"/>
    <n v="85056.380026809653"/>
    <n v="5076164.76"/>
    <x v="1"/>
    <m/>
    <n v="85056.380026809653"/>
    <n v="0"/>
    <n v="5076164.76"/>
    <s v="МГН"/>
    <m/>
    <x v="0"/>
    <x v="0"/>
    <b v="1"/>
    <s v="АГ-005-В-02-04-232"/>
    <m/>
    <s v="НЕТ"/>
    <s v="Черновая"/>
    <b v="1"/>
    <n v="5076164.76"/>
    <n v="0"/>
    <b v="1"/>
    <d v="2023-10-17T00:00:00"/>
    <s v="Полехович"/>
  </r>
  <r>
    <n v="233"/>
    <x v="2"/>
    <x v="1"/>
    <x v="4"/>
    <x v="0"/>
    <n v="12.54"/>
    <m/>
    <m/>
    <n v="12.54"/>
    <n v="12.74"/>
    <n v="4.0199999999999996"/>
    <m/>
    <m/>
    <n v="7.09"/>
    <n v="2.84"/>
    <m/>
    <m/>
    <n v="2.84"/>
    <n v="39.229999999999997"/>
    <n v="36.39"/>
    <n v="37.81"/>
    <n v="89223.75"/>
    <n v="4461.1875"/>
    <n v="93684.9375"/>
    <n v="2810.5481249999998"/>
    <n v="96495.485625000001"/>
    <n v="4342.2968531249999"/>
    <n v="100837.78247812499"/>
    <m/>
    <n v="100837.78247812499"/>
    <n v="5041.8891239062505"/>
    <n v="105879.67160203125"/>
    <n v="-620"/>
    <n v="105259.67160203125"/>
    <n v="1052.5967160203124"/>
    <n v="106312.26831805156"/>
    <n v="5315.6134159025787"/>
    <n v="111627.88173395414"/>
    <m/>
    <n v="111627.88173395414"/>
    <n v="3348.8364520186242"/>
    <n v="114976.71818597277"/>
    <m/>
    <n v="114976.71818597277"/>
    <m/>
    <n v="114976.71818597277"/>
    <m/>
    <n v="114976.71818597277"/>
    <n v="1149.7671818597278"/>
    <n v="116126.4853678325"/>
    <m/>
    <n v="116126.4853678325"/>
    <m/>
    <n v="116126.4853678325"/>
    <m/>
    <n v="116126.4853678325"/>
    <m/>
    <n v="116126.4853678325"/>
    <m/>
    <n v="116126.4853678325"/>
    <m/>
    <n v="116126.4853678325"/>
    <m/>
    <n v="116126.4853678325"/>
    <m/>
    <n v="116126.4853678325"/>
    <m/>
    <n v="116126.4853678325"/>
    <m/>
    <n v="116126.4853678325"/>
    <n v="116126.49"/>
    <n v="4390800"/>
    <m/>
    <m/>
    <n v="0"/>
    <n v="116128.00846336948"/>
    <n v="4390800"/>
    <x v="3"/>
    <n v="7000"/>
    <n v="123128.00846336948"/>
    <n v="264670"/>
    <n v="4655470"/>
    <m/>
    <m/>
    <x v="0"/>
    <x v="0"/>
    <b v="1"/>
    <s v="АГ-005-В-02-05-233"/>
    <m/>
    <s v="ДА"/>
    <s v="White Box"/>
    <b v="1"/>
    <n v="4655470"/>
    <n v="0"/>
    <b v="1"/>
    <d v="2024-06-27T00:00:00"/>
    <s v="Дик"/>
  </r>
  <r>
    <n v="234"/>
    <x v="2"/>
    <x v="1"/>
    <x v="5"/>
    <x v="3"/>
    <n v="17.2"/>
    <n v="14.64"/>
    <n v="14.34"/>
    <n v="46.18"/>
    <n v="13.15"/>
    <n v="4.03"/>
    <n v="1.76"/>
    <m/>
    <n v="13.11"/>
    <n v="2.79"/>
    <n v="2.68"/>
    <m/>
    <n v="5.4700000000000006"/>
    <n v="83.7"/>
    <n v="78.23"/>
    <n v="80.97"/>
    <n v="73520.37000000001"/>
    <n v="3676.0185000000006"/>
    <n v="77196.388500000015"/>
    <n v="2315.8916550000004"/>
    <n v="79512.280155000015"/>
    <m/>
    <n v="79512.280155000015"/>
    <m/>
    <n v="79512.280155000015"/>
    <m/>
    <n v="79512.280155000015"/>
    <m/>
    <n v="79512.280155000015"/>
    <n v="795.12280155000019"/>
    <n v="80307.40295655001"/>
    <n v="4015.3701478275007"/>
    <n v="84322.773104377513"/>
    <m/>
    <n v="84322.773104377513"/>
    <n v="1686.4554620875504"/>
    <n v="86009.22856646507"/>
    <m/>
    <n v="86009.22856646507"/>
    <n v="1720.1845713293014"/>
    <n v="87729.41313779437"/>
    <m/>
    <n v="87729.41313779437"/>
    <n v="877.2941313779437"/>
    <n v="88606.707269172315"/>
    <m/>
    <n v="88606.707269172315"/>
    <n v="443.03353634586159"/>
    <n v="89049.740805518173"/>
    <n v="1780.9948161103634"/>
    <n v="90830.735621628541"/>
    <n v="1362.4610343244281"/>
    <n v="92193.196655952968"/>
    <m/>
    <n v="92193.196655952968"/>
    <m/>
    <n v="92193.196655952968"/>
    <m/>
    <n v="92193.196655952968"/>
    <m/>
    <n v="92193.196655952968"/>
    <m/>
    <n v="92193.196655952968"/>
    <m/>
    <n v="92193.196655952968"/>
    <n v="92193.2"/>
    <n v="7464900"/>
    <m/>
    <n v="0.03"/>
    <n v="223947"/>
    <n v="89427.602815857725"/>
    <n v="7240953"/>
    <x v="3"/>
    <n v="7000"/>
    <n v="96427.602815857725"/>
    <n v="566790"/>
    <n v="7807743"/>
    <m/>
    <s v="Ветеран боевых действий"/>
    <x v="0"/>
    <x v="0"/>
    <b v="1"/>
    <s v="АГ-005-В-02-06-234"/>
    <m/>
    <s v="ДА"/>
    <s v="White Box"/>
    <b v="1"/>
    <n v="7807743"/>
    <n v="0"/>
    <b v="1"/>
    <d v="2024-09-28T00:00:00"/>
    <s v="Никишов"/>
  </r>
  <r>
    <n v="235"/>
    <x v="2"/>
    <x v="1"/>
    <x v="6"/>
    <x v="0"/>
    <n v="14.3"/>
    <m/>
    <m/>
    <n v="14.3"/>
    <n v="9.2799999999999994"/>
    <n v="3.79"/>
    <m/>
    <m/>
    <n v="6.08"/>
    <n v="2.71"/>
    <m/>
    <m/>
    <n v="2.71"/>
    <n v="36.159999999999997"/>
    <n v="33.450000000000003"/>
    <n v="34.81"/>
    <n v="84762.5625"/>
    <n v="4238.1281250000002"/>
    <n v="89000.690625000003"/>
    <n v="2670.02071875"/>
    <n v="91670.711343750008"/>
    <n v="12833.899588125003"/>
    <n v="104504.61093187501"/>
    <m/>
    <n v="104504.61093187501"/>
    <m/>
    <n v="104504.61093187501"/>
    <m/>
    <n v="104504.61093187501"/>
    <m/>
    <n v="104504.61093187501"/>
    <m/>
    <n v="104504.61093187501"/>
    <m/>
    <n v="104504.61093187501"/>
    <m/>
    <n v="104504.61093187501"/>
    <m/>
    <n v="104504.61093187501"/>
    <m/>
    <n v="104504.61093187501"/>
    <m/>
    <n v="104504.61093187501"/>
    <m/>
    <n v="104504.61093187501"/>
    <m/>
    <n v="104504.61093187501"/>
    <m/>
    <n v="104504.61093187501"/>
    <m/>
    <n v="104504.61093187501"/>
    <m/>
    <n v="104504.61093187501"/>
    <m/>
    <n v="104504.61093187501"/>
    <m/>
    <n v="104504.61093187501"/>
    <m/>
    <n v="104504.61093187501"/>
    <m/>
    <n v="104504.61093187501"/>
    <m/>
    <n v="104504.61093187501"/>
    <m/>
    <n v="104504.61093187501"/>
    <n v="104504.61"/>
    <n v="3637805.47"/>
    <m/>
    <m/>
    <n v="0"/>
    <n v="104504.60988221776"/>
    <n v="3637805.47"/>
    <x v="1"/>
    <m/>
    <n v="104504.60988221776"/>
    <n v="0"/>
    <n v="3637805.47"/>
    <s v="Хит"/>
    <m/>
    <x v="0"/>
    <x v="0"/>
    <b v="1"/>
    <s v="АГ-005-В-02-07-235"/>
    <m/>
    <s v="НЕТ"/>
    <s v="Черновая"/>
    <b v="1"/>
    <n v="3637805.47"/>
    <n v="0"/>
    <b v="1"/>
    <d v="2023-11-03T00:00:00"/>
    <s v="Дик"/>
  </r>
  <r>
    <n v="236"/>
    <x v="2"/>
    <x v="2"/>
    <x v="0"/>
    <x v="1"/>
    <n v="17.63"/>
    <n v="13.69"/>
    <m/>
    <n v="31.32"/>
    <n v="20.05"/>
    <n v="3.54"/>
    <n v="2.93"/>
    <m/>
    <n v="12.19"/>
    <n v="4.6500000000000004"/>
    <n v="2.68"/>
    <m/>
    <n v="7.33"/>
    <n v="77.36"/>
    <n v="70.03"/>
    <n v="73.7"/>
    <n v="79535.67300000001"/>
    <n v="3976.7836500000008"/>
    <n v="83512.456650000007"/>
    <n v="2505.3736994999999"/>
    <n v="86017.8303495"/>
    <m/>
    <n v="86017.8303495"/>
    <m/>
    <n v="86017.8303495"/>
    <m/>
    <n v="86017.8303495"/>
    <m/>
    <n v="86017.8303495"/>
    <n v="860.17830349500002"/>
    <n v="86878.008652995006"/>
    <n v="4343.9004326497507"/>
    <n v="91221.909085644758"/>
    <m/>
    <n v="91221.909085644758"/>
    <n v="1824.4381817128951"/>
    <n v="93046.347267357647"/>
    <m/>
    <n v="93046.347267357647"/>
    <n v="1860.9269453471529"/>
    <n v="94907.274212704797"/>
    <m/>
    <n v="94907.274212704797"/>
    <m/>
    <n v="94907.274212704797"/>
    <m/>
    <n v="94907.274212704797"/>
    <m/>
    <n v="94907.274212704797"/>
    <m/>
    <n v="94907.274212704797"/>
    <n v="474.53637106352397"/>
    <n v="95381.810583768325"/>
    <m/>
    <n v="95381.810583768325"/>
    <m/>
    <n v="95381.810583768325"/>
    <n v="7630.5448467014658"/>
    <n v="103012.35543046979"/>
    <n v="13391.606205961074"/>
    <n v="116403.96163643086"/>
    <n v="35"/>
    <n v="116438.96163643086"/>
    <m/>
    <n v="116438.96163643086"/>
    <n v="116438.96"/>
    <n v="8581600"/>
    <m/>
    <m/>
    <n v="0"/>
    <n v="116439.62008141112"/>
    <n v="8581600"/>
    <x v="3"/>
    <n v="10000"/>
    <n v="126439.62008141112"/>
    <n v="737000"/>
    <n v="9318600"/>
    <s v="Антихит"/>
    <m/>
    <x v="4"/>
    <x v="4"/>
    <b v="1"/>
    <s v="АГ-005-В-03-01-236"/>
    <m/>
    <s v="ДА"/>
    <s v="White Box"/>
    <b v="1"/>
    <n v="9318600"/>
    <n v="0"/>
    <b v="1"/>
    <s v=" "/>
    <s v=""/>
  </r>
  <r>
    <n v="237"/>
    <x v="2"/>
    <x v="2"/>
    <x v="1"/>
    <x v="2"/>
    <n v="7.18"/>
    <m/>
    <m/>
    <n v="7.18"/>
    <n v="5.17"/>
    <n v="3.72"/>
    <m/>
    <m/>
    <n v="6.97"/>
    <n v="2.97"/>
    <m/>
    <m/>
    <n v="2.97"/>
    <n v="26.01"/>
    <n v="23.04"/>
    <n v="24.53"/>
    <n v="91981.574999999997"/>
    <n v="4599.0787499999997"/>
    <n v="96580.653749999998"/>
    <m/>
    <n v="96580.653749999998"/>
    <m/>
    <n v="96580.653749999998"/>
    <m/>
    <n v="96580.653749999998"/>
    <m/>
    <n v="96580.653749999998"/>
    <m/>
    <n v="96580.653749999998"/>
    <m/>
    <n v="96580.653749999998"/>
    <m/>
    <n v="96580.653749999998"/>
    <m/>
    <n v="96580.653749999998"/>
    <m/>
    <n v="96580.653749999998"/>
    <m/>
    <n v="96580.653749999998"/>
    <m/>
    <n v="96580.653749999998"/>
    <m/>
    <n v="96580.653749999998"/>
    <m/>
    <n v="96580.653749999998"/>
    <m/>
    <n v="96580.653749999998"/>
    <m/>
    <n v="96580.653749999998"/>
    <m/>
    <n v="96580.653749999998"/>
    <m/>
    <n v="96580.653749999998"/>
    <m/>
    <n v="96580.653749999998"/>
    <m/>
    <n v="96580.653749999998"/>
    <m/>
    <n v="96580.653749999998"/>
    <m/>
    <n v="96580.653749999998"/>
    <m/>
    <n v="96580.653749999998"/>
    <m/>
    <n v="96580.653749999998"/>
    <n v="96580.65"/>
    <n v="2369123.34"/>
    <m/>
    <m/>
    <n v="0"/>
    <n v="96580.649816551158"/>
    <n v="2369123.34"/>
    <x v="1"/>
    <m/>
    <n v="96580.649816551158"/>
    <n v="0"/>
    <n v="2369123.34"/>
    <m/>
    <m/>
    <x v="0"/>
    <x v="0"/>
    <b v="1"/>
    <s v="АГ-005-В-03-02-237"/>
    <m/>
    <s v="НЕТ"/>
    <s v="Черновая"/>
    <b v="1"/>
    <n v="2369123.34"/>
    <n v="0"/>
    <b v="1"/>
    <d v="2023-09-19T00:00:00"/>
    <s v="Гайганова"/>
  </r>
  <r>
    <n v="238"/>
    <x v="2"/>
    <x v="2"/>
    <x v="2"/>
    <x v="1"/>
    <n v="13.69"/>
    <n v="10.16"/>
    <m/>
    <n v="23.85"/>
    <n v="18.71"/>
    <n v="3.49"/>
    <n v="2.11"/>
    <m/>
    <n v="7.09"/>
    <n v="2.65"/>
    <m/>
    <m/>
    <n v="2.65"/>
    <n v="57.9"/>
    <n v="55.25"/>
    <n v="56.58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n v="86852.95"/>
    <n v="4914139.91"/>
    <m/>
    <m/>
    <n v="0"/>
    <n v="86852.94998232591"/>
    <n v="4914139.91"/>
    <x v="0"/>
    <n v="7500"/>
    <n v="94352.94998232591"/>
    <n v="424350"/>
    <n v="5338489.91"/>
    <s v="Хит"/>
    <m/>
    <x v="0"/>
    <x v="0"/>
    <b v="1"/>
    <s v="АГ-005-В-03-03-238"/>
    <m/>
    <s v="НЕТ"/>
    <s v="Предчистовая"/>
    <b v="1"/>
    <n v="5338489.91"/>
    <n v="0"/>
    <b v="1"/>
    <d v="2023-09-22T00:00:00"/>
    <s v="Никишов"/>
  </r>
  <r>
    <n v="239"/>
    <x v="2"/>
    <x v="2"/>
    <x v="3"/>
    <x v="1"/>
    <n v="15.45"/>
    <n v="10.34"/>
    <m/>
    <n v="25.79"/>
    <n v="15.44"/>
    <n v="4.59"/>
    <n v="2.21"/>
    <m/>
    <n v="10.79"/>
    <n v="2.84"/>
    <m/>
    <m/>
    <n v="2.84"/>
    <n v="61.66"/>
    <n v="58.82"/>
    <n v="60.24"/>
    <n v="82238.34150000001"/>
    <n v="4111.9170750000003"/>
    <n v="86350.258575000014"/>
    <n v="2590.5077572500004"/>
    <n v="88940.766332250016"/>
    <m/>
    <n v="88940.766332250016"/>
    <m/>
    <n v="88940.766332250016"/>
    <m/>
    <n v="88940.766332250016"/>
    <m/>
    <n v="88940.766332250016"/>
    <n v="889.40766332250018"/>
    <n v="89830.173995572521"/>
    <n v="4491.5086997786266"/>
    <n v="94321.682695351148"/>
    <m/>
    <n v="94321.682695351148"/>
    <n v="1886.433653907023"/>
    <n v="96208.116349258169"/>
    <m/>
    <n v="96208.116349258169"/>
    <n v="1924.1623269851634"/>
    <n v="98132.278676243339"/>
    <m/>
    <n v="98132.278676243339"/>
    <m/>
    <n v="98132.278676243339"/>
    <m/>
    <n v="98132.278676243339"/>
    <m/>
    <n v="98132.278676243339"/>
    <m/>
    <n v="98132.278676243339"/>
    <n v="490.66139338121673"/>
    <n v="98622.940069624558"/>
    <m/>
    <n v="98622.940069624558"/>
    <n v="3944.9176027849826"/>
    <n v="102567.85767240953"/>
    <n v="6154.0714603445722"/>
    <n v="108721.9291327541"/>
    <n v="14133.850787258034"/>
    <n v="122855.77992001214"/>
    <n v="35"/>
    <n v="122890.77992001214"/>
    <m/>
    <n v="122890.77992001214"/>
    <n v="122890.78"/>
    <n v="7403000"/>
    <n v="300000"/>
    <m/>
    <n v="300000"/>
    <n v="117911.68658698539"/>
    <n v="7103000"/>
    <x v="1"/>
    <m/>
    <n v="117911.68658698539"/>
    <n v="0"/>
    <n v="7103000"/>
    <m/>
    <s v="Время действовать"/>
    <x v="0"/>
    <x v="0"/>
    <b v="1"/>
    <s v="АГ-005-В-03-04-239"/>
    <m/>
    <s v="ДА"/>
    <s v="Черновая"/>
    <b v="1"/>
    <n v="7103000"/>
    <n v="0"/>
    <b v="1"/>
    <d v="2025-04-09T00:00:00"/>
    <s v="Полехович"/>
  </r>
  <r>
    <n v="240"/>
    <x v="2"/>
    <x v="2"/>
    <x v="4"/>
    <x v="0"/>
    <n v="12.54"/>
    <m/>
    <m/>
    <n v="12.54"/>
    <n v="12.74"/>
    <n v="4.0199999999999996"/>
    <m/>
    <m/>
    <n v="7.09"/>
    <n v="2.84"/>
    <m/>
    <m/>
    <n v="2.84"/>
    <n v="39.229999999999997"/>
    <n v="36.39"/>
    <n v="37.81"/>
    <n v="89223.75"/>
    <n v="4461.1875"/>
    <n v="93684.9375"/>
    <m/>
    <n v="93684.9375"/>
    <m/>
    <n v="93684.9375"/>
    <m/>
    <n v="93684.9375"/>
    <m/>
    <n v="93684.9375"/>
    <m/>
    <n v="93684.9375"/>
    <m/>
    <n v="93684.9375"/>
    <m/>
    <n v="93684.9375"/>
    <m/>
    <n v="93684.9375"/>
    <m/>
    <n v="93684.9375"/>
    <m/>
    <n v="93684.9375"/>
    <m/>
    <n v="93684.9375"/>
    <m/>
    <n v="93684.9375"/>
    <m/>
    <n v="93684.9375"/>
    <m/>
    <n v="93684.9375"/>
    <m/>
    <n v="93684.9375"/>
    <m/>
    <n v="93684.9375"/>
    <m/>
    <n v="93684.9375"/>
    <m/>
    <n v="93684.9375"/>
    <m/>
    <n v="93684.9375"/>
    <m/>
    <n v="93684.9375"/>
    <m/>
    <n v="93684.9375"/>
    <m/>
    <n v="93684.9375"/>
    <m/>
    <n v="93684.9375"/>
    <n v="93684.94"/>
    <n v="3542227.58"/>
    <m/>
    <n v="0.02"/>
    <n v="70844.551600000006"/>
    <n v="91811.241206030143"/>
    <n v="3471383.03"/>
    <x v="1"/>
    <m/>
    <n v="91811.241206030143"/>
    <n v="0"/>
    <n v="3471383.03"/>
    <m/>
    <s v="Скидка инвестору"/>
    <x v="0"/>
    <x v="0"/>
    <b v="1"/>
    <s v="АГ-005-В-03-05-240"/>
    <m/>
    <s v="НЕТ"/>
    <s v="Черновая"/>
    <b v="1"/>
    <n v="3471383.03"/>
    <n v="0"/>
    <b v="1"/>
    <d v="2023-09-19T00:00:00"/>
    <s v="Калачева"/>
  </r>
  <r>
    <n v="241"/>
    <x v="2"/>
    <x v="2"/>
    <x v="5"/>
    <x v="3"/>
    <n v="17.2"/>
    <n v="14.64"/>
    <n v="14.34"/>
    <n v="46.18"/>
    <n v="13.15"/>
    <n v="4.03"/>
    <n v="1.76"/>
    <m/>
    <n v="13.11"/>
    <n v="2.79"/>
    <n v="2.68"/>
    <m/>
    <n v="5.4700000000000006"/>
    <n v="83.7"/>
    <n v="78.23"/>
    <n v="80.97"/>
    <n v="74234.160000000018"/>
    <n v="3711.708000000001"/>
    <n v="77945.868000000017"/>
    <n v="2338.3760400000006"/>
    <n v="80284.24404000002"/>
    <m/>
    <n v="80284.24404000002"/>
    <m/>
    <n v="80284.24404000002"/>
    <m/>
    <n v="80284.24404000002"/>
    <m/>
    <n v="80284.24404000002"/>
    <n v="802.84244040000021"/>
    <n v="81087.086480400016"/>
    <n v="4054.3543240200011"/>
    <n v="85141.44080442001"/>
    <m/>
    <n v="85141.44080442001"/>
    <n v="1702.8288160884003"/>
    <n v="86844.269620508407"/>
    <m/>
    <n v="86844.269620508407"/>
    <n v="1736.8853924101682"/>
    <n v="88581.155012918578"/>
    <m/>
    <n v="88581.155012918578"/>
    <n v="885.81155012918578"/>
    <n v="89466.966563047768"/>
    <m/>
    <n v="89466.966563047768"/>
    <n v="447.33483281523883"/>
    <n v="89914.301395863004"/>
    <n v="1798.2860279172601"/>
    <n v="91712.587423780264"/>
    <m/>
    <n v="91712.587423780264"/>
    <m/>
    <n v="91712.587423780264"/>
    <m/>
    <n v="91712.587423780264"/>
    <m/>
    <n v="91712.587423780264"/>
    <m/>
    <n v="91712.587423780264"/>
    <m/>
    <n v="91712.587423780264"/>
    <m/>
    <n v="91712.587423780264"/>
    <n v="91712.59"/>
    <n v="7426000"/>
    <m/>
    <m/>
    <n v="0"/>
    <n v="91712.980116092382"/>
    <n v="7426000"/>
    <x v="1"/>
    <m/>
    <n v="91712.980116092382"/>
    <n v="0"/>
    <n v="7426000"/>
    <m/>
    <m/>
    <x v="0"/>
    <x v="0"/>
    <b v="1"/>
    <s v="АГ-005-В-03-06-241"/>
    <m/>
    <s v="ДА"/>
    <s v="Черновая"/>
    <b v="1"/>
    <n v="7426000"/>
    <n v="0"/>
    <b v="1"/>
    <d v="2024-10-11T00:00:00"/>
    <s v="Полехович"/>
  </r>
  <r>
    <n v="242"/>
    <x v="2"/>
    <x v="2"/>
    <x v="6"/>
    <x v="0"/>
    <n v="14.3"/>
    <m/>
    <m/>
    <n v="14.3"/>
    <n v="9.2799999999999994"/>
    <n v="3.79"/>
    <m/>
    <m/>
    <n v="6.08"/>
    <n v="2.71"/>
    <m/>
    <m/>
    <n v="2.71"/>
    <n v="36.159999999999997"/>
    <n v="33.450000000000003"/>
    <n v="34.81"/>
    <n v="85573.6875"/>
    <m/>
    <n v="85573.6875"/>
    <m/>
    <n v="85573.6875"/>
    <m/>
    <n v="85573.6875"/>
    <m/>
    <n v="85573.6875"/>
    <m/>
    <n v="85573.6875"/>
    <m/>
    <n v="85573.6875"/>
    <m/>
    <n v="85573.6875"/>
    <m/>
    <n v="85573.6875"/>
    <m/>
    <n v="85573.6875"/>
    <m/>
    <n v="85573.6875"/>
    <m/>
    <n v="85573.6875"/>
    <m/>
    <n v="85573.6875"/>
    <m/>
    <n v="85573.6875"/>
    <m/>
    <n v="85573.6875"/>
    <m/>
    <n v="85573.6875"/>
    <m/>
    <n v="85573.6875"/>
    <m/>
    <n v="85573.6875"/>
    <m/>
    <n v="85573.6875"/>
    <m/>
    <n v="85573.6875"/>
    <m/>
    <n v="85573.6875"/>
    <m/>
    <n v="85573.6875"/>
    <m/>
    <n v="85573.6875"/>
    <m/>
    <n v="85573.6875"/>
    <m/>
    <n v="85573.6875"/>
    <n v="85573.69"/>
    <n v="2978820.15"/>
    <m/>
    <m/>
    <n v="0"/>
    <n v="85573.690031600112"/>
    <n v="2978820.15"/>
    <x v="1"/>
    <m/>
    <n v="85573.690031600112"/>
    <n v="0"/>
    <n v="2978820.15"/>
    <s v="Хит"/>
    <m/>
    <x v="0"/>
    <x v="0"/>
    <b v="1"/>
    <s v="АГ-005-В-03-07-242"/>
    <m/>
    <s v="НЕТ"/>
    <s v="Черновая"/>
    <b v="1"/>
    <n v="2978820.15"/>
    <n v="0"/>
    <b v="1"/>
    <d v="2023-09-29T00:00:00"/>
    <s v="Калачева"/>
  </r>
  <r>
    <n v="243"/>
    <x v="2"/>
    <x v="3"/>
    <x v="0"/>
    <x v="1"/>
    <n v="17.63"/>
    <n v="13.69"/>
    <m/>
    <n v="31.32"/>
    <n v="20.05"/>
    <n v="3.54"/>
    <n v="2.93"/>
    <m/>
    <n v="12.19"/>
    <n v="4.6500000000000004"/>
    <n v="2.68"/>
    <m/>
    <n v="7.33"/>
    <n v="77.36"/>
    <n v="70.03"/>
    <n v="73.7"/>
    <n v="81080.055000000008"/>
    <n v="4054.0027500000006"/>
    <n v="85134.057750000007"/>
    <n v="2554.0217325000003"/>
    <n v="87688.079482500005"/>
    <m/>
    <n v="87688.079482500005"/>
    <m/>
    <n v="87688.079482500005"/>
    <m/>
    <n v="87688.079482500005"/>
    <m/>
    <n v="87688.079482500005"/>
    <n v="876.88079482500007"/>
    <n v="88564.960277325008"/>
    <n v="4428.2480138662504"/>
    <n v="92993.208291191258"/>
    <m/>
    <n v="92993.208291191258"/>
    <n v="1859.8641658238253"/>
    <n v="94853.072457015078"/>
    <m/>
    <n v="94853.072457015078"/>
    <n v="1897.0614491403016"/>
    <n v="96750.133906155374"/>
    <m/>
    <n v="96750.133906155374"/>
    <m/>
    <n v="96750.133906155374"/>
    <m/>
    <n v="96750.133906155374"/>
    <m/>
    <n v="96750.133906155374"/>
    <m/>
    <n v="96750.133906155374"/>
    <n v="483.75066953077686"/>
    <n v="97233.884575686156"/>
    <m/>
    <n v="97233.884575686156"/>
    <m/>
    <n v="97233.884575686156"/>
    <n v="7778.7107660548927"/>
    <n v="105012.59534174105"/>
    <n v="13651.637394426336"/>
    <n v="118664.23273616738"/>
    <n v="35"/>
    <n v="118699.23273616738"/>
    <m/>
    <n v="118699.23273616738"/>
    <n v="118699.23"/>
    <n v="8748200"/>
    <m/>
    <m/>
    <n v="0"/>
    <n v="118700.13568521031"/>
    <n v="8748200"/>
    <x v="1"/>
    <m/>
    <n v="118700.13568521031"/>
    <n v="0"/>
    <n v="8748200"/>
    <s v="Антихит"/>
    <m/>
    <x v="1"/>
    <x v="1"/>
    <b v="1"/>
    <s v="АГ-005-В-04-01-243"/>
    <m/>
    <s v="ДА"/>
    <s v="Черновая"/>
    <b v="1"/>
    <n v="8748200"/>
    <n v="0"/>
    <b v="1"/>
    <s v=" "/>
    <s v=""/>
  </r>
  <r>
    <n v="244"/>
    <x v="2"/>
    <x v="3"/>
    <x v="1"/>
    <x v="2"/>
    <n v="7.18"/>
    <m/>
    <m/>
    <n v="7.18"/>
    <n v="5.17"/>
    <n v="3.72"/>
    <m/>
    <m/>
    <n v="6.97"/>
    <n v="2.97"/>
    <m/>
    <m/>
    <n v="2.97"/>
    <n v="26.01"/>
    <n v="23.04"/>
    <n v="24.53"/>
    <n v="91981.574999999997"/>
    <n v="4599.0787499999997"/>
    <n v="96580.653749999998"/>
    <n v="2897.4196124999999"/>
    <n v="99478.073362499999"/>
    <n v="12932.149537125"/>
    <n v="112410.22289962501"/>
    <n v="3372.3066869887502"/>
    <n v="115782.52958661376"/>
    <m/>
    <n v="115782.52958661376"/>
    <m/>
    <n v="115782.52958661376"/>
    <n v="1157.8252958661376"/>
    <n v="116940.35488247989"/>
    <n v="5847.0177441239948"/>
    <n v="122787.37262660389"/>
    <m/>
    <n v="122787.37262660389"/>
    <m/>
    <n v="122787.37262660389"/>
    <m/>
    <n v="122787.37262660389"/>
    <m/>
    <n v="122787.37262660389"/>
    <m/>
    <n v="122787.37262660389"/>
    <m/>
    <n v="122787.37262660389"/>
    <m/>
    <n v="122787.37262660389"/>
    <m/>
    <n v="122787.37262660389"/>
    <m/>
    <n v="122787.37262660389"/>
    <m/>
    <n v="122787.37262660389"/>
    <m/>
    <n v="122787.37262660389"/>
    <m/>
    <n v="122787.37262660389"/>
    <m/>
    <n v="122787.37262660389"/>
    <m/>
    <n v="122787.37262660389"/>
    <m/>
    <n v="122787.37262660389"/>
    <m/>
    <n v="122787.37262660389"/>
    <n v="122787.37"/>
    <n v="3012000"/>
    <m/>
    <n v="0.03"/>
    <n v="90360"/>
    <n v="119104.76966979209"/>
    <n v="2921640"/>
    <x v="2"/>
    <n v="24000"/>
    <n v="143104.76966979209"/>
    <n v="588720"/>
    <n v="3510360"/>
    <m/>
    <s v="Многодетная семья"/>
    <x v="0"/>
    <x v="0"/>
    <b v="1"/>
    <s v="АГ-005-В-04-02-244"/>
    <m/>
    <s v="ДА"/>
    <s v="Чистовая"/>
    <b v="1"/>
    <n v="3510360"/>
    <n v="0"/>
    <b v="1"/>
    <d v="2024-01-30T00:00:00"/>
    <s v="Никишов"/>
  </r>
  <r>
    <n v="245"/>
    <x v="2"/>
    <x v="3"/>
    <x v="2"/>
    <x v="1"/>
    <n v="13.69"/>
    <n v="10.16"/>
    <m/>
    <n v="23.85"/>
    <n v="18.71"/>
    <n v="3.49"/>
    <n v="2.11"/>
    <m/>
    <n v="7.09"/>
    <n v="2.65"/>
    <m/>
    <m/>
    <n v="2.65"/>
    <n v="57.9"/>
    <n v="55.25"/>
    <n v="56.58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n v="86852.95"/>
    <n v="4914139.91"/>
    <m/>
    <n v="0.02"/>
    <n v="98282.798200000005"/>
    <n v="85115.890950866044"/>
    <n v="4815857.1100000003"/>
    <x v="2"/>
    <n v="22000"/>
    <n v="107115.89095086604"/>
    <n v="1244760"/>
    <n v="6060617.1100000003"/>
    <s v="Хит"/>
    <s v="Скидка иногородним"/>
    <x v="0"/>
    <x v="0"/>
    <b v="1"/>
    <s v="АГ-005-В-04-03-245"/>
    <m/>
    <s v="НЕТ"/>
    <s v="Чистовая"/>
    <b v="1"/>
    <n v="6060617.1100000003"/>
    <n v="0"/>
    <b v="1"/>
    <d v="2023-11-24T00:00:00"/>
    <s v="Дик"/>
  </r>
  <r>
    <n v="246"/>
    <x v="2"/>
    <x v="3"/>
    <x v="3"/>
    <x v="1"/>
    <n v="15.45"/>
    <n v="10.34"/>
    <m/>
    <n v="25.79"/>
    <n v="15.44"/>
    <n v="4.59"/>
    <n v="2.21"/>
    <m/>
    <n v="10.79"/>
    <n v="2.84"/>
    <m/>
    <m/>
    <n v="2.84"/>
    <n v="61.66"/>
    <n v="58.82"/>
    <n v="60.24"/>
    <n v="82238.34150000001"/>
    <n v="4111.9170750000003"/>
    <n v="86350.258575000014"/>
    <n v="2590.5077572500004"/>
    <n v="88940.766332250016"/>
    <m/>
    <n v="88940.766332250016"/>
    <m/>
    <n v="88940.766332250016"/>
    <m/>
    <n v="88940.766332250016"/>
    <m/>
    <n v="88940.766332250016"/>
    <n v="889.40766332250018"/>
    <n v="89830.173995572521"/>
    <n v="4491.5086997786266"/>
    <n v="94321.682695351148"/>
    <m/>
    <n v="94321.682695351148"/>
    <n v="1886.433653907023"/>
    <n v="96208.116349258169"/>
    <m/>
    <n v="96208.116349258169"/>
    <n v="1924.1623269851634"/>
    <n v="98132.278676243339"/>
    <m/>
    <n v="98132.278676243339"/>
    <m/>
    <n v="98132.278676243339"/>
    <m/>
    <n v="98132.278676243339"/>
    <m/>
    <n v="98132.278676243339"/>
    <m/>
    <n v="98132.278676243339"/>
    <n v="490.66139338121673"/>
    <n v="98622.940069624558"/>
    <m/>
    <n v="98622.940069624558"/>
    <n v="3944.9176027849826"/>
    <n v="102567.85767240953"/>
    <n v="6154.0714603445722"/>
    <n v="108721.9291327541"/>
    <n v="14133.850787258034"/>
    <n v="122855.77992001214"/>
    <n v="35"/>
    <n v="122890.77992001214"/>
    <m/>
    <n v="122890.77992001214"/>
    <n v="122890.78"/>
    <n v="7403000"/>
    <m/>
    <m/>
    <n v="0"/>
    <n v="122891.76626826028"/>
    <n v="7403000"/>
    <x v="3"/>
    <n v="10000"/>
    <n v="132891.76626826028"/>
    <n v="602400"/>
    <n v="8005400"/>
    <m/>
    <m/>
    <x v="1"/>
    <x v="1"/>
    <b v="1"/>
    <s v="АГ-005-В-04-04-246"/>
    <m/>
    <s v="ДА"/>
    <s v="White Box"/>
    <b v="1"/>
    <n v="8005400"/>
    <n v="0"/>
    <b v="1"/>
    <s v=" "/>
    <s v=""/>
  </r>
  <r>
    <n v="247"/>
    <x v="2"/>
    <x v="3"/>
    <x v="4"/>
    <x v="0"/>
    <n v="12.54"/>
    <m/>
    <m/>
    <n v="12.54"/>
    <n v="12.74"/>
    <n v="4.0199999999999996"/>
    <m/>
    <m/>
    <n v="7.09"/>
    <n v="2.84"/>
    <m/>
    <m/>
    <n v="2.84"/>
    <n v="39.229999999999997"/>
    <n v="36.39"/>
    <n v="37.81"/>
    <n v="89223.75"/>
    <n v="4461.1875"/>
    <n v="93684.9375"/>
    <n v="2810.5481249999998"/>
    <n v="96495.485625000001"/>
    <n v="4342.2968531249999"/>
    <n v="100837.78247812499"/>
    <m/>
    <n v="100837.78247812499"/>
    <n v="5041.8891239062505"/>
    <n v="105879.67160203125"/>
    <n v="-620"/>
    <n v="105259.67160203125"/>
    <n v="1052.5967160203124"/>
    <n v="106312.26831805156"/>
    <n v="5315.6134159025787"/>
    <n v="111627.88173395414"/>
    <m/>
    <n v="111627.88173395414"/>
    <n v="3348.8364520186242"/>
    <n v="114976.71818597277"/>
    <m/>
    <n v="114976.71818597277"/>
    <m/>
    <n v="114976.71818597277"/>
    <m/>
    <n v="114976.71818597277"/>
    <n v="1149.7671818597278"/>
    <n v="116126.4853678325"/>
    <m/>
    <n v="116126.4853678325"/>
    <m/>
    <n v="116126.4853678325"/>
    <m/>
    <n v="116126.4853678325"/>
    <n v="580.63242683916258"/>
    <n v="116707.11779467166"/>
    <m/>
    <n v="116707.11779467166"/>
    <m/>
    <n v="116707.11779467166"/>
    <n v="5835.3558897335834"/>
    <n v="122542.47368440525"/>
    <n v="15930.521578972683"/>
    <n v="138472.99526337793"/>
    <n v="35"/>
    <n v="138507.99526337793"/>
    <m/>
    <n v="138507.99526337793"/>
    <n v="138508"/>
    <n v="5237000"/>
    <m/>
    <m/>
    <n v="0"/>
    <n v="138508.33112933085"/>
    <n v="5237000"/>
    <x v="3"/>
    <n v="10000"/>
    <n v="148508.33112933085"/>
    <n v="378100"/>
    <n v="5615100"/>
    <m/>
    <m/>
    <x v="2"/>
    <x v="2"/>
    <b v="1"/>
    <s v="АГ-005-В-04-05-247"/>
    <m/>
    <s v="ДА"/>
    <s v="White Box"/>
    <b v="1"/>
    <n v="5615100"/>
    <n v="0"/>
    <b v="1"/>
    <s v=" "/>
    <s v=""/>
  </r>
  <r>
    <n v="248"/>
    <x v="2"/>
    <x v="3"/>
    <x v="5"/>
    <x v="3"/>
    <n v="17.2"/>
    <n v="14.64"/>
    <n v="14.34"/>
    <n v="46.18"/>
    <n v="13.15"/>
    <n v="4.03"/>
    <n v="1.76"/>
    <m/>
    <n v="13.11"/>
    <n v="2.79"/>
    <n v="2.68"/>
    <m/>
    <n v="5.4700000000000006"/>
    <n v="83.7"/>
    <n v="78.23"/>
    <n v="80.97"/>
    <n v="74947.950000000012"/>
    <n v="3747.3975000000009"/>
    <n v="78695.347500000018"/>
    <n v="2360.8604250000003"/>
    <n v="81056.207925000024"/>
    <m/>
    <n v="81056.207925000024"/>
    <m/>
    <n v="81056.207925000024"/>
    <m/>
    <n v="81056.207925000024"/>
    <m/>
    <n v="81056.207925000024"/>
    <n v="810.56207925000024"/>
    <n v="81866.770004250022"/>
    <n v="4093.3385002125015"/>
    <n v="85960.108504462522"/>
    <m/>
    <n v="85960.108504462522"/>
    <n v="1719.2021700892506"/>
    <n v="87679.310674551773"/>
    <m/>
    <n v="87679.310674551773"/>
    <n v="1753.5862134910356"/>
    <n v="89432.896888042815"/>
    <m/>
    <n v="89432.896888042815"/>
    <n v="894.32896888042819"/>
    <n v="90327.225856923236"/>
    <m/>
    <n v="90327.225856923236"/>
    <n v="451.63612928461617"/>
    <n v="90778.861986207849"/>
    <n v="1815.5772397241569"/>
    <n v="92594.439225932001"/>
    <n v="1388.91658838898"/>
    <n v="93983.355814320981"/>
    <m/>
    <n v="93983.355814320981"/>
    <n v="3759.3342325728395"/>
    <n v="97742.690046893826"/>
    <n v="4887.1345023446911"/>
    <n v="102629.82454923852"/>
    <n v="13341.877191401009"/>
    <n v="115971.70174063953"/>
    <n v="35"/>
    <n v="116006.70174063953"/>
    <m/>
    <n v="116006.70174063953"/>
    <n v="116006.7"/>
    <n v="9393100"/>
    <n v="648340"/>
    <m/>
    <n v="648340"/>
    <n v="108000"/>
    <n v="8744760"/>
    <x v="2"/>
    <n v="25000"/>
    <n v="133000"/>
    <n v="2024250"/>
    <n v="10769010"/>
    <m/>
    <s v="Скидка новоселам"/>
    <x v="2"/>
    <x v="2"/>
    <b v="1"/>
    <s v="АГ-005-В-04-06-248"/>
    <m/>
    <s v="ДА"/>
    <s v="Чистовая"/>
    <b v="1"/>
    <n v="10769010"/>
    <n v="0"/>
    <b v="1"/>
    <s v=" "/>
    <s v=""/>
  </r>
  <r>
    <n v="249"/>
    <x v="2"/>
    <x v="3"/>
    <x v="6"/>
    <x v="0"/>
    <n v="14.3"/>
    <m/>
    <m/>
    <n v="14.3"/>
    <n v="9.2799999999999994"/>
    <n v="3.79"/>
    <m/>
    <m/>
    <n v="6.08"/>
    <n v="2.71"/>
    <m/>
    <m/>
    <n v="2.71"/>
    <n v="36.159999999999997"/>
    <n v="33.450000000000003"/>
    <n v="34.81"/>
    <n v="86384.8125"/>
    <n v="4319.2406250000004"/>
    <n v="90704.053125000006"/>
    <n v="2721.1215937500001"/>
    <n v="93425.17471875"/>
    <n v="13079.524460625002"/>
    <n v="106504.69917937501"/>
    <m/>
    <n v="106504.69917937501"/>
    <n v="5325.234958968751"/>
    <n v="111829.93413834376"/>
    <m/>
    <n v="111829.93413834376"/>
    <n v="1118.2993413834376"/>
    <n v="112948.23347972719"/>
    <n v="5647.4116739863603"/>
    <n v="118595.64515371356"/>
    <m/>
    <n v="118595.64515371356"/>
    <n v="3557.8693546114068"/>
    <n v="122153.51450832497"/>
    <m/>
    <n v="122153.51450832497"/>
    <m/>
    <n v="122153.51450832497"/>
    <m/>
    <n v="122153.51450832497"/>
    <m/>
    <n v="122153.51450832497"/>
    <m/>
    <n v="122153.51450832497"/>
    <m/>
    <n v="122153.51450832497"/>
    <m/>
    <n v="122153.51450832497"/>
    <m/>
    <n v="122153.51450832497"/>
    <m/>
    <n v="122153.51450832497"/>
    <m/>
    <n v="122153.51450832497"/>
    <m/>
    <n v="122153.51450832497"/>
    <m/>
    <n v="122153.51450832497"/>
    <m/>
    <n v="122153.51450832497"/>
    <m/>
    <n v="122153.51450832497"/>
    <n v="122153.51"/>
    <n v="4252200"/>
    <m/>
    <m/>
    <n v="0"/>
    <n v="122154.55328928468"/>
    <n v="4252200"/>
    <x v="2"/>
    <n v="20000"/>
    <n v="142154.5532892847"/>
    <n v="696200.00000000093"/>
    <n v="4948400.0000000009"/>
    <s v="Хит"/>
    <m/>
    <x v="0"/>
    <x v="0"/>
    <b v="1"/>
    <s v="АГ-005-В-04-07-249"/>
    <m/>
    <s v="ДА"/>
    <s v="Чистовая"/>
    <b v="1"/>
    <n v="4948400"/>
    <n v="-9.3132257461547852E-10"/>
    <b v="1"/>
    <d v="2024-06-27T00:00:00"/>
    <s v="Никишов"/>
  </r>
  <r>
    <n v="250"/>
    <x v="2"/>
    <x v="4"/>
    <x v="0"/>
    <x v="1"/>
    <n v="17.63"/>
    <n v="13.69"/>
    <m/>
    <n v="31.32"/>
    <n v="20.05"/>
    <n v="3.54"/>
    <n v="2.93"/>
    <m/>
    <n v="12.19"/>
    <n v="4.6500000000000004"/>
    <n v="2.68"/>
    <m/>
    <n v="7.33"/>
    <n v="77.36"/>
    <n v="70.03"/>
    <n v="73.7"/>
    <n v="78763.482000000004"/>
    <n v="3938.1741000000002"/>
    <n v="82701.656100000007"/>
    <n v="2481.0496830000002"/>
    <n v="85182.705783000012"/>
    <m/>
    <n v="85182.705783000012"/>
    <m/>
    <n v="85182.705783000012"/>
    <m/>
    <n v="85182.705783000012"/>
    <m/>
    <n v="85182.705783000012"/>
    <n v="851.82705783000017"/>
    <n v="86034.532840830012"/>
    <n v="4301.7266420415008"/>
    <n v="90336.259482871508"/>
    <m/>
    <n v="90336.259482871508"/>
    <n v="1806.7251896574303"/>
    <n v="92142.984672528939"/>
    <m/>
    <n v="92142.984672528939"/>
    <n v="1842.8596934505788"/>
    <n v="93985.844365979516"/>
    <m/>
    <n v="93985.844365979516"/>
    <m/>
    <n v="93985.844365979516"/>
    <m/>
    <n v="93985.844365979516"/>
    <m/>
    <n v="93985.844365979516"/>
    <m/>
    <n v="93985.844365979516"/>
    <n v="469.92922182989759"/>
    <n v="94455.77358780941"/>
    <m/>
    <n v="94455.77358780941"/>
    <m/>
    <n v="94455.77358780941"/>
    <n v="7556.4618870247532"/>
    <n v="102012.23547483416"/>
    <m/>
    <n v="102012.23547483416"/>
    <m/>
    <n v="102012.23547483416"/>
    <m/>
    <n v="102012.23547483416"/>
    <n v="102012.24"/>
    <n v="7518400"/>
    <m/>
    <m/>
    <n v="0"/>
    <n v="102013.56852103121"/>
    <n v="7518400"/>
    <x v="1"/>
    <m/>
    <n v="102013.56852103121"/>
    <n v="0"/>
    <n v="7518400"/>
    <s v="Антихит"/>
    <m/>
    <x v="0"/>
    <x v="0"/>
    <b v="1"/>
    <s v="АГ-005-В-05-01-250"/>
    <m/>
    <s v="ДА"/>
    <s v="Черновая"/>
    <b v="1"/>
    <n v="7518400"/>
    <n v="0"/>
    <b v="1"/>
    <d v="2024-11-29T00:00:00"/>
    <s v="Дик"/>
  </r>
  <r>
    <n v="251"/>
    <x v="2"/>
    <x v="4"/>
    <x v="1"/>
    <x v="2"/>
    <n v="7.18"/>
    <m/>
    <m/>
    <n v="7.18"/>
    <n v="5.17"/>
    <n v="3.72"/>
    <m/>
    <m/>
    <n v="6.97"/>
    <n v="2.97"/>
    <m/>
    <m/>
    <n v="2.97"/>
    <n v="26.01"/>
    <n v="23.04"/>
    <n v="24.53"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n v="91105.56"/>
    <n v="2234819.39"/>
    <n v="20000"/>
    <m/>
    <n v="20000"/>
    <n v="90290.231960864243"/>
    <n v="2214819.39"/>
    <x v="1"/>
    <m/>
    <n v="90290.231960864243"/>
    <n v="0"/>
    <n v="2214819.39"/>
    <m/>
    <s v="Зачетная квартира"/>
    <x v="0"/>
    <x v="0"/>
    <b v="1"/>
    <s v="АГ-005-В-05-02-251"/>
    <m/>
    <s v="НЕТ"/>
    <s v="Черновая"/>
    <b v="1"/>
    <n v="2214819.39"/>
    <n v="0"/>
    <b v="1"/>
    <d v="2023-09-22T00:00:00"/>
    <s v="Никишов"/>
  </r>
  <r>
    <n v="252"/>
    <x v="2"/>
    <x v="4"/>
    <x v="2"/>
    <x v="1"/>
    <n v="13.69"/>
    <n v="10.16"/>
    <m/>
    <n v="23.85"/>
    <n v="18.71"/>
    <n v="3.49"/>
    <n v="2.11"/>
    <m/>
    <n v="7.09"/>
    <n v="2.65"/>
    <m/>
    <m/>
    <n v="2.65"/>
    <n v="57.9"/>
    <n v="55.25"/>
    <n v="56.58"/>
    <n v="79535.67300000001"/>
    <n v="3976.7836500000008"/>
    <n v="83512.456650000007"/>
    <n v="2505.3736994999999"/>
    <n v="86017.8303495"/>
    <m/>
    <n v="86017.8303495"/>
    <m/>
    <n v="86017.8303495"/>
    <m/>
    <n v="86017.8303495"/>
    <m/>
    <n v="86017.8303495"/>
    <n v="860.17830349500002"/>
    <n v="86878.008652995006"/>
    <n v="4343.9004326497507"/>
    <n v="91221.909085644758"/>
    <m/>
    <n v="91221.909085644758"/>
    <n v="1824.4381817128951"/>
    <n v="93046.347267357647"/>
    <m/>
    <n v="93046.347267357647"/>
    <n v="1860.9269453471529"/>
    <n v="94907.274212704797"/>
    <n v="150"/>
    <n v="95057.274212704797"/>
    <n v="950.57274212704795"/>
    <n v="96007.846954831839"/>
    <m/>
    <n v="96007.846954831839"/>
    <m/>
    <n v="96007.846954831839"/>
    <m/>
    <n v="96007.846954831839"/>
    <n v="2400.196173870796"/>
    <n v="98408.043128702629"/>
    <m/>
    <n v="98408.043128702629"/>
    <m/>
    <n v="98408.043128702629"/>
    <m/>
    <n v="98408.043128702629"/>
    <m/>
    <n v="98408.043128702629"/>
    <m/>
    <n v="98408.043128702629"/>
    <m/>
    <n v="98408.043128702629"/>
    <n v="98408.04"/>
    <n v="5568000"/>
    <m/>
    <m/>
    <n v="0"/>
    <n v="98409.331919406148"/>
    <n v="5568000"/>
    <x v="3"/>
    <n v="7000"/>
    <n v="105409.33191940615"/>
    <n v="396060"/>
    <n v="5964060"/>
    <s v="Хит"/>
    <m/>
    <x v="0"/>
    <x v="0"/>
    <b v="1"/>
    <s v="АГ-005-В-05-03-252"/>
    <m/>
    <s v="ДА"/>
    <s v="White Box"/>
    <b v="1"/>
    <n v="5964060"/>
    <n v="0"/>
    <b v="1"/>
    <d v="2024-07-17T00:00:00"/>
    <s v="Дик"/>
  </r>
  <r>
    <n v="253"/>
    <x v="2"/>
    <x v="4"/>
    <x v="3"/>
    <x v="1"/>
    <n v="15.45"/>
    <n v="10.34"/>
    <m/>
    <n v="25.79"/>
    <n v="15.44"/>
    <n v="4.59"/>
    <n v="2.21"/>
    <m/>
    <n v="10.79"/>
    <n v="2.84"/>
    <m/>
    <m/>
    <n v="2.84"/>
    <n v="61.66"/>
    <n v="58.82"/>
    <n v="60.24"/>
    <n v="81466.150500000003"/>
    <n v="4073.3075250000002"/>
    <n v="85539.458025"/>
    <n v="2566.1837407499997"/>
    <n v="88105.641765749999"/>
    <m/>
    <n v="88105.641765749999"/>
    <m/>
    <n v="88105.641765749999"/>
    <m/>
    <n v="88105.641765749999"/>
    <m/>
    <n v="88105.641765749999"/>
    <n v="881.05641765749999"/>
    <n v="88986.698183407498"/>
    <n v="4449.3349091703749"/>
    <n v="93436.033092577869"/>
    <m/>
    <n v="93436.033092577869"/>
    <n v="1868.7206618515575"/>
    <n v="95304.753754429432"/>
    <m/>
    <n v="95304.753754429432"/>
    <n v="1906.0950750885886"/>
    <n v="97210.848829518014"/>
    <m/>
    <n v="97210.848829518014"/>
    <m/>
    <n v="97210.848829518014"/>
    <m/>
    <n v="97210.848829518014"/>
    <m/>
    <n v="97210.848829518014"/>
    <m/>
    <n v="97210.848829518014"/>
    <n v="486.05424414759005"/>
    <n v="97696.903073665599"/>
    <m/>
    <n v="97696.903073665599"/>
    <m/>
    <n v="97696.903073665599"/>
    <m/>
    <n v="97696.903073665599"/>
    <m/>
    <n v="97696.903073665599"/>
    <m/>
    <n v="97696.903073665599"/>
    <m/>
    <n v="97696.903073665599"/>
    <n v="97696.9"/>
    <n v="5885300"/>
    <m/>
    <m/>
    <n v="0"/>
    <n v="97697.543160690562"/>
    <n v="5885300"/>
    <x v="2"/>
    <n v="20000"/>
    <n v="117697.54316069056"/>
    <n v="1204800"/>
    <n v="7090100"/>
    <m/>
    <m/>
    <x v="0"/>
    <x v="0"/>
    <b v="1"/>
    <s v="АГ-005-В-05-04-253"/>
    <m/>
    <s v="ДА"/>
    <s v="Чистовая"/>
    <b v="1"/>
    <n v="7090100"/>
    <n v="0"/>
    <b v="1"/>
    <d v="2024-09-26T00:00:00"/>
    <s v="Солоненко"/>
  </r>
  <r>
    <n v="254"/>
    <x v="2"/>
    <x v="4"/>
    <x v="4"/>
    <x v="0"/>
    <n v="12.54"/>
    <m/>
    <m/>
    <n v="12.54"/>
    <n v="12.74"/>
    <n v="4.0199999999999996"/>
    <m/>
    <m/>
    <n v="7.09"/>
    <n v="2.84"/>
    <m/>
    <m/>
    <n v="2.84"/>
    <n v="39.229999999999997"/>
    <n v="36.39"/>
    <n v="37.81"/>
    <n v="88412.625"/>
    <n v="4420.6312500000004"/>
    <n v="92833.256250000006"/>
    <n v="2784.9976875000002"/>
    <n v="95618.253937500005"/>
    <n v="4302.8214271875004"/>
    <n v="99921.075364687509"/>
    <m/>
    <n v="99921.075364687509"/>
    <m/>
    <n v="99921.075364687509"/>
    <m/>
    <n v="99921.075364687509"/>
    <m/>
    <n v="99921.075364687509"/>
    <m/>
    <n v="99921.075364687509"/>
    <m/>
    <n v="99921.075364687509"/>
    <m/>
    <n v="99921.075364687509"/>
    <m/>
    <n v="99921.075364687509"/>
    <m/>
    <n v="99921.075364687509"/>
    <m/>
    <n v="99921.075364687509"/>
    <m/>
    <n v="99921.075364687509"/>
    <m/>
    <n v="99921.075364687509"/>
    <m/>
    <n v="99921.075364687509"/>
    <m/>
    <n v="99921.075364687509"/>
    <m/>
    <n v="99921.075364687509"/>
    <m/>
    <n v="99921.075364687509"/>
    <m/>
    <n v="99921.075364687509"/>
    <m/>
    <n v="99921.075364687509"/>
    <m/>
    <n v="99921.075364687509"/>
    <m/>
    <n v="99921.075364687509"/>
    <m/>
    <n v="99921.075364687509"/>
    <n v="99921.08"/>
    <n v="3778016.03"/>
    <m/>
    <m/>
    <n v="0"/>
    <n v="99921.079873049443"/>
    <n v="3778016.03"/>
    <x v="2"/>
    <n v="22000"/>
    <n v="121921.07987304944"/>
    <n v="831819.99999999953"/>
    <n v="4609836.0299999993"/>
    <m/>
    <m/>
    <x v="0"/>
    <x v="0"/>
    <b v="1"/>
    <s v="АГ-005-В-05-05-254"/>
    <m/>
    <s v="НЕТ"/>
    <s v="Чистовая"/>
    <b v="1"/>
    <n v="4609836.03"/>
    <n v="9.3132257461547852E-10"/>
    <b v="1"/>
    <d v="2023-11-13T00:00:00"/>
    <s v="Никишов"/>
  </r>
  <r>
    <n v="255"/>
    <x v="2"/>
    <x v="4"/>
    <x v="5"/>
    <x v="3"/>
    <n v="17.2"/>
    <n v="14.64"/>
    <n v="14.34"/>
    <n v="46.18"/>
    <n v="13.15"/>
    <n v="4.03"/>
    <n v="1.76"/>
    <m/>
    <n v="13.11"/>
    <n v="2.79"/>
    <n v="2.68"/>
    <m/>
    <n v="5.4700000000000006"/>
    <n v="83.7"/>
    <n v="78.23"/>
    <n v="80.97"/>
    <n v="73520.37000000001"/>
    <m/>
    <n v="73520.37000000001"/>
    <m/>
    <n v="73520.37000000001"/>
    <m/>
    <n v="73520.37000000001"/>
    <m/>
    <n v="73520.37000000001"/>
    <m/>
    <n v="73520.37000000001"/>
    <m/>
    <n v="73520.37000000001"/>
    <m/>
    <n v="73520.37000000001"/>
    <m/>
    <n v="73520.37000000001"/>
    <m/>
    <n v="73520.37000000001"/>
    <m/>
    <n v="73520.37000000001"/>
    <m/>
    <n v="73520.37000000001"/>
    <m/>
    <n v="73520.37000000001"/>
    <m/>
    <n v="73520.37000000001"/>
    <m/>
    <n v="73520.37000000001"/>
    <m/>
    <n v="73520.37000000001"/>
    <m/>
    <n v="73520.37000000001"/>
    <m/>
    <n v="73520.37000000001"/>
    <m/>
    <n v="73520.37000000001"/>
    <m/>
    <n v="73520.37000000001"/>
    <m/>
    <n v="73520.37000000001"/>
    <m/>
    <n v="73520.37000000001"/>
    <m/>
    <n v="73520.37000000001"/>
    <m/>
    <n v="73520.37000000001"/>
    <m/>
    <n v="73520.37000000001"/>
    <n v="73520.37"/>
    <n v="5952944.3600000003"/>
    <m/>
    <n v="0.06"/>
    <n v="357176.66159999999"/>
    <n v="69109.147832530565"/>
    <n v="5595767.7000000002"/>
    <x v="2"/>
    <n v="15500"/>
    <n v="84609.147832530565"/>
    <n v="1255035"/>
    <n v="6850802.7000000002"/>
    <m/>
    <s v="Ветеран боевых действий"/>
    <x v="0"/>
    <x v="0"/>
    <b v="1"/>
    <s v="АГ-005-В-05-06-255"/>
    <m/>
    <s v="НЕТ"/>
    <s v="Чистовая"/>
    <b v="1"/>
    <n v="6850802.7000000002"/>
    <n v="0"/>
    <b v="1"/>
    <d v="2023-11-11T00:00:00"/>
    <s v="Кофанова"/>
  </r>
  <r>
    <n v="256"/>
    <x v="2"/>
    <x v="4"/>
    <x v="6"/>
    <x v="0"/>
    <n v="14.3"/>
    <m/>
    <m/>
    <n v="14.3"/>
    <n v="9.2799999999999994"/>
    <n v="3.79"/>
    <m/>
    <m/>
    <n v="6.08"/>
    <n v="2.71"/>
    <m/>
    <m/>
    <n v="2.71"/>
    <n v="36.159999999999997"/>
    <n v="33.450000000000003"/>
    <n v="34.81"/>
    <n v="84762.5625"/>
    <n v="4238.1281250000002"/>
    <n v="89000.690625000003"/>
    <n v="2670.02071875"/>
    <n v="91670.711343750008"/>
    <n v="12833.899588125003"/>
    <n v="104504.61093187501"/>
    <m/>
    <n v="104504.61093187501"/>
    <n v="5225.2305465937507"/>
    <n v="109729.84147846876"/>
    <m/>
    <n v="109729.84147846876"/>
    <n v="1097.2984147846876"/>
    <n v="110827.13989325345"/>
    <n v="5541.3569946626731"/>
    <n v="116368.49688791612"/>
    <m/>
    <n v="116368.49688791612"/>
    <n v="3491.0549066374833"/>
    <n v="119859.5517945536"/>
    <m/>
    <n v="119859.5517945536"/>
    <m/>
    <n v="119859.5517945536"/>
    <m/>
    <n v="119859.5517945536"/>
    <m/>
    <n v="119859.5517945536"/>
    <m/>
    <n v="119859.5517945536"/>
    <m/>
    <n v="119859.5517945536"/>
    <m/>
    <n v="119859.5517945536"/>
    <n v="599.29775897276795"/>
    <n v="120458.84955352636"/>
    <m/>
    <n v="120458.84955352636"/>
    <n v="2409.1769910705275"/>
    <n v="122868.0265445969"/>
    <n v="6143.4013272298453"/>
    <n v="129011.42787182675"/>
    <n v="16771.485623337478"/>
    <n v="145782.91349516422"/>
    <n v="35"/>
    <n v="145817.91349516422"/>
    <m/>
    <n v="145817.91349516422"/>
    <n v="145817.91"/>
    <n v="5076000"/>
    <m/>
    <n v="0.02"/>
    <n v="101520"/>
    <n v="142903.76328641194"/>
    <n v="4974480"/>
    <x v="1"/>
    <m/>
    <n v="142903.76328641194"/>
    <n v="0"/>
    <n v="4974480"/>
    <s v="Хит"/>
    <s v="Скидка иногородним"/>
    <x v="0"/>
    <x v="0"/>
    <b v="1"/>
    <s v="АГ-005-В-05-07-256"/>
    <m/>
    <s v="ДА"/>
    <s v="Черновая"/>
    <b v="1"/>
    <n v="4974480"/>
    <n v="0"/>
    <b v="1"/>
    <d v="2025-03-19T00:00:00"/>
    <s v="Нуждина"/>
  </r>
  <r>
    <n v="257"/>
    <x v="2"/>
    <x v="5"/>
    <x v="0"/>
    <x v="1"/>
    <n v="17.63"/>
    <n v="13.69"/>
    <m/>
    <n v="31.32"/>
    <n v="20.05"/>
    <n v="3.54"/>
    <n v="2.93"/>
    <m/>
    <n v="12.19"/>
    <n v="4.6500000000000004"/>
    <n v="2.68"/>
    <m/>
    <n v="7.33"/>
    <n v="77.36"/>
    <n v="70.03"/>
    <n v="73.7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n v="86852.95"/>
    <n v="6401100"/>
    <m/>
    <n v="0.02"/>
    <n v="128022"/>
    <n v="85116.390773405699"/>
    <n v="6273078"/>
    <x v="2"/>
    <n v="22000"/>
    <n v="107116.3907734057"/>
    <n v="1621400"/>
    <n v="7894478"/>
    <s v="Антихит"/>
    <s v="Скидка иногородним"/>
    <x v="0"/>
    <x v="0"/>
    <b v="1"/>
    <s v="АГ-005-В-06-01-257"/>
    <m/>
    <s v="ДА"/>
    <s v="Чистовая"/>
    <b v="1"/>
    <n v="7894478"/>
    <n v="0"/>
    <b v="1"/>
    <d v="2023-12-25T00:00:00"/>
    <s v="Дик"/>
  </r>
  <r>
    <n v="258"/>
    <x v="2"/>
    <x v="5"/>
    <x v="1"/>
    <x v="2"/>
    <n v="7.18"/>
    <m/>
    <m/>
    <n v="7.18"/>
    <n v="5.17"/>
    <n v="3.72"/>
    <m/>
    <m/>
    <n v="6.97"/>
    <n v="2.97"/>
    <m/>
    <m/>
    <n v="2.97"/>
    <n v="26.01"/>
    <n v="23.04"/>
    <n v="24.53"/>
    <n v="91105.56"/>
    <n v="4555.2780000000002"/>
    <n v="95660.838000000003"/>
    <n v="2869.8251399999999"/>
    <n v="98530.663140000004"/>
    <n v="12808.986208200002"/>
    <n v="111339.64934820001"/>
    <n v="3340.1894804460003"/>
    <n v="114679.83882864601"/>
    <m/>
    <n v="114679.83882864601"/>
    <m/>
    <n v="114679.83882864601"/>
    <n v="1146.7983882864601"/>
    <n v="115826.63721693247"/>
    <n v="5791.3318608466243"/>
    <n v="121617.9690777791"/>
    <m/>
    <n v="121617.9690777791"/>
    <n v="3648.5390723333726"/>
    <n v="125266.50815011247"/>
    <m/>
    <n v="125266.50815011247"/>
    <m/>
    <n v="125266.50815011247"/>
    <m/>
    <n v="125266.50815011247"/>
    <n v="1252.6650815011246"/>
    <n v="126519.17323161359"/>
    <m/>
    <n v="126519.17323161359"/>
    <m/>
    <n v="126519.17323161359"/>
    <m/>
    <n v="126519.17323161359"/>
    <m/>
    <n v="126519.17323161359"/>
    <m/>
    <n v="126519.17323161359"/>
    <m/>
    <n v="126519.17323161359"/>
    <m/>
    <n v="126519.17323161359"/>
    <m/>
    <n v="126519.17323161359"/>
    <m/>
    <n v="126519.17323161359"/>
    <m/>
    <n v="126519.17323161359"/>
    <n v="126519.17"/>
    <n v="3103600"/>
    <m/>
    <m/>
    <n v="0"/>
    <n v="126522.62535670606"/>
    <n v="3103600"/>
    <x v="2"/>
    <n v="20000"/>
    <n v="146522.62535670606"/>
    <n v="490600"/>
    <n v="3594200"/>
    <m/>
    <m/>
    <x v="0"/>
    <x v="0"/>
    <b v="1"/>
    <s v="АГ-005-В-06-02-258"/>
    <m/>
    <s v="ДА"/>
    <s v="Чистовая"/>
    <b v="1"/>
    <n v="3594200"/>
    <n v="0"/>
    <b v="1"/>
    <d v="2024-05-29T00:00:00"/>
    <s v="Дик"/>
  </r>
  <r>
    <n v="259"/>
    <x v="2"/>
    <x v="5"/>
    <x v="2"/>
    <x v="1"/>
    <n v="13.69"/>
    <n v="10.16"/>
    <m/>
    <n v="23.85"/>
    <n v="18.71"/>
    <n v="3.49"/>
    <n v="2.11"/>
    <m/>
    <n v="7.09"/>
    <n v="2.65"/>
    <m/>
    <m/>
    <n v="2.65"/>
    <n v="57.9"/>
    <n v="55.25"/>
    <n v="56.58"/>
    <n v="79535.67300000001"/>
    <n v="3976.7836500000008"/>
    <n v="83512.456650000007"/>
    <n v="2505.3736994999999"/>
    <n v="86017.8303495"/>
    <m/>
    <n v="86017.8303495"/>
    <m/>
    <n v="86017.8303495"/>
    <m/>
    <n v="86017.8303495"/>
    <m/>
    <n v="86017.8303495"/>
    <n v="860.17830349500002"/>
    <n v="86878.008652995006"/>
    <n v="4343.9004326497507"/>
    <n v="91221.909085644758"/>
    <m/>
    <n v="91221.909085644758"/>
    <n v="1824.4381817128951"/>
    <n v="93046.347267357647"/>
    <m/>
    <n v="93046.347267357647"/>
    <n v="1860.9269453471529"/>
    <n v="94907.274212704797"/>
    <n v="150"/>
    <n v="95057.274212704797"/>
    <n v="950.57274212704795"/>
    <n v="96007.846954831839"/>
    <m/>
    <n v="96007.846954831839"/>
    <m/>
    <n v="96007.846954831839"/>
    <m/>
    <n v="96007.846954831839"/>
    <n v="2400.196173870796"/>
    <n v="98408.043128702629"/>
    <n v="500"/>
    <n v="98908.043128702629"/>
    <n v="3956.3217251481051"/>
    <n v="102864.36485385074"/>
    <n v="6171.861891231044"/>
    <n v="109036.22674508179"/>
    <n v="14174.709476860633"/>
    <n v="123210.93622194242"/>
    <n v="35"/>
    <n v="123245.93622194242"/>
    <m/>
    <n v="123245.93622194242"/>
    <n v="123245.94"/>
    <n v="6973300"/>
    <n v="40000"/>
    <m/>
    <n v="40000"/>
    <n v="122539.76670201485"/>
    <n v="6933300"/>
    <x v="2"/>
    <n v="25000"/>
    <n v="147539.76670201484"/>
    <n v="1414499.9999999991"/>
    <n v="8347799.9999999991"/>
    <s v="Хит"/>
    <s v="Скидка с елки"/>
    <x v="0"/>
    <x v="0"/>
    <b v="1"/>
    <s v="АГ-005-В-06-03-259"/>
    <m/>
    <s v="ДА"/>
    <s v="Чистовая"/>
    <b v="1"/>
    <n v="8347800"/>
    <n v="9.3132257461547852E-10"/>
    <b v="1"/>
    <d v="2024-12-23T00:00:00"/>
    <s v="Полехович"/>
  </r>
  <r>
    <n v="260"/>
    <x v="2"/>
    <x v="5"/>
    <x v="3"/>
    <x v="1"/>
    <n v="15.45"/>
    <n v="10.34"/>
    <m/>
    <n v="25.79"/>
    <n v="15.44"/>
    <n v="4.59"/>
    <n v="2.21"/>
    <m/>
    <n v="10.79"/>
    <n v="2.84"/>
    <m/>
    <m/>
    <n v="2.84"/>
    <n v="61.66"/>
    <n v="58.82"/>
    <n v="60.24"/>
    <n v="81466.150500000003"/>
    <n v="4073.3075250000002"/>
    <n v="85539.458025"/>
    <n v="2566.1837407499997"/>
    <n v="88105.641765749999"/>
    <m/>
    <n v="88105.641765749999"/>
    <m/>
    <n v="88105.641765749999"/>
    <m/>
    <n v="88105.641765749999"/>
    <m/>
    <n v="88105.641765749999"/>
    <n v="881.05641765749999"/>
    <n v="88986.698183407498"/>
    <n v="4449.3349091703749"/>
    <n v="93436.033092577869"/>
    <m/>
    <n v="93436.033092577869"/>
    <n v="1868.7206618515575"/>
    <n v="95304.753754429432"/>
    <m/>
    <n v="95304.753754429432"/>
    <n v="1906.0950750885886"/>
    <n v="97210.848829518014"/>
    <m/>
    <n v="97210.848829518014"/>
    <m/>
    <n v="97210.848829518014"/>
    <m/>
    <n v="97210.848829518014"/>
    <m/>
    <n v="97210.848829518014"/>
    <m/>
    <n v="97210.848829518014"/>
    <n v="486.05424414759005"/>
    <n v="97696.903073665599"/>
    <m/>
    <n v="97696.903073665599"/>
    <n v="3907.876122946624"/>
    <n v="101604.77919661222"/>
    <n v="6096.2867517967325"/>
    <n v="107701.06594840896"/>
    <n v="14001.138573293165"/>
    <n v="121702.20452170212"/>
    <n v="35"/>
    <n v="121737.20452170212"/>
    <m/>
    <n v="121737.20452170212"/>
    <n v="121737.2"/>
    <n v="7333500"/>
    <n v="300000"/>
    <m/>
    <n v="300000"/>
    <n v="116757.96812749004"/>
    <n v="7033500"/>
    <x v="1"/>
    <m/>
    <n v="116757.96812749004"/>
    <n v="0"/>
    <n v="7033500"/>
    <m/>
    <m/>
    <x v="0"/>
    <x v="0"/>
    <b v="1"/>
    <s v="АГ-005-В-06-04-260"/>
    <m/>
    <s v="ДА"/>
    <s v="Черновая"/>
    <b v="1"/>
    <n v="7033500"/>
    <n v="0"/>
    <b v="1"/>
    <s v=" "/>
    <s v=""/>
  </r>
  <r>
    <n v="261"/>
    <x v="2"/>
    <x v="5"/>
    <x v="4"/>
    <x v="0"/>
    <n v="12.54"/>
    <m/>
    <m/>
    <n v="12.54"/>
    <n v="12.74"/>
    <n v="4.0199999999999996"/>
    <m/>
    <m/>
    <n v="7.09"/>
    <n v="2.84"/>
    <m/>
    <m/>
    <n v="2.84"/>
    <n v="39.229999999999997"/>
    <n v="36.39"/>
    <n v="37.81"/>
    <n v="88412.625"/>
    <n v="4420.6312500000004"/>
    <n v="92833.256250000006"/>
    <n v="2784.9976875000002"/>
    <n v="95618.253937500005"/>
    <n v="4302.8214271875004"/>
    <n v="99921.075364687509"/>
    <m/>
    <n v="99921.075364687509"/>
    <n v="4996.0537682343756"/>
    <n v="104917.12913292188"/>
    <n v="-620"/>
    <n v="104297.12913292188"/>
    <n v="1042.9712913292187"/>
    <n v="105340.1004242511"/>
    <n v="5267.0050212125552"/>
    <n v="110607.10544546365"/>
    <m/>
    <n v="110607.10544546365"/>
    <n v="3318.2131633639092"/>
    <n v="113925.31860882755"/>
    <m/>
    <n v="113925.31860882755"/>
    <m/>
    <n v="113925.31860882755"/>
    <m/>
    <n v="113925.31860882755"/>
    <n v="1139.2531860882755"/>
    <n v="115064.57179491583"/>
    <m/>
    <n v="115064.57179491583"/>
    <m/>
    <n v="115064.57179491583"/>
    <m/>
    <n v="115064.57179491583"/>
    <n v="575.32285897457916"/>
    <n v="115639.89465389041"/>
    <m/>
    <n v="115639.89465389041"/>
    <m/>
    <n v="115639.89465389041"/>
    <n v="5781.9947326945212"/>
    <n v="121421.88938658494"/>
    <n v="15784.845620256043"/>
    <n v="137206.73500684099"/>
    <n v="35"/>
    <n v="137241.73500684099"/>
    <m/>
    <n v="137241.73500684099"/>
    <n v="137241.74"/>
    <n v="5189200"/>
    <m/>
    <m/>
    <n v="0"/>
    <n v="137244.11531340913"/>
    <n v="5189200"/>
    <x v="3"/>
    <n v="10000"/>
    <n v="147244.11531340913"/>
    <n v="378099.99999999907"/>
    <n v="5567299.9999999991"/>
    <m/>
    <m/>
    <x v="1"/>
    <x v="1"/>
    <b v="1"/>
    <s v="АГ-005-В-06-05-261"/>
    <m/>
    <s v="ДА"/>
    <s v="White Box"/>
    <b v="1"/>
    <n v="5567300"/>
    <n v="9.3132257461547852E-10"/>
    <b v="1"/>
    <s v=" "/>
    <s v=""/>
  </r>
  <r>
    <n v="262"/>
    <x v="2"/>
    <x v="5"/>
    <x v="5"/>
    <x v="3"/>
    <n v="17.2"/>
    <n v="14.64"/>
    <n v="14.34"/>
    <n v="46.18"/>
    <n v="13.15"/>
    <n v="4.03"/>
    <n v="1.76"/>
    <m/>
    <n v="13.11"/>
    <n v="2.79"/>
    <n v="2.68"/>
    <m/>
    <n v="5.4700000000000006"/>
    <n v="83.7"/>
    <n v="78.23"/>
    <n v="80.97"/>
    <n v="74234.160000000018"/>
    <n v="3711.708000000001"/>
    <n v="77945.868000000017"/>
    <n v="2338.3760400000006"/>
    <n v="80284.24404000002"/>
    <m/>
    <n v="80284.24404000002"/>
    <m/>
    <n v="80284.24404000002"/>
    <m/>
    <n v="80284.24404000002"/>
    <m/>
    <n v="80284.24404000002"/>
    <n v="802.84244040000021"/>
    <n v="81087.086480400016"/>
    <n v="4054.3543240200011"/>
    <n v="85141.44080442001"/>
    <m/>
    <n v="85141.44080442001"/>
    <n v="1702.8288160884003"/>
    <n v="86844.269620508407"/>
    <m/>
    <n v="86844.269620508407"/>
    <n v="1736.8853924101682"/>
    <n v="88581.155012918578"/>
    <m/>
    <n v="88581.155012918578"/>
    <n v="885.81155012918578"/>
    <n v="89466.966563047768"/>
    <m/>
    <n v="89466.966563047768"/>
    <n v="447.33483281523883"/>
    <n v="89914.301395863004"/>
    <n v="1798.2860279172601"/>
    <n v="91712.587423780264"/>
    <n v="1375.6888113567038"/>
    <n v="93088.27623513696"/>
    <m/>
    <n v="93088.27623513696"/>
    <m/>
    <n v="93088.27623513696"/>
    <m/>
    <n v="93088.27623513696"/>
    <m/>
    <n v="93088.27623513696"/>
    <m/>
    <n v="93088.27623513696"/>
    <m/>
    <n v="93088.27623513696"/>
    <n v="93088.28"/>
    <n v="7537400"/>
    <m/>
    <m/>
    <n v="0"/>
    <n v="93088.798320365575"/>
    <n v="7537400"/>
    <x v="1"/>
    <m/>
    <n v="93088.798320365575"/>
    <n v="0"/>
    <n v="7537400.0000000009"/>
    <m/>
    <m/>
    <x v="0"/>
    <x v="0"/>
    <b v="1"/>
    <s v="АГ-005-В-06-06-262"/>
    <m/>
    <s v="ДА"/>
    <s v="Черновая"/>
    <b v="1"/>
    <n v="7537400"/>
    <n v="-9.3132257461547852E-10"/>
    <b v="1"/>
    <d v="2024-07-26T00:00:00"/>
    <s v="Полехович"/>
  </r>
  <r>
    <n v="263"/>
    <x v="2"/>
    <x v="5"/>
    <x v="6"/>
    <x v="0"/>
    <n v="14.3"/>
    <m/>
    <m/>
    <n v="14.3"/>
    <n v="9.2799999999999994"/>
    <n v="3.79"/>
    <m/>
    <m/>
    <n v="6.08"/>
    <n v="2.71"/>
    <m/>
    <m/>
    <n v="2.71"/>
    <n v="36.159999999999997"/>
    <n v="33.450000000000003"/>
    <n v="34.81"/>
    <n v="85573.6875"/>
    <n v="4278.6843749999998"/>
    <n v="89852.371874999997"/>
    <n v="2695.5711562499996"/>
    <n v="92547.94303124999"/>
    <n v="12956.712024375"/>
    <n v="105504.65505562499"/>
    <m/>
    <n v="105504.65505562499"/>
    <n v="5275.2327527812495"/>
    <n v="110779.88780840623"/>
    <m/>
    <n v="110779.88780840623"/>
    <n v="1107.7988780840624"/>
    <n v="111887.6866864903"/>
    <n v="5594.3843343245153"/>
    <n v="117482.07102081481"/>
    <m/>
    <n v="117482.07102081481"/>
    <n v="3524.4621306244439"/>
    <n v="121006.53315143925"/>
    <m/>
    <n v="121006.53315143925"/>
    <m/>
    <n v="121006.53315143925"/>
    <m/>
    <n v="121006.53315143925"/>
    <m/>
    <n v="121006.53315143925"/>
    <m/>
    <n v="121006.53315143925"/>
    <m/>
    <n v="121006.53315143925"/>
    <m/>
    <n v="121006.53315143925"/>
    <n v="605.03266575719624"/>
    <n v="121611.56581719645"/>
    <m/>
    <n v="121611.56581719645"/>
    <n v="2432.2313163439289"/>
    <n v="124043.79713354037"/>
    <m/>
    <n v="124043.79713354037"/>
    <m/>
    <n v="124043.79713354037"/>
    <m/>
    <n v="124043.79713354037"/>
    <m/>
    <n v="124043.79713354037"/>
    <n v="124043.8"/>
    <n v="4318000"/>
    <m/>
    <n v="0.03"/>
    <n v="129540"/>
    <n v="120323.47026716459"/>
    <n v="4188460"/>
    <x v="2"/>
    <n v="20000"/>
    <n v="140323.47026716458"/>
    <n v="696199.99999999907"/>
    <n v="4884659.9999999991"/>
    <s v="Хит"/>
    <s v="Ветеран боевых действий"/>
    <x v="0"/>
    <x v="0"/>
    <b v="1"/>
    <s v="АГ-005-В-06-07-263"/>
    <m/>
    <s v="ДА"/>
    <s v="Чистовая"/>
    <b v="1"/>
    <n v="4884660"/>
    <n v="9.3132257461547852E-10"/>
    <b v="1"/>
    <d v="2024-09-20T00:00:00"/>
    <s v="Дик"/>
  </r>
  <r>
    <n v="264"/>
    <x v="2"/>
    <x v="6"/>
    <x v="0"/>
    <x v="1"/>
    <n v="17.63"/>
    <n v="13.69"/>
    <m/>
    <n v="31.32"/>
    <n v="20.05"/>
    <n v="3.54"/>
    <n v="2.93"/>
    <m/>
    <n v="12.19"/>
    <n v="4.6500000000000004"/>
    <n v="2.68"/>
    <m/>
    <n v="7.33"/>
    <n v="77.36"/>
    <n v="70.03"/>
    <n v="73.7"/>
    <n v="78763.482000000004"/>
    <n v="3938.1741000000002"/>
    <n v="82701.656100000007"/>
    <n v="2481.0496830000002"/>
    <n v="85182.705783000012"/>
    <m/>
    <n v="85182.705783000012"/>
    <m/>
    <n v="85182.705783000012"/>
    <m/>
    <n v="85182.705783000012"/>
    <m/>
    <n v="85182.705783000012"/>
    <n v="851.82705783000017"/>
    <n v="86034.532840830012"/>
    <n v="4301.7266420415008"/>
    <n v="90336.259482871508"/>
    <m/>
    <n v="90336.259482871508"/>
    <n v="1806.7251896574303"/>
    <n v="92142.984672528939"/>
    <m/>
    <n v="92142.984672528939"/>
    <n v="1842.8596934505788"/>
    <n v="93985.844365979516"/>
    <m/>
    <n v="93985.844365979516"/>
    <m/>
    <n v="93985.844365979516"/>
    <m/>
    <n v="93985.844365979516"/>
    <m/>
    <n v="93985.844365979516"/>
    <m/>
    <n v="93985.844365979516"/>
    <n v="469.92922182989759"/>
    <n v="94455.77358780941"/>
    <m/>
    <n v="94455.77358780941"/>
    <m/>
    <n v="94455.77358780941"/>
    <n v="7556.4618870247532"/>
    <n v="102012.23547483416"/>
    <n v="13261.590611728441"/>
    <n v="115273.82608656261"/>
    <n v="35"/>
    <n v="115308.82608656261"/>
    <m/>
    <n v="115308.82608656261"/>
    <n v="115308.83"/>
    <n v="8498300"/>
    <m/>
    <m/>
    <n v="0"/>
    <n v="115309.36227951152"/>
    <n v="8498300"/>
    <x v="3"/>
    <n v="10000"/>
    <n v="125309.36227951152"/>
    <n v="737000"/>
    <n v="9235300"/>
    <s v="Антихит"/>
    <m/>
    <x v="1"/>
    <x v="1"/>
    <b v="1"/>
    <s v="АГ-005-В-07-01-264"/>
    <m/>
    <s v="ДА"/>
    <s v="White Box"/>
    <b v="1"/>
    <n v="9235300"/>
    <n v="0"/>
    <b v="1"/>
    <s v=" "/>
    <s v=""/>
  </r>
  <r>
    <n v="265"/>
    <x v="2"/>
    <x v="6"/>
    <x v="1"/>
    <x v="2"/>
    <n v="7.18"/>
    <m/>
    <m/>
    <n v="7.18"/>
    <n v="5.17"/>
    <n v="3.72"/>
    <m/>
    <m/>
    <n v="6.97"/>
    <n v="2.97"/>
    <m/>
    <m/>
    <n v="2.97"/>
    <n v="26.01"/>
    <n v="23.04"/>
    <n v="24.53"/>
    <n v="91981.574999999997"/>
    <n v="4599.0787499999997"/>
    <n v="96580.653749999998"/>
    <n v="2897.4196124999999"/>
    <n v="99478.073362499999"/>
    <n v="12932.149537125"/>
    <n v="112410.22289962501"/>
    <n v="3372.3066869887502"/>
    <n v="115782.52958661376"/>
    <m/>
    <n v="115782.52958661376"/>
    <m/>
    <n v="115782.52958661376"/>
    <n v="1157.8252958661376"/>
    <n v="116940.35488247989"/>
    <n v="5847.0177441239948"/>
    <n v="122787.37262660389"/>
    <m/>
    <n v="122787.37262660389"/>
    <n v="3683.6211787981165"/>
    <n v="126470.993805402"/>
    <m/>
    <n v="126470.993805402"/>
    <m/>
    <n v="126470.993805402"/>
    <m/>
    <n v="126470.993805402"/>
    <n v="1264.7099380540201"/>
    <n v="127735.70374345602"/>
    <m/>
    <n v="127735.70374345602"/>
    <n v="638.6785187172801"/>
    <n v="128374.3822621733"/>
    <m/>
    <n v="128374.3822621733"/>
    <n v="1925.6157339325994"/>
    <n v="130299.9979961059"/>
    <m/>
    <n v="130299.9979961059"/>
    <m/>
    <n v="130299.9979961059"/>
    <m/>
    <n v="130299.9979961059"/>
    <m/>
    <n v="130299.9979961059"/>
    <m/>
    <n v="130299.9979961059"/>
    <m/>
    <n v="130299.9979961059"/>
    <n v="130300"/>
    <n v="3196300"/>
    <m/>
    <m/>
    <n v="0"/>
    <n v="130301.67142274765"/>
    <n v="3196300"/>
    <x v="3"/>
    <n v="8000"/>
    <n v="138301.67142274766"/>
    <n v="196240.00000000047"/>
    <n v="3392540.0000000005"/>
    <m/>
    <m/>
    <x v="0"/>
    <x v="0"/>
    <b v="1"/>
    <s v="АГ-005-В-07-02-265"/>
    <m/>
    <s v="ДА"/>
    <s v="White Box"/>
    <b v="1"/>
    <n v="3392540"/>
    <n v="-4.6566128730773926E-10"/>
    <b v="1"/>
    <d v="2024-10-29T00:00:00"/>
    <s v="Дик"/>
  </r>
  <r>
    <n v="266"/>
    <x v="2"/>
    <x v="6"/>
    <x v="2"/>
    <x v="1"/>
    <n v="13.69"/>
    <n v="10.16"/>
    <m/>
    <n v="23.85"/>
    <n v="18.71"/>
    <n v="3.49"/>
    <n v="2.11"/>
    <m/>
    <n v="7.09"/>
    <n v="2.65"/>
    <m/>
    <m/>
    <n v="2.65"/>
    <n v="57.9"/>
    <n v="55.25"/>
    <n v="56.58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n v="1108.2870405943008"/>
    <n v="96936.991100024374"/>
    <m/>
    <n v="96936.991100024374"/>
    <m/>
    <n v="96936.991100024374"/>
    <m/>
    <n v="96936.991100024374"/>
    <m/>
    <n v="96936.991100024374"/>
    <m/>
    <n v="96936.991100024374"/>
    <m/>
    <n v="96936.991100024374"/>
    <m/>
    <n v="96936.991100024374"/>
    <m/>
    <n v="96936.991100024374"/>
    <m/>
    <n v="96936.991100024374"/>
    <m/>
    <n v="96936.991100024374"/>
    <m/>
    <n v="96936.991100024374"/>
    <n v="96936.99"/>
    <n v="5484700"/>
    <m/>
    <m/>
    <n v="0"/>
    <n v="96937.080240367621"/>
    <n v="5484700"/>
    <x v="3"/>
    <n v="7000"/>
    <n v="103937.08024036762"/>
    <n v="396060"/>
    <n v="5880760"/>
    <s v="Хит"/>
    <m/>
    <x v="0"/>
    <x v="0"/>
    <b v="1"/>
    <s v="АГ-005-В-07-03-266"/>
    <m/>
    <s v="ДА"/>
    <s v="White Box"/>
    <b v="1"/>
    <n v="5880760"/>
    <n v="0"/>
    <b v="1"/>
    <d v="2024-05-24T00:00:00"/>
    <s v="Никишов"/>
  </r>
  <r>
    <n v="267"/>
    <x v="2"/>
    <x v="6"/>
    <x v="3"/>
    <x v="1"/>
    <n v="15.45"/>
    <n v="10.34"/>
    <m/>
    <n v="25.79"/>
    <n v="15.44"/>
    <n v="4.59"/>
    <n v="2.21"/>
    <m/>
    <n v="10.79"/>
    <n v="2.84"/>
    <m/>
    <m/>
    <n v="2.84"/>
    <n v="61.66"/>
    <n v="58.82"/>
    <n v="60.24"/>
    <n v="82238.34150000001"/>
    <n v="4111.9170750000003"/>
    <n v="86350.258575000014"/>
    <n v="2590.5077572500004"/>
    <n v="88940.766332250016"/>
    <m/>
    <n v="88940.766332250016"/>
    <m/>
    <n v="88940.766332250016"/>
    <m/>
    <n v="88940.766332250016"/>
    <m/>
    <n v="88940.766332250016"/>
    <n v="889.40766332250018"/>
    <n v="89830.173995572521"/>
    <n v="4491.5086997786266"/>
    <n v="94321.682695351148"/>
    <m/>
    <n v="94321.682695351148"/>
    <n v="1886.433653907023"/>
    <n v="96208.116349258169"/>
    <m/>
    <n v="96208.116349258169"/>
    <n v="1924.1623269851634"/>
    <n v="98132.278676243339"/>
    <m/>
    <n v="98132.278676243339"/>
    <m/>
    <n v="98132.278676243339"/>
    <m/>
    <n v="98132.278676243339"/>
    <m/>
    <n v="98132.278676243339"/>
    <m/>
    <n v="98132.278676243339"/>
    <n v="490.66139338121673"/>
    <n v="98622.940069624558"/>
    <m/>
    <n v="98622.940069624558"/>
    <m/>
    <n v="98622.940069624558"/>
    <m/>
    <n v="98622.940069624558"/>
    <m/>
    <n v="98622.940069624558"/>
    <m/>
    <n v="98622.940069624558"/>
    <m/>
    <n v="98622.940069624558"/>
    <n v="98622.94"/>
    <n v="5941100"/>
    <m/>
    <m/>
    <n v="0"/>
    <n v="98623.837981407705"/>
    <n v="5941100"/>
    <x v="3"/>
    <n v="7000"/>
    <n v="105623.83798140771"/>
    <n v="421680"/>
    <n v="6362780"/>
    <m/>
    <m/>
    <x v="0"/>
    <x v="0"/>
    <b v="1"/>
    <s v="АГ-005-В-07-04-267"/>
    <m/>
    <s v="ДА"/>
    <s v="White Box"/>
    <b v="1"/>
    <n v="6362780"/>
    <n v="0"/>
    <b v="1"/>
    <d v="2024-08-29T00:00:00"/>
    <s v="Полехович"/>
  </r>
  <r>
    <n v="268"/>
    <x v="2"/>
    <x v="6"/>
    <x v="4"/>
    <x v="0"/>
    <n v="12.54"/>
    <m/>
    <m/>
    <n v="12.54"/>
    <n v="12.74"/>
    <n v="4.0199999999999996"/>
    <m/>
    <m/>
    <n v="7.09"/>
    <n v="2.84"/>
    <m/>
    <m/>
    <n v="2.84"/>
    <n v="39.229999999999997"/>
    <n v="36.39"/>
    <n v="37.81"/>
    <n v="89223.75"/>
    <n v="4461.1875"/>
    <n v="93684.9375"/>
    <n v="2810.5481249999998"/>
    <n v="96495.485625000001"/>
    <n v="4342.2968531249999"/>
    <n v="100837.78247812499"/>
    <m/>
    <n v="100837.78247812499"/>
    <n v="5041.8891239062505"/>
    <n v="105879.67160203125"/>
    <n v="-620"/>
    <n v="105259.67160203125"/>
    <n v="1052.5967160203124"/>
    <n v="106312.26831805156"/>
    <n v="5315.6134159025787"/>
    <n v="111627.88173395414"/>
    <m/>
    <n v="111627.88173395414"/>
    <m/>
    <n v="111627.88173395414"/>
    <m/>
    <n v="111627.88173395414"/>
    <m/>
    <n v="111627.88173395414"/>
    <m/>
    <n v="111627.88173395414"/>
    <m/>
    <n v="111627.88173395414"/>
    <m/>
    <n v="111627.88173395414"/>
    <m/>
    <n v="111627.88173395414"/>
    <m/>
    <n v="111627.88173395414"/>
    <m/>
    <n v="111627.88173395414"/>
    <m/>
    <n v="111627.88173395414"/>
    <m/>
    <n v="111627.88173395414"/>
    <m/>
    <n v="111627.88173395414"/>
    <m/>
    <n v="111627.88173395414"/>
    <m/>
    <n v="111627.88173395414"/>
    <m/>
    <n v="111627.88173395414"/>
    <n v="111627.88"/>
    <n v="4220700"/>
    <n v="88888"/>
    <m/>
    <n v="88888"/>
    <n v="109278.2861676805"/>
    <n v="4131812"/>
    <x v="2"/>
    <n v="20000"/>
    <n v="129278.2861676805"/>
    <n v="756200"/>
    <n v="4888012"/>
    <m/>
    <s v="Весна"/>
    <x v="0"/>
    <x v="0"/>
    <b v="1"/>
    <s v="АГ-005-В-07-05-268"/>
    <m/>
    <s v="ДА"/>
    <s v="Чистовая"/>
    <b v="1"/>
    <n v="4888012"/>
    <n v="0"/>
    <b v="1"/>
    <d v="2024-03-12T00:00:00"/>
    <s v="Полехович"/>
  </r>
  <r>
    <n v="269"/>
    <x v="2"/>
    <x v="6"/>
    <x v="5"/>
    <x v="3"/>
    <n v="17.2"/>
    <n v="14.64"/>
    <n v="14.34"/>
    <n v="46.18"/>
    <n v="13.15"/>
    <n v="4.03"/>
    <n v="1.76"/>
    <m/>
    <n v="13.11"/>
    <n v="2.79"/>
    <n v="2.68"/>
    <m/>
    <n v="5.4700000000000006"/>
    <n v="83.7"/>
    <n v="78.23"/>
    <n v="80.97"/>
    <n v="73520.37000000001"/>
    <n v="3676.0185000000006"/>
    <n v="77196.388500000015"/>
    <n v="2315.8916550000004"/>
    <n v="79512.280155000015"/>
    <m/>
    <n v="79512.280155000015"/>
    <m/>
    <n v="79512.280155000015"/>
    <m/>
    <n v="79512.280155000015"/>
    <m/>
    <n v="79512.280155000015"/>
    <n v="795.12280155000019"/>
    <n v="80307.40295655001"/>
    <n v="4015.3701478275007"/>
    <n v="84322.773104377513"/>
    <m/>
    <n v="84322.773104377513"/>
    <n v="1686.4554620875504"/>
    <n v="86009.22856646507"/>
    <m/>
    <n v="86009.22856646507"/>
    <n v="1720.1845713293014"/>
    <n v="87729.41313779437"/>
    <m/>
    <n v="87729.41313779437"/>
    <n v="877.2941313779437"/>
    <n v="88606.707269172315"/>
    <m/>
    <n v="88606.707269172315"/>
    <n v="443.03353634586159"/>
    <n v="89049.740805518173"/>
    <n v="1780.9948161103634"/>
    <n v="90830.735621628541"/>
    <n v="1362.4610343244281"/>
    <n v="92193.196655952968"/>
    <m/>
    <n v="92193.196655952968"/>
    <m/>
    <n v="92193.196655952968"/>
    <m/>
    <n v="92193.196655952968"/>
    <m/>
    <n v="92193.196655952968"/>
    <m/>
    <n v="92193.196655952968"/>
    <m/>
    <n v="92193.196655952968"/>
    <n v="92193.2"/>
    <n v="7464900"/>
    <m/>
    <m/>
    <n v="0"/>
    <n v="92193.404964801783"/>
    <n v="7464900"/>
    <x v="1"/>
    <m/>
    <n v="92193.404964801783"/>
    <n v="0"/>
    <n v="7464900"/>
    <m/>
    <m/>
    <x v="0"/>
    <x v="0"/>
    <b v="1"/>
    <s v="АГ-005-В-07-06-269"/>
    <m/>
    <s v="ДА"/>
    <s v="Черновая"/>
    <b v="1"/>
    <n v="7464900"/>
    <n v="0"/>
    <b v="1"/>
    <d v="2024-10-28T00:00:00"/>
    <s v="Дик"/>
  </r>
  <r>
    <n v="270"/>
    <x v="2"/>
    <x v="6"/>
    <x v="6"/>
    <x v="0"/>
    <n v="14.3"/>
    <m/>
    <m/>
    <n v="14.3"/>
    <n v="9.2799999999999994"/>
    <n v="3.79"/>
    <m/>
    <m/>
    <n v="6.08"/>
    <n v="2.71"/>
    <m/>
    <m/>
    <n v="2.71"/>
    <n v="36.159999999999997"/>
    <n v="33.450000000000003"/>
    <n v="34.81"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m/>
    <n v="84762.5625"/>
    <n v="84762.559999999998"/>
    <n v="2950584.71"/>
    <n v="20000"/>
    <m/>
    <n v="20000"/>
    <n v="84188.012352772188"/>
    <n v="2930584.71"/>
    <x v="0"/>
    <n v="4000"/>
    <n v="88188.012352772188"/>
    <n v="139240"/>
    <n v="3069824.71"/>
    <s v="Хит"/>
    <s v="Зачетная квартира"/>
    <x v="0"/>
    <x v="0"/>
    <b v="1"/>
    <s v="АГ-005-В-07-07-270"/>
    <m/>
    <s v="НЕТ"/>
    <s v="Предчистовая"/>
    <b v="1"/>
    <n v="3069824.71"/>
    <n v="0"/>
    <b v="1"/>
    <d v="2023-09-26T00:00:00"/>
    <s v="Дик"/>
  </r>
  <r>
    <n v="271"/>
    <x v="2"/>
    <x v="7"/>
    <x v="0"/>
    <x v="1"/>
    <n v="17.63"/>
    <n v="13.69"/>
    <m/>
    <n v="31.32"/>
    <n v="20.05"/>
    <n v="3.54"/>
    <n v="2.93"/>
    <m/>
    <n v="12.19"/>
    <n v="4.6500000000000004"/>
    <n v="2.68"/>
    <m/>
    <n v="7.33"/>
    <n v="77.36"/>
    <n v="70.03"/>
    <n v="73.7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n v="95828.7"/>
    <n v="7062600"/>
    <m/>
    <m/>
    <n v="0"/>
    <n v="95829.036635006778"/>
    <n v="7062600"/>
    <x v="3"/>
    <n v="7000"/>
    <n v="102829.03663500678"/>
    <n v="515900"/>
    <n v="7578500"/>
    <s v="Антихит"/>
    <m/>
    <x v="0"/>
    <x v="0"/>
    <b v="1"/>
    <s v="АГ-005-В-08-01-271"/>
    <m/>
    <s v="ДА"/>
    <s v="White Box"/>
    <b v="1"/>
    <n v="7578500"/>
    <n v="0"/>
    <b v="1"/>
    <d v="2024-06-18T00:00:00"/>
    <s v="Полехович"/>
  </r>
  <r>
    <n v="272"/>
    <x v="2"/>
    <x v="7"/>
    <x v="1"/>
    <x v="2"/>
    <n v="7.18"/>
    <m/>
    <m/>
    <n v="7.18"/>
    <n v="5.17"/>
    <n v="3.72"/>
    <m/>
    <m/>
    <n v="6.97"/>
    <n v="2.97"/>
    <m/>
    <m/>
    <n v="2.97"/>
    <n v="26.01"/>
    <n v="23.04"/>
    <n v="24.53"/>
    <n v="92857.59"/>
    <n v="4642.8795"/>
    <n v="97500.469499999992"/>
    <n v="2925.0140849999998"/>
    <n v="100425.48358499999"/>
    <n v="13055.312866050001"/>
    <n v="113480.79645105"/>
    <n v="3404.4238935314997"/>
    <n v="116885.2203445815"/>
    <m/>
    <n v="116885.2203445815"/>
    <m/>
    <n v="116885.2203445815"/>
    <n v="1168.8522034458149"/>
    <n v="118054.07254802731"/>
    <n v="5902.7036274013662"/>
    <n v="123956.77617542868"/>
    <m/>
    <n v="123956.77617542868"/>
    <n v="3718.7032852628599"/>
    <n v="127675.47946069154"/>
    <m/>
    <n v="127675.47946069154"/>
    <m/>
    <n v="127675.47946069154"/>
    <m/>
    <n v="127675.47946069154"/>
    <n v="1276.7547946069153"/>
    <n v="128952.23425529845"/>
    <m/>
    <n v="128952.23425529845"/>
    <n v="644.76117127649229"/>
    <n v="129596.99542657494"/>
    <m/>
    <n v="129596.99542657494"/>
    <n v="1943.954931398624"/>
    <n v="131540.95035797358"/>
    <m/>
    <n v="131540.95035797358"/>
    <m/>
    <n v="131540.95035797358"/>
    <n v="5261.6380143189435"/>
    <n v="136802.58837229252"/>
    <n v="17784.336488398028"/>
    <n v="154586.92486069055"/>
    <n v="35"/>
    <n v="154621.92486069055"/>
    <m/>
    <n v="154621.92486069055"/>
    <n v="154621.92000000001"/>
    <n v="3792900"/>
    <m/>
    <m/>
    <n v="0"/>
    <n v="154622.91072156542"/>
    <n v="3792900"/>
    <x v="1"/>
    <m/>
    <n v="154622.91072156542"/>
    <n v="0"/>
    <n v="3792900"/>
    <m/>
    <m/>
    <x v="2"/>
    <x v="2"/>
    <b v="1"/>
    <s v="АГ-005-В-08-02-272"/>
    <m/>
    <s v="ДА"/>
    <s v="Черновая"/>
    <b v="1"/>
    <n v="3792900"/>
    <n v="0"/>
    <b v="1"/>
    <s v=" "/>
    <s v=""/>
  </r>
  <r>
    <n v="273"/>
    <x v="2"/>
    <x v="7"/>
    <x v="2"/>
    <x v="1"/>
    <n v="13.69"/>
    <n v="10.16"/>
    <m/>
    <n v="23.85"/>
    <n v="18.71"/>
    <n v="3.49"/>
    <n v="2.11"/>
    <m/>
    <n v="7.09"/>
    <n v="2.65"/>
    <m/>
    <m/>
    <n v="2.65"/>
    <n v="57.9"/>
    <n v="55.25"/>
    <n v="56.58"/>
    <n v="81080.055000000008"/>
    <n v="4054.0027500000006"/>
    <n v="85134.057750000007"/>
    <n v="2554.0217325000003"/>
    <n v="87688.079482500005"/>
    <m/>
    <n v="87688.079482500005"/>
    <m/>
    <n v="87688.079482500005"/>
    <m/>
    <n v="87688.079482500005"/>
    <m/>
    <n v="87688.079482500005"/>
    <n v="876.88079482500007"/>
    <n v="88564.960277325008"/>
    <n v="4428.2480138662504"/>
    <n v="92993.208291191258"/>
    <m/>
    <n v="92993.208291191258"/>
    <n v="1859.8641658238253"/>
    <n v="94853.072457015078"/>
    <m/>
    <n v="94853.072457015078"/>
    <n v="1897.0614491403016"/>
    <n v="96750.133906155374"/>
    <n v="150"/>
    <n v="96900.133906155374"/>
    <m/>
    <n v="96900.133906155374"/>
    <m/>
    <n v="96900.133906155374"/>
    <m/>
    <n v="96900.133906155374"/>
    <m/>
    <n v="96900.133906155374"/>
    <m/>
    <n v="96900.133906155374"/>
    <m/>
    <n v="96900.133906155374"/>
    <m/>
    <n v="96900.133906155374"/>
    <m/>
    <n v="96900.133906155374"/>
    <m/>
    <n v="96900.133906155374"/>
    <m/>
    <n v="96900.133906155374"/>
    <m/>
    <n v="96900.133906155374"/>
    <n v="96900.13"/>
    <n v="5482700"/>
    <n v="90000"/>
    <m/>
    <n v="90000"/>
    <n v="95311.063980205028"/>
    <n v="5392700"/>
    <x v="3"/>
    <n v="7000"/>
    <n v="102311.06398020503"/>
    <n v="396060"/>
    <n v="5788760"/>
    <s v="Хит"/>
    <s v="Поехали в Амград"/>
    <x v="0"/>
    <x v="0"/>
    <b v="1"/>
    <s v="АГ-005-В-08-03-273"/>
    <m/>
    <s v="ДА"/>
    <s v="White Box"/>
    <b v="1"/>
    <n v="5788760"/>
    <n v="0"/>
    <b v="1"/>
    <d v="2024-05-27T00:00:00"/>
    <s v="Полехович"/>
  </r>
  <r>
    <n v="274"/>
    <x v="2"/>
    <x v="7"/>
    <x v="3"/>
    <x v="1"/>
    <n v="15.45"/>
    <n v="10.34"/>
    <m/>
    <n v="25.79"/>
    <n v="15.44"/>
    <n v="4.59"/>
    <n v="2.21"/>
    <m/>
    <n v="10.79"/>
    <n v="2.84"/>
    <m/>
    <m/>
    <n v="2.84"/>
    <n v="61.66"/>
    <n v="58.82"/>
    <n v="60.24"/>
    <n v="83010.532500000001"/>
    <n v="4150.5266250000004"/>
    <n v="87161.059125"/>
    <n v="2614.8317737499997"/>
    <n v="89775.890898750004"/>
    <m/>
    <n v="89775.890898750004"/>
    <m/>
    <n v="89775.890898750004"/>
    <m/>
    <n v="89775.890898750004"/>
    <m/>
    <n v="89775.890898750004"/>
    <n v="897.75890898750004"/>
    <n v="90673.6498077375"/>
    <n v="4533.6824903868755"/>
    <n v="95207.332298124369"/>
    <m/>
    <n v="95207.332298124369"/>
    <m/>
    <n v="95207.332298124369"/>
    <m/>
    <n v="95207.332298124369"/>
    <m/>
    <n v="95207.332298124369"/>
    <m/>
    <n v="95207.332298124369"/>
    <m/>
    <n v="95207.332298124369"/>
    <m/>
    <n v="95207.332298124369"/>
    <m/>
    <n v="95207.332298124369"/>
    <m/>
    <n v="95207.332298124369"/>
    <m/>
    <n v="95207.332298124369"/>
    <m/>
    <n v="95207.332298124369"/>
    <m/>
    <n v="95207.332298124369"/>
    <m/>
    <n v="95207.332298124369"/>
    <m/>
    <n v="95207.332298124369"/>
    <m/>
    <n v="95207.332298124369"/>
    <m/>
    <n v="95207.332298124369"/>
    <n v="95207.33"/>
    <n v="5735300"/>
    <m/>
    <n v="0.03"/>
    <n v="172059"/>
    <n v="92351.278220451524"/>
    <n v="5563241"/>
    <x v="2"/>
    <n v="20000"/>
    <n v="112351.27822045152"/>
    <n v="1204800"/>
    <n v="6768041"/>
    <m/>
    <s v="Ветеран боевых действий"/>
    <x v="0"/>
    <x v="0"/>
    <b v="1"/>
    <s v="АГ-005-В-08-04-274"/>
    <m/>
    <s v="ДА"/>
    <s v="Чистовая"/>
    <b v="1"/>
    <n v="6768041"/>
    <n v="0"/>
    <b v="1"/>
    <d v="2024-03-07T00:00:00"/>
    <s v="Дик"/>
  </r>
  <r>
    <n v="275"/>
    <x v="2"/>
    <x v="7"/>
    <x v="4"/>
    <x v="0"/>
    <n v="12.54"/>
    <m/>
    <m/>
    <n v="12.54"/>
    <n v="12.74"/>
    <n v="4.0199999999999996"/>
    <m/>
    <m/>
    <n v="7.09"/>
    <n v="2.84"/>
    <m/>
    <m/>
    <n v="2.84"/>
    <n v="39.229999999999997"/>
    <n v="36.39"/>
    <n v="37.81"/>
    <n v="90034.875"/>
    <m/>
    <n v="90034.875"/>
    <m/>
    <n v="90034.875"/>
    <m/>
    <n v="90034.875"/>
    <m/>
    <n v="90034.875"/>
    <m/>
    <n v="90034.875"/>
    <m/>
    <n v="90034.875"/>
    <m/>
    <n v="90034.875"/>
    <m/>
    <n v="90034.875"/>
    <m/>
    <n v="90034.875"/>
    <m/>
    <n v="90034.875"/>
    <m/>
    <n v="90034.875"/>
    <m/>
    <n v="90034.875"/>
    <m/>
    <n v="90034.875"/>
    <m/>
    <n v="90034.875"/>
    <m/>
    <n v="90034.875"/>
    <m/>
    <n v="90034.875"/>
    <m/>
    <n v="90034.875"/>
    <m/>
    <n v="90034.875"/>
    <m/>
    <n v="90034.875"/>
    <m/>
    <n v="90034.875"/>
    <m/>
    <n v="90034.875"/>
    <m/>
    <n v="90034.875"/>
    <m/>
    <n v="90034.875"/>
    <m/>
    <n v="90034.875"/>
    <n v="90034.880000000005"/>
    <n v="3404218.81"/>
    <m/>
    <m/>
    <n v="0"/>
    <n v="90034.879925945512"/>
    <n v="3404218.81"/>
    <x v="2"/>
    <n v="15500"/>
    <n v="105534.87992594551"/>
    <n v="586055"/>
    <n v="3990273.81"/>
    <m/>
    <m/>
    <x v="0"/>
    <x v="0"/>
    <b v="1"/>
    <s v="АГ-005-В-08-05-275"/>
    <m/>
    <s v="НЕТ"/>
    <s v="Чистовая"/>
    <b v="1"/>
    <n v="3990273.81"/>
    <n v="0"/>
    <b v="1"/>
    <d v="2023-09-19T00:00:00"/>
    <s v="Дик"/>
  </r>
  <r>
    <n v="276"/>
    <x v="2"/>
    <x v="7"/>
    <x v="5"/>
    <x v="3"/>
    <n v="17.2"/>
    <n v="14.64"/>
    <n v="14.34"/>
    <n v="46.18"/>
    <n v="13.15"/>
    <n v="4.03"/>
    <n v="1.76"/>
    <m/>
    <n v="13.11"/>
    <n v="2.79"/>
    <n v="2.68"/>
    <m/>
    <n v="5.4700000000000006"/>
    <n v="83.7"/>
    <n v="78.23"/>
    <n v="80.97"/>
    <n v="74234.160000000018"/>
    <n v="3711.708000000001"/>
    <n v="77945.868000000017"/>
    <n v="2338.3760400000006"/>
    <n v="80284.24404000002"/>
    <m/>
    <n v="80284.24404000002"/>
    <m/>
    <n v="80284.24404000002"/>
    <m/>
    <n v="80284.24404000002"/>
    <m/>
    <n v="80284.24404000002"/>
    <n v="802.84244040000021"/>
    <n v="81087.086480400016"/>
    <n v="4054.3543240200011"/>
    <n v="85141.44080442001"/>
    <m/>
    <n v="85141.44080442001"/>
    <n v="1702.8288160884003"/>
    <n v="86844.269620508407"/>
    <m/>
    <n v="86844.269620508407"/>
    <n v="1736.8853924101682"/>
    <n v="88581.155012918578"/>
    <m/>
    <n v="88581.155012918578"/>
    <n v="885.81155012918578"/>
    <n v="89466.966563047768"/>
    <m/>
    <n v="89466.966563047768"/>
    <n v="447.33483281523883"/>
    <n v="89914.301395863004"/>
    <n v="1798.2860279172601"/>
    <n v="91712.587423780264"/>
    <n v="1375.6888113567038"/>
    <n v="93088.27623513696"/>
    <m/>
    <n v="93088.27623513696"/>
    <n v="3723.5310494054784"/>
    <n v="96811.807284542432"/>
    <m/>
    <n v="96811.807284542432"/>
    <m/>
    <n v="96811.807284542432"/>
    <m/>
    <n v="96811.807284542432"/>
    <m/>
    <n v="96811.807284542432"/>
    <n v="96811.81"/>
    <n v="7838900"/>
    <m/>
    <n v="0.03"/>
    <n v="235167"/>
    <n v="93908.027664567126"/>
    <n v="7603733"/>
    <x v="1"/>
    <m/>
    <n v="93908.027664567126"/>
    <n v="0"/>
    <n v="7603733"/>
    <m/>
    <s v="Многодетная семья"/>
    <x v="0"/>
    <x v="0"/>
    <b v="1"/>
    <s v="АГ-005-В-08-06-276"/>
    <m/>
    <s v="ДА"/>
    <s v="Черновая"/>
    <b v="1"/>
    <n v="7603733"/>
    <n v="0"/>
    <b v="1"/>
    <d v="2024-10-24T00:00:00"/>
    <s v="Дик"/>
  </r>
  <r>
    <n v="277"/>
    <x v="2"/>
    <x v="7"/>
    <x v="6"/>
    <x v="0"/>
    <n v="14.3"/>
    <m/>
    <m/>
    <n v="14.3"/>
    <n v="9.2799999999999994"/>
    <n v="3.79"/>
    <m/>
    <m/>
    <n v="6.08"/>
    <n v="2.71"/>
    <m/>
    <m/>
    <n v="2.71"/>
    <n v="36.159999999999997"/>
    <n v="33.450000000000003"/>
    <n v="34.81"/>
    <n v="85573.6875"/>
    <n v="4278.6843749999998"/>
    <n v="89852.371874999997"/>
    <n v="2695.5711562499996"/>
    <n v="92547.94303124999"/>
    <n v="12956.712024375"/>
    <n v="105504.65505562499"/>
    <m/>
    <n v="105504.65505562499"/>
    <n v="5275.2327527812495"/>
    <n v="110779.88780840623"/>
    <m/>
    <n v="110779.88780840623"/>
    <n v="1107.7988780840624"/>
    <n v="111887.6866864903"/>
    <n v="5594.3843343245153"/>
    <n v="117482.07102081481"/>
    <m/>
    <n v="117482.07102081481"/>
    <n v="3524.4621306244439"/>
    <n v="121006.53315143925"/>
    <m/>
    <n v="121006.53315143925"/>
    <m/>
    <n v="121006.53315143925"/>
    <m/>
    <n v="121006.53315143925"/>
    <m/>
    <n v="121006.53315143925"/>
    <m/>
    <n v="121006.53315143925"/>
    <m/>
    <n v="121006.53315143925"/>
    <m/>
    <n v="121006.53315143925"/>
    <m/>
    <n v="121006.53315143925"/>
    <m/>
    <n v="121006.53315143925"/>
    <m/>
    <n v="121006.53315143925"/>
    <m/>
    <n v="121006.53315143925"/>
    <m/>
    <n v="121006.53315143925"/>
    <m/>
    <n v="121006.53315143925"/>
    <m/>
    <n v="121006.53315143925"/>
    <n v="121006.53"/>
    <n v="4212300"/>
    <m/>
    <m/>
    <n v="0"/>
    <n v="121008.33093938523"/>
    <n v="4212300"/>
    <x v="1"/>
    <m/>
    <n v="121008.33093938523"/>
    <n v="0"/>
    <n v="4212300"/>
    <s v="Хит"/>
    <m/>
    <x v="0"/>
    <x v="0"/>
    <b v="1"/>
    <s v="АГ-005-В-08-07-277"/>
    <m/>
    <s v="ДА"/>
    <s v="Черновая"/>
    <b v="1"/>
    <n v="4212300"/>
    <n v="0"/>
    <b v="1"/>
    <d v="2024-06-21T00:00:00"/>
    <s v="Дик"/>
  </r>
  <r>
    <n v="278"/>
    <x v="2"/>
    <x v="8"/>
    <x v="0"/>
    <x v="1"/>
    <n v="17.63"/>
    <n v="13.69"/>
    <m/>
    <n v="31.32"/>
    <n v="20.05"/>
    <n v="3.54"/>
    <n v="2.93"/>
    <m/>
    <n v="12.19"/>
    <n v="4.6500000000000004"/>
    <n v="2.68"/>
    <m/>
    <n v="7.33"/>
    <n v="77.36"/>
    <n v="70.03"/>
    <n v="73.7"/>
    <n v="78763.482000000004"/>
    <n v="3938.1741000000002"/>
    <n v="82701.656100000007"/>
    <n v="2481.0496830000002"/>
    <n v="85182.705783000012"/>
    <m/>
    <n v="85182.705783000012"/>
    <m/>
    <n v="85182.705783000012"/>
    <m/>
    <n v="85182.705783000012"/>
    <m/>
    <n v="85182.705783000012"/>
    <n v="851.82705783000017"/>
    <n v="86034.532840830012"/>
    <n v="4301.7266420415008"/>
    <n v="90336.259482871508"/>
    <m/>
    <n v="90336.259482871508"/>
    <n v="1806.7251896574303"/>
    <n v="92142.984672528939"/>
    <m/>
    <n v="92142.984672528939"/>
    <n v="1842.8596934505788"/>
    <n v="93985.844365979516"/>
    <m/>
    <n v="93985.844365979516"/>
    <m/>
    <n v="93985.844365979516"/>
    <m/>
    <n v="93985.844365979516"/>
    <m/>
    <n v="93985.844365979516"/>
    <m/>
    <n v="93985.844365979516"/>
    <n v="469.92922182989759"/>
    <n v="94455.77358780941"/>
    <m/>
    <n v="94455.77358780941"/>
    <m/>
    <n v="94455.77358780941"/>
    <n v="7556.4618870247532"/>
    <n v="102012.23547483416"/>
    <n v="13261.590611728441"/>
    <n v="115273.82608656261"/>
    <n v="35"/>
    <n v="115308.82608656261"/>
    <m/>
    <n v="115308.82608656261"/>
    <n v="115308.83"/>
    <n v="8498300"/>
    <m/>
    <m/>
    <n v="0"/>
    <n v="115309.36227951152"/>
    <n v="8498300"/>
    <x v="1"/>
    <m/>
    <n v="115309.36227951152"/>
    <n v="0"/>
    <n v="8498300"/>
    <s v="Антихит"/>
    <m/>
    <x v="1"/>
    <x v="1"/>
    <b v="1"/>
    <s v="АГ-005-В-09-01-278"/>
    <m/>
    <s v="ДА"/>
    <s v="Черновая"/>
    <b v="1"/>
    <n v="8498300"/>
    <n v="0"/>
    <b v="1"/>
    <s v=" "/>
    <s v=""/>
  </r>
  <r>
    <n v="279"/>
    <x v="2"/>
    <x v="8"/>
    <x v="1"/>
    <x v="2"/>
    <n v="7.18"/>
    <m/>
    <m/>
    <n v="7.18"/>
    <n v="5.17"/>
    <n v="3.72"/>
    <m/>
    <m/>
    <n v="6.97"/>
    <n v="2.97"/>
    <m/>
    <m/>
    <n v="2.97"/>
    <n v="26.01"/>
    <n v="23.04"/>
    <n v="24.53"/>
    <n v="91981.574999999997"/>
    <n v="4599.0787499999997"/>
    <n v="96580.653749999998"/>
    <n v="2897.4196124999999"/>
    <n v="99478.073362499999"/>
    <n v="12932.149537125"/>
    <n v="112410.22289962501"/>
    <n v="3372.3066869887502"/>
    <n v="115782.52958661376"/>
    <m/>
    <n v="115782.52958661376"/>
    <m/>
    <n v="115782.52958661376"/>
    <n v="1157.8252958661376"/>
    <n v="116940.35488247989"/>
    <n v="5847.0177441239948"/>
    <n v="122787.37262660389"/>
    <m/>
    <n v="122787.37262660389"/>
    <n v="3683.6211787981165"/>
    <n v="126470.993805402"/>
    <m/>
    <n v="126470.993805402"/>
    <m/>
    <n v="126470.993805402"/>
    <m/>
    <n v="126470.993805402"/>
    <n v="1264.7099380540201"/>
    <n v="127735.70374345602"/>
    <m/>
    <n v="127735.70374345602"/>
    <n v="638.6785187172801"/>
    <n v="128374.3822621733"/>
    <m/>
    <n v="128374.3822621733"/>
    <n v="1925.6157339325994"/>
    <n v="130299.9979961059"/>
    <m/>
    <n v="130299.9979961059"/>
    <m/>
    <n v="130299.9979961059"/>
    <n v="5211.9999198442365"/>
    <n v="135511.99791595014"/>
    <n v="17616.559729073517"/>
    <n v="153128.55764502365"/>
    <n v="35"/>
    <n v="153163.55764502365"/>
    <m/>
    <n v="153163.55764502365"/>
    <n v="153163.56"/>
    <n v="3757200"/>
    <m/>
    <m/>
    <n v="0"/>
    <n v="153167.54993885037"/>
    <n v="3757200"/>
    <x v="1"/>
    <m/>
    <n v="153167.54993885037"/>
    <n v="0"/>
    <n v="3757199.9999999995"/>
    <m/>
    <m/>
    <x v="2"/>
    <x v="2"/>
    <b v="1"/>
    <s v="АГ-005-В-09-02-279"/>
    <m/>
    <s v="ДА"/>
    <s v="Черновая"/>
    <b v="1"/>
    <n v="3757200"/>
    <n v="4.6566128730773926E-10"/>
    <b v="1"/>
    <s v=" "/>
    <s v=""/>
  </r>
  <r>
    <n v="280"/>
    <x v="2"/>
    <x v="8"/>
    <x v="2"/>
    <x v="1"/>
    <n v="13.69"/>
    <n v="10.16"/>
    <m/>
    <n v="23.85"/>
    <n v="18.71"/>
    <n v="3.49"/>
    <n v="2.11"/>
    <m/>
    <n v="7.09"/>
    <n v="2.65"/>
    <m/>
    <m/>
    <n v="2.65"/>
    <n v="57.9"/>
    <n v="55.25"/>
    <n v="56.58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n v="86852.95"/>
    <n v="4914139.91"/>
    <m/>
    <n v="0.02"/>
    <n v="98282.798200000005"/>
    <n v="85115.890950866044"/>
    <n v="4815857.1100000003"/>
    <x v="2"/>
    <n v="22000"/>
    <n v="107115.89095086604"/>
    <n v="1244760"/>
    <n v="6060617.1100000003"/>
    <s v="Хит"/>
    <s v="Скидка иногородним"/>
    <x v="0"/>
    <x v="0"/>
    <b v="1"/>
    <s v="АГ-005-В-09-03-280"/>
    <m/>
    <s v="НЕТ"/>
    <s v="Чистовая"/>
    <b v="1"/>
    <n v="6060617.1100000003"/>
    <n v="0"/>
    <b v="1"/>
    <d v="2023-11-24T00:00:00"/>
    <s v="Дик"/>
  </r>
  <r>
    <n v="281"/>
    <x v="2"/>
    <x v="8"/>
    <x v="3"/>
    <x v="1"/>
    <n v="15.45"/>
    <n v="10.34"/>
    <m/>
    <n v="25.79"/>
    <n v="15.44"/>
    <n v="4.59"/>
    <n v="2.21"/>
    <m/>
    <n v="10.79"/>
    <n v="2.84"/>
    <m/>
    <m/>
    <n v="2.84"/>
    <n v="61.66"/>
    <n v="58.82"/>
    <n v="60.24"/>
    <n v="82238.34150000001"/>
    <n v="4111.9170750000003"/>
    <n v="86350.258575000014"/>
    <n v="2590.5077572500004"/>
    <n v="88940.766332250016"/>
    <m/>
    <n v="88940.766332250016"/>
    <m/>
    <n v="88940.766332250016"/>
    <m/>
    <n v="88940.766332250016"/>
    <m/>
    <n v="88940.766332250016"/>
    <n v="889.40766332250018"/>
    <n v="89830.173995572521"/>
    <n v="4491.5086997786266"/>
    <n v="94321.682695351148"/>
    <m/>
    <n v="94321.682695351148"/>
    <n v="1886.433653907023"/>
    <n v="96208.116349258169"/>
    <m/>
    <n v="96208.116349258169"/>
    <n v="1924.1623269851634"/>
    <n v="98132.278676243339"/>
    <m/>
    <n v="98132.278676243339"/>
    <m/>
    <n v="98132.278676243339"/>
    <m/>
    <n v="98132.278676243339"/>
    <m/>
    <n v="98132.278676243339"/>
    <m/>
    <n v="98132.278676243339"/>
    <n v="490.66139338121673"/>
    <n v="98622.940069624558"/>
    <m/>
    <n v="98622.940069624558"/>
    <n v="3944.9176027849826"/>
    <n v="102567.85767240953"/>
    <m/>
    <n v="102567.85767240953"/>
    <m/>
    <n v="102567.85767240953"/>
    <m/>
    <n v="102567.85767240953"/>
    <m/>
    <n v="102567.85767240953"/>
    <n v="102567.86"/>
    <n v="6178700"/>
    <m/>
    <n v="0.02"/>
    <n v="123574"/>
    <n v="100516.69986719787"/>
    <n v="6055126"/>
    <x v="3"/>
    <n v="8000"/>
    <n v="108516.69986719787"/>
    <n v="481920"/>
    <n v="6537046"/>
    <m/>
    <s v="Скидка иногородним"/>
    <x v="0"/>
    <x v="0"/>
    <b v="1"/>
    <s v="АГ-005-В-09-04-281"/>
    <m/>
    <s v="ДА"/>
    <s v="White Box"/>
    <b v="1"/>
    <n v="6537046"/>
    <n v="0"/>
    <b v="1"/>
    <d v="2024-11-08T00:00:00"/>
    <s v="Полехович"/>
  </r>
  <r>
    <n v="282"/>
    <x v="2"/>
    <x v="8"/>
    <x v="4"/>
    <x v="0"/>
    <n v="12.54"/>
    <m/>
    <m/>
    <n v="12.54"/>
    <n v="12.74"/>
    <n v="4.0199999999999996"/>
    <m/>
    <m/>
    <n v="7.09"/>
    <n v="2.84"/>
    <m/>
    <m/>
    <n v="2.84"/>
    <n v="39.229999999999997"/>
    <n v="36.39"/>
    <n v="37.81"/>
    <n v="89223.75"/>
    <n v="4461.1875"/>
    <n v="93684.9375"/>
    <n v="2810.5481249999998"/>
    <n v="96495.485625000001"/>
    <n v="4342.2968531249999"/>
    <n v="100837.78247812499"/>
    <m/>
    <n v="100837.78247812499"/>
    <n v="5041.8891239062505"/>
    <n v="105879.67160203125"/>
    <n v="-620"/>
    <n v="105259.67160203125"/>
    <n v="1052.5967160203124"/>
    <n v="106312.26831805156"/>
    <n v="5315.6134159025787"/>
    <n v="111627.88173395414"/>
    <m/>
    <n v="111627.88173395414"/>
    <n v="3348.8364520186242"/>
    <n v="114976.71818597277"/>
    <m/>
    <n v="114976.71818597277"/>
    <m/>
    <n v="114976.71818597277"/>
    <m/>
    <n v="114976.71818597277"/>
    <n v="1149.7671818597278"/>
    <n v="116126.4853678325"/>
    <m/>
    <n v="116126.4853678325"/>
    <m/>
    <n v="116126.4853678325"/>
    <m/>
    <n v="116126.4853678325"/>
    <n v="580.63242683916258"/>
    <n v="116707.11779467166"/>
    <m/>
    <n v="116707.11779467166"/>
    <m/>
    <n v="116707.11779467166"/>
    <n v="5835.3558897335834"/>
    <n v="122542.47368440525"/>
    <n v="15930.521578972683"/>
    <n v="138472.99526337793"/>
    <n v="35"/>
    <n v="138507.99526337793"/>
    <m/>
    <n v="138507.99526337793"/>
    <n v="138508"/>
    <n v="5237000"/>
    <n v="302480"/>
    <m/>
    <n v="302480"/>
    <n v="130508.33112933085"/>
    <n v="4934520"/>
    <x v="3"/>
    <n v="10000"/>
    <n v="140508.33112933085"/>
    <n v="378100"/>
    <n v="5312620"/>
    <m/>
    <s v="Большие скидки на маленькие квартиры"/>
    <x v="0"/>
    <x v="0"/>
    <b v="1"/>
    <s v="АГ-005-В-09-05-282"/>
    <m/>
    <s v="ДА"/>
    <s v="White Box"/>
    <b v="1"/>
    <n v="5312620"/>
    <n v="0"/>
    <b v="1"/>
    <d v="2025-04-02T00:00:00"/>
    <s v="Нуждина"/>
  </r>
  <r>
    <n v="283"/>
    <x v="2"/>
    <x v="8"/>
    <x v="5"/>
    <x v="3"/>
    <n v="17.2"/>
    <n v="14.64"/>
    <n v="14.34"/>
    <n v="46.18"/>
    <n v="13.15"/>
    <n v="4.03"/>
    <n v="1.76"/>
    <m/>
    <n v="13.11"/>
    <n v="2.79"/>
    <n v="2.68"/>
    <m/>
    <n v="5.4700000000000006"/>
    <n v="83.7"/>
    <n v="78.23"/>
    <n v="80.97"/>
    <n v="73520.37000000001"/>
    <n v="3676.0185000000006"/>
    <n v="77196.388500000015"/>
    <n v="2315.8916550000004"/>
    <n v="79512.280155000015"/>
    <m/>
    <n v="79512.280155000015"/>
    <m/>
    <n v="79512.280155000015"/>
    <m/>
    <n v="79512.280155000015"/>
    <m/>
    <n v="79512.280155000015"/>
    <n v="795.12280155000019"/>
    <n v="80307.40295655001"/>
    <n v="4015.3701478275007"/>
    <n v="84322.773104377513"/>
    <m/>
    <n v="84322.773104377513"/>
    <n v="1686.4554620875504"/>
    <n v="86009.22856646507"/>
    <m/>
    <n v="86009.22856646507"/>
    <n v="1720.1845713293014"/>
    <n v="87729.41313779437"/>
    <m/>
    <n v="87729.41313779437"/>
    <n v="877.2941313779437"/>
    <n v="88606.707269172315"/>
    <m/>
    <n v="88606.707269172315"/>
    <n v="443.03353634586159"/>
    <n v="89049.740805518173"/>
    <n v="1780.9948161103634"/>
    <n v="90830.735621628541"/>
    <n v="1362.4610343244281"/>
    <n v="92193.196655952968"/>
    <m/>
    <n v="92193.196655952968"/>
    <n v="3687.7278662381186"/>
    <n v="95880.924522191082"/>
    <m/>
    <n v="95880.924522191082"/>
    <m/>
    <n v="95880.924522191082"/>
    <m/>
    <n v="95880.924522191082"/>
    <m/>
    <n v="95880.924522191082"/>
    <n v="95880.92"/>
    <n v="7763500"/>
    <m/>
    <n v="0.02"/>
    <n v="155270"/>
    <n v="93963.566753118444"/>
    <n v="7608230"/>
    <x v="1"/>
    <m/>
    <n v="93963.566753118444"/>
    <n v="0"/>
    <n v="7608230"/>
    <m/>
    <s v="Скидка иногородним"/>
    <x v="0"/>
    <x v="0"/>
    <b v="1"/>
    <s v="АГ-005-В-09-06-283"/>
    <m/>
    <s v="ДА"/>
    <s v="Черновая"/>
    <b v="1"/>
    <n v="7608230"/>
    <n v="0"/>
    <b v="1"/>
    <d v="2024-10-30T00:00:00"/>
    <s v="Полехович"/>
  </r>
  <r>
    <n v="284"/>
    <x v="2"/>
    <x v="8"/>
    <x v="6"/>
    <x v="0"/>
    <n v="14.3"/>
    <m/>
    <m/>
    <n v="14.3"/>
    <n v="9.2799999999999994"/>
    <n v="3.79"/>
    <m/>
    <m/>
    <n v="6.08"/>
    <n v="2.71"/>
    <m/>
    <m/>
    <n v="2.71"/>
    <n v="36.159999999999997"/>
    <n v="33.450000000000003"/>
    <n v="34.81"/>
    <n v="84762.5625"/>
    <n v="4238.1281250000002"/>
    <n v="89000.690625000003"/>
    <n v="2670.02071875"/>
    <n v="91670.711343750008"/>
    <n v="12833.899588125003"/>
    <n v="104504.61093187501"/>
    <m/>
    <n v="104504.61093187501"/>
    <n v="5225.2305465937507"/>
    <n v="109729.84147846876"/>
    <m/>
    <n v="109729.84147846876"/>
    <m/>
    <n v="109729.84147846876"/>
    <m/>
    <n v="109729.84147846876"/>
    <m/>
    <n v="109729.84147846876"/>
    <m/>
    <n v="109729.84147846876"/>
    <m/>
    <n v="109729.84147846876"/>
    <m/>
    <n v="109729.84147846876"/>
    <m/>
    <n v="109729.84147846876"/>
    <m/>
    <n v="109729.84147846876"/>
    <m/>
    <n v="109729.84147846876"/>
    <m/>
    <n v="109729.84147846876"/>
    <m/>
    <n v="109729.84147846876"/>
    <m/>
    <n v="109729.84147846876"/>
    <m/>
    <n v="109729.84147846876"/>
    <m/>
    <n v="109729.84147846876"/>
    <m/>
    <n v="109729.84147846876"/>
    <m/>
    <n v="109729.84147846876"/>
    <m/>
    <n v="109729.84147846876"/>
    <m/>
    <n v="109729.84147846876"/>
    <n v="109729.84"/>
    <n v="3819700"/>
    <n v="50000"/>
    <m/>
    <n v="50000"/>
    <n v="108293.59379488652"/>
    <n v="3769700"/>
    <x v="0"/>
    <n v="7500"/>
    <n v="115793.59379488652"/>
    <n v="261075"/>
    <n v="4030775"/>
    <s v="Хит"/>
    <s v="Скидка с елки"/>
    <x v="0"/>
    <x v="0"/>
    <b v="1"/>
    <s v="АГ-005-В-09-07-284"/>
    <m/>
    <s v="ДА"/>
    <s v="Предчистовая"/>
    <b v="1"/>
    <n v="4030775"/>
    <n v="0"/>
    <b v="1"/>
    <d v="2023-12-22T00:00:00"/>
    <s v="Дик"/>
  </r>
  <r>
    <n v="285"/>
    <x v="2"/>
    <x v="9"/>
    <x v="0"/>
    <x v="1"/>
    <n v="17.63"/>
    <n v="13.69"/>
    <m/>
    <n v="31.32"/>
    <n v="20.05"/>
    <n v="3.54"/>
    <n v="2.93"/>
    <m/>
    <n v="12.19"/>
    <n v="4.6500000000000004"/>
    <n v="2.68"/>
    <m/>
    <n v="7.33"/>
    <n v="77.36"/>
    <n v="70.03"/>
    <n v="73.7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m/>
    <n v="92107.558688417994"/>
    <n v="92107.56"/>
    <n v="6788400"/>
    <m/>
    <m/>
    <n v="0"/>
    <n v="92108.548168249661"/>
    <n v="6788400"/>
    <x v="1"/>
    <m/>
    <n v="92108.548168249661"/>
    <n v="0"/>
    <n v="6788400"/>
    <s v="Антихит"/>
    <m/>
    <x v="0"/>
    <x v="0"/>
    <b v="1"/>
    <s v="АГ-005-В-10-01-285"/>
    <m/>
    <s v="ДА"/>
    <s v="Черновая"/>
    <b v="1"/>
    <n v="6788400"/>
    <n v="0"/>
    <b v="1"/>
    <d v="2024-03-19T00:00:00"/>
    <s v="Полехович"/>
  </r>
  <r>
    <n v="286"/>
    <x v="2"/>
    <x v="9"/>
    <x v="1"/>
    <x v="2"/>
    <n v="7.18"/>
    <m/>
    <m/>
    <n v="7.18"/>
    <n v="5.17"/>
    <n v="3.72"/>
    <m/>
    <m/>
    <n v="6.97"/>
    <n v="2.97"/>
    <m/>
    <m/>
    <n v="2.97"/>
    <n v="26.01"/>
    <n v="23.04"/>
    <n v="24.53"/>
    <n v="92857.59"/>
    <n v="4642.8795"/>
    <n v="97500.469499999992"/>
    <n v="2925.0140849999998"/>
    <n v="100425.48358499999"/>
    <n v="13055.312866050001"/>
    <n v="113480.79645105"/>
    <n v="3404.4238935314997"/>
    <n v="116885.2203445815"/>
    <m/>
    <n v="116885.2203445815"/>
    <m/>
    <n v="116885.2203445815"/>
    <n v="1168.8522034458149"/>
    <n v="118054.07254802731"/>
    <n v="5902.7036274013662"/>
    <n v="123956.77617542868"/>
    <m/>
    <n v="123956.77617542868"/>
    <n v="3718.7032852628599"/>
    <n v="127675.47946069154"/>
    <m/>
    <n v="127675.47946069154"/>
    <m/>
    <n v="127675.47946069154"/>
    <m/>
    <n v="127675.47946069154"/>
    <n v="1276.7547946069153"/>
    <n v="128952.23425529845"/>
    <m/>
    <n v="128952.23425529845"/>
    <n v="644.76117127649229"/>
    <n v="129596.99542657494"/>
    <m/>
    <n v="129596.99542657494"/>
    <n v="1943.954931398624"/>
    <n v="131540.95035797358"/>
    <m/>
    <n v="131540.95035797358"/>
    <m/>
    <n v="131540.95035797358"/>
    <m/>
    <n v="131540.95035797358"/>
    <m/>
    <n v="131540.95035797358"/>
    <m/>
    <n v="131540.95035797358"/>
    <m/>
    <n v="131540.95035797358"/>
    <n v="131540.95000000001"/>
    <n v="3226700"/>
    <m/>
    <m/>
    <n v="0"/>
    <n v="131540.9702405218"/>
    <n v="3226700"/>
    <x v="1"/>
    <m/>
    <n v="131540.9702405218"/>
    <n v="0"/>
    <n v="3226700"/>
    <m/>
    <m/>
    <x v="0"/>
    <x v="0"/>
    <b v="1"/>
    <s v="АГ-005-В-10-02-286"/>
    <m/>
    <s v="ДА"/>
    <s v="Черновая"/>
    <b v="1"/>
    <n v="3226700"/>
    <n v="0"/>
    <b v="1"/>
    <d v="2024-08-03T00:00:00"/>
    <s v="Полехович"/>
  </r>
  <r>
    <n v="287"/>
    <x v="2"/>
    <x v="9"/>
    <x v="2"/>
    <x v="1"/>
    <n v="13.69"/>
    <n v="10.16"/>
    <m/>
    <n v="23.85"/>
    <n v="18.71"/>
    <n v="3.49"/>
    <n v="2.11"/>
    <m/>
    <n v="7.09"/>
    <n v="2.65"/>
    <m/>
    <m/>
    <n v="2.65"/>
    <n v="57.9"/>
    <n v="55.25"/>
    <n v="56.58"/>
    <n v="81080.055000000008"/>
    <n v="4054.0027500000006"/>
    <n v="85134.057750000007"/>
    <n v="2554.0217325000003"/>
    <n v="87688.079482500005"/>
    <m/>
    <n v="87688.079482500005"/>
    <m/>
    <n v="87688.079482500005"/>
    <m/>
    <n v="87688.079482500005"/>
    <m/>
    <n v="87688.079482500005"/>
    <n v="876.88079482500007"/>
    <n v="88564.960277325008"/>
    <n v="4428.2480138662504"/>
    <n v="92993.208291191258"/>
    <m/>
    <n v="92993.208291191258"/>
    <n v="1859.8641658238253"/>
    <n v="94853.072457015078"/>
    <m/>
    <n v="94853.072457015078"/>
    <n v="1897.0614491403016"/>
    <n v="96750.133906155374"/>
    <m/>
    <n v="96750.133906155374"/>
    <m/>
    <n v="96750.133906155374"/>
    <m/>
    <n v="96750.133906155374"/>
    <m/>
    <n v="96750.133906155374"/>
    <m/>
    <n v="96750.133906155374"/>
    <m/>
    <n v="96750.133906155374"/>
    <m/>
    <n v="96750.133906155374"/>
    <m/>
    <n v="96750.133906155374"/>
    <m/>
    <n v="96750.133906155374"/>
    <m/>
    <n v="96750.133906155374"/>
    <m/>
    <n v="96750.133906155374"/>
    <m/>
    <n v="96750.133906155374"/>
    <n v="96750.13"/>
    <n v="5474200"/>
    <n v="90000"/>
    <m/>
    <n v="90000"/>
    <n v="95160.834217037831"/>
    <n v="5384200"/>
    <x v="2"/>
    <n v="20000"/>
    <n v="115160.83421703783"/>
    <n v="1131600"/>
    <n v="6515800"/>
    <s v="Хит"/>
    <s v="Поехали в Амград"/>
    <x v="0"/>
    <x v="0"/>
    <b v="1"/>
    <s v="АГ-005-В-10-03-287"/>
    <m/>
    <s v="ДА"/>
    <s v="Чистовая"/>
    <b v="1"/>
    <n v="6515800"/>
    <n v="0"/>
    <b v="1"/>
    <d v="2024-04-11T00:00:00"/>
    <s v="Никишов"/>
  </r>
  <r>
    <n v="288"/>
    <x v="2"/>
    <x v="9"/>
    <x v="3"/>
    <x v="1"/>
    <n v="15.45"/>
    <n v="10.34"/>
    <m/>
    <n v="25.79"/>
    <n v="15.44"/>
    <n v="4.59"/>
    <n v="2.21"/>
    <m/>
    <n v="10.79"/>
    <n v="2.84"/>
    <m/>
    <m/>
    <n v="2.84"/>
    <n v="61.66"/>
    <n v="58.82"/>
    <n v="60.24"/>
    <n v="83010.532500000001"/>
    <n v="4150.5266250000004"/>
    <n v="87161.059125"/>
    <n v="2614.8317737499997"/>
    <n v="89775.890898750004"/>
    <m/>
    <n v="89775.890898750004"/>
    <m/>
    <n v="89775.890898750004"/>
    <m/>
    <n v="89775.890898750004"/>
    <m/>
    <n v="89775.890898750004"/>
    <n v="897.75890898750004"/>
    <n v="90673.6498077375"/>
    <n v="4533.6824903868755"/>
    <n v="95207.332298124369"/>
    <m/>
    <n v="95207.332298124369"/>
    <n v="1904.1466459624874"/>
    <n v="97111.478944086863"/>
    <m/>
    <n v="97111.478944086863"/>
    <n v="1942.2295788817373"/>
    <n v="99053.708522968605"/>
    <m/>
    <n v="99053.708522968605"/>
    <m/>
    <n v="99053.708522968605"/>
    <m/>
    <n v="99053.708522968605"/>
    <m/>
    <n v="99053.708522968605"/>
    <m/>
    <n v="99053.708522968605"/>
    <n v="495.26854261484306"/>
    <n v="99548.977065583444"/>
    <m/>
    <n v="99548.977065583444"/>
    <n v="3981.959082623338"/>
    <n v="103530.93614820678"/>
    <n v="6211.8561688924065"/>
    <n v="109742.79231709919"/>
    <n v="14266.563001222894"/>
    <n v="124009.35531832208"/>
    <n v="35"/>
    <n v="124044.35531832208"/>
    <m/>
    <n v="124044.35531832208"/>
    <n v="124044.36"/>
    <n v="7472500"/>
    <m/>
    <m/>
    <n v="0"/>
    <n v="124045.48472775564"/>
    <n v="7472500"/>
    <x v="1"/>
    <m/>
    <n v="124045.48472775564"/>
    <n v="0"/>
    <n v="7472500"/>
    <m/>
    <m/>
    <x v="1"/>
    <x v="1"/>
    <b v="1"/>
    <s v="АГ-005-В-10-04-288"/>
    <m/>
    <s v="ДА"/>
    <s v="Черновая"/>
    <b v="1"/>
    <n v="7472500"/>
    <n v="0"/>
    <b v="1"/>
    <s v=" "/>
    <s v=""/>
  </r>
  <r>
    <n v="289"/>
    <x v="2"/>
    <x v="9"/>
    <x v="4"/>
    <x v="0"/>
    <n v="12.54"/>
    <m/>
    <m/>
    <n v="12.54"/>
    <n v="12.74"/>
    <n v="4.0199999999999996"/>
    <m/>
    <m/>
    <n v="7.09"/>
    <n v="2.84"/>
    <m/>
    <m/>
    <n v="2.84"/>
    <n v="39.229999999999997"/>
    <n v="36.39"/>
    <n v="37.81"/>
    <n v="90034.875"/>
    <n v="4501.7437500000005"/>
    <n v="94536.618749999994"/>
    <n v="2836.0985624999998"/>
    <n v="97372.717312499997"/>
    <n v="4381.7722790624994"/>
    <n v="101754.48959156249"/>
    <m/>
    <n v="101754.48959156249"/>
    <n v="5087.7244795781253"/>
    <n v="106842.21407114062"/>
    <n v="-620"/>
    <n v="106222.21407114062"/>
    <n v="1062.2221407114062"/>
    <n v="107284.43621185204"/>
    <n v="5364.2218105926022"/>
    <n v="112648.65802244464"/>
    <m/>
    <n v="112648.65802244464"/>
    <n v="3379.4597406733392"/>
    <n v="116028.11776311797"/>
    <m/>
    <n v="116028.11776311797"/>
    <m/>
    <n v="116028.11776311797"/>
    <m/>
    <n v="116028.11776311797"/>
    <n v="1160.2811776311798"/>
    <n v="117188.39894074916"/>
    <m/>
    <n v="117188.39894074916"/>
    <m/>
    <n v="117188.39894074916"/>
    <m/>
    <n v="117188.39894074916"/>
    <m/>
    <n v="117188.39894074916"/>
    <m/>
    <n v="117188.39894074916"/>
    <m/>
    <n v="117188.39894074916"/>
    <m/>
    <n v="117188.39894074916"/>
    <m/>
    <n v="117188.39894074916"/>
    <m/>
    <n v="117188.39894074916"/>
    <m/>
    <n v="117188.39894074916"/>
    <n v="117188.4"/>
    <n v="4430900"/>
    <m/>
    <m/>
    <n v="0"/>
    <n v="117188.57445120339"/>
    <n v="4430900"/>
    <x v="1"/>
    <m/>
    <n v="117188.57445120339"/>
    <n v="0"/>
    <n v="4430900"/>
    <m/>
    <m/>
    <x v="0"/>
    <x v="0"/>
    <b v="1"/>
    <s v="АГ-005-В-10-05-289"/>
    <m/>
    <s v="ДА"/>
    <s v="Черновая"/>
    <b v="1"/>
    <n v="4430900"/>
    <n v="0"/>
    <b v="1"/>
    <d v="2024-06-21T00:00:00"/>
    <s v="Дик"/>
  </r>
  <r>
    <n v="290"/>
    <x v="2"/>
    <x v="9"/>
    <x v="5"/>
    <x v="3"/>
    <n v="17.2"/>
    <n v="14.64"/>
    <n v="14.34"/>
    <n v="46.18"/>
    <n v="13.15"/>
    <n v="4.03"/>
    <n v="1.76"/>
    <m/>
    <n v="13.11"/>
    <n v="2.79"/>
    <n v="2.68"/>
    <m/>
    <n v="5.4700000000000006"/>
    <n v="83.7"/>
    <n v="78.23"/>
    <n v="80.97"/>
    <n v="74234.160000000018"/>
    <n v="3711.708000000001"/>
    <n v="77945.868000000017"/>
    <n v="2338.3760400000006"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n v="80284.240000000005"/>
    <n v="6500700"/>
    <n v="10000"/>
    <m/>
    <n v="10000"/>
    <n v="80161.788316660488"/>
    <n v="6490700"/>
    <x v="0"/>
    <n v="7500"/>
    <n v="87661.788316660488"/>
    <n v="607275"/>
    <n v="7097975"/>
    <m/>
    <s v="Скидка с елки"/>
    <x v="0"/>
    <x v="0"/>
    <b v="1"/>
    <s v="АГ-005-В-10-06-290"/>
    <m/>
    <s v="ДА"/>
    <s v="Предчистовая"/>
    <b v="1"/>
    <n v="7097975"/>
    <n v="0"/>
    <b v="1"/>
    <d v="2023-12-13T00:00:00"/>
    <s v="Никишов"/>
  </r>
  <r>
    <n v="291"/>
    <x v="2"/>
    <x v="9"/>
    <x v="6"/>
    <x v="0"/>
    <n v="14.3"/>
    <m/>
    <m/>
    <n v="14.3"/>
    <n v="9.2799999999999994"/>
    <n v="3.79"/>
    <m/>
    <m/>
    <n v="6.08"/>
    <n v="2.71"/>
    <m/>
    <m/>
    <n v="2.71"/>
    <n v="36.159999999999997"/>
    <n v="33.450000000000003"/>
    <n v="34.81"/>
    <n v="85573.6875"/>
    <n v="4278.6843749999998"/>
    <n v="89852.371874999997"/>
    <n v="2695.5711562499996"/>
    <n v="92547.94303124999"/>
    <n v="12956.712024375"/>
    <n v="105504.65505562499"/>
    <m/>
    <n v="105504.65505562499"/>
    <n v="5275.2327527812495"/>
    <n v="110779.88780840623"/>
    <m/>
    <n v="110779.88780840623"/>
    <n v="1107.7988780840624"/>
    <n v="111887.6866864903"/>
    <n v="5594.3843343245153"/>
    <n v="117482.07102081481"/>
    <m/>
    <n v="117482.07102081481"/>
    <n v="3524.4621306244439"/>
    <n v="121006.53315143925"/>
    <m/>
    <n v="121006.53315143925"/>
    <m/>
    <n v="121006.53315143925"/>
    <m/>
    <n v="121006.53315143925"/>
    <m/>
    <n v="121006.53315143925"/>
    <m/>
    <n v="121006.53315143925"/>
    <m/>
    <n v="121006.53315143925"/>
    <m/>
    <n v="121006.53315143925"/>
    <n v="605.03266575719624"/>
    <n v="121611.56581719645"/>
    <m/>
    <n v="121611.56581719645"/>
    <n v="2432.2313163439289"/>
    <n v="124043.79713354037"/>
    <n v="6202.1898566770187"/>
    <n v="130245.9869902174"/>
    <n v="16931.978308728263"/>
    <n v="147177.96529894567"/>
    <n v="35"/>
    <n v="147212.96529894567"/>
    <m/>
    <n v="147212.96529894567"/>
    <n v="147212.97"/>
    <n v="5124500"/>
    <m/>
    <m/>
    <n v="0"/>
    <n v="147213.44441252513"/>
    <n v="5124500"/>
    <x v="3"/>
    <n v="10000"/>
    <n v="157213.44441252513"/>
    <n v="348100"/>
    <n v="5472600"/>
    <s v="Хит"/>
    <m/>
    <x v="4"/>
    <x v="4"/>
    <b v="1"/>
    <s v="АГ-005-В-10-07-291"/>
    <m/>
    <s v="ДА"/>
    <s v="White Box"/>
    <b v="1"/>
    <n v="5472600"/>
    <n v="0"/>
    <b v="1"/>
    <s v=" "/>
    <s v=""/>
  </r>
  <r>
    <n v="292"/>
    <x v="2"/>
    <x v="10"/>
    <x v="0"/>
    <x v="1"/>
    <n v="17.63"/>
    <n v="13.69"/>
    <m/>
    <n v="31.32"/>
    <n v="20.05"/>
    <n v="3.54"/>
    <n v="2.93"/>
    <m/>
    <n v="12.19"/>
    <n v="4.6500000000000004"/>
    <n v="2.68"/>
    <m/>
    <n v="7.33"/>
    <n v="77.36"/>
    <n v="70.03"/>
    <n v="73.7"/>
    <n v="78763.482000000004"/>
    <n v="3938.1741000000002"/>
    <n v="82701.656100000007"/>
    <n v="2481.0496830000002"/>
    <n v="85182.705783000012"/>
    <m/>
    <n v="85182.705783000012"/>
    <m/>
    <n v="85182.705783000012"/>
    <m/>
    <n v="85182.705783000012"/>
    <m/>
    <n v="85182.705783000012"/>
    <n v="851.82705783000017"/>
    <n v="86034.532840830012"/>
    <n v="4301.7266420415008"/>
    <n v="90336.259482871508"/>
    <m/>
    <n v="90336.259482871508"/>
    <n v="1806.7251896574303"/>
    <n v="92142.984672528939"/>
    <m/>
    <n v="92142.984672528939"/>
    <n v="1842.8596934505788"/>
    <n v="93985.844365979516"/>
    <m/>
    <n v="93985.844365979516"/>
    <m/>
    <n v="93985.844365979516"/>
    <m/>
    <n v="93985.844365979516"/>
    <m/>
    <n v="93985.844365979516"/>
    <m/>
    <n v="93985.844365979516"/>
    <n v="469.92922182989759"/>
    <n v="94455.77358780941"/>
    <m/>
    <n v="94455.77358780941"/>
    <m/>
    <n v="94455.77358780941"/>
    <n v="7556.4618870247532"/>
    <n v="102012.23547483416"/>
    <n v="13261.590611728441"/>
    <n v="115273.82608656261"/>
    <n v="35"/>
    <n v="115308.82608656261"/>
    <m/>
    <n v="115308.82608656261"/>
    <n v="115308.83"/>
    <n v="8498300"/>
    <m/>
    <m/>
    <n v="0"/>
    <n v="115309.36227951152"/>
    <n v="8498300"/>
    <x v="1"/>
    <m/>
    <n v="115309.36227951152"/>
    <n v="0"/>
    <n v="8498300"/>
    <s v="Антихит"/>
    <m/>
    <x v="1"/>
    <x v="1"/>
    <b v="1"/>
    <s v="АГ-005-В-11-01-292"/>
    <m/>
    <s v="ДА"/>
    <s v="Черновая"/>
    <b v="1"/>
    <n v="8498300"/>
    <n v="0"/>
    <b v="1"/>
    <s v=" "/>
    <s v=""/>
  </r>
  <r>
    <n v="293"/>
    <x v="2"/>
    <x v="10"/>
    <x v="1"/>
    <x v="2"/>
    <n v="7.18"/>
    <m/>
    <m/>
    <n v="7.18"/>
    <n v="5.17"/>
    <n v="3.72"/>
    <m/>
    <m/>
    <n v="6.97"/>
    <n v="2.97"/>
    <m/>
    <m/>
    <n v="2.97"/>
    <n v="26.01"/>
    <n v="23.04"/>
    <n v="24.53"/>
    <n v="91981.574999999997"/>
    <n v="4599.0787499999997"/>
    <n v="96580.653749999998"/>
    <n v="2897.4196124999999"/>
    <n v="99478.073362499999"/>
    <n v="12932.149537125"/>
    <n v="112410.22289962501"/>
    <n v="3372.3066869887502"/>
    <n v="115782.52958661376"/>
    <m/>
    <n v="115782.52958661376"/>
    <m/>
    <n v="115782.52958661376"/>
    <n v="1157.8252958661376"/>
    <n v="116940.35488247989"/>
    <n v="5847.0177441239948"/>
    <n v="122787.37262660389"/>
    <m/>
    <n v="122787.37262660389"/>
    <n v="3683.6211787981165"/>
    <n v="126470.993805402"/>
    <m/>
    <n v="126470.993805402"/>
    <m/>
    <n v="126470.993805402"/>
    <m/>
    <n v="126470.993805402"/>
    <n v="1264.7099380540201"/>
    <n v="127735.70374345602"/>
    <m/>
    <n v="127735.70374345602"/>
    <n v="638.6785187172801"/>
    <n v="128374.3822621733"/>
    <m/>
    <n v="128374.3822621733"/>
    <n v="1925.6157339325994"/>
    <n v="130299.9979961059"/>
    <m/>
    <n v="130299.9979961059"/>
    <m/>
    <n v="130299.9979961059"/>
    <n v="5211.9999198442365"/>
    <n v="135511.99791595014"/>
    <n v="17616.559729073517"/>
    <n v="153128.55764502365"/>
    <n v="35"/>
    <n v="153163.55764502365"/>
    <m/>
    <n v="153163.55764502365"/>
    <n v="153163.56"/>
    <n v="3757200"/>
    <m/>
    <m/>
    <n v="0"/>
    <n v="153167.54993885037"/>
    <n v="3757200"/>
    <x v="3"/>
    <n v="10000"/>
    <n v="163167.54993885037"/>
    <n v="245299.99999999953"/>
    <n v="4002499.9999999995"/>
    <m/>
    <m/>
    <x v="2"/>
    <x v="2"/>
    <b v="1"/>
    <s v="АГ-005-В-11-02-293"/>
    <m/>
    <s v="ДА"/>
    <s v="White Box"/>
    <b v="1"/>
    <n v="4002500"/>
    <n v="4.6566128730773926E-10"/>
    <b v="1"/>
    <s v=" "/>
    <s v=""/>
  </r>
  <r>
    <n v="294"/>
    <x v="2"/>
    <x v="10"/>
    <x v="2"/>
    <x v="1"/>
    <n v="13.69"/>
    <n v="10.16"/>
    <m/>
    <n v="23.85"/>
    <n v="18.71"/>
    <n v="3.49"/>
    <n v="2.11"/>
    <m/>
    <n v="7.09"/>
    <n v="2.65"/>
    <m/>
    <m/>
    <n v="2.65"/>
    <n v="57.9"/>
    <n v="55.25"/>
    <n v="56.58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n v="86852.95"/>
    <n v="4914200"/>
    <m/>
    <n v="0.02"/>
    <n v="98284"/>
    <n v="85116.93177801343"/>
    <n v="4815916"/>
    <x v="0"/>
    <n v="7500"/>
    <n v="92616.93177801343"/>
    <n v="424350"/>
    <n v="5240266"/>
    <s v="Хит"/>
    <s v="Скидка иногородним"/>
    <x v="0"/>
    <x v="0"/>
    <b v="1"/>
    <s v="АГ-005-В-11-03-294"/>
    <m/>
    <s v="ДА"/>
    <s v="Предчистовая"/>
    <b v="1"/>
    <n v="5240266"/>
    <n v="0"/>
    <b v="1"/>
    <d v="2023-12-13T00:00:00"/>
    <s v="Полехович"/>
  </r>
  <r>
    <n v="295"/>
    <x v="2"/>
    <x v="10"/>
    <x v="3"/>
    <x v="1"/>
    <n v="15.45"/>
    <n v="10.34"/>
    <m/>
    <n v="25.79"/>
    <n v="15.44"/>
    <n v="4.59"/>
    <n v="2.21"/>
    <m/>
    <n v="10.79"/>
    <n v="2.84"/>
    <m/>
    <m/>
    <n v="2.84"/>
    <n v="61.66"/>
    <n v="58.82"/>
    <n v="60.24"/>
    <n v="82238.34150000001"/>
    <n v="4111.9170750000003"/>
    <n v="86350.258575000014"/>
    <n v="2590.5077572500004"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n v="88940.77"/>
    <n v="5357791.9800000004"/>
    <m/>
    <n v="0.05"/>
    <n v="267889.59900000005"/>
    <n v="84493.731407702522"/>
    <n v="5089902.38"/>
    <x v="1"/>
    <m/>
    <n v="84493.731407702522"/>
    <n v="0"/>
    <n v="5089902.38"/>
    <m/>
    <s v="Ветеран боевых действий"/>
    <x v="0"/>
    <x v="0"/>
    <b v="1"/>
    <s v="АГ-005-В-11-04-295"/>
    <m/>
    <s v="НЕТ"/>
    <s v="Черновая"/>
    <b v="1"/>
    <n v="5089902.38"/>
    <n v="0"/>
    <b v="1"/>
    <d v="2023-11-16T00:00:00"/>
    <s v="Никишов"/>
  </r>
  <r>
    <n v="296"/>
    <x v="2"/>
    <x v="10"/>
    <x v="4"/>
    <x v="0"/>
    <n v="12.54"/>
    <m/>
    <m/>
    <n v="12.54"/>
    <n v="12.74"/>
    <n v="4.0199999999999996"/>
    <m/>
    <m/>
    <n v="7.09"/>
    <n v="2.84"/>
    <m/>
    <m/>
    <n v="2.84"/>
    <n v="39.229999999999997"/>
    <n v="36.39"/>
    <n v="37.81"/>
    <n v="89223.75"/>
    <n v="4461.1875"/>
    <n v="93684.9375"/>
    <n v="2810.5481249999998"/>
    <n v="96495.485625000001"/>
    <n v="4342.2968531249999"/>
    <n v="100837.78247812499"/>
    <m/>
    <n v="100837.78247812499"/>
    <n v="5041.8891239062505"/>
    <n v="105879.67160203125"/>
    <n v="-620"/>
    <n v="105259.67160203125"/>
    <n v="1052.5967160203124"/>
    <n v="106312.26831805156"/>
    <n v="5315.6134159025787"/>
    <n v="111627.88173395414"/>
    <m/>
    <n v="111627.88173395414"/>
    <n v="3348.8364520186242"/>
    <n v="114976.71818597277"/>
    <m/>
    <n v="114976.71818597277"/>
    <m/>
    <n v="114976.71818597277"/>
    <m/>
    <n v="114976.71818597277"/>
    <n v="1149.7671818597278"/>
    <n v="116126.4853678325"/>
    <m/>
    <n v="116126.4853678325"/>
    <m/>
    <n v="116126.4853678325"/>
    <m/>
    <n v="116126.4853678325"/>
    <n v="580.63242683916258"/>
    <n v="116707.11779467166"/>
    <m/>
    <n v="116707.11779467166"/>
    <m/>
    <n v="116707.11779467166"/>
    <n v="5835.3558897335834"/>
    <n v="122542.47368440525"/>
    <n v="15930.521578972683"/>
    <n v="138472.99526337793"/>
    <n v="35"/>
    <n v="138507.99526337793"/>
    <m/>
    <n v="138507.99526337793"/>
    <n v="138508"/>
    <n v="5237000"/>
    <n v="100000"/>
    <m/>
    <n v="100000"/>
    <n v="135863.52816715153"/>
    <n v="5137000"/>
    <x v="3"/>
    <n v="10000"/>
    <n v="145863.52816715153"/>
    <n v="378099.99999999907"/>
    <n v="5515099.9999999991"/>
    <m/>
    <s v="Индивидуальная скидка"/>
    <x v="0"/>
    <x v="0"/>
    <b v="1"/>
    <s v="АГ-005-В-11-05-296"/>
    <m/>
    <s v="ДА"/>
    <s v="White Box"/>
    <b v="1"/>
    <n v="5515100"/>
    <n v="9.3132257461547852E-10"/>
    <b v="1"/>
    <d v="2025-01-22T00:00:00"/>
    <s v="Нуждина"/>
  </r>
  <r>
    <n v="297"/>
    <x v="2"/>
    <x v="10"/>
    <x v="5"/>
    <x v="3"/>
    <n v="17.2"/>
    <n v="14.64"/>
    <n v="14.34"/>
    <n v="46.18"/>
    <n v="13.15"/>
    <n v="4.03"/>
    <n v="1.76"/>
    <m/>
    <n v="13.11"/>
    <n v="2.79"/>
    <n v="2.68"/>
    <m/>
    <n v="5.4700000000000006"/>
    <n v="83.7"/>
    <n v="78.23"/>
    <n v="80.97"/>
    <n v="73520.37000000001"/>
    <n v="3676.0185000000006"/>
    <n v="77196.388500000015"/>
    <n v="2315.8916550000004"/>
    <n v="79512.280155000015"/>
    <m/>
    <n v="79512.280155000015"/>
    <m/>
    <n v="79512.280155000015"/>
    <m/>
    <n v="79512.280155000015"/>
    <m/>
    <n v="79512.280155000015"/>
    <n v="795.12280155000019"/>
    <n v="80307.40295655001"/>
    <n v="4015.3701478275007"/>
    <n v="84322.773104377513"/>
    <m/>
    <n v="84322.773104377513"/>
    <n v="1686.4554620875504"/>
    <n v="86009.22856646507"/>
    <m/>
    <n v="86009.22856646507"/>
    <n v="1720.1845713293014"/>
    <n v="87729.41313779437"/>
    <m/>
    <n v="87729.41313779437"/>
    <n v="877.2941313779437"/>
    <n v="88606.707269172315"/>
    <m/>
    <n v="88606.707269172315"/>
    <n v="443.03353634586159"/>
    <n v="89049.740805518173"/>
    <m/>
    <n v="89049.740805518173"/>
    <m/>
    <n v="89049.740805518173"/>
    <m/>
    <n v="89049.740805518173"/>
    <m/>
    <n v="89049.740805518173"/>
    <m/>
    <n v="89049.740805518173"/>
    <m/>
    <n v="89049.740805518173"/>
    <m/>
    <n v="89049.740805518173"/>
    <m/>
    <n v="89049.740805518173"/>
    <n v="89049.74"/>
    <n v="7210400"/>
    <m/>
    <m/>
    <n v="0"/>
    <n v="89050.265530443372"/>
    <n v="7210400"/>
    <x v="2"/>
    <n v="20000"/>
    <n v="109050.26553044337"/>
    <n v="1619400"/>
    <n v="8829800"/>
    <m/>
    <m/>
    <x v="0"/>
    <x v="0"/>
    <b v="1"/>
    <s v="АГ-005-В-11-06-297"/>
    <m/>
    <s v="ДА"/>
    <s v="Чистовая"/>
    <b v="1"/>
    <n v="8829800"/>
    <n v="0"/>
    <b v="1"/>
    <d v="2024-06-28T00:00:00"/>
    <s v="Никишов"/>
  </r>
  <r>
    <n v="298"/>
    <x v="2"/>
    <x v="10"/>
    <x v="6"/>
    <x v="0"/>
    <n v="14.3"/>
    <m/>
    <m/>
    <n v="14.3"/>
    <n v="9.2799999999999994"/>
    <n v="3.79"/>
    <m/>
    <m/>
    <n v="6.08"/>
    <n v="2.71"/>
    <m/>
    <m/>
    <n v="2.71"/>
    <n v="36.159999999999997"/>
    <n v="33.450000000000003"/>
    <n v="34.81"/>
    <n v="84762.5625"/>
    <n v="4238.1281250000002"/>
    <n v="89000.690625000003"/>
    <n v="2670.02071875"/>
    <n v="91670.711343750008"/>
    <n v="12833.899588125003"/>
    <n v="104504.61093187501"/>
    <m/>
    <n v="104504.61093187501"/>
    <n v="5225.2305465937507"/>
    <n v="109729.84147846876"/>
    <m/>
    <n v="109729.84147846876"/>
    <n v="1097.2984147846876"/>
    <n v="110827.13989325345"/>
    <n v="5541.3569946626731"/>
    <n v="116368.49688791612"/>
    <m/>
    <n v="116368.49688791612"/>
    <n v="3491.0549066374833"/>
    <n v="119859.5517945536"/>
    <m/>
    <n v="119859.5517945536"/>
    <m/>
    <n v="119859.5517945536"/>
    <m/>
    <n v="119859.5517945536"/>
    <m/>
    <n v="119859.5517945536"/>
    <m/>
    <n v="119859.5517945536"/>
    <m/>
    <n v="119859.5517945536"/>
    <m/>
    <n v="119859.5517945536"/>
    <n v="599.29775897276795"/>
    <n v="120458.84955352636"/>
    <m/>
    <n v="120458.84955352636"/>
    <n v="2409.1769910705275"/>
    <n v="122868.0265445969"/>
    <n v="6143.4013272298453"/>
    <n v="129011.42787182675"/>
    <n v="16771.485623337478"/>
    <n v="145782.91349516422"/>
    <n v="35"/>
    <n v="145817.91349516422"/>
    <m/>
    <n v="145817.91349516422"/>
    <n v="145817.91"/>
    <n v="5076000"/>
    <m/>
    <m/>
    <n v="0"/>
    <n v="145820.16661878768"/>
    <n v="5076000"/>
    <x v="2"/>
    <n v="25000"/>
    <n v="170820.16661878768"/>
    <n v="870250"/>
    <n v="5946250"/>
    <s v="Хит"/>
    <m/>
    <x v="1"/>
    <x v="1"/>
    <b v="1"/>
    <s v="АГ-005-В-11-07-298"/>
    <m/>
    <s v="ДА"/>
    <s v="Чистовая"/>
    <b v="1"/>
    <n v="5946250"/>
    <n v="0"/>
    <b v="1"/>
    <s v=" "/>
    <s v=""/>
  </r>
  <r>
    <n v="299"/>
    <x v="2"/>
    <x v="11"/>
    <x v="0"/>
    <x v="1"/>
    <n v="17.63"/>
    <n v="13.69"/>
    <m/>
    <n v="31.32"/>
    <n v="20.05"/>
    <n v="3.54"/>
    <n v="2.93"/>
    <m/>
    <n v="12.19"/>
    <n v="4.6500000000000004"/>
    <n v="2.68"/>
    <m/>
    <n v="7.33"/>
    <n v="77.36"/>
    <n v="70.03"/>
    <n v="73.7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n v="86852.95"/>
    <n v="6401100"/>
    <m/>
    <n v="0.02"/>
    <n v="128022"/>
    <n v="85116.390773405699"/>
    <n v="6273078"/>
    <x v="1"/>
    <m/>
    <n v="85116.390773405699"/>
    <n v="0"/>
    <n v="6273078"/>
    <s v="Антихит"/>
    <s v="Скидка иногородним"/>
    <x v="0"/>
    <x v="0"/>
    <b v="1"/>
    <s v="АГ-005-В-12-01-299"/>
    <m/>
    <s v="ДА"/>
    <s v="Черновая"/>
    <b v="1"/>
    <n v="6273078"/>
    <n v="0"/>
    <b v="1"/>
    <d v="2023-12-09T00:00:00"/>
    <s v="Дик"/>
  </r>
  <r>
    <n v="300"/>
    <x v="2"/>
    <x v="11"/>
    <x v="1"/>
    <x v="2"/>
    <n v="7.18"/>
    <m/>
    <m/>
    <n v="7.18"/>
    <n v="5.17"/>
    <n v="3.72"/>
    <m/>
    <m/>
    <n v="6.97"/>
    <n v="2.97"/>
    <m/>
    <m/>
    <n v="2.97"/>
    <n v="26.01"/>
    <n v="23.04"/>
    <n v="24.53"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m/>
    <n v="92857.59"/>
    <n v="92857.59"/>
    <n v="2277796.6800000002"/>
    <m/>
    <m/>
    <n v="0"/>
    <n v="92857.589889930707"/>
    <n v="2277796.6800000002"/>
    <x v="1"/>
    <m/>
    <n v="92857.589889930707"/>
    <n v="0"/>
    <n v="2277796.6800000002"/>
    <m/>
    <m/>
    <x v="0"/>
    <x v="0"/>
    <b v="1"/>
    <s v="АГ-005-В-12-02-300"/>
    <m/>
    <s v="НЕТ"/>
    <s v="Черновая"/>
    <b v="1"/>
    <n v="2277796.6800000002"/>
    <n v="0"/>
    <b v="1"/>
    <d v="2023-09-25T00:00:00"/>
    <s v="Калачева"/>
  </r>
  <r>
    <n v="301"/>
    <x v="2"/>
    <x v="11"/>
    <x v="2"/>
    <x v="1"/>
    <n v="13.69"/>
    <n v="10.16"/>
    <m/>
    <n v="23.85"/>
    <n v="18.71"/>
    <n v="3.49"/>
    <n v="2.11"/>
    <m/>
    <n v="7.09"/>
    <n v="2.65"/>
    <m/>
    <m/>
    <n v="2.65"/>
    <n v="57.9"/>
    <n v="55.25"/>
    <n v="56.58"/>
    <n v="81080.055000000008"/>
    <n v="4054.0027500000006"/>
    <n v="85134.057750000007"/>
    <n v="2554.0217325000003"/>
    <n v="87688.079482500005"/>
    <m/>
    <n v="87688.079482500005"/>
    <m/>
    <n v="87688.079482500005"/>
    <m/>
    <n v="87688.079482500005"/>
    <m/>
    <n v="87688.079482500005"/>
    <n v="876.88079482500007"/>
    <n v="88564.960277325008"/>
    <n v="4428.2480138662504"/>
    <n v="92993.208291191258"/>
    <m/>
    <n v="92993.208291191258"/>
    <n v="1859.8641658238253"/>
    <n v="94853.072457015078"/>
    <m/>
    <n v="94853.072457015078"/>
    <n v="1897.0614491403016"/>
    <n v="96750.133906155374"/>
    <n v="150"/>
    <n v="96900.133906155374"/>
    <n v="969.00133906155372"/>
    <n v="97869.135245216923"/>
    <m/>
    <n v="97869.135245216923"/>
    <m/>
    <n v="97869.135245216923"/>
    <m/>
    <n v="97869.135245216923"/>
    <n v="2446.7283811304233"/>
    <n v="100315.86362634735"/>
    <n v="500"/>
    <n v="100815.86362634735"/>
    <n v="4032.6345450538938"/>
    <n v="104848.49817140124"/>
    <n v="6290.9098902840742"/>
    <n v="111139.40806168532"/>
    <n v="14448.123048019092"/>
    <n v="125587.5311097044"/>
    <n v="35"/>
    <n v="125622.5311097044"/>
    <m/>
    <n v="125622.5311097044"/>
    <n v="125622.53"/>
    <n v="7107800"/>
    <m/>
    <n v="0.03"/>
    <n v="213234"/>
    <n v="121855.17850830682"/>
    <n v="6894566"/>
    <x v="3"/>
    <n v="10000"/>
    <n v="131855.17850830682"/>
    <n v="565800"/>
    <n v="7460366"/>
    <s v="Хит"/>
    <s v="Ветеран боевых действий"/>
    <x v="0"/>
    <x v="0"/>
    <b v="1"/>
    <s v="АГ-005-В-12-03-301"/>
    <m/>
    <s v="ДА"/>
    <s v="White Box"/>
    <b v="1"/>
    <n v="7460366"/>
    <n v="0"/>
    <b v="1"/>
    <d v="2025-02-13T00:00:00"/>
    <s v="Дик"/>
  </r>
  <r>
    <n v="302"/>
    <x v="2"/>
    <x v="11"/>
    <x v="3"/>
    <x v="1"/>
    <n v="15.45"/>
    <n v="10.34"/>
    <m/>
    <n v="25.79"/>
    <n v="15.44"/>
    <n v="4.59"/>
    <n v="2.21"/>
    <m/>
    <n v="10.79"/>
    <n v="2.84"/>
    <m/>
    <m/>
    <n v="2.84"/>
    <n v="61.66"/>
    <n v="58.82"/>
    <n v="60.24"/>
    <n v="83010.532500000001"/>
    <n v="4150.5266250000004"/>
    <n v="87161.059125"/>
    <n v="2614.8317737499997"/>
    <n v="89775.890898750004"/>
    <m/>
    <n v="89775.890898750004"/>
    <m/>
    <n v="89775.890898750004"/>
    <m/>
    <n v="89775.890898750004"/>
    <m/>
    <n v="89775.890898750004"/>
    <n v="897.75890898750004"/>
    <n v="90673.6498077375"/>
    <n v="4533.6824903868755"/>
    <n v="95207.332298124369"/>
    <m/>
    <n v="95207.332298124369"/>
    <n v="1904.1466459624874"/>
    <n v="97111.478944086863"/>
    <m/>
    <n v="97111.478944086863"/>
    <n v="1942.2295788817373"/>
    <n v="99053.708522968605"/>
    <m/>
    <n v="99053.708522968605"/>
    <m/>
    <n v="99053.708522968605"/>
    <m/>
    <n v="99053.708522968605"/>
    <m/>
    <n v="99053.708522968605"/>
    <m/>
    <n v="99053.708522968605"/>
    <n v="495.26854261484306"/>
    <n v="99548.977065583444"/>
    <m/>
    <n v="99548.977065583444"/>
    <m/>
    <n v="99548.977065583444"/>
    <m/>
    <n v="99548.977065583444"/>
    <m/>
    <n v="99548.977065583444"/>
    <m/>
    <n v="99548.977065583444"/>
    <m/>
    <n v="99548.977065583444"/>
    <n v="99548.98"/>
    <n v="5996900"/>
    <m/>
    <m/>
    <n v="0"/>
    <n v="99550.132802124834"/>
    <n v="5996900"/>
    <x v="2"/>
    <n v="20000"/>
    <n v="119550.13280212483"/>
    <n v="1204800"/>
    <n v="7201700"/>
    <m/>
    <m/>
    <x v="0"/>
    <x v="0"/>
    <b v="1"/>
    <s v="АГ-005-В-12-04-302"/>
    <m/>
    <s v="ДА"/>
    <s v="Чистовая"/>
    <b v="1"/>
    <n v="7201700"/>
    <n v="0"/>
    <b v="1"/>
    <d v="2024-10-28T00:00:00"/>
    <s v="Дик"/>
  </r>
  <r>
    <n v="303"/>
    <x v="2"/>
    <x v="11"/>
    <x v="4"/>
    <x v="0"/>
    <n v="12.54"/>
    <m/>
    <m/>
    <n v="12.54"/>
    <n v="12.74"/>
    <n v="4.0199999999999996"/>
    <m/>
    <m/>
    <n v="7.09"/>
    <n v="2.84"/>
    <m/>
    <m/>
    <n v="2.84"/>
    <n v="39.229999999999997"/>
    <n v="36.39"/>
    <n v="37.81"/>
    <n v="90034.875"/>
    <n v="4501.7437500000005"/>
    <n v="94536.618749999994"/>
    <n v="2836.0985624999998"/>
    <n v="97372.717312499997"/>
    <n v="4381.7722790624994"/>
    <n v="101754.48959156249"/>
    <m/>
    <n v="101754.48959156249"/>
    <n v="5087.7244795781253"/>
    <n v="106842.21407114062"/>
    <n v="-620"/>
    <n v="106222.21407114062"/>
    <n v="1062.2221407114062"/>
    <n v="107284.43621185204"/>
    <n v="5364.2218105926022"/>
    <n v="112648.65802244464"/>
    <m/>
    <n v="112648.65802244464"/>
    <n v="3379.4597406733392"/>
    <n v="116028.11776311797"/>
    <m/>
    <n v="116028.11776311797"/>
    <m/>
    <n v="116028.11776311797"/>
    <m/>
    <n v="116028.11776311797"/>
    <n v="1160.2811776311798"/>
    <n v="117188.39894074916"/>
    <m/>
    <n v="117188.39894074916"/>
    <m/>
    <n v="117188.39894074916"/>
    <m/>
    <n v="117188.39894074916"/>
    <m/>
    <n v="117188.39894074916"/>
    <m/>
    <n v="117188.39894074916"/>
    <m/>
    <n v="117188.39894074916"/>
    <m/>
    <n v="117188.39894074916"/>
    <m/>
    <n v="117188.39894074916"/>
    <m/>
    <n v="117188.39894074916"/>
    <m/>
    <n v="117188.39894074916"/>
    <n v="117188.4"/>
    <n v="4430900"/>
    <m/>
    <m/>
    <n v="0"/>
    <n v="117188.57445120339"/>
    <n v="4430900"/>
    <x v="3"/>
    <n v="7000"/>
    <n v="124188.57445120339"/>
    <n v="264670"/>
    <n v="4695570"/>
    <m/>
    <m/>
    <x v="0"/>
    <x v="0"/>
    <b v="1"/>
    <s v="АГ-005-В-12-05-303"/>
    <m/>
    <s v="ДА"/>
    <s v="White Box"/>
    <b v="1"/>
    <n v="4695570"/>
    <n v="0"/>
    <b v="1"/>
    <d v="2024-05-28T00:00:00"/>
    <s v="Дик"/>
  </r>
  <r>
    <n v="304"/>
    <x v="2"/>
    <x v="11"/>
    <x v="5"/>
    <x v="3"/>
    <n v="17.2"/>
    <n v="14.64"/>
    <n v="14.34"/>
    <n v="46.18"/>
    <n v="13.15"/>
    <n v="4.03"/>
    <n v="1.76"/>
    <m/>
    <n v="13.11"/>
    <n v="2.79"/>
    <n v="2.68"/>
    <m/>
    <n v="5.4700000000000006"/>
    <n v="83.7"/>
    <n v="78.23"/>
    <n v="80.97"/>
    <n v="74234.160000000018"/>
    <n v="3711.708000000001"/>
    <n v="77945.868000000017"/>
    <n v="2338.3760400000006"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m/>
    <n v="80284.24404000002"/>
    <n v="80284.240000000005"/>
    <n v="6500614.9100000001"/>
    <n v="20000"/>
    <m/>
    <n v="20000"/>
    <n v="80037.234901815493"/>
    <n v="6480614.9100000001"/>
    <x v="1"/>
    <m/>
    <n v="80037.234901815493"/>
    <n v="0"/>
    <n v="6480614.9100000001"/>
    <m/>
    <s v="Зачетная квартира"/>
    <x v="0"/>
    <x v="0"/>
    <b v="1"/>
    <s v="АГ-005-В-12-06-304"/>
    <m/>
    <s v="НЕТ"/>
    <s v="Черновая"/>
    <b v="1"/>
    <n v="6480614.9100000001"/>
    <n v="0"/>
    <b v="1"/>
    <d v="2023-10-18T00:00:00"/>
    <s v="Никишов"/>
  </r>
  <r>
    <n v="305"/>
    <x v="2"/>
    <x v="11"/>
    <x v="6"/>
    <x v="0"/>
    <n v="14.3"/>
    <m/>
    <m/>
    <n v="14.3"/>
    <n v="9.2799999999999994"/>
    <n v="3.79"/>
    <m/>
    <m/>
    <n v="6.08"/>
    <n v="2.71"/>
    <m/>
    <m/>
    <n v="2.71"/>
    <n v="36.159999999999997"/>
    <n v="33.450000000000003"/>
    <n v="34.81"/>
    <n v="85573.6875"/>
    <n v="4278.6843749999998"/>
    <n v="89852.371874999997"/>
    <n v="2695.5711562499996"/>
    <n v="92547.94303124999"/>
    <n v="12956.712024375"/>
    <n v="105504.65505562499"/>
    <m/>
    <n v="105504.65505562499"/>
    <n v="5275.2327527812495"/>
    <n v="110779.88780840623"/>
    <m/>
    <n v="110779.88780840623"/>
    <n v="1107.7988780840624"/>
    <n v="111887.6866864903"/>
    <n v="5594.3843343245153"/>
    <n v="117482.07102081481"/>
    <m/>
    <n v="117482.07102081481"/>
    <n v="3524.4621306244439"/>
    <n v="121006.53315143925"/>
    <m/>
    <n v="121006.53315143925"/>
    <m/>
    <n v="121006.53315143925"/>
    <m/>
    <n v="121006.53315143925"/>
    <m/>
    <n v="121006.53315143925"/>
    <m/>
    <n v="121006.53315143925"/>
    <m/>
    <n v="121006.53315143925"/>
    <m/>
    <n v="121006.53315143925"/>
    <n v="605.03266575719624"/>
    <n v="121611.56581719645"/>
    <m/>
    <n v="121611.56581719645"/>
    <n v="2432.2313163439289"/>
    <n v="124043.79713354037"/>
    <n v="6202.1898566770187"/>
    <n v="130245.9869902174"/>
    <n v="16931.978308728263"/>
    <n v="147177.96529894567"/>
    <n v="35"/>
    <n v="147212.96529894567"/>
    <m/>
    <n v="147212.96529894567"/>
    <n v="147212.97"/>
    <n v="5124500"/>
    <m/>
    <n v="0.03"/>
    <n v="153735"/>
    <n v="142797.04108014939"/>
    <n v="4970765"/>
    <x v="2"/>
    <n v="25000"/>
    <n v="167797.04108014939"/>
    <n v="870250.00000000093"/>
    <n v="5841015.0000000009"/>
    <s v="Хит"/>
    <s v="Новоселье близко"/>
    <x v="0"/>
    <x v="0"/>
    <b v="1"/>
    <s v="АГ-005-В-12-07-305"/>
    <m/>
    <s v="ДА"/>
    <s v="Чистовая"/>
    <b v="1"/>
    <n v="5841015"/>
    <n v="-9.3132257461547852E-10"/>
    <b v="1"/>
    <d v="2025-03-03T00:00:00"/>
    <s v="Полехович"/>
  </r>
  <r>
    <n v="306"/>
    <x v="2"/>
    <x v="12"/>
    <x v="0"/>
    <x v="1"/>
    <n v="17.63"/>
    <n v="13.69"/>
    <m/>
    <n v="31.32"/>
    <n v="20.05"/>
    <n v="3.54"/>
    <n v="2.93"/>
    <m/>
    <n v="12.19"/>
    <n v="4.6500000000000004"/>
    <n v="2.68"/>
    <m/>
    <n v="7.33"/>
    <n v="77.36"/>
    <n v="70.03"/>
    <n v="73.7"/>
    <n v="78763.482000000004"/>
    <n v="3938.1741000000002"/>
    <n v="82701.656100000007"/>
    <n v="2481.0496830000002"/>
    <n v="85182.705783000012"/>
    <m/>
    <n v="85182.705783000012"/>
    <m/>
    <n v="85182.705783000012"/>
    <m/>
    <n v="85182.705783000012"/>
    <m/>
    <n v="85182.705783000012"/>
    <n v="851.82705783000017"/>
    <n v="86034.532840830012"/>
    <n v="4301.7266420415008"/>
    <n v="90336.259482871508"/>
    <m/>
    <n v="90336.259482871508"/>
    <n v="1806.7251896574303"/>
    <n v="92142.984672528939"/>
    <m/>
    <n v="92142.984672528939"/>
    <n v="1842.8596934505788"/>
    <n v="93985.844365979516"/>
    <m/>
    <n v="93985.844365979516"/>
    <m/>
    <n v="93985.844365979516"/>
    <m/>
    <n v="93985.844365979516"/>
    <m/>
    <n v="93985.844365979516"/>
    <m/>
    <n v="93985.844365979516"/>
    <n v="469.92922182989759"/>
    <n v="94455.77358780941"/>
    <m/>
    <n v="94455.77358780941"/>
    <m/>
    <n v="94455.77358780941"/>
    <n v="7556.4618870247532"/>
    <n v="102012.23547483416"/>
    <m/>
    <n v="102012.23547483416"/>
    <m/>
    <n v="102012.23547483416"/>
    <m/>
    <n v="102012.23547483416"/>
    <n v="102012.24"/>
    <n v="7518400"/>
    <m/>
    <n v="0.02"/>
    <n v="150368"/>
    <n v="99973.297150610582"/>
    <n v="7368032"/>
    <x v="2"/>
    <n v="24000"/>
    <n v="123973.29715061058"/>
    <n v="1768800"/>
    <n v="9136832"/>
    <s v="Антихит"/>
    <s v="Скидка иногородним"/>
    <x v="0"/>
    <x v="0"/>
    <b v="1"/>
    <s v="АГ-005-В-13-01-306"/>
    <m/>
    <s v="ДА"/>
    <s v="Чистовая"/>
    <b v="1"/>
    <n v="9136832"/>
    <n v="0"/>
    <b v="1"/>
    <d v="2024-11-14T00:00:00"/>
    <s v="Дик"/>
  </r>
  <r>
    <n v="307"/>
    <x v="2"/>
    <x v="12"/>
    <x v="1"/>
    <x v="2"/>
    <n v="7.18"/>
    <m/>
    <m/>
    <n v="7.18"/>
    <n v="5.17"/>
    <n v="3.72"/>
    <m/>
    <m/>
    <n v="6.97"/>
    <n v="2.97"/>
    <m/>
    <m/>
    <n v="2.97"/>
    <n v="26.01"/>
    <n v="23.04"/>
    <n v="24.53"/>
    <n v="91981.574999999997"/>
    <n v="4599.0787499999997"/>
    <n v="96580.653749999998"/>
    <n v="2897.4196124999999"/>
    <n v="99478.073362499999"/>
    <n v="12932.149537125"/>
    <n v="112410.22289962501"/>
    <n v="3372.3066869887502"/>
    <n v="115782.52958661376"/>
    <m/>
    <n v="115782.52958661376"/>
    <m/>
    <n v="115782.52958661376"/>
    <m/>
    <n v="115782.52958661376"/>
    <m/>
    <n v="115782.52958661376"/>
    <m/>
    <n v="115782.52958661376"/>
    <m/>
    <n v="115782.52958661376"/>
    <m/>
    <n v="115782.52958661376"/>
    <m/>
    <n v="115782.52958661376"/>
    <m/>
    <n v="115782.52958661376"/>
    <m/>
    <n v="115782.52958661376"/>
    <m/>
    <n v="115782.52958661376"/>
    <m/>
    <n v="115782.52958661376"/>
    <m/>
    <n v="115782.52958661376"/>
    <m/>
    <n v="115782.52958661376"/>
    <m/>
    <n v="115782.52958661376"/>
    <m/>
    <n v="115782.52958661376"/>
    <m/>
    <n v="115782.52958661376"/>
    <m/>
    <n v="115782.52958661376"/>
    <m/>
    <n v="115782.52958661376"/>
    <m/>
    <n v="115782.52958661376"/>
    <n v="115782.53"/>
    <n v="2840145.46"/>
    <m/>
    <n v="0.02"/>
    <n v="56802.909200000002"/>
    <n v="113466.87933143089"/>
    <n v="2783342.55"/>
    <x v="1"/>
    <m/>
    <n v="113466.87933143089"/>
    <n v="0"/>
    <n v="2783342.55"/>
    <m/>
    <s v="Скидка иногородним"/>
    <x v="0"/>
    <x v="0"/>
    <b v="1"/>
    <s v="АГ-005-В-13-02-307"/>
    <m/>
    <s v="НЕТ"/>
    <s v="Черновая"/>
    <b v="1"/>
    <n v="2783342.55"/>
    <n v="0"/>
    <b v="1"/>
    <d v="2023-12-28T00:00:00"/>
    <s v="Полехович"/>
  </r>
  <r>
    <n v="308"/>
    <x v="2"/>
    <x v="12"/>
    <x v="2"/>
    <x v="1"/>
    <n v="13.69"/>
    <n v="10.16"/>
    <m/>
    <n v="23.85"/>
    <n v="18.71"/>
    <n v="3.49"/>
    <n v="2.11"/>
    <m/>
    <n v="7.09"/>
    <n v="2.65"/>
    <m/>
    <m/>
    <n v="2.65"/>
    <n v="57.9"/>
    <n v="55.25"/>
    <n v="56.58"/>
    <n v="80307.864000000001"/>
    <n v="4015.3932000000004"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m/>
    <n v="84323.257200000007"/>
    <n v="84323.26"/>
    <n v="4771010.05"/>
    <m/>
    <m/>
    <n v="0"/>
    <n v="84323.259985860728"/>
    <n v="4771010.05"/>
    <x v="1"/>
    <m/>
    <n v="84323.259985860728"/>
    <n v="0"/>
    <n v="4771010.05"/>
    <s v="Хит"/>
    <m/>
    <x v="0"/>
    <x v="0"/>
    <b v="1"/>
    <s v="АГ-005-В-13-03-308"/>
    <m/>
    <s v="НЕТ"/>
    <s v="Черновая"/>
    <b v="1"/>
    <n v="4771010.05"/>
    <n v="0"/>
    <b v="1"/>
    <d v="2023-09-18T00:00:00"/>
    <s v="Калачева"/>
  </r>
  <r>
    <n v="309"/>
    <x v="2"/>
    <x v="12"/>
    <x v="3"/>
    <x v="1"/>
    <n v="15.45"/>
    <n v="10.34"/>
    <m/>
    <n v="25.79"/>
    <n v="15.44"/>
    <n v="4.59"/>
    <n v="2.21"/>
    <m/>
    <n v="10.79"/>
    <n v="2.84"/>
    <m/>
    <m/>
    <n v="2.84"/>
    <n v="61.66"/>
    <n v="58.82"/>
    <n v="60.24"/>
    <n v="82238.34150000001"/>
    <n v="4111.9170750000003"/>
    <n v="86350.258575000014"/>
    <n v="2590.5077572500004"/>
    <n v="88940.766332250016"/>
    <m/>
    <n v="88940.766332250016"/>
    <m/>
    <n v="88940.766332250016"/>
    <m/>
    <n v="88940.766332250016"/>
    <m/>
    <n v="88940.766332250016"/>
    <n v="889.40766332250018"/>
    <n v="89830.173995572521"/>
    <n v="4491.5086997786266"/>
    <n v="94321.682695351148"/>
    <m/>
    <n v="94321.682695351148"/>
    <n v="1886.433653907023"/>
    <n v="96208.116349258169"/>
    <m/>
    <n v="96208.116349258169"/>
    <n v="1924.1623269851634"/>
    <n v="98132.278676243339"/>
    <m/>
    <n v="98132.278676243339"/>
    <m/>
    <n v="98132.278676243339"/>
    <m/>
    <n v="98132.278676243339"/>
    <m/>
    <n v="98132.278676243339"/>
    <m/>
    <n v="98132.278676243339"/>
    <n v="490.66139338121673"/>
    <n v="98622.940069624558"/>
    <m/>
    <n v="98622.940069624558"/>
    <n v="3944.9176027849826"/>
    <n v="102567.85767240953"/>
    <n v="6154.0714603445722"/>
    <n v="108721.9291327541"/>
    <n v="14133.850787258034"/>
    <n v="122855.77992001214"/>
    <n v="35"/>
    <n v="122890.77992001214"/>
    <m/>
    <n v="122890.77992001214"/>
    <n v="122890.78"/>
    <n v="7403000"/>
    <m/>
    <n v="0.03"/>
    <n v="222090"/>
    <n v="119205.01328021249"/>
    <n v="7180910"/>
    <x v="2"/>
    <n v="25000"/>
    <n v="144205.01328021247"/>
    <n v="1506000"/>
    <n v="8686910"/>
    <m/>
    <s v="Новоселье близко"/>
    <x v="0"/>
    <x v="0"/>
    <b v="1"/>
    <s v="АГ-005-В-13-04-309"/>
    <m/>
    <s v="ДА"/>
    <s v="Чистовая"/>
    <b v="1"/>
    <n v="8686910"/>
    <n v="0"/>
    <b v="1"/>
    <d v="2025-03-26T00:00:00"/>
    <s v="Никишов"/>
  </r>
  <r>
    <n v="310"/>
    <x v="2"/>
    <x v="12"/>
    <x v="4"/>
    <x v="0"/>
    <n v="12.54"/>
    <m/>
    <m/>
    <n v="12.54"/>
    <n v="12.74"/>
    <n v="4.0199999999999996"/>
    <m/>
    <m/>
    <n v="7.09"/>
    <n v="2.84"/>
    <m/>
    <m/>
    <n v="2.84"/>
    <n v="39.229999999999997"/>
    <n v="36.39"/>
    <n v="37.81"/>
    <n v="89223.75"/>
    <n v="4461.1875"/>
    <n v="93684.9375"/>
    <n v="2810.5481249999998"/>
    <n v="96495.485625000001"/>
    <n v="4342.2968531249999"/>
    <n v="100837.78247812499"/>
    <m/>
    <n v="100837.78247812499"/>
    <n v="5041.8891239062505"/>
    <n v="105879.67160203125"/>
    <n v="-620"/>
    <n v="105259.67160203125"/>
    <n v="1052.5967160203124"/>
    <n v="106312.26831805156"/>
    <n v="5315.6134159025787"/>
    <n v="111627.88173395414"/>
    <m/>
    <n v="111627.88173395414"/>
    <n v="3348.8364520186242"/>
    <n v="114976.71818597277"/>
    <m/>
    <n v="114976.71818597277"/>
    <m/>
    <n v="114976.71818597277"/>
    <m/>
    <n v="114976.71818597277"/>
    <n v="1149.7671818597278"/>
    <n v="116126.4853678325"/>
    <m/>
    <n v="116126.4853678325"/>
    <m/>
    <n v="116126.4853678325"/>
    <m/>
    <n v="116126.4853678325"/>
    <n v="580.63242683916258"/>
    <n v="116707.11779467166"/>
    <m/>
    <n v="116707.11779467166"/>
    <m/>
    <n v="116707.11779467166"/>
    <n v="5835.3558897335834"/>
    <n v="122542.47368440525"/>
    <n v="15930.521578972683"/>
    <n v="138472.99526337793"/>
    <n v="35"/>
    <n v="138507.99526337793"/>
    <m/>
    <n v="138507.99526337793"/>
    <n v="138508"/>
    <n v="5237000"/>
    <m/>
    <m/>
    <n v="0"/>
    <n v="138508.33112933085"/>
    <n v="5237000"/>
    <x v="3"/>
    <n v="10000"/>
    <n v="148508.33112933085"/>
    <n v="378100"/>
    <n v="5615100"/>
    <m/>
    <m/>
    <x v="1"/>
    <x v="1"/>
    <b v="1"/>
    <s v="АГ-005-В-13-05-310"/>
    <m/>
    <s v="ДА"/>
    <s v="White Box"/>
    <b v="1"/>
    <n v="5615100"/>
    <n v="0"/>
    <b v="1"/>
    <s v=" "/>
    <s v=""/>
  </r>
  <r>
    <n v="311"/>
    <x v="2"/>
    <x v="12"/>
    <x v="5"/>
    <x v="3"/>
    <n v="17.2"/>
    <n v="14.64"/>
    <n v="14.34"/>
    <n v="46.18"/>
    <n v="13.15"/>
    <n v="4.03"/>
    <n v="1.76"/>
    <m/>
    <n v="13.11"/>
    <n v="2.79"/>
    <n v="2.68"/>
    <m/>
    <n v="5.4700000000000006"/>
    <n v="83.7"/>
    <n v="78.23"/>
    <n v="80.97"/>
    <n v="73520.37000000001"/>
    <n v="3676.0185000000006"/>
    <n v="77196.388500000015"/>
    <n v="2315.8916550000004"/>
    <n v="79512.280155000015"/>
    <m/>
    <n v="79512.280155000015"/>
    <m/>
    <n v="79512.280155000015"/>
    <m/>
    <n v="79512.280155000015"/>
    <m/>
    <n v="79512.280155000015"/>
    <n v="795.12280155000019"/>
    <n v="80307.40295655001"/>
    <n v="4015.3701478275007"/>
    <n v="84322.773104377513"/>
    <m/>
    <n v="84322.773104377513"/>
    <n v="1686.4554620875504"/>
    <n v="86009.22856646507"/>
    <m/>
    <n v="86009.22856646507"/>
    <n v="1720.1845713293014"/>
    <n v="87729.41313779437"/>
    <m/>
    <n v="87729.41313779437"/>
    <n v="877.2941313779437"/>
    <n v="88606.707269172315"/>
    <m/>
    <n v="88606.707269172315"/>
    <m/>
    <n v="88606.707269172315"/>
    <m/>
    <n v="88606.707269172315"/>
    <m/>
    <n v="88606.707269172315"/>
    <m/>
    <n v="88606.707269172315"/>
    <m/>
    <n v="88606.707269172315"/>
    <m/>
    <n v="88606.707269172315"/>
    <m/>
    <n v="88606.707269172315"/>
    <m/>
    <n v="88606.707269172315"/>
    <m/>
    <n v="88606.707269172315"/>
    <n v="88606.71"/>
    <n v="7174500"/>
    <m/>
    <m/>
    <n v="0"/>
    <n v="88606.891441274551"/>
    <n v="7174500"/>
    <x v="1"/>
    <m/>
    <n v="88606.891441274551"/>
    <n v="0"/>
    <n v="7174500"/>
    <m/>
    <m/>
    <x v="0"/>
    <x v="0"/>
    <b v="1"/>
    <s v="АГ-005-В-13-06-311"/>
    <m/>
    <s v="ДА"/>
    <s v="Черновая"/>
    <b v="1"/>
    <n v="7174500"/>
    <n v="0"/>
    <b v="1"/>
    <d v="2024-06-05T00:00:00"/>
    <s v="Никишов"/>
  </r>
  <r>
    <n v="312"/>
    <x v="2"/>
    <x v="12"/>
    <x v="6"/>
    <x v="0"/>
    <n v="14.3"/>
    <m/>
    <m/>
    <n v="14.3"/>
    <n v="9.2799999999999994"/>
    <n v="3.79"/>
    <m/>
    <m/>
    <n v="6.08"/>
    <n v="2.71"/>
    <m/>
    <m/>
    <n v="2.71"/>
    <n v="36.159999999999997"/>
    <n v="33.450000000000003"/>
    <n v="34.81"/>
    <n v="84762.5625"/>
    <n v="4238.1281250000002"/>
    <n v="89000.690625000003"/>
    <n v="2670.02071875"/>
    <n v="91670.711343750008"/>
    <n v="4583.5355671875004"/>
    <n v="96254.246910937509"/>
    <m/>
    <n v="96254.246910937509"/>
    <m/>
    <n v="96254.246910937509"/>
    <m/>
    <n v="96254.246910937509"/>
    <m/>
    <n v="96254.246910937509"/>
    <m/>
    <n v="96254.246910937509"/>
    <m/>
    <n v="96254.246910937509"/>
    <m/>
    <n v="96254.246910937509"/>
    <m/>
    <n v="96254.246910937509"/>
    <m/>
    <n v="96254.246910937509"/>
    <m/>
    <n v="96254.246910937509"/>
    <m/>
    <n v="96254.246910937509"/>
    <m/>
    <n v="96254.246910937509"/>
    <m/>
    <n v="96254.246910937509"/>
    <m/>
    <n v="96254.246910937509"/>
    <m/>
    <n v="96254.246910937509"/>
    <m/>
    <n v="96254.246910937509"/>
    <m/>
    <n v="96254.246910937509"/>
    <m/>
    <n v="96254.246910937509"/>
    <m/>
    <n v="96254.246910937509"/>
    <m/>
    <n v="96254.246910937509"/>
    <m/>
    <n v="96254.246910937509"/>
    <n v="96254.25"/>
    <n v="3350610.44"/>
    <m/>
    <m/>
    <n v="0"/>
    <n v="96254.249928181554"/>
    <n v="3350610.44"/>
    <x v="1"/>
    <m/>
    <n v="96254.249928181554"/>
    <n v="0"/>
    <n v="3350610.44"/>
    <s v="Хит"/>
    <m/>
    <x v="0"/>
    <x v="0"/>
    <b v="1"/>
    <s v="АГ-005-В-13-07-312"/>
    <m/>
    <s v="НЕТ"/>
    <s v="Черновая"/>
    <b v="1"/>
    <n v="3350610.44"/>
    <n v="0"/>
    <b v="1"/>
    <d v="2023-09-15T00:00:00"/>
    <s v="Кофанова"/>
  </r>
  <r>
    <n v="313"/>
    <x v="2"/>
    <x v="13"/>
    <x v="0"/>
    <x v="1"/>
    <n v="17.63"/>
    <n v="13.69"/>
    <m/>
    <n v="31.32"/>
    <n v="20.05"/>
    <n v="3.54"/>
    <n v="2.93"/>
    <m/>
    <n v="12.19"/>
    <n v="4.6500000000000004"/>
    <n v="2.68"/>
    <m/>
    <n v="7.33"/>
    <n v="77.36"/>
    <n v="70.03"/>
    <n v="73.7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m/>
    <n v="95828.704059430078"/>
    <m/>
    <n v="95828.704059430078"/>
    <m/>
    <n v="95828.704059430078"/>
    <m/>
    <n v="95828.704059430078"/>
    <n v="479.14352029715042"/>
    <n v="96307.847579727226"/>
    <m/>
    <n v="96307.847579727226"/>
    <m/>
    <n v="96307.847579727226"/>
    <m/>
    <n v="96307.847579727226"/>
    <m/>
    <n v="96307.847579727226"/>
    <m/>
    <n v="96307.847579727226"/>
    <m/>
    <n v="96307.847579727226"/>
    <n v="96307.85"/>
    <n v="7097900"/>
    <m/>
    <m/>
    <n v="0"/>
    <n v="96308.00542740841"/>
    <n v="7097900"/>
    <x v="3"/>
    <n v="8000"/>
    <n v="104308.00542740841"/>
    <n v="589600"/>
    <n v="7687500"/>
    <s v="Антихит"/>
    <m/>
    <x v="0"/>
    <x v="0"/>
    <b v="1"/>
    <s v="АГ-005-В-14-01-313"/>
    <m/>
    <s v="ДА"/>
    <s v="White Box"/>
    <b v="1"/>
    <n v="7687500"/>
    <n v="0"/>
    <b v="1"/>
    <d v="2024-10-24T00:00:00"/>
    <s v="Дик"/>
  </r>
  <r>
    <n v="314"/>
    <x v="2"/>
    <x v="13"/>
    <x v="1"/>
    <x v="2"/>
    <n v="7.18"/>
    <m/>
    <m/>
    <n v="7.18"/>
    <n v="5.17"/>
    <n v="3.72"/>
    <m/>
    <m/>
    <n v="6.97"/>
    <n v="2.97"/>
    <m/>
    <m/>
    <n v="2.97"/>
    <n v="26.01"/>
    <n v="23.04"/>
    <n v="24.53"/>
    <n v="92857.59"/>
    <n v="4642.8795"/>
    <n v="97500.469499999992"/>
    <n v="2925.0140849999998"/>
    <n v="100425.48358499999"/>
    <n v="13055.312866050001"/>
    <n v="113480.79645105"/>
    <n v="3404.4238935314997"/>
    <n v="116885.2203445815"/>
    <m/>
    <n v="116885.2203445815"/>
    <m/>
    <n v="116885.2203445815"/>
    <n v="1168.8522034458149"/>
    <n v="118054.07254802731"/>
    <n v="5902.7036274013662"/>
    <n v="123956.77617542868"/>
    <m/>
    <n v="123956.77617542868"/>
    <n v="3718.7032852628599"/>
    <n v="127675.47946069154"/>
    <m/>
    <n v="127675.47946069154"/>
    <m/>
    <n v="127675.47946069154"/>
    <m/>
    <n v="127675.47946069154"/>
    <n v="1276.7547946069153"/>
    <n v="128952.23425529845"/>
    <m/>
    <n v="128952.23425529845"/>
    <n v="644.76117127649229"/>
    <n v="129596.99542657494"/>
    <m/>
    <n v="129596.99542657494"/>
    <n v="1943.954931398624"/>
    <n v="131540.95035797358"/>
    <m/>
    <n v="131540.95035797358"/>
    <m/>
    <n v="131540.95035797358"/>
    <n v="5261.6380143189435"/>
    <n v="136802.58837229252"/>
    <n v="17784.336488398028"/>
    <n v="154586.92486069055"/>
    <n v="35"/>
    <n v="154621.92486069055"/>
    <m/>
    <n v="154621.92486069055"/>
    <n v="154621.92000000001"/>
    <n v="3792900"/>
    <m/>
    <m/>
    <n v="0"/>
    <n v="154622.91072156542"/>
    <n v="3792900"/>
    <x v="3"/>
    <n v="10000"/>
    <n v="164622.91072156542"/>
    <n v="245300"/>
    <n v="4038200"/>
    <m/>
    <m/>
    <x v="1"/>
    <x v="1"/>
    <b v="1"/>
    <s v="АГ-005-В-14-02-314"/>
    <m/>
    <s v="ДА"/>
    <s v="White Box"/>
    <b v="1"/>
    <n v="4038200"/>
    <n v="0"/>
    <b v="1"/>
    <s v=" "/>
    <s v=""/>
  </r>
  <r>
    <n v="315"/>
    <x v="2"/>
    <x v="13"/>
    <x v="2"/>
    <x v="1"/>
    <n v="13.69"/>
    <n v="10.16"/>
    <m/>
    <n v="23.85"/>
    <n v="18.71"/>
    <n v="3.49"/>
    <n v="2.11"/>
    <m/>
    <n v="7.09"/>
    <n v="2.65"/>
    <m/>
    <m/>
    <n v="2.65"/>
    <n v="57.9"/>
    <n v="55.25"/>
    <n v="56.58"/>
    <n v="81080.055000000008"/>
    <n v="4054.0027500000006"/>
    <n v="85134.057750000007"/>
    <n v="2554.0217325000003"/>
    <n v="87688.079482500005"/>
    <m/>
    <n v="87688.079482500005"/>
    <m/>
    <n v="87688.079482500005"/>
    <m/>
    <n v="87688.079482500005"/>
    <m/>
    <n v="87688.079482500005"/>
    <n v="876.88079482500007"/>
    <n v="88564.960277325008"/>
    <n v="4428.2480138662504"/>
    <n v="92993.208291191258"/>
    <m/>
    <n v="92993.208291191258"/>
    <n v="1859.8641658238253"/>
    <n v="94853.072457015078"/>
    <m/>
    <n v="94853.072457015078"/>
    <n v="1897.0614491403016"/>
    <n v="96750.133906155374"/>
    <n v="150"/>
    <n v="96900.133906155374"/>
    <n v="969.00133906155372"/>
    <n v="97869.135245216923"/>
    <m/>
    <n v="97869.135245216923"/>
    <m/>
    <n v="97869.135245216923"/>
    <m/>
    <n v="97869.135245216923"/>
    <m/>
    <n v="97869.135245216923"/>
    <m/>
    <n v="97869.135245216923"/>
    <m/>
    <n v="97869.135245216923"/>
    <m/>
    <n v="97869.135245216923"/>
    <m/>
    <n v="97869.135245216923"/>
    <m/>
    <n v="97869.135245216923"/>
    <m/>
    <n v="97869.135245216923"/>
    <n v="97869.14"/>
    <n v="5537500"/>
    <m/>
    <m/>
    <n v="0"/>
    <n v="97870.272180982676"/>
    <n v="5537500"/>
    <x v="2"/>
    <n v="20000"/>
    <n v="117870.27218098268"/>
    <n v="1131600"/>
    <n v="6669100"/>
    <s v="Хит"/>
    <m/>
    <x v="0"/>
    <x v="0"/>
    <b v="1"/>
    <s v="АГ-005-В-14-03-315"/>
    <m/>
    <s v="ДА"/>
    <s v="Чистовая"/>
    <b v="1"/>
    <n v="6669100"/>
    <n v="0"/>
    <b v="1"/>
    <d v="2024-06-26T00:00:00"/>
    <s v="Дик"/>
  </r>
  <r>
    <n v="316"/>
    <x v="2"/>
    <x v="13"/>
    <x v="3"/>
    <x v="1"/>
    <n v="15.45"/>
    <n v="10.34"/>
    <m/>
    <n v="25.79"/>
    <n v="15.44"/>
    <n v="4.59"/>
    <n v="2.21"/>
    <m/>
    <n v="10.79"/>
    <n v="2.84"/>
    <m/>
    <m/>
    <n v="2.84"/>
    <n v="61.66"/>
    <n v="58.82"/>
    <n v="60.24"/>
    <n v="83010.532500000001"/>
    <n v="4150.5266250000004"/>
    <n v="87161.059125"/>
    <n v="2614.8317737499997"/>
    <n v="89775.890898750004"/>
    <m/>
    <n v="89775.890898750004"/>
    <m/>
    <n v="89775.890898750004"/>
    <m/>
    <n v="89775.890898750004"/>
    <m/>
    <n v="89775.890898750004"/>
    <n v="897.75890898750004"/>
    <n v="90673.6498077375"/>
    <n v="4533.6824903868755"/>
    <n v="95207.332298124369"/>
    <m/>
    <n v="95207.332298124369"/>
    <n v="1904.1466459624874"/>
    <n v="97111.478944086863"/>
    <m/>
    <n v="97111.478944086863"/>
    <n v="1942.2295788817373"/>
    <n v="99053.708522968605"/>
    <m/>
    <n v="99053.708522968605"/>
    <m/>
    <n v="99053.708522968605"/>
    <m/>
    <n v="99053.708522968605"/>
    <m/>
    <n v="99053.708522968605"/>
    <m/>
    <n v="99053.708522968605"/>
    <n v="495.26854261484306"/>
    <n v="99548.977065583444"/>
    <m/>
    <n v="99548.977065583444"/>
    <m/>
    <n v="99548.977065583444"/>
    <m/>
    <n v="99548.977065583444"/>
    <m/>
    <n v="99548.977065583444"/>
    <m/>
    <n v="99548.977065583444"/>
    <m/>
    <n v="99548.977065583444"/>
    <n v="99548.98"/>
    <n v="5996900"/>
    <m/>
    <m/>
    <n v="0"/>
    <n v="99550.132802124834"/>
    <n v="5996900"/>
    <x v="2"/>
    <n v="20000"/>
    <n v="119550.13280212483"/>
    <n v="1204800"/>
    <n v="7201700"/>
    <m/>
    <m/>
    <x v="0"/>
    <x v="0"/>
    <b v="1"/>
    <s v="АГ-005-В-14-04-316"/>
    <m/>
    <s v="ДА"/>
    <s v="Чистовая"/>
    <b v="1"/>
    <n v="7201700"/>
    <n v="0"/>
    <b v="1"/>
    <d v="2024-10-22T00:00:00"/>
    <s v="Полехович"/>
  </r>
  <r>
    <n v="317"/>
    <x v="2"/>
    <x v="13"/>
    <x v="4"/>
    <x v="0"/>
    <n v="12.54"/>
    <m/>
    <m/>
    <n v="12.54"/>
    <n v="12.74"/>
    <n v="4.0199999999999996"/>
    <m/>
    <m/>
    <n v="7.09"/>
    <n v="2.84"/>
    <m/>
    <m/>
    <n v="2.84"/>
    <n v="39.229999999999997"/>
    <n v="36.39"/>
    <n v="37.81"/>
    <n v="90034.875"/>
    <n v="4501.7437500000005"/>
    <n v="94536.618749999994"/>
    <n v="2836.0985624999998"/>
    <n v="97372.717312499997"/>
    <n v="4381.7722790624994"/>
    <n v="101754.48959156249"/>
    <m/>
    <n v="101754.48959156249"/>
    <n v="5087.7244795781253"/>
    <n v="106842.21407114062"/>
    <n v="-620"/>
    <n v="106222.21407114062"/>
    <n v="1062.2221407114062"/>
    <n v="107284.43621185204"/>
    <n v="5364.2218105926022"/>
    <n v="112648.65802244464"/>
    <m/>
    <n v="112648.65802244464"/>
    <n v="3379.4597406733392"/>
    <n v="116028.11776311797"/>
    <m/>
    <n v="116028.11776311797"/>
    <m/>
    <n v="116028.11776311797"/>
    <m/>
    <n v="116028.11776311797"/>
    <m/>
    <n v="116028.11776311797"/>
    <m/>
    <n v="116028.11776311797"/>
    <m/>
    <n v="116028.11776311797"/>
    <m/>
    <n v="116028.11776311797"/>
    <m/>
    <n v="116028.11776311797"/>
    <m/>
    <n v="116028.11776311797"/>
    <m/>
    <n v="116028.11776311797"/>
    <m/>
    <n v="116028.11776311797"/>
    <m/>
    <n v="116028.11776311797"/>
    <m/>
    <n v="116028.11776311797"/>
    <m/>
    <n v="116028.11776311797"/>
    <n v="116028.12"/>
    <n v="4387100"/>
    <n v="88888"/>
    <m/>
    <n v="88888"/>
    <n v="113679.23829674689"/>
    <n v="4298212"/>
    <x v="1"/>
    <m/>
    <n v="113679.23829674689"/>
    <n v="0"/>
    <n v="4298212"/>
    <m/>
    <s v="Весна"/>
    <x v="0"/>
    <x v="0"/>
    <b v="1"/>
    <s v="АГ-005-В-14-05-317"/>
    <m/>
    <s v="ДА"/>
    <s v="Черновая"/>
    <b v="1"/>
    <n v="4298212"/>
    <n v="0"/>
    <b v="1"/>
    <d v="2024-03-21T00:00:00"/>
    <s v="Полехович"/>
  </r>
  <r>
    <n v="318"/>
    <x v="2"/>
    <x v="13"/>
    <x v="5"/>
    <x v="3"/>
    <n v="17.2"/>
    <n v="14.64"/>
    <n v="14.34"/>
    <n v="46.18"/>
    <n v="13.15"/>
    <n v="4.03"/>
    <n v="1.76"/>
    <m/>
    <n v="13.11"/>
    <n v="2.79"/>
    <n v="2.68"/>
    <m/>
    <n v="5.4700000000000006"/>
    <n v="83.7"/>
    <n v="78.23"/>
    <n v="80.97"/>
    <n v="74234.160000000018"/>
    <n v="3711.708000000001"/>
    <n v="77945.868000000017"/>
    <n v="2338.3760400000006"/>
    <n v="80284.24404000002"/>
    <m/>
    <n v="80284.24404000002"/>
    <m/>
    <n v="80284.24404000002"/>
    <m/>
    <n v="80284.24404000002"/>
    <m/>
    <n v="80284.24404000002"/>
    <n v="802.84244040000021"/>
    <n v="81087.086480400016"/>
    <n v="4054.3543240200011"/>
    <n v="85141.44080442001"/>
    <m/>
    <n v="85141.44080442001"/>
    <n v="1702.8288160884003"/>
    <n v="86844.269620508407"/>
    <m/>
    <n v="86844.269620508407"/>
    <n v="1736.8853924101682"/>
    <n v="88581.155012918578"/>
    <m/>
    <n v="88581.155012918578"/>
    <n v="885.81155012918578"/>
    <n v="89466.966563047768"/>
    <m/>
    <n v="89466.966563047768"/>
    <n v="447.33483281523883"/>
    <n v="89914.301395863004"/>
    <n v="1798.2860279172601"/>
    <n v="91712.587423780264"/>
    <n v="1375.6888113567038"/>
    <n v="93088.27623513696"/>
    <m/>
    <n v="93088.27623513696"/>
    <n v="3723.5310494054784"/>
    <n v="96811.807284542432"/>
    <n v="4840.5903642271214"/>
    <n v="101652.39764876955"/>
    <n v="13214.811694340042"/>
    <n v="114867.20934310959"/>
    <n v="35"/>
    <n v="114902.20934310959"/>
    <m/>
    <n v="114902.20934310959"/>
    <n v="114902.21"/>
    <n v="9303700"/>
    <m/>
    <m/>
    <n v="0"/>
    <n v="114903.05051253551"/>
    <n v="9303700"/>
    <x v="1"/>
    <m/>
    <n v="114903.05051253551"/>
    <n v="0"/>
    <n v="9303700"/>
    <m/>
    <m/>
    <x v="1"/>
    <x v="1"/>
    <b v="1"/>
    <s v="АГ-005-В-14-06-318"/>
    <m/>
    <s v="ДА"/>
    <s v="Черновая"/>
    <b v="1"/>
    <n v="9303700"/>
    <n v="0"/>
    <b v="1"/>
    <s v=" "/>
    <s v=""/>
  </r>
  <r>
    <n v="319"/>
    <x v="2"/>
    <x v="13"/>
    <x v="6"/>
    <x v="0"/>
    <n v="14.3"/>
    <m/>
    <m/>
    <n v="14.3"/>
    <n v="9.2799999999999994"/>
    <n v="3.79"/>
    <m/>
    <m/>
    <n v="6.08"/>
    <n v="2.71"/>
    <m/>
    <m/>
    <n v="2.71"/>
    <n v="36.159999999999997"/>
    <n v="33.450000000000003"/>
    <n v="34.81"/>
    <n v="85573.6875"/>
    <n v="4278.6843749999998"/>
    <n v="89852.371874999997"/>
    <n v="2695.5711562499996"/>
    <n v="92547.94303124999"/>
    <n v="12956.712024375"/>
    <n v="105504.65505562499"/>
    <m/>
    <n v="105504.65505562499"/>
    <n v="5275.2327527812495"/>
    <n v="110779.88780840623"/>
    <m/>
    <n v="110779.88780840623"/>
    <n v="1107.7988780840624"/>
    <n v="111887.6866864903"/>
    <n v="5594.3843343245153"/>
    <n v="117482.07102081481"/>
    <m/>
    <n v="117482.07102081481"/>
    <n v="3524.4621306244439"/>
    <n v="121006.53315143925"/>
    <m/>
    <n v="121006.53315143925"/>
    <m/>
    <n v="121006.53315143925"/>
    <m/>
    <n v="121006.53315143925"/>
    <m/>
    <n v="121006.53315143925"/>
    <m/>
    <n v="121006.53315143925"/>
    <m/>
    <n v="121006.53315143925"/>
    <m/>
    <n v="121006.53315143925"/>
    <m/>
    <n v="121006.53315143925"/>
    <m/>
    <n v="121006.53315143925"/>
    <m/>
    <n v="121006.53315143925"/>
    <m/>
    <n v="121006.53315143925"/>
    <m/>
    <n v="121006.53315143925"/>
    <m/>
    <n v="121006.53315143925"/>
    <m/>
    <n v="121006.53315143925"/>
    <n v="121006.53"/>
    <n v="4212300"/>
    <m/>
    <m/>
    <n v="0"/>
    <n v="121008.33093938523"/>
    <n v="4212300"/>
    <x v="2"/>
    <n v="20000"/>
    <n v="141008.33093938523"/>
    <n v="696200"/>
    <n v="4908500"/>
    <s v="Хит"/>
    <m/>
    <x v="0"/>
    <x v="0"/>
    <b v="1"/>
    <s v="АГ-005-В-14-07-319"/>
    <m/>
    <s v="ДА"/>
    <s v="Чистовая"/>
    <b v="1"/>
    <n v="4908500"/>
    <n v="0"/>
    <b v="1"/>
    <d v="2024-05-07T00:00:00"/>
    <s v="Никишов"/>
  </r>
  <r>
    <n v="320"/>
    <x v="2"/>
    <x v="14"/>
    <x v="0"/>
    <x v="1"/>
    <n v="17.63"/>
    <n v="13.69"/>
    <m/>
    <n v="31.32"/>
    <n v="20.05"/>
    <n v="3.54"/>
    <n v="2.93"/>
    <m/>
    <n v="12.19"/>
    <n v="4.6500000000000004"/>
    <n v="2.68"/>
    <m/>
    <n v="7.33"/>
    <n v="77.36"/>
    <n v="70.03"/>
    <n v="73.7"/>
    <n v="78763.482000000004"/>
    <n v="3938.1741000000002"/>
    <n v="82701.656100000007"/>
    <n v="2481.0496830000002"/>
    <n v="85182.705783000012"/>
    <m/>
    <n v="85182.705783000012"/>
    <m/>
    <n v="85182.705783000012"/>
    <m/>
    <n v="85182.705783000012"/>
    <m/>
    <n v="85182.705783000012"/>
    <n v="851.82705783000017"/>
    <n v="86034.532840830012"/>
    <n v="4301.7266420415008"/>
    <n v="90336.259482871508"/>
    <m/>
    <n v="90336.259482871508"/>
    <n v="1806.7251896574303"/>
    <n v="92142.984672528939"/>
    <m/>
    <n v="92142.984672528939"/>
    <n v="1842.8596934505788"/>
    <n v="93985.844365979516"/>
    <m/>
    <n v="93985.844365979516"/>
    <m/>
    <n v="93985.844365979516"/>
    <m/>
    <n v="93985.844365979516"/>
    <m/>
    <n v="93985.844365979516"/>
    <m/>
    <n v="93985.844365979516"/>
    <n v="469.92922182989759"/>
    <n v="94455.77358780941"/>
    <m/>
    <n v="94455.77358780941"/>
    <m/>
    <n v="94455.77358780941"/>
    <n v="7556.4618870247532"/>
    <n v="102012.23547483416"/>
    <n v="13261.590611728441"/>
    <n v="115273.82608656261"/>
    <n v="35"/>
    <n v="115308.82608656261"/>
    <m/>
    <n v="115308.82608656261"/>
    <n v="115308.83"/>
    <n v="8498300"/>
    <m/>
    <m/>
    <n v="0"/>
    <n v="115309.36227951152"/>
    <n v="8498300"/>
    <x v="1"/>
    <m/>
    <n v="115309.36227951152"/>
    <n v="0"/>
    <n v="8498300"/>
    <s v="Антихит"/>
    <m/>
    <x v="1"/>
    <x v="1"/>
    <b v="1"/>
    <s v="АГ-005-В-15-01-320"/>
    <m/>
    <s v="ДА"/>
    <s v="Черновая"/>
    <b v="1"/>
    <n v="8498300"/>
    <n v="0"/>
    <b v="1"/>
    <s v=" "/>
    <s v=""/>
  </r>
  <r>
    <n v="321"/>
    <x v="2"/>
    <x v="14"/>
    <x v="1"/>
    <x v="2"/>
    <n v="7.18"/>
    <m/>
    <m/>
    <n v="7.18"/>
    <n v="5.17"/>
    <n v="3.72"/>
    <m/>
    <m/>
    <n v="6.97"/>
    <n v="2.97"/>
    <m/>
    <m/>
    <n v="2.97"/>
    <n v="26.01"/>
    <n v="23.04"/>
    <n v="24.53"/>
    <n v="91981.574999999997"/>
    <n v="4599.0787499999997"/>
    <n v="96580.653749999998"/>
    <n v="2897.4196124999999"/>
    <n v="99478.073362499999"/>
    <n v="12932.149537125"/>
    <n v="112410.22289962501"/>
    <n v="3372.3066869887502"/>
    <n v="115782.52958661376"/>
    <m/>
    <n v="115782.52958661376"/>
    <m/>
    <n v="115782.52958661376"/>
    <n v="1157.8252958661376"/>
    <n v="116940.35488247989"/>
    <n v="5847.0177441239948"/>
    <n v="122787.37262660389"/>
    <m/>
    <n v="122787.37262660389"/>
    <n v="3683.6211787981165"/>
    <n v="126470.993805402"/>
    <m/>
    <n v="126470.993805402"/>
    <m/>
    <n v="126470.993805402"/>
    <m/>
    <n v="126470.993805402"/>
    <n v="1264.7099380540201"/>
    <n v="127735.70374345602"/>
    <m/>
    <n v="127735.70374345602"/>
    <n v="638.6785187172801"/>
    <n v="128374.3822621733"/>
    <m/>
    <n v="128374.3822621733"/>
    <n v="1925.6157339325994"/>
    <n v="130299.9979961059"/>
    <m/>
    <n v="130299.9979961059"/>
    <m/>
    <n v="130299.9979961059"/>
    <m/>
    <n v="130299.9979961059"/>
    <m/>
    <n v="130299.9979961059"/>
    <m/>
    <n v="130299.9979961059"/>
    <m/>
    <n v="130299.9979961059"/>
    <n v="130300"/>
    <n v="3196300"/>
    <m/>
    <m/>
    <n v="0"/>
    <n v="130301.67142274765"/>
    <n v="3196300"/>
    <x v="2"/>
    <n v="20000"/>
    <n v="150301.67142274766"/>
    <n v="490600.00000000047"/>
    <n v="3686900.0000000005"/>
    <m/>
    <m/>
    <x v="0"/>
    <x v="0"/>
    <b v="1"/>
    <s v="АГ-005-В-15-02-321"/>
    <m/>
    <s v="ДА"/>
    <s v="Чистовая"/>
    <b v="1"/>
    <n v="3686900"/>
    <n v="-4.6566128730773926E-10"/>
    <b v="1"/>
    <d v="2024-08-29T00:00:00"/>
    <s v="Дик"/>
  </r>
  <r>
    <n v="322"/>
    <x v="2"/>
    <x v="14"/>
    <x v="2"/>
    <x v="1"/>
    <n v="13.69"/>
    <n v="10.16"/>
    <m/>
    <n v="23.85"/>
    <n v="18.71"/>
    <n v="3.49"/>
    <n v="2.11"/>
    <m/>
    <n v="7.09"/>
    <n v="2.65"/>
    <m/>
    <m/>
    <n v="2.65"/>
    <n v="57.9"/>
    <n v="55.25"/>
    <n v="56.58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n v="95828.7"/>
    <n v="5422000"/>
    <n v="90000"/>
    <m/>
    <n v="90000"/>
    <n v="94238.246730293395"/>
    <n v="5332000"/>
    <x v="2"/>
    <n v="20000"/>
    <n v="114238.24673029339"/>
    <n v="1131600"/>
    <n v="6463600"/>
    <s v="Хит"/>
    <s v="Поехали в Амград"/>
    <x v="0"/>
    <x v="0"/>
    <b v="1"/>
    <s v="АГ-005-В-15-03-322"/>
    <m/>
    <s v="ДА"/>
    <s v="Чистовая"/>
    <b v="1"/>
    <n v="6463600"/>
    <n v="0"/>
    <b v="1"/>
    <d v="2024-04-12T00:00:00"/>
    <s v="Никишов"/>
  </r>
  <r>
    <n v="323"/>
    <x v="2"/>
    <x v="14"/>
    <x v="3"/>
    <x v="1"/>
    <n v="15.45"/>
    <n v="10.34"/>
    <m/>
    <n v="25.79"/>
    <n v="15.44"/>
    <n v="4.59"/>
    <n v="2.21"/>
    <m/>
    <n v="10.79"/>
    <n v="2.84"/>
    <m/>
    <m/>
    <n v="2.84"/>
    <n v="61.66"/>
    <n v="58.82"/>
    <n v="60.24"/>
    <n v="82238.34150000001"/>
    <n v="4111.9170750000003"/>
    <n v="86350.258575000014"/>
    <n v="2590.5077572500004"/>
    <n v="88940.766332250016"/>
    <m/>
    <n v="88940.766332250016"/>
    <m/>
    <n v="88940.766332250016"/>
    <m/>
    <n v="88940.766332250016"/>
    <m/>
    <n v="88940.766332250016"/>
    <n v="889.40766332250018"/>
    <n v="89830.173995572521"/>
    <n v="4491.5086997786266"/>
    <n v="94321.682695351148"/>
    <m/>
    <n v="94321.682695351148"/>
    <n v="1886.433653907023"/>
    <n v="96208.116349258169"/>
    <m/>
    <n v="96208.116349258169"/>
    <n v="1924.1623269851634"/>
    <n v="98132.278676243339"/>
    <m/>
    <n v="98132.278676243339"/>
    <m/>
    <n v="98132.278676243339"/>
    <m/>
    <n v="98132.278676243339"/>
    <m/>
    <n v="98132.278676243339"/>
    <m/>
    <n v="98132.278676243339"/>
    <n v="490.66139338121673"/>
    <n v="98622.940069624558"/>
    <m/>
    <n v="98622.940069624558"/>
    <n v="3944.9176027849826"/>
    <n v="102567.85767240953"/>
    <n v="6154.0714603445722"/>
    <n v="108721.9291327541"/>
    <n v="14133.850787258034"/>
    <n v="122855.77992001214"/>
    <n v="35"/>
    <n v="122890.77992001214"/>
    <m/>
    <n v="122890.77992001214"/>
    <n v="122890.78"/>
    <n v="7403000"/>
    <n v="300000"/>
    <m/>
    <n v="300000"/>
    <n v="117911.68658698539"/>
    <n v="7103000"/>
    <x v="3"/>
    <n v="10000"/>
    <n v="127911.68658698539"/>
    <n v="602400"/>
    <n v="7705400"/>
    <m/>
    <s v="Время действовать"/>
    <x v="0"/>
    <x v="0"/>
    <b v="1"/>
    <s v="АГ-005-В-15-04-323"/>
    <m/>
    <s v="ДА"/>
    <s v="White Box"/>
    <b v="1"/>
    <n v="7705400"/>
    <n v="0"/>
    <b v="1"/>
    <d v="2025-04-25T00:00:00"/>
    <s v="Полехович"/>
  </r>
  <r>
    <n v="324"/>
    <x v="2"/>
    <x v="14"/>
    <x v="4"/>
    <x v="0"/>
    <n v="12.54"/>
    <m/>
    <m/>
    <n v="12.54"/>
    <n v="12.74"/>
    <n v="4.0199999999999996"/>
    <m/>
    <m/>
    <n v="7.09"/>
    <n v="2.84"/>
    <m/>
    <m/>
    <n v="2.84"/>
    <n v="39.229999999999997"/>
    <n v="36.39"/>
    <n v="37.81"/>
    <n v="89223.75"/>
    <n v="4461.1875"/>
    <n v="93684.9375"/>
    <n v="2810.5481249999998"/>
    <n v="96495.485625000001"/>
    <n v="4342.2968531249999"/>
    <n v="100837.78247812499"/>
    <m/>
    <n v="100837.78247812499"/>
    <n v="5041.8891239062505"/>
    <n v="105879.67160203125"/>
    <n v="-620"/>
    <n v="105259.67160203125"/>
    <n v="1052.5967160203124"/>
    <n v="106312.26831805156"/>
    <n v="5315.6134159025787"/>
    <n v="111627.88173395414"/>
    <m/>
    <n v="111627.88173395414"/>
    <n v="3348.8364520186242"/>
    <n v="114976.71818597277"/>
    <m/>
    <n v="114976.71818597277"/>
    <m/>
    <n v="114976.71818597277"/>
    <m/>
    <n v="114976.71818597277"/>
    <n v="1149.7671818597278"/>
    <n v="116126.4853678325"/>
    <m/>
    <n v="116126.4853678325"/>
    <m/>
    <n v="116126.4853678325"/>
    <m/>
    <n v="116126.4853678325"/>
    <n v="580.63242683916258"/>
    <n v="116707.11779467166"/>
    <m/>
    <n v="116707.11779467166"/>
    <m/>
    <n v="116707.11779467166"/>
    <m/>
    <n v="116707.11779467166"/>
    <m/>
    <n v="116707.11779467166"/>
    <m/>
    <n v="116707.11779467166"/>
    <m/>
    <n v="116707.11779467166"/>
    <n v="116707.12"/>
    <n v="4412700"/>
    <m/>
    <m/>
    <n v="0"/>
    <n v="116707.22031208675"/>
    <n v="4412700"/>
    <x v="1"/>
    <m/>
    <n v="116707.22031208675"/>
    <n v="0"/>
    <n v="4412700"/>
    <m/>
    <m/>
    <x v="0"/>
    <x v="0"/>
    <b v="1"/>
    <s v="АГ-005-В-15-05-324"/>
    <m/>
    <s v="ДА"/>
    <s v="Черновая"/>
    <b v="1"/>
    <n v="4412700"/>
    <n v="0"/>
    <b v="1"/>
    <d v="2024-09-26T00:00:00"/>
    <s v="Никишов"/>
  </r>
  <r>
    <n v="325"/>
    <x v="2"/>
    <x v="14"/>
    <x v="5"/>
    <x v="3"/>
    <n v="17.2"/>
    <n v="14.64"/>
    <n v="14.34"/>
    <n v="46.18"/>
    <n v="13.15"/>
    <n v="4.03"/>
    <n v="1.76"/>
    <m/>
    <n v="13.11"/>
    <n v="2.79"/>
    <n v="2.68"/>
    <m/>
    <n v="5.4700000000000006"/>
    <n v="83.7"/>
    <n v="78.23"/>
    <n v="80.97"/>
    <n v="73520.37000000001"/>
    <n v="3676.0185000000006"/>
    <n v="77196.388500000015"/>
    <n v="2315.8916550000004"/>
    <n v="79512.280155000015"/>
    <m/>
    <n v="79512.280155000015"/>
    <m/>
    <n v="79512.280155000015"/>
    <m/>
    <n v="79512.280155000015"/>
    <m/>
    <n v="79512.280155000015"/>
    <n v="795.12280155000019"/>
    <n v="80307.40295655001"/>
    <n v="4015.3701478275007"/>
    <n v="84322.773104377513"/>
    <m/>
    <n v="84322.773104377513"/>
    <n v="1686.4554620875504"/>
    <n v="86009.22856646507"/>
    <m/>
    <n v="86009.22856646507"/>
    <n v="1720.1845713293014"/>
    <n v="87729.41313779437"/>
    <m/>
    <n v="87729.41313779437"/>
    <m/>
    <n v="87729.41313779437"/>
    <m/>
    <n v="87729.41313779437"/>
    <m/>
    <n v="87729.41313779437"/>
    <m/>
    <n v="87729.41313779437"/>
    <m/>
    <n v="87729.41313779437"/>
    <m/>
    <n v="87729.41313779437"/>
    <m/>
    <n v="87729.41313779437"/>
    <m/>
    <n v="87729.41313779437"/>
    <m/>
    <n v="87729.41313779437"/>
    <m/>
    <n v="87729.41313779437"/>
    <m/>
    <n v="87729.41313779437"/>
    <n v="87729.41"/>
    <n v="7103500"/>
    <m/>
    <n v="0.03"/>
    <n v="213105"/>
    <n v="85098.122761516614"/>
    <n v="6890395"/>
    <x v="3"/>
    <n v="7000"/>
    <n v="92098.122761516614"/>
    <n v="566790"/>
    <n v="7457185"/>
    <m/>
    <s v="Многодетная семья"/>
    <x v="0"/>
    <x v="0"/>
    <b v="1"/>
    <s v="АГ-005-В-15-06-325"/>
    <m/>
    <s v="ДА"/>
    <s v="White Box"/>
    <b v="1"/>
    <n v="7457185"/>
    <n v="0"/>
    <b v="1"/>
    <d v="2024-05-07T00:00:00"/>
    <s v="Дик"/>
  </r>
  <r>
    <n v="326"/>
    <x v="2"/>
    <x v="14"/>
    <x v="6"/>
    <x v="0"/>
    <n v="14.3"/>
    <m/>
    <m/>
    <n v="14.3"/>
    <n v="9.2799999999999994"/>
    <n v="3.79"/>
    <m/>
    <m/>
    <n v="6.08"/>
    <n v="2.71"/>
    <m/>
    <m/>
    <n v="2.71"/>
    <n v="36.159999999999997"/>
    <n v="33.450000000000003"/>
    <n v="34.81"/>
    <n v="84762.5625"/>
    <n v="4238.1281250000002"/>
    <n v="89000.690625000003"/>
    <n v="2670.02071875"/>
    <n v="91670.711343750008"/>
    <n v="12833.899588125003"/>
    <n v="104504.61093187501"/>
    <m/>
    <n v="104504.61093187501"/>
    <n v="5225.2305465937507"/>
    <n v="109729.84147846876"/>
    <m/>
    <n v="109729.84147846876"/>
    <n v="1097.2984147846876"/>
    <n v="110827.13989325345"/>
    <n v="5541.3569946626731"/>
    <n v="116368.49688791612"/>
    <m/>
    <n v="116368.49688791612"/>
    <n v="3491.0549066374833"/>
    <n v="119859.5517945536"/>
    <m/>
    <n v="119859.5517945536"/>
    <m/>
    <n v="119859.5517945536"/>
    <m/>
    <n v="119859.5517945536"/>
    <m/>
    <n v="119859.5517945536"/>
    <m/>
    <n v="119859.5517945536"/>
    <m/>
    <n v="119859.5517945536"/>
    <m/>
    <n v="119859.5517945536"/>
    <n v="599.29775897276795"/>
    <n v="120458.84955352636"/>
    <m/>
    <n v="120458.84955352636"/>
    <n v="2409.1769910705275"/>
    <n v="122868.0265445969"/>
    <m/>
    <n v="122868.0265445969"/>
    <m/>
    <n v="122868.0265445969"/>
    <m/>
    <n v="122868.0265445969"/>
    <m/>
    <n v="122868.0265445969"/>
    <n v="122868.03"/>
    <n v="4277100"/>
    <m/>
    <n v="0.02"/>
    <n v="85542"/>
    <n v="120412.46768170065"/>
    <n v="4191558"/>
    <x v="2"/>
    <n v="24000"/>
    <n v="144412.46768170065"/>
    <n v="835440"/>
    <n v="5026998"/>
    <s v="Хит"/>
    <s v="Скидка иногородним"/>
    <x v="0"/>
    <x v="0"/>
    <b v="1"/>
    <s v="АГ-005-В-15-07-326"/>
    <m/>
    <s v="ДА"/>
    <s v="Чистовая"/>
    <b v="1"/>
    <n v="5026998"/>
    <n v="0"/>
    <b v="1"/>
    <d v="2024-11-29T00:00:00"/>
    <s v="Никишов"/>
  </r>
  <r>
    <n v="327"/>
    <x v="2"/>
    <x v="15"/>
    <x v="0"/>
    <x v="1"/>
    <n v="17.63"/>
    <n v="13.69"/>
    <m/>
    <n v="31.32"/>
    <n v="20.05"/>
    <n v="3.54"/>
    <n v="2.93"/>
    <m/>
    <n v="12.19"/>
    <n v="4.6500000000000004"/>
    <n v="2.68"/>
    <m/>
    <n v="7.33"/>
    <n v="77.36"/>
    <n v="70.03"/>
    <n v="73.7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m/>
    <n v="86852.954916000002"/>
    <n v="86852.95"/>
    <n v="6401100"/>
    <m/>
    <n v="0.02"/>
    <n v="128022"/>
    <n v="85116.390773405699"/>
    <n v="6273078"/>
    <x v="1"/>
    <m/>
    <n v="85116.390773405699"/>
    <n v="0"/>
    <n v="6273078"/>
    <s v="Антихит"/>
    <s v="Скидка иногородним"/>
    <x v="0"/>
    <x v="0"/>
    <b v="1"/>
    <s v="АГ-005-В-16-01-327"/>
    <m/>
    <s v="ДА"/>
    <s v="Черновая"/>
    <b v="1"/>
    <n v="6273078"/>
    <n v="0"/>
    <b v="1"/>
    <d v="2023-12-15T00:00:00"/>
    <s v="Полехович"/>
  </r>
  <r>
    <n v="328"/>
    <x v="2"/>
    <x v="15"/>
    <x v="1"/>
    <x v="2"/>
    <n v="7.18"/>
    <m/>
    <m/>
    <n v="7.18"/>
    <n v="5.17"/>
    <n v="3.72"/>
    <m/>
    <m/>
    <n v="6.97"/>
    <n v="2.97"/>
    <m/>
    <m/>
    <n v="2.97"/>
    <n v="26.01"/>
    <n v="23.04"/>
    <n v="24.53"/>
    <n v="92857.59"/>
    <n v="4642.8795"/>
    <n v="97500.469499999992"/>
    <n v="2925.0140849999998"/>
    <n v="100425.48358499999"/>
    <n v="13055.312866050001"/>
    <n v="113480.79645105"/>
    <n v="3404.4238935314997"/>
    <n v="116885.2203445815"/>
    <m/>
    <n v="116885.2203445815"/>
    <m/>
    <n v="116885.2203445815"/>
    <n v="1168.8522034458149"/>
    <n v="118054.07254802731"/>
    <n v="5902.7036274013662"/>
    <n v="123956.77617542868"/>
    <m/>
    <n v="123956.77617542868"/>
    <m/>
    <n v="123956.77617542868"/>
    <m/>
    <n v="123956.77617542868"/>
    <m/>
    <n v="123956.77617542868"/>
    <m/>
    <n v="123956.77617542868"/>
    <m/>
    <n v="123956.77617542868"/>
    <m/>
    <n v="123956.77617542868"/>
    <m/>
    <n v="123956.77617542868"/>
    <m/>
    <n v="123956.77617542868"/>
    <m/>
    <n v="123956.77617542868"/>
    <m/>
    <n v="123956.77617542868"/>
    <m/>
    <n v="123956.77617542868"/>
    <m/>
    <n v="123956.77617542868"/>
    <m/>
    <n v="123956.77617542868"/>
    <m/>
    <n v="123956.77617542868"/>
    <m/>
    <n v="123956.77617542868"/>
    <n v="123956.78"/>
    <n v="3040700"/>
    <m/>
    <n v="0.04"/>
    <n v="121628"/>
    <n v="119000.08153281696"/>
    <n v="2919072"/>
    <x v="2"/>
    <n v="20000"/>
    <n v="139000.08153281696"/>
    <n v="490600"/>
    <n v="3409672"/>
    <m/>
    <s v="Ветеран боевых действий"/>
    <x v="0"/>
    <x v="0"/>
    <b v="1"/>
    <s v="АГ-005-В-16-02-328"/>
    <m/>
    <s v="ДА"/>
    <s v="Чистовая"/>
    <b v="1"/>
    <n v="3409672"/>
    <n v="0"/>
    <b v="1"/>
    <d v="2024-01-30T00:00:00"/>
    <s v="Полехович"/>
  </r>
  <r>
    <n v="329"/>
    <x v="2"/>
    <x v="15"/>
    <x v="2"/>
    <x v="1"/>
    <n v="13.69"/>
    <n v="10.16"/>
    <m/>
    <n v="23.85"/>
    <n v="18.71"/>
    <n v="3.49"/>
    <n v="2.11"/>
    <m/>
    <n v="7.09"/>
    <n v="2.65"/>
    <m/>
    <m/>
    <n v="2.65"/>
    <n v="57.9"/>
    <n v="55.25"/>
    <n v="56.58"/>
    <n v="81080.055000000008"/>
    <n v="4054.0027500000006"/>
    <n v="85134.057750000007"/>
    <n v="2554.0217325000003"/>
    <n v="87688.079482500005"/>
    <m/>
    <n v="87688.079482500005"/>
    <m/>
    <n v="87688.079482500005"/>
    <m/>
    <n v="87688.079482500005"/>
    <m/>
    <n v="87688.079482500005"/>
    <n v="876.88079482500007"/>
    <n v="88564.960277325008"/>
    <n v="4428.2480138662504"/>
    <n v="92993.208291191258"/>
    <m/>
    <n v="92993.208291191258"/>
    <n v="1859.8641658238253"/>
    <n v="94853.072457015078"/>
    <m/>
    <n v="94853.072457015078"/>
    <n v="1897.0614491403016"/>
    <n v="96750.133906155374"/>
    <n v="150"/>
    <n v="96900.133906155374"/>
    <n v="969.00133906155372"/>
    <n v="97869.135245216923"/>
    <m/>
    <n v="97869.135245216923"/>
    <m/>
    <n v="97869.135245216923"/>
    <m/>
    <n v="97869.135245216923"/>
    <n v="2446.7283811304233"/>
    <n v="100315.86362634735"/>
    <n v="500"/>
    <n v="100815.86362634735"/>
    <n v="4032.6345450538938"/>
    <n v="104848.49817140124"/>
    <n v="6290.9098902840742"/>
    <n v="111139.40806168532"/>
    <n v="14448.123048019092"/>
    <n v="125587.5311097044"/>
    <n v="35"/>
    <n v="125622.5311097044"/>
    <n v="1256.2253110970441"/>
    <n v="126878.75642080145"/>
    <n v="126878.76"/>
    <n v="7178900"/>
    <n v="300000"/>
    <n v="0.03"/>
    <n v="515367"/>
    <n v="117771.88052315306"/>
    <n v="6663533"/>
    <x v="1"/>
    <m/>
    <n v="117771.88052315306"/>
    <n v="0"/>
    <n v="6663533"/>
    <s v="Хит"/>
    <s v="Время действовать / Многодетная семья"/>
    <x v="0"/>
    <x v="0"/>
    <b v="1"/>
    <s v="АГ-005-В-16-03-329"/>
    <m/>
    <s v="ДА"/>
    <s v="Черновая"/>
    <b v="1"/>
    <n v="6663533"/>
    <n v="0"/>
    <b v="1"/>
    <d v="2025-04-16T00:00:00"/>
    <s v="Полехович"/>
  </r>
  <r>
    <n v="330"/>
    <x v="2"/>
    <x v="15"/>
    <x v="3"/>
    <x v="1"/>
    <n v="15.45"/>
    <n v="10.34"/>
    <m/>
    <n v="25.79"/>
    <n v="15.44"/>
    <n v="4.59"/>
    <n v="2.21"/>
    <m/>
    <n v="10.79"/>
    <n v="2.84"/>
    <m/>
    <m/>
    <n v="2.84"/>
    <n v="61.66"/>
    <n v="58.82"/>
    <n v="60.24"/>
    <n v="83010.532500000001"/>
    <n v="4150.5266250000004"/>
    <n v="87161.059125"/>
    <n v="2614.8317737499997"/>
    <n v="89775.890898750004"/>
    <m/>
    <n v="89775.890898750004"/>
    <m/>
    <n v="89775.890898750004"/>
    <m/>
    <n v="89775.890898750004"/>
    <m/>
    <n v="89775.890898750004"/>
    <n v="897.75890898750004"/>
    <n v="90673.6498077375"/>
    <n v="4533.6824903868755"/>
    <n v="95207.332298124369"/>
    <m/>
    <n v="95207.332298124369"/>
    <n v="1904.1466459624874"/>
    <n v="97111.478944086863"/>
    <m/>
    <n v="97111.478944086863"/>
    <n v="1942.2295788817373"/>
    <n v="99053.708522968605"/>
    <m/>
    <n v="99053.708522968605"/>
    <m/>
    <n v="99053.708522968605"/>
    <m/>
    <n v="99053.708522968605"/>
    <m/>
    <n v="99053.708522968605"/>
    <m/>
    <n v="99053.708522968605"/>
    <n v="495.26854261484306"/>
    <n v="99548.977065583444"/>
    <m/>
    <n v="99548.977065583444"/>
    <n v="3981.959082623338"/>
    <n v="103530.93614820678"/>
    <m/>
    <n v="103530.93614820678"/>
    <m/>
    <n v="103530.93614820678"/>
    <m/>
    <n v="103530.93614820678"/>
    <m/>
    <n v="103530.93614820678"/>
    <n v="103530.94"/>
    <n v="6236800"/>
    <m/>
    <n v="0.02"/>
    <n v="124736"/>
    <n v="101461.88579017264"/>
    <n v="6112064"/>
    <x v="2"/>
    <n v="24000"/>
    <n v="125461.88579017264"/>
    <n v="1445760"/>
    <n v="7557824"/>
    <m/>
    <s v="Скидка иногородним"/>
    <x v="0"/>
    <x v="0"/>
    <b v="1"/>
    <s v="АГ-005-В-16-04-330"/>
    <m/>
    <s v="ДА"/>
    <s v="Чистовая"/>
    <b v="1"/>
    <n v="7557824"/>
    <n v="0"/>
    <b v="1"/>
    <d v="2024-10-29T00:00:00"/>
    <s v="Дик"/>
  </r>
  <r>
    <n v="331"/>
    <x v="2"/>
    <x v="15"/>
    <x v="4"/>
    <x v="0"/>
    <n v="12.54"/>
    <m/>
    <m/>
    <n v="12.54"/>
    <n v="12.74"/>
    <n v="4.0199999999999996"/>
    <m/>
    <m/>
    <n v="7.09"/>
    <n v="2.84"/>
    <m/>
    <m/>
    <n v="2.84"/>
    <n v="39.229999999999997"/>
    <n v="36.39"/>
    <n v="37.81"/>
    <n v="90034.875"/>
    <n v="4501.7437500000005"/>
    <n v="94536.618749999994"/>
    <n v="2836.0985624999998"/>
    <n v="97372.717312499997"/>
    <n v="4381.7722790624994"/>
    <n v="101754.48959156249"/>
    <m/>
    <n v="101754.48959156249"/>
    <n v="5087.7244795781253"/>
    <n v="106842.21407114062"/>
    <n v="-620"/>
    <n v="106222.21407114062"/>
    <n v="1062.2221407114062"/>
    <n v="107284.43621185204"/>
    <n v="5364.2218105926022"/>
    <n v="112648.65802244464"/>
    <m/>
    <n v="112648.65802244464"/>
    <n v="3379.4597406733392"/>
    <n v="116028.11776311797"/>
    <m/>
    <n v="116028.11776311797"/>
    <m/>
    <n v="116028.11776311797"/>
    <m/>
    <n v="116028.11776311797"/>
    <n v="1160.2811776311798"/>
    <n v="117188.39894074916"/>
    <m/>
    <n v="117188.39894074916"/>
    <m/>
    <n v="117188.39894074916"/>
    <m/>
    <n v="117188.39894074916"/>
    <n v="585.94199470374576"/>
    <n v="117774.3409354529"/>
    <m/>
    <n v="117774.3409354529"/>
    <m/>
    <n v="117774.3409354529"/>
    <n v="5888.7170467726455"/>
    <n v="123663.05798222554"/>
    <n v="16076.197537689321"/>
    <n v="139739.25551991485"/>
    <n v="35"/>
    <n v="139774.25551991485"/>
    <m/>
    <n v="139774.25551991485"/>
    <n v="139774.26"/>
    <n v="5284900"/>
    <n v="302480"/>
    <m/>
    <n v="302480"/>
    <n v="131775.19174821474"/>
    <n v="4982420"/>
    <x v="2"/>
    <n v="25000"/>
    <n v="156775.19174821474"/>
    <n v="945250"/>
    <n v="5927670"/>
    <m/>
    <s v="Большие скидки на маленькие квартиры"/>
    <x v="0"/>
    <x v="0"/>
    <b v="1"/>
    <s v="АГ-005-В-16-05-331"/>
    <m/>
    <s v="ДА"/>
    <s v="Чистовая"/>
    <b v="1"/>
    <n v="5927670"/>
    <n v="0"/>
    <b v="1"/>
    <d v="2025-04-13T00:00:00"/>
    <s v="Дик"/>
  </r>
  <r>
    <n v="332"/>
    <x v="2"/>
    <x v="15"/>
    <x v="5"/>
    <x v="3"/>
    <n v="17.2"/>
    <n v="14.64"/>
    <n v="14.34"/>
    <n v="46.18"/>
    <n v="13.15"/>
    <n v="4.03"/>
    <n v="1.76"/>
    <m/>
    <n v="13.11"/>
    <n v="2.79"/>
    <n v="2.68"/>
    <m/>
    <n v="5.4700000000000006"/>
    <n v="83.7"/>
    <n v="78.23"/>
    <n v="80.97"/>
    <n v="74234.160000000018"/>
    <n v="3711.708000000001"/>
    <n v="77945.868000000017"/>
    <m/>
    <n v="77945.868000000017"/>
    <m/>
    <n v="77945.868000000017"/>
    <m/>
    <n v="77945.868000000017"/>
    <m/>
    <n v="77945.868000000017"/>
    <m/>
    <n v="77945.868000000017"/>
    <m/>
    <n v="77945.868000000017"/>
    <m/>
    <n v="77945.868000000017"/>
    <m/>
    <n v="77945.868000000017"/>
    <m/>
    <n v="77945.868000000017"/>
    <m/>
    <n v="77945.868000000017"/>
    <m/>
    <n v="77945.868000000017"/>
    <m/>
    <n v="77945.868000000017"/>
    <m/>
    <n v="77945.868000000017"/>
    <m/>
    <n v="77945.868000000017"/>
    <m/>
    <n v="77945.868000000017"/>
    <m/>
    <n v="77945.868000000017"/>
    <m/>
    <n v="77945.868000000017"/>
    <m/>
    <n v="77945.868000000017"/>
    <m/>
    <n v="77945.868000000017"/>
    <m/>
    <n v="77945.868000000017"/>
    <m/>
    <n v="77945.868000000017"/>
    <m/>
    <n v="77945.868000000017"/>
    <m/>
    <n v="77945.868000000017"/>
    <n v="77945.87"/>
    <n v="6311277.0899999999"/>
    <m/>
    <n v="0.03"/>
    <n v="189338.31269999998"/>
    <n v="75607.493886624681"/>
    <n v="6121938.7800000003"/>
    <x v="1"/>
    <m/>
    <n v="75607.493886624681"/>
    <n v="0"/>
    <n v="6121938.7800000003"/>
    <m/>
    <s v="Многодетная семья"/>
    <x v="0"/>
    <x v="0"/>
    <b v="1"/>
    <s v="АГ-005-В-16-06-332"/>
    <m/>
    <s v="НЕТ"/>
    <s v="Черновая"/>
    <b v="1"/>
    <n v="6121938.7800000003"/>
    <n v="0"/>
    <b v="1"/>
    <d v="2023-09-21T00:00:00"/>
    <s v="Кофанова"/>
  </r>
  <r>
    <n v="333"/>
    <x v="2"/>
    <x v="15"/>
    <x v="6"/>
    <x v="0"/>
    <n v="14.3"/>
    <m/>
    <m/>
    <n v="14.3"/>
    <n v="9.2799999999999994"/>
    <n v="3.79"/>
    <m/>
    <m/>
    <n v="6.08"/>
    <n v="2.71"/>
    <m/>
    <m/>
    <n v="2.71"/>
    <n v="36.159999999999997"/>
    <n v="33.450000000000003"/>
    <n v="34.81"/>
    <n v="85573.6875"/>
    <n v="4278.6843749999998"/>
    <n v="89852.371874999997"/>
    <n v="2695.5711562499996"/>
    <n v="92547.94303124999"/>
    <n v="12956.712024375"/>
    <n v="105504.65505562499"/>
    <m/>
    <n v="105504.65505562499"/>
    <n v="5275.2327527812495"/>
    <n v="110779.88780840623"/>
    <m/>
    <n v="110779.88780840623"/>
    <n v="1107.7988780840624"/>
    <n v="111887.6866864903"/>
    <n v="5594.3843343245153"/>
    <n v="117482.07102081481"/>
    <m/>
    <n v="117482.07102081481"/>
    <n v="3524.4621306244439"/>
    <n v="121006.53315143925"/>
    <m/>
    <n v="121006.53315143925"/>
    <m/>
    <n v="121006.53315143925"/>
    <m/>
    <n v="121006.53315143925"/>
    <m/>
    <n v="121006.53315143925"/>
    <m/>
    <n v="121006.53315143925"/>
    <m/>
    <n v="121006.53315143925"/>
    <m/>
    <n v="121006.53315143925"/>
    <n v="605.03266575719624"/>
    <n v="121611.56581719645"/>
    <m/>
    <n v="121611.56581719645"/>
    <m/>
    <n v="121611.56581719645"/>
    <m/>
    <n v="121611.56581719645"/>
    <m/>
    <n v="121611.56581719645"/>
    <m/>
    <n v="121611.56581719645"/>
    <m/>
    <n v="121611.56581719645"/>
    <n v="121611.57"/>
    <n v="4233300"/>
    <m/>
    <m/>
    <n v="0"/>
    <n v="121611.60586038494"/>
    <n v="4233300"/>
    <x v="2"/>
    <n v="20000"/>
    <n v="141611.60586038494"/>
    <n v="696200"/>
    <n v="4929500"/>
    <s v="Хит"/>
    <m/>
    <x v="0"/>
    <x v="0"/>
    <b v="1"/>
    <s v="АГ-005-В-16-07-333"/>
    <m/>
    <s v="ДА"/>
    <s v="Чистовая"/>
    <b v="1"/>
    <n v="4929500"/>
    <n v="0"/>
    <b v="1"/>
    <d v="2024-08-29T00:00:00"/>
    <s v="Дик"/>
  </r>
  <r>
    <n v="334"/>
    <x v="2"/>
    <x v="16"/>
    <x v="0"/>
    <x v="1"/>
    <n v="17.63"/>
    <n v="13.69"/>
    <m/>
    <n v="31.32"/>
    <n v="20.05"/>
    <n v="3.54"/>
    <n v="2.93"/>
    <m/>
    <n v="12.19"/>
    <n v="4.6500000000000004"/>
    <n v="2.68"/>
    <m/>
    <n v="7.33"/>
    <n v="77.36"/>
    <n v="70.03"/>
    <n v="73.7"/>
    <n v="78763.482000000004"/>
    <n v="3938.1741000000002"/>
    <n v="82701.656100000007"/>
    <n v="2481.0496830000002"/>
    <n v="85182.705783000012"/>
    <m/>
    <n v="85182.705783000012"/>
    <m/>
    <n v="85182.705783000012"/>
    <m/>
    <n v="85182.705783000012"/>
    <m/>
    <n v="85182.705783000012"/>
    <n v="851.82705783000017"/>
    <n v="86034.532840830012"/>
    <n v="4301.7266420415008"/>
    <n v="90336.259482871508"/>
    <m/>
    <n v="90336.259482871508"/>
    <n v="1806.7251896574303"/>
    <n v="92142.984672528939"/>
    <m/>
    <n v="92142.984672528939"/>
    <n v="1842.8596934505788"/>
    <n v="93985.844365979516"/>
    <m/>
    <n v="93985.844365979516"/>
    <m/>
    <n v="93985.844365979516"/>
    <m/>
    <n v="93985.844365979516"/>
    <m/>
    <n v="93985.844365979516"/>
    <m/>
    <n v="93985.844365979516"/>
    <n v="469.92922182989759"/>
    <n v="94455.77358780941"/>
    <m/>
    <n v="94455.77358780941"/>
    <m/>
    <n v="94455.77358780941"/>
    <n v="7556.4618870247532"/>
    <n v="102012.23547483416"/>
    <n v="13261.590611728441"/>
    <n v="115273.82608656261"/>
    <n v="35"/>
    <n v="115308.82608656261"/>
    <m/>
    <n v="115308.82608656261"/>
    <n v="115308.83"/>
    <n v="8498300"/>
    <m/>
    <m/>
    <n v="0"/>
    <n v="115309.36227951152"/>
    <n v="8498300"/>
    <x v="1"/>
    <m/>
    <n v="115309.36227951152"/>
    <n v="0"/>
    <n v="8498300"/>
    <s v="Антихит"/>
    <m/>
    <x v="1"/>
    <x v="1"/>
    <b v="1"/>
    <s v="АГ-005-В-17-01-334"/>
    <m/>
    <s v="ДА"/>
    <s v="Черновая"/>
    <b v="1"/>
    <n v="8498300"/>
    <n v="0"/>
    <b v="1"/>
    <s v=" "/>
    <s v=""/>
  </r>
  <r>
    <n v="335"/>
    <x v="2"/>
    <x v="16"/>
    <x v="1"/>
    <x v="2"/>
    <n v="7.18"/>
    <m/>
    <m/>
    <n v="7.18"/>
    <n v="5.17"/>
    <n v="3.72"/>
    <m/>
    <m/>
    <n v="6.97"/>
    <n v="2.97"/>
    <m/>
    <m/>
    <n v="2.97"/>
    <n v="26.01"/>
    <n v="23.04"/>
    <n v="24.53"/>
    <n v="91981.574999999997"/>
    <n v="4599.0787499999997"/>
    <n v="96580.653749999998"/>
    <n v="2897.4196124999999"/>
    <n v="99478.073362499999"/>
    <n v="12932.149537125"/>
    <n v="112410.22289962501"/>
    <n v="3372.3066869887502"/>
    <n v="115782.52958661376"/>
    <m/>
    <n v="115782.52958661376"/>
    <m/>
    <n v="115782.52958661376"/>
    <n v="1157.8252958661376"/>
    <n v="116940.35488247989"/>
    <n v="5847.0177441239948"/>
    <n v="122787.37262660389"/>
    <m/>
    <n v="122787.37262660389"/>
    <n v="3683.6211787981165"/>
    <n v="126470.993805402"/>
    <m/>
    <n v="126470.993805402"/>
    <m/>
    <n v="126470.993805402"/>
    <m/>
    <n v="126470.993805402"/>
    <n v="1264.7099380540201"/>
    <n v="127735.70374345602"/>
    <m/>
    <n v="127735.70374345602"/>
    <n v="638.6785187172801"/>
    <n v="128374.3822621733"/>
    <m/>
    <n v="128374.3822621733"/>
    <n v="1925.6157339325994"/>
    <n v="130299.9979961059"/>
    <m/>
    <n v="130299.9979961059"/>
    <m/>
    <n v="130299.9979961059"/>
    <n v="5211.9999198442365"/>
    <n v="135511.99791595014"/>
    <n v="17616.559729073517"/>
    <n v="153128.55764502365"/>
    <m/>
    <n v="153128.55764502365"/>
    <m/>
    <n v="153128.55764502365"/>
    <n v="153128.56"/>
    <n v="3756300"/>
    <m/>
    <n v="0.02"/>
    <n v="75126"/>
    <n v="150068.24296779453"/>
    <n v="3681174"/>
    <x v="2"/>
    <n v="25000"/>
    <n v="175068.24296779453"/>
    <n v="613250"/>
    <n v="4294424"/>
    <m/>
    <s v="Скидка иногородним"/>
    <x v="0"/>
    <x v="0"/>
    <b v="1"/>
    <s v="АГ-005-В-17-02-335"/>
    <m/>
    <s v="ДА"/>
    <s v="Чистовая"/>
    <b v="1"/>
    <n v="4294424"/>
    <n v="0"/>
    <b v="1"/>
    <d v="2024-11-29T00:00:00"/>
    <s v="Полехович"/>
  </r>
  <r>
    <n v="336"/>
    <x v="2"/>
    <x v="16"/>
    <x v="2"/>
    <x v="1"/>
    <n v="13.69"/>
    <n v="10.16"/>
    <m/>
    <n v="23.85"/>
    <n v="18.71"/>
    <n v="3.49"/>
    <n v="2.11"/>
    <m/>
    <n v="7.09"/>
    <n v="2.65"/>
    <m/>
    <m/>
    <n v="2.65"/>
    <n v="57.9"/>
    <n v="55.25"/>
    <n v="56.58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n v="150"/>
    <n v="95978.704059430078"/>
    <n v="959.78704059430083"/>
    <n v="96938.491100024374"/>
    <m/>
    <n v="96938.491100024374"/>
    <m/>
    <n v="96938.491100024374"/>
    <m/>
    <n v="96938.491100024374"/>
    <m/>
    <n v="96938.491100024374"/>
    <m/>
    <n v="96938.491100024374"/>
    <m/>
    <n v="96938.491100024374"/>
    <m/>
    <n v="96938.491100024374"/>
    <m/>
    <n v="96938.491100024374"/>
    <m/>
    <n v="96938.491100024374"/>
    <m/>
    <n v="96938.491100024374"/>
    <n v="96938.49"/>
    <n v="5484800"/>
    <m/>
    <n v="0.03"/>
    <n v="164544"/>
    <n v="94030.682219865674"/>
    <n v="5320256"/>
    <x v="2"/>
    <n v="20000"/>
    <n v="114030.68221986567"/>
    <n v="1131600"/>
    <n v="6451856"/>
    <s v="Хит"/>
    <s v="Наличные"/>
    <x v="0"/>
    <x v="0"/>
    <b v="1"/>
    <s v="АГ-005-В-17-03-336"/>
    <m/>
    <s v="ДА"/>
    <s v="Чистовая"/>
    <b v="1"/>
    <n v="6451856"/>
    <n v="0"/>
    <b v="1"/>
    <d v="2024-06-25T00:00:00"/>
    <s v="Дик"/>
  </r>
  <r>
    <n v="337"/>
    <x v="2"/>
    <x v="16"/>
    <x v="3"/>
    <x v="1"/>
    <n v="15.45"/>
    <n v="10.34"/>
    <m/>
    <n v="25.79"/>
    <n v="15.44"/>
    <n v="4.59"/>
    <n v="2.21"/>
    <m/>
    <n v="10.79"/>
    <n v="2.84"/>
    <m/>
    <m/>
    <n v="2.84"/>
    <n v="61.66"/>
    <n v="58.82"/>
    <n v="60.24"/>
    <n v="82238.34150000001"/>
    <n v="4111.9170750000003"/>
    <n v="86350.258575000014"/>
    <n v="2590.5077572500004"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m/>
    <n v="88940.766332250016"/>
    <n v="88940.77"/>
    <n v="5357791.9800000004"/>
    <m/>
    <n v="0.05"/>
    <n v="267889.59900000005"/>
    <n v="84493.731407702522"/>
    <n v="5089902.38"/>
    <x v="0"/>
    <n v="7500"/>
    <n v="91993.731407702522"/>
    <n v="451800"/>
    <n v="5541702.3799999999"/>
    <m/>
    <s v="Ветеран боевых действий"/>
    <x v="0"/>
    <x v="0"/>
    <b v="1"/>
    <s v="АГ-005-В-17-04-337"/>
    <m/>
    <s v="НЕТ"/>
    <s v="Предчистовая"/>
    <b v="1"/>
    <n v="5541702.3799999999"/>
    <n v="0"/>
    <b v="1"/>
    <d v="2023-10-23T00:00:00"/>
    <s v="Дик"/>
  </r>
  <r>
    <n v="338"/>
    <x v="2"/>
    <x v="16"/>
    <x v="4"/>
    <x v="0"/>
    <n v="12.54"/>
    <m/>
    <m/>
    <n v="12.54"/>
    <n v="12.74"/>
    <n v="4.0199999999999996"/>
    <m/>
    <m/>
    <n v="7.09"/>
    <n v="2.84"/>
    <m/>
    <m/>
    <n v="2.84"/>
    <n v="39.229999999999997"/>
    <n v="36.39"/>
    <n v="37.81"/>
    <n v="89223.75"/>
    <n v="4461.1875"/>
    <n v="93684.9375"/>
    <n v="2810.5481249999998"/>
    <n v="96495.485625000001"/>
    <n v="4342.2968531249999"/>
    <n v="100837.78247812499"/>
    <m/>
    <n v="100837.78247812499"/>
    <n v="5041.8891239062505"/>
    <n v="105879.67160203125"/>
    <n v="-620"/>
    <n v="105259.67160203125"/>
    <n v="1052.5967160203124"/>
    <n v="106312.26831805156"/>
    <n v="5315.6134159025787"/>
    <n v="111627.88173395414"/>
    <m/>
    <n v="111627.88173395414"/>
    <n v="3348.8364520186242"/>
    <n v="114976.71818597277"/>
    <m/>
    <n v="114976.71818597277"/>
    <m/>
    <n v="114976.71818597277"/>
    <m/>
    <n v="114976.71818597277"/>
    <n v="1149.7671818597278"/>
    <n v="116126.4853678325"/>
    <m/>
    <n v="116126.4853678325"/>
    <m/>
    <n v="116126.4853678325"/>
    <m/>
    <n v="116126.4853678325"/>
    <n v="580.63242683916258"/>
    <n v="116707.11779467166"/>
    <m/>
    <n v="116707.11779467166"/>
    <m/>
    <n v="116707.11779467166"/>
    <m/>
    <n v="116707.11779467166"/>
    <m/>
    <n v="116707.11779467166"/>
    <m/>
    <n v="116707.11779467166"/>
    <m/>
    <n v="116707.11779467166"/>
    <n v="116707.12"/>
    <n v="4412700"/>
    <m/>
    <n v="0.02"/>
    <n v="88254"/>
    <n v="114373.07590584501"/>
    <n v="4324446"/>
    <x v="3"/>
    <n v="8000"/>
    <n v="122373.07590584501"/>
    <n v="302480"/>
    <n v="4626926"/>
    <m/>
    <s v="Скидка иногородним"/>
    <x v="0"/>
    <x v="0"/>
    <b v="1"/>
    <s v="АГ-005-В-17-05-338"/>
    <m/>
    <s v="ДА"/>
    <s v="White Box"/>
    <b v="1"/>
    <n v="4626926"/>
    <n v="0"/>
    <b v="1"/>
    <d v="2024-10-24T00:00:00"/>
    <s v="Никишов"/>
  </r>
  <r>
    <n v="339"/>
    <x v="2"/>
    <x v="16"/>
    <x v="5"/>
    <x v="3"/>
    <n v="17.2"/>
    <n v="14.64"/>
    <n v="14.34"/>
    <n v="46.18"/>
    <n v="13.15"/>
    <n v="4.03"/>
    <n v="1.76"/>
    <m/>
    <n v="13.11"/>
    <n v="2.79"/>
    <n v="2.68"/>
    <m/>
    <n v="5.4700000000000006"/>
    <n v="83.7"/>
    <n v="78.23"/>
    <n v="80.97"/>
    <n v="73520.37000000001"/>
    <n v="3676.0185000000006"/>
    <n v="77196.388500000015"/>
    <n v="2315.8916550000004"/>
    <n v="79512.280155000015"/>
    <m/>
    <n v="79512.280155000015"/>
    <m/>
    <n v="79512.280155000015"/>
    <m/>
    <n v="79512.280155000015"/>
    <m/>
    <n v="79512.280155000015"/>
    <n v="795.12280155000019"/>
    <n v="80307.40295655001"/>
    <n v="4015.3701478275007"/>
    <n v="84322.773104377513"/>
    <m/>
    <n v="84322.773104377513"/>
    <n v="1686.4554620875504"/>
    <n v="86009.22856646507"/>
    <m/>
    <n v="86009.22856646507"/>
    <n v="1720.1845713293014"/>
    <n v="87729.41313779437"/>
    <m/>
    <n v="87729.41313779437"/>
    <n v="877.2941313779437"/>
    <n v="88606.707269172315"/>
    <m/>
    <n v="88606.707269172315"/>
    <n v="443.03353634586159"/>
    <n v="89049.740805518173"/>
    <n v="1780.9948161103634"/>
    <n v="90830.735621628541"/>
    <n v="1362.4610343244281"/>
    <n v="92193.196655952968"/>
    <m/>
    <n v="92193.196655952968"/>
    <n v="3687.7278662381186"/>
    <n v="95880.924522191082"/>
    <n v="4794.0462261095545"/>
    <n v="100674.97074830064"/>
    <n v="13087.746197279082"/>
    <n v="113762.71694557971"/>
    <n v="35"/>
    <n v="113797.71694557971"/>
    <m/>
    <n v="113797.71694557971"/>
    <n v="113797.72"/>
    <n v="9214300"/>
    <m/>
    <m/>
    <n v="0"/>
    <n v="113798.93787822651"/>
    <n v="9214300"/>
    <x v="3"/>
    <n v="10000"/>
    <n v="123798.93787822651"/>
    <n v="809700"/>
    <n v="10024000"/>
    <m/>
    <m/>
    <x v="1"/>
    <x v="1"/>
    <b v="1"/>
    <s v="АГ-005-В-17-06-339"/>
    <m/>
    <s v="ДА"/>
    <s v="White Box"/>
    <b v="1"/>
    <n v="10024000"/>
    <n v="0"/>
    <b v="1"/>
    <s v=" "/>
    <s v=""/>
  </r>
  <r>
    <n v="340"/>
    <x v="2"/>
    <x v="16"/>
    <x v="6"/>
    <x v="0"/>
    <n v="14.3"/>
    <m/>
    <m/>
    <n v="14.3"/>
    <n v="9.2799999999999994"/>
    <n v="3.79"/>
    <m/>
    <m/>
    <n v="6.08"/>
    <n v="2.71"/>
    <m/>
    <m/>
    <n v="2.71"/>
    <n v="36.159999999999997"/>
    <n v="33.450000000000003"/>
    <n v="34.81"/>
    <n v="84762.5625"/>
    <n v="4238.1281250000002"/>
    <n v="89000.690625000003"/>
    <n v="2670.02071875"/>
    <n v="91670.711343750008"/>
    <n v="12833.899588125003"/>
    <n v="104504.61093187501"/>
    <m/>
    <n v="104504.61093187501"/>
    <n v="5225.2305465937507"/>
    <n v="109729.84147846876"/>
    <m/>
    <n v="109729.84147846876"/>
    <n v="1097.2984147846876"/>
    <n v="110827.13989325345"/>
    <n v="5541.3569946626731"/>
    <n v="116368.49688791612"/>
    <m/>
    <n v="116368.49688791612"/>
    <n v="3491.0549066374833"/>
    <n v="119859.5517945536"/>
    <m/>
    <n v="119859.5517945536"/>
    <m/>
    <n v="119859.5517945536"/>
    <m/>
    <n v="119859.5517945536"/>
    <m/>
    <n v="119859.5517945536"/>
    <m/>
    <n v="119859.5517945536"/>
    <m/>
    <n v="119859.5517945536"/>
    <m/>
    <n v="119859.5517945536"/>
    <n v="599.29775897276795"/>
    <n v="120458.84955352636"/>
    <m/>
    <n v="120458.84955352636"/>
    <n v="2409.1769910705275"/>
    <n v="122868.0265445969"/>
    <n v="6143.4013272298453"/>
    <n v="129011.42787182675"/>
    <n v="16771.485623337478"/>
    <n v="145782.91349516422"/>
    <n v="35"/>
    <n v="145817.91349516422"/>
    <m/>
    <n v="145817.91349516422"/>
    <n v="145817.91"/>
    <n v="5076000"/>
    <n v="278480"/>
    <m/>
    <n v="278480"/>
    <n v="137820.16661878768"/>
    <n v="4797520"/>
    <x v="2"/>
    <n v="25000"/>
    <n v="162820.16661878768"/>
    <n v="870250"/>
    <n v="5667770"/>
    <s v="Хит"/>
    <s v="Большие скидки на маленькие квартиры"/>
    <x v="0"/>
    <x v="0"/>
    <b v="1"/>
    <s v="АГ-005-В-17-07-340"/>
    <m/>
    <s v="ДА"/>
    <s v="Чистовая"/>
    <b v="1"/>
    <n v="5667770"/>
    <n v="0"/>
    <b v="1"/>
    <s v=" "/>
    <s v=""/>
  </r>
  <r>
    <n v="341"/>
    <x v="2"/>
    <x v="17"/>
    <x v="0"/>
    <x v="1"/>
    <n v="17.63"/>
    <n v="13.69"/>
    <m/>
    <n v="31.32"/>
    <n v="20.05"/>
    <n v="3.54"/>
    <n v="2.93"/>
    <m/>
    <n v="12.19"/>
    <n v="4.6500000000000004"/>
    <n v="2.68"/>
    <m/>
    <n v="7.33"/>
    <n v="77.36"/>
    <n v="70.03"/>
    <n v="73.7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m/>
    <n v="95828.704059430078"/>
    <m/>
    <n v="95828.704059430078"/>
    <m/>
    <n v="95828.704059430078"/>
    <m/>
    <n v="95828.704059430078"/>
    <n v="479.14352029715042"/>
    <n v="96307.847579727226"/>
    <m/>
    <n v="96307.847579727226"/>
    <m/>
    <n v="96307.847579727226"/>
    <m/>
    <n v="96307.847579727226"/>
    <m/>
    <n v="96307.847579727226"/>
    <m/>
    <n v="96307.847579727226"/>
    <m/>
    <n v="96307.847579727226"/>
    <n v="96307.85"/>
    <n v="7097900"/>
    <m/>
    <n v="0.03"/>
    <n v="212937"/>
    <n v="93418.765264586153"/>
    <n v="6884963"/>
    <x v="1"/>
    <m/>
    <n v="93418.765264586153"/>
    <n v="0"/>
    <n v="6884963"/>
    <s v="Антихит"/>
    <s v="Многодетная семья"/>
    <x v="0"/>
    <x v="0"/>
    <b v="1"/>
    <s v="АГ-005-В-18-01-341"/>
    <m/>
    <s v="ДА"/>
    <s v="Черновая"/>
    <b v="1"/>
    <n v="6884963"/>
    <n v="0"/>
    <b v="1"/>
    <d v="2024-11-01T00:00:00"/>
    <s v="Дик"/>
  </r>
  <r>
    <n v="342"/>
    <x v="2"/>
    <x v="17"/>
    <x v="1"/>
    <x v="2"/>
    <n v="7.18"/>
    <m/>
    <m/>
    <n v="7.18"/>
    <n v="5.17"/>
    <n v="3.72"/>
    <m/>
    <m/>
    <n v="6.97"/>
    <n v="2.97"/>
    <m/>
    <m/>
    <n v="2.97"/>
    <n v="26.01"/>
    <n v="23.04"/>
    <n v="24.53"/>
    <n v="92857.59"/>
    <n v="4642.8795"/>
    <n v="97500.469499999992"/>
    <n v="2925.0140849999998"/>
    <n v="100425.48358499999"/>
    <n v="13055.312866050001"/>
    <n v="113480.79645105"/>
    <n v="3404.4238935314997"/>
    <n v="116885.2203445815"/>
    <m/>
    <n v="116885.2203445815"/>
    <m/>
    <n v="116885.2203445815"/>
    <n v="1168.8522034458149"/>
    <n v="118054.07254802731"/>
    <n v="5902.7036274013662"/>
    <n v="123956.77617542868"/>
    <m/>
    <n v="123956.77617542868"/>
    <n v="3718.7032852628599"/>
    <n v="127675.47946069154"/>
    <m/>
    <n v="127675.47946069154"/>
    <m/>
    <n v="127675.47946069154"/>
    <m/>
    <n v="127675.47946069154"/>
    <n v="1276.7547946069153"/>
    <n v="128952.23425529845"/>
    <m/>
    <n v="128952.23425529845"/>
    <n v="644.76117127649229"/>
    <n v="129596.99542657494"/>
    <m/>
    <n v="129596.99542657494"/>
    <n v="1943.954931398624"/>
    <n v="131540.95035797358"/>
    <m/>
    <n v="131540.95035797358"/>
    <m/>
    <n v="131540.95035797358"/>
    <n v="5261.6380143189435"/>
    <n v="136802.58837229252"/>
    <n v="17784.336488398028"/>
    <n v="154586.92486069055"/>
    <n v="35"/>
    <n v="154621.92486069055"/>
    <m/>
    <n v="154621.92486069055"/>
    <n v="154621.92000000001"/>
    <n v="3792900"/>
    <m/>
    <m/>
    <n v="0"/>
    <n v="154622.91072156542"/>
    <n v="3792900"/>
    <x v="1"/>
    <m/>
    <n v="154622.91072156542"/>
    <n v="0"/>
    <n v="3792900"/>
    <m/>
    <m/>
    <x v="1"/>
    <x v="1"/>
    <b v="1"/>
    <s v="АГ-005-В-18-02-342"/>
    <m/>
    <s v="ДА"/>
    <s v="Черновая"/>
    <b v="1"/>
    <n v="3792900"/>
    <n v="0"/>
    <b v="1"/>
    <s v=" "/>
    <s v=""/>
  </r>
  <r>
    <n v="343"/>
    <x v="2"/>
    <x v="17"/>
    <x v="2"/>
    <x v="1"/>
    <n v="13.69"/>
    <n v="10.16"/>
    <m/>
    <n v="23.85"/>
    <n v="18.71"/>
    <n v="3.49"/>
    <n v="2.11"/>
    <m/>
    <n v="7.09"/>
    <n v="2.65"/>
    <m/>
    <m/>
    <n v="2.65"/>
    <n v="57.9"/>
    <n v="55.25"/>
    <n v="56.58"/>
    <n v="81080.055000000008"/>
    <n v="4054.0027500000006"/>
    <n v="85134.057750000007"/>
    <n v="2554.0217325000003"/>
    <n v="87688.079482500005"/>
    <m/>
    <n v="87688.079482500005"/>
    <m/>
    <n v="87688.079482500005"/>
    <m/>
    <n v="87688.079482500005"/>
    <m/>
    <n v="87688.079482500005"/>
    <n v="876.88079482500007"/>
    <n v="88564.960277325008"/>
    <n v="4428.2480138662504"/>
    <n v="92993.208291191258"/>
    <m/>
    <n v="92993.208291191258"/>
    <n v="1859.8641658238253"/>
    <n v="94853.072457015078"/>
    <m/>
    <n v="94853.072457015078"/>
    <n v="1897.0614491403016"/>
    <n v="96750.133906155374"/>
    <n v="150"/>
    <n v="96900.133906155374"/>
    <n v="969.00133906155372"/>
    <n v="97869.135245216923"/>
    <m/>
    <n v="97869.135245216923"/>
    <m/>
    <n v="97869.135245216923"/>
    <m/>
    <n v="97869.135245216923"/>
    <n v="2446.7283811304233"/>
    <n v="100315.86362634735"/>
    <n v="500"/>
    <n v="100815.86362634735"/>
    <n v="4032.6345450538938"/>
    <n v="104848.49817140124"/>
    <n v="6290.9098902840742"/>
    <n v="111139.40806168532"/>
    <n v="14448.123048019092"/>
    <n v="125587.5311097044"/>
    <n v="35"/>
    <n v="125622.5311097044"/>
    <m/>
    <n v="125622.5311097044"/>
    <n v="125622.53"/>
    <n v="7107800"/>
    <m/>
    <n v="0.02"/>
    <n v="142156"/>
    <n v="123111.41746200071"/>
    <n v="6965644"/>
    <x v="3"/>
    <n v="10000"/>
    <n v="133111.41746200071"/>
    <n v="565800"/>
    <n v="7531444"/>
    <s v="Хит"/>
    <s v="Индивидуальная скидка"/>
    <x v="0"/>
    <x v="0"/>
    <b v="1"/>
    <s v="АГ-005-В-18-03-343"/>
    <m/>
    <s v="ДА"/>
    <s v="White Box"/>
    <b v="1"/>
    <n v="7531444"/>
    <n v="0"/>
    <b v="1"/>
    <d v="2025-02-17T00:00:00"/>
    <s v="Нуждина"/>
  </r>
  <r>
    <n v="344"/>
    <x v="2"/>
    <x v="17"/>
    <x v="3"/>
    <x v="1"/>
    <n v="15.45"/>
    <n v="10.34"/>
    <m/>
    <n v="25.79"/>
    <n v="15.44"/>
    <n v="4.59"/>
    <n v="2.21"/>
    <m/>
    <n v="10.79"/>
    <n v="2.84"/>
    <m/>
    <m/>
    <n v="2.84"/>
    <n v="61.66"/>
    <n v="58.82"/>
    <n v="60.24"/>
    <n v="83010.532500000001"/>
    <n v="4150.5266250000004"/>
    <n v="87161.059125"/>
    <n v="2614.8317737499997"/>
    <n v="89775.890898750004"/>
    <m/>
    <n v="89775.890898750004"/>
    <m/>
    <n v="89775.890898750004"/>
    <m/>
    <n v="89775.890898750004"/>
    <m/>
    <n v="89775.890898750004"/>
    <n v="897.75890898750004"/>
    <n v="90673.6498077375"/>
    <n v="4533.6824903868755"/>
    <n v="95207.332298124369"/>
    <m/>
    <n v="95207.332298124369"/>
    <n v="1904.1466459624874"/>
    <n v="97111.478944086863"/>
    <m/>
    <n v="97111.478944086863"/>
    <n v="1942.2295788817373"/>
    <n v="99053.708522968605"/>
    <m/>
    <n v="99053.708522968605"/>
    <m/>
    <n v="99053.708522968605"/>
    <m/>
    <n v="99053.708522968605"/>
    <m/>
    <n v="99053.708522968605"/>
    <m/>
    <n v="99053.708522968605"/>
    <n v="495.26854261484306"/>
    <n v="99548.977065583444"/>
    <m/>
    <n v="99548.977065583444"/>
    <n v="3981.959082623338"/>
    <n v="103530.93614820678"/>
    <n v="6211.8561688924065"/>
    <n v="109742.79231709919"/>
    <n v="14266.563001222894"/>
    <n v="124009.35531832208"/>
    <n v="35"/>
    <n v="124044.35531832208"/>
    <m/>
    <n v="124044.35531832208"/>
    <n v="124044.36"/>
    <n v="7472500"/>
    <m/>
    <m/>
    <n v="0"/>
    <n v="124045.48472775564"/>
    <n v="7472500"/>
    <x v="3"/>
    <n v="10000"/>
    <n v="134045.48472775565"/>
    <n v="602400.00000000093"/>
    <n v="8074900.0000000009"/>
    <m/>
    <m/>
    <x v="1"/>
    <x v="1"/>
    <b v="1"/>
    <s v="АГ-005-В-18-04-344"/>
    <m/>
    <s v="ДА"/>
    <s v="White Box"/>
    <b v="1"/>
    <n v="8074900"/>
    <n v="-9.3132257461547852E-10"/>
    <b v="1"/>
    <s v=" "/>
    <s v=""/>
  </r>
  <r>
    <n v="345"/>
    <x v="2"/>
    <x v="17"/>
    <x v="4"/>
    <x v="0"/>
    <n v="12.54"/>
    <m/>
    <m/>
    <n v="12.54"/>
    <n v="12.74"/>
    <n v="4.0199999999999996"/>
    <m/>
    <m/>
    <n v="7.09"/>
    <n v="2.84"/>
    <m/>
    <m/>
    <n v="2.84"/>
    <n v="39.229999999999997"/>
    <n v="36.39"/>
    <n v="37.81"/>
    <n v="90034.875"/>
    <n v="4501.7437500000005"/>
    <n v="94536.618749999994"/>
    <n v="2836.0985624999998"/>
    <n v="97372.717312499997"/>
    <n v="4381.7722790624994"/>
    <n v="101754.48959156249"/>
    <m/>
    <n v="101754.48959156249"/>
    <n v="5087.7244795781253"/>
    <n v="106842.21407114062"/>
    <n v="-620"/>
    <n v="106222.21407114062"/>
    <n v="1062.2221407114062"/>
    <n v="107284.43621185204"/>
    <n v="5364.2218105926022"/>
    <n v="112648.65802244464"/>
    <m/>
    <n v="112648.65802244464"/>
    <n v="3379.4597406733392"/>
    <n v="116028.11776311797"/>
    <m/>
    <n v="116028.11776311797"/>
    <m/>
    <n v="116028.11776311797"/>
    <m/>
    <n v="116028.11776311797"/>
    <n v="1160.2811776311798"/>
    <n v="117188.39894074916"/>
    <m/>
    <n v="117188.39894074916"/>
    <m/>
    <n v="117188.39894074916"/>
    <m/>
    <n v="117188.39894074916"/>
    <m/>
    <n v="117188.39894074916"/>
    <m/>
    <n v="117188.39894074916"/>
    <m/>
    <n v="117188.39894074916"/>
    <m/>
    <n v="117188.39894074916"/>
    <m/>
    <n v="117188.39894074916"/>
    <m/>
    <n v="117188.39894074916"/>
    <m/>
    <n v="117188.39894074916"/>
    <n v="117188.4"/>
    <n v="4430900"/>
    <m/>
    <m/>
    <n v="0"/>
    <n v="117188.57445120339"/>
    <n v="4430900"/>
    <x v="1"/>
    <m/>
    <n v="117188.57445120339"/>
    <n v="0"/>
    <n v="4430900"/>
    <m/>
    <m/>
    <x v="0"/>
    <x v="0"/>
    <b v="1"/>
    <s v="АГ-005-В-18-05-345"/>
    <m/>
    <s v="ДА"/>
    <s v="Черновая"/>
    <b v="1"/>
    <n v="4430900"/>
    <n v="0"/>
    <b v="1"/>
    <d v="2024-06-28T00:00:00"/>
    <s v="Полехович"/>
  </r>
  <r>
    <n v="346"/>
    <x v="2"/>
    <x v="17"/>
    <x v="5"/>
    <x v="3"/>
    <n v="17.2"/>
    <n v="14.64"/>
    <n v="14.34"/>
    <n v="46.18"/>
    <n v="13.15"/>
    <n v="4.03"/>
    <n v="1.76"/>
    <m/>
    <n v="13.11"/>
    <n v="2.79"/>
    <n v="2.68"/>
    <m/>
    <n v="5.4700000000000006"/>
    <n v="83.7"/>
    <n v="78.23"/>
    <n v="80.97"/>
    <n v="74234.160000000018"/>
    <n v="3711.708000000001"/>
    <n v="77945.868000000017"/>
    <n v="2338.3760400000006"/>
    <n v="80284.24404000002"/>
    <m/>
    <n v="80284.24404000002"/>
    <m/>
    <n v="80284.24404000002"/>
    <m/>
    <n v="80284.24404000002"/>
    <m/>
    <n v="80284.24404000002"/>
    <n v="802.84244040000021"/>
    <n v="81087.086480400016"/>
    <n v="4054.3543240200011"/>
    <n v="85141.44080442001"/>
    <m/>
    <n v="85141.44080442001"/>
    <n v="1702.8288160884003"/>
    <n v="86844.269620508407"/>
    <m/>
    <n v="86844.269620508407"/>
    <n v="1736.8853924101682"/>
    <n v="88581.155012918578"/>
    <m/>
    <n v="88581.155012918578"/>
    <n v="885.81155012918578"/>
    <n v="89466.966563047768"/>
    <m/>
    <n v="89466.966563047768"/>
    <n v="447.33483281523883"/>
    <n v="89914.301395863004"/>
    <n v="1798.2860279172601"/>
    <n v="91712.587423780264"/>
    <n v="1375.6888113567038"/>
    <n v="93088.27623513696"/>
    <m/>
    <n v="93088.27623513696"/>
    <m/>
    <n v="93088.27623513696"/>
    <m/>
    <n v="93088.27623513696"/>
    <m/>
    <n v="93088.27623513696"/>
    <m/>
    <n v="93088.27623513696"/>
    <m/>
    <n v="93088.27623513696"/>
    <n v="93088.28"/>
    <n v="7537400"/>
    <m/>
    <n v="0.03"/>
    <n v="226122"/>
    <n v="90296.134370754604"/>
    <n v="7311278"/>
    <x v="1"/>
    <m/>
    <n v="90296.134370754604"/>
    <n v="0"/>
    <n v="7311278"/>
    <m/>
    <s v="Многодетная семья"/>
    <x v="0"/>
    <x v="0"/>
    <b v="1"/>
    <s v="АГ-005-В-18-06-346"/>
    <m/>
    <s v="ДА"/>
    <s v="Черновая"/>
    <b v="1"/>
    <n v="7311278"/>
    <n v="0"/>
    <b v="1"/>
    <d v="2024-08-31T00:00:00"/>
    <s v="Дик"/>
  </r>
  <r>
    <n v="347"/>
    <x v="2"/>
    <x v="17"/>
    <x v="6"/>
    <x v="0"/>
    <n v="14.3"/>
    <m/>
    <m/>
    <n v="14.3"/>
    <n v="9.2799999999999994"/>
    <n v="3.79"/>
    <m/>
    <m/>
    <n v="6.08"/>
    <n v="2.71"/>
    <m/>
    <m/>
    <n v="2.71"/>
    <n v="36.159999999999997"/>
    <n v="33.450000000000003"/>
    <n v="34.81"/>
    <n v="85573.6875"/>
    <n v="4278.6843749999998"/>
    <n v="89852.371874999997"/>
    <n v="2695.5711562499996"/>
    <n v="92547.94303124999"/>
    <n v="12956.712024375"/>
    <n v="105504.65505562499"/>
    <m/>
    <n v="105504.65505562499"/>
    <n v="5275.2327527812495"/>
    <n v="110779.88780840623"/>
    <m/>
    <n v="110779.88780840623"/>
    <n v="1107.7988780840624"/>
    <n v="111887.6866864903"/>
    <n v="5594.3843343245153"/>
    <n v="117482.07102081481"/>
    <m/>
    <n v="117482.07102081481"/>
    <n v="3524.4621306244439"/>
    <n v="121006.53315143925"/>
    <m/>
    <n v="121006.53315143925"/>
    <m/>
    <n v="121006.53315143925"/>
    <m/>
    <n v="121006.53315143925"/>
    <m/>
    <n v="121006.53315143925"/>
    <m/>
    <n v="121006.53315143925"/>
    <m/>
    <n v="121006.53315143925"/>
    <m/>
    <n v="121006.53315143925"/>
    <n v="605.03266575719624"/>
    <n v="121611.56581719645"/>
    <m/>
    <n v="121611.56581719645"/>
    <n v="2432.2313163439289"/>
    <n v="124043.79713354037"/>
    <m/>
    <n v="124043.79713354037"/>
    <m/>
    <n v="124043.79713354037"/>
    <m/>
    <n v="124043.79713354037"/>
    <m/>
    <n v="124043.79713354037"/>
    <n v="124043.8"/>
    <n v="4318000"/>
    <m/>
    <m/>
    <n v="0"/>
    <n v="124044.81470841711"/>
    <n v="4318000"/>
    <x v="3"/>
    <n v="8000"/>
    <n v="132044.81470841711"/>
    <n v="278480"/>
    <n v="4596480"/>
    <s v="Хит"/>
    <m/>
    <x v="0"/>
    <x v="0"/>
    <b v="1"/>
    <s v="АГ-005-В-18-07-347"/>
    <m/>
    <s v="ДА"/>
    <s v="White Box"/>
    <b v="1"/>
    <n v="4596480"/>
    <n v="0"/>
    <b v="1"/>
    <d v="2024-10-23T00:00:00"/>
    <s v="Дик"/>
  </r>
  <r>
    <n v="348"/>
    <x v="2"/>
    <x v="18"/>
    <x v="0"/>
    <x v="1"/>
    <n v="17.63"/>
    <n v="13.69"/>
    <m/>
    <n v="31.32"/>
    <n v="20.05"/>
    <n v="3.54"/>
    <n v="2.93"/>
    <m/>
    <n v="12.19"/>
    <n v="4.6500000000000004"/>
    <n v="2.68"/>
    <m/>
    <n v="7.33"/>
    <n v="77.36"/>
    <n v="70.03"/>
    <n v="73.7"/>
    <n v="84941.010000000009"/>
    <n v="4247.0505000000003"/>
    <n v="89188.060500000007"/>
    <n v="2675.641815"/>
    <n v="91863.702315000002"/>
    <m/>
    <n v="91863.702315000002"/>
    <m/>
    <n v="91863.702315000002"/>
    <m/>
    <n v="91863.702315000002"/>
    <m/>
    <n v="91863.702315000002"/>
    <n v="918.63702315"/>
    <n v="92782.339338150006"/>
    <n v="4639.1169669075007"/>
    <n v="97421.456305057509"/>
    <m/>
    <n v="97421.456305057509"/>
    <n v="1948.4291261011501"/>
    <n v="99369.885431158662"/>
    <m/>
    <n v="99369.885431158662"/>
    <n v="1987.3977086231732"/>
    <n v="101357.28313978184"/>
    <m/>
    <n v="101357.28313978184"/>
    <m/>
    <n v="101357.28313978184"/>
    <m/>
    <n v="101357.28313978184"/>
    <m/>
    <n v="101357.28313978184"/>
    <m/>
    <n v="101357.28313978184"/>
    <n v="506.7864156989092"/>
    <n v="101864.06955548075"/>
    <m/>
    <n v="101864.06955548075"/>
    <m/>
    <n v="101864.06955548075"/>
    <n v="8149.1255644384601"/>
    <n v="110013.19511991921"/>
    <n v="14301.715365589498"/>
    <n v="124314.91048550871"/>
    <n v="35"/>
    <n v="124349.91048550871"/>
    <m/>
    <n v="124349.91048550871"/>
    <n v="124349.91"/>
    <n v="9164600"/>
    <m/>
    <m/>
    <n v="0"/>
    <n v="124350.06784260515"/>
    <n v="9164600"/>
    <x v="3"/>
    <n v="10000"/>
    <n v="134350.06784260515"/>
    <n v="737000"/>
    <n v="9901600"/>
    <s v="Антихит"/>
    <m/>
    <x v="1"/>
    <x v="1"/>
    <b v="1"/>
    <s v="АГ-005-В-19-01-348"/>
    <m/>
    <s v="ДА"/>
    <s v="White Box"/>
    <b v="1"/>
    <n v="9901600"/>
    <n v="0"/>
    <b v="1"/>
    <s v=" "/>
    <s v=""/>
  </r>
  <r>
    <n v="349"/>
    <x v="2"/>
    <x v="18"/>
    <x v="1"/>
    <x v="2"/>
    <n v="7.18"/>
    <m/>
    <m/>
    <n v="7.18"/>
    <n v="5.17"/>
    <n v="3.72"/>
    <m/>
    <m/>
    <n v="6.97"/>
    <n v="2.97"/>
    <m/>
    <m/>
    <n v="2.97"/>
    <n v="26.01"/>
    <n v="23.04"/>
    <n v="24.53"/>
    <n v="98989.695000000007"/>
    <n v="4949.4847500000005"/>
    <n v="103939.17975000001"/>
    <n v="3118.1753925000003"/>
    <n v="107057.3551425"/>
    <n v="13917.456168525001"/>
    <n v="120974.811311025"/>
    <n v="1209.74811311025"/>
    <n v="122184.55942413525"/>
    <m/>
    <n v="122184.55942413525"/>
    <m/>
    <n v="122184.55942413525"/>
    <n v="1221.8455942413525"/>
    <n v="123406.40501837661"/>
    <n v="6170.3202509188304"/>
    <n v="129576.72526929544"/>
    <m/>
    <n v="129576.72526929544"/>
    <n v="3887.3017580788628"/>
    <n v="133464.02702737431"/>
    <m/>
    <n v="133464.02702737431"/>
    <m/>
    <n v="133464.02702737431"/>
    <m/>
    <n v="133464.02702737431"/>
    <n v="1334.640270273743"/>
    <n v="134798.66729764806"/>
    <m/>
    <n v="134798.66729764806"/>
    <n v="673.99333648824029"/>
    <n v="135472.66063413629"/>
    <m/>
    <n v="135472.66063413629"/>
    <n v="2032.0899095120444"/>
    <n v="137504.75054364835"/>
    <m/>
    <n v="137504.75054364835"/>
    <m/>
    <n v="137504.75054364835"/>
    <n v="5500.1900217459342"/>
    <n v="143004.9405653943"/>
    <n v="18590.64227350126"/>
    <n v="161595.58283889556"/>
    <n v="35"/>
    <n v="161630.58283889556"/>
    <m/>
    <n v="161630.58283889556"/>
    <n v="161630.57999999999"/>
    <n v="3964800"/>
    <m/>
    <m/>
    <n v="0"/>
    <n v="161630.65633917652"/>
    <n v="3964800"/>
    <x v="1"/>
    <m/>
    <n v="161630.65633917652"/>
    <n v="0"/>
    <n v="3964800.0000000005"/>
    <m/>
    <m/>
    <x v="1"/>
    <x v="1"/>
    <b v="1"/>
    <s v="АГ-005-В-19-02-349"/>
    <m/>
    <s v="ДА"/>
    <s v="Черновая"/>
    <b v="1"/>
    <n v="3964800"/>
    <n v="-4.6566128730773926E-10"/>
    <b v="1"/>
    <s v=" "/>
    <s v=""/>
  </r>
  <r>
    <n v="350"/>
    <x v="2"/>
    <x v="18"/>
    <x v="2"/>
    <x v="1"/>
    <n v="13.69"/>
    <n v="10.16"/>
    <m/>
    <n v="23.85"/>
    <n v="18.71"/>
    <n v="3.49"/>
    <n v="2.11"/>
    <m/>
    <n v="7.09"/>
    <n v="2.65"/>
    <m/>
    <m/>
    <n v="2.65"/>
    <n v="57.9"/>
    <n v="55.25"/>
    <n v="56.58"/>
    <n v="86485.392000000007"/>
    <n v="4324.2696000000005"/>
    <n v="90809.661600000007"/>
    <n v="2724.2898479999999"/>
    <n v="93533.951448000007"/>
    <m/>
    <n v="93533.951448000007"/>
    <m/>
    <n v="93533.951448000007"/>
    <m/>
    <n v="93533.951448000007"/>
    <m/>
    <n v="93533.951448000007"/>
    <n v="935.33951448000005"/>
    <n v="94469.290962480009"/>
    <n v="4723.4645481240004"/>
    <n v="99192.755510604009"/>
    <m/>
    <n v="99192.755510604009"/>
    <n v="1983.8551102120803"/>
    <n v="101176.61062081609"/>
    <m/>
    <n v="101176.61062081609"/>
    <n v="2023.532212416322"/>
    <n v="103200.14283323241"/>
    <n v="150"/>
    <n v="103350.14283323241"/>
    <n v="1033.5014283323242"/>
    <n v="104383.64426156474"/>
    <m/>
    <n v="104383.64426156474"/>
    <m/>
    <n v="104383.64426156474"/>
    <m/>
    <n v="104383.64426156474"/>
    <n v="2609.5911065391188"/>
    <n v="106993.23536810385"/>
    <n v="500"/>
    <n v="107493.23536810385"/>
    <n v="4299.7294147241537"/>
    <n v="111792.964782828"/>
    <n v="6707.5778869696796"/>
    <n v="118500.54266979768"/>
    <n v="15405.070547073699"/>
    <n v="133905.61321687137"/>
    <n v="35"/>
    <n v="133940.61321687137"/>
    <m/>
    <n v="133940.61321687137"/>
    <n v="133940.60999999999"/>
    <n v="7578400"/>
    <m/>
    <n v="0.03"/>
    <n v="227352"/>
    <n v="129923.08236125841"/>
    <n v="7351048"/>
    <x v="3"/>
    <n v="10000"/>
    <n v="139923.08236125839"/>
    <n v="565800"/>
    <n v="7916848"/>
    <s v="Хит"/>
    <s v="Ветеран боевых действий"/>
    <x v="0"/>
    <x v="0"/>
    <b v="1"/>
    <s v="АГ-005-В-19-03-350"/>
    <m/>
    <s v="ДА"/>
    <s v="White Box"/>
    <b v="1"/>
    <n v="7916848"/>
    <n v="0"/>
    <b v="1"/>
    <d v="2025-01-15T00:00:00"/>
    <s v="Полехович"/>
  </r>
  <r>
    <n v="351"/>
    <x v="2"/>
    <x v="18"/>
    <x v="3"/>
    <x v="1"/>
    <n v="15.45"/>
    <n v="10.34"/>
    <m/>
    <n v="25.79"/>
    <n v="15.44"/>
    <n v="4.59"/>
    <n v="2.21"/>
    <m/>
    <n v="10.79"/>
    <n v="2.84"/>
    <m/>
    <m/>
    <n v="2.84"/>
    <n v="61.66"/>
    <n v="58.82"/>
    <n v="60.24"/>
    <n v="88415.869500000001"/>
    <n v="4420.7934750000004"/>
    <n v="92836.662974999999"/>
    <n v="2785.0998892499997"/>
    <n v="95621.762864250006"/>
    <m/>
    <n v="95621.762864250006"/>
    <m/>
    <n v="95621.762864250006"/>
    <m/>
    <n v="95621.762864250006"/>
    <m/>
    <n v="95621.762864250006"/>
    <n v="956.21762864250013"/>
    <n v="96577.9804928925"/>
    <n v="4828.8990246446256"/>
    <n v="101406.87951753712"/>
    <m/>
    <n v="101406.87951753712"/>
    <n v="2028.1375903507424"/>
    <n v="103435.01710788786"/>
    <m/>
    <n v="103435.01710788786"/>
    <n v="2068.7003421577574"/>
    <n v="105503.71745004562"/>
    <m/>
    <n v="105503.71745004562"/>
    <m/>
    <n v="105503.71745004562"/>
    <m/>
    <n v="105503.71745004562"/>
    <m/>
    <n v="105503.71745004562"/>
    <m/>
    <n v="105503.71745004562"/>
    <n v="527.51858725022805"/>
    <n v="106031.23603729585"/>
    <m/>
    <n v="106031.23603729585"/>
    <n v="4241.2494414918337"/>
    <n v="110272.48547878768"/>
    <n v="6616.3491287272609"/>
    <n v="116888.83460751495"/>
    <n v="15195.548498976943"/>
    <n v="132084.38310649188"/>
    <n v="35"/>
    <n v="132119.38310649188"/>
    <m/>
    <n v="132119.38310649188"/>
    <n v="132119.38"/>
    <n v="7958900"/>
    <m/>
    <m/>
    <n v="0"/>
    <n v="132119.85391766267"/>
    <n v="7958900"/>
    <x v="1"/>
    <m/>
    <n v="132119.85391766267"/>
    <n v="0"/>
    <n v="7958899.9999999991"/>
    <m/>
    <m/>
    <x v="1"/>
    <x v="1"/>
    <b v="1"/>
    <s v="АГ-005-В-19-04-351"/>
    <m/>
    <s v="ДА"/>
    <s v="Черновая"/>
    <b v="1"/>
    <n v="7958900"/>
    <n v="9.3132257461547852E-10"/>
    <b v="1"/>
    <s v=" "/>
    <s v=""/>
  </r>
  <r>
    <n v="352"/>
    <x v="2"/>
    <x v="18"/>
    <x v="4"/>
    <x v="0"/>
    <n v="12.54"/>
    <m/>
    <m/>
    <n v="12.54"/>
    <n v="12.74"/>
    <n v="4.0199999999999996"/>
    <m/>
    <m/>
    <n v="7.09"/>
    <n v="2.84"/>
    <m/>
    <m/>
    <n v="2.84"/>
    <n v="39.229999999999997"/>
    <n v="36.39"/>
    <n v="37.81"/>
    <n v="95712.75"/>
    <n v="4785.6374999999998"/>
    <n v="100498.3875"/>
    <n v="3014.9516249999997"/>
    <n v="103513.339125"/>
    <n v="4658.1002606249995"/>
    <n v="108171.439385625"/>
    <m/>
    <n v="108171.439385625"/>
    <n v="5408.5719692812499"/>
    <n v="113580.01135490625"/>
    <n v="-620"/>
    <n v="112960.01135490625"/>
    <n v="1129.6001135490626"/>
    <n v="114089.61146845532"/>
    <n v="5704.4805734227666"/>
    <n v="119794.09204187809"/>
    <m/>
    <n v="119794.09204187809"/>
    <m/>
    <n v="119794.09204187809"/>
    <m/>
    <n v="119794.09204187809"/>
    <m/>
    <n v="119794.09204187809"/>
    <m/>
    <n v="119794.09204187809"/>
    <m/>
    <n v="119794.09204187809"/>
    <m/>
    <n v="119794.09204187809"/>
    <m/>
    <n v="119794.09204187809"/>
    <m/>
    <n v="119794.09204187809"/>
    <m/>
    <n v="119794.09204187809"/>
    <m/>
    <n v="119794.09204187809"/>
    <m/>
    <n v="119794.09204187809"/>
    <m/>
    <n v="119794.09204187809"/>
    <m/>
    <n v="119794.09204187809"/>
    <m/>
    <n v="119794.09204187809"/>
    <m/>
    <n v="119794.09204187809"/>
    <n v="119794.09"/>
    <n v="4529500"/>
    <m/>
    <m/>
    <n v="0"/>
    <n v="119796.35017191219"/>
    <n v="4529500"/>
    <x v="2"/>
    <n v="20000"/>
    <n v="139796.35017191217"/>
    <n v="756199.99999999907"/>
    <n v="5285699.9999999991"/>
    <m/>
    <m/>
    <x v="0"/>
    <x v="0"/>
    <b v="1"/>
    <s v="АГ-005-В-19-05-352"/>
    <m/>
    <s v="ДА"/>
    <s v="Чистовая"/>
    <b v="1"/>
    <n v="5285700"/>
    <n v="9.3132257461547852E-10"/>
    <b v="1"/>
    <d v="2024-01-18T00:00:00"/>
    <s v="Полехович"/>
  </r>
  <r>
    <n v="353"/>
    <x v="2"/>
    <x v="18"/>
    <x v="5"/>
    <x v="3"/>
    <n v="17.2"/>
    <n v="14.64"/>
    <n v="14.34"/>
    <n v="46.18"/>
    <n v="13.15"/>
    <n v="4.03"/>
    <n v="1.76"/>
    <m/>
    <n v="13.11"/>
    <n v="2.79"/>
    <n v="2.68"/>
    <m/>
    <n v="5.4700000000000006"/>
    <n v="83.7"/>
    <n v="78.23"/>
    <n v="80.97"/>
    <n v="79230.690000000017"/>
    <n v="3961.5345000000011"/>
    <n v="83192.224500000011"/>
    <n v="2495.7667350000002"/>
    <n v="85687.991235000009"/>
    <m/>
    <n v="85687.991235000009"/>
    <m/>
    <n v="85687.991235000009"/>
    <m/>
    <n v="85687.991235000009"/>
    <m/>
    <n v="85687.991235000009"/>
    <m/>
    <n v="85687.991235000009"/>
    <m/>
    <n v="85687.991235000009"/>
    <m/>
    <n v="85687.991235000009"/>
    <m/>
    <n v="85687.991235000009"/>
    <m/>
    <n v="85687.991235000009"/>
    <m/>
    <n v="85687.991235000009"/>
    <m/>
    <n v="85687.991235000009"/>
    <m/>
    <n v="85687.991235000009"/>
    <m/>
    <n v="85687.991235000009"/>
    <m/>
    <n v="85687.991235000009"/>
    <m/>
    <n v="85687.991235000009"/>
    <m/>
    <n v="85687.991235000009"/>
    <m/>
    <n v="85687.991235000009"/>
    <m/>
    <n v="85687.991235000009"/>
    <m/>
    <n v="85687.991235000009"/>
    <m/>
    <n v="85687.991235000009"/>
    <m/>
    <n v="85687.991235000009"/>
    <m/>
    <n v="85687.991235000009"/>
    <n v="85687.99"/>
    <n v="6938156.5499999998"/>
    <m/>
    <n v="0.05"/>
    <n v="346907.82750000001"/>
    <n v="81403.590465604546"/>
    <n v="6591248.7199999997"/>
    <x v="1"/>
    <m/>
    <n v="81403.590465604546"/>
    <n v="0"/>
    <n v="6591248.7199999997"/>
    <m/>
    <s v="Ветеран боевых действий"/>
    <x v="0"/>
    <x v="0"/>
    <b v="1"/>
    <s v="АГ-005-В-19-06-353"/>
    <m/>
    <s v="НЕТ"/>
    <s v="Черновая"/>
    <b v="1"/>
    <n v="6591248.7199999997"/>
    <n v="0"/>
    <b v="1"/>
    <d v="2024-03-29T00:00:00"/>
    <s v="Дик"/>
  </r>
  <r>
    <n v="354"/>
    <x v="2"/>
    <x v="18"/>
    <x v="6"/>
    <x v="0"/>
    <n v="14.3"/>
    <m/>
    <m/>
    <n v="14.3"/>
    <n v="9.2799999999999994"/>
    <n v="3.79"/>
    <m/>
    <m/>
    <n v="6.08"/>
    <n v="2.71"/>
    <m/>
    <m/>
    <n v="2.71"/>
    <n v="36.159999999999997"/>
    <n v="33.450000000000003"/>
    <n v="34.81"/>
    <n v="91251.5625"/>
    <n v="4562.578125"/>
    <n v="95814.140625"/>
    <n v="2874.4242187499999"/>
    <n v="98688.564843750006"/>
    <n v="13816.399078125001"/>
    <n v="112504.96392187501"/>
    <m/>
    <n v="112504.96392187501"/>
    <n v="5625.2481960937512"/>
    <n v="118130.21211796877"/>
    <m/>
    <n v="118130.21211796877"/>
    <n v="1181.3021211796877"/>
    <n v="119311.51423914846"/>
    <n v="5965.5757119574228"/>
    <n v="125277.08995110588"/>
    <m/>
    <n v="125277.08995110588"/>
    <n v="3758.3126985331764"/>
    <n v="129035.40264963906"/>
    <m/>
    <n v="129035.40264963906"/>
    <m/>
    <n v="129035.40264963906"/>
    <m/>
    <n v="129035.40264963906"/>
    <m/>
    <n v="129035.40264963906"/>
    <m/>
    <n v="129035.40264963906"/>
    <m/>
    <n v="129035.40264963906"/>
    <m/>
    <n v="129035.40264963906"/>
    <n v="645.17701324819529"/>
    <n v="129680.57966288725"/>
    <m/>
    <n v="129680.57966288725"/>
    <n v="2593.611593257745"/>
    <n v="132274.19125614499"/>
    <n v="6613.7095628072493"/>
    <n v="138887.90081895224"/>
    <n v="18055.427106463791"/>
    <n v="156943.32792541603"/>
    <n v="35"/>
    <n v="156978.32792541603"/>
    <m/>
    <n v="156978.32792541603"/>
    <n v="156978.32999999999"/>
    <n v="5464500"/>
    <m/>
    <m/>
    <n v="0"/>
    <n v="156980.75265728237"/>
    <n v="5464500"/>
    <x v="1"/>
    <m/>
    <n v="156980.75265728237"/>
    <n v="0"/>
    <n v="5464500"/>
    <s v="Хит"/>
    <m/>
    <x v="1"/>
    <x v="1"/>
    <b v="1"/>
    <s v="АГ-005-В-19-07-354"/>
    <m/>
    <s v="ДА"/>
    <s v="Черновая"/>
    <b v="1"/>
    <n v="5464500"/>
    <n v="0"/>
    <b v="1"/>
    <s v=" "/>
    <s v=""/>
  </r>
  <r>
    <n v="355"/>
    <x v="2"/>
    <x v="19"/>
    <x v="0"/>
    <x v="1"/>
    <n v="17.63"/>
    <n v="13.69"/>
    <m/>
    <n v="31.32"/>
    <n v="20.05"/>
    <n v="3.54"/>
    <n v="2.93"/>
    <m/>
    <n v="12.19"/>
    <n v="4.6500000000000004"/>
    <n v="2.68"/>
    <m/>
    <n v="7.33"/>
    <n v="77.36"/>
    <n v="70.03"/>
    <n v="73.7"/>
    <n v="86485.392000000007"/>
    <n v="4324.2696000000005"/>
    <n v="90809.661600000007"/>
    <n v="2724.2898479999999"/>
    <n v="93533.951448000007"/>
    <m/>
    <n v="93533.951448000007"/>
    <m/>
    <n v="93533.951448000007"/>
    <m/>
    <n v="93533.951448000007"/>
    <m/>
    <n v="93533.951448000007"/>
    <n v="935.33951448000005"/>
    <n v="94469.290962480009"/>
    <n v="4723.4645481240004"/>
    <n v="99192.755510604009"/>
    <m/>
    <n v="99192.755510604009"/>
    <n v="1983.8551102120803"/>
    <n v="101176.61062081609"/>
    <m/>
    <n v="101176.61062081609"/>
    <n v="2023.532212416322"/>
    <n v="103200.14283323241"/>
    <m/>
    <n v="103200.14283323241"/>
    <m/>
    <n v="103200.14283323241"/>
    <m/>
    <n v="103200.14283323241"/>
    <m/>
    <n v="103200.14283323241"/>
    <m/>
    <n v="103200.14283323241"/>
    <n v="516.00071416616208"/>
    <n v="103716.14354739858"/>
    <m/>
    <n v="103716.14354739858"/>
    <m/>
    <n v="103716.14354739858"/>
    <m/>
    <n v="103716.14354739858"/>
    <m/>
    <n v="103716.14354739858"/>
    <m/>
    <n v="103716.14354739858"/>
    <m/>
    <n v="103716.14354739858"/>
    <n v="103716.14"/>
    <n v="7643900"/>
    <m/>
    <n v="0.02"/>
    <n v="152878"/>
    <n v="101642.0895522388"/>
    <n v="7491022"/>
    <x v="2"/>
    <n v="24000"/>
    <n v="125642.0895522388"/>
    <n v="1768800"/>
    <n v="9259822"/>
    <s v="Антихит"/>
    <s v="Скидка иногородним"/>
    <x v="0"/>
    <x v="0"/>
    <b v="1"/>
    <s v="АГ-005-В-20-01-355"/>
    <m/>
    <s v="ДА"/>
    <s v="Чистовая"/>
    <b v="1"/>
    <n v="9259822"/>
    <n v="0"/>
    <b v="1"/>
    <d v="2024-11-01T00:00:00"/>
    <s v="Дик"/>
  </r>
  <r>
    <n v="356"/>
    <x v="2"/>
    <x v="19"/>
    <x v="1"/>
    <x v="2"/>
    <n v="7.18"/>
    <m/>
    <m/>
    <n v="7.18"/>
    <n v="5.17"/>
    <n v="3.72"/>
    <m/>
    <m/>
    <n v="6.97"/>
    <n v="2.97"/>
    <m/>
    <m/>
    <n v="2.97"/>
    <n v="26.01"/>
    <n v="23.04"/>
    <n v="24.53"/>
    <n v="99865.71"/>
    <n v="4993.2855000000009"/>
    <n v="104858.9955"/>
    <n v="3145.7698650000002"/>
    <n v="108004.765365"/>
    <n v="14040.619497450001"/>
    <n v="122045.38486245"/>
    <n v="1220.4538486244999"/>
    <n v="123265.8387110745"/>
    <m/>
    <n v="123265.8387110745"/>
    <m/>
    <n v="123265.8387110745"/>
    <n v="1232.658387110745"/>
    <n v="124498.49709818524"/>
    <n v="6224.9248549092626"/>
    <n v="130723.4219530945"/>
    <m/>
    <n v="130723.4219530945"/>
    <n v="3921.7026585928347"/>
    <n v="134645.12461168732"/>
    <m/>
    <n v="134645.12461168732"/>
    <m/>
    <n v="134645.12461168732"/>
    <m/>
    <n v="134645.12461168732"/>
    <n v="1346.4512461168733"/>
    <n v="135991.57585780419"/>
    <m/>
    <n v="135991.57585780419"/>
    <n v="679.95787928902098"/>
    <n v="136671.53373709321"/>
    <m/>
    <n v="136671.53373709321"/>
    <n v="2050.0730060563983"/>
    <n v="138721.6067431496"/>
    <m/>
    <n v="138721.6067431496"/>
    <m/>
    <n v="138721.6067431496"/>
    <n v="5548.8642697259847"/>
    <n v="144270.47101287558"/>
    <n v="18755.161231673825"/>
    <n v="163025.6322445494"/>
    <n v="35"/>
    <n v="163060.6322445494"/>
    <m/>
    <n v="163060.6322445494"/>
    <n v="163060.63"/>
    <n v="3999900"/>
    <m/>
    <m/>
    <n v="0"/>
    <n v="163061.55727680391"/>
    <n v="3999900"/>
    <x v="1"/>
    <m/>
    <n v="163061.55727680391"/>
    <n v="0"/>
    <n v="3999900"/>
    <m/>
    <m/>
    <x v="4"/>
    <x v="4"/>
    <b v="1"/>
    <s v="АГ-005-В-20-02-356"/>
    <m/>
    <s v="ДА"/>
    <s v="Черновая"/>
    <b v="1"/>
    <n v="3999900"/>
    <n v="0"/>
    <b v="1"/>
    <s v=" "/>
    <s v=""/>
  </r>
  <r>
    <n v="357"/>
    <x v="2"/>
    <x v="19"/>
    <x v="2"/>
    <x v="1"/>
    <n v="13.69"/>
    <n v="10.16"/>
    <m/>
    <n v="23.85"/>
    <n v="18.71"/>
    <n v="3.49"/>
    <n v="2.11"/>
    <m/>
    <n v="7.09"/>
    <n v="2.65"/>
    <m/>
    <m/>
    <n v="2.65"/>
    <n v="57.9"/>
    <n v="55.25"/>
    <n v="56.58"/>
    <n v="87257.583000000013"/>
    <n v="4362.8791500000007"/>
    <n v="91620.462150000007"/>
    <n v="2748.6138645000001"/>
    <n v="94369.076014500009"/>
    <m/>
    <n v="94369.076014500009"/>
    <m/>
    <n v="94369.076014500009"/>
    <m/>
    <n v="94369.076014500009"/>
    <m/>
    <n v="94369.076014500009"/>
    <n v="943.69076014500013"/>
    <n v="95312.766774645002"/>
    <n v="4765.6383387322503"/>
    <n v="100078.40511337726"/>
    <m/>
    <n v="100078.40511337726"/>
    <n v="2001.5681022675453"/>
    <n v="102079.9732156448"/>
    <m/>
    <n v="102079.9732156448"/>
    <n v="2041.5994643128961"/>
    <n v="104121.5726799577"/>
    <n v="150"/>
    <n v="104271.5726799577"/>
    <n v="1042.7157267995769"/>
    <n v="105314.28840675727"/>
    <m/>
    <n v="105314.28840675727"/>
    <m/>
    <n v="105314.28840675727"/>
    <m/>
    <n v="105314.28840675727"/>
    <n v="2632.8572101689319"/>
    <n v="107947.14561692621"/>
    <n v="500"/>
    <n v="108447.14561692621"/>
    <n v="4337.8858246770487"/>
    <n v="112785.03144160326"/>
    <n v="6767.1018864961952"/>
    <n v="119552.13332809946"/>
    <n v="15541.77733265293"/>
    <n v="135093.91066075239"/>
    <n v="35"/>
    <n v="135128.91066075239"/>
    <n v="1351.289106607524"/>
    <n v="136480.19976735991"/>
    <n v="136480.20000000001"/>
    <n v="7722100"/>
    <m/>
    <m/>
    <n v="0"/>
    <n v="136481.08872393073"/>
    <n v="7722100"/>
    <x v="3"/>
    <n v="10000"/>
    <n v="146481.08872393073"/>
    <n v="565800.00000000093"/>
    <n v="8287900.0000000009"/>
    <s v="Хит"/>
    <m/>
    <x v="1"/>
    <x v="1"/>
    <b v="1"/>
    <s v="АГ-005-В-20-03-357"/>
    <m/>
    <s v="ДА"/>
    <s v="White Box"/>
    <b v="1"/>
    <n v="8287900"/>
    <n v="-9.3132257461547852E-10"/>
    <b v="1"/>
    <s v=" "/>
    <s v=""/>
  </r>
  <r>
    <n v="358"/>
    <x v="2"/>
    <x v="19"/>
    <x v="3"/>
    <x v="1"/>
    <n v="15.45"/>
    <n v="10.34"/>
    <m/>
    <n v="25.79"/>
    <n v="15.44"/>
    <n v="4.59"/>
    <n v="2.21"/>
    <m/>
    <n v="10.79"/>
    <n v="2.84"/>
    <m/>
    <m/>
    <n v="2.84"/>
    <n v="61.66"/>
    <n v="58.82"/>
    <n v="60.24"/>
    <n v="89188.060500000007"/>
    <n v="4459.4030250000005"/>
    <n v="93647.463525000014"/>
    <n v="2809.4239057500004"/>
    <n v="96456.887430750008"/>
    <m/>
    <n v="96456.887430750008"/>
    <m/>
    <n v="96456.887430750008"/>
    <m/>
    <n v="96456.887430750008"/>
    <m/>
    <n v="96456.887430750008"/>
    <n v="964.5688743075001"/>
    <n v="97421.456305057509"/>
    <n v="4871.0728152528754"/>
    <n v="102292.52912031038"/>
    <m/>
    <n v="102292.52912031038"/>
    <n v="2045.8505824062076"/>
    <n v="104338.37970271659"/>
    <m/>
    <n v="104338.37970271659"/>
    <n v="2086.7675940543318"/>
    <n v="106425.14729677091"/>
    <m/>
    <n v="106425.14729677091"/>
    <m/>
    <n v="106425.14729677091"/>
    <m/>
    <n v="106425.14729677091"/>
    <m/>
    <n v="106425.14729677091"/>
    <m/>
    <n v="106425.14729677091"/>
    <n v="532.12573648385455"/>
    <n v="106957.27303325477"/>
    <m/>
    <n v="106957.27303325477"/>
    <n v="4278.2909213301909"/>
    <n v="111235.56395458496"/>
    <n v="6674.133837275097"/>
    <n v="117909.69779186005"/>
    <n v="15328.260712941807"/>
    <n v="133237.95850480185"/>
    <n v="35"/>
    <n v="133272.95850480185"/>
    <m/>
    <n v="133272.95850480185"/>
    <n v="133272.95999999999"/>
    <n v="8028400"/>
    <m/>
    <m/>
    <n v="0"/>
    <n v="133273.57237715804"/>
    <n v="8028400"/>
    <x v="3"/>
    <n v="10000"/>
    <n v="143273.57237715804"/>
    <n v="602400"/>
    <n v="8630800"/>
    <m/>
    <m/>
    <x v="1"/>
    <x v="1"/>
    <b v="1"/>
    <s v="АГ-005-В-20-04-358"/>
    <m/>
    <s v="ДА"/>
    <s v="White Box"/>
    <b v="1"/>
    <n v="8630800"/>
    <n v="0"/>
    <b v="1"/>
    <s v=" "/>
    <s v=""/>
  </r>
  <r>
    <n v="359"/>
    <x v="2"/>
    <x v="19"/>
    <x v="4"/>
    <x v="0"/>
    <n v="12.54"/>
    <m/>
    <m/>
    <n v="12.54"/>
    <n v="12.74"/>
    <n v="4.0199999999999996"/>
    <m/>
    <m/>
    <n v="7.09"/>
    <n v="2.84"/>
    <m/>
    <m/>
    <n v="2.84"/>
    <n v="39.229999999999997"/>
    <n v="36.39"/>
    <n v="37.81"/>
    <n v="96523.875"/>
    <n v="4826.1937500000004"/>
    <n v="101350.06875000001"/>
    <n v="3040.5020625000002"/>
    <n v="104390.57081250001"/>
    <n v="4697.5756865624999"/>
    <n v="109088.14649906251"/>
    <m/>
    <n v="109088.14649906251"/>
    <n v="5454.4073249531257"/>
    <n v="114542.55382401563"/>
    <n v="-620"/>
    <n v="113922.55382401563"/>
    <n v="1139.2255382401563"/>
    <n v="115061.77936225579"/>
    <n v="5753.0889681127901"/>
    <n v="120814.86833036858"/>
    <m/>
    <n v="120814.86833036858"/>
    <n v="3624.4460499110573"/>
    <n v="124439.31438027964"/>
    <m/>
    <n v="124439.31438027964"/>
    <m/>
    <n v="124439.31438027964"/>
    <m/>
    <n v="124439.31438027964"/>
    <n v="1244.3931438027964"/>
    <n v="125683.70752408243"/>
    <m/>
    <n v="125683.70752408243"/>
    <m/>
    <n v="125683.70752408243"/>
    <m/>
    <n v="125683.70752408243"/>
    <n v="628.41853762041217"/>
    <n v="126312.12606170285"/>
    <m/>
    <n v="126312.12606170285"/>
    <m/>
    <n v="126312.12606170285"/>
    <n v="6315.6063030851428"/>
    <n v="132627.73236478798"/>
    <n v="17241.605207422439"/>
    <n v="149869.33757221041"/>
    <n v="35"/>
    <n v="149904.33757221041"/>
    <m/>
    <n v="149904.33757221041"/>
    <n v="149904.34"/>
    <n v="5667900"/>
    <m/>
    <m/>
    <n v="0"/>
    <n v="149904.78709336155"/>
    <n v="5667900"/>
    <x v="3"/>
    <n v="10000"/>
    <n v="159904.78709336155"/>
    <n v="378100.00000000093"/>
    <n v="6046000.0000000009"/>
    <m/>
    <m/>
    <x v="1"/>
    <x v="1"/>
    <b v="1"/>
    <s v="АГ-005-В-20-05-359"/>
    <m/>
    <s v="ДА"/>
    <s v="White Box"/>
    <b v="1"/>
    <n v="6046000"/>
    <n v="-9.3132257461547852E-10"/>
    <b v="1"/>
    <s v=" "/>
    <s v=""/>
  </r>
  <r>
    <n v="360"/>
    <x v="2"/>
    <x v="19"/>
    <x v="5"/>
    <x v="3"/>
    <n v="17.2"/>
    <n v="14.64"/>
    <n v="14.34"/>
    <n v="46.18"/>
    <n v="13.15"/>
    <n v="4.03"/>
    <n v="1.76"/>
    <m/>
    <n v="13.11"/>
    <n v="2.79"/>
    <n v="2.68"/>
    <m/>
    <n v="5.4700000000000006"/>
    <n v="83.7"/>
    <n v="78.23"/>
    <n v="80.97"/>
    <n v="79944.48000000001"/>
    <n v="3997.2240000000006"/>
    <n v="83941.704000000012"/>
    <n v="2518.2511200000004"/>
    <n v="86459.955120000013"/>
    <m/>
    <n v="86459.955120000013"/>
    <m/>
    <n v="86459.955120000013"/>
    <m/>
    <n v="86459.955120000013"/>
    <m/>
    <n v="86459.955120000013"/>
    <n v="864.59955120000018"/>
    <n v="87324.554671200007"/>
    <n v="4366.2277335600002"/>
    <n v="91690.782404760001"/>
    <m/>
    <n v="91690.782404760001"/>
    <n v="1833.8156480952"/>
    <n v="93524.598052855203"/>
    <m/>
    <n v="93524.598052855203"/>
    <n v="1870.4919610571042"/>
    <n v="95395.090013912311"/>
    <m/>
    <n v="95395.090013912311"/>
    <n v="953.95090013912318"/>
    <n v="96349.040914051438"/>
    <m/>
    <n v="96349.040914051438"/>
    <n v="481.74520457025721"/>
    <n v="96830.786118621691"/>
    <n v="1936.6157223724338"/>
    <n v="98767.40184099412"/>
    <n v="1481.5110276149117"/>
    <n v="100248.91286860903"/>
    <m/>
    <n v="100248.91286860903"/>
    <n v="4009.9565147443614"/>
    <n v="104258.86938335339"/>
    <n v="5212.9434691676697"/>
    <n v="109471.81285252106"/>
    <n v="14231.335670827739"/>
    <n v="123703.14852334881"/>
    <n v="35"/>
    <n v="123738.14852334881"/>
    <m/>
    <n v="123738.14852334881"/>
    <n v="123738.15"/>
    <n v="10019100"/>
    <m/>
    <m/>
    <n v="0"/>
    <n v="123738.42163764358"/>
    <n v="10019100"/>
    <x v="1"/>
    <m/>
    <n v="123738.42163764358"/>
    <n v="0"/>
    <n v="10019100"/>
    <m/>
    <m/>
    <x v="1"/>
    <x v="1"/>
    <b v="1"/>
    <s v="АГ-005-В-20-06-360"/>
    <m/>
    <s v="ДА"/>
    <s v="Черновая"/>
    <b v="1"/>
    <n v="10019100"/>
    <n v="0"/>
    <b v="1"/>
    <s v=" "/>
    <s v=""/>
  </r>
  <r>
    <n v="361"/>
    <x v="2"/>
    <x v="19"/>
    <x v="6"/>
    <x v="0"/>
    <n v="14.3"/>
    <m/>
    <m/>
    <n v="14.3"/>
    <n v="9.2799999999999994"/>
    <n v="3.79"/>
    <m/>
    <m/>
    <n v="6.08"/>
    <n v="2.71"/>
    <m/>
    <m/>
    <n v="2.71"/>
    <n v="36.159999999999997"/>
    <n v="33.450000000000003"/>
    <n v="34.81"/>
    <n v="92062.6875"/>
    <n v="4603.1343750000005"/>
    <n v="96665.821874999994"/>
    <n v="2899.9746562499995"/>
    <n v="99565.796531249987"/>
    <n v="13939.211514375"/>
    <n v="113505.00804562499"/>
    <m/>
    <n v="113505.00804562499"/>
    <n v="5675.25040228125"/>
    <n v="119180.25844790624"/>
    <m/>
    <n v="119180.25844790624"/>
    <n v="1191.8025844790625"/>
    <n v="120372.0610323853"/>
    <n v="6018.6030516192659"/>
    <n v="126390.66408400457"/>
    <m/>
    <n v="126390.66408400457"/>
    <n v="3791.7199225201371"/>
    <n v="130182.38400652471"/>
    <m/>
    <n v="130182.38400652471"/>
    <m/>
    <n v="130182.38400652471"/>
    <m/>
    <n v="130182.38400652471"/>
    <m/>
    <n v="130182.38400652471"/>
    <m/>
    <n v="130182.38400652471"/>
    <m/>
    <n v="130182.38400652471"/>
    <m/>
    <n v="130182.38400652471"/>
    <n v="650.91192003262358"/>
    <n v="130833.29592655733"/>
    <m/>
    <n v="130833.29592655733"/>
    <n v="2616.6659185311469"/>
    <n v="133449.96184508849"/>
    <n v="6672.4980922544246"/>
    <n v="140122.45993734291"/>
    <n v="18215.91979185458"/>
    <n v="158338.37972919748"/>
    <n v="35"/>
    <n v="158373.37972919748"/>
    <m/>
    <n v="158373.37972919748"/>
    <n v="158373.38"/>
    <n v="5513000"/>
    <m/>
    <m/>
    <n v="0"/>
    <n v="158374.03045101982"/>
    <n v="5513000"/>
    <x v="1"/>
    <m/>
    <n v="158374.03045101982"/>
    <n v="0"/>
    <n v="5513000"/>
    <s v="Хит"/>
    <m/>
    <x v="1"/>
    <x v="1"/>
    <b v="1"/>
    <s v="АГ-005-В-20-07-361"/>
    <m/>
    <s v="ДА"/>
    <s v="Черновая"/>
    <b v="1"/>
    <n v="5513000"/>
    <n v="0"/>
    <b v="1"/>
    <s v=" "/>
    <s v=""/>
  </r>
  <r>
    <n v="362"/>
    <x v="2"/>
    <x v="20"/>
    <x v="0"/>
    <x v="1"/>
    <n v="17.63"/>
    <n v="13.69"/>
    <m/>
    <n v="31.32"/>
    <n v="20.05"/>
    <n v="3.54"/>
    <n v="2.93"/>
    <m/>
    <n v="12.19"/>
    <n v="4.6500000000000004"/>
    <n v="2.68"/>
    <m/>
    <n v="7.33"/>
    <n v="77.36"/>
    <n v="70.03"/>
    <n v="73.7"/>
    <n v="84941.010000000009"/>
    <n v="4247.0505000000003"/>
    <n v="89188.060500000007"/>
    <n v="2675.641815"/>
    <n v="91863.702315000002"/>
    <m/>
    <n v="91863.702315000002"/>
    <m/>
    <n v="91863.702315000002"/>
    <m/>
    <n v="91863.702315000002"/>
    <m/>
    <n v="91863.702315000002"/>
    <n v="918.63702315"/>
    <n v="92782.339338150006"/>
    <n v="4639.1169669075007"/>
    <n v="97421.456305057509"/>
    <m/>
    <n v="97421.456305057509"/>
    <n v="1948.4291261011501"/>
    <n v="99369.885431158662"/>
    <m/>
    <n v="99369.885431158662"/>
    <n v="1987.3977086231732"/>
    <n v="101357.28313978184"/>
    <m/>
    <n v="101357.28313978184"/>
    <m/>
    <n v="101357.28313978184"/>
    <m/>
    <n v="101357.28313978184"/>
    <m/>
    <n v="101357.28313978184"/>
    <m/>
    <n v="101357.28313978184"/>
    <n v="506.7864156989092"/>
    <n v="101864.06955548075"/>
    <m/>
    <n v="101864.06955548075"/>
    <m/>
    <n v="101864.06955548075"/>
    <n v="8149.1255644384601"/>
    <n v="110013.19511991921"/>
    <n v="14301.715365589498"/>
    <n v="124314.91048550871"/>
    <n v="35"/>
    <n v="124349.91048550871"/>
    <m/>
    <n v="124349.91048550871"/>
    <n v="124349.91"/>
    <n v="9164600"/>
    <m/>
    <m/>
    <n v="0"/>
    <n v="124350.06784260515"/>
    <n v="9164600"/>
    <x v="1"/>
    <m/>
    <n v="124350.06784260515"/>
    <n v="0"/>
    <n v="9164600"/>
    <s v="Антихит"/>
    <m/>
    <x v="1"/>
    <x v="1"/>
    <b v="1"/>
    <s v="АГ-005-В-21-01-362"/>
    <m/>
    <s v="ДА"/>
    <s v="Черновая"/>
    <b v="1"/>
    <n v="9164600"/>
    <n v="0"/>
    <b v="1"/>
    <s v=" "/>
    <s v=""/>
  </r>
  <r>
    <n v="363"/>
    <x v="2"/>
    <x v="20"/>
    <x v="1"/>
    <x v="2"/>
    <n v="7.18"/>
    <m/>
    <m/>
    <n v="7.18"/>
    <n v="5.17"/>
    <n v="3.72"/>
    <m/>
    <m/>
    <n v="6.97"/>
    <n v="2.97"/>
    <m/>
    <m/>
    <n v="2.97"/>
    <n v="26.01"/>
    <n v="23.04"/>
    <n v="24.53"/>
    <n v="98989.695000000007"/>
    <n v="4949.4847500000005"/>
    <n v="103939.17975000001"/>
    <n v="3118.1753925000003"/>
    <n v="107057.3551425"/>
    <n v="13917.456168525001"/>
    <n v="120974.811311025"/>
    <n v="1209.74811311025"/>
    <n v="122184.55942413525"/>
    <m/>
    <n v="122184.55942413525"/>
    <m/>
    <n v="122184.55942413525"/>
    <n v="1221.8455942413525"/>
    <n v="123406.40501837661"/>
    <n v="6170.3202509188304"/>
    <n v="129576.72526929544"/>
    <m/>
    <n v="129576.72526929544"/>
    <n v="3887.3017580788628"/>
    <n v="133464.02702737431"/>
    <m/>
    <n v="133464.02702737431"/>
    <m/>
    <n v="133464.02702737431"/>
    <m/>
    <n v="133464.02702737431"/>
    <n v="1334.640270273743"/>
    <n v="134798.66729764806"/>
    <m/>
    <n v="134798.66729764806"/>
    <n v="673.99333648824029"/>
    <n v="135472.66063413629"/>
    <m/>
    <n v="135472.66063413629"/>
    <n v="2032.0899095120444"/>
    <n v="137504.75054364835"/>
    <m/>
    <n v="137504.75054364835"/>
    <m/>
    <n v="137504.75054364835"/>
    <n v="5500.1900217459342"/>
    <n v="143004.9405653943"/>
    <n v="18590.64227350126"/>
    <n v="161595.58283889556"/>
    <n v="35"/>
    <n v="161630.58283889556"/>
    <m/>
    <n v="161630.58283889556"/>
    <n v="161630.57999999999"/>
    <n v="3964800"/>
    <m/>
    <m/>
    <n v="0"/>
    <n v="161630.65633917652"/>
    <n v="3964800"/>
    <x v="3"/>
    <n v="10000"/>
    <n v="171630.65633917652"/>
    <n v="245300"/>
    <n v="4210100"/>
    <m/>
    <m/>
    <x v="1"/>
    <x v="1"/>
    <b v="1"/>
    <s v="АГ-005-В-21-02-363"/>
    <m/>
    <s v="ДА"/>
    <s v="White Box"/>
    <b v="1"/>
    <n v="4210100"/>
    <n v="0"/>
    <b v="1"/>
    <s v=" "/>
    <s v=""/>
  </r>
  <r>
    <n v="364"/>
    <x v="2"/>
    <x v="20"/>
    <x v="2"/>
    <x v="1"/>
    <n v="13.69"/>
    <n v="10.16"/>
    <m/>
    <n v="23.85"/>
    <n v="18.71"/>
    <n v="3.49"/>
    <n v="2.11"/>
    <m/>
    <n v="7.09"/>
    <n v="2.65"/>
    <m/>
    <m/>
    <n v="2.65"/>
    <n v="57.9"/>
    <n v="55.25"/>
    <n v="56.58"/>
    <n v="86485.392000000007"/>
    <n v="4324.2696000000005"/>
    <n v="90809.661600000007"/>
    <n v="2724.2898479999999"/>
    <n v="93533.951448000007"/>
    <m/>
    <n v="93533.951448000007"/>
    <m/>
    <n v="93533.951448000007"/>
    <m/>
    <n v="93533.951448000007"/>
    <m/>
    <n v="93533.951448000007"/>
    <n v="935.33951448000005"/>
    <n v="94469.290962480009"/>
    <n v="4723.4645481240004"/>
    <n v="99192.755510604009"/>
    <m/>
    <n v="99192.755510604009"/>
    <n v="1983.8551102120803"/>
    <n v="101176.61062081609"/>
    <m/>
    <n v="101176.61062081609"/>
    <n v="2023.532212416322"/>
    <n v="103200.14283323241"/>
    <n v="150"/>
    <n v="103350.14283323241"/>
    <n v="1033.5014283323242"/>
    <n v="104383.64426156474"/>
    <m/>
    <n v="104383.64426156474"/>
    <m/>
    <n v="104383.64426156474"/>
    <m/>
    <n v="104383.64426156474"/>
    <n v="2609.5911065391188"/>
    <n v="106993.23536810385"/>
    <n v="500"/>
    <n v="107493.23536810385"/>
    <n v="4299.7294147241537"/>
    <n v="111792.964782828"/>
    <n v="6707.5778869696796"/>
    <n v="118500.54266979768"/>
    <n v="15405.070547073699"/>
    <n v="133905.61321687137"/>
    <n v="35"/>
    <n v="133940.61321687137"/>
    <n v="1339.4061321687136"/>
    <n v="135280.01934904009"/>
    <n v="135280.01999999999"/>
    <n v="7654200"/>
    <m/>
    <m/>
    <n v="0"/>
    <n v="135281.01802757158"/>
    <n v="7654200"/>
    <x v="1"/>
    <m/>
    <n v="135281.01802757158"/>
    <n v="0"/>
    <n v="7654200"/>
    <s v="Хит"/>
    <m/>
    <x v="1"/>
    <x v="1"/>
    <b v="1"/>
    <s v="АГ-005-В-21-03-364"/>
    <m/>
    <s v="ДА"/>
    <s v="Черновая"/>
    <b v="1"/>
    <n v="7654200"/>
    <n v="0"/>
    <b v="1"/>
    <s v=" "/>
    <s v=""/>
  </r>
  <r>
    <n v="365"/>
    <x v="2"/>
    <x v="20"/>
    <x v="3"/>
    <x v="1"/>
    <n v="15.45"/>
    <n v="10.34"/>
    <m/>
    <n v="25.79"/>
    <n v="15.44"/>
    <n v="4.59"/>
    <n v="2.21"/>
    <m/>
    <n v="10.79"/>
    <n v="2.84"/>
    <m/>
    <m/>
    <n v="2.84"/>
    <n v="61.66"/>
    <n v="58.82"/>
    <n v="60.24"/>
    <n v="88415.869500000001"/>
    <n v="4420.7934750000004"/>
    <n v="92836.662974999999"/>
    <n v="2785.0998892499997"/>
    <n v="95621.762864250006"/>
    <m/>
    <n v="95621.762864250006"/>
    <m/>
    <n v="95621.762864250006"/>
    <m/>
    <n v="95621.762864250006"/>
    <m/>
    <n v="95621.762864250006"/>
    <n v="956.21762864250013"/>
    <n v="96577.9804928925"/>
    <n v="4828.8990246446256"/>
    <n v="101406.87951753712"/>
    <m/>
    <n v="101406.87951753712"/>
    <n v="2028.1375903507424"/>
    <n v="103435.01710788786"/>
    <m/>
    <n v="103435.01710788786"/>
    <n v="2068.7003421577574"/>
    <n v="105503.71745004562"/>
    <m/>
    <n v="105503.71745004562"/>
    <m/>
    <n v="105503.71745004562"/>
    <m/>
    <n v="105503.71745004562"/>
    <m/>
    <n v="105503.71745004562"/>
    <m/>
    <n v="105503.71745004562"/>
    <n v="527.51858725022805"/>
    <n v="106031.23603729585"/>
    <m/>
    <n v="106031.23603729585"/>
    <n v="4241.2494414918337"/>
    <n v="110272.48547878768"/>
    <n v="6616.3491287272609"/>
    <n v="116888.83460751495"/>
    <n v="15195.548498976943"/>
    <n v="132084.38310649188"/>
    <n v="35"/>
    <n v="132119.38310649188"/>
    <m/>
    <n v="132119.38310649188"/>
    <n v="132119.38"/>
    <n v="7958900"/>
    <m/>
    <m/>
    <n v="0"/>
    <n v="132119.85391766267"/>
    <n v="7958900"/>
    <x v="1"/>
    <m/>
    <n v="132119.85391766267"/>
    <n v="0"/>
    <n v="7958899.9999999991"/>
    <m/>
    <m/>
    <x v="1"/>
    <x v="1"/>
    <b v="1"/>
    <s v="АГ-005-В-21-04-365"/>
    <m/>
    <s v="ДА"/>
    <s v="Черновая"/>
    <b v="1"/>
    <n v="7958900"/>
    <n v="9.3132257461547852E-10"/>
    <b v="1"/>
    <s v=" "/>
    <s v=""/>
  </r>
  <r>
    <n v="366"/>
    <x v="2"/>
    <x v="20"/>
    <x v="4"/>
    <x v="0"/>
    <n v="12.54"/>
    <m/>
    <m/>
    <n v="12.54"/>
    <n v="12.74"/>
    <n v="4.0199999999999996"/>
    <m/>
    <m/>
    <n v="7.09"/>
    <n v="2.84"/>
    <m/>
    <m/>
    <n v="2.84"/>
    <n v="39.229999999999997"/>
    <n v="36.39"/>
    <n v="37.81"/>
    <n v="95712.75"/>
    <n v="4785.6374999999998"/>
    <n v="100498.3875"/>
    <n v="3014.9516249999997"/>
    <n v="103513.339125"/>
    <n v="4658.1002606249995"/>
    <n v="108171.439385625"/>
    <m/>
    <n v="108171.439385625"/>
    <n v="5408.5719692812499"/>
    <n v="113580.01135490625"/>
    <n v="-620"/>
    <n v="112960.01135490625"/>
    <n v="1129.6001135490626"/>
    <n v="114089.61146845532"/>
    <n v="5704.4805734227666"/>
    <n v="119794.09204187809"/>
    <m/>
    <n v="119794.09204187809"/>
    <m/>
    <n v="119794.09204187809"/>
    <m/>
    <n v="119794.09204187809"/>
    <m/>
    <n v="119794.09204187809"/>
    <m/>
    <n v="119794.09204187809"/>
    <m/>
    <n v="119794.09204187809"/>
    <m/>
    <n v="119794.09204187809"/>
    <m/>
    <n v="119794.09204187809"/>
    <m/>
    <n v="119794.09204187809"/>
    <m/>
    <n v="119794.09204187809"/>
    <m/>
    <n v="119794.09204187809"/>
    <m/>
    <n v="119794.09204187809"/>
    <m/>
    <n v="119794.09204187809"/>
    <m/>
    <n v="119794.09204187809"/>
    <m/>
    <n v="119794.09204187809"/>
    <m/>
    <n v="119794.09204187809"/>
    <n v="119794.09"/>
    <n v="4529500"/>
    <n v="88888"/>
    <m/>
    <n v="88888"/>
    <n v="117445.43771489023"/>
    <n v="4440612"/>
    <x v="1"/>
    <m/>
    <n v="117445.43771489023"/>
    <n v="0"/>
    <n v="4440612"/>
    <m/>
    <s v="Весна"/>
    <x v="0"/>
    <x v="0"/>
    <b v="1"/>
    <s v="АГ-005-В-21-05-366"/>
    <m/>
    <s v="ДА"/>
    <s v="Черновая"/>
    <b v="1"/>
    <n v="4440612"/>
    <n v="0"/>
    <b v="1"/>
    <d v="2024-03-22T00:00:00"/>
    <s v="Полехович"/>
  </r>
  <r>
    <n v="367"/>
    <x v="2"/>
    <x v="20"/>
    <x v="5"/>
    <x v="3"/>
    <n v="17.2"/>
    <n v="14.64"/>
    <n v="14.34"/>
    <n v="46.18"/>
    <n v="13.15"/>
    <n v="4.03"/>
    <n v="1.76"/>
    <m/>
    <n v="13.11"/>
    <n v="2.79"/>
    <n v="2.68"/>
    <m/>
    <n v="5.4700000000000006"/>
    <n v="83.7"/>
    <n v="78.23"/>
    <n v="80.97"/>
    <n v="79230.690000000017"/>
    <n v="3961.5345000000011"/>
    <n v="83192.224500000011"/>
    <n v="2495.7667350000002"/>
    <n v="85687.991235000009"/>
    <m/>
    <n v="85687.991235000009"/>
    <m/>
    <n v="85687.991235000009"/>
    <m/>
    <n v="85687.991235000009"/>
    <m/>
    <n v="85687.991235000009"/>
    <n v="856.87991235000015"/>
    <n v="86544.871147350015"/>
    <n v="4327.2435573675011"/>
    <n v="90872.114704717518"/>
    <m/>
    <n v="90872.114704717518"/>
    <n v="1817.4422940943505"/>
    <n v="92689.556998811866"/>
    <m/>
    <n v="92689.556998811866"/>
    <n v="1853.7911399762374"/>
    <n v="94543.348138788104"/>
    <m/>
    <n v="94543.348138788104"/>
    <n v="945.4334813878811"/>
    <n v="95488.781620175985"/>
    <m/>
    <n v="95488.781620175985"/>
    <n v="477.44390810087992"/>
    <n v="95966.22552827686"/>
    <n v="1919.3245105655371"/>
    <n v="97885.550038842397"/>
    <m/>
    <n v="97885.550038842397"/>
    <m/>
    <n v="97885.550038842397"/>
    <m/>
    <n v="97885.550038842397"/>
    <m/>
    <n v="97885.550038842397"/>
    <m/>
    <n v="97885.550038842397"/>
    <m/>
    <n v="97885.550038842397"/>
    <m/>
    <n v="97885.550038842397"/>
    <n v="97885.55"/>
    <n v="7925800"/>
    <m/>
    <n v="0.03"/>
    <n v="237774"/>
    <n v="94949.067555884903"/>
    <n v="7688026"/>
    <x v="1"/>
    <m/>
    <n v="94949.067555884903"/>
    <n v="0"/>
    <n v="7688026.0000000009"/>
    <m/>
    <s v="Многодетная семья"/>
    <x v="0"/>
    <x v="0"/>
    <b v="1"/>
    <s v="АГ-005-В-21-06-367"/>
    <m/>
    <s v="ДА"/>
    <s v="Черновая"/>
    <b v="1"/>
    <n v="7688026"/>
    <n v="-9.3132257461547852E-10"/>
    <b v="1"/>
    <d v="2024-06-21T00:00:00"/>
    <s v="Полехович"/>
  </r>
  <r>
    <n v="368"/>
    <x v="2"/>
    <x v="20"/>
    <x v="6"/>
    <x v="0"/>
    <n v="14.3"/>
    <m/>
    <m/>
    <n v="14.3"/>
    <n v="9.2799999999999994"/>
    <n v="3.79"/>
    <m/>
    <m/>
    <n v="6.08"/>
    <n v="2.71"/>
    <m/>
    <m/>
    <n v="2.71"/>
    <n v="36.159999999999997"/>
    <n v="33.450000000000003"/>
    <n v="34.81"/>
    <n v="91251.5625"/>
    <n v="4562.578125"/>
    <n v="95814.140625"/>
    <n v="2874.4242187499999"/>
    <n v="98688.564843750006"/>
    <n v="13816.399078125001"/>
    <n v="112504.96392187501"/>
    <m/>
    <n v="112504.96392187501"/>
    <n v="5625.2481960937512"/>
    <n v="118130.21211796877"/>
    <m/>
    <n v="118130.21211796877"/>
    <n v="1181.3021211796877"/>
    <n v="119311.51423914846"/>
    <n v="5965.5757119574228"/>
    <n v="125277.08995110588"/>
    <m/>
    <n v="125277.08995110588"/>
    <n v="3758.3126985331764"/>
    <n v="129035.40264963906"/>
    <m/>
    <n v="129035.40264963906"/>
    <m/>
    <n v="129035.40264963906"/>
    <m/>
    <n v="129035.40264963906"/>
    <m/>
    <n v="129035.40264963906"/>
    <m/>
    <n v="129035.40264963906"/>
    <m/>
    <n v="129035.40264963906"/>
    <m/>
    <n v="129035.40264963906"/>
    <n v="645.17701324819529"/>
    <n v="129680.57966288725"/>
    <m/>
    <n v="129680.57966288725"/>
    <n v="2593.611593257745"/>
    <n v="132274.19125614499"/>
    <n v="6613.7095628072493"/>
    <n v="138887.90081895224"/>
    <n v="18055.427106463791"/>
    <n v="156943.32792541603"/>
    <n v="35"/>
    <n v="156978.32792541603"/>
    <m/>
    <n v="156978.32792541603"/>
    <n v="156978.32999999999"/>
    <n v="5464500"/>
    <m/>
    <m/>
    <n v="0"/>
    <n v="156980.75265728237"/>
    <n v="5464500"/>
    <x v="3"/>
    <n v="10000"/>
    <n v="166980.75265728237"/>
    <n v="348100"/>
    <n v="5812600"/>
    <s v="Хит"/>
    <m/>
    <x v="1"/>
    <x v="1"/>
    <b v="1"/>
    <s v="АГ-005-В-21-07-368"/>
    <m/>
    <s v="ДА"/>
    <s v="White Box"/>
    <b v="1"/>
    <n v="5812600"/>
    <n v="0"/>
    <b v="1"/>
    <s v=" "/>
    <s v=""/>
  </r>
  <r>
    <n v="369"/>
    <x v="2"/>
    <x v="21"/>
    <x v="0"/>
    <x v="1"/>
    <n v="17.63"/>
    <n v="13.69"/>
    <m/>
    <n v="31.32"/>
    <n v="20.05"/>
    <n v="3.54"/>
    <n v="2.93"/>
    <m/>
    <n v="12.19"/>
    <n v="4.6500000000000004"/>
    <n v="2.68"/>
    <m/>
    <n v="7.33"/>
    <n v="77.36"/>
    <n v="70.03"/>
    <n v="73.7"/>
    <n v="86485.392000000007"/>
    <n v="4324.2696000000005"/>
    <n v="90809.661600000007"/>
    <n v="2724.2898479999999"/>
    <n v="93533.951448000007"/>
    <m/>
    <n v="93533.951448000007"/>
    <m/>
    <n v="93533.951448000007"/>
    <m/>
    <n v="93533.951448000007"/>
    <m/>
    <n v="93533.951448000007"/>
    <n v="935.33951448000005"/>
    <n v="94469.290962480009"/>
    <n v="4723.4645481240004"/>
    <n v="99192.755510604009"/>
    <m/>
    <n v="99192.755510604009"/>
    <n v="1983.8551102120803"/>
    <n v="101176.61062081609"/>
    <m/>
    <n v="101176.61062081609"/>
    <n v="2023.532212416322"/>
    <n v="103200.14283323241"/>
    <m/>
    <n v="103200.14283323241"/>
    <m/>
    <n v="103200.14283323241"/>
    <m/>
    <n v="103200.14283323241"/>
    <m/>
    <n v="103200.14283323241"/>
    <m/>
    <n v="103200.14283323241"/>
    <n v="516.00071416616208"/>
    <n v="103716.14354739858"/>
    <m/>
    <n v="103716.14354739858"/>
    <m/>
    <n v="103716.14354739858"/>
    <n v="8297.291483791887"/>
    <n v="112013.43503119046"/>
    <n v="14561.74655405476"/>
    <n v="126575.18158524521"/>
    <n v="35"/>
    <n v="126610.18158524521"/>
    <m/>
    <n v="126610.18158524521"/>
    <n v="126610.18"/>
    <n v="9331200"/>
    <m/>
    <m/>
    <n v="0"/>
    <n v="126610.58344640434"/>
    <n v="9331200"/>
    <x v="1"/>
    <m/>
    <n v="126610.58344640434"/>
    <n v="0"/>
    <n v="9331200"/>
    <s v="Антихит"/>
    <m/>
    <x v="1"/>
    <x v="1"/>
    <b v="1"/>
    <s v="АГ-005-В-22-01-369"/>
    <m/>
    <s v="ДА"/>
    <s v="Черновая"/>
    <b v="1"/>
    <n v="9331200"/>
    <n v="0"/>
    <b v="1"/>
    <s v=" "/>
    <s v=""/>
  </r>
  <r>
    <n v="370"/>
    <x v="2"/>
    <x v="21"/>
    <x v="1"/>
    <x v="2"/>
    <n v="7.18"/>
    <m/>
    <m/>
    <n v="7.18"/>
    <n v="5.17"/>
    <n v="3.72"/>
    <m/>
    <m/>
    <n v="6.97"/>
    <n v="2.97"/>
    <m/>
    <m/>
    <n v="2.97"/>
    <n v="26.01"/>
    <n v="23.04"/>
    <n v="24.53"/>
    <n v="99865.71"/>
    <n v="4993.2855000000009"/>
    <n v="104858.9955"/>
    <n v="3145.7698650000002"/>
    <n v="108004.765365"/>
    <n v="14040.619497450001"/>
    <n v="122045.38486245"/>
    <n v="1220.4538486244999"/>
    <n v="123265.8387110745"/>
    <m/>
    <n v="123265.8387110745"/>
    <m/>
    <n v="123265.8387110745"/>
    <n v="1232.658387110745"/>
    <n v="124498.49709818524"/>
    <n v="6224.9248549092626"/>
    <n v="130723.4219530945"/>
    <m/>
    <n v="130723.4219530945"/>
    <n v="3921.7026585928347"/>
    <n v="134645.12461168732"/>
    <m/>
    <n v="134645.12461168732"/>
    <m/>
    <n v="134645.12461168732"/>
    <m/>
    <n v="134645.12461168732"/>
    <n v="1346.4512461168733"/>
    <n v="135991.57585780419"/>
    <m/>
    <n v="135991.57585780419"/>
    <n v="679.95787928902098"/>
    <n v="136671.53373709321"/>
    <m/>
    <n v="136671.53373709321"/>
    <n v="2050.0730060563983"/>
    <n v="138721.6067431496"/>
    <m/>
    <n v="138721.6067431496"/>
    <m/>
    <n v="138721.6067431496"/>
    <m/>
    <n v="138721.6067431496"/>
    <m/>
    <n v="138721.6067431496"/>
    <m/>
    <n v="138721.6067431496"/>
    <m/>
    <n v="138721.6067431496"/>
    <n v="138721.60999999999"/>
    <n v="3402900"/>
    <m/>
    <n v="0.03"/>
    <n v="102087"/>
    <n v="134562.29107215654"/>
    <n v="3300813"/>
    <x v="3"/>
    <n v="8000"/>
    <n v="142562.29107215654"/>
    <n v="196240"/>
    <n v="3497053"/>
    <m/>
    <s v="Индивидуальная скидка"/>
    <x v="0"/>
    <x v="0"/>
    <b v="1"/>
    <s v="АГ-005-В-22-02-370"/>
    <m/>
    <s v="ДА"/>
    <s v="White Box"/>
    <b v="1"/>
    <n v="3497053"/>
    <n v="0"/>
    <b v="1"/>
    <d v="2024-10-29T00:00:00"/>
    <s v="Никишов"/>
  </r>
  <r>
    <n v="371"/>
    <x v="2"/>
    <x v="21"/>
    <x v="2"/>
    <x v="1"/>
    <n v="13.69"/>
    <n v="10.16"/>
    <m/>
    <n v="23.85"/>
    <n v="18.71"/>
    <n v="3.49"/>
    <n v="2.11"/>
    <m/>
    <n v="7.09"/>
    <n v="2.65"/>
    <m/>
    <m/>
    <n v="2.65"/>
    <n v="57.9"/>
    <n v="55.25"/>
    <n v="56.58"/>
    <n v="87257.583000000013"/>
    <n v="4362.8791500000007"/>
    <n v="91620.462150000007"/>
    <n v="2748.6138645000001"/>
    <n v="94369.076014500009"/>
    <m/>
    <n v="94369.076014500009"/>
    <m/>
    <n v="94369.076014500009"/>
    <m/>
    <n v="94369.076014500009"/>
    <m/>
    <n v="94369.076014500009"/>
    <n v="943.69076014500013"/>
    <n v="95312.766774645002"/>
    <n v="4765.6383387322503"/>
    <n v="100078.40511337726"/>
    <m/>
    <n v="100078.40511337726"/>
    <n v="2001.5681022675453"/>
    <n v="102079.9732156448"/>
    <m/>
    <n v="102079.9732156448"/>
    <n v="2041.5994643128961"/>
    <n v="104121.5726799577"/>
    <n v="150"/>
    <n v="104271.5726799577"/>
    <m/>
    <n v="104271.5726799577"/>
    <m/>
    <n v="104271.5726799577"/>
    <m/>
    <n v="104271.5726799577"/>
    <m/>
    <n v="104271.5726799577"/>
    <m/>
    <n v="104271.5726799577"/>
    <m/>
    <n v="104271.5726799577"/>
    <m/>
    <n v="104271.5726799577"/>
    <m/>
    <n v="104271.5726799577"/>
    <m/>
    <n v="104271.5726799577"/>
    <m/>
    <n v="104271.5726799577"/>
    <m/>
    <n v="104271.5726799577"/>
    <n v="104271.57"/>
    <n v="5899700"/>
    <n v="90000"/>
    <m/>
    <n v="90000"/>
    <n v="102681.15942028986"/>
    <n v="5809700"/>
    <x v="2"/>
    <n v="20000"/>
    <n v="122681.15942028986"/>
    <n v="1131600"/>
    <n v="6941300"/>
    <s v="Хит"/>
    <s v="Поехали в Амград"/>
    <x v="0"/>
    <x v="0"/>
    <b v="1"/>
    <s v="АГ-005-В-22-03-371"/>
    <m/>
    <s v="ДА"/>
    <s v="Чистовая"/>
    <b v="1"/>
    <n v="6941300"/>
    <n v="0"/>
    <b v="1"/>
    <d v="2024-05-17T00:00:00"/>
    <s v="Никишов"/>
  </r>
  <r>
    <n v="372"/>
    <x v="2"/>
    <x v="21"/>
    <x v="3"/>
    <x v="1"/>
    <n v="15.45"/>
    <n v="10.34"/>
    <m/>
    <n v="25.79"/>
    <n v="15.44"/>
    <n v="4.59"/>
    <n v="2.21"/>
    <m/>
    <n v="10.79"/>
    <n v="2.84"/>
    <m/>
    <m/>
    <n v="2.84"/>
    <n v="61.66"/>
    <n v="58.82"/>
    <n v="60.24"/>
    <n v="89188.060500000007"/>
    <n v="4459.4030250000005"/>
    <n v="93647.463525000014"/>
    <n v="2809.4239057500004"/>
    <n v="96456.887430750008"/>
    <m/>
    <n v="96456.887430750008"/>
    <m/>
    <n v="96456.887430750008"/>
    <m/>
    <n v="96456.887430750008"/>
    <m/>
    <n v="96456.887430750008"/>
    <n v="964.5688743075001"/>
    <n v="97421.456305057509"/>
    <n v="4871.0728152528754"/>
    <n v="102292.52912031038"/>
    <m/>
    <n v="102292.52912031038"/>
    <n v="2045.8505824062076"/>
    <n v="104338.37970271659"/>
    <m/>
    <n v="104338.37970271659"/>
    <n v="2086.7675940543318"/>
    <n v="106425.14729677091"/>
    <m/>
    <n v="106425.14729677091"/>
    <m/>
    <n v="106425.14729677091"/>
    <m/>
    <n v="106425.14729677091"/>
    <m/>
    <n v="106425.14729677091"/>
    <m/>
    <n v="106425.14729677091"/>
    <n v="532.12573648385455"/>
    <n v="106957.27303325477"/>
    <m/>
    <n v="106957.27303325477"/>
    <n v="4278.2909213301909"/>
    <n v="111235.56395458496"/>
    <n v="6674.133837275097"/>
    <n v="117909.69779186005"/>
    <n v="15328.260712941807"/>
    <n v="133237.95850480185"/>
    <n v="35"/>
    <n v="133272.95850480185"/>
    <m/>
    <n v="133272.95850480185"/>
    <n v="133272.95999999999"/>
    <n v="8028400"/>
    <m/>
    <m/>
    <n v="0"/>
    <n v="133273.57237715804"/>
    <n v="8028400"/>
    <x v="3"/>
    <n v="10000"/>
    <n v="143273.57237715804"/>
    <n v="602400"/>
    <n v="8630800"/>
    <m/>
    <m/>
    <x v="4"/>
    <x v="4"/>
    <b v="1"/>
    <s v="АГ-005-В-22-04-372"/>
    <m/>
    <s v="ДА"/>
    <s v="White Box"/>
    <b v="1"/>
    <n v="8630800"/>
    <n v="0"/>
    <b v="1"/>
    <s v=" "/>
    <s v=""/>
  </r>
  <r>
    <n v="373"/>
    <x v="2"/>
    <x v="21"/>
    <x v="4"/>
    <x v="0"/>
    <n v="12.54"/>
    <m/>
    <m/>
    <n v="12.54"/>
    <n v="12.74"/>
    <n v="4.0199999999999996"/>
    <m/>
    <m/>
    <n v="7.09"/>
    <n v="2.84"/>
    <m/>
    <m/>
    <n v="2.84"/>
    <n v="39.229999999999997"/>
    <n v="36.39"/>
    <n v="37.81"/>
    <n v="96523.875"/>
    <n v="4826.1937500000004"/>
    <n v="101350.06875000001"/>
    <n v="3040.5020625000002"/>
    <n v="104390.57081250001"/>
    <n v="4697.5756865624999"/>
    <n v="109088.14649906251"/>
    <m/>
    <n v="109088.14649906251"/>
    <n v="5454.4073249531257"/>
    <n v="114542.55382401563"/>
    <n v="-620"/>
    <n v="113922.55382401563"/>
    <n v="1139.2255382401563"/>
    <n v="115061.77936225579"/>
    <n v="5753.0889681127901"/>
    <n v="120814.86833036858"/>
    <m/>
    <n v="120814.86833036858"/>
    <n v="3624.4460499110573"/>
    <n v="124439.31438027964"/>
    <m/>
    <n v="124439.31438027964"/>
    <m/>
    <n v="124439.31438027964"/>
    <m/>
    <n v="124439.31438027964"/>
    <n v="1244.3931438027964"/>
    <n v="125683.70752408243"/>
    <m/>
    <n v="125683.70752408243"/>
    <m/>
    <n v="125683.70752408243"/>
    <m/>
    <n v="125683.70752408243"/>
    <n v="628.41853762041217"/>
    <n v="126312.12606170285"/>
    <m/>
    <n v="126312.12606170285"/>
    <m/>
    <n v="126312.12606170285"/>
    <n v="6315.6063030851428"/>
    <n v="132627.73236478798"/>
    <n v="17241.605207422439"/>
    <n v="149869.33757221041"/>
    <n v="35"/>
    <n v="149904.33757221041"/>
    <m/>
    <n v="149904.33757221041"/>
    <n v="149904.34"/>
    <n v="5667900"/>
    <m/>
    <m/>
    <n v="0"/>
    <n v="149904.78709336155"/>
    <n v="5667900"/>
    <x v="3"/>
    <n v="10000"/>
    <n v="159904.78709336155"/>
    <n v="378100.00000000093"/>
    <n v="6046000.0000000009"/>
    <m/>
    <m/>
    <x v="1"/>
    <x v="1"/>
    <b v="1"/>
    <s v="АГ-005-В-22-05-373"/>
    <m/>
    <s v="ДА"/>
    <s v="White Box"/>
    <b v="1"/>
    <n v="6046000"/>
    <n v="-9.3132257461547852E-10"/>
    <b v="1"/>
    <s v=" "/>
    <s v=""/>
  </r>
  <r>
    <n v="374"/>
    <x v="2"/>
    <x v="21"/>
    <x v="5"/>
    <x v="3"/>
    <n v="17.2"/>
    <n v="14.64"/>
    <n v="14.34"/>
    <n v="46.18"/>
    <n v="13.15"/>
    <n v="4.03"/>
    <n v="1.76"/>
    <m/>
    <n v="13.11"/>
    <n v="2.79"/>
    <n v="2.68"/>
    <m/>
    <n v="5.4700000000000006"/>
    <n v="83.7"/>
    <n v="78.23"/>
    <n v="80.97"/>
    <n v="79944.48000000001"/>
    <n v="3997.2240000000006"/>
    <n v="83941.704000000012"/>
    <n v="2518.2511200000004"/>
    <n v="86459.955120000013"/>
    <m/>
    <n v="86459.955120000013"/>
    <m/>
    <n v="86459.955120000013"/>
    <m/>
    <n v="86459.955120000013"/>
    <m/>
    <n v="86459.955120000013"/>
    <n v="864.59955120000018"/>
    <n v="87324.554671200007"/>
    <n v="4366.2277335600002"/>
    <n v="91690.782404760001"/>
    <m/>
    <n v="91690.782404760001"/>
    <n v="1833.8156480952"/>
    <n v="93524.598052855203"/>
    <m/>
    <n v="93524.598052855203"/>
    <n v="1870.4919610571042"/>
    <n v="95395.090013912311"/>
    <m/>
    <n v="95395.090013912311"/>
    <n v="953.95090013912318"/>
    <n v="96349.040914051438"/>
    <m/>
    <n v="96349.040914051438"/>
    <n v="481.74520457025721"/>
    <n v="96830.786118621691"/>
    <n v="1936.6157223724338"/>
    <n v="98767.40184099412"/>
    <n v="1481.5110276149117"/>
    <n v="100248.91286860903"/>
    <m/>
    <n v="100248.91286860903"/>
    <n v="4009.9565147443614"/>
    <n v="104258.86938335339"/>
    <n v="5212.9434691676697"/>
    <n v="109471.81285252106"/>
    <n v="14231.335670827739"/>
    <n v="123703.14852334881"/>
    <n v="35"/>
    <n v="123738.14852334881"/>
    <m/>
    <n v="123738.14852334881"/>
    <n v="123738.15"/>
    <n v="10019100"/>
    <n v="4019100"/>
    <m/>
    <n v="4019100"/>
    <n v="74101.519081141159"/>
    <n v="6000000"/>
    <x v="1"/>
    <m/>
    <n v="74101.519081141159"/>
    <n v="0"/>
    <n v="6000000"/>
    <m/>
    <s v="Охранник ОИ - спецскидка  4 019 100 (40%)"/>
    <x v="0"/>
    <x v="0"/>
    <b v="1"/>
    <s v="АГ-005-В-22-06-374"/>
    <m/>
    <s v="ДА"/>
    <s v="Черновая"/>
    <b v="1"/>
    <n v="6000000"/>
    <n v="0"/>
    <b v="1"/>
    <d v="2025-03-31T00:00:00"/>
    <s v="Полехович"/>
  </r>
  <r>
    <n v="375"/>
    <x v="2"/>
    <x v="21"/>
    <x v="6"/>
    <x v="0"/>
    <n v="14.3"/>
    <m/>
    <m/>
    <n v="14.3"/>
    <n v="9.2799999999999994"/>
    <n v="3.79"/>
    <m/>
    <m/>
    <n v="6.08"/>
    <n v="2.71"/>
    <m/>
    <m/>
    <n v="2.71"/>
    <n v="36.159999999999997"/>
    <n v="33.450000000000003"/>
    <n v="34.81"/>
    <n v="92062.6875"/>
    <n v="4603.1343750000005"/>
    <n v="96665.821874999994"/>
    <n v="2899.9746562499995"/>
    <n v="99565.796531249987"/>
    <n v="13939.211514375"/>
    <n v="113505.00804562499"/>
    <m/>
    <n v="113505.00804562499"/>
    <n v="5675.25040228125"/>
    <n v="119180.25844790624"/>
    <m/>
    <n v="119180.25844790624"/>
    <m/>
    <n v="119180.25844790624"/>
    <m/>
    <n v="119180.25844790624"/>
    <m/>
    <n v="119180.25844790624"/>
    <m/>
    <n v="119180.25844790624"/>
    <m/>
    <n v="119180.25844790624"/>
    <m/>
    <n v="119180.25844790624"/>
    <m/>
    <n v="119180.25844790624"/>
    <m/>
    <n v="119180.25844790624"/>
    <m/>
    <n v="119180.25844790624"/>
    <m/>
    <n v="119180.25844790624"/>
    <m/>
    <n v="119180.25844790624"/>
    <m/>
    <n v="119180.25844790624"/>
    <m/>
    <n v="119180.25844790624"/>
    <m/>
    <n v="119180.25844790624"/>
    <m/>
    <n v="119180.25844790624"/>
    <m/>
    <n v="119180.25844790624"/>
    <m/>
    <n v="119180.25844790624"/>
    <m/>
    <n v="119180.25844790624"/>
    <n v="119180.26"/>
    <n v="4148700"/>
    <m/>
    <n v="0.05"/>
    <n v="207435"/>
    <n v="113222.20626256822"/>
    <n v="3941265"/>
    <x v="2"/>
    <n v="22000"/>
    <n v="135222.20626256822"/>
    <n v="765820"/>
    <n v="4707085"/>
    <s v="Хит"/>
    <s v="Ветеран боевых действий"/>
    <x v="0"/>
    <x v="0"/>
    <b v="1"/>
    <s v="АГ-005-В-22-07-375"/>
    <m/>
    <s v="ДА"/>
    <s v="Чистовая"/>
    <b v="1"/>
    <n v="4707085"/>
    <n v="0"/>
    <b v="1"/>
    <d v="2023-12-27T00:00:00"/>
    <s v="Полехович"/>
  </r>
  <r>
    <n v="376"/>
    <x v="2"/>
    <x v="22"/>
    <x v="0"/>
    <x v="1"/>
    <n v="17.63"/>
    <n v="13.69"/>
    <m/>
    <n v="31.32"/>
    <n v="20.05"/>
    <n v="3.54"/>
    <n v="2.93"/>
    <m/>
    <n v="12.19"/>
    <n v="4.6500000000000004"/>
    <n v="2.68"/>
    <m/>
    <n v="7.33"/>
    <n v="77.36"/>
    <n v="70.03"/>
    <n v="73.7"/>
    <n v="84941.010000000009"/>
    <n v="4247.0505000000003"/>
    <n v="89188.060500000007"/>
    <n v="2675.641815"/>
    <n v="91863.702315000002"/>
    <m/>
    <n v="91863.702315000002"/>
    <m/>
    <n v="91863.702315000002"/>
    <m/>
    <n v="91863.702315000002"/>
    <m/>
    <n v="91863.702315000002"/>
    <n v="918.63702315"/>
    <n v="92782.339338150006"/>
    <n v="4639.1169669075007"/>
    <n v="97421.456305057509"/>
    <m/>
    <n v="97421.456305057509"/>
    <n v="1948.4291261011501"/>
    <n v="99369.885431158662"/>
    <m/>
    <n v="99369.885431158662"/>
    <n v="1987.3977086231732"/>
    <n v="101357.28313978184"/>
    <m/>
    <n v="101357.28313978184"/>
    <m/>
    <n v="101357.28313978184"/>
    <m/>
    <n v="101357.28313978184"/>
    <m/>
    <n v="101357.28313978184"/>
    <m/>
    <n v="101357.28313978184"/>
    <n v="506.7864156989092"/>
    <n v="101864.06955548075"/>
    <m/>
    <n v="101864.06955548075"/>
    <m/>
    <n v="101864.06955548075"/>
    <m/>
    <n v="101864.06955548075"/>
    <m/>
    <n v="101864.06955548075"/>
    <m/>
    <n v="101864.06955548075"/>
    <m/>
    <n v="101864.06955548075"/>
    <n v="101864.07"/>
    <n v="7507400"/>
    <m/>
    <n v="0.03"/>
    <n v="225222"/>
    <n v="98808.385345997289"/>
    <n v="7282178"/>
    <x v="1"/>
    <m/>
    <n v="98808.385345997289"/>
    <n v="0"/>
    <n v="7282178.0000000009"/>
    <s v="Антихит"/>
    <s v="Многодетная семья"/>
    <x v="0"/>
    <x v="0"/>
    <b v="1"/>
    <s v="АГ-005-В-23-01-376"/>
    <m/>
    <s v="ДА"/>
    <s v="Черновая"/>
    <b v="1"/>
    <n v="7282178"/>
    <n v="-9.3132257461547852E-10"/>
    <b v="1"/>
    <d v="2024-10-30T00:00:00"/>
    <s v="Дик"/>
  </r>
  <r>
    <n v="377"/>
    <x v="2"/>
    <x v="22"/>
    <x v="1"/>
    <x v="2"/>
    <n v="7.18"/>
    <m/>
    <m/>
    <n v="7.18"/>
    <n v="5.17"/>
    <n v="3.72"/>
    <m/>
    <m/>
    <n v="6.97"/>
    <n v="2.97"/>
    <m/>
    <m/>
    <n v="2.97"/>
    <n v="26.01"/>
    <n v="23.04"/>
    <n v="24.53"/>
    <n v="98989.695000000007"/>
    <n v="4949.4847500000005"/>
    <n v="103939.17975000001"/>
    <n v="3118.1753925000003"/>
    <n v="107057.3551425"/>
    <n v="13917.456168525001"/>
    <n v="120974.811311025"/>
    <n v="1209.74811311025"/>
    <n v="122184.55942413525"/>
    <m/>
    <n v="122184.55942413525"/>
    <m/>
    <n v="122184.55942413525"/>
    <n v="1221.8455942413525"/>
    <n v="123406.40501837661"/>
    <n v="6170.3202509188304"/>
    <n v="129576.72526929544"/>
    <m/>
    <n v="129576.72526929544"/>
    <n v="3887.3017580788628"/>
    <n v="133464.02702737431"/>
    <m/>
    <n v="133464.02702737431"/>
    <m/>
    <n v="133464.02702737431"/>
    <m/>
    <n v="133464.02702737431"/>
    <n v="1334.640270273743"/>
    <n v="134798.66729764806"/>
    <m/>
    <n v="134798.66729764806"/>
    <n v="673.99333648824029"/>
    <n v="135472.66063413629"/>
    <m/>
    <n v="135472.66063413629"/>
    <n v="2032.0899095120444"/>
    <n v="137504.75054364835"/>
    <m/>
    <n v="137504.75054364835"/>
    <m/>
    <n v="137504.75054364835"/>
    <m/>
    <n v="137504.75054364835"/>
    <m/>
    <n v="137504.75054364835"/>
    <m/>
    <n v="137504.75054364835"/>
    <m/>
    <n v="137504.75054364835"/>
    <n v="137504.75"/>
    <n v="3373000"/>
    <m/>
    <m/>
    <n v="0"/>
    <n v="137505.09580105991"/>
    <n v="3373000"/>
    <x v="2"/>
    <n v="20000"/>
    <n v="157505.09580105991"/>
    <n v="490600"/>
    <n v="3863600"/>
    <m/>
    <m/>
    <x v="0"/>
    <x v="0"/>
    <b v="1"/>
    <s v="АГ-005-В-23-02-377"/>
    <m/>
    <s v="ДА"/>
    <s v="Чистовая"/>
    <b v="1"/>
    <n v="3863600"/>
    <n v="0"/>
    <b v="1"/>
    <d v="2024-09-09T00:00:00"/>
    <s v="Дик"/>
  </r>
  <r>
    <n v="378"/>
    <x v="2"/>
    <x v="22"/>
    <x v="2"/>
    <x v="1"/>
    <n v="13.69"/>
    <n v="10.16"/>
    <m/>
    <n v="23.85"/>
    <n v="18.71"/>
    <n v="3.49"/>
    <n v="2.11"/>
    <m/>
    <n v="7.09"/>
    <n v="2.65"/>
    <m/>
    <m/>
    <n v="2.65"/>
    <n v="57.9"/>
    <n v="55.25"/>
    <n v="56.58"/>
    <n v="86485.392000000007"/>
    <n v="4324.2696000000005"/>
    <n v="90809.661600000007"/>
    <n v="2724.2898479999999"/>
    <n v="93533.951448000007"/>
    <m/>
    <n v="93533.951448000007"/>
    <m/>
    <n v="93533.951448000007"/>
    <m/>
    <n v="93533.951448000007"/>
    <m/>
    <n v="93533.951448000007"/>
    <n v="935.33951448000005"/>
    <n v="94469.290962480009"/>
    <n v="4723.4645481240004"/>
    <n v="99192.755510604009"/>
    <m/>
    <n v="99192.755510604009"/>
    <n v="1983.8551102120803"/>
    <n v="101176.61062081609"/>
    <m/>
    <n v="101176.61062081609"/>
    <n v="2023.532212416322"/>
    <n v="103200.14283323241"/>
    <n v="150"/>
    <n v="103350.14283323241"/>
    <n v="1033.5014283323242"/>
    <n v="104383.64426156474"/>
    <m/>
    <n v="104383.64426156474"/>
    <m/>
    <n v="104383.64426156474"/>
    <m/>
    <n v="104383.64426156474"/>
    <n v="2609.5911065391188"/>
    <n v="106993.23536810385"/>
    <n v="500"/>
    <n v="107493.23536810385"/>
    <n v="4299.7294147241537"/>
    <n v="111792.964782828"/>
    <n v="6707.5778869696796"/>
    <n v="118500.54266979768"/>
    <n v="15405.070547073699"/>
    <n v="133905.61321687137"/>
    <n v="35"/>
    <n v="133940.61321687137"/>
    <n v="1339.4061321687136"/>
    <n v="135280.01934904009"/>
    <n v="135280.01999999999"/>
    <n v="7654200"/>
    <m/>
    <m/>
    <n v="0"/>
    <n v="135281.01802757158"/>
    <n v="7654200"/>
    <x v="1"/>
    <m/>
    <n v="135281.01802757158"/>
    <n v="0"/>
    <n v="7654200"/>
    <s v="Хит"/>
    <m/>
    <x v="1"/>
    <x v="1"/>
    <b v="1"/>
    <s v="АГ-005-В-23-03-378"/>
    <m/>
    <s v="ДА"/>
    <s v="Черновая"/>
    <b v="1"/>
    <n v="7654200"/>
    <n v="0"/>
    <b v="1"/>
    <s v=" "/>
    <s v=""/>
  </r>
  <r>
    <n v="379"/>
    <x v="2"/>
    <x v="22"/>
    <x v="3"/>
    <x v="1"/>
    <n v="15.45"/>
    <n v="10.34"/>
    <m/>
    <n v="25.79"/>
    <n v="15.44"/>
    <n v="4.59"/>
    <n v="2.21"/>
    <m/>
    <n v="10.79"/>
    <n v="2.84"/>
    <m/>
    <m/>
    <n v="2.84"/>
    <n v="61.66"/>
    <n v="58.82"/>
    <n v="60.24"/>
    <n v="88415.869500000001"/>
    <n v="4420.7934750000004"/>
    <n v="92836.662974999999"/>
    <n v="2785.0998892499997"/>
    <n v="95621.762864250006"/>
    <m/>
    <n v="95621.762864250006"/>
    <m/>
    <n v="95621.762864250006"/>
    <m/>
    <n v="95621.762864250006"/>
    <m/>
    <n v="95621.762864250006"/>
    <n v="956.21762864250013"/>
    <n v="96577.9804928925"/>
    <n v="4828.8990246446256"/>
    <n v="101406.87951753712"/>
    <m/>
    <n v="101406.87951753712"/>
    <n v="2028.1375903507424"/>
    <n v="103435.01710788786"/>
    <m/>
    <n v="103435.01710788786"/>
    <n v="2068.7003421577574"/>
    <n v="105503.71745004562"/>
    <m/>
    <n v="105503.71745004562"/>
    <m/>
    <n v="105503.71745004562"/>
    <m/>
    <n v="105503.71745004562"/>
    <m/>
    <n v="105503.71745004562"/>
    <m/>
    <n v="105503.71745004562"/>
    <n v="527.51858725022805"/>
    <n v="106031.23603729585"/>
    <m/>
    <n v="106031.23603729585"/>
    <n v="4241.2494414918337"/>
    <n v="110272.48547878768"/>
    <n v="6616.3491287272609"/>
    <n v="116888.83460751495"/>
    <n v="15195.548498976943"/>
    <n v="132084.38310649188"/>
    <n v="35"/>
    <n v="132119.38310649188"/>
    <m/>
    <n v="132119.38310649188"/>
    <n v="132119.38"/>
    <n v="7958900"/>
    <m/>
    <m/>
    <n v="0"/>
    <n v="132119.85391766267"/>
    <n v="7958900"/>
    <x v="3"/>
    <n v="10000"/>
    <n v="142119.85391766267"/>
    <n v="602400"/>
    <n v="8561300"/>
    <m/>
    <m/>
    <x v="1"/>
    <x v="1"/>
    <b v="1"/>
    <s v="АГ-005-В-23-04-379"/>
    <m/>
    <s v="ДА"/>
    <s v="White Box"/>
    <b v="1"/>
    <n v="8561300"/>
    <n v="0"/>
    <b v="1"/>
    <s v=" "/>
    <s v=""/>
  </r>
  <r>
    <n v="380"/>
    <x v="2"/>
    <x v="22"/>
    <x v="4"/>
    <x v="0"/>
    <n v="12.54"/>
    <m/>
    <m/>
    <n v="12.54"/>
    <n v="12.74"/>
    <n v="4.0199999999999996"/>
    <m/>
    <m/>
    <n v="7.09"/>
    <n v="2.84"/>
    <m/>
    <m/>
    <n v="2.84"/>
    <n v="39.229999999999997"/>
    <n v="36.39"/>
    <n v="37.81"/>
    <n v="95712.75"/>
    <n v="4785.6374999999998"/>
    <n v="100498.3875"/>
    <n v="3014.9516249999997"/>
    <n v="103513.339125"/>
    <n v="4658.1002606249995"/>
    <n v="108171.439385625"/>
    <m/>
    <n v="108171.439385625"/>
    <n v="5408.5719692812499"/>
    <n v="113580.01135490625"/>
    <n v="-620"/>
    <n v="112960.01135490625"/>
    <n v="1129.6001135490626"/>
    <n v="114089.61146845532"/>
    <n v="5704.4805734227666"/>
    <n v="119794.09204187809"/>
    <m/>
    <n v="119794.09204187809"/>
    <n v="3593.8227612563423"/>
    <n v="123387.91480313442"/>
    <m/>
    <n v="123387.91480313442"/>
    <m/>
    <n v="123387.91480313442"/>
    <m/>
    <n v="123387.91480313442"/>
    <n v="1233.8791480313444"/>
    <n v="124621.79395116576"/>
    <m/>
    <n v="124621.79395116576"/>
    <m/>
    <n v="124621.79395116576"/>
    <m/>
    <n v="124621.79395116576"/>
    <n v="623.10896975582887"/>
    <n v="125244.9029209216"/>
    <m/>
    <n v="125244.9029209216"/>
    <m/>
    <n v="125244.9029209216"/>
    <n v="6262.2451460460798"/>
    <n v="131507.14806696767"/>
    <n v="17095.929248705797"/>
    <n v="148603.07731567346"/>
    <n v="35"/>
    <n v="148638.07731567346"/>
    <m/>
    <n v="148638.07731567346"/>
    <n v="148638.07999999999"/>
    <n v="5620100"/>
    <m/>
    <m/>
    <n v="0"/>
    <n v="148640.57127743983"/>
    <n v="5620100"/>
    <x v="1"/>
    <m/>
    <n v="148640.57127743983"/>
    <n v="0"/>
    <n v="5620100"/>
    <m/>
    <m/>
    <x v="1"/>
    <x v="1"/>
    <b v="1"/>
    <s v="АГ-005-В-23-05-380"/>
    <m/>
    <s v="ДА"/>
    <s v="Черновая"/>
    <b v="1"/>
    <n v="5620100"/>
    <n v="0"/>
    <b v="1"/>
    <s v=" "/>
    <s v=""/>
  </r>
  <r>
    <n v="381"/>
    <x v="2"/>
    <x v="22"/>
    <x v="5"/>
    <x v="3"/>
    <n v="17.2"/>
    <n v="14.64"/>
    <n v="14.34"/>
    <n v="46.18"/>
    <n v="13.15"/>
    <n v="4.03"/>
    <n v="1.76"/>
    <m/>
    <n v="13.11"/>
    <n v="2.79"/>
    <n v="2.68"/>
    <m/>
    <n v="5.4700000000000006"/>
    <n v="83.7"/>
    <n v="78.23"/>
    <n v="80.97"/>
    <n v="79230.690000000017"/>
    <n v="3961.5345000000011"/>
    <n v="83192.224500000011"/>
    <n v="2495.7667350000002"/>
    <n v="85687.991235000009"/>
    <m/>
    <n v="85687.991235000009"/>
    <m/>
    <n v="85687.991235000009"/>
    <m/>
    <n v="85687.991235000009"/>
    <m/>
    <n v="85687.991235000009"/>
    <n v="856.87991235000015"/>
    <n v="86544.871147350015"/>
    <n v="4327.2435573675011"/>
    <n v="90872.114704717518"/>
    <m/>
    <n v="90872.114704717518"/>
    <n v="1817.4422940943505"/>
    <n v="92689.556998811866"/>
    <m/>
    <n v="92689.556998811866"/>
    <n v="1853.7911399762374"/>
    <n v="94543.348138788104"/>
    <m/>
    <n v="94543.348138788104"/>
    <n v="945.4334813878811"/>
    <n v="95488.781620175985"/>
    <m/>
    <n v="95488.781620175985"/>
    <n v="477.44390810087992"/>
    <n v="95966.22552827686"/>
    <n v="1919.3245105655371"/>
    <n v="97885.550038842397"/>
    <n v="1468.2832505826359"/>
    <n v="99353.833289425034"/>
    <m/>
    <n v="99353.833289425034"/>
    <n v="3974.1533315770016"/>
    <n v="103327.98662100204"/>
    <n v="5166.3993310501028"/>
    <n v="108494.38595205214"/>
    <n v="14104.270173766778"/>
    <n v="122598.65612581892"/>
    <n v="35"/>
    <n v="122633.65612581892"/>
    <m/>
    <n v="122633.65612581892"/>
    <n v="122633.66"/>
    <n v="9929700"/>
    <m/>
    <m/>
    <n v="0"/>
    <n v="122634.30900333457"/>
    <n v="9929700"/>
    <x v="1"/>
    <m/>
    <n v="122634.30900333457"/>
    <n v="0"/>
    <n v="9929700"/>
    <m/>
    <m/>
    <x v="1"/>
    <x v="1"/>
    <b v="1"/>
    <s v="АГ-005-В-23-06-381"/>
    <m/>
    <s v="ДА"/>
    <s v="Черновая"/>
    <b v="1"/>
    <n v="9929700"/>
    <n v="0"/>
    <b v="1"/>
    <s v=" "/>
    <s v=""/>
  </r>
  <r>
    <n v="382"/>
    <x v="2"/>
    <x v="22"/>
    <x v="6"/>
    <x v="0"/>
    <n v="14.3"/>
    <m/>
    <m/>
    <n v="14.3"/>
    <n v="9.2799999999999994"/>
    <n v="3.79"/>
    <m/>
    <m/>
    <n v="6.08"/>
    <n v="2.71"/>
    <m/>
    <m/>
    <n v="2.71"/>
    <n v="36.159999999999997"/>
    <n v="33.450000000000003"/>
    <n v="34.81"/>
    <n v="91251.5625"/>
    <n v="4562.578125"/>
    <n v="95814.140625"/>
    <m/>
    <n v="95814.140625"/>
    <m/>
    <n v="95814.140625"/>
    <m/>
    <n v="95814.140625"/>
    <m/>
    <n v="95814.140625"/>
    <m/>
    <n v="95814.140625"/>
    <m/>
    <n v="95814.140625"/>
    <m/>
    <n v="95814.140625"/>
    <m/>
    <n v="95814.140625"/>
    <m/>
    <n v="95814.140625"/>
    <m/>
    <n v="95814.140625"/>
    <m/>
    <n v="95814.140625"/>
    <m/>
    <n v="95814.140625"/>
    <m/>
    <n v="95814.140625"/>
    <m/>
    <n v="95814.140625"/>
    <m/>
    <n v="95814.140625"/>
    <m/>
    <n v="95814.140625"/>
    <m/>
    <n v="95814.140625"/>
    <m/>
    <n v="95814.140625"/>
    <m/>
    <n v="95814.140625"/>
    <m/>
    <n v="95814.140625"/>
    <m/>
    <n v="95814.140625"/>
    <m/>
    <n v="95814.140625"/>
    <m/>
    <n v="95814.140625"/>
    <n v="95814.14"/>
    <n v="3335290.21"/>
    <m/>
    <m/>
    <n v="0"/>
    <n v="95814.139902326904"/>
    <n v="3335290.21"/>
    <x v="0"/>
    <n v="5000"/>
    <n v="100814.1399023269"/>
    <n v="174050"/>
    <n v="3509340.21"/>
    <s v="Хит"/>
    <m/>
    <x v="0"/>
    <x v="0"/>
    <b v="1"/>
    <s v="АГ-005-В-23-07-382"/>
    <m/>
    <s v="НЕТ"/>
    <s v="Предчистовая"/>
    <b v="1"/>
    <n v="3509340.21"/>
    <n v="0"/>
    <b v="1"/>
    <d v="2023-10-18T00:00:00"/>
    <s v="Никишов"/>
  </r>
  <r>
    <n v="383"/>
    <x v="2"/>
    <x v="23"/>
    <x v="0"/>
    <x v="1"/>
    <n v="17.63"/>
    <n v="13.69"/>
    <m/>
    <n v="31.32"/>
    <n v="20.05"/>
    <n v="3.54"/>
    <n v="2.93"/>
    <m/>
    <n v="12.19"/>
    <n v="4.6500000000000004"/>
    <n v="2.68"/>
    <m/>
    <n v="7.33"/>
    <n v="77.36"/>
    <n v="70.03"/>
    <n v="73.7"/>
    <n v="86485.392000000007"/>
    <n v="4324.2696000000005"/>
    <n v="90809.661600000007"/>
    <n v="2724.2898479999999"/>
    <n v="93533.951448000007"/>
    <m/>
    <n v="93533.951448000007"/>
    <m/>
    <n v="93533.951448000007"/>
    <m/>
    <n v="93533.951448000007"/>
    <m/>
    <n v="93533.951448000007"/>
    <n v="935.33951448000005"/>
    <n v="94469.290962480009"/>
    <n v="4723.4645481240004"/>
    <n v="99192.755510604009"/>
    <m/>
    <n v="99192.755510604009"/>
    <n v="1983.8551102120803"/>
    <n v="101176.61062081609"/>
    <m/>
    <n v="101176.61062081609"/>
    <n v="2023.532212416322"/>
    <n v="103200.14283323241"/>
    <m/>
    <n v="103200.14283323241"/>
    <m/>
    <n v="103200.14283323241"/>
    <m/>
    <n v="103200.14283323241"/>
    <m/>
    <n v="103200.14283323241"/>
    <m/>
    <n v="103200.14283323241"/>
    <n v="516.00071416616208"/>
    <n v="103716.14354739858"/>
    <m/>
    <n v="103716.14354739858"/>
    <m/>
    <n v="103716.14354739858"/>
    <n v="8297.291483791887"/>
    <n v="112013.43503119046"/>
    <n v="14561.74655405476"/>
    <n v="126575.18158524521"/>
    <n v="35"/>
    <n v="126610.18158524521"/>
    <m/>
    <n v="126610.18158524521"/>
    <n v="126610.18"/>
    <n v="9331200"/>
    <m/>
    <m/>
    <n v="0"/>
    <n v="126610.58344640434"/>
    <n v="9331200"/>
    <x v="3"/>
    <n v="10000"/>
    <n v="136610.58344640434"/>
    <n v="737000"/>
    <n v="10068200"/>
    <s v="Антихит"/>
    <s v="февраль"/>
    <x v="1"/>
    <x v="1"/>
    <b v="1"/>
    <s v="АГ-005-В-24-01-383"/>
    <m/>
    <s v="ДА"/>
    <s v="White Box"/>
    <b v="1"/>
    <n v="10068200"/>
    <n v="0"/>
    <b v="1"/>
    <s v=" "/>
    <s v=""/>
  </r>
  <r>
    <n v="384"/>
    <x v="2"/>
    <x v="23"/>
    <x v="1"/>
    <x v="2"/>
    <n v="7.18"/>
    <m/>
    <m/>
    <n v="7.18"/>
    <n v="5.17"/>
    <n v="3.72"/>
    <m/>
    <m/>
    <n v="6.97"/>
    <n v="2.97"/>
    <m/>
    <m/>
    <n v="2.97"/>
    <n v="26.01"/>
    <n v="23.04"/>
    <n v="24.53"/>
    <n v="99865.71"/>
    <m/>
    <n v="99865.71"/>
    <m/>
    <n v="99865.71"/>
    <m/>
    <n v="99865.71"/>
    <m/>
    <n v="99865.71"/>
    <m/>
    <n v="99865.71"/>
    <m/>
    <n v="99865.71"/>
    <m/>
    <n v="99865.71"/>
    <m/>
    <n v="99865.71"/>
    <m/>
    <n v="99865.71"/>
    <m/>
    <n v="99865.71"/>
    <m/>
    <n v="99865.71"/>
    <m/>
    <n v="99865.71"/>
    <m/>
    <n v="99865.71"/>
    <m/>
    <n v="99865.71"/>
    <m/>
    <n v="99865.71"/>
    <m/>
    <n v="99865.71"/>
    <m/>
    <n v="99865.71"/>
    <m/>
    <n v="99865.71"/>
    <m/>
    <n v="99865.71"/>
    <m/>
    <n v="99865.71"/>
    <m/>
    <n v="99865.71"/>
    <m/>
    <n v="99865.71"/>
    <m/>
    <n v="99865.71"/>
    <m/>
    <n v="99865.71"/>
    <n v="99865.71"/>
    <n v="2449705.87"/>
    <m/>
    <m/>
    <n v="0"/>
    <n v="99865.710150835715"/>
    <n v="2449705.87"/>
    <x v="2"/>
    <n v="15500"/>
    <n v="115365.71015083572"/>
    <n v="380215"/>
    <n v="2829920.87"/>
    <m/>
    <m/>
    <x v="0"/>
    <x v="0"/>
    <b v="1"/>
    <s v="АГ-005-В-24-02-384"/>
    <m/>
    <s v="НЕТ"/>
    <s v="Чистовая"/>
    <b v="1"/>
    <n v="2829920.87"/>
    <n v="0"/>
    <b v="1"/>
    <d v="2023-09-26T00:00:00"/>
    <s v="Кофанова"/>
  </r>
  <r>
    <n v="385"/>
    <x v="2"/>
    <x v="23"/>
    <x v="2"/>
    <x v="1"/>
    <n v="13.69"/>
    <n v="10.16"/>
    <m/>
    <n v="23.85"/>
    <n v="18.71"/>
    <n v="3.49"/>
    <n v="2.11"/>
    <m/>
    <n v="7.09"/>
    <n v="2.65"/>
    <m/>
    <m/>
    <n v="2.65"/>
    <n v="57.9"/>
    <n v="55.25"/>
    <n v="56.58"/>
    <n v="87257.583000000013"/>
    <n v="4362.8791500000007"/>
    <n v="91620.462150000007"/>
    <n v="2748.6138645000001"/>
    <n v="94369.076014500009"/>
    <m/>
    <n v="94369.076014500009"/>
    <m/>
    <n v="94369.076014500009"/>
    <m/>
    <n v="94369.076014500009"/>
    <m/>
    <n v="94369.076014500009"/>
    <m/>
    <n v="94369.076014500009"/>
    <m/>
    <n v="94369.076014500009"/>
    <m/>
    <n v="94369.076014500009"/>
    <m/>
    <n v="94369.076014500009"/>
    <m/>
    <n v="94369.076014500009"/>
    <m/>
    <n v="94369.076014500009"/>
    <m/>
    <n v="94369.076014500009"/>
    <m/>
    <n v="94369.076014500009"/>
    <m/>
    <n v="94369.076014500009"/>
    <m/>
    <n v="94369.076014500009"/>
    <m/>
    <n v="94369.076014500009"/>
    <m/>
    <n v="94369.076014500009"/>
    <m/>
    <n v="94369.076014500009"/>
    <m/>
    <n v="94369.076014500009"/>
    <m/>
    <n v="94369.076014500009"/>
    <m/>
    <n v="94369.076014500009"/>
    <m/>
    <n v="94369.076014500009"/>
    <m/>
    <n v="94369.076014500009"/>
    <n v="94369.08"/>
    <n v="5339402.55"/>
    <m/>
    <n v="0.06"/>
    <n v="320364.15299999999"/>
    <n v="88706.935312831396"/>
    <n v="5019038.4000000004"/>
    <x v="0"/>
    <n v="7500"/>
    <n v="96206.935312831396"/>
    <n v="424350"/>
    <n v="5443388.4000000004"/>
    <s v="Хит"/>
    <s v="Ветеран боевых действий"/>
    <x v="0"/>
    <x v="0"/>
    <b v="1"/>
    <s v="АГ-005-В-24-03-385"/>
    <m/>
    <s v="НЕТ"/>
    <s v="Предчистовая"/>
    <b v="1"/>
    <n v="5443388.4000000004"/>
    <n v="0"/>
    <b v="1"/>
    <d v="2023-10-13T00:00:00"/>
    <s v="Дик"/>
  </r>
  <r>
    <n v="386"/>
    <x v="2"/>
    <x v="23"/>
    <x v="3"/>
    <x v="1"/>
    <n v="15.45"/>
    <n v="10.34"/>
    <m/>
    <n v="25.79"/>
    <n v="15.44"/>
    <n v="4.59"/>
    <n v="2.21"/>
    <m/>
    <n v="10.79"/>
    <n v="2.84"/>
    <m/>
    <m/>
    <n v="2.84"/>
    <n v="61.66"/>
    <n v="58.82"/>
    <n v="60.24"/>
    <n v="89188.060500000007"/>
    <n v="4459.4030250000005"/>
    <n v="93647.463525000014"/>
    <n v="2809.4239057500004"/>
    <n v="96456.887430750008"/>
    <m/>
    <n v="96456.887430750008"/>
    <m/>
    <n v="96456.887430750008"/>
    <m/>
    <n v="96456.887430750008"/>
    <m/>
    <n v="96456.887430750008"/>
    <n v="964.5688743075001"/>
    <n v="97421.456305057509"/>
    <n v="4871.0728152528754"/>
    <n v="102292.52912031038"/>
    <m/>
    <n v="102292.52912031038"/>
    <n v="2045.8505824062076"/>
    <n v="104338.37970271659"/>
    <m/>
    <n v="104338.37970271659"/>
    <n v="2086.7675940543318"/>
    <n v="106425.14729677091"/>
    <m/>
    <n v="106425.14729677091"/>
    <m/>
    <n v="106425.14729677091"/>
    <m/>
    <n v="106425.14729677091"/>
    <m/>
    <n v="106425.14729677091"/>
    <m/>
    <n v="106425.14729677091"/>
    <n v="532.12573648385455"/>
    <n v="106957.27303325477"/>
    <m/>
    <n v="106957.27303325477"/>
    <n v="4278.2909213301909"/>
    <n v="111235.56395458496"/>
    <n v="6674.133837275097"/>
    <n v="117909.69779186005"/>
    <n v="15328.260712941807"/>
    <n v="133237.95850480185"/>
    <n v="35"/>
    <n v="133272.95850480185"/>
    <m/>
    <n v="133272.95850480185"/>
    <n v="133272.95999999999"/>
    <n v="8028400"/>
    <m/>
    <m/>
    <n v="0"/>
    <n v="133273.57237715804"/>
    <n v="8028400"/>
    <x v="1"/>
    <m/>
    <n v="133273.57237715804"/>
    <n v="0"/>
    <n v="8028400"/>
    <m/>
    <m/>
    <x v="1"/>
    <x v="1"/>
    <b v="1"/>
    <s v="АГ-005-В-24-04-386"/>
    <m/>
    <s v="ДА"/>
    <s v="Черновая"/>
    <b v="1"/>
    <n v="8028400"/>
    <n v="0"/>
    <b v="1"/>
    <s v=" "/>
    <s v=""/>
  </r>
  <r>
    <n v="387"/>
    <x v="2"/>
    <x v="23"/>
    <x v="4"/>
    <x v="0"/>
    <n v="12.54"/>
    <m/>
    <m/>
    <n v="12.54"/>
    <n v="12.74"/>
    <n v="4.0199999999999996"/>
    <m/>
    <m/>
    <n v="7.09"/>
    <n v="2.84"/>
    <m/>
    <m/>
    <n v="2.84"/>
    <n v="39.229999999999997"/>
    <n v="36.39"/>
    <n v="37.81"/>
    <n v="96523.875"/>
    <n v="4826.1937500000004"/>
    <n v="101350.06875000001"/>
    <n v="3040.5020625000002"/>
    <n v="104390.57081250001"/>
    <n v="4697.5756865624999"/>
    <n v="109088.14649906251"/>
    <m/>
    <n v="109088.14649906251"/>
    <n v="5454.4073249531257"/>
    <n v="114542.55382401563"/>
    <n v="-620"/>
    <n v="113922.55382401563"/>
    <n v="1139.2255382401563"/>
    <n v="115061.77936225579"/>
    <n v="5753.0889681127901"/>
    <n v="120814.86833036858"/>
    <m/>
    <n v="120814.86833036858"/>
    <n v="3624.4460499110573"/>
    <n v="124439.31438027964"/>
    <m/>
    <n v="124439.31438027964"/>
    <m/>
    <n v="124439.31438027964"/>
    <m/>
    <n v="124439.31438027964"/>
    <n v="1244.3931438027964"/>
    <n v="125683.70752408243"/>
    <m/>
    <n v="125683.70752408243"/>
    <m/>
    <n v="125683.70752408243"/>
    <m/>
    <n v="125683.70752408243"/>
    <n v="628.41853762041217"/>
    <n v="126312.12606170285"/>
    <m/>
    <n v="126312.12606170285"/>
    <m/>
    <n v="126312.12606170285"/>
    <n v="6315.6063030851428"/>
    <n v="132627.73236478798"/>
    <n v="17241.605207422439"/>
    <n v="149869.33757221041"/>
    <n v="35"/>
    <n v="149904.33757221041"/>
    <m/>
    <n v="149904.33757221041"/>
    <n v="149904.34"/>
    <n v="5667900"/>
    <m/>
    <m/>
    <n v="0"/>
    <n v="149904.78709336155"/>
    <n v="5667900"/>
    <x v="2"/>
    <n v="25000"/>
    <n v="174904.78709336155"/>
    <n v="945250.00000000093"/>
    <n v="6613150.0000000009"/>
    <m/>
    <m/>
    <x v="1"/>
    <x v="1"/>
    <b v="1"/>
    <s v="АГ-005-В-24-05-387"/>
    <m/>
    <s v="ДА"/>
    <s v="Чистовая"/>
    <b v="1"/>
    <n v="6613150"/>
    <n v="-9.3132257461547852E-10"/>
    <b v="1"/>
    <s v=" "/>
    <s v=""/>
  </r>
  <r>
    <n v="388"/>
    <x v="2"/>
    <x v="23"/>
    <x v="5"/>
    <x v="3"/>
    <n v="17.2"/>
    <n v="14.64"/>
    <n v="14.34"/>
    <n v="46.18"/>
    <n v="13.15"/>
    <n v="4.03"/>
    <n v="1.76"/>
    <m/>
    <n v="13.11"/>
    <n v="2.79"/>
    <n v="2.68"/>
    <m/>
    <n v="5.4700000000000006"/>
    <n v="83.7"/>
    <n v="78.23"/>
    <n v="80.97"/>
    <n v="79944.48000000001"/>
    <n v="3997.2240000000006"/>
    <n v="83941.704000000012"/>
    <n v="2518.2511200000004"/>
    <n v="86459.955120000013"/>
    <m/>
    <n v="86459.955120000013"/>
    <m/>
    <n v="86459.955120000013"/>
    <m/>
    <n v="86459.955120000013"/>
    <m/>
    <n v="86459.955120000013"/>
    <n v="864.59955120000018"/>
    <n v="87324.554671200007"/>
    <n v="4366.2277335600002"/>
    <n v="91690.782404760001"/>
    <m/>
    <n v="91690.782404760001"/>
    <n v="1833.8156480952"/>
    <n v="93524.598052855203"/>
    <m/>
    <n v="93524.598052855203"/>
    <n v="1870.4919610571042"/>
    <n v="95395.090013912311"/>
    <m/>
    <n v="95395.090013912311"/>
    <m/>
    <n v="95395.090013912311"/>
    <m/>
    <n v="95395.090013912311"/>
    <m/>
    <n v="95395.090013912311"/>
    <m/>
    <n v="95395.090013912311"/>
    <m/>
    <n v="95395.090013912311"/>
    <m/>
    <n v="95395.090013912311"/>
    <m/>
    <n v="95395.090013912311"/>
    <m/>
    <n v="95395.090013912311"/>
    <m/>
    <n v="95395.090013912311"/>
    <m/>
    <n v="95395.090013912311"/>
    <m/>
    <n v="95395.090013912311"/>
    <n v="95395.09"/>
    <n v="7724200"/>
    <n v="90000"/>
    <m/>
    <n v="90000"/>
    <n v="94284.302828207976"/>
    <n v="7634200"/>
    <x v="2"/>
    <n v="20000"/>
    <n v="114284.30282820798"/>
    <n v="1619400"/>
    <n v="9253600"/>
    <m/>
    <s v="Поехали в Амград"/>
    <x v="0"/>
    <x v="0"/>
    <b v="1"/>
    <s v="АГ-005-В-24-06-388"/>
    <m/>
    <s v="ДА"/>
    <s v="Чистовая"/>
    <b v="1"/>
    <n v="9253600"/>
    <n v="0"/>
    <b v="1"/>
    <d v="2024-04-25T00:00:00"/>
    <s v="Полехович"/>
  </r>
  <r>
    <n v="389"/>
    <x v="2"/>
    <x v="23"/>
    <x v="6"/>
    <x v="0"/>
    <n v="14.3"/>
    <m/>
    <m/>
    <n v="14.3"/>
    <n v="9.2799999999999994"/>
    <n v="3.79"/>
    <m/>
    <m/>
    <n v="6.08"/>
    <n v="2.71"/>
    <m/>
    <m/>
    <n v="2.71"/>
    <n v="36.159999999999997"/>
    <n v="33.450000000000003"/>
    <n v="34.81"/>
    <n v="92062.6875"/>
    <n v="4603.1343750000005"/>
    <n v="96665.821874999994"/>
    <n v="2899.9746562499995"/>
    <n v="99565.796531249987"/>
    <n v="13939.211514375"/>
    <n v="113505.00804562499"/>
    <m/>
    <n v="113505.00804562499"/>
    <n v="5675.25040228125"/>
    <n v="119180.25844790624"/>
    <m/>
    <n v="119180.25844790624"/>
    <n v="1191.8025844790625"/>
    <n v="120372.0610323853"/>
    <n v="6018.6030516192659"/>
    <n v="126390.66408400457"/>
    <m/>
    <n v="126390.66408400457"/>
    <n v="3791.7199225201371"/>
    <n v="130182.38400652471"/>
    <m/>
    <n v="130182.38400652471"/>
    <m/>
    <n v="130182.38400652471"/>
    <m/>
    <n v="130182.38400652471"/>
    <m/>
    <n v="130182.38400652471"/>
    <m/>
    <n v="130182.38400652471"/>
    <m/>
    <n v="130182.38400652471"/>
    <m/>
    <n v="130182.38400652471"/>
    <n v="650.91192003262358"/>
    <n v="130833.29592655733"/>
    <m/>
    <n v="130833.29592655733"/>
    <n v="2616.6659185311469"/>
    <n v="133449.96184508849"/>
    <n v="6672.4980922544246"/>
    <n v="140122.45993734291"/>
    <n v="18215.91979185458"/>
    <n v="158338.37972919748"/>
    <n v="35"/>
    <n v="158373.37972919748"/>
    <m/>
    <n v="158373.37972919748"/>
    <n v="158373.38"/>
    <n v="5513000"/>
    <m/>
    <m/>
    <n v="0"/>
    <n v="158374.03045101982"/>
    <n v="5513000"/>
    <x v="1"/>
    <m/>
    <n v="158374.03045101982"/>
    <n v="0"/>
    <n v="5513000"/>
    <s v="Хит"/>
    <m/>
    <x v="1"/>
    <x v="1"/>
    <b v="1"/>
    <s v="АГ-005-В-24-07-389"/>
    <m/>
    <s v="ДА"/>
    <s v="Черновая"/>
    <b v="1"/>
    <n v="5513000"/>
    <n v="0"/>
    <b v="1"/>
    <s v=" "/>
    <s v=""/>
  </r>
  <r>
    <n v="390"/>
    <x v="3"/>
    <x v="0"/>
    <x v="0"/>
    <x v="2"/>
    <n v="13.74"/>
    <m/>
    <m/>
    <n v="13.74"/>
    <n v="5.84"/>
    <n v="3.76"/>
    <m/>
    <m/>
    <n v="3.73"/>
    <n v="4.6500000000000004"/>
    <m/>
    <m/>
    <n v="4.6500000000000004"/>
    <n v="31.72"/>
    <n v="27.07"/>
    <n v="29.4"/>
    <n v="98113.68"/>
    <n v="4905.6840000000002"/>
    <n v="103019.36399999999"/>
    <n v="3090.5809199999994"/>
    <n v="106109.94491999998"/>
    <n v="9549.8950427999971"/>
    <n v="115659.83996279998"/>
    <m/>
    <n v="115659.83996279998"/>
    <m/>
    <n v="115659.83996279998"/>
    <m/>
    <n v="115659.83996279998"/>
    <n v="1156.5983996279997"/>
    <n v="116816.43836242797"/>
    <n v="5840.821918121399"/>
    <n v="122657.26028054937"/>
    <n v="12342.739719450634"/>
    <n v="135000"/>
    <n v="4050"/>
    <n v="139050"/>
    <m/>
    <n v="139050"/>
    <m/>
    <n v="139050"/>
    <m/>
    <n v="139050"/>
    <n v="1390.5"/>
    <n v="140440.5"/>
    <m/>
    <n v="140440.5"/>
    <m/>
    <n v="140440.5"/>
    <m/>
    <n v="140440.5"/>
    <n v="2106.6075000000001"/>
    <n v="142547.10750000001"/>
    <m/>
    <n v="142547.10750000001"/>
    <m/>
    <n v="142547.10750000001"/>
    <n v="5701.8843000000006"/>
    <n v="148248.99180000002"/>
    <n v="19272.368934000002"/>
    <n v="167521.36073400002"/>
    <n v="35"/>
    <n v="167556.36073400002"/>
    <m/>
    <n v="167556.36073400002"/>
    <n v="167556.35999999999"/>
    <n v="4926200"/>
    <m/>
    <m/>
    <n v="0"/>
    <n v="167557.82312925172"/>
    <n v="4926200"/>
    <x v="1"/>
    <m/>
    <n v="167557.82312925172"/>
    <n v="0"/>
    <n v="4926200"/>
    <m/>
    <m/>
    <x v="1"/>
    <x v="1"/>
    <b v="1"/>
    <s v="АГ-005-Г-01-01-390"/>
    <m/>
    <s v="ДА"/>
    <s v="Черновая"/>
    <b v="1"/>
    <n v="4926200"/>
    <n v="0"/>
    <b v="1"/>
    <s v=" "/>
    <s v=""/>
  </r>
  <r>
    <n v="391"/>
    <x v="3"/>
    <x v="0"/>
    <x v="1"/>
    <x v="0"/>
    <n v="13.17"/>
    <m/>
    <m/>
    <n v="13.17"/>
    <n v="16.940000000000001"/>
    <n v="3.55"/>
    <n v="2.41"/>
    <m/>
    <n v="5.8"/>
    <n v="2.68"/>
    <m/>
    <m/>
    <n v="2.68"/>
    <n v="44.55"/>
    <n v="41.87"/>
    <n v="43.21"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n v="85168.13"/>
    <n v="3680114.9"/>
    <m/>
    <n v="0.06"/>
    <n v="220806.894"/>
    <n v="80058.042351307566"/>
    <n v="3459308.01"/>
    <x v="0"/>
    <n v="4500"/>
    <n v="84558.042351307566"/>
    <n v="194445"/>
    <n v="3653753.01"/>
    <m/>
    <s v="Ветеран боевых действий"/>
    <x v="0"/>
    <x v="0"/>
    <b v="1"/>
    <s v="АГ-005-Г-01-02-391"/>
    <m/>
    <s v="НЕТ"/>
    <s v="Предчистовая"/>
    <b v="1"/>
    <n v="3653753.01"/>
    <n v="0"/>
    <b v="1"/>
    <d v="2024-02-06T00:00:00"/>
    <s v="Никишов"/>
  </r>
  <r>
    <n v="392"/>
    <x v="3"/>
    <x v="0"/>
    <x v="2"/>
    <x v="2"/>
    <n v="7.2"/>
    <m/>
    <m/>
    <n v="7.2"/>
    <n v="5.17"/>
    <n v="3.71"/>
    <m/>
    <m/>
    <n v="6.96"/>
    <n v="2.92"/>
    <m/>
    <m/>
    <n v="2.92"/>
    <n v="25.96"/>
    <n v="23.04"/>
    <n v="24.5"/>
    <n v="99865.71"/>
    <n v="4993.2855000000009"/>
    <n v="104858.9955"/>
    <n v="3145.7698650000002"/>
    <n v="108004.765365"/>
    <m/>
    <n v="108004.765365"/>
    <m/>
    <n v="108004.765365"/>
    <m/>
    <n v="108004.765365"/>
    <m/>
    <n v="108004.765365"/>
    <m/>
    <n v="108004.765365"/>
    <m/>
    <n v="108004.765365"/>
    <m/>
    <n v="108004.765365"/>
    <m/>
    <n v="108004.765365"/>
    <m/>
    <n v="108004.765365"/>
    <m/>
    <n v="108004.765365"/>
    <m/>
    <n v="108004.765365"/>
    <m/>
    <n v="108004.765365"/>
    <m/>
    <n v="108004.765365"/>
    <m/>
    <n v="108004.765365"/>
    <m/>
    <n v="108004.765365"/>
    <m/>
    <n v="108004.765365"/>
    <m/>
    <n v="108004.765365"/>
    <m/>
    <n v="108004.765365"/>
    <m/>
    <n v="108004.765365"/>
    <m/>
    <n v="108004.765365"/>
    <m/>
    <n v="108004.765365"/>
    <m/>
    <n v="108004.765365"/>
    <n v="108004.77"/>
    <n v="2646116.87"/>
    <m/>
    <m/>
    <n v="0"/>
    <n v="108004.77020408164"/>
    <n v="2646116.87"/>
    <x v="0"/>
    <n v="5000"/>
    <n v="113004.77020408164"/>
    <n v="122500"/>
    <n v="2768616.87"/>
    <m/>
    <m/>
    <x v="0"/>
    <x v="0"/>
    <b v="1"/>
    <s v="АГ-005-Г-01-03-392"/>
    <m/>
    <s v="НЕТ"/>
    <s v="Предчистовая"/>
    <b v="1"/>
    <n v="2768616.87"/>
    <n v="0"/>
    <b v="1"/>
    <d v="2023-09-19T00:00:00"/>
    <s v="Никишов"/>
  </r>
  <r>
    <n v="393"/>
    <x v="3"/>
    <x v="0"/>
    <x v="3"/>
    <x v="1"/>
    <n v="14.48"/>
    <n v="11.42"/>
    <m/>
    <n v="25.9"/>
    <n v="15.86"/>
    <n v="3.01"/>
    <n v="2.67"/>
    <m/>
    <n v="9.44"/>
    <n v="2.72"/>
    <m/>
    <m/>
    <n v="2.72"/>
    <n v="59.6"/>
    <n v="56.88"/>
    <n v="58.24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n v="7892.4413115820062"/>
    <n v="100000"/>
    <n v="2000"/>
    <n v="102000"/>
    <m/>
    <n v="102000"/>
    <n v="2040"/>
    <n v="104040"/>
    <m/>
    <n v="104040"/>
    <n v="1040.4000000000001"/>
    <n v="105080.4"/>
    <m/>
    <n v="105080.4"/>
    <m/>
    <n v="105080.4"/>
    <m/>
    <n v="105080.4"/>
    <m/>
    <n v="105080.4"/>
    <m/>
    <n v="105080.4"/>
    <m/>
    <n v="105080.4"/>
    <m/>
    <n v="105080.4"/>
    <m/>
    <n v="105080.4"/>
    <m/>
    <n v="105080.4"/>
    <m/>
    <n v="105080.4"/>
    <n v="105080.4"/>
    <n v="6119900"/>
    <m/>
    <m/>
    <n v="0"/>
    <n v="105080.70054945054"/>
    <n v="6119900"/>
    <x v="1"/>
    <m/>
    <n v="105080.70054945054"/>
    <n v="0"/>
    <n v="6119900"/>
    <m/>
    <m/>
    <x v="0"/>
    <x v="0"/>
    <b v="1"/>
    <s v="АГ-005-Г-01-04-393"/>
    <m/>
    <s v="ДА"/>
    <s v="Черновая"/>
    <b v="1"/>
    <n v="6119900"/>
    <n v="0"/>
    <b v="1"/>
    <d v="2024-05-31T00:00:00"/>
    <s v="Дик"/>
  </r>
  <r>
    <n v="394"/>
    <x v="3"/>
    <x v="0"/>
    <x v="4"/>
    <x v="0"/>
    <n v="12.71"/>
    <m/>
    <m/>
    <n v="12.71"/>
    <n v="25.96"/>
    <n v="4.28"/>
    <m/>
    <m/>
    <n v="7.34"/>
    <n v="2.84"/>
    <m/>
    <m/>
    <n v="2.84"/>
    <n v="53.13"/>
    <n v="50.29"/>
    <n v="51.71"/>
    <n v="85168.125"/>
    <n v="4258.40625"/>
    <n v="89426.53125"/>
    <n v="2682.7959375"/>
    <n v="92109.327187500006"/>
    <n v="921.09327187500003"/>
    <n v="93030.420459375004"/>
    <m/>
    <n v="93030.420459375004"/>
    <m/>
    <n v="93030.420459375004"/>
    <m/>
    <n v="93030.420459375004"/>
    <m/>
    <n v="93030.420459375004"/>
    <m/>
    <n v="93030.420459375004"/>
    <m/>
    <n v="93030.420459375004"/>
    <m/>
    <n v="93030.420459375004"/>
    <m/>
    <n v="93030.420459375004"/>
    <m/>
    <n v="93030.420459375004"/>
    <m/>
    <n v="93030.420459375004"/>
    <m/>
    <n v="93030.420459375004"/>
    <m/>
    <n v="93030.420459375004"/>
    <m/>
    <n v="93030.420459375004"/>
    <m/>
    <n v="93030.420459375004"/>
    <m/>
    <n v="93030.420459375004"/>
    <m/>
    <n v="93030.420459375004"/>
    <m/>
    <n v="93030.420459375004"/>
    <m/>
    <n v="93030.420459375004"/>
    <m/>
    <n v="93030.420459375004"/>
    <m/>
    <n v="93030.420459375004"/>
    <m/>
    <n v="93030.420459375004"/>
    <n v="93030.42"/>
    <n v="4810603.0199999996"/>
    <m/>
    <m/>
    <n v="0"/>
    <n v="93030.420034809504"/>
    <n v="4810603.0199999996"/>
    <x v="1"/>
    <m/>
    <n v="93030.420034809504"/>
    <n v="0"/>
    <n v="4810603.0199999996"/>
    <m/>
    <m/>
    <x v="0"/>
    <x v="0"/>
    <b v="1"/>
    <s v="АГ-005-Г-01-05-394"/>
    <m/>
    <s v="НЕТ"/>
    <s v="Черновая"/>
    <b v="1"/>
    <n v="4810603.0199999996"/>
    <n v="0"/>
    <b v="1"/>
    <d v="2023-10-12T00:00:00"/>
    <s v="Никишов"/>
  </r>
  <r>
    <n v="395"/>
    <x v="3"/>
    <x v="0"/>
    <x v="5"/>
    <x v="3"/>
    <n v="14.49"/>
    <n v="13.98"/>
    <n v="11.42"/>
    <n v="39.89"/>
    <n v="16.670000000000002"/>
    <n v="4.1399999999999997"/>
    <n v="1.89"/>
    <m/>
    <n v="11.31"/>
    <n v="5.42"/>
    <n v="2.86"/>
    <n v="2.79"/>
    <n v="11.07"/>
    <n v="84.97"/>
    <n v="73.900000000000006"/>
    <n v="79.44"/>
    <n v="77446.215000000011"/>
    <n v="3872.3107500000006"/>
    <n v="81318.525750000015"/>
    <n v="2439.5557725000003"/>
    <n v="83758.081522500011"/>
    <m/>
    <n v="83758.081522500011"/>
    <m/>
    <n v="83758.081522500011"/>
    <m/>
    <n v="83758.081522500011"/>
    <m/>
    <n v="83758.081522500011"/>
    <n v="837.58081522500015"/>
    <n v="84595.662337725007"/>
    <n v="4229.7831168862504"/>
    <n v="88825.445454611254"/>
    <n v="11174.554545388746"/>
    <n v="100000"/>
    <n v="2000"/>
    <n v="102000"/>
    <m/>
    <n v="102000"/>
    <n v="2040"/>
    <n v="104040"/>
    <n v="1000"/>
    <n v="105040"/>
    <m/>
    <n v="105040"/>
    <n v="2100.8000000000002"/>
    <n v="107140.8"/>
    <m/>
    <n v="107140.8"/>
    <n v="2142.8160000000003"/>
    <n v="109283.61600000001"/>
    <m/>
    <n v="109283.61600000001"/>
    <m/>
    <n v="109283.61600000001"/>
    <m/>
    <n v="109283.61600000001"/>
    <m/>
    <n v="109283.61600000001"/>
    <m/>
    <n v="109283.61600000001"/>
    <m/>
    <n v="109283.61600000001"/>
    <m/>
    <n v="109283.61600000001"/>
    <n v="109283.62"/>
    <n v="8681500"/>
    <n v="150000"/>
    <m/>
    <n v="150000"/>
    <n v="107395.51863041289"/>
    <n v="8531500"/>
    <x v="1"/>
    <m/>
    <n v="107395.51863041289"/>
    <n v="0"/>
    <n v="8531500"/>
    <s v="Хит"/>
    <s v="Скидка мед работнику"/>
    <x v="0"/>
    <x v="0"/>
    <b v="1"/>
    <s v="АГ-005-Г-01-06-395"/>
    <m/>
    <s v="ДА"/>
    <s v="Черновая"/>
    <b v="1"/>
    <n v="8531500"/>
    <n v="0"/>
    <b v="1"/>
    <d v="2024-06-24T00:00:00"/>
    <s v="Дик"/>
  </r>
  <r>
    <n v="396"/>
    <x v="3"/>
    <x v="0"/>
    <x v="6"/>
    <x v="0"/>
    <n v="16.79"/>
    <m/>
    <m/>
    <n v="16.79"/>
    <n v="11.43"/>
    <n v="3.56"/>
    <m/>
    <m/>
    <n v="6.66"/>
    <n v="2.4900000000000002"/>
    <m/>
    <m/>
    <n v="2.4900000000000002"/>
    <n v="40.93"/>
    <n v="38.44"/>
    <n v="39.69"/>
    <n v="87195.9375"/>
    <n v="4359.796875"/>
    <n v="91555.734375"/>
    <n v="2746.6720312499997"/>
    <n v="94302.406406249997"/>
    <n v="4243.6082882812498"/>
    <n v="98546.014694531244"/>
    <m/>
    <n v="98546.014694531244"/>
    <n v="4927.300734726563"/>
    <n v="103473.31542925781"/>
    <m/>
    <n v="103473.31542925781"/>
    <n v="1034.7331542925781"/>
    <n v="104508.04858355039"/>
    <n v="5225.4024291775204"/>
    <n v="109733.45101272792"/>
    <n v="10266.548987272079"/>
    <n v="120000"/>
    <n v="3600"/>
    <n v="123600"/>
    <m/>
    <n v="123600"/>
    <m/>
    <n v="123600"/>
    <m/>
    <n v="123600"/>
    <m/>
    <n v="123600"/>
    <m/>
    <n v="123600"/>
    <m/>
    <n v="123600"/>
    <m/>
    <n v="123600"/>
    <n v="1854"/>
    <n v="125454"/>
    <m/>
    <n v="125454"/>
    <n v="2509.08"/>
    <n v="127963.08"/>
    <n v="6398.1540000000005"/>
    <n v="134361.234"/>
    <n v="17466.960419999999"/>
    <n v="151828.19441999999"/>
    <n v="35"/>
    <n v="151863.19441999999"/>
    <m/>
    <n v="151863.19441999999"/>
    <n v="151863.19"/>
    <n v="6027500"/>
    <m/>
    <m/>
    <n v="0"/>
    <n v="151864.4494834971"/>
    <n v="6027500"/>
    <x v="2"/>
    <n v="25000"/>
    <n v="176864.4494834971"/>
    <n v="992249.99999999907"/>
    <n v="7019749.9999999991"/>
    <m/>
    <m/>
    <x v="1"/>
    <x v="1"/>
    <b v="1"/>
    <s v="АГ-005-Г-01-07-396"/>
    <m/>
    <s v="ДА"/>
    <s v="Чистовая"/>
    <b v="1"/>
    <n v="7019750"/>
    <n v="9.3132257461547852E-10"/>
    <b v="1"/>
    <s v=" "/>
    <s v=""/>
  </r>
  <r>
    <n v="397"/>
    <x v="3"/>
    <x v="1"/>
    <x v="0"/>
    <x v="2"/>
    <n v="13.74"/>
    <m/>
    <m/>
    <n v="13.74"/>
    <n v="5.84"/>
    <n v="3.76"/>
    <m/>
    <m/>
    <n v="3.73"/>
    <n v="4.6500000000000004"/>
    <m/>
    <m/>
    <n v="4.6500000000000004"/>
    <n v="31.72"/>
    <n v="27.07"/>
    <n v="29.4"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n v="90229.55"/>
    <n v="2652748.77"/>
    <m/>
    <m/>
    <n v="0"/>
    <n v="90229.55"/>
    <n v="2652748.77"/>
    <x v="0"/>
    <n v="4500"/>
    <n v="94729.55"/>
    <n v="132300"/>
    <n v="2785048.77"/>
    <m/>
    <m/>
    <x v="0"/>
    <x v="0"/>
    <b v="1"/>
    <s v="АГ-005-Г-02-01-397"/>
    <m/>
    <s v="НЕТ"/>
    <s v="Предчистовая"/>
    <b v="1"/>
    <n v="2785048.77"/>
    <n v="0"/>
    <b v="1"/>
    <d v="2023-09-19T00:00:00"/>
    <s v="Дик"/>
  </r>
  <r>
    <n v="398"/>
    <x v="3"/>
    <x v="1"/>
    <x v="1"/>
    <x v="0"/>
    <n v="13.17"/>
    <m/>
    <m/>
    <n v="13.17"/>
    <n v="16.940000000000001"/>
    <n v="3.55"/>
    <n v="2.41"/>
    <m/>
    <n v="5.8"/>
    <n v="2.68"/>
    <m/>
    <m/>
    <n v="2.68"/>
    <n v="44.55"/>
    <n v="41.87"/>
    <n v="43.21"/>
    <n v="85979.25"/>
    <n v="4298.9625000000005"/>
    <n v="90278.212499999994"/>
    <n v="2708.3463749999996"/>
    <n v="92986.558874999988"/>
    <n v="929.86558874999992"/>
    <n v="93916.424463749994"/>
    <m/>
    <n v="93916.424463749994"/>
    <n v="4695.8212231874995"/>
    <n v="98612.245686937487"/>
    <m/>
    <n v="98612.245686937487"/>
    <n v="986.1224568693749"/>
    <n v="99598.36814380686"/>
    <n v="4979.9184071903437"/>
    <n v="104578.2865509972"/>
    <m/>
    <n v="104578.2865509972"/>
    <n v="3137.348596529916"/>
    <n v="107715.63514752712"/>
    <n v="500"/>
    <n v="108215.63514752712"/>
    <m/>
    <n v="108215.63514752712"/>
    <m/>
    <n v="108215.63514752712"/>
    <m/>
    <n v="108215.63514752712"/>
    <n v="1082.1563514752713"/>
    <n v="109297.7914990024"/>
    <m/>
    <n v="109297.7914990024"/>
    <m/>
    <n v="109297.7914990024"/>
    <n v="2732.4447874750604"/>
    <n v="112030.23628647746"/>
    <m/>
    <n v="112030.23628647746"/>
    <m/>
    <n v="112030.23628647746"/>
    <n v="8962.418902918198"/>
    <n v="120992.65518939566"/>
    <n v="15729.045174621437"/>
    <n v="136721.7003640171"/>
    <n v="35"/>
    <n v="136756.7003640171"/>
    <m/>
    <n v="136756.7003640171"/>
    <n v="136756.70000000001"/>
    <n v="5909300"/>
    <n v="450000"/>
    <m/>
    <n v="450000"/>
    <n v="126343.43901874566"/>
    <n v="5459300"/>
    <x v="1"/>
    <m/>
    <n v="126343.43901874566"/>
    <n v="0"/>
    <n v="5459300"/>
    <m/>
    <s v="Индивидуальная скидка"/>
    <x v="0"/>
    <x v="0"/>
    <b v="1"/>
    <s v="АГ-005-Г-02-02-398"/>
    <m/>
    <s v="ДА"/>
    <s v="Черновая"/>
    <b v="1"/>
    <n v="5459300"/>
    <n v="0"/>
    <b v="1"/>
    <s v=" "/>
    <s v=""/>
  </r>
  <r>
    <n v="399"/>
    <x v="3"/>
    <x v="1"/>
    <x v="2"/>
    <x v="2"/>
    <n v="7.2"/>
    <m/>
    <m/>
    <n v="7.2"/>
    <n v="5.17"/>
    <n v="3.71"/>
    <m/>
    <m/>
    <n v="6.96"/>
    <n v="2.92"/>
    <m/>
    <m/>
    <n v="2.92"/>
    <n v="25.96"/>
    <n v="23.04"/>
    <n v="24.5"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n v="91981.58"/>
    <n v="2253548.71"/>
    <m/>
    <m/>
    <n v="0"/>
    <n v="91981.58"/>
    <n v="2253548.71"/>
    <x v="2"/>
    <n v="15500"/>
    <n v="107481.58"/>
    <n v="379750"/>
    <n v="2633298.71"/>
    <m/>
    <m/>
    <x v="0"/>
    <x v="0"/>
    <b v="1"/>
    <s v="АГ-005-Г-02-03-399"/>
    <m/>
    <s v="НЕТ"/>
    <s v="Чистовая"/>
    <b v="1"/>
    <n v="2633298.71"/>
    <n v="0"/>
    <b v="1"/>
    <d v="2023-09-18T00:00:00"/>
    <s v="Дик"/>
  </r>
  <r>
    <n v="400"/>
    <x v="3"/>
    <x v="1"/>
    <x v="3"/>
    <x v="1"/>
    <n v="14.48"/>
    <n v="11.42"/>
    <m/>
    <n v="25.9"/>
    <n v="15.86"/>
    <n v="3.01"/>
    <n v="2.67"/>
    <m/>
    <n v="9.44"/>
    <n v="2.72"/>
    <m/>
    <m/>
    <n v="2.72"/>
    <n v="59.6"/>
    <n v="56.88"/>
    <n v="58.24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n v="958.28704059430083"/>
    <n v="96786.991100024374"/>
    <m/>
    <n v="96786.991100024374"/>
    <m/>
    <n v="96786.991100024374"/>
    <m/>
    <n v="96786.991100024374"/>
    <n v="1451.8048665003655"/>
    <n v="98238.795966524733"/>
    <m/>
    <n v="98238.795966524733"/>
    <n v="3929.5518386609892"/>
    <n v="102168.34780518572"/>
    <n v="6130.1008683111431"/>
    <n v="108298.44867349687"/>
    <n v="14078.798327554594"/>
    <n v="122377.24700105147"/>
    <n v="35"/>
    <n v="122412.24700105147"/>
    <m/>
    <n v="122412.24700105147"/>
    <n v="122412.25"/>
    <n v="7129300"/>
    <m/>
    <m/>
    <n v="0"/>
    <n v="122412.43131868131"/>
    <n v="7129300"/>
    <x v="1"/>
    <m/>
    <n v="122412.43131868131"/>
    <n v="0"/>
    <n v="7129300"/>
    <m/>
    <m/>
    <x v="0"/>
    <x v="0"/>
    <b v="1"/>
    <s v="АГ-005-Г-02-04-400"/>
    <m/>
    <s v="ДА"/>
    <s v="Черновая"/>
    <b v="1"/>
    <n v="7129300"/>
    <n v="0"/>
    <b v="1"/>
    <d v="2025-02-28T00:00:00"/>
    <s v="Арефьев"/>
  </r>
  <r>
    <n v="401"/>
    <x v="3"/>
    <x v="1"/>
    <x v="4"/>
    <x v="1"/>
    <n v="15.41"/>
    <n v="12.78"/>
    <m/>
    <n v="28.189999999999998"/>
    <n v="13.45"/>
    <n v="3.7"/>
    <n v="2.72"/>
    <m/>
    <n v="8.2200000000000006"/>
    <n v="3.03"/>
    <m/>
    <m/>
    <n v="3.03"/>
    <n v="59.31"/>
    <n v="56.28"/>
    <n v="57.8"/>
    <n v="79921.768500000006"/>
    <n v="3996.0884250000004"/>
    <n v="83917.856925"/>
    <n v="2517.5357077499998"/>
    <n v="86435.392632749994"/>
    <m/>
    <n v="86435.392632749994"/>
    <m/>
    <n v="86435.392632749994"/>
    <m/>
    <n v="86435.392632749994"/>
    <m/>
    <n v="86435.392632749994"/>
    <n v="864.35392632749995"/>
    <n v="87299.746559077495"/>
    <n v="4364.9873279538751"/>
    <n v="91664.733887031369"/>
    <m/>
    <n v="91664.733887031369"/>
    <n v="1833.2946777406273"/>
    <n v="93498.028564772001"/>
    <m/>
    <n v="93498.028564772001"/>
    <n v="1869.9605712954401"/>
    <n v="95367.989136067437"/>
    <m/>
    <n v="95367.989136067437"/>
    <n v="953.67989136067445"/>
    <n v="96321.669027428114"/>
    <m/>
    <n v="96321.669027428114"/>
    <m/>
    <n v="96321.669027428114"/>
    <m/>
    <n v="96321.669027428114"/>
    <n v="1444.8250354114216"/>
    <n v="97766.494062839542"/>
    <n v="500"/>
    <n v="98266.494062839542"/>
    <m/>
    <n v="98266.494062839542"/>
    <m/>
    <n v="98266.494062839542"/>
    <m/>
    <n v="98266.494062839542"/>
    <m/>
    <n v="98266.494062839542"/>
    <m/>
    <n v="98266.494062839542"/>
    <n v="98266.49"/>
    <n v="5679900"/>
    <m/>
    <m/>
    <n v="0"/>
    <n v="98268.166089965409"/>
    <n v="5679900"/>
    <x v="2"/>
    <n v="20000"/>
    <n v="118268.16608996541"/>
    <n v="1156000"/>
    <n v="6835900"/>
    <m/>
    <m/>
    <x v="0"/>
    <x v="0"/>
    <b v="1"/>
    <s v="АГ-005-Г-02-05-401"/>
    <m/>
    <s v="ДА"/>
    <s v="Чистовая"/>
    <b v="1"/>
    <n v="6835900"/>
    <n v="0"/>
    <b v="1"/>
    <d v="2024-09-19T00:00:00"/>
    <s v="Полехович"/>
  </r>
  <r>
    <n v="402"/>
    <x v="3"/>
    <x v="1"/>
    <x v="5"/>
    <x v="0"/>
    <n v="12.71"/>
    <m/>
    <m/>
    <n v="12.71"/>
    <n v="12.55"/>
    <n v="4.28"/>
    <m/>
    <m/>
    <n v="7.34"/>
    <n v="2.84"/>
    <m/>
    <m/>
    <n v="2.84"/>
    <n v="39.72"/>
    <n v="36.880000000000003"/>
    <n v="38.299999999999997"/>
    <n v="88412.625"/>
    <n v="4420.6312500000004"/>
    <n v="92833.256250000006"/>
    <n v="2784.9976875000002"/>
    <n v="95618.253937500005"/>
    <n v="956.18253937500003"/>
    <n v="96574.436476875009"/>
    <m/>
    <n v="96574.436476875009"/>
    <n v="4828.7218238437508"/>
    <n v="101403.15830071876"/>
    <m/>
    <n v="101403.15830071876"/>
    <n v="1014.0315830071876"/>
    <n v="102417.18988372595"/>
    <n v="5120.8594941862975"/>
    <n v="107538.04937791225"/>
    <m/>
    <n v="107538.04937791225"/>
    <n v="3226.1414813373672"/>
    <n v="110764.19085924962"/>
    <m/>
    <n v="110764.19085924962"/>
    <m/>
    <n v="110764.19085924962"/>
    <m/>
    <n v="110764.19085924962"/>
    <m/>
    <n v="110764.19085924962"/>
    <n v="1107.6419085924963"/>
    <n v="111871.83276784212"/>
    <n v="559.35916383921062"/>
    <n v="112431.19193168133"/>
    <m/>
    <n v="112431.19193168133"/>
    <n v="2810.7797982920333"/>
    <n v="115241.97172997336"/>
    <m/>
    <n v="115241.97172997336"/>
    <n v="2304.839434599467"/>
    <n v="117546.81116457282"/>
    <m/>
    <n v="117546.81116457282"/>
    <m/>
    <n v="117546.81116457282"/>
    <m/>
    <n v="117546.81116457282"/>
    <m/>
    <n v="117546.81116457282"/>
    <n v="117546.81"/>
    <n v="4502100"/>
    <m/>
    <n v="0.02"/>
    <n v="90042"/>
    <n v="115197.33681462142"/>
    <n v="4412058"/>
    <x v="1"/>
    <m/>
    <n v="115197.33681462142"/>
    <n v="0"/>
    <n v="4412058"/>
    <m/>
    <s v="Скидка иногородним"/>
    <x v="0"/>
    <x v="0"/>
    <b v="1"/>
    <s v="АГ-005-Г-02-06-402"/>
    <m/>
    <s v="ДА"/>
    <s v="Черновая"/>
    <b v="1"/>
    <n v="4412058"/>
    <n v="0"/>
    <b v="1"/>
    <d v="2024-10-29T00:00:00"/>
    <s v="Полехович"/>
  </r>
  <r>
    <n v="403"/>
    <x v="3"/>
    <x v="1"/>
    <x v="6"/>
    <x v="3"/>
    <n v="14.49"/>
    <n v="13.98"/>
    <n v="11.42"/>
    <n v="39.89"/>
    <n v="16.670000000000002"/>
    <n v="4.1399999999999997"/>
    <n v="1.89"/>
    <m/>
    <n v="11.31"/>
    <n v="2.86"/>
    <n v="2.79"/>
    <n v="5.42"/>
    <n v="11.07"/>
    <n v="84.97"/>
    <n v="73.900000000000006"/>
    <n v="79.44"/>
    <n v="77089.320000000022"/>
    <n v="3854.4660000000013"/>
    <n v="80943.786000000022"/>
    <n v="2428.3135800000005"/>
    <n v="83372.099580000024"/>
    <m/>
    <n v="83372.099580000024"/>
    <m/>
    <n v="83372.099580000024"/>
    <m/>
    <n v="83372.099580000024"/>
    <m/>
    <n v="83372.099580000024"/>
    <n v="833.72099580000031"/>
    <n v="84205.820575800026"/>
    <n v="4210.2910287900013"/>
    <n v="88416.111604590027"/>
    <m/>
    <n v="88416.111604590027"/>
    <n v="1768.3222320918005"/>
    <n v="90184.433836681827"/>
    <m/>
    <n v="90184.433836681827"/>
    <n v="1803.6886767336366"/>
    <n v="91988.122513415467"/>
    <n v="1000"/>
    <n v="92988.122513415467"/>
    <m/>
    <n v="92988.122513415467"/>
    <n v="1859.7624502683093"/>
    <n v="94847.884963683769"/>
    <m/>
    <n v="94847.884963683769"/>
    <n v="1896.9576992736754"/>
    <n v="96744.842662957439"/>
    <n v="2418.6210665739359"/>
    <n v="99163.463729531373"/>
    <m/>
    <n v="99163.463729531373"/>
    <n v="3966.5385491812549"/>
    <n v="103130.00227871262"/>
    <n v="5156.5001139356318"/>
    <n v="108286.50239264825"/>
    <n v="14077.245311044273"/>
    <n v="122363.74770369253"/>
    <n v="35"/>
    <n v="122398.74770369253"/>
    <m/>
    <n v="122398.74770369253"/>
    <n v="122398.75"/>
    <n v="9723400"/>
    <m/>
    <m/>
    <n v="0"/>
    <n v="122399.29506545821"/>
    <n v="9723400"/>
    <x v="1"/>
    <m/>
    <n v="122399.29506545821"/>
    <n v="0"/>
    <n v="9723400"/>
    <s v="Хит"/>
    <m/>
    <x v="1"/>
    <x v="1"/>
    <b v="1"/>
    <s v="АГ-005-Г-02-07-403"/>
    <m/>
    <s v="ДА"/>
    <s v="Черновая"/>
    <b v="1"/>
    <n v="9723400"/>
    <n v="0"/>
    <b v="1"/>
    <s v=" "/>
    <s v=""/>
  </r>
  <r>
    <n v="404"/>
    <x v="3"/>
    <x v="1"/>
    <x v="7"/>
    <x v="0"/>
    <n v="16.79"/>
    <m/>
    <m/>
    <n v="16.79"/>
    <n v="11.43"/>
    <n v="3.56"/>
    <m/>
    <m/>
    <n v="6.66"/>
    <n v="2.4900000000000002"/>
    <m/>
    <m/>
    <n v="2.4900000000000002"/>
    <n v="40.93"/>
    <n v="38.44"/>
    <n v="39.69"/>
    <n v="85573.6875"/>
    <n v="4278.6843749999998"/>
    <n v="89852.371874999997"/>
    <n v="2695.5711562499996"/>
    <n v="92547.94303124999"/>
    <n v="4164.657436406249"/>
    <n v="96712.600467656244"/>
    <m/>
    <n v="96712.600467656244"/>
    <n v="4835.6300233828124"/>
    <n v="101548.23049103905"/>
    <m/>
    <n v="101548.23049103905"/>
    <n v="1015.4823049103906"/>
    <n v="102563.71279594944"/>
    <n v="5128.1856397974725"/>
    <n v="107691.89843574692"/>
    <m/>
    <n v="107691.89843574692"/>
    <n v="3230.7569530724072"/>
    <n v="110922.65538881933"/>
    <m/>
    <n v="110922.65538881933"/>
    <m/>
    <n v="110922.65538881933"/>
    <m/>
    <n v="110922.65538881933"/>
    <m/>
    <n v="110922.65538881933"/>
    <m/>
    <n v="110922.65538881933"/>
    <m/>
    <n v="110922.65538881933"/>
    <m/>
    <n v="110922.65538881933"/>
    <m/>
    <n v="110922.65538881933"/>
    <m/>
    <n v="110922.65538881933"/>
    <m/>
    <n v="110922.65538881933"/>
    <m/>
    <n v="110922.65538881933"/>
    <m/>
    <n v="110922.65538881933"/>
    <m/>
    <n v="110922.65538881933"/>
    <m/>
    <n v="110922.65538881933"/>
    <n v="110922.66"/>
    <n v="4402600"/>
    <m/>
    <m/>
    <n v="0"/>
    <n v="110924.66616276141"/>
    <n v="4402600"/>
    <x v="2"/>
    <n v="20000"/>
    <n v="130924.66616276141"/>
    <n v="793800"/>
    <n v="5196400"/>
    <m/>
    <m/>
    <x v="0"/>
    <x v="0"/>
    <b v="1"/>
    <s v="АГ-005-Г-02-08-404"/>
    <m/>
    <s v="ДА"/>
    <s v="Чистовая"/>
    <b v="1"/>
    <n v="5196400"/>
    <n v="0"/>
    <b v="1"/>
    <d v="2024-06-10T00:00:00"/>
    <s v="Полехович"/>
  </r>
  <r>
    <n v="405"/>
    <x v="3"/>
    <x v="2"/>
    <x v="0"/>
    <x v="2"/>
    <n v="13.74"/>
    <m/>
    <m/>
    <n v="13.74"/>
    <n v="5.84"/>
    <n v="3.76"/>
    <m/>
    <m/>
    <n v="3.73"/>
    <n v="4.6500000000000004"/>
    <m/>
    <m/>
    <n v="4.6500000000000004"/>
    <n v="31.72"/>
    <n v="27.07"/>
    <n v="29.4"/>
    <n v="90229.544999999998"/>
    <n v="4511.4772499999999"/>
    <n v="94741.022249999995"/>
    <n v="2842.2306674999995"/>
    <n v="97583.252917499995"/>
    <n v="8782.4927625749988"/>
    <n v="106365.74568007499"/>
    <m/>
    <n v="106365.74568007499"/>
    <m/>
    <n v="106365.74568007499"/>
    <m/>
    <n v="106365.74568007499"/>
    <n v="1063.65745680075"/>
    <n v="107429.40313687574"/>
    <n v="5371.4701568437877"/>
    <n v="112800.87329371953"/>
    <m/>
    <n v="112800.87329371953"/>
    <n v="3384.0261988115858"/>
    <n v="116184.89949253111"/>
    <m/>
    <n v="116184.89949253111"/>
    <m/>
    <n v="116184.89949253111"/>
    <m/>
    <n v="116184.89949253111"/>
    <n v="1161.8489949253112"/>
    <n v="117346.74848745643"/>
    <m/>
    <n v="117346.74848745643"/>
    <m/>
    <n v="117346.74848745643"/>
    <m/>
    <n v="117346.74848745643"/>
    <m/>
    <n v="117346.74848745643"/>
    <m/>
    <n v="117346.74848745643"/>
    <m/>
    <n v="117346.74848745643"/>
    <m/>
    <n v="117346.74848745643"/>
    <m/>
    <n v="117346.74848745643"/>
    <m/>
    <n v="117346.74848745643"/>
    <m/>
    <n v="117346.74848745643"/>
    <n v="117346.75"/>
    <n v="3450000"/>
    <m/>
    <m/>
    <n v="0"/>
    <n v="117346.93877551021"/>
    <n v="3450000"/>
    <x v="1"/>
    <m/>
    <n v="117346.93877551021"/>
    <n v="0"/>
    <n v="3450000"/>
    <m/>
    <m/>
    <x v="0"/>
    <x v="0"/>
    <b v="1"/>
    <s v="АГ-005-Г-03-01-405"/>
    <m/>
    <s v="ДА"/>
    <s v="Черновая"/>
    <b v="1"/>
    <n v="3450000"/>
    <n v="0"/>
    <b v="1"/>
    <d v="2024-05-31T00:00:00"/>
    <s v="Полехович"/>
  </r>
  <r>
    <n v="406"/>
    <x v="3"/>
    <x v="2"/>
    <x v="1"/>
    <x v="0"/>
    <n v="13.17"/>
    <m/>
    <m/>
    <n v="13.17"/>
    <n v="16.940000000000001"/>
    <n v="3.55"/>
    <n v="2.41"/>
    <m/>
    <n v="5.8"/>
    <n v="2.68"/>
    <m/>
    <m/>
    <n v="2.68"/>
    <n v="44.55"/>
    <n v="41.87"/>
    <n v="43.21"/>
    <n v="85979.25"/>
    <m/>
    <n v="85979.25"/>
    <m/>
    <n v="85979.25"/>
    <m/>
    <n v="85979.25"/>
    <m/>
    <n v="85979.25"/>
    <m/>
    <n v="85979.25"/>
    <m/>
    <n v="85979.25"/>
    <m/>
    <n v="85979.25"/>
    <m/>
    <n v="85979.25"/>
    <m/>
    <n v="85979.25"/>
    <m/>
    <n v="85979.25"/>
    <m/>
    <n v="85979.25"/>
    <m/>
    <n v="85979.25"/>
    <m/>
    <n v="85979.25"/>
    <m/>
    <n v="85979.25"/>
    <m/>
    <n v="85979.25"/>
    <m/>
    <n v="85979.25"/>
    <m/>
    <n v="85979.25"/>
    <m/>
    <n v="85979.25"/>
    <m/>
    <n v="85979.25"/>
    <m/>
    <n v="85979.25"/>
    <m/>
    <n v="85979.25"/>
    <m/>
    <n v="85979.25"/>
    <m/>
    <n v="85979.25"/>
    <m/>
    <n v="85979.25"/>
    <n v="85979.25"/>
    <n v="3715163.39"/>
    <m/>
    <n v="0.06"/>
    <n v="222909.8034"/>
    <n v="80820.495024299918"/>
    <n v="3492253.59"/>
    <x v="2"/>
    <n v="15500"/>
    <n v="96320.495024299918"/>
    <n v="669754.99999999953"/>
    <n v="4162008.5899999994"/>
    <m/>
    <s v="Ветеран боевых действий"/>
    <x v="0"/>
    <x v="0"/>
    <b v="1"/>
    <s v="АГ-005-Г-03-02-406"/>
    <m/>
    <s v="НЕТ"/>
    <s v="Чистовая"/>
    <b v="1"/>
    <n v="4162008.59"/>
    <n v="4.6566128730773926E-10"/>
    <b v="1"/>
    <d v="2023-09-19T00:00:00"/>
    <s v="Гайганова"/>
  </r>
  <r>
    <n v="407"/>
    <x v="3"/>
    <x v="2"/>
    <x v="2"/>
    <x v="2"/>
    <n v="7.2"/>
    <m/>
    <m/>
    <n v="7.2"/>
    <n v="5.17"/>
    <n v="3.71"/>
    <m/>
    <m/>
    <n v="6.96"/>
    <n v="2.92"/>
    <m/>
    <m/>
    <n v="2.92"/>
    <n v="25.96"/>
    <n v="23.04"/>
    <n v="24.5"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n v="91981.58"/>
    <n v="2253548.71"/>
    <m/>
    <m/>
    <n v="0"/>
    <n v="91981.58"/>
    <n v="2253548.71"/>
    <x v="1"/>
    <m/>
    <n v="91981.58"/>
    <n v="0"/>
    <n v="2253548.71"/>
    <m/>
    <m/>
    <x v="0"/>
    <x v="0"/>
    <b v="1"/>
    <s v="АГ-005-Г-03-03-407"/>
    <m/>
    <s v="НЕТ"/>
    <s v="Черновая"/>
    <b v="1"/>
    <n v="2253548.71"/>
    <n v="0"/>
    <b v="1"/>
    <d v="2023-09-19T00:00:00"/>
    <s v="Калачева"/>
  </r>
  <r>
    <n v="408"/>
    <x v="3"/>
    <x v="2"/>
    <x v="3"/>
    <x v="1"/>
    <n v="14.48"/>
    <n v="11.42"/>
    <m/>
    <n v="25.9"/>
    <n v="15.86"/>
    <n v="3.01"/>
    <n v="2.67"/>
    <m/>
    <n v="9.44"/>
    <n v="2.72"/>
    <m/>
    <m/>
    <n v="2.72"/>
    <n v="59.6"/>
    <n v="56.88"/>
    <n v="58.24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n v="1842.15117376836"/>
    <n v="93949.709862186355"/>
    <m/>
    <n v="93949.709862186355"/>
    <n v="1878.9941972437271"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m/>
    <n v="95828.704059430078"/>
    <n v="95828.7"/>
    <n v="5581100"/>
    <n v="90000"/>
    <m/>
    <n v="90000"/>
    <n v="94283.997252747256"/>
    <n v="5491100"/>
    <x v="2"/>
    <n v="20000"/>
    <n v="114283.99725274726"/>
    <n v="1164800"/>
    <n v="6655900"/>
    <m/>
    <s v="Поехали в Амград"/>
    <x v="0"/>
    <x v="0"/>
    <b v="1"/>
    <s v="АГ-005-Г-03-04-408"/>
    <m/>
    <s v="ДА"/>
    <s v="Чистовая"/>
    <b v="1"/>
    <n v="6655900"/>
    <n v="0"/>
    <b v="1"/>
    <d v="2024-06-24T00:00:00"/>
    <s v="Никишов"/>
  </r>
  <r>
    <n v="409"/>
    <x v="3"/>
    <x v="2"/>
    <x v="4"/>
    <x v="1"/>
    <n v="15.41"/>
    <n v="12.78"/>
    <m/>
    <n v="28.189999999999998"/>
    <n v="13.45"/>
    <n v="3.7"/>
    <n v="2.72"/>
    <m/>
    <n v="8.2200000000000006"/>
    <n v="3.03"/>
    <m/>
    <m/>
    <n v="3.03"/>
    <n v="59.31"/>
    <n v="56.28"/>
    <n v="57.8"/>
    <n v="79921.768500000006"/>
    <n v="3996.0884250000004"/>
    <n v="83917.856925"/>
    <n v="2517.5357077499998"/>
    <n v="86435.392632749994"/>
    <m/>
    <n v="86435.392632749994"/>
    <m/>
    <n v="86435.392632749994"/>
    <m/>
    <n v="86435.392632749994"/>
    <m/>
    <n v="86435.392632749994"/>
    <n v="864.35392632749995"/>
    <n v="87299.746559077495"/>
    <n v="4364.9873279538751"/>
    <n v="91664.733887031369"/>
    <m/>
    <n v="91664.733887031369"/>
    <n v="1833.2946777406273"/>
    <n v="93498.028564772001"/>
    <m/>
    <n v="93498.028564772001"/>
    <n v="1869.9605712954401"/>
    <n v="95367.989136067437"/>
    <m/>
    <n v="95367.989136067437"/>
    <n v="953.67989136067445"/>
    <n v="96321.669027428114"/>
    <m/>
    <n v="96321.669027428114"/>
    <m/>
    <n v="96321.669027428114"/>
    <m/>
    <n v="96321.669027428114"/>
    <n v="1444.8250354114216"/>
    <n v="97766.494062839542"/>
    <m/>
    <n v="97766.494062839542"/>
    <m/>
    <n v="97766.494062839542"/>
    <m/>
    <n v="97766.494062839542"/>
    <m/>
    <n v="97766.494062839542"/>
    <m/>
    <n v="97766.494062839542"/>
    <m/>
    <n v="97766.494062839542"/>
    <n v="97766.49"/>
    <n v="5651000"/>
    <m/>
    <n v="0.03"/>
    <n v="169530"/>
    <n v="94835.121107266445"/>
    <n v="5481470"/>
    <x v="3"/>
    <n v="7000"/>
    <n v="101835.12110726644"/>
    <n v="404600"/>
    <n v="5886070"/>
    <m/>
    <s v="Ветеран боевых действий"/>
    <x v="0"/>
    <x v="0"/>
    <b v="1"/>
    <s v="АГ-005-Г-03-05-409"/>
    <m/>
    <s v="ДА"/>
    <s v="White Box"/>
    <b v="1"/>
    <n v="5886070"/>
    <n v="0"/>
    <b v="1"/>
    <d v="2024-08-12T00:00:00"/>
    <s v="Дик"/>
  </r>
  <r>
    <n v="410"/>
    <x v="3"/>
    <x v="2"/>
    <x v="5"/>
    <x v="0"/>
    <n v="12.71"/>
    <m/>
    <m/>
    <n v="12.71"/>
    <n v="12.55"/>
    <n v="4.28"/>
    <m/>
    <m/>
    <n v="7.34"/>
    <n v="2.84"/>
    <m/>
    <m/>
    <n v="2.84"/>
    <n v="39.72"/>
    <n v="36.880000000000003"/>
    <n v="38.299999999999997"/>
    <n v="88412.625"/>
    <n v="4420.6312500000004"/>
    <n v="92833.256250000006"/>
    <n v="2784.9976875000002"/>
    <n v="95618.253937500005"/>
    <n v="956.18253937500003"/>
    <n v="96574.436476875009"/>
    <m/>
    <n v="96574.436476875009"/>
    <n v="4828.7218238437508"/>
    <n v="101403.15830071876"/>
    <m/>
    <n v="101403.15830071876"/>
    <m/>
    <n v="101403.15830071876"/>
    <m/>
    <n v="101403.15830071876"/>
    <m/>
    <n v="101403.15830071876"/>
    <m/>
    <n v="101403.15830071876"/>
    <m/>
    <n v="101403.15830071876"/>
    <m/>
    <n v="101403.15830071876"/>
    <m/>
    <n v="101403.15830071876"/>
    <m/>
    <n v="101403.15830071876"/>
    <m/>
    <n v="101403.15830071876"/>
    <m/>
    <n v="101403.15830071876"/>
    <m/>
    <n v="101403.15830071876"/>
    <m/>
    <n v="101403.15830071876"/>
    <m/>
    <n v="101403.15830071876"/>
    <m/>
    <n v="101403.15830071876"/>
    <m/>
    <n v="101403.15830071876"/>
    <m/>
    <n v="101403.15830071876"/>
    <m/>
    <n v="101403.15830071876"/>
    <m/>
    <n v="101403.15830071876"/>
    <n v="101403.16"/>
    <n v="3883800"/>
    <n v="50000"/>
    <m/>
    <n v="50000"/>
    <n v="100099.21671018278"/>
    <n v="3833800"/>
    <x v="0"/>
    <n v="7500"/>
    <n v="107599.21671018278"/>
    <n v="287250"/>
    <n v="4121050"/>
    <m/>
    <s v="Скидка с елки"/>
    <x v="0"/>
    <x v="0"/>
    <b v="1"/>
    <s v="АГ-005-Г-03-06-410"/>
    <m/>
    <s v="ДА"/>
    <s v="Предчистовая"/>
    <b v="1"/>
    <n v="4121050"/>
    <n v="0"/>
    <b v="1"/>
    <d v="2023-12-21T00:00:00"/>
    <s v="Никишов"/>
  </r>
  <r>
    <n v="411"/>
    <x v="3"/>
    <x v="2"/>
    <x v="6"/>
    <x v="3"/>
    <n v="14.49"/>
    <n v="13.98"/>
    <n v="11.42"/>
    <n v="39.89"/>
    <n v="16.670000000000002"/>
    <n v="4.1399999999999997"/>
    <n v="1.89"/>
    <m/>
    <n v="11.31"/>
    <n v="2.86"/>
    <n v="2.79"/>
    <n v="5.42"/>
    <n v="11.07"/>
    <n v="84.97"/>
    <n v="73.900000000000006"/>
    <n v="79.44"/>
    <n v="77089.320000000022"/>
    <n v="3854.4660000000013"/>
    <n v="80943.786000000022"/>
    <n v="2428.3135800000005"/>
    <n v="83372.099580000024"/>
    <m/>
    <n v="83372.099580000024"/>
    <m/>
    <n v="83372.099580000024"/>
    <m/>
    <n v="83372.099580000024"/>
    <m/>
    <n v="83372.099580000024"/>
    <n v="833.72099580000031"/>
    <n v="84205.820575800026"/>
    <n v="4210.2910287900013"/>
    <n v="88416.111604590027"/>
    <m/>
    <n v="88416.111604590027"/>
    <n v="1768.3222320918005"/>
    <n v="90184.433836681827"/>
    <m/>
    <n v="90184.433836681827"/>
    <n v="1803.6886767336366"/>
    <n v="91988.122513415467"/>
    <n v="1000"/>
    <n v="92988.122513415467"/>
    <n v="929.88122513415465"/>
    <n v="93918.003738549625"/>
    <n v="1878.3600747709925"/>
    <n v="95796.363813320611"/>
    <m/>
    <n v="95796.363813320611"/>
    <n v="1915.9272762664123"/>
    <n v="97712.29108958703"/>
    <n v="2442.8072772396758"/>
    <n v="100155.0983668267"/>
    <m/>
    <n v="100155.0983668267"/>
    <n v="4006.203934673068"/>
    <n v="104161.30230149977"/>
    <n v="5208.0651150749891"/>
    <n v="109369.36741657477"/>
    <n v="14218.01776415472"/>
    <n v="123587.38518072949"/>
    <n v="35"/>
    <n v="123622.38518072949"/>
    <m/>
    <n v="123622.38518072949"/>
    <n v="123622.39"/>
    <n v="9820600"/>
    <m/>
    <m/>
    <n v="0"/>
    <n v="123622.86002014099"/>
    <n v="9820600"/>
    <x v="1"/>
    <m/>
    <n v="123622.86002014099"/>
    <n v="0"/>
    <n v="9820600"/>
    <s v="Хит"/>
    <m/>
    <x v="1"/>
    <x v="1"/>
    <b v="1"/>
    <s v="АГ-005-Г-03-07-411"/>
    <m/>
    <s v="ДА"/>
    <s v="Черновая"/>
    <b v="1"/>
    <n v="9820600"/>
    <n v="0"/>
    <b v="1"/>
    <s v=" "/>
    <s v=""/>
  </r>
  <r>
    <n v="412"/>
    <x v="3"/>
    <x v="2"/>
    <x v="7"/>
    <x v="0"/>
    <n v="16.79"/>
    <m/>
    <m/>
    <n v="16.79"/>
    <n v="11.43"/>
    <n v="3.56"/>
    <m/>
    <m/>
    <n v="6.66"/>
    <n v="2.4900000000000002"/>
    <m/>
    <m/>
    <n v="2.4900000000000002"/>
    <n v="40.93"/>
    <n v="38.44"/>
    <n v="39.69"/>
    <n v="85573.6875"/>
    <n v="4278.6843749999998"/>
    <n v="89852.371874999997"/>
    <n v="2695.5711562499996"/>
    <n v="92547.94303124999"/>
    <m/>
    <n v="92547.94303124999"/>
    <m/>
    <n v="92547.94303124999"/>
    <m/>
    <n v="92547.94303124999"/>
    <m/>
    <n v="92547.94303124999"/>
    <m/>
    <n v="92547.94303124999"/>
    <m/>
    <n v="92547.94303124999"/>
    <m/>
    <n v="92547.94303124999"/>
    <m/>
    <n v="92547.94303124999"/>
    <m/>
    <n v="92547.94303124999"/>
    <m/>
    <n v="92547.94303124999"/>
    <m/>
    <n v="92547.94303124999"/>
    <m/>
    <n v="92547.94303124999"/>
    <m/>
    <n v="92547.94303124999"/>
    <m/>
    <n v="92547.94303124999"/>
    <m/>
    <n v="92547.94303124999"/>
    <m/>
    <n v="92547.94303124999"/>
    <m/>
    <n v="92547.94303124999"/>
    <m/>
    <n v="92547.94303124999"/>
    <m/>
    <n v="92547.94303124999"/>
    <m/>
    <n v="92547.94303124999"/>
    <m/>
    <n v="92547.94303124999"/>
    <m/>
    <n v="92547.94303124999"/>
    <n v="92547.94"/>
    <n v="3673227.74"/>
    <m/>
    <m/>
    <n v="0"/>
    <n v="92547.940035273379"/>
    <n v="3673227.74"/>
    <x v="1"/>
    <m/>
    <n v="92547.940035273379"/>
    <n v="0"/>
    <n v="3673227.74"/>
    <m/>
    <m/>
    <x v="0"/>
    <x v="0"/>
    <b v="1"/>
    <s v="АГ-005-Г-03-08-412"/>
    <m/>
    <s v="НЕТ"/>
    <s v="Черновая"/>
    <b v="1"/>
    <n v="3673227.74"/>
    <n v="0"/>
    <b v="1"/>
    <d v="2023-09-19T00:00:00"/>
    <s v="Кофанова"/>
  </r>
  <r>
    <n v="413"/>
    <x v="3"/>
    <x v="3"/>
    <x v="0"/>
    <x v="2"/>
    <n v="13.74"/>
    <m/>
    <m/>
    <n v="13.74"/>
    <n v="5.84"/>
    <n v="3.76"/>
    <m/>
    <m/>
    <n v="3.73"/>
    <n v="4.6500000000000004"/>
    <m/>
    <m/>
    <n v="4.6500000000000004"/>
    <n v="31.72"/>
    <n v="27.07"/>
    <n v="29.4"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m/>
    <n v="90229.544999999998"/>
    <n v="90229.55"/>
    <n v="2652748.77"/>
    <m/>
    <m/>
    <n v="0"/>
    <n v="90229.55"/>
    <n v="2652748.77"/>
    <x v="0"/>
    <n v="4500"/>
    <n v="94729.55"/>
    <n v="132300"/>
    <n v="2785048.77"/>
    <m/>
    <m/>
    <x v="0"/>
    <x v="0"/>
    <b v="1"/>
    <s v="АГ-005-Г-04-01-413"/>
    <m/>
    <s v="НЕТ"/>
    <s v="Предчистовая"/>
    <b v="1"/>
    <n v="2785048.77"/>
    <n v="0"/>
    <b v="1"/>
    <d v="2023-09-19T00:00:00"/>
    <s v="Гайганова"/>
  </r>
  <r>
    <n v="414"/>
    <x v="3"/>
    <x v="3"/>
    <x v="1"/>
    <x v="0"/>
    <n v="13.17"/>
    <m/>
    <m/>
    <n v="13.17"/>
    <n v="16.940000000000001"/>
    <n v="3.55"/>
    <n v="2.41"/>
    <m/>
    <n v="5.8"/>
    <n v="2.68"/>
    <m/>
    <m/>
    <n v="2.68"/>
    <n v="44.55"/>
    <n v="41.87"/>
    <n v="43.21"/>
    <n v="85979.25"/>
    <n v="4298.9625000000005"/>
    <n v="90278.212499999994"/>
    <n v="2708.3463749999996"/>
    <n v="92986.558874999988"/>
    <n v="929.86558874999992"/>
    <n v="93916.424463749994"/>
    <m/>
    <n v="93916.424463749994"/>
    <m/>
    <n v="93916.424463749994"/>
    <m/>
    <n v="93916.424463749994"/>
    <m/>
    <n v="93916.424463749994"/>
    <m/>
    <n v="93916.424463749994"/>
    <m/>
    <n v="93916.424463749994"/>
    <m/>
    <n v="93916.424463749994"/>
    <m/>
    <n v="93916.424463749994"/>
    <m/>
    <n v="93916.424463749994"/>
    <m/>
    <n v="93916.424463749994"/>
    <m/>
    <n v="93916.424463749994"/>
    <m/>
    <n v="93916.424463749994"/>
    <m/>
    <n v="93916.424463749994"/>
    <m/>
    <n v="93916.424463749994"/>
    <m/>
    <n v="93916.424463749994"/>
    <m/>
    <n v="93916.424463749994"/>
    <m/>
    <n v="93916.424463749994"/>
    <m/>
    <n v="93916.424463749994"/>
    <m/>
    <n v="93916.424463749994"/>
    <m/>
    <n v="93916.424463749994"/>
    <m/>
    <n v="93916.424463749994"/>
    <n v="93916.42"/>
    <n v="4058128.51"/>
    <m/>
    <m/>
    <n v="0"/>
    <n v="93916.420041657024"/>
    <n v="4058128.51"/>
    <x v="1"/>
    <m/>
    <n v="93916.420041657024"/>
    <n v="0"/>
    <n v="4058128.5100000002"/>
    <m/>
    <m/>
    <x v="0"/>
    <x v="0"/>
    <b v="1"/>
    <s v="АГ-005-Г-04-02-414"/>
    <m/>
    <s v="НЕТ"/>
    <s v="Черновая"/>
    <b v="1"/>
    <n v="4058128.51"/>
    <n v="-4.6566128730773926E-10"/>
    <b v="1"/>
    <d v="2023-09-19T00:00:00"/>
    <s v="Полехович"/>
  </r>
  <r>
    <n v="415"/>
    <x v="3"/>
    <x v="3"/>
    <x v="2"/>
    <x v="2"/>
    <n v="7.2"/>
    <m/>
    <m/>
    <n v="7.2"/>
    <n v="5.17"/>
    <n v="3.71"/>
    <m/>
    <m/>
    <n v="6.96"/>
    <n v="2.92"/>
    <m/>
    <m/>
    <n v="2.92"/>
    <n v="25.96"/>
    <n v="23.04"/>
    <n v="24.5"/>
    <n v="91981.574999999997"/>
    <n v="4599.0787499999997"/>
    <n v="96580.653749999998"/>
    <n v="2897.4196124999999"/>
    <n v="99478.073362499999"/>
    <n v="8953.0266026249992"/>
    <n v="108431.099965125"/>
    <m/>
    <n v="108431.099965125"/>
    <m/>
    <n v="108431.099965125"/>
    <m/>
    <n v="108431.099965125"/>
    <n v="1084.3109996512501"/>
    <n v="109515.41096477625"/>
    <n v="5475.7705482388128"/>
    <n v="114991.18151301506"/>
    <m/>
    <n v="114991.18151301506"/>
    <n v="3449.7354453904518"/>
    <n v="118440.91695840552"/>
    <m/>
    <n v="118440.91695840552"/>
    <m/>
    <n v="118440.91695840552"/>
    <m/>
    <n v="118440.91695840552"/>
    <n v="1184.4091695840552"/>
    <n v="119625.32612798958"/>
    <m/>
    <n v="119625.32612798958"/>
    <m/>
    <n v="119625.32612798958"/>
    <m/>
    <n v="119625.32612798958"/>
    <m/>
    <n v="119625.32612798958"/>
    <m/>
    <n v="119625.32612798958"/>
    <m/>
    <n v="119625.32612798958"/>
    <m/>
    <n v="119625.32612798958"/>
    <m/>
    <n v="119625.32612798958"/>
    <m/>
    <n v="119625.32612798958"/>
    <m/>
    <n v="119625.32612798958"/>
    <n v="119625.33"/>
    <n v="2930900"/>
    <m/>
    <n v="0.03"/>
    <n v="87927"/>
    <n v="116039.71428571429"/>
    <n v="2842973"/>
    <x v="3"/>
    <n v="7000"/>
    <n v="123039.71428571429"/>
    <n v="171500"/>
    <n v="3014473"/>
    <m/>
    <s v="Ветеран боевых действий"/>
    <x v="0"/>
    <x v="0"/>
    <b v="1"/>
    <s v="АГ-005-Г-04-03-415"/>
    <m/>
    <s v="ДА"/>
    <s v="White Box"/>
    <b v="1"/>
    <n v="3014473"/>
    <n v="0"/>
    <b v="1"/>
    <d v="2024-06-11T00:00:00"/>
    <s v="Дик"/>
  </r>
  <r>
    <n v="416"/>
    <x v="3"/>
    <x v="3"/>
    <x v="3"/>
    <x v="1"/>
    <n v="14.48"/>
    <n v="11.42"/>
    <m/>
    <n v="25.9"/>
    <n v="15.86"/>
    <n v="3.01"/>
    <n v="2.67"/>
    <m/>
    <n v="9.44"/>
    <n v="2.72"/>
    <m/>
    <m/>
    <n v="2.72"/>
    <n v="59.6"/>
    <n v="56.88"/>
    <n v="58.24"/>
    <n v="80307.864000000001"/>
    <n v="4015.3932000000004"/>
    <n v="84323.257200000007"/>
    <n v="2529.6977160000001"/>
    <n v="86852.954916000002"/>
    <m/>
    <n v="86852.954916000002"/>
    <m/>
    <n v="86852.954916000002"/>
    <m/>
    <n v="86852.954916000002"/>
    <m/>
    <n v="86852.954916000002"/>
    <n v="868.52954915999999"/>
    <n v="87721.48446516"/>
    <n v="4386.0742232580005"/>
    <n v="92107.558688417994"/>
    <m/>
    <n v="92107.558688417994"/>
    <m/>
    <n v="92107.558688417994"/>
    <m/>
    <n v="92107.558688417994"/>
    <n v="1842.15117376836"/>
    <n v="93949.709862186355"/>
    <m/>
    <n v="93949.709862186355"/>
    <m/>
    <n v="93949.709862186355"/>
    <m/>
    <n v="93949.709862186355"/>
    <m/>
    <n v="93949.709862186355"/>
    <m/>
    <n v="93949.709862186355"/>
    <m/>
    <n v="93949.709862186355"/>
    <m/>
    <n v="93949.709862186355"/>
    <m/>
    <n v="93949.709862186355"/>
    <m/>
    <n v="93949.709862186355"/>
    <m/>
    <n v="93949.709862186355"/>
    <m/>
    <n v="93949.709862186355"/>
    <m/>
    <n v="93949.709862186355"/>
    <n v="93949.71"/>
    <n v="5471700"/>
    <n v="90000"/>
    <m/>
    <n v="90000"/>
    <n v="92405.56318681319"/>
    <n v="5381700"/>
    <x v="2"/>
    <n v="20000"/>
    <n v="112405.56318681319"/>
    <n v="1164800"/>
    <n v="6546500"/>
    <m/>
    <s v="Поехали в Амград"/>
    <x v="0"/>
    <x v="0"/>
    <b v="1"/>
    <s v="АГ-005-Г-04-04-416"/>
    <m/>
    <s v="ДА"/>
    <s v="Чистовая"/>
    <b v="1"/>
    <n v="6546500"/>
    <n v="0"/>
    <b v="1"/>
    <d v="2024-04-15T00:00:00"/>
    <s v="Полехович"/>
  </r>
  <r>
    <n v="417"/>
    <x v="3"/>
    <x v="3"/>
    <x v="4"/>
    <x v="1"/>
    <n v="15.41"/>
    <n v="12.78"/>
    <m/>
    <n v="28.189999999999998"/>
    <n v="13.45"/>
    <n v="3.7"/>
    <n v="2.72"/>
    <m/>
    <n v="8.2200000000000006"/>
    <n v="3.03"/>
    <m/>
    <m/>
    <n v="3.03"/>
    <n v="59.31"/>
    <n v="56.28"/>
    <n v="57.8"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m/>
    <n v="79921.768500000006"/>
    <n v="79921.77"/>
    <n v="4619478.3099999996"/>
    <m/>
    <m/>
    <n v="0"/>
    <n v="79921.770069204154"/>
    <n v="4619478.3099999996"/>
    <x v="1"/>
    <m/>
    <n v="79921.770069204154"/>
    <n v="0"/>
    <n v="4619478.3099999996"/>
    <m/>
    <m/>
    <x v="0"/>
    <x v="0"/>
    <b v="1"/>
    <s v="АГ-005-Г-04-05-417"/>
    <m/>
    <s v="НЕТ"/>
    <s v="Черновая"/>
    <b v="1"/>
    <n v="4619478.3099999996"/>
    <n v="0"/>
    <b v="1"/>
    <d v="2023-09-18T00:00:00"/>
    <s v="Дик"/>
  </r>
  <r>
    <n v="418"/>
    <x v="3"/>
    <x v="3"/>
    <x v="5"/>
    <x v="0"/>
    <n v="12.71"/>
    <m/>
    <m/>
    <n v="12.71"/>
    <n v="12.55"/>
    <n v="4.28"/>
    <m/>
    <m/>
    <n v="7.34"/>
    <n v="2.84"/>
    <m/>
    <m/>
    <n v="2.84"/>
    <n v="39.72"/>
    <n v="36.880000000000003"/>
    <n v="38.299999999999997"/>
    <n v="88412.625"/>
    <n v="4420.6312500000004"/>
    <n v="92833.256250000006"/>
    <n v="2784.9976875000002"/>
    <n v="95618.253937500005"/>
    <m/>
    <n v="95618.253937500005"/>
    <m/>
    <n v="95618.253937500005"/>
    <m/>
    <n v="95618.253937500005"/>
    <m/>
    <n v="95618.253937500005"/>
    <m/>
    <n v="95618.253937500005"/>
    <m/>
    <n v="95618.253937500005"/>
    <m/>
    <n v="95618.253937500005"/>
    <m/>
    <n v="95618.253937500005"/>
    <m/>
    <n v="95618.253937500005"/>
    <m/>
    <n v="95618.253937500005"/>
    <m/>
    <n v="95618.253937500005"/>
    <m/>
    <n v="95618.253937500005"/>
    <m/>
    <n v="95618.253937500005"/>
    <m/>
    <n v="95618.253937500005"/>
    <m/>
    <n v="95618.253937500005"/>
    <m/>
    <n v="95618.253937500005"/>
    <m/>
    <n v="95618.253937500005"/>
    <m/>
    <n v="95618.253937500005"/>
    <m/>
    <n v="95618.253937500005"/>
    <m/>
    <n v="95618.253937500005"/>
    <m/>
    <n v="95618.253937500005"/>
    <m/>
    <n v="95618.253937500005"/>
    <n v="95618.25"/>
    <n v="3662178.98"/>
    <m/>
    <m/>
    <n v="0"/>
    <n v="95618.250130548317"/>
    <n v="3662178.98"/>
    <x v="1"/>
    <m/>
    <n v="95618.250130548317"/>
    <n v="0"/>
    <n v="3662178.9800000004"/>
    <m/>
    <m/>
    <x v="0"/>
    <x v="0"/>
    <b v="1"/>
    <s v="АГ-005-Г-04-06-418"/>
    <m/>
    <s v="НЕТ"/>
    <s v="Черновая"/>
    <b v="1"/>
    <n v="3662178.98"/>
    <n v="-4.6566128730773926E-10"/>
    <b v="1"/>
    <d v="2023-09-19T00:00:00"/>
    <s v="Калачева"/>
  </r>
  <r>
    <n v="419"/>
    <x v="3"/>
    <x v="3"/>
    <x v="6"/>
    <x v="3"/>
    <n v="14.49"/>
    <n v="13.98"/>
    <n v="11.42"/>
    <n v="39.89"/>
    <n v="16.670000000000002"/>
    <n v="4.1399999999999997"/>
    <n v="1.89"/>
    <m/>
    <n v="11.31"/>
    <n v="2.86"/>
    <n v="2.79"/>
    <n v="5.42"/>
    <n v="11.07"/>
    <n v="84.97"/>
    <n v="73.900000000000006"/>
    <n v="79.44"/>
    <n v="77089.320000000022"/>
    <n v="3854.4660000000013"/>
    <n v="80943.786000000022"/>
    <n v="2428.3135800000005"/>
    <n v="83372.099580000024"/>
    <m/>
    <n v="83372.099580000024"/>
    <m/>
    <n v="83372.099580000024"/>
    <m/>
    <n v="83372.099580000024"/>
    <m/>
    <n v="83372.099580000024"/>
    <n v="833.72099580000031"/>
    <n v="84205.820575800026"/>
    <n v="4210.2910287900013"/>
    <n v="88416.111604590027"/>
    <m/>
    <n v="88416.111604590027"/>
    <n v="1768.3222320918005"/>
    <n v="90184.433836681827"/>
    <m/>
    <n v="90184.433836681827"/>
    <n v="1803.6886767336366"/>
    <n v="91988.122513415467"/>
    <m/>
    <n v="91988.122513415467"/>
    <m/>
    <n v="91988.122513415467"/>
    <m/>
    <n v="91988.122513415467"/>
    <m/>
    <n v="91988.122513415467"/>
    <m/>
    <n v="91988.122513415467"/>
    <m/>
    <n v="91988.122513415467"/>
    <m/>
    <n v="91988.122513415467"/>
    <m/>
    <n v="91988.122513415467"/>
    <m/>
    <n v="91988.122513415467"/>
    <m/>
    <n v="91988.122513415467"/>
    <m/>
    <n v="91988.122513415467"/>
    <m/>
    <n v="91988.122513415467"/>
    <n v="91988.12"/>
    <n v="7307600"/>
    <n v="90000"/>
    <m/>
    <n v="90000"/>
    <n v="90855.991943605244"/>
    <n v="7217600"/>
    <x v="3"/>
    <n v="7000"/>
    <n v="97855.991943605244"/>
    <n v="556080"/>
    <n v="7773680"/>
    <s v="Хит"/>
    <s v="Поехали в Амград"/>
    <x v="0"/>
    <x v="0"/>
    <b v="1"/>
    <s v="АГ-005-Г-04-07-419"/>
    <m/>
    <s v="ДА"/>
    <s v="White Box"/>
    <b v="1"/>
    <n v="7773680"/>
    <n v="0"/>
    <b v="1"/>
    <d v="2024-04-19T00:00:00"/>
    <s v="Никишов"/>
  </r>
  <r>
    <n v="420"/>
    <x v="3"/>
    <x v="3"/>
    <x v="7"/>
    <x v="0"/>
    <n v="16.79"/>
    <m/>
    <m/>
    <n v="16.79"/>
    <n v="11.43"/>
    <n v="3.56"/>
    <m/>
    <m/>
    <n v="6.66"/>
    <n v="2.4900000000000002"/>
    <m/>
    <m/>
    <n v="2.4900000000000002"/>
    <n v="40.93"/>
    <n v="38.44"/>
    <n v="39.69"/>
    <n v="85573.6875"/>
    <n v="4278.6843749999998"/>
    <n v="89852.371874999997"/>
    <n v="2695.5711562499996"/>
    <n v="92547.94303124999"/>
    <n v="4164.657436406249"/>
    <n v="96712.600467656244"/>
    <m/>
    <n v="96712.600467656244"/>
    <n v="4835.6300233828124"/>
    <n v="101548.23049103905"/>
    <m/>
    <n v="101548.23049103905"/>
    <n v="1015.4823049103906"/>
    <n v="102563.71279594944"/>
    <n v="5128.1856397974725"/>
    <n v="107691.89843574692"/>
    <m/>
    <n v="107691.89843574692"/>
    <n v="3230.7569530724072"/>
    <n v="110922.65538881933"/>
    <m/>
    <n v="110922.65538881933"/>
    <m/>
    <n v="110922.65538881933"/>
    <m/>
    <n v="110922.65538881933"/>
    <m/>
    <n v="110922.65538881933"/>
    <m/>
    <n v="110922.65538881933"/>
    <m/>
    <n v="110922.65538881933"/>
    <m/>
    <n v="110922.65538881933"/>
    <n v="554.6132769440967"/>
    <n v="111477.26866576343"/>
    <m/>
    <n v="111477.26866576343"/>
    <n v="2229.5453733152685"/>
    <n v="113706.8140390787"/>
    <m/>
    <n v="113706.8140390787"/>
    <m/>
    <n v="113706.8140390787"/>
    <m/>
    <n v="113706.8140390787"/>
    <m/>
    <n v="113706.8140390787"/>
    <n v="113706.81"/>
    <n v="4513100"/>
    <m/>
    <n v="0.02"/>
    <n v="90262"/>
    <n v="111434.56790123458"/>
    <n v="4422838"/>
    <x v="2"/>
    <n v="24000"/>
    <n v="135434.56790123458"/>
    <n v="952560"/>
    <n v="5375398"/>
    <m/>
    <s v="Скидка иногородним"/>
    <x v="0"/>
    <x v="0"/>
    <b v="1"/>
    <s v="АГ-005-Г-04-08-420"/>
    <m/>
    <s v="ДА"/>
    <s v="Чистовая"/>
    <b v="1"/>
    <n v="5375398"/>
    <n v="0"/>
    <b v="1"/>
    <d v="2024-11-05T00:00:00"/>
    <s v="Дик"/>
  </r>
  <r>
    <n v="421"/>
    <x v="3"/>
    <x v="4"/>
    <x v="0"/>
    <x v="2"/>
    <n v="13.74"/>
    <m/>
    <m/>
    <n v="13.74"/>
    <n v="5.84"/>
    <n v="3.76"/>
    <m/>
    <m/>
    <n v="3.73"/>
    <n v="4.6500000000000004"/>
    <m/>
    <m/>
    <n v="4.6500000000000004"/>
    <n v="31.72"/>
    <n v="27.07"/>
    <n v="29.4"/>
    <n v="89353.53"/>
    <n v="4467.6765000000005"/>
    <n v="93821.2065"/>
    <n v="2814.636195"/>
    <n v="96635.842694999999"/>
    <n v="8697.2258425500004"/>
    <n v="105333.06853755"/>
    <m/>
    <n v="105333.06853755"/>
    <m/>
    <n v="105333.06853755"/>
    <m/>
    <n v="105333.06853755"/>
    <n v="1053.3306853755"/>
    <n v="106386.39922292551"/>
    <n v="5319.319961146276"/>
    <n v="111705.71918407179"/>
    <m/>
    <n v="111705.71918407179"/>
    <n v="3351.1715755221535"/>
    <n v="115056.89075959394"/>
    <m/>
    <n v="115056.89075959394"/>
    <m/>
    <n v="115056.89075959394"/>
    <m/>
    <n v="115056.89075959394"/>
    <n v="1150.5689075959394"/>
    <n v="116207.45966718988"/>
    <m/>
    <n v="116207.45966718988"/>
    <m/>
    <n v="116207.45966718988"/>
    <m/>
    <n v="116207.45966718988"/>
    <n v="1743.111895007848"/>
    <n v="117950.57156219773"/>
    <m/>
    <n v="117950.57156219773"/>
    <m/>
    <n v="117950.57156219773"/>
    <m/>
    <n v="117950.57156219773"/>
    <m/>
    <n v="117950.57156219773"/>
    <m/>
    <n v="117950.57156219773"/>
    <m/>
    <n v="117950.57156219773"/>
    <n v="117950.57"/>
    <n v="3467800"/>
    <m/>
    <m/>
    <n v="0"/>
    <n v="117952.38095238096"/>
    <n v="3467800"/>
    <x v="2"/>
    <n v="20000"/>
    <n v="137952.38095238095"/>
    <n v="587999.99999999953"/>
    <n v="4055799.9999999995"/>
    <m/>
    <m/>
    <x v="0"/>
    <x v="0"/>
    <b v="1"/>
    <s v="АГ-005-Г-05-01-421"/>
    <m/>
    <s v="ДА"/>
    <s v="Чистовая"/>
    <b v="1"/>
    <n v="4055800"/>
    <n v="4.6566128730773926E-10"/>
    <b v="1"/>
    <d v="2024-08-13T00:00:00"/>
    <s v="Дик"/>
  </r>
  <r>
    <n v="422"/>
    <x v="3"/>
    <x v="4"/>
    <x v="1"/>
    <x v="0"/>
    <n v="13.17"/>
    <m/>
    <m/>
    <n v="13.17"/>
    <n v="16.940000000000001"/>
    <n v="3.55"/>
    <n v="2.41"/>
    <m/>
    <n v="5.8"/>
    <n v="2.68"/>
    <m/>
    <m/>
    <n v="2.68"/>
    <n v="44.55"/>
    <n v="41.87"/>
    <n v="43.21"/>
    <n v="85168.125"/>
    <n v="4258.40625"/>
    <n v="89426.53125"/>
    <n v="2682.7959375"/>
    <n v="92109.327187500006"/>
    <n v="921.09327187500003"/>
    <n v="93030.420459375004"/>
    <m/>
    <n v="93030.420459375004"/>
    <n v="4651.52102296875"/>
    <n v="97681.941482343755"/>
    <m/>
    <n v="97681.941482343755"/>
    <n v="976.81941482343757"/>
    <n v="98658.760897167187"/>
    <n v="4932.9380448583597"/>
    <n v="103591.69894202554"/>
    <m/>
    <n v="103591.69894202554"/>
    <n v="3107.7509682607661"/>
    <n v="106699.4499102863"/>
    <n v="500"/>
    <n v="107199.4499102863"/>
    <m/>
    <n v="107199.4499102863"/>
    <m/>
    <n v="107199.4499102863"/>
    <m/>
    <n v="107199.4499102863"/>
    <n v="1071.9944991028631"/>
    <n v="108271.44440938917"/>
    <m/>
    <n v="108271.44440938917"/>
    <m/>
    <n v="108271.44440938917"/>
    <n v="2706.7861102347292"/>
    <n v="110978.23051962389"/>
    <m/>
    <n v="110978.23051962389"/>
    <m/>
    <n v="110978.23051962389"/>
    <n v="8878.2584415699112"/>
    <n v="119856.4889611938"/>
    <n v="15581.343564955194"/>
    <n v="135437.832526149"/>
    <n v="35"/>
    <n v="135472.832526149"/>
    <m/>
    <n v="135472.832526149"/>
    <n v="135472.82999999999"/>
    <n v="5853800"/>
    <m/>
    <n v="0.03"/>
    <n v="175614"/>
    <n v="131409.07197408009"/>
    <n v="5678186"/>
    <x v="2"/>
    <n v="25000"/>
    <n v="156409.07197408009"/>
    <n v="1080250.0000000009"/>
    <n v="6758436.0000000009"/>
    <m/>
    <s v="Многодетная семья"/>
    <x v="0"/>
    <x v="0"/>
    <b v="1"/>
    <s v="АГ-005-Г-05-02-422"/>
    <m/>
    <s v="ДА"/>
    <s v="Чистовая"/>
    <b v="1"/>
    <n v="6758436"/>
    <n v="-9.3132257461547852E-10"/>
    <b v="1"/>
    <d v="2025-02-08T00:00:00"/>
    <s v="Полехович"/>
  </r>
  <r>
    <n v="423"/>
    <x v="3"/>
    <x v="4"/>
    <x v="2"/>
    <x v="2"/>
    <n v="7.2"/>
    <m/>
    <m/>
    <n v="7.2"/>
    <n v="5.17"/>
    <n v="3.71"/>
    <m/>
    <m/>
    <n v="6.96"/>
    <n v="2.92"/>
    <m/>
    <m/>
    <n v="2.92"/>
    <n v="25.96"/>
    <n v="23.04"/>
    <n v="24.5"/>
    <n v="91105.56"/>
    <n v="4555.2780000000002"/>
    <n v="95660.838000000003"/>
    <n v="2869.8251399999999"/>
    <n v="98530.663140000004"/>
    <n v="8867.7596826000008"/>
    <n v="107398.4228226"/>
    <m/>
    <n v="107398.4228226"/>
    <m/>
    <n v="107398.4228226"/>
    <m/>
    <n v="107398.4228226"/>
    <n v="1073.9842282259999"/>
    <n v="108472.407050826"/>
    <n v="5423.6203525413002"/>
    <n v="113896.0274033673"/>
    <m/>
    <n v="113896.0274033673"/>
    <n v="3416.880822101019"/>
    <n v="117312.90822546833"/>
    <m/>
    <n v="117312.90822546833"/>
    <m/>
    <n v="117312.90822546833"/>
    <m/>
    <n v="117312.90822546833"/>
    <n v="1173.1290822546832"/>
    <n v="118486.03730772302"/>
    <m/>
    <n v="118486.03730772302"/>
    <n v="592.43018653861509"/>
    <n v="119078.46749426163"/>
    <m/>
    <n v="119078.46749426163"/>
    <m/>
    <n v="119078.46749426163"/>
    <m/>
    <n v="119078.46749426163"/>
    <m/>
    <n v="119078.46749426163"/>
    <m/>
    <n v="119078.46749426163"/>
    <m/>
    <n v="119078.46749426163"/>
    <m/>
    <n v="119078.46749426163"/>
    <m/>
    <n v="119078.46749426163"/>
    <n v="119078.47"/>
    <n v="2917500"/>
    <n v="20000"/>
    <m/>
    <n v="20000"/>
    <n v="118265.30612244898"/>
    <n v="2897500"/>
    <x v="2"/>
    <n v="20000"/>
    <n v="138265.30612244899"/>
    <n v="490000.00000000047"/>
    <n v="3387500.0000000005"/>
    <m/>
    <s v="Зачетная квартира"/>
    <x v="0"/>
    <x v="0"/>
    <b v="1"/>
    <s v="АГ-005-Г-05-03-423"/>
    <m/>
    <s v="ДА"/>
    <s v="Чистовая"/>
    <b v="1"/>
    <n v="3387500"/>
    <n v="-4.6566128730773926E-10"/>
    <b v="1"/>
    <d v="2024-06-18T00:00:00"/>
    <s v="Дик"/>
  </r>
  <r>
    <n v="424"/>
    <x v="3"/>
    <x v="4"/>
    <x v="3"/>
    <x v="1"/>
    <n v="14.48"/>
    <n v="11.42"/>
    <m/>
    <n v="25.9"/>
    <n v="15.86"/>
    <n v="3.01"/>
    <n v="2.67"/>
    <m/>
    <n v="9.44"/>
    <n v="2.72"/>
    <m/>
    <m/>
    <n v="2.72"/>
    <n v="59.6"/>
    <n v="56.88"/>
    <n v="58.24"/>
    <n v="79535.67300000001"/>
    <n v="3976.7836500000008"/>
    <n v="83512.456650000007"/>
    <n v="2505.3736994999999"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n v="86017.83"/>
    <n v="5009678.42"/>
    <m/>
    <n v="0.02"/>
    <n v="100193.5684"/>
    <n v="84297.473385988997"/>
    <n v="4909484.8499999996"/>
    <x v="0"/>
    <n v="7500"/>
    <n v="91797.473385988997"/>
    <n v="436800"/>
    <n v="5346284.8499999996"/>
    <m/>
    <s v="Скидка иногородним"/>
    <x v="0"/>
    <x v="0"/>
    <b v="1"/>
    <s v="АГ-005-Г-05-04-424"/>
    <m/>
    <s v="НЕТ"/>
    <s v="Предчистовая"/>
    <b v="1"/>
    <n v="5346284.8499999996"/>
    <n v="0"/>
    <b v="1"/>
    <d v="2023-12-01T00:00:00"/>
    <s v="Никишов"/>
  </r>
  <r>
    <n v="425"/>
    <x v="3"/>
    <x v="4"/>
    <x v="4"/>
    <x v="1"/>
    <n v="15.41"/>
    <n v="12.78"/>
    <m/>
    <n v="28.189999999999998"/>
    <n v="13.45"/>
    <n v="3.7"/>
    <n v="2.72"/>
    <m/>
    <n v="8.2200000000000006"/>
    <n v="3.03"/>
    <m/>
    <m/>
    <n v="3.03"/>
    <n v="59.31"/>
    <n v="56.28"/>
    <n v="57.8"/>
    <n v="79149.577499999999"/>
    <n v="3957.4788750000002"/>
    <n v="83107.056375"/>
    <n v="2493.2116912500001"/>
    <n v="85600.268066250006"/>
    <m/>
    <n v="85600.268066250006"/>
    <m/>
    <n v="85600.268066250006"/>
    <m/>
    <n v="85600.268066250006"/>
    <m/>
    <n v="85600.268066250006"/>
    <n v="856.0026806625001"/>
    <n v="86456.270746912502"/>
    <n v="4322.8135373456253"/>
    <n v="90779.084284258133"/>
    <m/>
    <n v="90779.084284258133"/>
    <n v="1815.5816856851627"/>
    <n v="92594.665969943293"/>
    <m/>
    <n v="92594.665969943293"/>
    <n v="1851.893319398866"/>
    <n v="94446.559289342156"/>
    <m/>
    <n v="94446.559289342156"/>
    <n v="944.46559289342156"/>
    <n v="95391.024882235579"/>
    <m/>
    <n v="95391.024882235579"/>
    <m/>
    <n v="95391.024882235579"/>
    <m/>
    <n v="95391.024882235579"/>
    <n v="1430.8653732335335"/>
    <n v="96821.890255469116"/>
    <m/>
    <n v="96821.890255469116"/>
    <m/>
    <n v="96821.890255469116"/>
    <m/>
    <n v="96821.890255469116"/>
    <m/>
    <n v="96821.890255469116"/>
    <m/>
    <n v="96821.890255469116"/>
    <m/>
    <n v="96821.890255469116"/>
    <n v="96821.89"/>
    <n v="5596400"/>
    <m/>
    <m/>
    <n v="0"/>
    <n v="96823.529411764714"/>
    <n v="5596400"/>
    <x v="1"/>
    <m/>
    <n v="96823.529411764714"/>
    <n v="0"/>
    <n v="5596400"/>
    <m/>
    <m/>
    <x v="0"/>
    <x v="0"/>
    <b v="1"/>
    <s v="АГ-005-Г-05-05-425"/>
    <m/>
    <s v="ДА"/>
    <s v="Черновая"/>
    <b v="1"/>
    <n v="5596400"/>
    <n v="0"/>
    <b v="1"/>
    <d v="2024-08-12T00:00:00"/>
    <s v="Дик"/>
  </r>
  <r>
    <n v="426"/>
    <x v="3"/>
    <x v="4"/>
    <x v="5"/>
    <x v="0"/>
    <n v="12.71"/>
    <m/>
    <m/>
    <n v="12.71"/>
    <n v="12.55"/>
    <n v="4.28"/>
    <m/>
    <m/>
    <n v="7.34"/>
    <n v="2.84"/>
    <m/>
    <m/>
    <n v="2.84"/>
    <n v="39.72"/>
    <n v="36.880000000000003"/>
    <n v="38.299999999999997"/>
    <n v="87601.5"/>
    <n v="4380.0749999999998"/>
    <n v="91981.574999999997"/>
    <n v="2759.4472499999997"/>
    <n v="94741.022249999995"/>
    <n v="947.41022249999992"/>
    <n v="95688.43247249999"/>
    <m/>
    <n v="95688.43247249999"/>
    <n v="4784.4216236249995"/>
    <n v="100472.854096125"/>
    <m/>
    <n v="100472.854096125"/>
    <n v="1004.72854096125"/>
    <n v="101477.58263708625"/>
    <n v="5073.8791318543126"/>
    <n v="106551.46176894056"/>
    <m/>
    <n v="106551.46176894056"/>
    <n v="3196.5438530682168"/>
    <n v="109748.00562200877"/>
    <m/>
    <n v="109748.00562200877"/>
    <m/>
    <n v="109748.00562200877"/>
    <m/>
    <n v="109748.00562200877"/>
    <m/>
    <n v="109748.00562200877"/>
    <m/>
    <n v="109748.00562200877"/>
    <m/>
    <n v="109748.00562200877"/>
    <m/>
    <n v="109748.00562200877"/>
    <m/>
    <n v="109748.00562200877"/>
    <m/>
    <n v="109748.00562200877"/>
    <m/>
    <n v="109748.00562200877"/>
    <m/>
    <n v="109748.00562200877"/>
    <m/>
    <n v="109748.00562200877"/>
    <m/>
    <n v="109748.00562200877"/>
    <m/>
    <n v="109748.00562200877"/>
    <n v="109748.01"/>
    <n v="4203400"/>
    <n v="88888"/>
    <m/>
    <n v="88888"/>
    <n v="107428.51174934726"/>
    <n v="4114512"/>
    <x v="3"/>
    <n v="7000"/>
    <n v="114428.51174934726"/>
    <n v="268100"/>
    <n v="4382612"/>
    <m/>
    <s v="Весна"/>
    <x v="0"/>
    <x v="0"/>
    <b v="1"/>
    <s v="АГ-005-Г-05-06-426"/>
    <m/>
    <s v="ДА"/>
    <s v="White Box"/>
    <b v="1"/>
    <n v="4382612"/>
    <n v="0"/>
    <b v="1"/>
    <d v="2024-04-11T00:00:00"/>
    <s v="Никишов"/>
  </r>
  <r>
    <n v="427"/>
    <x v="3"/>
    <x v="4"/>
    <x v="6"/>
    <x v="3"/>
    <n v="14.49"/>
    <n v="13.98"/>
    <n v="11.42"/>
    <n v="39.89"/>
    <n v="16.670000000000002"/>
    <n v="4.1399999999999997"/>
    <n v="1.89"/>
    <m/>
    <n v="11.31"/>
    <n v="2.86"/>
    <n v="2.79"/>
    <n v="5.42"/>
    <n v="11.07"/>
    <n v="84.97"/>
    <n v="73.900000000000006"/>
    <n v="79.44"/>
    <n v="76375.530000000013"/>
    <n v="3818.7765000000009"/>
    <n v="80194.306500000021"/>
    <n v="2405.8291950000007"/>
    <n v="82600.135695000019"/>
    <m/>
    <n v="82600.135695000019"/>
    <m/>
    <n v="82600.135695000019"/>
    <m/>
    <n v="82600.135695000019"/>
    <m/>
    <n v="82600.135695000019"/>
    <n v="826.00135695000017"/>
    <n v="83426.13705195002"/>
    <n v="4171.3068525975013"/>
    <n v="87597.443904547516"/>
    <m/>
    <n v="87597.443904547516"/>
    <n v="1751.9488780909503"/>
    <n v="89349.392782638461"/>
    <m/>
    <n v="89349.392782638461"/>
    <n v="1786.9878556527692"/>
    <n v="91136.38063829123"/>
    <n v="1000"/>
    <n v="92136.38063829123"/>
    <m/>
    <n v="92136.38063829123"/>
    <n v="1842.7276127658247"/>
    <n v="93979.108251057056"/>
    <m/>
    <n v="93979.108251057056"/>
    <n v="1879.5821650211412"/>
    <n v="95858.6904160782"/>
    <n v="2396.4672604019552"/>
    <n v="98255.157676480158"/>
    <m/>
    <n v="98255.157676480158"/>
    <n v="3930.2063070592062"/>
    <n v="102185.36398353937"/>
    <n v="5109.2681991769687"/>
    <n v="107294.63218271633"/>
    <n v="13948.302183753123"/>
    <n v="121242.93436646946"/>
    <n v="35"/>
    <n v="121277.93436646946"/>
    <m/>
    <n v="121277.93436646946"/>
    <n v="121277.93"/>
    <n v="9634400"/>
    <n v="400000"/>
    <n v="0.03"/>
    <n v="689032"/>
    <n v="112605.33736153072"/>
    <n v="8945368"/>
    <x v="2"/>
    <n v="25000"/>
    <n v="137605.33736153072"/>
    <n v="1986000"/>
    <n v="10931368"/>
    <s v="Хит"/>
    <s v="Время действовать / Скидка для многодетных"/>
    <x v="0"/>
    <x v="0"/>
    <b v="1"/>
    <s v="АГ-005-Г-05-07-427"/>
    <m/>
    <s v="ДА"/>
    <s v="Чистовая"/>
    <b v="1"/>
    <n v="10931368"/>
    <n v="0"/>
    <b v="1"/>
    <s v=" "/>
    <s v=""/>
  </r>
  <r>
    <n v="428"/>
    <x v="3"/>
    <x v="4"/>
    <x v="7"/>
    <x v="0"/>
    <n v="16.79"/>
    <m/>
    <m/>
    <n v="16.79"/>
    <n v="11.43"/>
    <n v="3.56"/>
    <m/>
    <m/>
    <n v="6.66"/>
    <n v="2.4900000000000002"/>
    <m/>
    <m/>
    <n v="2.4900000000000002"/>
    <n v="40.93"/>
    <n v="38.44"/>
    <n v="39.69"/>
    <n v="84762.5625"/>
    <n v="4238.1281250000002"/>
    <n v="89000.690625000003"/>
    <n v="2670.02071875"/>
    <n v="91670.711343750008"/>
    <n v="4125.1820104687504"/>
    <n v="95795.893354218759"/>
    <m/>
    <n v="95795.893354218759"/>
    <n v="4789.7946677109385"/>
    <n v="100585.6880219297"/>
    <m/>
    <n v="100585.6880219297"/>
    <n v="1005.8568802192971"/>
    <n v="101591.54490214901"/>
    <n v="5079.5772451074508"/>
    <n v="106671.12214725645"/>
    <m/>
    <n v="106671.12214725645"/>
    <n v="3200.1336644176936"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n v="109871.26"/>
    <n v="4360800"/>
    <m/>
    <m/>
    <n v="0"/>
    <n v="109871.50415721846"/>
    <n v="4360800"/>
    <x v="2"/>
    <n v="20000"/>
    <n v="129871.50415721846"/>
    <n v="793800"/>
    <n v="5154600"/>
    <m/>
    <m/>
    <x v="0"/>
    <x v="0"/>
    <b v="1"/>
    <s v="АГ-005-Г-05-08-428"/>
    <m/>
    <s v="ДА"/>
    <s v="Чистовая"/>
    <b v="1"/>
    <n v="5154600"/>
    <n v="0"/>
    <b v="1"/>
    <d v="2024-08-01T00:00:00"/>
    <s v="Никишов"/>
  </r>
  <r>
    <n v="429"/>
    <x v="3"/>
    <x v="5"/>
    <x v="0"/>
    <x v="2"/>
    <n v="13.74"/>
    <m/>
    <m/>
    <n v="13.74"/>
    <n v="5.84"/>
    <n v="3.76"/>
    <m/>
    <m/>
    <n v="3.73"/>
    <n v="4.6500000000000004"/>
    <m/>
    <m/>
    <n v="4.6500000000000004"/>
    <n v="31.72"/>
    <n v="27.07"/>
    <n v="29.4"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n v="89353.53"/>
    <n v="2626993.7799999998"/>
    <m/>
    <m/>
    <n v="0"/>
    <n v="89353.529931972793"/>
    <n v="2626993.7799999998"/>
    <x v="0"/>
    <n v="4500"/>
    <n v="93853.529931972793"/>
    <n v="132300"/>
    <n v="2759293.78"/>
    <m/>
    <m/>
    <x v="0"/>
    <x v="0"/>
    <b v="1"/>
    <s v="АГ-005-Г-06-01-429"/>
    <m/>
    <s v="НЕТ"/>
    <s v="Предчистовая"/>
    <b v="1"/>
    <n v="2759293.78"/>
    <n v="0"/>
    <b v="1"/>
    <d v="2023-09-18T00:00:00"/>
    <s v="Дик"/>
  </r>
  <r>
    <n v="430"/>
    <x v="3"/>
    <x v="5"/>
    <x v="1"/>
    <x v="0"/>
    <n v="13.17"/>
    <m/>
    <m/>
    <n v="13.17"/>
    <n v="16.940000000000001"/>
    <n v="3.55"/>
    <n v="2.41"/>
    <m/>
    <n v="5.8"/>
    <n v="2.68"/>
    <m/>
    <m/>
    <n v="2.68"/>
    <n v="44.55"/>
    <n v="41.87"/>
    <n v="43.21"/>
    <n v="85168.125"/>
    <n v="4258.40625"/>
    <n v="89426.53125"/>
    <n v="2682.7959375"/>
    <n v="92109.327187500006"/>
    <n v="921.09327187500003"/>
    <n v="93030.420459375004"/>
    <m/>
    <n v="93030.420459375004"/>
    <n v="4651.52102296875"/>
    <n v="97681.941482343755"/>
    <m/>
    <n v="97681.941482343755"/>
    <n v="976.81941482343757"/>
    <n v="98658.760897167187"/>
    <n v="4932.9380448583597"/>
    <n v="103591.69894202554"/>
    <m/>
    <n v="103591.69894202554"/>
    <n v="3107.7509682607661"/>
    <n v="106699.4499102863"/>
    <n v="500"/>
    <n v="107199.4499102863"/>
    <m/>
    <n v="107199.4499102863"/>
    <m/>
    <n v="107199.4499102863"/>
    <m/>
    <n v="107199.4499102863"/>
    <n v="1071.9944991028631"/>
    <n v="108271.44440938917"/>
    <m/>
    <n v="108271.44440938917"/>
    <m/>
    <n v="108271.44440938917"/>
    <m/>
    <n v="108271.44440938917"/>
    <m/>
    <n v="108271.44440938917"/>
    <m/>
    <n v="108271.44440938917"/>
    <m/>
    <n v="108271.44440938917"/>
    <m/>
    <n v="108271.44440938917"/>
    <m/>
    <n v="108271.44440938917"/>
    <m/>
    <n v="108271.44440938917"/>
    <n v="108271.44"/>
    <n v="4678500"/>
    <m/>
    <m/>
    <n v="0"/>
    <n v="108273.54778986346"/>
    <n v="4678500"/>
    <x v="3"/>
    <n v="7000"/>
    <n v="115273.54778986346"/>
    <n v="302470"/>
    <n v="4980970"/>
    <m/>
    <m/>
    <x v="0"/>
    <x v="0"/>
    <b v="1"/>
    <s v="АГ-005-Г-06-02-430"/>
    <m/>
    <s v="ДА"/>
    <s v="White Box"/>
    <b v="1"/>
    <n v="4980970"/>
    <n v="0"/>
    <b v="1"/>
    <d v="2024-06-04T00:00:00"/>
    <s v="Дик"/>
  </r>
  <r>
    <n v="431"/>
    <x v="3"/>
    <x v="5"/>
    <x v="2"/>
    <x v="2"/>
    <n v="7.2"/>
    <m/>
    <m/>
    <n v="7.2"/>
    <n v="5.17"/>
    <n v="3.71"/>
    <m/>
    <m/>
    <n v="6.96"/>
    <n v="2.92"/>
    <m/>
    <m/>
    <n v="2.92"/>
    <n v="25.96"/>
    <n v="23.04"/>
    <n v="24.5"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n v="91105.56"/>
    <n v="2232086.2200000002"/>
    <n v="350000"/>
    <m/>
    <n v="350000"/>
    <n v="76819.845714285708"/>
    <n v="1882086.22"/>
    <x v="1"/>
    <m/>
    <n v="76819.845714285708"/>
    <n v="0"/>
    <n v="1882086.2199999997"/>
    <m/>
    <s v="Подарочный сертификат"/>
    <x v="0"/>
    <x v="0"/>
    <b v="1"/>
    <s v="АГ-005-Г-06-03-431"/>
    <m/>
    <s v="НЕТ"/>
    <s v="Черновая"/>
    <b v="1"/>
    <n v="1882086.22"/>
    <n v="2.3283064365386963E-10"/>
    <b v="1"/>
    <d v="2023-09-25T00:00:00"/>
    <s v="Кофанова"/>
  </r>
  <r>
    <n v="432"/>
    <x v="3"/>
    <x v="5"/>
    <x v="3"/>
    <x v="1"/>
    <n v="14.48"/>
    <n v="11.42"/>
    <m/>
    <n v="25.9"/>
    <n v="15.86"/>
    <n v="3.01"/>
    <n v="2.67"/>
    <m/>
    <n v="9.44"/>
    <n v="2.72"/>
    <m/>
    <m/>
    <n v="2.72"/>
    <n v="59.6"/>
    <n v="56.88"/>
    <n v="58.24"/>
    <n v="79535.67300000001"/>
    <n v="3976.7836500000008"/>
    <n v="83512.456650000007"/>
    <n v="2505.3736994999999"/>
    <n v="86017.8303495"/>
    <m/>
    <n v="86017.8303495"/>
    <m/>
    <n v="86017.8303495"/>
    <m/>
    <n v="86017.8303495"/>
    <m/>
    <n v="86017.8303495"/>
    <n v="860.17830349500002"/>
    <n v="86878.008652995006"/>
    <n v="4343.9004326497507"/>
    <n v="91221.909085644758"/>
    <m/>
    <n v="91221.909085644758"/>
    <m/>
    <n v="91221.909085644758"/>
    <m/>
    <n v="91221.909085644758"/>
    <m/>
    <n v="91221.909085644758"/>
    <m/>
    <n v="91221.909085644758"/>
    <m/>
    <n v="91221.909085644758"/>
    <m/>
    <n v="91221.909085644758"/>
    <m/>
    <n v="91221.909085644758"/>
    <m/>
    <n v="91221.909085644758"/>
    <m/>
    <n v="91221.909085644758"/>
    <m/>
    <n v="91221.909085644758"/>
    <m/>
    <n v="91221.909085644758"/>
    <m/>
    <n v="91221.909085644758"/>
    <m/>
    <n v="91221.909085644758"/>
    <m/>
    <n v="91221.909085644758"/>
    <m/>
    <n v="91221.909085644758"/>
    <n v="91221.91"/>
    <n v="5312800"/>
    <m/>
    <n v="0.02"/>
    <n v="106256"/>
    <n v="89398.076923076922"/>
    <n v="5206544"/>
    <x v="3"/>
    <n v="7000"/>
    <n v="96398.076923076922"/>
    <n v="407680"/>
    <n v="5614224"/>
    <m/>
    <s v="Скидка иногородним"/>
    <x v="0"/>
    <x v="0"/>
    <b v="1"/>
    <s v="АГ-005-Г-06-04-432"/>
    <m/>
    <s v="ДА"/>
    <s v="White Box"/>
    <b v="1"/>
    <n v="5614224"/>
    <n v="0"/>
    <b v="1"/>
    <d v="2024-01-18T00:00:00"/>
    <s v="Полехович"/>
  </r>
  <r>
    <n v="433"/>
    <x v="3"/>
    <x v="5"/>
    <x v="4"/>
    <x v="1"/>
    <n v="15.41"/>
    <n v="12.78"/>
    <m/>
    <n v="28.189999999999998"/>
    <n v="13.45"/>
    <n v="3.7"/>
    <n v="2.72"/>
    <m/>
    <n v="8.2200000000000006"/>
    <n v="3.03"/>
    <m/>
    <m/>
    <n v="3.03"/>
    <n v="59.31"/>
    <n v="56.28"/>
    <n v="57.8"/>
    <n v="79149.577499999999"/>
    <n v="3957.4788750000002"/>
    <n v="83107.056375"/>
    <n v="2493.2116912500001"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n v="85600.27"/>
    <n v="4947700"/>
    <m/>
    <n v="0.02"/>
    <n v="98954"/>
    <n v="83888.339100346027"/>
    <n v="4848746"/>
    <x v="0"/>
    <n v="7500"/>
    <n v="91388.339100346027"/>
    <n v="433500"/>
    <n v="5282246"/>
    <m/>
    <s v="Скидка инвестору"/>
    <x v="0"/>
    <x v="0"/>
    <b v="1"/>
    <s v="АГ-005-Г-06-05-433"/>
    <m/>
    <s v="ДА"/>
    <s v="Предчистовая"/>
    <b v="1"/>
    <n v="5282246"/>
    <n v="0"/>
    <b v="1"/>
    <d v="2023-11-29T00:00:00"/>
    <s v="Дик"/>
  </r>
  <r>
    <n v="434"/>
    <x v="3"/>
    <x v="5"/>
    <x v="5"/>
    <x v="0"/>
    <n v="12.71"/>
    <m/>
    <m/>
    <n v="12.71"/>
    <n v="12.55"/>
    <n v="4.28"/>
    <m/>
    <m/>
    <n v="7.34"/>
    <n v="2.84"/>
    <m/>
    <m/>
    <n v="2.84"/>
    <n v="39.72"/>
    <n v="36.880000000000003"/>
    <n v="38.299999999999997"/>
    <n v="87601.5"/>
    <n v="4380.0749999999998"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n v="91981.58"/>
    <n v="3522894.51"/>
    <m/>
    <m/>
    <n v="0"/>
    <n v="91981.579895561357"/>
    <n v="3522894.51"/>
    <x v="1"/>
    <m/>
    <n v="91981.579895561357"/>
    <n v="0"/>
    <n v="3522894.51"/>
    <m/>
    <m/>
    <x v="0"/>
    <x v="0"/>
    <b v="1"/>
    <s v="АГ-005-Г-06-06-434"/>
    <m/>
    <s v="НЕТ"/>
    <s v="Черновая"/>
    <b v="1"/>
    <n v="3522894.51"/>
    <n v="0"/>
    <b v="1"/>
    <d v="2023-09-18T00:00:00"/>
    <s v="Калачева"/>
  </r>
  <r>
    <n v="435"/>
    <x v="3"/>
    <x v="5"/>
    <x v="6"/>
    <x v="3"/>
    <n v="14.49"/>
    <n v="13.98"/>
    <n v="11.42"/>
    <n v="39.89"/>
    <n v="16.670000000000002"/>
    <n v="4.1399999999999997"/>
    <n v="1.89"/>
    <m/>
    <n v="11.31"/>
    <n v="2.86"/>
    <n v="2.79"/>
    <n v="5.42"/>
    <n v="11.07"/>
    <n v="84.97"/>
    <n v="73.900000000000006"/>
    <n v="79.44"/>
    <n v="76375.530000000013"/>
    <n v="3818.7765000000009"/>
    <n v="80194.306500000021"/>
    <n v="2405.8291950000007"/>
    <n v="82600.135695000019"/>
    <m/>
    <n v="82600.135695000019"/>
    <m/>
    <n v="82600.135695000019"/>
    <m/>
    <n v="82600.135695000019"/>
    <m/>
    <n v="82600.135695000019"/>
    <n v="826.00135695000017"/>
    <n v="83426.13705195002"/>
    <n v="4171.3068525975013"/>
    <n v="87597.443904547516"/>
    <m/>
    <n v="87597.443904547516"/>
    <n v="1751.9488780909503"/>
    <n v="89349.392782638461"/>
    <m/>
    <n v="89349.392782638461"/>
    <n v="1786.9878556527692"/>
    <n v="91136.38063829123"/>
    <n v="1000"/>
    <n v="92136.38063829123"/>
    <m/>
    <n v="92136.38063829123"/>
    <n v="1842.7276127658247"/>
    <n v="93979.108251057056"/>
    <m/>
    <n v="93979.108251057056"/>
    <n v="1879.5821650211412"/>
    <n v="95858.6904160782"/>
    <n v="2396.4672604019552"/>
    <n v="98255.157676480158"/>
    <m/>
    <n v="98255.157676480158"/>
    <n v="3930.2063070592062"/>
    <n v="102185.36398353937"/>
    <n v="5109.2681991769687"/>
    <n v="107294.63218271633"/>
    <n v="13948.302183753123"/>
    <n v="121242.93436646946"/>
    <n v="35"/>
    <n v="121277.93436646946"/>
    <m/>
    <n v="121277.93436646946"/>
    <n v="121277.93"/>
    <n v="9634400"/>
    <n v="400000"/>
    <m/>
    <n v="400000"/>
    <n v="116243.70594159114"/>
    <n v="9234400"/>
    <x v="1"/>
    <m/>
    <n v="116243.70594159114"/>
    <n v="0"/>
    <n v="9234400"/>
    <s v="Хит"/>
    <s v="Время действовать"/>
    <x v="0"/>
    <x v="0"/>
    <b v="1"/>
    <s v="АГ-005-Г-06-07-435"/>
    <m/>
    <s v="ДА"/>
    <s v="Черновая"/>
    <b v="1"/>
    <n v="9234400"/>
    <n v="0"/>
    <b v="1"/>
    <d v="2025-04-22T00:00:00"/>
    <s v="Никишов"/>
  </r>
  <r>
    <n v="436"/>
    <x v="3"/>
    <x v="5"/>
    <x v="7"/>
    <x v="0"/>
    <n v="16.79"/>
    <m/>
    <m/>
    <n v="16.79"/>
    <n v="11.43"/>
    <n v="3.56"/>
    <m/>
    <m/>
    <n v="6.66"/>
    <n v="2.4900000000000002"/>
    <m/>
    <m/>
    <n v="2.4900000000000002"/>
    <n v="40.93"/>
    <n v="38.44"/>
    <n v="39.69"/>
    <n v="84762.5625"/>
    <n v="4238.1281250000002"/>
    <n v="89000.690625000003"/>
    <n v="2670.02071875"/>
    <n v="91670.711343750008"/>
    <n v="4125.1820104687504"/>
    <n v="95795.893354218759"/>
    <m/>
    <n v="95795.893354218759"/>
    <n v="4789.7946677109385"/>
    <n v="100585.6880219297"/>
    <m/>
    <n v="100585.6880219297"/>
    <n v="1005.8568802192971"/>
    <n v="101591.54490214901"/>
    <n v="5079.5772451074508"/>
    <n v="106671.12214725645"/>
    <m/>
    <n v="106671.12214725645"/>
    <n v="3200.1336644176936"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n v="109871.26"/>
    <n v="4360800"/>
    <m/>
    <m/>
    <n v="0"/>
    <n v="109871.50415721846"/>
    <n v="4360800"/>
    <x v="2"/>
    <n v="20000"/>
    <n v="129871.50415721846"/>
    <n v="793800"/>
    <n v="5154600"/>
    <m/>
    <m/>
    <x v="0"/>
    <x v="0"/>
    <b v="1"/>
    <s v="АГ-005-Г-06-08-436"/>
    <m/>
    <s v="ДА"/>
    <s v="Чистовая"/>
    <b v="1"/>
    <n v="5154600"/>
    <n v="0"/>
    <b v="1"/>
    <d v="2024-06-21T00:00:00"/>
    <s v="Дик"/>
  </r>
  <r>
    <n v="437"/>
    <x v="3"/>
    <x v="6"/>
    <x v="0"/>
    <x v="2"/>
    <n v="13.74"/>
    <m/>
    <m/>
    <n v="13.74"/>
    <n v="5.84"/>
    <n v="3.76"/>
    <m/>
    <m/>
    <n v="3.73"/>
    <n v="4.6500000000000004"/>
    <m/>
    <m/>
    <n v="4.6500000000000004"/>
    <n v="31.72"/>
    <n v="27.07"/>
    <n v="29.4"/>
    <n v="89353.53"/>
    <n v="4467.6765000000005"/>
    <n v="93821.2065"/>
    <n v="2814.636195"/>
    <n v="96635.842694999999"/>
    <n v="8697.2258425500004"/>
    <n v="105333.06853755"/>
    <m/>
    <n v="105333.06853755"/>
    <m/>
    <n v="105333.06853755"/>
    <m/>
    <n v="105333.06853755"/>
    <n v="1053.3306853755"/>
    <n v="106386.39922292551"/>
    <n v="5319.319961146276"/>
    <n v="111705.71918407179"/>
    <m/>
    <n v="111705.71918407179"/>
    <n v="3351.1715755221535"/>
    <n v="115056.89075959394"/>
    <m/>
    <n v="115056.89075959394"/>
    <m/>
    <n v="115056.89075959394"/>
    <m/>
    <n v="115056.89075959394"/>
    <n v="1150.5689075959394"/>
    <n v="116207.45966718988"/>
    <m/>
    <n v="116207.45966718988"/>
    <m/>
    <n v="116207.45966718988"/>
    <m/>
    <n v="116207.45966718988"/>
    <n v="1743.111895007848"/>
    <n v="117950.57156219773"/>
    <m/>
    <n v="117950.57156219773"/>
    <m/>
    <n v="117950.57156219773"/>
    <n v="4718.0228624879092"/>
    <n v="122668.59442468564"/>
    <n v="15946.917275209133"/>
    <n v="138615.51169989476"/>
    <n v="35"/>
    <n v="138650.51169989476"/>
    <m/>
    <n v="138650.51169989476"/>
    <n v="138650.51"/>
    <n v="4076400"/>
    <m/>
    <n v="0.02"/>
    <n v="81528"/>
    <n v="135880"/>
    <n v="3994872"/>
    <x v="2"/>
    <n v="25000"/>
    <n v="160880"/>
    <n v="735000"/>
    <n v="4729872"/>
    <m/>
    <s v="Скидка иногородним"/>
    <x v="0"/>
    <x v="0"/>
    <b v="1"/>
    <s v="АГ-005-Г-07-01-437"/>
    <m/>
    <s v="ДА"/>
    <s v="Чистовая"/>
    <b v="1"/>
    <n v="4729872"/>
    <n v="0"/>
    <b v="1"/>
    <d v="2025-02-18T00:00:00"/>
    <s v="Дик"/>
  </r>
  <r>
    <n v="438"/>
    <x v="3"/>
    <x v="6"/>
    <x v="1"/>
    <x v="0"/>
    <n v="13.17"/>
    <m/>
    <m/>
    <n v="13.17"/>
    <n v="16.940000000000001"/>
    <n v="3.55"/>
    <n v="2.41"/>
    <m/>
    <n v="5.8"/>
    <n v="2.68"/>
    <m/>
    <m/>
    <n v="2.68"/>
    <n v="44.55"/>
    <n v="41.87"/>
    <n v="43.21"/>
    <n v="85168.125"/>
    <n v="4258.40625"/>
    <n v="89426.53125"/>
    <n v="2682.7959375"/>
    <n v="92109.327187500006"/>
    <n v="921.09327187500003"/>
    <n v="93030.420459375004"/>
    <m/>
    <n v="93030.420459375004"/>
    <n v="4651.52102296875"/>
    <n v="97681.941482343755"/>
    <m/>
    <n v="97681.941482343755"/>
    <m/>
    <n v="97681.941482343755"/>
    <m/>
    <n v="97681.941482343755"/>
    <m/>
    <n v="97681.941482343755"/>
    <m/>
    <n v="97681.941482343755"/>
    <m/>
    <n v="97681.941482343755"/>
    <m/>
    <n v="97681.941482343755"/>
    <m/>
    <n v="97681.941482343755"/>
    <m/>
    <n v="97681.941482343755"/>
    <m/>
    <n v="97681.941482343755"/>
    <m/>
    <n v="97681.941482343755"/>
    <m/>
    <n v="97681.941482343755"/>
    <m/>
    <n v="97681.941482343755"/>
    <m/>
    <n v="97681.941482343755"/>
    <m/>
    <n v="97681.941482343755"/>
    <m/>
    <n v="97681.941482343755"/>
    <m/>
    <n v="97681.941482343755"/>
    <m/>
    <n v="97681.941482343755"/>
    <m/>
    <n v="97681.941482343755"/>
    <n v="97681.94"/>
    <n v="4220900"/>
    <m/>
    <m/>
    <n v="0"/>
    <n v="97683.406618838228"/>
    <n v="4220900"/>
    <x v="1"/>
    <m/>
    <n v="97683.406618838228"/>
    <n v="0"/>
    <n v="4220900"/>
    <m/>
    <m/>
    <x v="0"/>
    <x v="0"/>
    <b v="1"/>
    <s v="АГ-005-Г-07-02-438"/>
    <m/>
    <s v="ДА"/>
    <s v="Черновая"/>
    <b v="1"/>
    <n v="4220900"/>
    <n v="0"/>
    <b v="1"/>
    <d v="2023-11-30T00:00:00"/>
    <s v="Дик"/>
  </r>
  <r>
    <n v="439"/>
    <x v="3"/>
    <x v="6"/>
    <x v="2"/>
    <x v="2"/>
    <n v="7.2"/>
    <m/>
    <m/>
    <n v="7.2"/>
    <n v="5.17"/>
    <n v="3.71"/>
    <m/>
    <m/>
    <n v="6.96"/>
    <n v="2.92"/>
    <m/>
    <m/>
    <n v="2.92"/>
    <n v="25.96"/>
    <n v="23.04"/>
    <n v="24.5"/>
    <n v="91105.56"/>
    <n v="4555.2780000000002"/>
    <n v="95660.838000000003"/>
    <n v="2869.8251399999999"/>
    <n v="98530.663140000004"/>
    <n v="8867.7596826000008"/>
    <n v="107398.4228226"/>
    <m/>
    <n v="107398.4228226"/>
    <m/>
    <n v="107398.4228226"/>
    <m/>
    <n v="107398.4228226"/>
    <n v="1073.9842282259999"/>
    <n v="108472.407050826"/>
    <n v="5423.6203525413002"/>
    <n v="113896.0274033673"/>
    <m/>
    <n v="113896.0274033673"/>
    <n v="3416.880822101019"/>
    <n v="117312.90822546833"/>
    <m/>
    <n v="117312.90822546833"/>
    <m/>
    <n v="117312.90822546833"/>
    <m/>
    <n v="117312.90822546833"/>
    <n v="1173.1290822546832"/>
    <n v="118486.03730772302"/>
    <m/>
    <n v="118486.03730772302"/>
    <n v="592.43018653861509"/>
    <n v="119078.46749426163"/>
    <m/>
    <n v="119078.46749426163"/>
    <n v="2976.961687356541"/>
    <n v="122055.42918161816"/>
    <m/>
    <n v="122055.42918161816"/>
    <m/>
    <n v="122055.42918161816"/>
    <n v="4882.2171672647264"/>
    <n v="126937.64634888289"/>
    <n v="16501.894025354777"/>
    <n v="143439.54037423767"/>
    <n v="35"/>
    <n v="143474.54037423767"/>
    <m/>
    <n v="143474.54037423767"/>
    <n v="143474.54"/>
    <n v="3515200"/>
    <m/>
    <m/>
    <n v="0"/>
    <n v="143477.55102040817"/>
    <n v="3515200"/>
    <x v="1"/>
    <m/>
    <n v="143477.55102040817"/>
    <n v="0"/>
    <n v="3515200"/>
    <m/>
    <m/>
    <x v="0"/>
    <x v="0"/>
    <b v="1"/>
    <s v="АГ-005-Г-07-03-439"/>
    <m/>
    <s v="ДА"/>
    <s v="Черновая"/>
    <b v="1"/>
    <n v="3515200"/>
    <n v="0"/>
    <b v="1"/>
    <d v="2025-03-26T00:00:00"/>
    <s v="Нуждина"/>
  </r>
  <r>
    <n v="440"/>
    <x v="3"/>
    <x v="6"/>
    <x v="3"/>
    <x v="1"/>
    <n v="14.48"/>
    <n v="11.42"/>
    <m/>
    <n v="25.9"/>
    <n v="15.86"/>
    <n v="3.01"/>
    <n v="2.67"/>
    <m/>
    <n v="9.44"/>
    <n v="2.72"/>
    <m/>
    <m/>
    <n v="2.72"/>
    <n v="59.6"/>
    <n v="56.88"/>
    <n v="58.24"/>
    <n v="79535.67300000001"/>
    <n v="3976.7836500000008"/>
    <n v="83512.456650000007"/>
    <n v="2505.3736994999999"/>
    <n v="86017.8303495"/>
    <m/>
    <n v="86017.8303495"/>
    <m/>
    <n v="86017.8303495"/>
    <m/>
    <n v="86017.8303495"/>
    <m/>
    <n v="86017.8303495"/>
    <n v="860.17830349500002"/>
    <n v="86878.008652995006"/>
    <n v="4343.9004326497507"/>
    <n v="91221.909085644758"/>
    <m/>
    <n v="91221.909085644758"/>
    <n v="1824.4381817128951"/>
    <n v="93046.347267357647"/>
    <m/>
    <n v="93046.347267357647"/>
    <n v="1860.9269453471529"/>
    <n v="94907.274212704797"/>
    <m/>
    <n v="94907.274212704797"/>
    <n v="949.07274212704795"/>
    <n v="95856.346954831839"/>
    <m/>
    <n v="95856.346954831839"/>
    <m/>
    <n v="95856.346954831839"/>
    <m/>
    <n v="95856.346954831839"/>
    <n v="1437.8452043224775"/>
    <n v="97294.192159154321"/>
    <m/>
    <n v="97294.192159154321"/>
    <n v="3891.7676863661727"/>
    <n v="101185.9598455205"/>
    <n v="6071.1575907312299"/>
    <n v="107257.11743625173"/>
    <n v="13943.425266712726"/>
    <n v="121200.54270296446"/>
    <m/>
    <n v="121200.54270296446"/>
    <m/>
    <n v="121200.54270296446"/>
    <n v="121200.54"/>
    <n v="7058800"/>
    <m/>
    <n v="0.03"/>
    <n v="211764"/>
    <n v="117565.86538461538"/>
    <n v="6847036"/>
    <x v="3"/>
    <n v="8000"/>
    <n v="125565.86538461538"/>
    <n v="465920"/>
    <n v="7312956"/>
    <m/>
    <s v="Ветеран боевых действий"/>
    <x v="0"/>
    <x v="0"/>
    <b v="1"/>
    <s v="АГ-005-Г-07-04-440"/>
    <m/>
    <s v="ДА"/>
    <s v="White Box"/>
    <b v="1"/>
    <n v="7312956"/>
    <n v="0"/>
    <b v="1"/>
    <d v="2024-11-20T00:00:00"/>
    <s v="Никишов"/>
  </r>
  <r>
    <n v="441"/>
    <x v="3"/>
    <x v="6"/>
    <x v="4"/>
    <x v="1"/>
    <n v="15.41"/>
    <n v="12.78"/>
    <m/>
    <n v="28.189999999999998"/>
    <n v="13.45"/>
    <n v="3.7"/>
    <n v="2.72"/>
    <m/>
    <n v="8.2200000000000006"/>
    <n v="3.03"/>
    <m/>
    <m/>
    <n v="3.03"/>
    <n v="59.31"/>
    <n v="56.28"/>
    <n v="57.8"/>
    <n v="79149.577499999999"/>
    <n v="3957.4788750000002"/>
    <n v="83107.056375"/>
    <n v="2493.2116912500001"/>
    <n v="85600.268066250006"/>
    <m/>
    <n v="85600.268066250006"/>
    <m/>
    <n v="85600.268066250006"/>
    <m/>
    <n v="85600.268066250006"/>
    <m/>
    <n v="85600.268066250006"/>
    <n v="856.0026806625001"/>
    <n v="86456.270746912502"/>
    <n v="4322.8135373456253"/>
    <n v="90779.084284258133"/>
    <m/>
    <n v="90779.084284258133"/>
    <n v="1815.5816856851627"/>
    <n v="92594.665969943293"/>
    <m/>
    <n v="92594.665969943293"/>
    <n v="1851.893319398866"/>
    <n v="94446.559289342156"/>
    <m/>
    <n v="94446.559289342156"/>
    <n v="944.46559289342156"/>
    <n v="95391.024882235579"/>
    <m/>
    <n v="95391.024882235579"/>
    <m/>
    <n v="95391.024882235579"/>
    <m/>
    <n v="95391.024882235579"/>
    <n v="1430.8653732335335"/>
    <n v="96821.890255469116"/>
    <m/>
    <n v="96821.890255469116"/>
    <m/>
    <n v="96821.890255469116"/>
    <m/>
    <n v="96821.890255469116"/>
    <m/>
    <n v="96821.890255469116"/>
    <m/>
    <n v="96821.890255469116"/>
    <m/>
    <n v="96821.890255469116"/>
    <n v="96821.89"/>
    <n v="5596400"/>
    <m/>
    <m/>
    <n v="0"/>
    <n v="96823.529411764714"/>
    <n v="5596400"/>
    <x v="3"/>
    <n v="7000"/>
    <n v="103823.52941176471"/>
    <n v="404600"/>
    <n v="6001000"/>
    <m/>
    <m/>
    <x v="0"/>
    <x v="0"/>
    <b v="1"/>
    <s v="АГ-005-Г-07-05-441"/>
    <m/>
    <s v="ДА"/>
    <s v="White Box"/>
    <b v="1"/>
    <n v="6001000"/>
    <n v="0"/>
    <b v="1"/>
    <d v="2024-07-29T00:00:00"/>
    <s v="Дик"/>
  </r>
  <r>
    <n v="442"/>
    <x v="3"/>
    <x v="6"/>
    <x v="5"/>
    <x v="0"/>
    <n v="12.71"/>
    <m/>
    <m/>
    <n v="12.71"/>
    <n v="12.55"/>
    <n v="4.28"/>
    <m/>
    <m/>
    <n v="7.34"/>
    <n v="2.84"/>
    <m/>
    <m/>
    <n v="2.84"/>
    <n v="39.72"/>
    <n v="36.880000000000003"/>
    <n v="38.299999999999997"/>
    <n v="87601.5"/>
    <n v="4380.0749999999998"/>
    <n v="91981.574999999997"/>
    <n v="2759.4472499999997"/>
    <n v="94741.022249999995"/>
    <n v="947.41022249999992"/>
    <n v="95688.43247249999"/>
    <m/>
    <n v="95688.43247249999"/>
    <n v="4784.4216236249995"/>
    <n v="100472.854096125"/>
    <m/>
    <n v="100472.854096125"/>
    <n v="1004.72854096125"/>
    <n v="101477.58263708625"/>
    <n v="5073.8791318543126"/>
    <n v="106551.46176894056"/>
    <m/>
    <n v="106551.46176894056"/>
    <m/>
    <n v="106551.46176894056"/>
    <m/>
    <n v="106551.46176894056"/>
    <m/>
    <n v="106551.46176894056"/>
    <m/>
    <n v="106551.46176894056"/>
    <m/>
    <n v="106551.46176894056"/>
    <m/>
    <n v="106551.46176894056"/>
    <m/>
    <n v="106551.46176894056"/>
    <m/>
    <n v="106551.46176894056"/>
    <m/>
    <n v="106551.46176894056"/>
    <m/>
    <n v="106551.46176894056"/>
    <m/>
    <n v="106551.46176894056"/>
    <m/>
    <n v="106551.46176894056"/>
    <m/>
    <n v="106551.46176894056"/>
    <m/>
    <n v="106551.46176894056"/>
    <m/>
    <n v="106551.46176894056"/>
    <n v="106551.46"/>
    <n v="4081000"/>
    <m/>
    <m/>
    <n v="0"/>
    <n v="106553.52480417755"/>
    <n v="4081000"/>
    <x v="3"/>
    <n v="7000"/>
    <n v="113553.52480417755"/>
    <n v="268100"/>
    <n v="4349100"/>
    <m/>
    <m/>
    <x v="0"/>
    <x v="0"/>
    <b v="1"/>
    <s v="АГ-005-Г-07-06-442"/>
    <m/>
    <s v="ДА"/>
    <s v="White Box"/>
    <b v="1"/>
    <n v="4349100"/>
    <n v="0"/>
    <b v="1"/>
    <d v="2024-02-29T00:00:00"/>
    <s v="Полехович"/>
  </r>
  <r>
    <n v="443"/>
    <x v="3"/>
    <x v="6"/>
    <x v="6"/>
    <x v="3"/>
    <n v="14.49"/>
    <n v="13.98"/>
    <n v="11.42"/>
    <n v="39.89"/>
    <n v="16.670000000000002"/>
    <n v="4.1399999999999997"/>
    <n v="1.89"/>
    <m/>
    <n v="11.31"/>
    <n v="2.86"/>
    <n v="2.79"/>
    <n v="5.42"/>
    <n v="11.07"/>
    <n v="84.97"/>
    <n v="73.900000000000006"/>
    <n v="79.44"/>
    <n v="76375.530000000013"/>
    <n v="3818.7765000000009"/>
    <n v="80194.306500000021"/>
    <n v="2405.8291950000007"/>
    <n v="82600.135695000019"/>
    <m/>
    <n v="82600.135695000019"/>
    <m/>
    <n v="82600.135695000019"/>
    <m/>
    <n v="82600.135695000019"/>
    <m/>
    <n v="82600.135695000019"/>
    <n v="826.00135695000017"/>
    <n v="83426.13705195002"/>
    <n v="4171.3068525975013"/>
    <n v="87597.443904547516"/>
    <m/>
    <n v="87597.443904547516"/>
    <n v="1751.9488780909503"/>
    <n v="89349.392782638461"/>
    <m/>
    <n v="89349.392782638461"/>
    <n v="1786.9878556527692"/>
    <n v="91136.38063829123"/>
    <m/>
    <n v="91136.38063829123"/>
    <m/>
    <n v="91136.38063829123"/>
    <m/>
    <n v="91136.38063829123"/>
    <m/>
    <n v="91136.38063829123"/>
    <m/>
    <n v="91136.38063829123"/>
    <m/>
    <n v="91136.38063829123"/>
    <m/>
    <n v="91136.38063829123"/>
    <m/>
    <n v="91136.38063829123"/>
    <m/>
    <n v="91136.38063829123"/>
    <m/>
    <n v="91136.38063829123"/>
    <m/>
    <n v="91136.38063829123"/>
    <m/>
    <n v="91136.38063829123"/>
    <n v="91136.38"/>
    <n v="7239900"/>
    <n v="90000"/>
    <m/>
    <n v="90000"/>
    <n v="90003.776435045322"/>
    <n v="7149900"/>
    <x v="2"/>
    <n v="20000"/>
    <n v="110003.77643504532"/>
    <n v="1588800"/>
    <n v="8738700"/>
    <s v="Хит"/>
    <s v="Поехали в Амград"/>
    <x v="0"/>
    <x v="0"/>
    <b v="1"/>
    <s v="АГ-005-Г-07-07-443"/>
    <m/>
    <s v="ДА"/>
    <s v="Чистовая"/>
    <b v="1"/>
    <n v="8738700"/>
    <n v="0"/>
    <b v="1"/>
    <d v="2024-05-21T00:00:00"/>
    <s v="Дик"/>
  </r>
  <r>
    <n v="444"/>
    <x v="3"/>
    <x v="6"/>
    <x v="7"/>
    <x v="0"/>
    <n v="16.79"/>
    <m/>
    <m/>
    <n v="16.79"/>
    <n v="11.43"/>
    <n v="3.56"/>
    <m/>
    <m/>
    <n v="6.66"/>
    <n v="2.4900000000000002"/>
    <m/>
    <m/>
    <n v="2.4900000000000002"/>
    <n v="40.93"/>
    <n v="38.44"/>
    <n v="39.69"/>
    <n v="84762.5625"/>
    <n v="4238.1281250000002"/>
    <n v="89000.690625000003"/>
    <n v="2670.02071875"/>
    <n v="91670.711343750008"/>
    <n v="4125.1820104687504"/>
    <n v="95795.893354218759"/>
    <m/>
    <n v="95795.893354218759"/>
    <n v="4789.7946677109385"/>
    <n v="100585.6880219297"/>
    <m/>
    <n v="100585.6880219297"/>
    <n v="1005.8568802192971"/>
    <n v="101591.54490214901"/>
    <n v="5079.5772451074508"/>
    <n v="106671.12214725645"/>
    <m/>
    <n v="106671.12214725645"/>
    <n v="3200.1336644176936"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n v="109871.26"/>
    <n v="4360800"/>
    <m/>
    <m/>
    <n v="0"/>
    <n v="109871.50415721846"/>
    <n v="4360800"/>
    <x v="3"/>
    <n v="7000"/>
    <n v="116871.50415721846"/>
    <n v="277830"/>
    <n v="4638630"/>
    <m/>
    <m/>
    <x v="0"/>
    <x v="0"/>
    <b v="1"/>
    <s v="АГ-005-Г-07-08-444"/>
    <m/>
    <s v="ДА"/>
    <s v="White Box"/>
    <b v="1"/>
    <n v="4638630"/>
    <n v="0"/>
    <b v="1"/>
    <d v="2024-05-29T00:00:00"/>
    <s v="Никишов"/>
  </r>
  <r>
    <n v="445"/>
    <x v="3"/>
    <x v="7"/>
    <x v="0"/>
    <x v="2"/>
    <n v="13.74"/>
    <m/>
    <m/>
    <n v="13.74"/>
    <n v="5.84"/>
    <n v="3.76"/>
    <m/>
    <m/>
    <n v="3.73"/>
    <n v="4.6500000000000004"/>
    <m/>
    <m/>
    <n v="4.6500000000000004"/>
    <n v="31.72"/>
    <n v="27.07"/>
    <n v="29.4"/>
    <n v="89353.53"/>
    <n v="4467.6765000000005"/>
    <n v="93821.2065"/>
    <n v="2814.636195"/>
    <n v="96635.842694999999"/>
    <n v="8697.2258425500004"/>
    <n v="105333.06853755"/>
    <m/>
    <n v="105333.06853755"/>
    <m/>
    <n v="105333.06853755"/>
    <m/>
    <n v="105333.06853755"/>
    <n v="1053.3306853755"/>
    <n v="106386.39922292551"/>
    <n v="5319.319961146276"/>
    <n v="111705.71918407179"/>
    <m/>
    <n v="111705.71918407179"/>
    <n v="3351.1715755221535"/>
    <n v="115056.89075959394"/>
    <m/>
    <n v="115056.89075959394"/>
    <m/>
    <n v="115056.89075959394"/>
    <m/>
    <n v="115056.89075959394"/>
    <n v="1150.5689075959394"/>
    <n v="116207.45966718988"/>
    <m/>
    <n v="116207.45966718988"/>
    <m/>
    <n v="116207.45966718988"/>
    <m/>
    <n v="116207.45966718988"/>
    <n v="1743.111895007848"/>
    <n v="117950.57156219773"/>
    <m/>
    <n v="117950.57156219773"/>
    <m/>
    <n v="117950.57156219773"/>
    <m/>
    <n v="117950.57156219773"/>
    <m/>
    <n v="117950.57156219773"/>
    <m/>
    <n v="117950.57156219773"/>
    <m/>
    <n v="117950.57156219773"/>
    <n v="117950.57"/>
    <n v="3467800"/>
    <m/>
    <m/>
    <n v="0"/>
    <n v="117952.38095238096"/>
    <n v="3467800"/>
    <x v="3"/>
    <n v="8000"/>
    <n v="125952.38095238096"/>
    <n v="235200"/>
    <n v="3703000"/>
    <m/>
    <m/>
    <x v="0"/>
    <x v="0"/>
    <b v="1"/>
    <s v="АГ-005-Г-08-01-445"/>
    <m/>
    <s v="ДА"/>
    <s v="White Box"/>
    <b v="1"/>
    <n v="3703000"/>
    <n v="0"/>
    <b v="1"/>
    <d v="2024-10-30T00:00:00"/>
    <s v="Дик"/>
  </r>
  <r>
    <n v="446"/>
    <x v="3"/>
    <x v="7"/>
    <x v="1"/>
    <x v="0"/>
    <n v="13.17"/>
    <m/>
    <m/>
    <n v="13.17"/>
    <n v="16.940000000000001"/>
    <n v="3.55"/>
    <n v="2.41"/>
    <m/>
    <n v="5.8"/>
    <n v="2.68"/>
    <m/>
    <m/>
    <n v="2.68"/>
    <n v="44.55"/>
    <n v="41.87"/>
    <n v="43.21"/>
    <n v="85168.125"/>
    <n v="4258.40625"/>
    <n v="89426.53125"/>
    <n v="2682.7959375"/>
    <n v="92109.327187500006"/>
    <n v="921.09327187500003"/>
    <n v="93030.420459375004"/>
    <m/>
    <n v="93030.420459375004"/>
    <n v="4651.52102296875"/>
    <n v="97681.941482343755"/>
    <m/>
    <n v="97681.941482343755"/>
    <n v="976.81941482343757"/>
    <n v="98658.760897167187"/>
    <n v="4932.9380448583597"/>
    <n v="103591.69894202554"/>
    <m/>
    <n v="103591.69894202554"/>
    <n v="3107.7509682607661"/>
    <n v="106699.4499102863"/>
    <n v="500"/>
    <n v="107199.4499102863"/>
    <m/>
    <n v="107199.4499102863"/>
    <m/>
    <n v="107199.4499102863"/>
    <m/>
    <n v="107199.4499102863"/>
    <n v="1071.9944991028631"/>
    <n v="108271.44440938917"/>
    <m/>
    <n v="108271.44440938917"/>
    <m/>
    <n v="108271.44440938917"/>
    <n v="2706.7861102347292"/>
    <n v="110978.23051962389"/>
    <m/>
    <n v="110978.23051962389"/>
    <m/>
    <n v="110978.23051962389"/>
    <m/>
    <n v="110978.23051962389"/>
    <m/>
    <n v="110978.23051962389"/>
    <m/>
    <n v="110978.23051962389"/>
    <m/>
    <n v="110978.23051962389"/>
    <n v="110978.23"/>
    <n v="4795400"/>
    <m/>
    <m/>
    <n v="0"/>
    <n v="110978.94006017126"/>
    <n v="4795400"/>
    <x v="2"/>
    <n v="20000"/>
    <n v="130978.94006017126"/>
    <n v="864200"/>
    <n v="5659600"/>
    <m/>
    <m/>
    <x v="0"/>
    <x v="0"/>
    <b v="1"/>
    <s v="АГ-005-Г-08-02-446"/>
    <m/>
    <s v="ДА"/>
    <s v="Чистовая"/>
    <b v="1"/>
    <n v="5659600"/>
    <n v="0"/>
    <b v="1"/>
    <d v="2024-08-29T00:00:00"/>
    <s v="Никишов"/>
  </r>
  <r>
    <n v="447"/>
    <x v="3"/>
    <x v="7"/>
    <x v="2"/>
    <x v="2"/>
    <n v="7.2"/>
    <m/>
    <m/>
    <n v="7.2"/>
    <n v="5.17"/>
    <n v="3.71"/>
    <m/>
    <m/>
    <n v="6.96"/>
    <n v="2.92"/>
    <m/>
    <m/>
    <n v="2.92"/>
    <n v="25.96"/>
    <n v="23.04"/>
    <n v="24.5"/>
    <n v="91105.56"/>
    <n v="4555.2780000000002"/>
    <n v="95660.838000000003"/>
    <n v="2869.8251399999999"/>
    <n v="98530.663140000004"/>
    <n v="8867.7596826000008"/>
    <n v="107398.4228226"/>
    <m/>
    <n v="107398.4228226"/>
    <m/>
    <n v="107398.4228226"/>
    <m/>
    <n v="107398.4228226"/>
    <n v="1073.9842282259999"/>
    <n v="108472.407050826"/>
    <n v="5423.6203525413002"/>
    <n v="113896.0274033673"/>
    <m/>
    <n v="113896.0274033673"/>
    <n v="3416.880822101019"/>
    <n v="117312.90822546833"/>
    <m/>
    <n v="117312.90822546833"/>
    <m/>
    <n v="117312.90822546833"/>
    <m/>
    <n v="117312.90822546833"/>
    <m/>
    <n v="117312.90822546833"/>
    <m/>
    <n v="117312.90822546833"/>
    <m/>
    <n v="117312.90822546833"/>
    <m/>
    <n v="117312.90822546833"/>
    <m/>
    <n v="117312.90822546833"/>
    <m/>
    <n v="117312.90822546833"/>
    <m/>
    <n v="117312.90822546833"/>
    <m/>
    <n v="117312.90822546833"/>
    <m/>
    <n v="117312.90822546833"/>
    <m/>
    <n v="117312.90822546833"/>
    <m/>
    <n v="117312.90822546833"/>
    <n v="117312.91"/>
    <n v="2874200"/>
    <m/>
    <m/>
    <n v="0"/>
    <n v="117314.28571428571"/>
    <n v="2874200"/>
    <x v="3"/>
    <n v="7000"/>
    <n v="124314.28571428571"/>
    <n v="171500"/>
    <n v="3045700"/>
    <m/>
    <m/>
    <x v="0"/>
    <x v="0"/>
    <b v="1"/>
    <s v="АГ-005-Г-08-03-447"/>
    <m/>
    <s v="ДА"/>
    <s v="White Box"/>
    <b v="1"/>
    <n v="3045700"/>
    <n v="0"/>
    <b v="1"/>
    <d v="2024-04-25T00:00:00"/>
    <s v="Голенко"/>
  </r>
  <r>
    <n v="448"/>
    <x v="3"/>
    <x v="7"/>
    <x v="3"/>
    <x v="1"/>
    <n v="14.48"/>
    <n v="11.42"/>
    <m/>
    <n v="25.9"/>
    <n v="15.86"/>
    <n v="3.01"/>
    <n v="2.67"/>
    <m/>
    <n v="9.44"/>
    <n v="2.72"/>
    <m/>
    <m/>
    <n v="2.72"/>
    <n v="59.6"/>
    <n v="56.88"/>
    <n v="58.24"/>
    <n v="79535.67300000001"/>
    <m/>
    <n v="79535.67300000001"/>
    <m/>
    <n v="79535.67300000001"/>
    <m/>
    <n v="79535.67300000001"/>
    <m/>
    <n v="79535.67300000001"/>
    <m/>
    <n v="79535.67300000001"/>
    <m/>
    <n v="79535.67300000001"/>
    <m/>
    <n v="79535.67300000001"/>
    <m/>
    <n v="79535.67300000001"/>
    <m/>
    <n v="79535.67300000001"/>
    <m/>
    <n v="79535.67300000001"/>
    <m/>
    <n v="79535.67300000001"/>
    <m/>
    <n v="79535.67300000001"/>
    <m/>
    <n v="79535.67300000001"/>
    <m/>
    <n v="79535.67300000001"/>
    <m/>
    <n v="79535.67300000001"/>
    <m/>
    <n v="79535.67300000001"/>
    <m/>
    <n v="79535.67300000001"/>
    <m/>
    <n v="79535.67300000001"/>
    <m/>
    <n v="79535.67300000001"/>
    <m/>
    <n v="79535.67300000001"/>
    <m/>
    <n v="79535.67300000001"/>
    <m/>
    <n v="79535.67300000001"/>
    <m/>
    <n v="79535.67300000001"/>
    <m/>
    <n v="79535.67300000001"/>
    <n v="79535.67"/>
    <n v="4632157.42"/>
    <m/>
    <m/>
    <n v="0"/>
    <n v="79535.669986263732"/>
    <n v="4632157.42"/>
    <x v="0"/>
    <n v="4500"/>
    <n v="84035.669986263732"/>
    <n v="262080"/>
    <n v="4894237.42"/>
    <m/>
    <m/>
    <x v="0"/>
    <x v="0"/>
    <b v="1"/>
    <s v="АГ-005-Г-08-04-448"/>
    <m/>
    <s v="НЕТ"/>
    <s v="Предчистовая"/>
    <b v="1"/>
    <n v="4894237.42"/>
    <n v="0"/>
    <b v="1"/>
    <d v="2023-09-19T00:00:00"/>
    <s v="Никишов"/>
  </r>
  <r>
    <n v="449"/>
    <x v="3"/>
    <x v="7"/>
    <x v="4"/>
    <x v="1"/>
    <n v="15.41"/>
    <n v="12.78"/>
    <m/>
    <n v="28.189999999999998"/>
    <n v="13.45"/>
    <n v="3.7"/>
    <n v="2.72"/>
    <m/>
    <n v="8.2200000000000006"/>
    <n v="3.03"/>
    <m/>
    <m/>
    <n v="3.03"/>
    <n v="59.31"/>
    <n v="56.28"/>
    <n v="57.8"/>
    <n v="79149.577499999999"/>
    <m/>
    <n v="79149.577499999999"/>
    <m/>
    <n v="79149.577499999999"/>
    <m/>
    <n v="79149.577499999999"/>
    <m/>
    <n v="79149.577499999999"/>
    <m/>
    <n v="79149.577499999999"/>
    <m/>
    <n v="79149.577499999999"/>
    <m/>
    <n v="79149.577499999999"/>
    <m/>
    <n v="79149.577499999999"/>
    <m/>
    <n v="79149.577499999999"/>
    <m/>
    <n v="79149.577499999999"/>
    <m/>
    <n v="79149.577499999999"/>
    <m/>
    <n v="79149.577499999999"/>
    <m/>
    <n v="79149.577499999999"/>
    <m/>
    <n v="79149.577499999999"/>
    <m/>
    <n v="79149.577499999999"/>
    <m/>
    <n v="79149.577499999999"/>
    <m/>
    <n v="79149.577499999999"/>
    <m/>
    <n v="79149.577499999999"/>
    <m/>
    <n v="79149.577499999999"/>
    <m/>
    <n v="79149.577499999999"/>
    <m/>
    <n v="79149.577499999999"/>
    <m/>
    <n v="79149.577499999999"/>
    <m/>
    <n v="79149.577499999999"/>
    <m/>
    <n v="79149.577499999999"/>
    <n v="79149.58"/>
    <n v="4574845.72"/>
    <m/>
    <m/>
    <n v="0"/>
    <n v="79149.579930795851"/>
    <n v="4574845.72"/>
    <x v="2"/>
    <n v="15500"/>
    <n v="94649.579930795851"/>
    <n v="895900"/>
    <n v="5470745.7199999997"/>
    <m/>
    <m/>
    <x v="0"/>
    <x v="0"/>
    <b v="1"/>
    <s v="АГ-005-Г-08-05-449"/>
    <m/>
    <s v="НЕТ"/>
    <s v="Чистовая"/>
    <b v="1"/>
    <n v="5470745.7199999997"/>
    <n v="0"/>
    <b v="1"/>
    <d v="2023-09-15T00:00:00"/>
    <s v="Никишов"/>
  </r>
  <r>
    <n v="450"/>
    <x v="3"/>
    <x v="7"/>
    <x v="5"/>
    <x v="0"/>
    <n v="12.71"/>
    <m/>
    <m/>
    <n v="12.71"/>
    <n v="12.55"/>
    <n v="4.28"/>
    <m/>
    <m/>
    <n v="7.34"/>
    <n v="2.84"/>
    <m/>
    <m/>
    <n v="2.84"/>
    <n v="39.72"/>
    <n v="36.880000000000003"/>
    <n v="38.299999999999997"/>
    <n v="87601.5"/>
    <n v="4380.0749999999998"/>
    <n v="91981.574999999997"/>
    <n v="2759.4472499999997"/>
    <n v="94741.022249999995"/>
    <n v="947.41022249999992"/>
    <n v="95688.43247249999"/>
    <m/>
    <n v="95688.43247249999"/>
    <m/>
    <n v="95688.43247249999"/>
    <m/>
    <n v="95688.43247249999"/>
    <m/>
    <n v="95688.43247249999"/>
    <m/>
    <n v="95688.43247249999"/>
    <m/>
    <n v="95688.43247249999"/>
    <m/>
    <n v="95688.43247249999"/>
    <m/>
    <n v="95688.43247249999"/>
    <m/>
    <n v="95688.43247249999"/>
    <m/>
    <n v="95688.43247249999"/>
    <m/>
    <n v="95688.43247249999"/>
    <m/>
    <n v="95688.43247249999"/>
    <m/>
    <n v="95688.43247249999"/>
    <m/>
    <n v="95688.43247249999"/>
    <m/>
    <n v="95688.43247249999"/>
    <m/>
    <n v="95688.43247249999"/>
    <m/>
    <n v="95688.43247249999"/>
    <m/>
    <n v="95688.43247249999"/>
    <m/>
    <n v="95688.43247249999"/>
    <m/>
    <n v="95688.43247249999"/>
    <m/>
    <n v="95688.43247249999"/>
    <n v="95688.43"/>
    <n v="3664866.87"/>
    <m/>
    <n v="0.02"/>
    <n v="73297.337400000004"/>
    <n v="93774.661357702353"/>
    <n v="3591569.53"/>
    <x v="1"/>
    <m/>
    <n v="93774.661357702353"/>
    <n v="0"/>
    <n v="3591569.53"/>
    <m/>
    <s v="Скидка инвестору"/>
    <x v="0"/>
    <x v="0"/>
    <b v="1"/>
    <s v="АГ-005-Г-08-06-450"/>
    <m/>
    <s v="НЕТ"/>
    <s v="Черновая"/>
    <b v="1"/>
    <n v="3591569.53"/>
    <n v="0"/>
    <b v="1"/>
    <d v="2023-10-03T00:00:00"/>
    <s v="Гайганова"/>
  </r>
  <r>
    <n v="451"/>
    <x v="3"/>
    <x v="7"/>
    <x v="6"/>
    <x v="3"/>
    <n v="14.49"/>
    <n v="13.98"/>
    <n v="11.42"/>
    <n v="39.89"/>
    <n v="16.670000000000002"/>
    <n v="4.1399999999999997"/>
    <n v="1.89"/>
    <m/>
    <n v="11.31"/>
    <n v="2.86"/>
    <n v="2.79"/>
    <n v="5.42"/>
    <n v="11.07"/>
    <n v="84.97"/>
    <n v="73.900000000000006"/>
    <n v="79.44"/>
    <n v="77803.110000000015"/>
    <n v="3890.1555000000008"/>
    <n v="81693.265500000009"/>
    <n v="2450.7979650000002"/>
    <n v="84144.063465000014"/>
    <m/>
    <n v="84144.063465000014"/>
    <m/>
    <n v="84144.063465000014"/>
    <m/>
    <n v="84144.063465000014"/>
    <m/>
    <n v="84144.063465000014"/>
    <m/>
    <n v="84144.063465000014"/>
    <m/>
    <n v="84144.063465000014"/>
    <m/>
    <n v="84144.063465000014"/>
    <m/>
    <n v="84144.063465000014"/>
    <m/>
    <n v="84144.063465000014"/>
    <m/>
    <n v="84144.063465000014"/>
    <m/>
    <n v="84144.063465000014"/>
    <m/>
    <n v="84144.063465000014"/>
    <m/>
    <n v="84144.063465000014"/>
    <m/>
    <n v="84144.063465000014"/>
    <m/>
    <n v="84144.063465000014"/>
    <m/>
    <n v="84144.063465000014"/>
    <m/>
    <n v="84144.063465000014"/>
    <m/>
    <n v="84144.063465000014"/>
    <m/>
    <n v="84144.063465000014"/>
    <m/>
    <n v="84144.063465000014"/>
    <m/>
    <n v="84144.063465000014"/>
    <m/>
    <n v="84144.063465000014"/>
    <n v="84144.06"/>
    <n v="6684404.1299999999"/>
    <m/>
    <n v="0.06"/>
    <n v="401064.24779999995"/>
    <n v="79095.416414904335"/>
    <n v="6283339.8799999999"/>
    <x v="1"/>
    <m/>
    <n v="79095.416414904335"/>
    <n v="0"/>
    <n v="6283339.8799999999"/>
    <s v="Хит"/>
    <s v="Ветеран боевых действий"/>
    <x v="0"/>
    <x v="0"/>
    <b v="1"/>
    <s v="АГ-005-Г-08-07-451"/>
    <m/>
    <s v="НЕТ"/>
    <s v="Черновая"/>
    <b v="1"/>
    <n v="6283339.8799999999"/>
    <n v="0"/>
    <b v="1"/>
    <d v="2023-11-08T00:00:00"/>
    <s v="Полехович"/>
  </r>
  <r>
    <n v="452"/>
    <x v="3"/>
    <x v="7"/>
    <x v="7"/>
    <x v="0"/>
    <n v="16.79"/>
    <m/>
    <m/>
    <n v="16.79"/>
    <n v="11.43"/>
    <n v="3.56"/>
    <m/>
    <m/>
    <n v="6.66"/>
    <n v="2.4900000000000002"/>
    <m/>
    <m/>
    <n v="2.4900000000000002"/>
    <n v="40.93"/>
    <n v="38.44"/>
    <n v="39.69"/>
    <n v="86384.8125"/>
    <n v="4319.2406250000004"/>
    <n v="90704.053125000006"/>
    <n v="2721.1215937500001"/>
    <n v="93425.17471875"/>
    <n v="4204.1328623437503"/>
    <n v="97629.307581093744"/>
    <m/>
    <n v="97629.307581093744"/>
    <n v="4881.4653790546872"/>
    <n v="102510.77296014843"/>
    <m/>
    <n v="102510.77296014843"/>
    <n v="1025.1077296014844"/>
    <n v="103535.88068974992"/>
    <n v="5176.794034487496"/>
    <n v="108712.67472423741"/>
    <m/>
    <n v="108712.67472423741"/>
    <n v="3261.3802417271222"/>
    <n v="111974.05496596453"/>
    <m/>
    <n v="111974.05496596453"/>
    <m/>
    <n v="111974.05496596453"/>
    <m/>
    <n v="111974.05496596453"/>
    <m/>
    <n v="111974.05496596453"/>
    <m/>
    <n v="111974.05496596453"/>
    <m/>
    <n v="111974.05496596453"/>
    <m/>
    <n v="111974.05496596453"/>
    <n v="559.87027482982273"/>
    <n v="112533.92524079436"/>
    <m/>
    <n v="112533.92524079436"/>
    <n v="2250.6785048158872"/>
    <n v="114784.60374561025"/>
    <n v="5739.2301872805128"/>
    <n v="120523.83393289076"/>
    <n v="15668.0984112758"/>
    <n v="136191.93234416656"/>
    <n v="35"/>
    <n v="136226.93234416656"/>
    <m/>
    <n v="136226.93234416656"/>
    <n v="136226.93"/>
    <n v="5406900"/>
    <m/>
    <m/>
    <n v="0"/>
    <n v="136228.26908541194"/>
    <n v="5406900"/>
    <x v="1"/>
    <m/>
    <n v="136228.26908541194"/>
    <n v="0"/>
    <n v="5406900"/>
    <m/>
    <m/>
    <x v="2"/>
    <x v="2"/>
    <b v="1"/>
    <s v="АГ-005-Г-08-08-452"/>
    <m/>
    <s v="ДА"/>
    <s v="Черновая"/>
    <b v="1"/>
    <n v="5406900"/>
    <n v="0"/>
    <b v="1"/>
    <s v=" "/>
    <s v=""/>
  </r>
  <r>
    <n v="453"/>
    <x v="3"/>
    <x v="8"/>
    <x v="0"/>
    <x v="2"/>
    <n v="13.74"/>
    <m/>
    <m/>
    <n v="13.74"/>
    <n v="5.84"/>
    <n v="3.76"/>
    <m/>
    <m/>
    <n v="3.73"/>
    <n v="4.6500000000000004"/>
    <m/>
    <m/>
    <n v="4.6500000000000004"/>
    <n v="31.72"/>
    <n v="27.07"/>
    <n v="29.4"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n v="89353.53"/>
    <n v="2626993.7799999998"/>
    <m/>
    <m/>
    <n v="0"/>
    <n v="89353.529931972793"/>
    <n v="2626993.7799999998"/>
    <x v="1"/>
    <m/>
    <n v="89353.529931972793"/>
    <n v="0"/>
    <n v="2626993.7799999998"/>
    <m/>
    <m/>
    <x v="0"/>
    <x v="0"/>
    <b v="1"/>
    <s v="АГ-005-Г-09-01-453"/>
    <m/>
    <s v="НЕТ"/>
    <s v="Черновая"/>
    <b v="1"/>
    <n v="2626993.7799999998"/>
    <n v="0"/>
    <b v="1"/>
    <d v="2023-09-26T00:00:00"/>
    <s v="Кофанова"/>
  </r>
  <r>
    <n v="454"/>
    <x v="3"/>
    <x v="8"/>
    <x v="1"/>
    <x v="0"/>
    <n v="13.17"/>
    <m/>
    <m/>
    <n v="13.17"/>
    <n v="16.940000000000001"/>
    <n v="3.55"/>
    <n v="2.41"/>
    <m/>
    <n v="5.8"/>
    <n v="2.68"/>
    <m/>
    <m/>
    <n v="2.68"/>
    <n v="44.55"/>
    <n v="41.87"/>
    <n v="43.21"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m/>
    <n v="85168.125"/>
    <n v="85168.13"/>
    <n v="3680114.9"/>
    <m/>
    <m/>
    <n v="0"/>
    <n v="85168.130062485536"/>
    <n v="3680114.9"/>
    <x v="1"/>
    <m/>
    <n v="85168.130062485536"/>
    <n v="0"/>
    <n v="3680114.9"/>
    <m/>
    <m/>
    <x v="0"/>
    <x v="0"/>
    <b v="1"/>
    <s v="АГ-005-Г-09-02-454"/>
    <m/>
    <s v="НЕТ"/>
    <s v="Черновая"/>
    <b v="1"/>
    <n v="3680114.9"/>
    <n v="0"/>
    <b v="1"/>
    <d v="2023-09-19T00:00:00"/>
    <s v="Кофанова"/>
  </r>
  <r>
    <n v="455"/>
    <x v="3"/>
    <x v="8"/>
    <x v="2"/>
    <x v="2"/>
    <n v="7.2"/>
    <m/>
    <m/>
    <n v="7.2"/>
    <n v="5.17"/>
    <n v="3.71"/>
    <m/>
    <m/>
    <n v="6.96"/>
    <n v="2.92"/>
    <m/>
    <m/>
    <n v="2.92"/>
    <n v="25.96"/>
    <n v="23.04"/>
    <n v="24.5"/>
    <n v="91105.56"/>
    <n v="4555.2780000000002"/>
    <n v="95660.838000000003"/>
    <n v="2869.8251399999999"/>
    <n v="98530.663140000004"/>
    <n v="8867.7596826000008"/>
    <n v="107398.4228226"/>
    <m/>
    <n v="107398.4228226"/>
    <m/>
    <n v="107398.4228226"/>
    <m/>
    <n v="107398.4228226"/>
    <n v="1073.9842282259999"/>
    <n v="108472.407050826"/>
    <n v="5423.6203525413002"/>
    <n v="113896.0274033673"/>
    <m/>
    <n v="113896.0274033673"/>
    <n v="3416.880822101019"/>
    <n v="117312.90822546833"/>
    <m/>
    <n v="117312.90822546833"/>
    <m/>
    <n v="117312.90822546833"/>
    <m/>
    <n v="117312.90822546833"/>
    <m/>
    <n v="117312.90822546833"/>
    <m/>
    <n v="117312.90822546833"/>
    <m/>
    <n v="117312.90822546833"/>
    <m/>
    <n v="117312.90822546833"/>
    <m/>
    <n v="117312.90822546833"/>
    <m/>
    <n v="117312.90822546833"/>
    <m/>
    <n v="117312.90822546833"/>
    <m/>
    <n v="117312.90822546833"/>
    <m/>
    <n v="117312.90822546833"/>
    <m/>
    <n v="117312.90822546833"/>
    <m/>
    <n v="117312.90822546833"/>
    <n v="117312.91"/>
    <n v="2874200"/>
    <m/>
    <m/>
    <n v="0"/>
    <n v="117314.28571428571"/>
    <n v="2874200"/>
    <x v="2"/>
    <n v="20000"/>
    <n v="137314.28571428571"/>
    <n v="490000"/>
    <n v="3364200"/>
    <m/>
    <m/>
    <x v="0"/>
    <x v="0"/>
    <b v="1"/>
    <s v="АГ-005-Г-09-03-455"/>
    <m/>
    <s v="ДА"/>
    <s v="Чистовая"/>
    <b v="1"/>
    <n v="3364200"/>
    <n v="0"/>
    <b v="1"/>
    <d v="2024-05-28T00:00:00"/>
    <s v="Никишов"/>
  </r>
  <r>
    <n v="456"/>
    <x v="3"/>
    <x v="8"/>
    <x v="3"/>
    <x v="1"/>
    <n v="14.48"/>
    <n v="11.42"/>
    <m/>
    <n v="25.9"/>
    <n v="15.86"/>
    <n v="3.01"/>
    <n v="2.67"/>
    <m/>
    <n v="9.44"/>
    <n v="2.72"/>
    <m/>
    <m/>
    <n v="2.72"/>
    <n v="59.6"/>
    <n v="56.88"/>
    <n v="58.24"/>
    <n v="79535.67300000001"/>
    <n v="3976.7836500000008"/>
    <n v="83512.456650000007"/>
    <n v="2505.3736994999999"/>
    <n v="86017.8303495"/>
    <m/>
    <n v="86017.8303495"/>
    <m/>
    <n v="86017.8303495"/>
    <m/>
    <n v="86017.8303495"/>
    <m/>
    <n v="86017.8303495"/>
    <n v="860.17830349500002"/>
    <n v="86878.008652995006"/>
    <n v="4343.9004326497507"/>
    <n v="91221.909085644758"/>
    <m/>
    <n v="91221.909085644758"/>
    <n v="1824.4381817128951"/>
    <n v="93046.347267357647"/>
    <m/>
    <n v="93046.347267357647"/>
    <n v="1860.9269453471529"/>
    <n v="94907.274212704797"/>
    <m/>
    <n v="94907.274212704797"/>
    <n v="949.07274212704795"/>
    <n v="95856.346954831839"/>
    <m/>
    <n v="95856.346954831839"/>
    <m/>
    <n v="95856.346954831839"/>
    <m/>
    <n v="95856.346954831839"/>
    <m/>
    <n v="95856.346954831839"/>
    <m/>
    <n v="95856.346954831839"/>
    <m/>
    <n v="95856.346954831839"/>
    <m/>
    <n v="95856.346954831839"/>
    <m/>
    <n v="95856.346954831839"/>
    <m/>
    <n v="95856.346954831839"/>
    <m/>
    <n v="95856.346954831839"/>
    <n v="95856.35"/>
    <n v="5582700"/>
    <m/>
    <m/>
    <n v="0"/>
    <n v="95856.799450549443"/>
    <n v="5582700"/>
    <x v="3"/>
    <n v="7000"/>
    <n v="102856.79945054944"/>
    <n v="407680"/>
    <n v="5990380"/>
    <m/>
    <m/>
    <x v="0"/>
    <x v="0"/>
    <b v="1"/>
    <s v="АГ-005-Г-09-04-456"/>
    <m/>
    <s v="ДА"/>
    <s v="White Box"/>
    <b v="1"/>
    <n v="5990380"/>
    <n v="0"/>
    <b v="1"/>
    <d v="2024-06-28T00:00:00"/>
    <s v="Полехович"/>
  </r>
  <r>
    <n v="457"/>
    <x v="3"/>
    <x v="8"/>
    <x v="4"/>
    <x v="1"/>
    <n v="15.41"/>
    <n v="12.78"/>
    <m/>
    <n v="28.189999999999998"/>
    <n v="13.45"/>
    <n v="3.7"/>
    <n v="2.72"/>
    <m/>
    <n v="8.2200000000000006"/>
    <n v="3.03"/>
    <m/>
    <m/>
    <n v="3.03"/>
    <n v="59.31"/>
    <n v="56.28"/>
    <n v="57.8"/>
    <n v="79149.577499999999"/>
    <n v="3957.4788750000002"/>
    <n v="83107.056375"/>
    <n v="2493.2116912500001"/>
    <n v="85600.268066250006"/>
    <m/>
    <n v="85600.268066250006"/>
    <m/>
    <n v="85600.268066250006"/>
    <m/>
    <n v="85600.268066250006"/>
    <m/>
    <n v="85600.268066250006"/>
    <n v="856.0026806625001"/>
    <n v="86456.270746912502"/>
    <n v="4322.8135373456253"/>
    <n v="90779.084284258133"/>
    <m/>
    <n v="90779.084284258133"/>
    <n v="1815.5816856851627"/>
    <n v="92594.665969943293"/>
    <m/>
    <n v="92594.665969943293"/>
    <n v="1851.893319398866"/>
    <n v="94446.559289342156"/>
    <m/>
    <n v="94446.559289342156"/>
    <n v="944.46559289342156"/>
    <n v="95391.024882235579"/>
    <m/>
    <n v="95391.024882235579"/>
    <m/>
    <n v="95391.024882235579"/>
    <m/>
    <n v="95391.024882235579"/>
    <n v="1430.8653732335335"/>
    <n v="96821.890255469116"/>
    <n v="500"/>
    <n v="97321.890255469116"/>
    <n v="3892.8756102187649"/>
    <n v="101214.76586568788"/>
    <n v="6072.8859519412727"/>
    <n v="107287.65181762914"/>
    <n v="13947.39473629179"/>
    <n v="121235.04655392093"/>
    <n v="35"/>
    <n v="121270.04655392093"/>
    <m/>
    <n v="121270.04655392093"/>
    <n v="121270.05"/>
    <n v="7009500"/>
    <n v="300000"/>
    <m/>
    <n v="300000"/>
    <n v="116081.31487889274"/>
    <n v="6709500"/>
    <x v="3"/>
    <n v="10000"/>
    <n v="126081.31487889274"/>
    <n v="578000"/>
    <n v="7287500"/>
    <m/>
    <s v="Время действовать"/>
    <x v="0"/>
    <x v="0"/>
    <b v="1"/>
    <s v="АГ-005-Г-09-05-457"/>
    <m/>
    <s v="ДА"/>
    <s v="White Box"/>
    <b v="1"/>
    <n v="7287500"/>
    <n v="0"/>
    <b v="1"/>
    <s v=" "/>
    <s v=""/>
  </r>
  <r>
    <n v="458"/>
    <x v="3"/>
    <x v="8"/>
    <x v="5"/>
    <x v="0"/>
    <n v="12.71"/>
    <m/>
    <m/>
    <n v="12.71"/>
    <n v="12.55"/>
    <n v="4.28"/>
    <m/>
    <m/>
    <n v="7.34"/>
    <n v="2.84"/>
    <m/>
    <m/>
    <n v="2.84"/>
    <n v="39.72"/>
    <n v="36.880000000000003"/>
    <n v="38.299999999999997"/>
    <n v="87601.5"/>
    <n v="4380.0749999999998"/>
    <n v="91981.574999999997"/>
    <n v="2759.4472499999997"/>
    <n v="94741.022249999995"/>
    <n v="947.41022249999992"/>
    <n v="95688.43247249999"/>
    <m/>
    <n v="95688.43247249999"/>
    <n v="4784.4216236249995"/>
    <n v="100472.854096125"/>
    <m/>
    <n v="100472.854096125"/>
    <n v="1004.72854096125"/>
    <n v="101477.58263708625"/>
    <n v="5073.8791318543126"/>
    <n v="106551.46176894056"/>
    <m/>
    <n v="106551.46176894056"/>
    <n v="3196.5438530682168"/>
    <n v="109748.00562200877"/>
    <m/>
    <n v="109748.00562200877"/>
    <m/>
    <n v="109748.00562200877"/>
    <m/>
    <n v="109748.00562200877"/>
    <m/>
    <n v="109748.00562200877"/>
    <n v="1097.4800562200878"/>
    <n v="110845.48567822886"/>
    <m/>
    <n v="110845.48567822886"/>
    <m/>
    <n v="110845.48567822886"/>
    <m/>
    <n v="110845.48567822886"/>
    <m/>
    <n v="110845.48567822886"/>
    <m/>
    <n v="110845.48567822886"/>
    <m/>
    <n v="110845.48567822886"/>
    <m/>
    <n v="110845.48567822886"/>
    <m/>
    <n v="110845.48567822886"/>
    <m/>
    <n v="110845.48567822886"/>
    <n v="110845.49"/>
    <n v="4245400"/>
    <m/>
    <n v="0.03"/>
    <n v="127362"/>
    <n v="107520.57441253265"/>
    <n v="4118038"/>
    <x v="3"/>
    <n v="7000"/>
    <n v="114520.57441253265"/>
    <n v="268100"/>
    <n v="4386138"/>
    <m/>
    <s v="Ветеран боевых действий"/>
    <x v="0"/>
    <x v="0"/>
    <b v="1"/>
    <s v="АГ-005-Г-09-06-458"/>
    <m/>
    <s v="ДА"/>
    <s v="White Box"/>
    <b v="1"/>
    <n v="4386138"/>
    <n v="0"/>
    <b v="1"/>
    <d v="2024-06-11T00:00:00"/>
    <s v="Никишов"/>
  </r>
  <r>
    <n v="459"/>
    <x v="3"/>
    <x v="8"/>
    <x v="6"/>
    <x v="3"/>
    <n v="14.49"/>
    <n v="13.98"/>
    <n v="11.42"/>
    <n v="39.89"/>
    <n v="16.670000000000002"/>
    <n v="4.1399999999999997"/>
    <n v="1.89"/>
    <m/>
    <n v="11.31"/>
    <n v="2.86"/>
    <n v="2.79"/>
    <n v="5.42"/>
    <n v="11.07"/>
    <n v="84.97"/>
    <n v="73.900000000000006"/>
    <n v="79.44"/>
    <n v="77803.110000000015"/>
    <n v="3890.1555000000008"/>
    <n v="81693.265500000009"/>
    <n v="2450.7979650000002"/>
    <n v="84144.063465000014"/>
    <m/>
    <n v="84144.063465000014"/>
    <m/>
    <n v="84144.063465000014"/>
    <m/>
    <n v="84144.063465000014"/>
    <m/>
    <n v="84144.063465000014"/>
    <n v="841.44063465000011"/>
    <n v="84985.504099650017"/>
    <n v="4249.2752049825012"/>
    <n v="89234.779304632524"/>
    <m/>
    <n v="89234.779304632524"/>
    <n v="1784.6955860926505"/>
    <n v="91019.474890725178"/>
    <m/>
    <n v="91019.474890725178"/>
    <n v="1820.3894978145036"/>
    <n v="92839.864388539689"/>
    <n v="1000"/>
    <n v="93839.864388539689"/>
    <m/>
    <n v="93839.864388539689"/>
    <n v="1876.7972877707939"/>
    <n v="95716.661676310483"/>
    <m/>
    <n v="95716.661676310483"/>
    <m/>
    <n v="95716.661676310483"/>
    <m/>
    <n v="95716.661676310483"/>
    <m/>
    <n v="95716.661676310483"/>
    <m/>
    <n v="95716.661676310483"/>
    <m/>
    <n v="95716.661676310483"/>
    <m/>
    <n v="95716.661676310483"/>
    <m/>
    <n v="95716.661676310483"/>
    <m/>
    <n v="95716.661676310483"/>
    <n v="95716.66"/>
    <n v="7603800"/>
    <m/>
    <n v="0.03"/>
    <n v="228114"/>
    <n v="92845.996978851967"/>
    <n v="7375686"/>
    <x v="3"/>
    <n v="7000"/>
    <n v="99845.996978851967"/>
    <n v="556080"/>
    <n v="7931766"/>
    <s v="Хит"/>
    <s v="Ветеран боевых действий"/>
    <x v="0"/>
    <x v="0"/>
    <b v="1"/>
    <s v="АГ-005-Г-09-07-459"/>
    <m/>
    <s v="ДА"/>
    <s v="White Box"/>
    <b v="1"/>
    <n v="7931766"/>
    <n v="0"/>
    <b v="1"/>
    <d v="2024-06-06T00:00:00"/>
    <s v="Дик"/>
  </r>
  <r>
    <n v="460"/>
    <x v="3"/>
    <x v="8"/>
    <x v="7"/>
    <x v="0"/>
    <n v="16.79"/>
    <m/>
    <m/>
    <n v="16.79"/>
    <n v="11.43"/>
    <n v="3.56"/>
    <m/>
    <m/>
    <n v="6.66"/>
    <n v="2.4900000000000002"/>
    <m/>
    <m/>
    <n v="2.4900000000000002"/>
    <n v="40.93"/>
    <n v="38.44"/>
    <n v="39.69"/>
    <n v="86384.8125"/>
    <n v="4319.2406250000004"/>
    <n v="90704.053125000006"/>
    <n v="2721.1215937500001"/>
    <n v="93425.17471875"/>
    <n v="4204.1328623437503"/>
    <n v="97629.307581093744"/>
    <m/>
    <n v="97629.307581093744"/>
    <n v="4881.4653790546872"/>
    <n v="102510.77296014843"/>
    <m/>
    <n v="102510.77296014843"/>
    <m/>
    <n v="102510.77296014843"/>
    <m/>
    <n v="102510.77296014843"/>
    <m/>
    <n v="102510.77296014843"/>
    <m/>
    <n v="102510.77296014843"/>
    <m/>
    <n v="102510.77296014843"/>
    <m/>
    <n v="102510.77296014843"/>
    <m/>
    <n v="102510.77296014843"/>
    <m/>
    <n v="102510.77296014843"/>
    <m/>
    <n v="102510.77296014843"/>
    <m/>
    <n v="102510.77296014843"/>
    <m/>
    <n v="102510.77296014843"/>
    <m/>
    <n v="102510.77296014843"/>
    <m/>
    <n v="102510.77296014843"/>
    <m/>
    <n v="102510.77296014843"/>
    <m/>
    <n v="102510.77296014843"/>
    <m/>
    <n v="102510.77296014843"/>
    <m/>
    <n v="102510.77296014843"/>
    <m/>
    <n v="102510.77296014843"/>
    <n v="102510.77"/>
    <n v="4068700"/>
    <m/>
    <n v="0.05"/>
    <n v="203435"/>
    <n v="97386.369362559839"/>
    <n v="3865265"/>
    <x v="2"/>
    <n v="22000"/>
    <n v="119386.36936255984"/>
    <n v="873180"/>
    <n v="4738445"/>
    <m/>
    <s v="Ветеран боевых действий"/>
    <x v="0"/>
    <x v="0"/>
    <b v="1"/>
    <s v="АГ-005-Г-09-08-460"/>
    <m/>
    <s v="ДА"/>
    <s v="Чистовая"/>
    <b v="1"/>
    <n v="4738445"/>
    <n v="0"/>
    <b v="1"/>
    <d v="2023-12-30T00:00:00"/>
    <s v="Полехович"/>
  </r>
  <r>
    <n v="461"/>
    <x v="3"/>
    <x v="9"/>
    <x v="0"/>
    <x v="2"/>
    <n v="13.74"/>
    <m/>
    <m/>
    <n v="13.74"/>
    <n v="5.84"/>
    <n v="3.76"/>
    <m/>
    <m/>
    <n v="3.73"/>
    <n v="4.6500000000000004"/>
    <m/>
    <m/>
    <n v="4.6500000000000004"/>
    <n v="31.72"/>
    <n v="27.07"/>
    <n v="29.4"/>
    <n v="89353.53"/>
    <n v="4467.6765000000005"/>
    <n v="93821.2065"/>
    <n v="2814.636195"/>
    <n v="96635.842694999999"/>
    <n v="8697.2258425500004"/>
    <n v="105333.06853755"/>
    <m/>
    <n v="105333.06853755"/>
    <m/>
    <n v="105333.06853755"/>
    <m/>
    <n v="105333.06853755"/>
    <n v="1053.3306853755"/>
    <n v="106386.39922292551"/>
    <n v="5319.319961146276"/>
    <n v="111705.71918407179"/>
    <m/>
    <n v="111705.71918407179"/>
    <n v="3351.1715755221535"/>
    <n v="115056.89075959394"/>
    <m/>
    <n v="115056.89075959394"/>
    <m/>
    <n v="115056.89075959394"/>
    <m/>
    <n v="115056.89075959394"/>
    <n v="1150.5689075959394"/>
    <n v="116207.45966718988"/>
    <n v="2000"/>
    <n v="118207.45966718988"/>
    <m/>
    <n v="118207.45966718988"/>
    <m/>
    <n v="118207.45966718988"/>
    <m/>
    <n v="118207.45966718988"/>
    <m/>
    <n v="118207.45966718988"/>
    <m/>
    <n v="118207.45966718988"/>
    <m/>
    <n v="118207.45966718988"/>
    <m/>
    <n v="118207.45966718988"/>
    <m/>
    <n v="118207.45966718988"/>
    <m/>
    <n v="118207.45966718988"/>
    <n v="118207.46"/>
    <n v="3475300"/>
    <m/>
    <m/>
    <n v="0"/>
    <n v="118207.48299319728"/>
    <n v="3475300"/>
    <x v="2"/>
    <n v="20000"/>
    <n v="138207.48299319728"/>
    <n v="588000"/>
    <n v="4063300"/>
    <m/>
    <m/>
    <x v="0"/>
    <x v="0"/>
    <b v="1"/>
    <s v="АГ-005-Г-10-01-461"/>
    <m/>
    <s v="ДА"/>
    <s v="Чистовая"/>
    <b v="1"/>
    <n v="4063300"/>
    <n v="0"/>
    <b v="1"/>
    <d v="2024-05-29T00:00:00"/>
    <s v="Дик"/>
  </r>
  <r>
    <n v="462"/>
    <x v="3"/>
    <x v="9"/>
    <x v="1"/>
    <x v="0"/>
    <n v="13.17"/>
    <m/>
    <m/>
    <n v="13.17"/>
    <n v="16.940000000000001"/>
    <n v="3.55"/>
    <n v="2.41"/>
    <m/>
    <n v="5.8"/>
    <n v="2.68"/>
    <m/>
    <m/>
    <n v="2.68"/>
    <n v="44.55"/>
    <n v="41.87"/>
    <n v="43.21"/>
    <n v="85168.125"/>
    <n v="4258.40625"/>
    <n v="89426.53125"/>
    <n v="2682.7959375"/>
    <n v="92109.327187500006"/>
    <n v="921.09327187500003"/>
    <n v="93030.420459375004"/>
    <m/>
    <n v="93030.420459375004"/>
    <n v="4651.52102296875"/>
    <n v="97681.941482343755"/>
    <m/>
    <n v="97681.941482343755"/>
    <n v="976.81941482343757"/>
    <n v="98658.760897167187"/>
    <n v="4932.9380448583597"/>
    <n v="103591.69894202554"/>
    <m/>
    <n v="103591.69894202554"/>
    <m/>
    <n v="103591.69894202554"/>
    <m/>
    <n v="103591.69894202554"/>
    <m/>
    <n v="103591.69894202554"/>
    <m/>
    <n v="103591.69894202554"/>
    <m/>
    <n v="103591.69894202554"/>
    <m/>
    <n v="103591.69894202554"/>
    <m/>
    <n v="103591.69894202554"/>
    <m/>
    <n v="103591.69894202554"/>
    <m/>
    <n v="103591.69894202554"/>
    <m/>
    <n v="103591.69894202554"/>
    <m/>
    <n v="103591.69894202554"/>
    <m/>
    <n v="103591.69894202554"/>
    <m/>
    <n v="103591.69894202554"/>
    <m/>
    <n v="103591.69894202554"/>
    <m/>
    <n v="103591.69894202554"/>
    <n v="103591.7"/>
    <n v="4476200"/>
    <m/>
    <m/>
    <n v="0"/>
    <n v="103591.76116639667"/>
    <n v="4476200"/>
    <x v="1"/>
    <m/>
    <n v="103591.76116639667"/>
    <n v="0"/>
    <n v="4476200"/>
    <m/>
    <m/>
    <x v="0"/>
    <x v="0"/>
    <b v="1"/>
    <s v="АГ-005-Г-10-02-462"/>
    <m/>
    <s v="ДА"/>
    <s v="Черновая"/>
    <b v="1"/>
    <n v="4476200"/>
    <n v="0"/>
    <b v="1"/>
    <d v="2024-03-21T00:00:00"/>
    <s v="Дик"/>
  </r>
  <r>
    <n v="463"/>
    <x v="3"/>
    <x v="9"/>
    <x v="2"/>
    <x v="2"/>
    <n v="7.2"/>
    <m/>
    <m/>
    <n v="7.2"/>
    <n v="5.17"/>
    <n v="3.71"/>
    <m/>
    <m/>
    <n v="6.96"/>
    <n v="2.92"/>
    <m/>
    <m/>
    <n v="2.92"/>
    <n v="25.96"/>
    <n v="23.04"/>
    <n v="24.5"/>
    <n v="91105.56"/>
    <n v="4555.2780000000002"/>
    <n v="95660.838000000003"/>
    <m/>
    <n v="95660.838000000003"/>
    <m/>
    <n v="95660.838000000003"/>
    <m/>
    <n v="95660.838000000003"/>
    <m/>
    <n v="95660.838000000003"/>
    <m/>
    <n v="95660.838000000003"/>
    <m/>
    <n v="95660.838000000003"/>
    <m/>
    <n v="95660.838000000003"/>
    <m/>
    <n v="95660.838000000003"/>
    <m/>
    <n v="95660.838000000003"/>
    <m/>
    <n v="95660.838000000003"/>
    <m/>
    <n v="95660.838000000003"/>
    <m/>
    <n v="95660.838000000003"/>
    <m/>
    <n v="95660.838000000003"/>
    <m/>
    <n v="95660.838000000003"/>
    <m/>
    <n v="95660.838000000003"/>
    <m/>
    <n v="95660.838000000003"/>
    <m/>
    <n v="95660.838000000003"/>
    <m/>
    <n v="95660.838000000003"/>
    <m/>
    <n v="95660.838000000003"/>
    <m/>
    <n v="95660.838000000003"/>
    <m/>
    <n v="95660.838000000003"/>
    <m/>
    <n v="95660.838000000003"/>
    <m/>
    <n v="95660.838000000003"/>
    <n v="95660.84"/>
    <n v="2343690.58"/>
    <m/>
    <m/>
    <n v="0"/>
    <n v="95660.84"/>
    <n v="2343690.58"/>
    <x v="1"/>
    <m/>
    <n v="95660.84"/>
    <n v="0"/>
    <n v="2343690.58"/>
    <m/>
    <m/>
    <x v="0"/>
    <x v="0"/>
    <b v="1"/>
    <s v="АГ-005-Г-10-03-463"/>
    <m/>
    <s v="НЕТ"/>
    <s v="Черновая"/>
    <b v="1"/>
    <n v="2343690.58"/>
    <n v="0"/>
    <b v="1"/>
    <d v="2023-09-19T00:00:00"/>
    <s v="Гайганова"/>
  </r>
  <r>
    <n v="464"/>
    <x v="3"/>
    <x v="9"/>
    <x v="3"/>
    <x v="1"/>
    <n v="14.48"/>
    <n v="11.42"/>
    <m/>
    <n v="25.9"/>
    <n v="15.86"/>
    <n v="3.01"/>
    <n v="2.67"/>
    <m/>
    <n v="9.44"/>
    <n v="2.72"/>
    <m/>
    <m/>
    <n v="2.72"/>
    <n v="59.6"/>
    <n v="56.88"/>
    <n v="58.24"/>
    <n v="79535.67300000001"/>
    <n v="3976.7836500000008"/>
    <n v="83512.456650000007"/>
    <n v="2505.3736994999999"/>
    <n v="86017.8303495"/>
    <m/>
    <n v="86017.8303495"/>
    <m/>
    <n v="86017.8303495"/>
    <m/>
    <n v="86017.8303495"/>
    <m/>
    <n v="86017.8303495"/>
    <n v="860.17830349500002"/>
    <n v="86878.008652995006"/>
    <n v="4343.9004326497507"/>
    <n v="91221.909085644758"/>
    <m/>
    <n v="91221.909085644758"/>
    <n v="1824.4381817128951"/>
    <n v="93046.347267357647"/>
    <m/>
    <n v="93046.347267357647"/>
    <n v="1860.9269453471529"/>
    <n v="94907.274212704797"/>
    <m/>
    <n v="94907.274212704797"/>
    <n v="949.07274212704795"/>
    <n v="95856.346954831839"/>
    <m/>
    <n v="95856.346954831839"/>
    <m/>
    <n v="95856.346954831839"/>
    <m/>
    <n v="95856.346954831839"/>
    <n v="1437.8452043224775"/>
    <n v="97294.192159154321"/>
    <m/>
    <n v="97294.192159154321"/>
    <m/>
    <n v="97294.192159154321"/>
    <m/>
    <n v="97294.192159154321"/>
    <m/>
    <n v="97294.192159154321"/>
    <m/>
    <n v="97294.192159154321"/>
    <m/>
    <n v="97294.192159154321"/>
    <n v="97294.19"/>
    <n v="5666500"/>
    <m/>
    <n v="0.03"/>
    <n v="169995"/>
    <n v="94376.802884615376"/>
    <n v="5496505"/>
    <x v="2"/>
    <n v="20000"/>
    <n v="114376.80288461538"/>
    <n v="1164800"/>
    <n v="6661305"/>
    <m/>
    <s v="Индивидуальная скидка"/>
    <x v="0"/>
    <x v="0"/>
    <b v="1"/>
    <s v="АГ-005-Г-10-04-464"/>
    <m/>
    <s v="ДА"/>
    <s v="Чистовая"/>
    <b v="1"/>
    <n v="6661305"/>
    <n v="0"/>
    <b v="1"/>
    <d v="2024-09-13T00:00:00"/>
    <s v="Никишов"/>
  </r>
  <r>
    <n v="465"/>
    <x v="3"/>
    <x v="9"/>
    <x v="4"/>
    <x v="1"/>
    <n v="15.41"/>
    <n v="12.78"/>
    <m/>
    <n v="28.189999999999998"/>
    <n v="13.45"/>
    <n v="3.7"/>
    <n v="2.72"/>
    <m/>
    <n v="8.2200000000000006"/>
    <n v="3.03"/>
    <m/>
    <m/>
    <n v="3.03"/>
    <n v="59.31"/>
    <n v="56.28"/>
    <n v="57.8"/>
    <n v="79149.577499999999"/>
    <n v="3957.4788750000002"/>
    <n v="83107.056375"/>
    <n v="2493.2116912500001"/>
    <n v="85600.268066250006"/>
    <m/>
    <n v="85600.268066250006"/>
    <m/>
    <n v="85600.268066250006"/>
    <m/>
    <n v="85600.268066250006"/>
    <m/>
    <n v="85600.268066250006"/>
    <n v="856.0026806625001"/>
    <n v="86456.270746912502"/>
    <n v="4322.8135373456253"/>
    <n v="90779.084284258133"/>
    <m/>
    <n v="90779.084284258133"/>
    <n v="1815.5816856851627"/>
    <n v="92594.665969943293"/>
    <m/>
    <n v="92594.665969943293"/>
    <n v="1851.893319398866"/>
    <n v="94446.559289342156"/>
    <m/>
    <n v="94446.559289342156"/>
    <n v="944.46559289342156"/>
    <n v="95391.024882235579"/>
    <m/>
    <n v="95391.024882235579"/>
    <m/>
    <n v="95391.024882235579"/>
    <m/>
    <n v="95391.024882235579"/>
    <n v="1430.8653732335335"/>
    <n v="96821.890255469116"/>
    <n v="500"/>
    <n v="97321.890255469116"/>
    <n v="3892.8756102187649"/>
    <n v="101214.76586568788"/>
    <n v="6072.8859519412727"/>
    <n v="107287.65181762914"/>
    <n v="13947.39473629179"/>
    <n v="121235.04655392093"/>
    <n v="35"/>
    <n v="121270.04655392093"/>
    <m/>
    <n v="121270.04655392093"/>
    <n v="121270.05"/>
    <n v="7009500"/>
    <n v="300000"/>
    <n v="0.03"/>
    <n v="510285"/>
    <n v="112443.16608996541"/>
    <n v="6499215"/>
    <x v="3"/>
    <n v="10000"/>
    <n v="122443.16608996541"/>
    <n v="578000"/>
    <n v="7077215"/>
    <m/>
    <s v="Время действовать / Многодетная семья"/>
    <x v="0"/>
    <x v="0"/>
    <b v="1"/>
    <s v="АГ-005-Г-10-05-465"/>
    <m/>
    <s v="ДА"/>
    <s v="White Box"/>
    <b v="1"/>
    <n v="7077215"/>
    <n v="0"/>
    <b v="1"/>
    <s v=" "/>
    <s v=""/>
  </r>
  <r>
    <n v="466"/>
    <x v="3"/>
    <x v="9"/>
    <x v="5"/>
    <x v="0"/>
    <n v="12.71"/>
    <m/>
    <m/>
    <n v="12.71"/>
    <n v="12.55"/>
    <n v="4.28"/>
    <m/>
    <m/>
    <n v="7.34"/>
    <n v="2.84"/>
    <m/>
    <m/>
    <n v="2.84"/>
    <n v="39.72"/>
    <n v="36.880000000000003"/>
    <n v="38.299999999999997"/>
    <n v="87601.5"/>
    <n v="4380.0749999999998"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m/>
    <n v="91981.574999999997"/>
    <n v="91981.58"/>
    <n v="3522894.51"/>
    <m/>
    <m/>
    <n v="0"/>
    <n v="91981.579895561357"/>
    <n v="3522894.51"/>
    <x v="1"/>
    <m/>
    <n v="91981.579895561357"/>
    <n v="0"/>
    <n v="3522894.51"/>
    <m/>
    <m/>
    <x v="0"/>
    <x v="0"/>
    <b v="1"/>
    <s v="АГ-005-Г-10-06-466"/>
    <m/>
    <s v="НЕТ"/>
    <s v="Черновая"/>
    <b v="1"/>
    <n v="3522894.51"/>
    <n v="0"/>
    <b v="1"/>
    <d v="2023-09-19T00:00:00"/>
    <s v="Калачева"/>
  </r>
  <r>
    <n v="467"/>
    <x v="3"/>
    <x v="9"/>
    <x v="6"/>
    <x v="3"/>
    <n v="14.49"/>
    <n v="13.98"/>
    <n v="11.42"/>
    <n v="39.89"/>
    <n v="16.670000000000002"/>
    <n v="4.1399999999999997"/>
    <n v="1.89"/>
    <m/>
    <n v="11.31"/>
    <n v="2.86"/>
    <n v="2.79"/>
    <n v="5.42"/>
    <n v="11.07"/>
    <n v="84.97"/>
    <n v="73.900000000000006"/>
    <n v="79.44"/>
    <n v="76375.530000000013"/>
    <n v="3818.7765000000009"/>
    <n v="80194.306500000021"/>
    <n v="2405.8291950000007"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n v="82600.14"/>
    <n v="6561755.1200000001"/>
    <m/>
    <m/>
    <n v="0"/>
    <n v="82600.139979859014"/>
    <n v="6561755.1200000001"/>
    <x v="0"/>
    <n v="5000"/>
    <n v="87600.139979859014"/>
    <n v="397200"/>
    <n v="6958955.1200000001"/>
    <s v="Хит"/>
    <m/>
    <x v="0"/>
    <x v="0"/>
    <b v="1"/>
    <s v="АГ-005-Г-10-07-467"/>
    <m/>
    <s v="НЕТ"/>
    <s v="Предчистовая"/>
    <b v="1"/>
    <n v="6958955.1200000001"/>
    <n v="0"/>
    <b v="1"/>
    <d v="2023-09-15T00:00:00"/>
    <s v="Кофанова"/>
  </r>
  <r>
    <n v="468"/>
    <x v="3"/>
    <x v="9"/>
    <x v="7"/>
    <x v="0"/>
    <n v="16.79"/>
    <m/>
    <m/>
    <n v="16.79"/>
    <n v="11.43"/>
    <n v="3.56"/>
    <m/>
    <m/>
    <n v="6.66"/>
    <n v="2.4900000000000002"/>
    <m/>
    <m/>
    <n v="2.4900000000000002"/>
    <n v="40.93"/>
    <n v="38.44"/>
    <n v="39.69"/>
    <n v="84762.5625"/>
    <n v="4238.1281250000002"/>
    <n v="89000.690625000003"/>
    <n v="2670.02071875"/>
    <n v="91670.711343750008"/>
    <n v="4125.1820104687504"/>
    <n v="95795.893354218759"/>
    <m/>
    <n v="95795.893354218759"/>
    <n v="4789.7946677109385"/>
    <n v="100585.6880219297"/>
    <m/>
    <n v="100585.6880219297"/>
    <n v="1005.8568802192971"/>
    <n v="101591.54490214901"/>
    <n v="5079.5772451074508"/>
    <n v="106671.12214725645"/>
    <m/>
    <n v="106671.12214725645"/>
    <n v="3200.1336644176936"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n v="549.35627905837077"/>
    <n v="110420.61209073251"/>
    <m/>
    <n v="110420.61209073251"/>
    <n v="2208.4122418146503"/>
    <n v="112629.02433254715"/>
    <n v="5631.451216627358"/>
    <n v="118260.47554917452"/>
    <n v="15373.861821392687"/>
    <n v="133634.3373705672"/>
    <n v="35"/>
    <n v="133669.3373705672"/>
    <m/>
    <n v="133669.3373705672"/>
    <n v="133669.34"/>
    <n v="5305400"/>
    <n v="317520"/>
    <m/>
    <n v="317520"/>
    <n v="125670.94986142605"/>
    <n v="4987880"/>
    <x v="2"/>
    <n v="25000"/>
    <n v="150670.94986142605"/>
    <n v="992250"/>
    <n v="5980130"/>
    <m/>
    <s v="Большие скидки на маленькие квартиры"/>
    <x v="0"/>
    <x v="0"/>
    <b v="1"/>
    <s v="АГ-005-Г-10-08-468"/>
    <m/>
    <s v="ДА"/>
    <s v="Чистовая"/>
    <b v="1"/>
    <n v="5980130"/>
    <n v="0"/>
    <b v="1"/>
    <d v="2025-04-26T00:00:00"/>
    <s v="Дик"/>
  </r>
  <r>
    <n v="469"/>
    <x v="3"/>
    <x v="10"/>
    <x v="0"/>
    <x v="2"/>
    <n v="13.74"/>
    <m/>
    <m/>
    <n v="13.74"/>
    <n v="5.84"/>
    <n v="3.76"/>
    <m/>
    <m/>
    <n v="3.73"/>
    <n v="4.6500000000000004"/>
    <m/>
    <m/>
    <n v="4.6500000000000004"/>
    <n v="31.72"/>
    <n v="27.07"/>
    <n v="29.4"/>
    <n v="89353.53"/>
    <n v="4467.6765000000005"/>
    <n v="93821.2065"/>
    <n v="2814.636195"/>
    <n v="96635.842694999999"/>
    <n v="8697.2258425500004"/>
    <n v="105333.06853755"/>
    <m/>
    <n v="105333.06853755"/>
    <m/>
    <n v="105333.06853755"/>
    <m/>
    <n v="105333.06853755"/>
    <n v="1053.3306853755"/>
    <n v="106386.39922292551"/>
    <n v="5319.319961146276"/>
    <n v="111705.71918407179"/>
    <m/>
    <n v="111705.71918407179"/>
    <n v="3351.1715755221535"/>
    <n v="115056.89075959394"/>
    <m/>
    <n v="115056.89075959394"/>
    <m/>
    <n v="115056.89075959394"/>
    <m/>
    <n v="115056.89075959394"/>
    <n v="1150.5689075959394"/>
    <n v="116207.45966718988"/>
    <m/>
    <n v="116207.45966718988"/>
    <m/>
    <n v="116207.45966718988"/>
    <m/>
    <n v="116207.45966718988"/>
    <n v="1743.111895007848"/>
    <n v="117950.57156219773"/>
    <m/>
    <n v="117950.57156219773"/>
    <m/>
    <n v="117950.57156219773"/>
    <n v="4718.0228624879092"/>
    <n v="122668.59442468564"/>
    <n v="15946.917275209133"/>
    <n v="138615.51169989476"/>
    <m/>
    <n v="138615.51169989476"/>
    <m/>
    <n v="138615.51169989476"/>
    <n v="138615.51"/>
    <n v="4075300"/>
    <m/>
    <n v="0.02"/>
    <n v="81506"/>
    <n v="135843.33333333334"/>
    <n v="3993794"/>
    <x v="1"/>
    <m/>
    <n v="135843.33333333334"/>
    <n v="0"/>
    <n v="3993794"/>
    <m/>
    <s v="Скидка иногородним"/>
    <x v="0"/>
    <x v="0"/>
    <b v="1"/>
    <s v="АГ-005-Г-11-01-469"/>
    <m/>
    <s v="ДА"/>
    <s v="Черновая"/>
    <b v="1"/>
    <n v="3993794"/>
    <n v="0"/>
    <b v="1"/>
    <d v="2024-12-23T00:00:00"/>
    <s v="Полехович"/>
  </r>
  <r>
    <n v="470"/>
    <x v="3"/>
    <x v="10"/>
    <x v="1"/>
    <x v="0"/>
    <n v="13.17"/>
    <m/>
    <m/>
    <n v="13.17"/>
    <n v="16.940000000000001"/>
    <n v="3.55"/>
    <n v="2.41"/>
    <m/>
    <n v="5.8"/>
    <n v="2.68"/>
    <m/>
    <m/>
    <n v="2.68"/>
    <n v="44.55"/>
    <n v="41.87"/>
    <n v="43.21"/>
    <n v="85168.125"/>
    <n v="4258.40625"/>
    <n v="89426.53125"/>
    <n v="2682.7959375"/>
    <n v="92109.327187500006"/>
    <n v="921.09327187500003"/>
    <n v="93030.420459375004"/>
    <m/>
    <n v="93030.420459375004"/>
    <n v="4651.52102296875"/>
    <n v="97681.941482343755"/>
    <m/>
    <n v="97681.941482343755"/>
    <n v="976.81941482343757"/>
    <n v="98658.760897167187"/>
    <n v="4932.9380448583597"/>
    <n v="103591.69894202554"/>
    <m/>
    <n v="103591.69894202554"/>
    <n v="3107.7509682607661"/>
    <n v="106699.4499102863"/>
    <n v="500"/>
    <n v="107199.4499102863"/>
    <m/>
    <n v="107199.4499102863"/>
    <m/>
    <n v="107199.4499102863"/>
    <m/>
    <n v="107199.4499102863"/>
    <n v="1071.9944991028631"/>
    <n v="108271.44440938917"/>
    <m/>
    <n v="108271.44440938917"/>
    <m/>
    <n v="108271.44440938917"/>
    <n v="2706.7861102347292"/>
    <n v="110978.23051962389"/>
    <m/>
    <n v="110978.23051962389"/>
    <m/>
    <n v="110978.23051962389"/>
    <n v="8878.2584415699112"/>
    <n v="119856.4889611938"/>
    <n v="15581.343564955194"/>
    <n v="135437.832526149"/>
    <n v="35"/>
    <n v="135472.832526149"/>
    <m/>
    <n v="135472.832526149"/>
    <n v="135472.82999999999"/>
    <n v="5853800"/>
    <m/>
    <m/>
    <n v="0"/>
    <n v="135473.27007637121"/>
    <n v="5853800"/>
    <x v="1"/>
    <m/>
    <n v="135473.27007637121"/>
    <n v="0"/>
    <n v="5853800"/>
    <m/>
    <m/>
    <x v="1"/>
    <x v="1"/>
    <b v="1"/>
    <s v="АГ-005-Г-11-02-470"/>
    <m/>
    <s v="ДА"/>
    <s v="Черновая"/>
    <b v="1"/>
    <n v="5853800"/>
    <n v="0"/>
    <b v="1"/>
    <s v=" "/>
    <s v=""/>
  </r>
  <r>
    <n v="471"/>
    <x v="3"/>
    <x v="10"/>
    <x v="2"/>
    <x v="2"/>
    <n v="7.2"/>
    <m/>
    <m/>
    <n v="7.2"/>
    <n v="5.17"/>
    <n v="3.71"/>
    <m/>
    <m/>
    <n v="6.96"/>
    <n v="2.92"/>
    <m/>
    <m/>
    <n v="2.92"/>
    <n v="25.96"/>
    <n v="23.04"/>
    <n v="24.5"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m/>
    <n v="91105.56"/>
    <n v="91105.56"/>
    <n v="2232086.2200000002"/>
    <m/>
    <m/>
    <n v="0"/>
    <n v="91105.560000000012"/>
    <n v="2232086.2200000002"/>
    <x v="1"/>
    <m/>
    <n v="91105.560000000012"/>
    <n v="0"/>
    <n v="2232086.2200000002"/>
    <m/>
    <m/>
    <x v="0"/>
    <x v="0"/>
    <b v="1"/>
    <s v="АГ-005-Г-11-03-471"/>
    <m/>
    <s v="НЕТ"/>
    <s v="Черновая"/>
    <b v="1"/>
    <n v="2232086.2200000002"/>
    <n v="0"/>
    <b v="1"/>
    <d v="2023-09-18T00:00:00"/>
    <s v="Калачева"/>
  </r>
  <r>
    <n v="472"/>
    <x v="3"/>
    <x v="10"/>
    <x v="3"/>
    <x v="1"/>
    <n v="14.48"/>
    <n v="11.42"/>
    <m/>
    <n v="25.9"/>
    <n v="15.86"/>
    <n v="3.01"/>
    <n v="2.67"/>
    <m/>
    <n v="9.44"/>
    <n v="2.72"/>
    <m/>
    <m/>
    <n v="2.72"/>
    <n v="59.6"/>
    <n v="56.88"/>
    <n v="58.24"/>
    <n v="79535.67300000001"/>
    <n v="3976.7836500000008"/>
    <n v="83512.456650000007"/>
    <n v="2505.3736994999999"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n v="86017.83"/>
    <n v="5009678.42"/>
    <m/>
    <n v="0.05"/>
    <n v="250483.921"/>
    <n v="81716.938530219777"/>
    <n v="4759194.5"/>
    <x v="1"/>
    <m/>
    <n v="81716.938530219777"/>
    <n v="0"/>
    <n v="4759194.5"/>
    <m/>
    <s v="Ветеран боевых действий"/>
    <x v="0"/>
    <x v="0"/>
    <b v="1"/>
    <s v="АГ-005-Г-11-04-472"/>
    <m/>
    <s v="НЕТ"/>
    <s v="Черновая"/>
    <b v="1"/>
    <n v="4759194.5"/>
    <n v="0"/>
    <b v="1"/>
    <d v="2023-10-31T00:00:00"/>
    <s v="Дик"/>
  </r>
  <r>
    <n v="473"/>
    <x v="3"/>
    <x v="10"/>
    <x v="4"/>
    <x v="1"/>
    <n v="15.41"/>
    <n v="12.78"/>
    <m/>
    <n v="28.189999999999998"/>
    <n v="13.45"/>
    <n v="3.7"/>
    <n v="2.72"/>
    <m/>
    <n v="8.2200000000000006"/>
    <n v="3.03"/>
    <m/>
    <m/>
    <n v="3.03"/>
    <n v="59.31"/>
    <n v="56.28"/>
    <n v="57.8"/>
    <n v="79149.577499999999"/>
    <n v="3957.4788750000002"/>
    <n v="83107.056375"/>
    <n v="2493.2116912500001"/>
    <n v="85600.268066250006"/>
    <m/>
    <n v="85600.268066250006"/>
    <m/>
    <n v="85600.268066250006"/>
    <m/>
    <n v="85600.268066250006"/>
    <m/>
    <n v="85600.268066250006"/>
    <n v="856.0026806625001"/>
    <n v="86456.270746912502"/>
    <n v="4322.8135373456253"/>
    <n v="90779.084284258133"/>
    <m/>
    <n v="90779.084284258133"/>
    <m/>
    <n v="90779.084284258133"/>
    <m/>
    <n v="90779.084284258133"/>
    <m/>
    <n v="90779.084284258133"/>
    <m/>
    <n v="90779.084284258133"/>
    <m/>
    <n v="90779.084284258133"/>
    <m/>
    <n v="90779.084284258133"/>
    <m/>
    <n v="90779.084284258133"/>
    <m/>
    <n v="90779.084284258133"/>
    <m/>
    <n v="90779.084284258133"/>
    <m/>
    <n v="90779.084284258133"/>
    <m/>
    <n v="90779.084284258133"/>
    <m/>
    <n v="90779.084284258133"/>
    <m/>
    <n v="90779.084284258133"/>
    <m/>
    <n v="90779.084284258133"/>
    <m/>
    <n v="90779.084284258133"/>
    <n v="90779.08"/>
    <n v="5247100"/>
    <m/>
    <n v="0.02"/>
    <n v="104942"/>
    <n v="88964.671280276816"/>
    <n v="5142158"/>
    <x v="3"/>
    <n v="7000"/>
    <n v="95964.671280276816"/>
    <n v="404600"/>
    <n v="5546758"/>
    <m/>
    <s v="Скидка иногородним"/>
    <x v="0"/>
    <x v="0"/>
    <b v="1"/>
    <s v="АГ-005-Г-11-05-473"/>
    <m/>
    <s v="ДА"/>
    <s v="White Box"/>
    <b v="1"/>
    <n v="5546758"/>
    <n v="0"/>
    <b v="1"/>
    <d v="2024-02-14T00:00:00"/>
    <s v="Дик"/>
  </r>
  <r>
    <n v="474"/>
    <x v="3"/>
    <x v="10"/>
    <x v="5"/>
    <x v="0"/>
    <n v="12.71"/>
    <m/>
    <m/>
    <n v="12.71"/>
    <n v="12.55"/>
    <n v="4.28"/>
    <m/>
    <m/>
    <n v="7.34"/>
    <n v="2.84"/>
    <m/>
    <m/>
    <n v="2.84"/>
    <n v="39.72"/>
    <n v="36.880000000000003"/>
    <n v="38.299999999999997"/>
    <n v="87601.5"/>
    <n v="4380.0749999999998"/>
    <n v="91981.574999999997"/>
    <n v="2759.4472499999997"/>
    <n v="94741.022249999995"/>
    <n v="947.41022249999992"/>
    <n v="95688.43247249999"/>
    <m/>
    <n v="95688.43247249999"/>
    <n v="4784.4216236249995"/>
    <n v="100472.854096125"/>
    <m/>
    <n v="100472.854096125"/>
    <m/>
    <n v="100472.854096125"/>
    <m/>
    <n v="100472.854096125"/>
    <m/>
    <n v="100472.854096125"/>
    <m/>
    <n v="100472.854096125"/>
    <m/>
    <n v="100472.854096125"/>
    <m/>
    <n v="100472.854096125"/>
    <m/>
    <n v="100472.854096125"/>
    <m/>
    <n v="100472.854096125"/>
    <m/>
    <n v="100472.854096125"/>
    <m/>
    <n v="100472.854096125"/>
    <m/>
    <n v="100472.854096125"/>
    <m/>
    <n v="100472.854096125"/>
    <m/>
    <n v="100472.854096125"/>
    <m/>
    <n v="100472.854096125"/>
    <m/>
    <n v="100472.854096125"/>
    <m/>
    <n v="100472.854096125"/>
    <m/>
    <n v="100472.854096125"/>
    <m/>
    <n v="100472.854096125"/>
    <n v="100472.85"/>
    <n v="3848200"/>
    <m/>
    <n v="0.05"/>
    <n v="192410"/>
    <n v="95451.436031331599"/>
    <n v="3655790"/>
    <x v="2"/>
    <n v="22000"/>
    <n v="117451.4360313316"/>
    <n v="842600"/>
    <n v="4498390"/>
    <m/>
    <s v="Ветеран боевых действий"/>
    <x v="0"/>
    <x v="0"/>
    <b v="1"/>
    <s v="АГ-005-Г-11-06-474"/>
    <m/>
    <s v="ДА"/>
    <s v="Чистовая"/>
    <b v="1"/>
    <n v="4498390"/>
    <n v="0"/>
    <b v="1"/>
    <d v="2023-12-28T00:00:00"/>
    <s v="Полехович"/>
  </r>
  <r>
    <n v="475"/>
    <x v="3"/>
    <x v="10"/>
    <x v="6"/>
    <x v="3"/>
    <n v="14.49"/>
    <n v="13.98"/>
    <n v="11.42"/>
    <n v="39.89"/>
    <n v="16.670000000000002"/>
    <n v="4.1399999999999997"/>
    <n v="1.89"/>
    <m/>
    <n v="11.31"/>
    <n v="2.86"/>
    <n v="2.79"/>
    <n v="5.42"/>
    <n v="11.07"/>
    <n v="84.97"/>
    <n v="73.900000000000006"/>
    <n v="79.44"/>
    <n v="77803.110000000015"/>
    <n v="3890.1555000000008"/>
    <n v="81693.265500000009"/>
    <n v="2450.7979650000002"/>
    <n v="84144.063465000014"/>
    <m/>
    <n v="84144.063465000014"/>
    <m/>
    <n v="84144.063465000014"/>
    <m/>
    <n v="84144.063465000014"/>
    <m/>
    <n v="84144.063465000014"/>
    <n v="841.44063465000011"/>
    <n v="84985.504099650017"/>
    <n v="4249.2752049825012"/>
    <n v="89234.779304632524"/>
    <m/>
    <n v="89234.779304632524"/>
    <n v="1784.6955860926505"/>
    <n v="91019.474890725178"/>
    <m/>
    <n v="91019.474890725178"/>
    <n v="1820.3894978145036"/>
    <n v="92839.864388539689"/>
    <n v="1000"/>
    <n v="93839.864388539689"/>
    <m/>
    <n v="93839.864388539689"/>
    <n v="1876.7972877707939"/>
    <n v="95716.661676310483"/>
    <m/>
    <n v="95716.661676310483"/>
    <n v="1914.3332335262096"/>
    <n v="97630.994909836692"/>
    <n v="2440.7748727459175"/>
    <n v="100071.7697825826"/>
    <m/>
    <n v="100071.7697825826"/>
    <m/>
    <n v="100071.7697825826"/>
    <m/>
    <n v="100071.7697825826"/>
    <m/>
    <n v="100071.7697825826"/>
    <m/>
    <n v="100071.7697825826"/>
    <m/>
    <n v="100071.7697825826"/>
    <n v="100071.77"/>
    <n v="7949800"/>
    <m/>
    <n v="0.03"/>
    <n v="238494"/>
    <n v="97070.820745216522"/>
    <n v="7711306"/>
    <x v="2"/>
    <n v="20000"/>
    <n v="117070.82074521652"/>
    <n v="1588800"/>
    <n v="9300106"/>
    <s v="Хит"/>
    <s v="Ветеран боевых действий"/>
    <x v="0"/>
    <x v="0"/>
    <b v="1"/>
    <s v="АГ-005-Г-11-07-475"/>
    <m/>
    <s v="ДА"/>
    <s v="Чистовая"/>
    <b v="1"/>
    <n v="9300106"/>
    <n v="0"/>
    <b v="1"/>
    <d v="2024-07-31T00:00:00"/>
    <s v="Дик"/>
  </r>
  <r>
    <n v="476"/>
    <x v="3"/>
    <x v="10"/>
    <x v="7"/>
    <x v="0"/>
    <n v="16.79"/>
    <m/>
    <m/>
    <n v="16.79"/>
    <n v="11.43"/>
    <n v="3.56"/>
    <m/>
    <m/>
    <n v="6.66"/>
    <n v="2.4900000000000002"/>
    <m/>
    <m/>
    <n v="2.4900000000000002"/>
    <n v="40.93"/>
    <n v="38.44"/>
    <n v="39.69"/>
    <n v="86384.8125"/>
    <n v="4319.2406250000004"/>
    <n v="90704.053125000006"/>
    <n v="2721.1215937500001"/>
    <n v="93425.17471875"/>
    <n v="4204.1328623437503"/>
    <n v="97629.307581093744"/>
    <m/>
    <n v="97629.307581093744"/>
    <n v="4881.4653790546872"/>
    <n v="102510.77296014843"/>
    <m/>
    <n v="102510.77296014843"/>
    <n v="1025.1077296014844"/>
    <n v="103535.88068974992"/>
    <n v="5176.794034487496"/>
    <n v="108712.67472423741"/>
    <m/>
    <n v="108712.67472423741"/>
    <n v="3261.3802417271222"/>
    <n v="111974.05496596453"/>
    <m/>
    <n v="111974.05496596453"/>
    <m/>
    <n v="111974.05496596453"/>
    <m/>
    <n v="111974.05496596453"/>
    <m/>
    <n v="111974.05496596453"/>
    <m/>
    <n v="111974.05496596453"/>
    <m/>
    <n v="111974.05496596453"/>
    <m/>
    <n v="111974.05496596453"/>
    <n v="559.87027482982273"/>
    <n v="112533.92524079436"/>
    <m/>
    <n v="112533.92524079436"/>
    <n v="2250.6785048158872"/>
    <n v="114784.60374561025"/>
    <n v="5739.2301872805128"/>
    <n v="120523.83393289076"/>
    <n v="15668.0984112758"/>
    <n v="136191.93234416656"/>
    <m/>
    <n v="136191.93234416656"/>
    <m/>
    <n v="136191.93234416656"/>
    <n v="136191.93"/>
    <n v="5405500"/>
    <m/>
    <n v="0.02"/>
    <n v="108110"/>
    <n v="133469.13580246913"/>
    <n v="5297390"/>
    <x v="2"/>
    <n v="25000"/>
    <n v="158469.13580246913"/>
    <n v="992249.99999999907"/>
    <n v="6289639.9999999991"/>
    <m/>
    <s v="Скидка иногородним"/>
    <x v="0"/>
    <x v="0"/>
    <b v="1"/>
    <s v="АГ-005-Г-11-08-476"/>
    <m/>
    <s v="ДА"/>
    <s v="Чистовая"/>
    <b v="1"/>
    <n v="6289640"/>
    <n v="9.3132257461547852E-10"/>
    <b v="1"/>
    <d v="2024-12-17T00:00:00"/>
    <s v="Дик"/>
  </r>
  <r>
    <n v="477"/>
    <x v="3"/>
    <x v="11"/>
    <x v="0"/>
    <x v="2"/>
    <n v="13.74"/>
    <m/>
    <m/>
    <n v="13.74"/>
    <n v="5.84"/>
    <n v="3.76"/>
    <m/>
    <m/>
    <n v="3.73"/>
    <n v="4.6500000000000004"/>
    <m/>
    <m/>
    <n v="4.6500000000000004"/>
    <n v="31.72"/>
    <n v="27.07"/>
    <n v="29.4"/>
    <n v="89353.53"/>
    <n v="4467.6765000000005"/>
    <n v="93821.2065"/>
    <n v="2814.636195"/>
    <n v="96635.842694999999"/>
    <n v="8697.2258425500004"/>
    <n v="105333.06853755"/>
    <m/>
    <n v="105333.06853755"/>
    <m/>
    <n v="105333.06853755"/>
    <m/>
    <n v="105333.06853755"/>
    <m/>
    <n v="105333.06853755"/>
    <m/>
    <n v="105333.06853755"/>
    <m/>
    <n v="105333.06853755"/>
    <m/>
    <n v="105333.06853755"/>
    <m/>
    <n v="105333.06853755"/>
    <m/>
    <n v="105333.06853755"/>
    <m/>
    <n v="105333.06853755"/>
    <m/>
    <n v="105333.06853755"/>
    <m/>
    <n v="105333.06853755"/>
    <m/>
    <n v="105333.06853755"/>
    <m/>
    <n v="105333.06853755"/>
    <m/>
    <n v="105333.06853755"/>
    <m/>
    <n v="105333.06853755"/>
    <m/>
    <n v="105333.06853755"/>
    <m/>
    <n v="105333.06853755"/>
    <m/>
    <n v="105333.06853755"/>
    <m/>
    <n v="105333.06853755"/>
    <m/>
    <n v="105333.06853755"/>
    <n v="105333.07"/>
    <n v="3096792.26"/>
    <m/>
    <m/>
    <n v="0"/>
    <n v="105333.07006802721"/>
    <n v="3096792.26"/>
    <x v="1"/>
    <m/>
    <n v="105333.07006802721"/>
    <n v="0"/>
    <n v="3096792.26"/>
    <m/>
    <m/>
    <x v="0"/>
    <x v="0"/>
    <b v="1"/>
    <s v="АГ-005-Г-12-01-477"/>
    <m/>
    <s v="НЕТ"/>
    <s v="Черновая"/>
    <b v="1"/>
    <n v="3096792.26"/>
    <n v="0"/>
    <b v="1"/>
    <d v="2023-11-23T00:00:00"/>
    <s v="Никишов"/>
  </r>
  <r>
    <n v="478"/>
    <x v="3"/>
    <x v="11"/>
    <x v="1"/>
    <x v="0"/>
    <n v="13.17"/>
    <m/>
    <m/>
    <n v="13.17"/>
    <n v="16.940000000000001"/>
    <n v="3.55"/>
    <n v="2.41"/>
    <m/>
    <n v="5.8"/>
    <n v="2.68"/>
    <m/>
    <m/>
    <n v="2.68"/>
    <n v="44.55"/>
    <n v="41.87"/>
    <n v="43.21"/>
    <n v="85168.125"/>
    <n v="4258.40625"/>
    <n v="89426.53125"/>
    <n v="2682.7959375"/>
    <n v="92109.327187500006"/>
    <n v="921.09327187500003"/>
    <n v="93030.420459375004"/>
    <m/>
    <n v="93030.420459375004"/>
    <n v="4651.52102296875"/>
    <n v="97681.941482343755"/>
    <m/>
    <n v="97681.941482343755"/>
    <n v="976.81941482343757"/>
    <n v="98658.760897167187"/>
    <n v="4932.9380448583597"/>
    <n v="103591.69894202554"/>
    <m/>
    <n v="103591.69894202554"/>
    <n v="3107.7509682607661"/>
    <n v="106699.4499102863"/>
    <m/>
    <n v="106699.4499102863"/>
    <m/>
    <n v="106699.4499102863"/>
    <m/>
    <n v="106699.4499102863"/>
    <m/>
    <n v="106699.4499102863"/>
    <m/>
    <n v="106699.4499102863"/>
    <m/>
    <n v="106699.4499102863"/>
    <m/>
    <n v="106699.4499102863"/>
    <m/>
    <n v="106699.4499102863"/>
    <m/>
    <n v="106699.4499102863"/>
    <m/>
    <n v="106699.4499102863"/>
    <m/>
    <n v="106699.4499102863"/>
    <m/>
    <n v="106699.4499102863"/>
    <m/>
    <n v="106699.4499102863"/>
    <m/>
    <n v="106699.4499102863"/>
    <n v="106699.45"/>
    <n v="4610500"/>
    <n v="88888"/>
    <m/>
    <n v="88888"/>
    <n v="104642.72159222401"/>
    <n v="4521612"/>
    <x v="1"/>
    <m/>
    <n v="104642.72159222401"/>
    <n v="0"/>
    <n v="4521612"/>
    <m/>
    <s v="Весна"/>
    <x v="0"/>
    <x v="0"/>
    <b v="1"/>
    <s v="АГ-005-Г-12-02-478"/>
    <m/>
    <s v="ДА"/>
    <s v="Черновая"/>
    <b v="1"/>
    <n v="4521612"/>
    <n v="0"/>
    <b v="1"/>
    <d v="2024-03-19T00:00:00"/>
    <s v="Дик"/>
  </r>
  <r>
    <n v="479"/>
    <x v="3"/>
    <x v="11"/>
    <x v="2"/>
    <x v="2"/>
    <n v="7.2"/>
    <m/>
    <m/>
    <n v="7.2"/>
    <n v="5.17"/>
    <n v="3.71"/>
    <m/>
    <m/>
    <n v="6.96"/>
    <n v="2.92"/>
    <m/>
    <m/>
    <n v="2.92"/>
    <n v="25.96"/>
    <n v="23.04"/>
    <n v="24.5"/>
    <n v="91105.56"/>
    <n v="4555.2780000000002"/>
    <n v="95660.838000000003"/>
    <n v="2869.8251399999999"/>
    <n v="98530.663140000004"/>
    <n v="8867.7596826000008"/>
    <n v="107398.4228226"/>
    <m/>
    <n v="107398.4228226"/>
    <m/>
    <n v="107398.4228226"/>
    <m/>
    <n v="107398.4228226"/>
    <n v="1073.9842282259999"/>
    <n v="108472.407050826"/>
    <n v="5423.6203525413002"/>
    <n v="113896.0274033673"/>
    <m/>
    <n v="113896.0274033673"/>
    <n v="3416.880822101019"/>
    <n v="117312.90822546833"/>
    <m/>
    <n v="117312.90822546833"/>
    <m/>
    <n v="117312.90822546833"/>
    <m/>
    <n v="117312.90822546833"/>
    <n v="1173.1290822546832"/>
    <n v="118486.03730772302"/>
    <m/>
    <n v="118486.03730772302"/>
    <n v="592.43018653861509"/>
    <n v="119078.46749426163"/>
    <m/>
    <n v="119078.46749426163"/>
    <n v="2976.961687356541"/>
    <n v="122055.42918161816"/>
    <m/>
    <n v="122055.42918161816"/>
    <m/>
    <n v="122055.42918161816"/>
    <n v="4882.2171672647264"/>
    <n v="126937.64634888289"/>
    <n v="16501.894025354777"/>
    <n v="143439.54037423767"/>
    <n v="35"/>
    <n v="143474.54037423767"/>
    <m/>
    <n v="143474.54037423767"/>
    <n v="143474.54"/>
    <n v="3515200"/>
    <n v="196000"/>
    <m/>
    <n v="196000"/>
    <n v="135477.55102040817"/>
    <n v="3319200"/>
    <x v="1"/>
    <m/>
    <n v="135477.55102040817"/>
    <n v="0"/>
    <n v="3319200"/>
    <m/>
    <s v="Большие скидки на маленькие квартиры"/>
    <x v="0"/>
    <x v="0"/>
    <b v="1"/>
    <s v="АГ-005-Г-12-03-479"/>
    <m/>
    <s v="ДА"/>
    <s v="Черновая"/>
    <b v="1"/>
    <n v="3319200"/>
    <n v="0"/>
    <b v="1"/>
    <d v="2025-04-08T00:00:00"/>
    <s v="Нуждина"/>
  </r>
  <r>
    <n v="480"/>
    <x v="3"/>
    <x v="11"/>
    <x v="3"/>
    <x v="1"/>
    <n v="14.48"/>
    <n v="11.42"/>
    <m/>
    <n v="25.9"/>
    <n v="15.86"/>
    <n v="3.01"/>
    <n v="2.67"/>
    <m/>
    <n v="9.44"/>
    <n v="2.72"/>
    <m/>
    <m/>
    <n v="2.72"/>
    <n v="59.6"/>
    <n v="56.88"/>
    <n v="58.24"/>
    <n v="79535.67300000001"/>
    <n v="3976.7836500000008"/>
    <n v="83512.456650000007"/>
    <n v="2505.3736994999999"/>
    <n v="86017.8303495"/>
    <m/>
    <n v="86017.8303495"/>
    <m/>
    <n v="86017.8303495"/>
    <m/>
    <n v="86017.8303495"/>
    <m/>
    <n v="86017.8303495"/>
    <n v="860.17830349500002"/>
    <n v="86878.008652995006"/>
    <n v="4343.9004326497507"/>
    <n v="91221.909085644758"/>
    <m/>
    <n v="91221.909085644758"/>
    <n v="1824.4381817128951"/>
    <n v="93046.347267357647"/>
    <m/>
    <n v="93046.347267357647"/>
    <n v="1860.9269453471529"/>
    <n v="94907.274212704797"/>
    <m/>
    <n v="94907.274212704797"/>
    <n v="949.07274212704795"/>
    <n v="95856.346954831839"/>
    <m/>
    <n v="95856.346954831839"/>
    <m/>
    <n v="95856.346954831839"/>
    <m/>
    <n v="95856.346954831839"/>
    <n v="1437.8452043224775"/>
    <n v="97294.192159154321"/>
    <m/>
    <n v="97294.192159154321"/>
    <n v="3891.7676863661727"/>
    <n v="101185.9598455205"/>
    <m/>
    <n v="101185.9598455205"/>
    <m/>
    <n v="101185.9598455205"/>
    <m/>
    <n v="101185.9598455205"/>
    <m/>
    <n v="101185.9598455205"/>
    <n v="101185.96"/>
    <n v="5893100"/>
    <m/>
    <n v="0.02"/>
    <n v="117862"/>
    <n v="99162.740384615376"/>
    <n v="5775238"/>
    <x v="1"/>
    <m/>
    <n v="99162.740384615376"/>
    <n v="0"/>
    <n v="5775238"/>
    <m/>
    <s v="Скидка иногородним"/>
    <x v="0"/>
    <x v="0"/>
    <b v="1"/>
    <s v="АГ-005-Г-12-04-480"/>
    <m/>
    <s v="ДА"/>
    <s v="Черновая"/>
    <b v="1"/>
    <n v="5775238"/>
    <n v="0"/>
    <b v="1"/>
    <d v="2024-11-18T00:00:00"/>
    <s v="Никишов"/>
  </r>
  <r>
    <n v="481"/>
    <x v="3"/>
    <x v="11"/>
    <x v="4"/>
    <x v="1"/>
    <n v="15.41"/>
    <n v="12.78"/>
    <m/>
    <n v="28.189999999999998"/>
    <n v="13.45"/>
    <n v="3.7"/>
    <n v="2.72"/>
    <m/>
    <n v="8.2200000000000006"/>
    <n v="3.03"/>
    <m/>
    <m/>
    <n v="3.03"/>
    <n v="59.31"/>
    <n v="56.28"/>
    <n v="57.8"/>
    <n v="79149.577499999999"/>
    <n v="3957.4788750000002"/>
    <n v="83107.056375"/>
    <n v="2493.2116912500001"/>
    <n v="85600.268066250006"/>
    <m/>
    <n v="85600.268066250006"/>
    <m/>
    <n v="85600.268066250006"/>
    <m/>
    <n v="85600.268066250006"/>
    <m/>
    <n v="85600.268066250006"/>
    <n v="856.0026806625001"/>
    <n v="86456.270746912502"/>
    <n v="4322.8135373456253"/>
    <n v="90779.084284258133"/>
    <m/>
    <n v="90779.084284258133"/>
    <n v="1815.5816856851627"/>
    <n v="92594.665969943293"/>
    <m/>
    <n v="92594.665969943293"/>
    <n v="1851.893319398866"/>
    <n v="94446.559289342156"/>
    <m/>
    <n v="94446.559289342156"/>
    <n v="944.46559289342156"/>
    <n v="95391.024882235579"/>
    <m/>
    <n v="95391.024882235579"/>
    <m/>
    <n v="95391.024882235579"/>
    <m/>
    <n v="95391.024882235579"/>
    <m/>
    <n v="95391.024882235579"/>
    <m/>
    <n v="95391.024882235579"/>
    <m/>
    <n v="95391.024882235579"/>
    <m/>
    <n v="95391.024882235579"/>
    <m/>
    <n v="95391.024882235579"/>
    <m/>
    <n v="95391.024882235579"/>
    <m/>
    <n v="95391.024882235579"/>
    <n v="95391.02"/>
    <n v="5513700"/>
    <m/>
    <m/>
    <n v="0"/>
    <n v="95392.733564013848"/>
    <n v="5513700"/>
    <x v="2"/>
    <n v="20000"/>
    <n v="115392.73356401385"/>
    <n v="1156000"/>
    <n v="6669700"/>
    <m/>
    <m/>
    <x v="0"/>
    <x v="0"/>
    <b v="1"/>
    <s v="АГ-005-Г-12-05-481"/>
    <m/>
    <s v="ДА"/>
    <s v="Чистовая"/>
    <b v="1"/>
    <n v="6669700"/>
    <n v="0"/>
    <b v="1"/>
    <d v="2024-07-20T00:00:00"/>
    <s v="Полехович"/>
  </r>
  <r>
    <n v="482"/>
    <x v="3"/>
    <x v="11"/>
    <x v="5"/>
    <x v="0"/>
    <n v="12.71"/>
    <m/>
    <m/>
    <n v="12.71"/>
    <n v="12.55"/>
    <n v="4.28"/>
    <m/>
    <m/>
    <n v="7.34"/>
    <n v="2.84"/>
    <m/>
    <m/>
    <n v="2.84"/>
    <n v="39.72"/>
    <n v="36.880000000000003"/>
    <n v="38.299999999999997"/>
    <n v="87601.5"/>
    <n v="4380.0749999999998"/>
    <n v="91981.574999999997"/>
    <n v="2759.4472499999997"/>
    <n v="94741.022249999995"/>
    <n v="947.41022249999992"/>
    <n v="95688.43247249999"/>
    <m/>
    <n v="95688.43247249999"/>
    <n v="4784.4216236249995"/>
    <n v="100472.854096125"/>
    <m/>
    <n v="100472.854096125"/>
    <n v="1004.72854096125"/>
    <n v="101477.58263708625"/>
    <n v="5073.8791318543126"/>
    <n v="106551.46176894056"/>
    <m/>
    <n v="106551.46176894056"/>
    <n v="3196.5438530682168"/>
    <n v="109748.00562200877"/>
    <m/>
    <n v="109748.00562200877"/>
    <m/>
    <n v="109748.00562200877"/>
    <m/>
    <n v="109748.00562200877"/>
    <m/>
    <n v="109748.00562200877"/>
    <n v="1097.4800562200878"/>
    <n v="110845.48567822886"/>
    <n v="554.22742839114426"/>
    <n v="111399.71310661999"/>
    <m/>
    <n v="111399.71310661999"/>
    <n v="2784.9928276655"/>
    <n v="114184.70593428549"/>
    <m/>
    <n v="114184.70593428549"/>
    <n v="2283.6941186857098"/>
    <n v="116468.40005297121"/>
    <n v="5823.4200026485605"/>
    <n v="122291.82005561977"/>
    <n v="15897.936607230571"/>
    <n v="138189.75666285033"/>
    <n v="35"/>
    <n v="138224.75666285033"/>
    <m/>
    <n v="138224.75666285033"/>
    <n v="138224.76"/>
    <n v="5294100"/>
    <m/>
    <m/>
    <n v="0"/>
    <n v="138227.1540469974"/>
    <n v="5294100"/>
    <x v="1"/>
    <m/>
    <n v="138227.1540469974"/>
    <n v="0"/>
    <n v="5294100"/>
    <m/>
    <m/>
    <x v="1"/>
    <x v="1"/>
    <b v="1"/>
    <s v="АГ-005-Г-12-06-482"/>
    <m/>
    <s v="ДА"/>
    <s v="Черновая"/>
    <b v="1"/>
    <n v="5294100"/>
    <n v="0"/>
    <b v="1"/>
    <s v=" "/>
    <s v=""/>
  </r>
  <r>
    <n v="483"/>
    <x v="3"/>
    <x v="11"/>
    <x v="6"/>
    <x v="3"/>
    <n v="14.49"/>
    <n v="13.98"/>
    <n v="11.42"/>
    <n v="39.89"/>
    <n v="16.670000000000002"/>
    <n v="4.1399999999999997"/>
    <n v="1.89"/>
    <m/>
    <n v="11.31"/>
    <n v="2.86"/>
    <n v="2.79"/>
    <n v="5.42"/>
    <n v="11.07"/>
    <n v="84.97"/>
    <n v="73.900000000000006"/>
    <n v="79.44"/>
    <n v="77803.110000000015"/>
    <n v="3890.1555000000008"/>
    <n v="81693.265500000009"/>
    <n v="2450.7979650000002"/>
    <n v="84144.063465000014"/>
    <m/>
    <n v="84144.063465000014"/>
    <m/>
    <n v="84144.063465000014"/>
    <m/>
    <n v="84144.063465000014"/>
    <m/>
    <n v="84144.063465000014"/>
    <n v="841.44063465000011"/>
    <n v="84985.504099650017"/>
    <n v="4249.2752049825012"/>
    <n v="89234.779304632524"/>
    <m/>
    <n v="89234.779304632524"/>
    <n v="1784.6955860926505"/>
    <n v="91019.474890725178"/>
    <m/>
    <n v="91019.474890725178"/>
    <n v="1820.3894978145036"/>
    <n v="92839.864388539689"/>
    <m/>
    <n v="92839.864388539689"/>
    <m/>
    <n v="92839.864388539689"/>
    <m/>
    <n v="92839.864388539689"/>
    <m/>
    <n v="92839.864388539689"/>
    <m/>
    <n v="92839.864388539689"/>
    <m/>
    <n v="92839.864388539689"/>
    <m/>
    <n v="92839.864388539689"/>
    <m/>
    <n v="92839.864388539689"/>
    <m/>
    <n v="92839.864388539689"/>
    <m/>
    <n v="92839.864388539689"/>
    <m/>
    <n v="92839.864388539689"/>
    <m/>
    <n v="92839.864388539689"/>
    <n v="92839.86"/>
    <n v="7375200"/>
    <n v="90000"/>
    <m/>
    <n v="90000"/>
    <n v="91706.948640483388"/>
    <n v="7285200"/>
    <x v="1"/>
    <m/>
    <n v="91706.948640483388"/>
    <n v="0"/>
    <n v="7285200"/>
    <s v="Хит"/>
    <s v="Поехали в Амград"/>
    <x v="0"/>
    <x v="0"/>
    <b v="1"/>
    <s v="АГ-005-Г-12-07-483"/>
    <m/>
    <s v="ДА"/>
    <s v="Черновая"/>
    <b v="1"/>
    <n v="7285200"/>
    <n v="0"/>
    <b v="1"/>
    <d v="2024-04-26T00:00:00"/>
    <s v="Полехович"/>
  </r>
  <r>
    <n v="484"/>
    <x v="3"/>
    <x v="11"/>
    <x v="7"/>
    <x v="0"/>
    <n v="16.79"/>
    <m/>
    <m/>
    <n v="16.79"/>
    <n v="11.43"/>
    <n v="3.56"/>
    <m/>
    <m/>
    <n v="6.66"/>
    <n v="2.4900000000000002"/>
    <m/>
    <m/>
    <n v="2.4900000000000002"/>
    <n v="40.93"/>
    <n v="38.44"/>
    <n v="39.69"/>
    <n v="86384.8125"/>
    <n v="4319.2406250000004"/>
    <n v="90704.053125000006"/>
    <n v="2721.1215937500001"/>
    <n v="93425.17471875"/>
    <n v="4204.1328623437503"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n v="97629.31"/>
    <n v="3874907.31"/>
    <m/>
    <m/>
    <n v="0"/>
    <n v="97629.309901738481"/>
    <n v="3874907.31"/>
    <x v="1"/>
    <m/>
    <n v="97629.309901738481"/>
    <n v="0"/>
    <n v="3874907.31"/>
    <m/>
    <m/>
    <x v="0"/>
    <x v="0"/>
    <b v="1"/>
    <s v="АГ-005-Г-12-08-484"/>
    <m/>
    <s v="НЕТ"/>
    <s v="Черновая"/>
    <b v="1"/>
    <n v="3874907.31"/>
    <n v="0"/>
    <b v="1"/>
    <d v="2023-10-31T00:00:00"/>
    <s v="Дик"/>
  </r>
  <r>
    <n v="485"/>
    <x v="3"/>
    <x v="12"/>
    <x v="0"/>
    <x v="2"/>
    <n v="13.74"/>
    <m/>
    <m/>
    <n v="13.74"/>
    <n v="5.84"/>
    <n v="3.76"/>
    <m/>
    <m/>
    <n v="3.73"/>
    <n v="4.6500000000000004"/>
    <m/>
    <m/>
    <n v="4.6500000000000004"/>
    <n v="31.72"/>
    <n v="27.07"/>
    <n v="29.4"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m/>
    <n v="89353.53"/>
    <n v="89353.53"/>
    <n v="2626993.7799999998"/>
    <m/>
    <m/>
    <n v="0"/>
    <n v="89353.529931972793"/>
    <n v="2626993.7799999998"/>
    <x v="1"/>
    <m/>
    <n v="89353.529931972793"/>
    <n v="0"/>
    <n v="2626993.7799999998"/>
    <m/>
    <m/>
    <x v="0"/>
    <x v="0"/>
    <b v="1"/>
    <s v="АГ-005-Г-13-01-485"/>
    <m/>
    <s v="НЕТ"/>
    <s v="Черновая"/>
    <b v="1"/>
    <n v="2626993.7799999998"/>
    <n v="0"/>
    <b v="1"/>
    <d v="2023-09-19T00:00:00"/>
    <s v="Кофанова"/>
  </r>
  <r>
    <n v="486"/>
    <x v="3"/>
    <x v="12"/>
    <x v="1"/>
    <x v="0"/>
    <n v="13.17"/>
    <m/>
    <m/>
    <n v="13.17"/>
    <n v="16.940000000000001"/>
    <n v="3.55"/>
    <n v="2.41"/>
    <m/>
    <n v="5.8"/>
    <n v="2.68"/>
    <m/>
    <m/>
    <n v="2.68"/>
    <n v="44.55"/>
    <n v="41.87"/>
    <n v="43.21"/>
    <n v="85168.125"/>
    <n v="4258.40625"/>
    <n v="89426.53125"/>
    <n v="2682.7959375"/>
    <n v="92109.327187500006"/>
    <n v="921.09327187500003"/>
    <n v="93030.420459375004"/>
    <m/>
    <n v="93030.420459375004"/>
    <n v="4651.52102296875"/>
    <n v="97681.941482343755"/>
    <m/>
    <n v="97681.941482343755"/>
    <n v="976.81941482343757"/>
    <n v="98658.760897167187"/>
    <n v="4932.9380448583597"/>
    <n v="103591.69894202554"/>
    <m/>
    <n v="103591.69894202554"/>
    <n v="3107.7509682607661"/>
    <n v="106699.4499102863"/>
    <n v="500"/>
    <n v="107199.4499102863"/>
    <m/>
    <n v="107199.4499102863"/>
    <m/>
    <n v="107199.4499102863"/>
    <m/>
    <n v="107199.4499102863"/>
    <n v="1071.9944991028631"/>
    <n v="108271.44440938917"/>
    <m/>
    <n v="108271.44440938917"/>
    <m/>
    <n v="108271.44440938917"/>
    <n v="2706.7861102347292"/>
    <n v="110978.23051962389"/>
    <m/>
    <n v="110978.23051962389"/>
    <m/>
    <n v="110978.23051962389"/>
    <m/>
    <n v="110978.23051962389"/>
    <m/>
    <n v="110978.23051962389"/>
    <m/>
    <n v="110978.23051962389"/>
    <m/>
    <n v="110978.23051962389"/>
    <n v="110978.23"/>
    <n v="4795400"/>
    <m/>
    <m/>
    <n v="0"/>
    <n v="110978.94006017126"/>
    <n v="4795400"/>
    <x v="3"/>
    <n v="8000"/>
    <n v="118978.94006017126"/>
    <n v="345680"/>
    <n v="5141080"/>
    <m/>
    <m/>
    <x v="0"/>
    <x v="0"/>
    <b v="1"/>
    <s v="АГ-005-Г-13-02-486"/>
    <m/>
    <s v="ДА"/>
    <s v="White Box"/>
    <b v="1"/>
    <n v="5141080"/>
    <n v="0"/>
    <b v="1"/>
    <d v="2024-12-26T00:00:00"/>
    <s v="Дик"/>
  </r>
  <r>
    <n v="487"/>
    <x v="3"/>
    <x v="12"/>
    <x v="2"/>
    <x v="2"/>
    <n v="7.2"/>
    <m/>
    <m/>
    <n v="7.2"/>
    <n v="5.17"/>
    <n v="3.71"/>
    <m/>
    <m/>
    <n v="6.96"/>
    <n v="2.92"/>
    <m/>
    <m/>
    <n v="2.92"/>
    <n v="25.96"/>
    <n v="23.04"/>
    <n v="24.5"/>
    <n v="91105.56"/>
    <n v="4555.2780000000002"/>
    <n v="95660.838000000003"/>
    <n v="2869.8251399999999"/>
    <n v="98530.663140000004"/>
    <n v="8867.7596826000008"/>
    <n v="107398.4228226"/>
    <m/>
    <n v="107398.4228226"/>
    <m/>
    <n v="107398.4228226"/>
    <m/>
    <n v="107398.4228226"/>
    <n v="1073.9842282259999"/>
    <n v="108472.407050826"/>
    <n v="5423.6203525413002"/>
    <n v="113896.0274033673"/>
    <m/>
    <n v="113896.0274033673"/>
    <n v="3416.880822101019"/>
    <n v="117312.90822546833"/>
    <m/>
    <n v="117312.90822546833"/>
    <m/>
    <n v="117312.90822546833"/>
    <m/>
    <n v="117312.90822546833"/>
    <n v="1173.1290822546832"/>
    <n v="118486.03730772302"/>
    <m/>
    <n v="118486.03730772302"/>
    <n v="592.43018653861509"/>
    <n v="119078.46749426163"/>
    <m/>
    <n v="119078.46749426163"/>
    <n v="2976.961687356541"/>
    <n v="122055.42918161816"/>
    <m/>
    <n v="122055.42918161816"/>
    <m/>
    <n v="122055.42918161816"/>
    <n v="4882.2171672647264"/>
    <n v="126937.64634888289"/>
    <n v="16501.894025354777"/>
    <n v="143439.54037423767"/>
    <n v="35"/>
    <n v="143474.54037423767"/>
    <n v="-8474.5403742376657"/>
    <n v="135000"/>
    <n v="135000"/>
    <n v="3307500"/>
    <n v="196000"/>
    <m/>
    <n v="196000"/>
    <n v="127000"/>
    <n v="3111500"/>
    <x v="3"/>
    <n v="10000"/>
    <n v="137000"/>
    <n v="245000"/>
    <n v="3356500"/>
    <m/>
    <s v="Большие скидки на маленькие квартиры"/>
    <x v="0"/>
    <x v="0"/>
    <b v="1"/>
    <s v="АГ-005-Г-13-03-487"/>
    <m/>
    <s v="ДА"/>
    <s v="White Box"/>
    <b v="1"/>
    <n v="3356500"/>
    <n v="0"/>
    <b v="1"/>
    <d v="2024-08-03T00:00:00"/>
    <s v="Дик"/>
  </r>
  <r>
    <n v="488"/>
    <x v="3"/>
    <x v="12"/>
    <x v="3"/>
    <x v="1"/>
    <n v="14.48"/>
    <n v="11.42"/>
    <m/>
    <n v="25.9"/>
    <n v="15.86"/>
    <n v="3.01"/>
    <n v="2.67"/>
    <m/>
    <n v="9.44"/>
    <n v="2.72"/>
    <m/>
    <m/>
    <n v="2.72"/>
    <n v="59.6"/>
    <n v="56.88"/>
    <n v="58.24"/>
    <n v="79535.67300000001"/>
    <n v="3976.7836500000008"/>
    <n v="83512.456650000007"/>
    <n v="2505.3736994999999"/>
    <n v="86017.8303495"/>
    <m/>
    <n v="86017.8303495"/>
    <m/>
    <n v="86017.8303495"/>
    <m/>
    <n v="86017.8303495"/>
    <m/>
    <n v="86017.8303495"/>
    <n v="860.17830349500002"/>
    <n v="86878.008652995006"/>
    <n v="4343.9004326497507"/>
    <n v="91221.909085644758"/>
    <m/>
    <n v="91221.909085644758"/>
    <n v="1824.4381817128951"/>
    <n v="93046.347267357647"/>
    <m/>
    <n v="93046.347267357647"/>
    <n v="1860.9269453471529"/>
    <n v="94907.274212704797"/>
    <m/>
    <n v="94907.274212704797"/>
    <m/>
    <n v="94907.274212704797"/>
    <m/>
    <n v="94907.274212704797"/>
    <m/>
    <n v="94907.274212704797"/>
    <m/>
    <n v="94907.274212704797"/>
    <m/>
    <n v="94907.274212704797"/>
    <m/>
    <n v="94907.274212704797"/>
    <m/>
    <n v="94907.274212704797"/>
    <m/>
    <n v="94907.274212704797"/>
    <m/>
    <n v="94907.274212704797"/>
    <m/>
    <n v="94907.274212704797"/>
    <m/>
    <n v="94907.274212704797"/>
    <n v="94907.27"/>
    <n v="5527400"/>
    <n v="90000"/>
    <m/>
    <n v="90000"/>
    <n v="93361.950549450543"/>
    <n v="5437400"/>
    <x v="1"/>
    <m/>
    <n v="93361.950549450543"/>
    <n v="0"/>
    <n v="5437400"/>
    <m/>
    <s v="Поехали в Амград"/>
    <x v="0"/>
    <x v="0"/>
    <b v="1"/>
    <s v="АГ-005-Г-13-04-488"/>
    <m/>
    <s v="ДА"/>
    <s v="Черновая"/>
    <b v="1"/>
    <n v="5437400"/>
    <n v="0"/>
    <b v="1"/>
    <d v="2024-04-25T00:00:00"/>
    <s v="Голенко"/>
  </r>
  <r>
    <n v="489"/>
    <x v="3"/>
    <x v="12"/>
    <x v="4"/>
    <x v="1"/>
    <n v="15.41"/>
    <n v="12.78"/>
    <m/>
    <n v="28.189999999999998"/>
    <n v="13.45"/>
    <n v="3.7"/>
    <n v="2.72"/>
    <m/>
    <n v="8.2200000000000006"/>
    <n v="3.03"/>
    <m/>
    <m/>
    <n v="3.03"/>
    <n v="59.31"/>
    <n v="56.28"/>
    <n v="57.8"/>
    <n v="79149.577499999999"/>
    <n v="3957.4788750000002"/>
    <n v="83107.056375"/>
    <n v="2493.2116912500001"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n v="85600.27"/>
    <n v="4947695.6100000003"/>
    <m/>
    <n v="0.02"/>
    <n v="98953.912200000006"/>
    <n v="83888.264705882364"/>
    <n v="4848741.7"/>
    <x v="2"/>
    <n v="22000"/>
    <n v="105888.26470588236"/>
    <n v="1271600"/>
    <n v="6120341.7000000002"/>
    <m/>
    <s v="Скидка иногородним"/>
    <x v="0"/>
    <x v="0"/>
    <b v="1"/>
    <s v="АГ-005-Г-13-05-489"/>
    <m/>
    <s v="НЕТ"/>
    <s v="Чистовая"/>
    <b v="1"/>
    <n v="6120341.7000000002"/>
    <n v="0"/>
    <b v="1"/>
    <d v="2023-10-31T00:00:00"/>
    <s v="Дик"/>
  </r>
  <r>
    <n v="490"/>
    <x v="3"/>
    <x v="12"/>
    <x v="5"/>
    <x v="0"/>
    <n v="12.71"/>
    <m/>
    <m/>
    <n v="12.71"/>
    <n v="12.55"/>
    <n v="4.28"/>
    <m/>
    <m/>
    <n v="7.34"/>
    <n v="2.84"/>
    <m/>
    <m/>
    <n v="2.84"/>
    <n v="39.72"/>
    <n v="36.880000000000003"/>
    <n v="38.299999999999997"/>
    <n v="87601.5"/>
    <n v="4380.0749999999998"/>
    <n v="91981.574999999997"/>
    <n v="2759.4472499999997"/>
    <n v="94741.022249999995"/>
    <n v="947.41022249999992"/>
    <n v="95688.43247249999"/>
    <m/>
    <n v="95688.43247249999"/>
    <n v="4784.4216236249995"/>
    <n v="100472.854096125"/>
    <m/>
    <n v="100472.854096125"/>
    <n v="1004.72854096125"/>
    <n v="101477.58263708625"/>
    <n v="5073.8791318543126"/>
    <n v="106551.46176894056"/>
    <m/>
    <n v="106551.46176894056"/>
    <n v="3196.5438530682168"/>
    <n v="109748.00562200877"/>
    <m/>
    <n v="109748.00562200877"/>
    <m/>
    <n v="109748.00562200877"/>
    <m/>
    <n v="109748.00562200877"/>
    <m/>
    <n v="109748.00562200877"/>
    <n v="1097.4800562200878"/>
    <n v="110845.48567822886"/>
    <n v="554.22742839114426"/>
    <n v="111399.71310661999"/>
    <m/>
    <n v="111399.71310661999"/>
    <n v="2784.9928276655"/>
    <n v="114184.70593428549"/>
    <m/>
    <n v="114184.70593428549"/>
    <n v="2283.6941186857098"/>
    <n v="116468.40005297121"/>
    <n v="5823.4200026485605"/>
    <n v="122291.82005561977"/>
    <n v="15897.936607230571"/>
    <n v="138189.75666285033"/>
    <n v="35"/>
    <n v="138224.75666285033"/>
    <m/>
    <n v="138224.75666285033"/>
    <n v="138224.76"/>
    <n v="5294100"/>
    <m/>
    <m/>
    <n v="0"/>
    <n v="138227.1540469974"/>
    <n v="5294100"/>
    <x v="3"/>
    <n v="10000"/>
    <n v="148227.1540469974"/>
    <n v="383000"/>
    <n v="5677100"/>
    <m/>
    <m/>
    <x v="1"/>
    <x v="1"/>
    <b v="1"/>
    <s v="АГ-005-Г-13-06-490"/>
    <m/>
    <s v="ДА"/>
    <s v="White Box"/>
    <b v="1"/>
    <n v="5677100"/>
    <n v="0"/>
    <b v="1"/>
    <s v=" "/>
    <s v=""/>
  </r>
  <r>
    <n v="491"/>
    <x v="3"/>
    <x v="12"/>
    <x v="6"/>
    <x v="3"/>
    <n v="14.49"/>
    <n v="13.98"/>
    <n v="11.42"/>
    <n v="39.89"/>
    <n v="16.670000000000002"/>
    <n v="4.1399999999999997"/>
    <n v="1.89"/>
    <m/>
    <n v="11.31"/>
    <n v="2.86"/>
    <n v="2.79"/>
    <n v="5.42"/>
    <n v="11.07"/>
    <n v="84.97"/>
    <n v="73.900000000000006"/>
    <n v="79.44"/>
    <n v="76375.530000000013"/>
    <n v="3818.7765000000009"/>
    <n v="80194.306500000021"/>
    <n v="2405.8291950000007"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m/>
    <n v="82600.135695000019"/>
    <n v="82600.14"/>
    <n v="6561755.1200000001"/>
    <m/>
    <m/>
    <n v="0"/>
    <n v="82600.139979859014"/>
    <n v="6561755.1200000001"/>
    <x v="1"/>
    <m/>
    <n v="82600.139979859014"/>
    <n v="0"/>
    <n v="6561755.1200000001"/>
    <s v="Хит"/>
    <m/>
    <x v="0"/>
    <x v="0"/>
    <b v="1"/>
    <s v="АГ-005-Г-13-07-491"/>
    <m/>
    <s v="НЕТ"/>
    <s v="Черновая"/>
    <b v="1"/>
    <n v="6561755.1200000001"/>
    <n v="0"/>
    <b v="1"/>
    <d v="2023-10-30T00:00:00"/>
    <s v="Полехович"/>
  </r>
  <r>
    <n v="492"/>
    <x v="3"/>
    <x v="12"/>
    <x v="7"/>
    <x v="0"/>
    <n v="16.79"/>
    <m/>
    <m/>
    <n v="16.79"/>
    <n v="11.43"/>
    <n v="3.56"/>
    <m/>
    <m/>
    <n v="6.66"/>
    <n v="2.4900000000000002"/>
    <m/>
    <m/>
    <n v="2.4900000000000002"/>
    <n v="40.93"/>
    <n v="38.44"/>
    <n v="39.69"/>
    <n v="84762.5625"/>
    <n v="4238.1281250000002"/>
    <n v="89000.690625000003"/>
    <n v="2670.02071875"/>
    <n v="91670.711343750008"/>
    <n v="4125.1820104687504"/>
    <n v="95795.893354218759"/>
    <m/>
    <n v="95795.893354218759"/>
    <n v="4789.7946677109385"/>
    <n v="100585.6880219297"/>
    <m/>
    <n v="100585.6880219297"/>
    <n v="1005.8568802192971"/>
    <n v="101591.54490214901"/>
    <n v="5079.5772451074508"/>
    <n v="106671.12214725645"/>
    <m/>
    <n v="106671.12214725645"/>
    <n v="3200.1336644176936"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n v="549.35627905837077"/>
    <n v="110420.61209073251"/>
    <m/>
    <n v="110420.61209073251"/>
    <n v="2208.4122418146503"/>
    <n v="112629.02433254715"/>
    <n v="5631.451216627358"/>
    <n v="118260.47554917452"/>
    <n v="15373.861821392687"/>
    <n v="133634.3373705672"/>
    <n v="35"/>
    <n v="133669.3373705672"/>
    <m/>
    <n v="133669.3373705672"/>
    <n v="133669.34"/>
    <n v="5305400"/>
    <m/>
    <m/>
    <n v="0"/>
    <n v="133670.94986142605"/>
    <n v="5305400"/>
    <x v="3"/>
    <n v="10000"/>
    <n v="143670.94986142605"/>
    <n v="396900"/>
    <n v="5702300"/>
    <m/>
    <m/>
    <x v="1"/>
    <x v="1"/>
    <b v="1"/>
    <s v="АГ-005-Г-13-08-492"/>
    <m/>
    <s v="ДА"/>
    <s v="White Box"/>
    <b v="1"/>
    <n v="5702300"/>
    <n v="0"/>
    <b v="1"/>
    <s v=" "/>
    <s v=""/>
  </r>
  <r>
    <n v="493"/>
    <x v="3"/>
    <x v="13"/>
    <x v="0"/>
    <x v="2"/>
    <n v="13.74"/>
    <m/>
    <m/>
    <n v="13.74"/>
    <n v="5.84"/>
    <n v="3.76"/>
    <m/>
    <m/>
    <n v="3.73"/>
    <n v="4.6500000000000004"/>
    <m/>
    <m/>
    <n v="4.6500000000000004"/>
    <n v="31.72"/>
    <n v="27.07"/>
    <n v="29.4"/>
    <n v="89353.53"/>
    <n v="4467.6765000000005"/>
    <n v="93821.2065"/>
    <n v="2814.636195"/>
    <n v="96635.842694999999"/>
    <n v="8697.2258425500004"/>
    <n v="105333.06853755"/>
    <m/>
    <n v="105333.06853755"/>
    <m/>
    <n v="105333.06853755"/>
    <m/>
    <n v="105333.06853755"/>
    <n v="1053.3306853755"/>
    <n v="106386.39922292551"/>
    <n v="5319.319961146276"/>
    <n v="111705.71918407179"/>
    <m/>
    <n v="111705.71918407179"/>
    <n v="3351.1715755221535"/>
    <n v="115056.89075959394"/>
    <m/>
    <n v="115056.89075959394"/>
    <m/>
    <n v="115056.89075959394"/>
    <m/>
    <n v="115056.89075959394"/>
    <n v="1150.5689075959394"/>
    <n v="116207.45966718988"/>
    <m/>
    <n v="116207.45966718988"/>
    <m/>
    <n v="116207.45966718988"/>
    <m/>
    <n v="116207.45966718988"/>
    <n v="1743.111895007848"/>
    <n v="117950.57156219773"/>
    <m/>
    <n v="117950.57156219773"/>
    <m/>
    <n v="117950.57156219773"/>
    <n v="4718.0228624879092"/>
    <n v="122668.59442468564"/>
    <n v="15946.917275209133"/>
    <n v="138615.51169989476"/>
    <m/>
    <n v="138615.51169989476"/>
    <m/>
    <n v="138615.51169989476"/>
    <n v="138615.51"/>
    <n v="4075300"/>
    <m/>
    <n v="0.02"/>
    <n v="81506"/>
    <n v="135843.33333333334"/>
    <n v="3993794"/>
    <x v="1"/>
    <m/>
    <n v="135843.33333333334"/>
    <n v="0"/>
    <n v="3993794"/>
    <m/>
    <s v="Скидка иногородним"/>
    <x v="0"/>
    <x v="0"/>
    <b v="1"/>
    <s v="АГ-005-Г-14-01-493"/>
    <m/>
    <s v="ДА"/>
    <s v="Черновая"/>
    <b v="1"/>
    <n v="3993794"/>
    <n v="0"/>
    <b v="1"/>
    <d v="2024-12-23T00:00:00"/>
    <s v="Нуждина"/>
  </r>
  <r>
    <n v="494"/>
    <x v="3"/>
    <x v="13"/>
    <x v="1"/>
    <x v="0"/>
    <n v="13.17"/>
    <m/>
    <m/>
    <n v="13.17"/>
    <n v="16.940000000000001"/>
    <n v="3.55"/>
    <n v="2.41"/>
    <m/>
    <n v="5.8"/>
    <n v="2.68"/>
    <m/>
    <m/>
    <n v="2.68"/>
    <n v="44.55"/>
    <n v="41.87"/>
    <n v="43.21"/>
    <n v="85168.125"/>
    <n v="4258.40625"/>
    <n v="89426.53125"/>
    <n v="2682.7959375"/>
    <n v="92109.327187500006"/>
    <n v="921.09327187500003"/>
    <n v="93030.420459375004"/>
    <m/>
    <n v="93030.420459375004"/>
    <n v="4651.52102296875"/>
    <n v="97681.941482343755"/>
    <m/>
    <n v="97681.941482343755"/>
    <m/>
    <n v="97681.941482343755"/>
    <m/>
    <n v="97681.941482343755"/>
    <m/>
    <n v="97681.941482343755"/>
    <m/>
    <n v="97681.941482343755"/>
    <m/>
    <n v="97681.941482343755"/>
    <m/>
    <n v="97681.941482343755"/>
    <m/>
    <n v="97681.941482343755"/>
    <m/>
    <n v="97681.941482343755"/>
    <m/>
    <n v="97681.941482343755"/>
    <m/>
    <n v="97681.941482343755"/>
    <m/>
    <n v="97681.941482343755"/>
    <m/>
    <n v="97681.941482343755"/>
    <m/>
    <n v="97681.941482343755"/>
    <m/>
    <n v="97681.941482343755"/>
    <m/>
    <n v="97681.941482343755"/>
    <m/>
    <n v="97681.941482343755"/>
    <m/>
    <n v="97681.941482343755"/>
    <m/>
    <n v="97681.941482343755"/>
    <n v="97681.94"/>
    <n v="4220900"/>
    <m/>
    <n v="0.02"/>
    <n v="84418"/>
    <n v="95729.738486461472"/>
    <n v="4136482"/>
    <x v="1"/>
    <m/>
    <n v="95729.738486461472"/>
    <n v="0"/>
    <n v="4136482.0000000005"/>
    <m/>
    <s v="Наличные"/>
    <x v="0"/>
    <x v="0"/>
    <b v="1"/>
    <s v="АГ-005-Г-14-02-494"/>
    <m/>
    <s v="ДА"/>
    <s v="Черновая"/>
    <b v="1"/>
    <n v="4136482"/>
    <n v="-4.6566128730773926E-10"/>
    <b v="1"/>
    <d v="2023-12-21T00:00:00"/>
    <s v="Дик"/>
  </r>
  <r>
    <n v="495"/>
    <x v="3"/>
    <x v="13"/>
    <x v="2"/>
    <x v="2"/>
    <n v="7.2"/>
    <m/>
    <m/>
    <n v="7.2"/>
    <n v="5.17"/>
    <n v="3.71"/>
    <m/>
    <m/>
    <n v="6.96"/>
    <n v="2.92"/>
    <m/>
    <m/>
    <n v="2.92"/>
    <n v="25.96"/>
    <n v="23.04"/>
    <n v="24.5"/>
    <n v="91105.56"/>
    <n v="4555.2780000000002"/>
    <n v="95660.838000000003"/>
    <n v="2869.8251399999999"/>
    <n v="98530.663140000004"/>
    <n v="8867.7596826000008"/>
    <n v="107398.4228226"/>
    <m/>
    <n v="107398.4228226"/>
    <m/>
    <n v="107398.4228226"/>
    <m/>
    <n v="107398.4228226"/>
    <n v="1073.9842282259999"/>
    <n v="108472.407050826"/>
    <n v="5423.6203525413002"/>
    <n v="113896.0274033673"/>
    <m/>
    <n v="113896.0274033673"/>
    <n v="3416.880822101019"/>
    <n v="117312.90822546833"/>
    <m/>
    <n v="117312.90822546833"/>
    <m/>
    <n v="117312.90822546833"/>
    <m/>
    <n v="117312.90822546833"/>
    <n v="1173.1290822546832"/>
    <n v="118486.03730772302"/>
    <m/>
    <n v="118486.03730772302"/>
    <n v="592.43018653861509"/>
    <n v="119078.46749426163"/>
    <m/>
    <n v="119078.46749426163"/>
    <n v="2976.961687356541"/>
    <n v="122055.42918161816"/>
    <m/>
    <n v="122055.42918161816"/>
    <m/>
    <n v="122055.42918161816"/>
    <n v="4882.2171672647264"/>
    <n v="126937.64634888289"/>
    <n v="16501.894025354777"/>
    <n v="143439.54037423767"/>
    <m/>
    <n v="143439.54037423767"/>
    <m/>
    <n v="143439.54037423767"/>
    <n v="143439.54"/>
    <n v="3514300"/>
    <m/>
    <n v="0.02"/>
    <n v="70286"/>
    <n v="140572"/>
    <n v="3444014"/>
    <x v="1"/>
    <m/>
    <n v="140572"/>
    <n v="0"/>
    <n v="3444014"/>
    <m/>
    <s v="Скидка иногородним"/>
    <x v="0"/>
    <x v="0"/>
    <b v="1"/>
    <s v="АГ-005-Г-14-03-495"/>
    <m/>
    <s v="ДА"/>
    <s v="Черновая"/>
    <b v="1"/>
    <n v="3444014"/>
    <n v="0"/>
    <b v="1"/>
    <d v="2024-11-18T00:00:00"/>
    <s v="Дик"/>
  </r>
  <r>
    <n v="496"/>
    <x v="3"/>
    <x v="13"/>
    <x v="3"/>
    <x v="1"/>
    <n v="14.48"/>
    <n v="11.42"/>
    <m/>
    <n v="25.9"/>
    <n v="15.86"/>
    <n v="3.01"/>
    <n v="2.67"/>
    <m/>
    <n v="9.44"/>
    <n v="2.72"/>
    <m/>
    <m/>
    <n v="2.72"/>
    <n v="59.6"/>
    <n v="56.88"/>
    <n v="58.24"/>
    <n v="79535.67300000001"/>
    <n v="3976.7836500000008"/>
    <n v="83512.456650000007"/>
    <n v="2505.3736994999999"/>
    <n v="86017.8303495"/>
    <m/>
    <n v="86017.8303495"/>
    <m/>
    <n v="86017.8303495"/>
    <m/>
    <n v="86017.8303495"/>
    <m/>
    <n v="86017.8303495"/>
    <n v="860.17830349500002"/>
    <n v="86878.008652995006"/>
    <n v="4343.9004326497507"/>
    <n v="91221.909085644758"/>
    <m/>
    <n v="91221.909085644758"/>
    <n v="1824.4381817128951"/>
    <n v="93046.347267357647"/>
    <m/>
    <n v="93046.347267357647"/>
    <n v="1860.9269453471529"/>
    <n v="94907.274212704797"/>
    <m/>
    <n v="94907.274212704797"/>
    <n v="949.07274212704795"/>
    <n v="95856.346954831839"/>
    <m/>
    <n v="95856.346954831839"/>
    <m/>
    <n v="95856.346954831839"/>
    <m/>
    <n v="95856.346954831839"/>
    <n v="1437.8452043224775"/>
    <n v="97294.192159154321"/>
    <m/>
    <n v="97294.192159154321"/>
    <n v="3891.7676863661727"/>
    <n v="101185.9598455205"/>
    <n v="6071.1575907312299"/>
    <n v="107257.11743625173"/>
    <n v="13943.425266712726"/>
    <n v="121200.54270296446"/>
    <n v="35"/>
    <n v="121235.54270296446"/>
    <m/>
    <n v="121235.54270296446"/>
    <n v="121235.54"/>
    <n v="7060800"/>
    <m/>
    <m/>
    <n v="0"/>
    <n v="121236.26373626373"/>
    <n v="7060800"/>
    <x v="3"/>
    <n v="10000"/>
    <n v="131236.26373626373"/>
    <n v="582400"/>
    <n v="7643200"/>
    <m/>
    <m/>
    <x v="2"/>
    <x v="2"/>
    <b v="1"/>
    <s v="АГ-005-Г-14-04-496"/>
    <m/>
    <s v="ДА"/>
    <s v="White Box"/>
    <b v="1"/>
    <n v="7643200"/>
    <n v="0"/>
    <b v="1"/>
    <s v=" "/>
    <s v=""/>
  </r>
  <r>
    <n v="497"/>
    <x v="3"/>
    <x v="13"/>
    <x v="4"/>
    <x v="1"/>
    <n v="15.41"/>
    <n v="12.78"/>
    <m/>
    <n v="28.189999999999998"/>
    <n v="13.45"/>
    <n v="3.7"/>
    <n v="2.72"/>
    <m/>
    <n v="8.2200000000000006"/>
    <n v="3.03"/>
    <m/>
    <m/>
    <n v="3.03"/>
    <n v="59.31"/>
    <n v="56.28"/>
    <n v="57.8"/>
    <n v="79149.577499999999"/>
    <n v="3957.4788750000002"/>
    <n v="83107.056375"/>
    <n v="2493.2116912500001"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n v="85600.27"/>
    <n v="4947695.6100000003"/>
    <m/>
    <n v="0.02"/>
    <n v="98953.912200000006"/>
    <n v="83888.264705882364"/>
    <n v="4848741.7"/>
    <x v="1"/>
    <m/>
    <n v="83888.264705882364"/>
    <n v="0"/>
    <n v="4848741.7"/>
    <m/>
    <s v="Скидка иногородним"/>
    <x v="0"/>
    <x v="0"/>
    <b v="1"/>
    <s v="АГ-005-Г-14-05-497"/>
    <m/>
    <s v="НЕТ"/>
    <s v="Черновая"/>
    <b v="1"/>
    <n v="4848741.7"/>
    <n v="0"/>
    <b v="1"/>
    <d v="2023-11-03T00:00:00"/>
    <s v="Дик"/>
  </r>
  <r>
    <n v="498"/>
    <x v="3"/>
    <x v="13"/>
    <x v="5"/>
    <x v="0"/>
    <n v="12.71"/>
    <m/>
    <m/>
    <n v="12.71"/>
    <n v="12.55"/>
    <n v="4.28"/>
    <m/>
    <m/>
    <n v="7.34"/>
    <n v="2.84"/>
    <m/>
    <m/>
    <n v="2.84"/>
    <n v="39.72"/>
    <n v="36.880000000000003"/>
    <n v="38.299999999999997"/>
    <n v="87601.5"/>
    <n v="4380.0749999999998"/>
    <n v="91981.574999999997"/>
    <n v="2759.4472499999997"/>
    <n v="94741.022249999995"/>
    <n v="947.41022249999992"/>
    <n v="95688.43247249999"/>
    <m/>
    <n v="95688.43247249999"/>
    <n v="4784.4216236249995"/>
    <n v="100472.854096125"/>
    <m/>
    <n v="100472.854096125"/>
    <n v="1004.72854096125"/>
    <n v="101477.58263708625"/>
    <n v="5073.8791318543126"/>
    <n v="106551.46176894056"/>
    <m/>
    <n v="106551.46176894056"/>
    <n v="3196.5438530682168"/>
    <n v="109748.00562200877"/>
    <m/>
    <n v="109748.00562200877"/>
    <m/>
    <n v="109748.00562200877"/>
    <m/>
    <n v="109748.00562200877"/>
    <m/>
    <n v="109748.00562200877"/>
    <m/>
    <n v="109748.00562200877"/>
    <m/>
    <n v="109748.00562200877"/>
    <m/>
    <n v="109748.00562200877"/>
    <m/>
    <n v="109748.00562200877"/>
    <m/>
    <n v="109748.00562200877"/>
    <m/>
    <n v="109748.00562200877"/>
    <m/>
    <n v="109748.00562200877"/>
    <m/>
    <n v="109748.00562200877"/>
    <m/>
    <n v="109748.00562200877"/>
    <m/>
    <n v="109748.00562200877"/>
    <n v="109748.01"/>
    <n v="4203400"/>
    <m/>
    <m/>
    <n v="0"/>
    <n v="109749.34725848565"/>
    <n v="4203400"/>
    <x v="3"/>
    <n v="7000"/>
    <n v="116749.34725848565"/>
    <n v="268100"/>
    <n v="4471500"/>
    <m/>
    <m/>
    <x v="0"/>
    <x v="0"/>
    <b v="1"/>
    <s v="АГ-005-Г-14-06-498"/>
    <m/>
    <s v="ДА"/>
    <s v="White Box"/>
    <b v="1"/>
    <n v="4471500"/>
    <n v="0"/>
    <b v="1"/>
    <d v="2024-05-08T00:00:00"/>
    <s v="Калачева"/>
  </r>
  <r>
    <n v="499"/>
    <x v="3"/>
    <x v="13"/>
    <x v="6"/>
    <x v="3"/>
    <n v="14.49"/>
    <n v="13.98"/>
    <n v="11.42"/>
    <n v="39.89"/>
    <n v="16.670000000000002"/>
    <n v="4.1399999999999997"/>
    <n v="1.89"/>
    <m/>
    <n v="11.31"/>
    <n v="2.86"/>
    <n v="2.79"/>
    <n v="5.42"/>
    <n v="11.07"/>
    <n v="84.97"/>
    <n v="73.900000000000006"/>
    <n v="79.44"/>
    <n v="77803.110000000015"/>
    <n v="3890.1555000000008"/>
    <n v="81693.265500000009"/>
    <n v="2450.7979650000002"/>
    <n v="84144.063465000014"/>
    <m/>
    <n v="84144.063465000014"/>
    <m/>
    <n v="84144.063465000014"/>
    <m/>
    <n v="84144.063465000014"/>
    <m/>
    <n v="84144.063465000014"/>
    <n v="841.44063465000011"/>
    <n v="84985.504099650017"/>
    <n v="4249.2752049825012"/>
    <n v="89234.779304632524"/>
    <m/>
    <n v="89234.779304632524"/>
    <m/>
    <n v="89234.779304632524"/>
    <m/>
    <n v="89234.779304632524"/>
    <m/>
    <n v="89234.779304632524"/>
    <m/>
    <n v="89234.779304632524"/>
    <m/>
    <n v="89234.779304632524"/>
    <m/>
    <n v="89234.779304632524"/>
    <m/>
    <n v="89234.779304632524"/>
    <m/>
    <n v="89234.779304632524"/>
    <m/>
    <n v="89234.779304632524"/>
    <m/>
    <n v="89234.779304632524"/>
    <m/>
    <n v="89234.779304632524"/>
    <m/>
    <n v="89234.779304632524"/>
    <m/>
    <n v="89234.779304632524"/>
    <m/>
    <n v="89234.779304632524"/>
    <m/>
    <n v="89234.779304632524"/>
    <n v="89234.78"/>
    <n v="7088900"/>
    <m/>
    <n v="0.03"/>
    <n v="212667"/>
    <n v="86558.824269889228"/>
    <n v="6876233"/>
    <x v="1"/>
    <m/>
    <n v="86558.824269889228"/>
    <n v="0"/>
    <n v="6876233"/>
    <s v="Хит"/>
    <s v="Многодетная семья"/>
    <x v="0"/>
    <x v="0"/>
    <b v="1"/>
    <s v="АГ-005-Г-14-07-499"/>
    <m/>
    <s v="ДА"/>
    <s v="Черновая"/>
    <b v="1"/>
    <n v="6876233"/>
    <n v="0"/>
    <b v="1"/>
    <d v="2024-02-26T00:00:00"/>
    <s v="Дик"/>
  </r>
  <r>
    <n v="500"/>
    <x v="3"/>
    <x v="13"/>
    <x v="7"/>
    <x v="0"/>
    <n v="16.79"/>
    <m/>
    <m/>
    <n v="16.79"/>
    <n v="11.43"/>
    <n v="3.56"/>
    <m/>
    <m/>
    <n v="6.66"/>
    <n v="2.4900000000000002"/>
    <m/>
    <m/>
    <n v="2.4900000000000002"/>
    <n v="40.93"/>
    <n v="38.44"/>
    <n v="39.69"/>
    <n v="86384.8125"/>
    <n v="4319.2406250000004"/>
    <n v="90704.053125000006"/>
    <n v="2721.1215937500001"/>
    <n v="93425.17471875"/>
    <n v="4204.1328623437503"/>
    <n v="97629.307581093744"/>
    <m/>
    <n v="97629.307581093744"/>
    <n v="4881.4653790546872"/>
    <n v="102510.77296014843"/>
    <m/>
    <n v="102510.77296014843"/>
    <n v="1025.1077296014844"/>
    <n v="103535.88068974992"/>
    <n v="5176.794034487496"/>
    <n v="108712.67472423741"/>
    <m/>
    <n v="108712.67472423741"/>
    <n v="3261.3802417271222"/>
    <n v="111974.05496596453"/>
    <m/>
    <n v="111974.05496596453"/>
    <m/>
    <n v="111974.05496596453"/>
    <m/>
    <n v="111974.05496596453"/>
    <m/>
    <n v="111974.05496596453"/>
    <m/>
    <n v="111974.05496596453"/>
    <m/>
    <n v="111974.05496596453"/>
    <m/>
    <n v="111974.05496596453"/>
    <n v="559.87027482982273"/>
    <n v="112533.92524079436"/>
    <m/>
    <n v="112533.92524079436"/>
    <n v="2250.6785048158872"/>
    <n v="114784.60374561025"/>
    <m/>
    <n v="114784.60374561025"/>
    <m/>
    <n v="114784.60374561025"/>
    <m/>
    <n v="114784.60374561025"/>
    <m/>
    <n v="114784.60374561025"/>
    <n v="114784.6"/>
    <n v="4555900"/>
    <m/>
    <m/>
    <n v="0"/>
    <n v="114787.10002519526"/>
    <n v="4555900"/>
    <x v="1"/>
    <m/>
    <n v="114787.10002519526"/>
    <n v="0"/>
    <n v="4555900"/>
    <m/>
    <m/>
    <x v="0"/>
    <x v="0"/>
    <b v="1"/>
    <s v="АГ-005-Г-14-08-500"/>
    <m/>
    <s v="ДА"/>
    <s v="Черновая"/>
    <b v="1"/>
    <n v="4555900"/>
    <n v="0"/>
    <b v="1"/>
    <d v="2024-10-30T00:00:00"/>
    <s v="Полехович"/>
  </r>
  <r>
    <n v="501"/>
    <x v="3"/>
    <x v="14"/>
    <x v="0"/>
    <x v="2"/>
    <n v="13.74"/>
    <m/>
    <m/>
    <n v="13.74"/>
    <n v="5.84"/>
    <n v="3.76"/>
    <m/>
    <m/>
    <n v="3.73"/>
    <n v="4.6500000000000004"/>
    <m/>
    <m/>
    <n v="4.6500000000000004"/>
    <n v="31.72"/>
    <n v="27.07"/>
    <n v="29.4"/>
    <n v="89353.53"/>
    <n v="4467.6765000000005"/>
    <n v="93821.2065"/>
    <n v="2814.636195"/>
    <n v="96635.842694999999"/>
    <n v="8697.2258425500004"/>
    <n v="105333.06853755"/>
    <m/>
    <n v="105333.06853755"/>
    <m/>
    <n v="105333.06853755"/>
    <m/>
    <n v="105333.06853755"/>
    <n v="1053.3306853755"/>
    <n v="106386.39922292551"/>
    <n v="5319.319961146276"/>
    <n v="111705.71918407179"/>
    <m/>
    <n v="111705.71918407179"/>
    <n v="3351.1715755221535"/>
    <n v="115056.89075959394"/>
    <m/>
    <n v="115056.89075959394"/>
    <m/>
    <n v="115056.89075959394"/>
    <m/>
    <n v="115056.89075959394"/>
    <n v="1150.5689075959394"/>
    <n v="116207.45966718988"/>
    <m/>
    <n v="116207.45966718988"/>
    <m/>
    <n v="116207.45966718988"/>
    <m/>
    <n v="116207.45966718988"/>
    <n v="1743.111895007848"/>
    <n v="117950.57156219773"/>
    <m/>
    <n v="117950.57156219773"/>
    <m/>
    <n v="117950.57156219773"/>
    <m/>
    <n v="117950.57156219773"/>
    <m/>
    <n v="117950.57156219773"/>
    <m/>
    <n v="117950.57156219773"/>
    <m/>
    <n v="117950.57156219773"/>
    <n v="117950.57"/>
    <n v="3467800"/>
    <n v="50000"/>
    <m/>
    <n v="50000"/>
    <n v="116251.70068027212"/>
    <n v="3417800"/>
    <x v="2"/>
    <n v="24000"/>
    <n v="140251.70068027213"/>
    <n v="705600.00000000047"/>
    <n v="4123400.0000000005"/>
    <m/>
    <s v="Индивидуальная скидка"/>
    <x v="0"/>
    <x v="0"/>
    <b v="1"/>
    <s v="АГ-005-Г-15-01-501"/>
    <m/>
    <s v="ДА"/>
    <s v="Чистовая"/>
    <b v="1"/>
    <n v="4123400"/>
    <n v="-4.6566128730773926E-10"/>
    <b v="1"/>
    <d v="2024-10-31T00:00:00"/>
    <s v="Полехович"/>
  </r>
  <r>
    <n v="502"/>
    <x v="3"/>
    <x v="14"/>
    <x v="1"/>
    <x v="0"/>
    <n v="13.17"/>
    <m/>
    <m/>
    <n v="13.17"/>
    <n v="16.940000000000001"/>
    <n v="3.55"/>
    <n v="2.41"/>
    <m/>
    <n v="5.8"/>
    <n v="2.68"/>
    <m/>
    <m/>
    <n v="2.68"/>
    <n v="44.55"/>
    <n v="41.87"/>
    <n v="43.21"/>
    <n v="85168.125"/>
    <n v="4258.40625"/>
    <n v="89426.53125"/>
    <n v="2682.7959375"/>
    <n v="92109.327187500006"/>
    <n v="921.09327187500003"/>
    <n v="93030.420459375004"/>
    <m/>
    <n v="93030.420459375004"/>
    <n v="4651.52102296875"/>
    <n v="97681.941482343755"/>
    <m/>
    <n v="97681.941482343755"/>
    <n v="976.81941482343757"/>
    <n v="98658.760897167187"/>
    <n v="4932.9380448583597"/>
    <n v="103591.69894202554"/>
    <m/>
    <n v="103591.69894202554"/>
    <n v="3107.7509682607661"/>
    <n v="106699.4499102863"/>
    <m/>
    <n v="106699.4499102863"/>
    <m/>
    <n v="106699.4499102863"/>
    <m/>
    <n v="106699.4499102863"/>
    <m/>
    <n v="106699.4499102863"/>
    <m/>
    <n v="106699.4499102863"/>
    <m/>
    <n v="106699.4499102863"/>
    <m/>
    <n v="106699.4499102863"/>
    <m/>
    <n v="106699.4499102863"/>
    <m/>
    <n v="106699.4499102863"/>
    <m/>
    <n v="106699.4499102863"/>
    <m/>
    <n v="106699.4499102863"/>
    <m/>
    <n v="106699.4499102863"/>
    <m/>
    <n v="106699.4499102863"/>
    <m/>
    <n v="106699.4499102863"/>
    <n v="106699.45"/>
    <n v="4610500"/>
    <n v="88888"/>
    <m/>
    <n v="88888"/>
    <n v="104642.72159222401"/>
    <n v="4521612"/>
    <x v="1"/>
    <m/>
    <n v="104642.72159222401"/>
    <n v="0"/>
    <n v="4521612"/>
    <m/>
    <s v="Весна"/>
    <x v="0"/>
    <x v="0"/>
    <b v="1"/>
    <s v="АГ-005-Г-15-02-502"/>
    <m/>
    <s v="ДА"/>
    <s v="Черновая"/>
    <b v="1"/>
    <n v="4521612"/>
    <n v="0"/>
    <b v="1"/>
    <d v="2024-03-21T00:00:00"/>
    <s v="Дик"/>
  </r>
  <r>
    <n v="503"/>
    <x v="3"/>
    <x v="14"/>
    <x v="2"/>
    <x v="2"/>
    <n v="7.2"/>
    <m/>
    <m/>
    <n v="7.2"/>
    <n v="5.17"/>
    <n v="3.71"/>
    <m/>
    <m/>
    <n v="6.96"/>
    <n v="2.92"/>
    <m/>
    <m/>
    <n v="2.92"/>
    <n v="25.96"/>
    <n v="23.04"/>
    <n v="24.5"/>
    <n v="91105.56"/>
    <n v="4555.2780000000002"/>
    <n v="95660.838000000003"/>
    <n v="2869.8251399999999"/>
    <n v="98530.663140000004"/>
    <n v="8867.7596826000008"/>
    <n v="107398.4228226"/>
    <m/>
    <n v="107398.4228226"/>
    <m/>
    <n v="107398.4228226"/>
    <m/>
    <n v="107398.4228226"/>
    <n v="1073.9842282259999"/>
    <n v="108472.407050826"/>
    <n v="5423.6203525413002"/>
    <n v="113896.0274033673"/>
    <m/>
    <n v="113896.0274033673"/>
    <n v="3416.880822101019"/>
    <n v="117312.90822546833"/>
    <m/>
    <n v="117312.90822546833"/>
    <m/>
    <n v="117312.90822546833"/>
    <m/>
    <n v="117312.90822546833"/>
    <n v="1173.1290822546832"/>
    <n v="118486.03730772302"/>
    <m/>
    <n v="118486.03730772302"/>
    <n v="592.43018653861509"/>
    <n v="119078.46749426163"/>
    <m/>
    <n v="119078.46749426163"/>
    <n v="2976.961687356541"/>
    <n v="122055.42918161816"/>
    <m/>
    <n v="122055.42918161816"/>
    <m/>
    <n v="122055.42918161816"/>
    <n v="4882.2171672647264"/>
    <n v="126937.64634888289"/>
    <n v="16501.894025354777"/>
    <n v="143439.54037423767"/>
    <n v="35"/>
    <n v="143474.54037423767"/>
    <m/>
    <n v="143474.54037423767"/>
    <n v="143474.54"/>
    <n v="3515200"/>
    <m/>
    <m/>
    <n v="0"/>
    <n v="143477.55102040817"/>
    <n v="3515200"/>
    <x v="2"/>
    <n v="25000"/>
    <n v="168477.55102040817"/>
    <n v="612500"/>
    <n v="4127700"/>
    <m/>
    <m/>
    <x v="0"/>
    <x v="0"/>
    <b v="1"/>
    <s v="АГ-005-Г-15-03-503"/>
    <m/>
    <s v="ДА"/>
    <s v="Чистовая"/>
    <b v="1"/>
    <n v="4127700"/>
    <n v="0"/>
    <b v="1"/>
    <d v="2024-12-28T00:00:00"/>
    <s v="Полехович"/>
  </r>
  <r>
    <n v="504"/>
    <x v="3"/>
    <x v="14"/>
    <x v="3"/>
    <x v="1"/>
    <n v="14.48"/>
    <n v="11.42"/>
    <m/>
    <n v="25.9"/>
    <n v="15.86"/>
    <n v="3.01"/>
    <n v="2.67"/>
    <m/>
    <n v="9.44"/>
    <n v="2.72"/>
    <m/>
    <m/>
    <n v="2.72"/>
    <n v="59.6"/>
    <n v="56.88"/>
    <n v="58.24"/>
    <n v="79535.67300000001"/>
    <n v="3976.7836500000008"/>
    <n v="83512.456650000007"/>
    <n v="2505.3736994999999"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m/>
    <n v="86017.8303495"/>
    <n v="86017.83"/>
    <n v="5009678.42"/>
    <m/>
    <m/>
    <n v="0"/>
    <n v="86017.830013736253"/>
    <n v="5009678.42"/>
    <x v="2"/>
    <n v="22000"/>
    <n v="108017.83001373625"/>
    <n v="1281280"/>
    <n v="6290958.4199999999"/>
    <m/>
    <m/>
    <x v="0"/>
    <x v="0"/>
    <b v="1"/>
    <s v="АГ-005-Г-15-04-504"/>
    <m/>
    <s v="НЕТ"/>
    <s v="Чистовая"/>
    <b v="1"/>
    <n v="6290958.4199999999"/>
    <n v="0"/>
    <b v="1"/>
    <d v="2023-09-30T00:00:00"/>
    <s v="Никишов"/>
  </r>
  <r>
    <n v="505"/>
    <x v="3"/>
    <x v="14"/>
    <x v="4"/>
    <x v="1"/>
    <n v="15.41"/>
    <n v="12.78"/>
    <m/>
    <n v="28.189999999999998"/>
    <n v="13.45"/>
    <n v="3.7"/>
    <n v="2.72"/>
    <m/>
    <n v="8.2200000000000006"/>
    <n v="3.03"/>
    <m/>
    <m/>
    <n v="3.03"/>
    <n v="59.31"/>
    <n v="56.28"/>
    <n v="57.8"/>
    <n v="79149.577499999999"/>
    <n v="3957.4788750000002"/>
    <n v="83107.056375"/>
    <n v="2493.2116912500001"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n v="85600.27"/>
    <n v="4947695.6100000003"/>
    <m/>
    <n v="0.03"/>
    <n v="148430.8683"/>
    <n v="83032.261937716277"/>
    <n v="4799264.74"/>
    <x v="1"/>
    <m/>
    <n v="83032.261937716277"/>
    <n v="0"/>
    <n v="4799264.74"/>
    <m/>
    <s v="Многодетная семья"/>
    <x v="0"/>
    <x v="0"/>
    <b v="1"/>
    <s v="АГ-005-Г-15-05-505"/>
    <m/>
    <s v="НЕТ"/>
    <s v="Черновая"/>
    <b v="1"/>
    <n v="4799264.74"/>
    <n v="0"/>
    <b v="1"/>
    <d v="2023-11-23T00:00:00"/>
    <s v="Дик"/>
  </r>
  <r>
    <n v="506"/>
    <x v="3"/>
    <x v="14"/>
    <x v="5"/>
    <x v="0"/>
    <n v="12.71"/>
    <m/>
    <m/>
    <n v="12.71"/>
    <n v="12.55"/>
    <n v="4.28"/>
    <m/>
    <m/>
    <n v="7.34"/>
    <n v="2.84"/>
    <m/>
    <m/>
    <n v="2.84"/>
    <n v="39.72"/>
    <n v="36.880000000000003"/>
    <n v="38.299999999999997"/>
    <n v="87601.5"/>
    <n v="4380.0749999999998"/>
    <n v="91981.574999999997"/>
    <n v="2759.4472499999997"/>
    <n v="94741.022249999995"/>
    <n v="947.41022249999992"/>
    <n v="95688.43247249999"/>
    <m/>
    <n v="95688.43247249999"/>
    <n v="4784.4216236249995"/>
    <n v="100472.854096125"/>
    <m/>
    <n v="100472.854096125"/>
    <n v="1004.72854096125"/>
    <n v="101477.58263708625"/>
    <n v="5073.8791318543126"/>
    <n v="106551.46176894056"/>
    <m/>
    <n v="106551.46176894056"/>
    <n v="3196.5438530682168"/>
    <n v="109748.00562200877"/>
    <m/>
    <n v="109748.00562200877"/>
    <m/>
    <n v="109748.00562200877"/>
    <m/>
    <n v="109748.00562200877"/>
    <m/>
    <n v="109748.00562200877"/>
    <n v="1097.4800562200878"/>
    <n v="110845.48567822886"/>
    <n v="554.22742839114426"/>
    <n v="111399.71310661999"/>
    <m/>
    <n v="111399.71310661999"/>
    <m/>
    <n v="111399.71310661999"/>
    <m/>
    <n v="111399.71310661999"/>
    <m/>
    <n v="111399.71310661999"/>
    <m/>
    <n v="111399.71310661999"/>
    <m/>
    <n v="111399.71310661999"/>
    <m/>
    <n v="111399.71310661999"/>
    <m/>
    <n v="111399.71310661999"/>
    <n v="111399.71"/>
    <n v="4266700"/>
    <m/>
    <m/>
    <n v="0"/>
    <n v="111402.08877284596"/>
    <n v="4266700"/>
    <x v="1"/>
    <m/>
    <n v="111402.08877284596"/>
    <n v="0"/>
    <n v="4266700"/>
    <m/>
    <m/>
    <x v="0"/>
    <x v="0"/>
    <b v="1"/>
    <s v="АГ-005-Г-15-06-506"/>
    <m/>
    <s v="ДА"/>
    <s v="Черновая"/>
    <b v="1"/>
    <n v="4266700"/>
    <n v="0"/>
    <b v="1"/>
    <d v="2024-06-25T00:00:00"/>
    <s v="Никишов"/>
  </r>
  <r>
    <n v="507"/>
    <x v="3"/>
    <x v="14"/>
    <x v="6"/>
    <x v="3"/>
    <n v="14.49"/>
    <n v="13.98"/>
    <n v="11.42"/>
    <n v="39.89"/>
    <n v="16.670000000000002"/>
    <n v="4.1399999999999997"/>
    <n v="1.89"/>
    <m/>
    <n v="11.31"/>
    <n v="2.86"/>
    <n v="2.79"/>
    <n v="5.42"/>
    <n v="11.07"/>
    <n v="84.97"/>
    <n v="73.900000000000006"/>
    <n v="79.44"/>
    <n v="77803.110000000015"/>
    <n v="3890.1555000000008"/>
    <n v="81693.265500000009"/>
    <n v="2450.7979650000002"/>
    <n v="84144.063465000014"/>
    <m/>
    <n v="84144.063465000014"/>
    <m/>
    <n v="84144.063465000014"/>
    <m/>
    <n v="84144.063465000014"/>
    <m/>
    <n v="84144.063465000014"/>
    <n v="841.44063465000011"/>
    <n v="84985.504099650017"/>
    <n v="4249.2752049825012"/>
    <n v="89234.779304632524"/>
    <m/>
    <n v="89234.779304632524"/>
    <n v="1784.6955860926505"/>
    <n v="91019.474890725178"/>
    <m/>
    <n v="91019.474890725178"/>
    <n v="1820.3894978145036"/>
    <n v="92839.864388539689"/>
    <n v="1000"/>
    <n v="93839.864388539689"/>
    <m/>
    <n v="93839.864388539689"/>
    <n v="1876.7972877707939"/>
    <n v="95716.661676310483"/>
    <m/>
    <n v="95716.661676310483"/>
    <n v="1914.3332335262096"/>
    <n v="97630.994909836692"/>
    <n v="2440.7748727459175"/>
    <n v="100071.7697825826"/>
    <m/>
    <n v="100071.7697825826"/>
    <m/>
    <n v="100071.7697825826"/>
    <m/>
    <n v="100071.7697825826"/>
    <m/>
    <n v="100071.7697825826"/>
    <m/>
    <n v="100071.7697825826"/>
    <m/>
    <n v="100071.7697825826"/>
    <n v="100071.77"/>
    <n v="7949800"/>
    <m/>
    <m/>
    <n v="0"/>
    <n v="100073.0110775428"/>
    <n v="7949800"/>
    <x v="2"/>
    <n v="20000"/>
    <n v="120073.0110775428"/>
    <n v="1588800"/>
    <n v="9538600"/>
    <s v="Хит"/>
    <m/>
    <x v="0"/>
    <x v="0"/>
    <b v="1"/>
    <s v="АГ-005-Г-15-07-507"/>
    <m/>
    <s v="ДА"/>
    <s v="Чистовая"/>
    <b v="1"/>
    <n v="9538600"/>
    <n v="0"/>
    <b v="1"/>
    <d v="2024-08-30T00:00:00"/>
    <s v="Дик"/>
  </r>
  <r>
    <n v="508"/>
    <x v="3"/>
    <x v="14"/>
    <x v="7"/>
    <x v="0"/>
    <n v="16.79"/>
    <m/>
    <m/>
    <n v="16.79"/>
    <n v="11.43"/>
    <n v="3.56"/>
    <m/>
    <m/>
    <n v="6.66"/>
    <n v="2.4900000000000002"/>
    <m/>
    <m/>
    <n v="2.4900000000000002"/>
    <n v="40.93"/>
    <n v="38.44"/>
    <n v="39.69"/>
    <n v="86384.8125"/>
    <n v="4319.2406250000004"/>
    <n v="90704.053125000006"/>
    <n v="2721.1215937500001"/>
    <n v="93425.17471875"/>
    <m/>
    <n v="93425.17471875"/>
    <m/>
    <n v="93425.17471875"/>
    <m/>
    <n v="93425.17471875"/>
    <m/>
    <n v="93425.17471875"/>
    <m/>
    <n v="93425.17471875"/>
    <m/>
    <n v="93425.17471875"/>
    <m/>
    <n v="93425.17471875"/>
    <m/>
    <n v="93425.17471875"/>
    <m/>
    <n v="93425.17471875"/>
    <m/>
    <n v="93425.17471875"/>
    <m/>
    <n v="93425.17471875"/>
    <m/>
    <n v="93425.17471875"/>
    <m/>
    <n v="93425.17471875"/>
    <m/>
    <n v="93425.17471875"/>
    <m/>
    <n v="93425.17471875"/>
    <m/>
    <n v="93425.17471875"/>
    <m/>
    <n v="93425.17471875"/>
    <m/>
    <n v="93425.17471875"/>
    <m/>
    <n v="93425.17471875"/>
    <m/>
    <n v="93425.17471875"/>
    <m/>
    <n v="93425.17471875"/>
    <m/>
    <n v="93425.17471875"/>
    <n v="93425.17"/>
    <n v="3708045"/>
    <m/>
    <m/>
    <n v="0"/>
    <n v="93425.170068027219"/>
    <n v="3708045"/>
    <x v="2"/>
    <n v="16000"/>
    <n v="109425.17006802722"/>
    <n v="635040"/>
    <n v="4343085"/>
    <m/>
    <m/>
    <x v="0"/>
    <x v="0"/>
    <b v="1"/>
    <s v="АГ-005-Г-15-08-508"/>
    <m/>
    <s v="НЕТ"/>
    <s v="Чистовая"/>
    <b v="1"/>
    <n v="4343085"/>
    <n v="0"/>
    <b v="1"/>
    <d v="2023-09-19T00:00:00"/>
    <s v="Кофанова"/>
  </r>
  <r>
    <n v="509"/>
    <x v="3"/>
    <x v="15"/>
    <x v="0"/>
    <x v="2"/>
    <n v="13.74"/>
    <m/>
    <m/>
    <n v="13.74"/>
    <n v="5.84"/>
    <n v="3.76"/>
    <m/>
    <m/>
    <n v="3.73"/>
    <n v="4.6500000000000004"/>
    <m/>
    <m/>
    <n v="4.6500000000000004"/>
    <n v="31.72"/>
    <n v="27.07"/>
    <n v="29.4"/>
    <n v="89353.53"/>
    <n v="4467.6765000000005"/>
    <n v="93821.2065"/>
    <n v="2814.636195"/>
    <n v="96635.842694999999"/>
    <n v="8697.2258425500004"/>
    <n v="105333.06853755"/>
    <m/>
    <n v="105333.06853755"/>
    <m/>
    <n v="105333.06853755"/>
    <m/>
    <n v="105333.06853755"/>
    <n v="1053.3306853755"/>
    <n v="106386.39922292551"/>
    <n v="5319.319961146276"/>
    <n v="111705.71918407179"/>
    <m/>
    <n v="111705.71918407179"/>
    <n v="3351.1715755221535"/>
    <n v="115056.89075959394"/>
    <m/>
    <n v="115056.89075959394"/>
    <m/>
    <n v="115056.89075959394"/>
    <m/>
    <n v="115056.89075959394"/>
    <m/>
    <n v="115056.89075959394"/>
    <m/>
    <n v="115056.89075959394"/>
    <m/>
    <n v="115056.89075959394"/>
    <m/>
    <n v="115056.89075959394"/>
    <m/>
    <n v="115056.89075959394"/>
    <m/>
    <n v="115056.89075959394"/>
    <m/>
    <n v="115056.89075959394"/>
    <m/>
    <n v="115056.89075959394"/>
    <m/>
    <n v="115056.89075959394"/>
    <m/>
    <n v="115056.89075959394"/>
    <m/>
    <n v="115056.89075959394"/>
    <n v="115056.89"/>
    <n v="3382700"/>
    <m/>
    <m/>
    <n v="0"/>
    <n v="115057.8231292517"/>
    <n v="3382700"/>
    <x v="2"/>
    <n v="20000"/>
    <n v="135057.82312925172"/>
    <n v="588000.00000000047"/>
    <n v="3970700.0000000005"/>
    <m/>
    <m/>
    <x v="0"/>
    <x v="0"/>
    <b v="1"/>
    <s v="АГ-005-Г-16-01-509"/>
    <m/>
    <s v="ДА"/>
    <s v="Чистовая"/>
    <b v="1"/>
    <n v="3970700"/>
    <n v="-4.6566128730773926E-10"/>
    <b v="1"/>
    <d v="2024-05-15T00:00:00"/>
    <s v="Никишов"/>
  </r>
  <r>
    <n v="510"/>
    <x v="3"/>
    <x v="15"/>
    <x v="1"/>
    <x v="0"/>
    <n v="13.17"/>
    <m/>
    <m/>
    <n v="13.17"/>
    <n v="16.940000000000001"/>
    <n v="3.55"/>
    <n v="2.41"/>
    <m/>
    <n v="5.8"/>
    <n v="2.68"/>
    <m/>
    <m/>
    <n v="2.68"/>
    <n v="44.55"/>
    <n v="41.87"/>
    <n v="43.21"/>
    <n v="85168.125"/>
    <n v="4258.40625"/>
    <n v="89426.53125"/>
    <n v="2682.7959375"/>
    <n v="92109.327187500006"/>
    <n v="921.09327187500003"/>
    <n v="93030.420459375004"/>
    <m/>
    <n v="93030.420459375004"/>
    <n v="4651.52102296875"/>
    <n v="97681.941482343755"/>
    <m/>
    <n v="97681.941482343755"/>
    <n v="976.81941482343757"/>
    <n v="98658.760897167187"/>
    <n v="4932.9380448583597"/>
    <n v="103591.69894202554"/>
    <m/>
    <n v="103591.69894202554"/>
    <n v="3107.7509682607661"/>
    <n v="106699.4499102863"/>
    <n v="500"/>
    <n v="107199.4499102863"/>
    <m/>
    <n v="107199.4499102863"/>
    <m/>
    <n v="107199.4499102863"/>
    <m/>
    <n v="107199.4499102863"/>
    <n v="1071.9944991028631"/>
    <n v="108271.44440938917"/>
    <m/>
    <n v="108271.44440938917"/>
    <m/>
    <n v="108271.44440938917"/>
    <n v="2706.7861102347292"/>
    <n v="110978.23051962389"/>
    <m/>
    <n v="110978.23051962389"/>
    <m/>
    <n v="110978.23051962389"/>
    <n v="8878.2584415699112"/>
    <n v="119856.4889611938"/>
    <n v="15581.343564955194"/>
    <n v="135437.832526149"/>
    <n v="35"/>
    <n v="135472.832526149"/>
    <m/>
    <n v="135472.832526149"/>
    <n v="135472.82999999999"/>
    <n v="5853800"/>
    <m/>
    <m/>
    <n v="0"/>
    <n v="135473.27007637121"/>
    <n v="5853800"/>
    <x v="1"/>
    <m/>
    <n v="135473.27007637121"/>
    <n v="0"/>
    <n v="5853800"/>
    <m/>
    <m/>
    <x v="1"/>
    <x v="1"/>
    <b v="1"/>
    <s v="АГ-005-Г-16-02-510"/>
    <m/>
    <s v="ДА"/>
    <s v="Черновая"/>
    <b v="1"/>
    <n v="5853800"/>
    <n v="0"/>
    <b v="1"/>
    <s v=" "/>
    <s v=""/>
  </r>
  <r>
    <n v="511"/>
    <x v="3"/>
    <x v="15"/>
    <x v="2"/>
    <x v="2"/>
    <n v="7.2"/>
    <m/>
    <m/>
    <n v="7.2"/>
    <n v="5.17"/>
    <n v="3.71"/>
    <m/>
    <m/>
    <n v="6.96"/>
    <n v="2.92"/>
    <m/>
    <m/>
    <n v="2.92"/>
    <n v="25.96"/>
    <n v="23.04"/>
    <n v="24.5"/>
    <n v="91105.56"/>
    <n v="4555.2780000000002"/>
    <n v="95660.838000000003"/>
    <n v="2869.8251399999999"/>
    <n v="98530.663140000004"/>
    <n v="8867.7596826000008"/>
    <n v="107398.4228226"/>
    <m/>
    <n v="107398.4228226"/>
    <m/>
    <n v="107398.4228226"/>
    <m/>
    <n v="107398.4228226"/>
    <m/>
    <n v="107398.4228226"/>
    <m/>
    <n v="107398.4228226"/>
    <m/>
    <n v="107398.4228226"/>
    <m/>
    <n v="107398.4228226"/>
    <m/>
    <n v="107398.4228226"/>
    <m/>
    <n v="107398.4228226"/>
    <m/>
    <n v="107398.4228226"/>
    <m/>
    <n v="107398.4228226"/>
    <m/>
    <n v="107398.4228226"/>
    <m/>
    <n v="107398.4228226"/>
    <m/>
    <n v="107398.4228226"/>
    <m/>
    <n v="107398.4228226"/>
    <m/>
    <n v="107398.4228226"/>
    <m/>
    <n v="107398.4228226"/>
    <m/>
    <n v="107398.4228226"/>
    <m/>
    <n v="107398.4228226"/>
    <m/>
    <n v="107398.4228226"/>
    <m/>
    <n v="107398.4228226"/>
    <n v="107398.42"/>
    <n v="2631300"/>
    <m/>
    <m/>
    <n v="0"/>
    <n v="107400"/>
    <n v="2631300"/>
    <x v="0"/>
    <n v="7500"/>
    <n v="114900"/>
    <n v="183750"/>
    <n v="2815050"/>
    <m/>
    <m/>
    <x v="0"/>
    <x v="0"/>
    <b v="1"/>
    <s v="АГ-005-Г-16-03-511"/>
    <m/>
    <s v="ДА"/>
    <s v="Предчистовая"/>
    <b v="1"/>
    <n v="2815050"/>
    <n v="0"/>
    <b v="1"/>
    <d v="2023-12-08T00:00:00"/>
    <s v="Никишов"/>
  </r>
  <r>
    <n v="512"/>
    <x v="3"/>
    <x v="15"/>
    <x v="3"/>
    <x v="1"/>
    <n v="14.48"/>
    <n v="11.42"/>
    <m/>
    <n v="25.9"/>
    <n v="15.86"/>
    <n v="3.01"/>
    <n v="2.67"/>
    <m/>
    <n v="9.44"/>
    <n v="2.72"/>
    <m/>
    <m/>
    <n v="2.72"/>
    <n v="59.6"/>
    <n v="56.88"/>
    <n v="58.24"/>
    <n v="79535.67300000001"/>
    <n v="3976.7836500000008"/>
    <n v="83512.456650000007"/>
    <n v="2505.3736994999999"/>
    <n v="86017.8303495"/>
    <m/>
    <n v="86017.8303495"/>
    <m/>
    <n v="86017.8303495"/>
    <m/>
    <n v="86017.8303495"/>
    <m/>
    <n v="86017.8303495"/>
    <n v="860.17830349500002"/>
    <n v="86878.008652995006"/>
    <n v="4343.9004326497507"/>
    <n v="91221.909085644758"/>
    <m/>
    <n v="91221.909085644758"/>
    <n v="1824.4381817128951"/>
    <n v="93046.347267357647"/>
    <m/>
    <n v="93046.347267357647"/>
    <n v="1860.9269453471529"/>
    <n v="94907.274212704797"/>
    <m/>
    <n v="94907.274212704797"/>
    <n v="949.07274212704795"/>
    <n v="95856.346954831839"/>
    <m/>
    <n v="95856.346954831839"/>
    <m/>
    <n v="95856.346954831839"/>
    <m/>
    <n v="95856.346954831839"/>
    <n v="1437.8452043224775"/>
    <n v="97294.192159154321"/>
    <m/>
    <n v="97294.192159154321"/>
    <m/>
    <n v="97294.192159154321"/>
    <m/>
    <n v="97294.192159154321"/>
    <m/>
    <n v="97294.192159154321"/>
    <m/>
    <n v="97294.192159154321"/>
    <m/>
    <n v="97294.192159154321"/>
    <n v="97294.19"/>
    <n v="5666500"/>
    <m/>
    <n v="0.03"/>
    <n v="169995"/>
    <n v="94376.802884615376"/>
    <n v="5496505"/>
    <x v="1"/>
    <m/>
    <n v="94376.802884615376"/>
    <n v="0"/>
    <n v="5496505"/>
    <m/>
    <s v="Ветеран боевых действий"/>
    <x v="0"/>
    <x v="0"/>
    <b v="1"/>
    <s v="АГ-005-Г-16-04-512"/>
    <m/>
    <s v="ДА"/>
    <s v="Черновая"/>
    <b v="1"/>
    <n v="5496505"/>
    <n v="0"/>
    <b v="1"/>
    <d v="2024-09-20T00:00:00"/>
    <s v="Никишов"/>
  </r>
  <r>
    <n v="513"/>
    <x v="3"/>
    <x v="15"/>
    <x v="4"/>
    <x v="1"/>
    <n v="15.41"/>
    <n v="12.78"/>
    <m/>
    <n v="28.189999999999998"/>
    <n v="13.45"/>
    <n v="3.7"/>
    <n v="2.72"/>
    <m/>
    <n v="8.2200000000000006"/>
    <n v="3.03"/>
    <m/>
    <m/>
    <n v="3.03"/>
    <n v="59.31"/>
    <n v="56.28"/>
    <n v="57.8"/>
    <n v="79149.577499999999"/>
    <n v="3957.4788750000002"/>
    <n v="83107.056375"/>
    <n v="2493.2116912500001"/>
    <n v="85600.268066250006"/>
    <m/>
    <n v="85600.268066250006"/>
    <m/>
    <n v="85600.268066250006"/>
    <m/>
    <n v="85600.268066250006"/>
    <m/>
    <n v="85600.268066250006"/>
    <n v="856.0026806625001"/>
    <n v="86456.270746912502"/>
    <n v="4322.8135373456253"/>
    <n v="90779.084284258133"/>
    <m/>
    <n v="90779.084284258133"/>
    <n v="1815.5816856851627"/>
    <n v="92594.665969943293"/>
    <m/>
    <n v="92594.665969943293"/>
    <n v="1851.893319398866"/>
    <n v="94446.559289342156"/>
    <m/>
    <n v="94446.559289342156"/>
    <n v="944.46559289342156"/>
    <n v="95391.024882235579"/>
    <m/>
    <n v="95391.024882235579"/>
    <m/>
    <n v="95391.024882235579"/>
    <m/>
    <n v="95391.024882235579"/>
    <n v="1430.8653732335335"/>
    <n v="96821.890255469116"/>
    <n v="500"/>
    <n v="97321.890255469116"/>
    <n v="3892.8756102187649"/>
    <n v="101214.76586568788"/>
    <n v="6072.8859519412727"/>
    <n v="107287.65181762914"/>
    <n v="13947.39473629179"/>
    <n v="121235.04655392093"/>
    <m/>
    <n v="121235.04655392093"/>
    <m/>
    <n v="121235.04655392093"/>
    <n v="121235.05"/>
    <n v="7007400"/>
    <m/>
    <n v="0.02"/>
    <n v="140148"/>
    <n v="118810.58823529413"/>
    <n v="6867252"/>
    <x v="2"/>
    <n v="25000"/>
    <n v="143810.58823529413"/>
    <n v="1445000"/>
    <n v="8312252"/>
    <m/>
    <s v="Скидка иногородним"/>
    <x v="0"/>
    <x v="0"/>
    <b v="1"/>
    <s v="АГ-005-Г-16-05-513"/>
    <m/>
    <s v="ДА"/>
    <s v="Чистовая"/>
    <b v="1"/>
    <n v="8312252"/>
    <n v="0"/>
    <b v="1"/>
    <d v="2024-12-17T00:00:00"/>
    <s v="Полехович"/>
  </r>
  <r>
    <n v="514"/>
    <x v="3"/>
    <x v="15"/>
    <x v="5"/>
    <x v="0"/>
    <n v="12.71"/>
    <m/>
    <m/>
    <n v="12.71"/>
    <n v="12.55"/>
    <n v="4.28"/>
    <m/>
    <m/>
    <n v="7.34"/>
    <n v="2.84"/>
    <m/>
    <m/>
    <n v="2.84"/>
    <n v="39.72"/>
    <n v="36.880000000000003"/>
    <n v="38.299999999999997"/>
    <n v="87601.5"/>
    <n v="4380.0749999999998"/>
    <n v="91981.574999999997"/>
    <n v="2759.4472499999997"/>
    <n v="94741.022249999995"/>
    <n v="947.41022249999992"/>
    <n v="95688.43247249999"/>
    <m/>
    <n v="95688.43247249999"/>
    <n v="4784.4216236249995"/>
    <n v="100472.854096125"/>
    <m/>
    <n v="100472.854096125"/>
    <n v="1004.72854096125"/>
    <n v="101477.58263708625"/>
    <n v="5073.8791318543126"/>
    <n v="106551.46176894056"/>
    <m/>
    <n v="106551.46176894056"/>
    <n v="3196.5438530682168"/>
    <n v="109748.00562200877"/>
    <m/>
    <n v="109748.00562200877"/>
    <m/>
    <n v="109748.00562200877"/>
    <m/>
    <n v="109748.00562200877"/>
    <m/>
    <n v="109748.00562200877"/>
    <n v="1097.4800562200878"/>
    <n v="110845.48567822886"/>
    <n v="554.22742839114426"/>
    <n v="111399.71310661999"/>
    <m/>
    <n v="111399.71310661999"/>
    <n v="2784.9928276655"/>
    <n v="114184.70593428549"/>
    <m/>
    <n v="114184.70593428549"/>
    <n v="2283.6941186857098"/>
    <n v="116468.40005297121"/>
    <n v="5823.4200026485605"/>
    <n v="122291.82005561977"/>
    <n v="15897.936607230571"/>
    <n v="138189.75666285033"/>
    <n v="35"/>
    <n v="138224.75666285033"/>
    <m/>
    <n v="138224.75666285033"/>
    <n v="138224.76"/>
    <n v="5294100"/>
    <m/>
    <m/>
    <n v="0"/>
    <n v="138227.1540469974"/>
    <n v="5294100"/>
    <x v="1"/>
    <m/>
    <n v="138227.1540469974"/>
    <n v="0"/>
    <n v="5294100"/>
    <m/>
    <m/>
    <x v="1"/>
    <x v="1"/>
    <b v="1"/>
    <s v="АГ-005-Г-16-06-514"/>
    <m/>
    <s v="ДА"/>
    <s v="Черновая"/>
    <b v="1"/>
    <n v="5294100"/>
    <n v="0"/>
    <b v="1"/>
    <s v=" "/>
    <s v=""/>
  </r>
  <r>
    <n v="515"/>
    <x v="3"/>
    <x v="15"/>
    <x v="6"/>
    <x v="3"/>
    <n v="14.49"/>
    <n v="13.98"/>
    <n v="11.42"/>
    <n v="39.89"/>
    <n v="16.670000000000002"/>
    <n v="4.1399999999999997"/>
    <n v="1.89"/>
    <m/>
    <n v="11.31"/>
    <n v="2.86"/>
    <n v="2.79"/>
    <n v="5.42"/>
    <n v="11.07"/>
    <n v="84.97"/>
    <n v="73.900000000000006"/>
    <n v="79.44"/>
    <n v="76375.530000000013"/>
    <n v="3818.7765000000009"/>
    <n v="80194.306500000021"/>
    <n v="2405.8291950000007"/>
    <n v="82600.135695000019"/>
    <m/>
    <n v="82600.135695000019"/>
    <m/>
    <n v="82600.135695000019"/>
    <m/>
    <n v="82600.135695000019"/>
    <m/>
    <n v="82600.135695000019"/>
    <n v="826.00135695000017"/>
    <n v="83426.13705195002"/>
    <n v="4171.3068525975013"/>
    <n v="87597.443904547516"/>
    <m/>
    <n v="87597.443904547516"/>
    <n v="1751.9488780909503"/>
    <n v="89349.392782638461"/>
    <m/>
    <n v="89349.392782638461"/>
    <n v="1786.9878556527692"/>
    <n v="91136.38063829123"/>
    <m/>
    <n v="91136.38063829123"/>
    <m/>
    <n v="91136.38063829123"/>
    <m/>
    <n v="91136.38063829123"/>
    <m/>
    <n v="91136.38063829123"/>
    <m/>
    <n v="91136.38063829123"/>
    <m/>
    <n v="91136.38063829123"/>
    <m/>
    <n v="91136.38063829123"/>
    <m/>
    <n v="91136.38063829123"/>
    <m/>
    <n v="91136.38063829123"/>
    <m/>
    <n v="91136.38063829123"/>
    <m/>
    <n v="91136.38063829123"/>
    <m/>
    <n v="91136.38063829123"/>
    <n v="91136.38"/>
    <n v="7239900"/>
    <n v="90000"/>
    <m/>
    <n v="90000"/>
    <n v="90003.776435045322"/>
    <n v="7149900"/>
    <x v="1"/>
    <m/>
    <n v="90003.776435045322"/>
    <n v="0"/>
    <n v="7149900"/>
    <s v="Хит"/>
    <s v="Поехали в Амград"/>
    <x v="0"/>
    <x v="0"/>
    <b v="1"/>
    <s v="АГ-005-Г-16-07-515"/>
    <m/>
    <s v="ДА"/>
    <s v="Черновая"/>
    <b v="1"/>
    <n v="7149900"/>
    <n v="0"/>
    <b v="1"/>
    <d v="2024-04-30T00:00:00"/>
    <s v="Полехович"/>
  </r>
  <r>
    <n v="516"/>
    <x v="3"/>
    <x v="15"/>
    <x v="7"/>
    <x v="0"/>
    <n v="16.79"/>
    <m/>
    <m/>
    <n v="16.79"/>
    <n v="11.43"/>
    <n v="3.56"/>
    <m/>
    <m/>
    <n v="6.66"/>
    <n v="2.4900000000000002"/>
    <m/>
    <m/>
    <n v="2.4900000000000002"/>
    <n v="40.93"/>
    <n v="38.44"/>
    <n v="39.69"/>
    <n v="84762.5625"/>
    <n v="4238.1281250000002"/>
    <n v="89000.690625000003"/>
    <n v="2670.02071875"/>
    <n v="91670.711343750008"/>
    <n v="4125.1820104687504"/>
    <n v="95795.893354218759"/>
    <m/>
    <n v="95795.893354218759"/>
    <n v="4789.7946677109385"/>
    <n v="100585.6880219297"/>
    <m/>
    <n v="100585.6880219297"/>
    <n v="1005.8568802192971"/>
    <n v="101591.54490214901"/>
    <n v="5079.5772451074508"/>
    <n v="106671.12214725645"/>
    <m/>
    <n v="106671.12214725645"/>
    <n v="3200.1336644176936"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m/>
    <n v="109871.25581167414"/>
    <n v="549.35627905837077"/>
    <n v="110420.61209073251"/>
    <m/>
    <n v="110420.61209073251"/>
    <m/>
    <n v="110420.61209073251"/>
    <m/>
    <n v="110420.61209073251"/>
    <m/>
    <n v="110420.61209073251"/>
    <m/>
    <n v="110420.61209073251"/>
    <m/>
    <n v="110420.61209073251"/>
    <n v="110420.61"/>
    <n v="4382600"/>
    <m/>
    <m/>
    <n v="0"/>
    <n v="110420.76089695138"/>
    <n v="4382600"/>
    <x v="3"/>
    <n v="7000"/>
    <n v="117420.76089695138"/>
    <n v="277830"/>
    <n v="4660430"/>
    <m/>
    <m/>
    <x v="0"/>
    <x v="0"/>
    <b v="1"/>
    <s v="АГ-005-Г-16-08-516"/>
    <m/>
    <s v="ДА"/>
    <s v="White Box"/>
    <b v="1"/>
    <n v="4660430"/>
    <n v="0"/>
    <b v="1"/>
    <d v="2024-07-22T00:00:00"/>
    <s v="Полехович"/>
  </r>
  <r>
    <n v="517"/>
    <x v="3"/>
    <x v="16"/>
    <x v="0"/>
    <x v="2"/>
    <n v="13.74"/>
    <m/>
    <m/>
    <n v="13.74"/>
    <n v="5.84"/>
    <n v="3.76"/>
    <m/>
    <m/>
    <n v="3.73"/>
    <n v="4.6500000000000004"/>
    <m/>
    <m/>
    <n v="4.6500000000000004"/>
    <n v="31.72"/>
    <n v="27.07"/>
    <n v="29.4"/>
    <n v="89353.53"/>
    <n v="4467.6765000000005"/>
    <n v="93821.2065"/>
    <n v="2814.636195"/>
    <n v="96635.842694999999"/>
    <n v="8697.2258425500004"/>
    <n v="105333.06853755"/>
    <m/>
    <n v="105333.06853755"/>
    <m/>
    <n v="105333.06853755"/>
    <m/>
    <n v="105333.06853755"/>
    <n v="1053.3306853755"/>
    <n v="106386.39922292551"/>
    <n v="5319.319961146276"/>
    <n v="111705.71918407179"/>
    <m/>
    <n v="111705.71918407179"/>
    <n v="3351.1715755221535"/>
    <n v="115056.89075959394"/>
    <m/>
    <n v="115056.89075959394"/>
    <m/>
    <n v="115056.89075959394"/>
    <m/>
    <n v="115056.89075959394"/>
    <n v="1150.5689075959394"/>
    <n v="116207.45966718988"/>
    <m/>
    <n v="116207.45966718988"/>
    <m/>
    <n v="116207.45966718988"/>
    <m/>
    <n v="116207.45966718988"/>
    <n v="1743.111895007848"/>
    <n v="117950.57156219773"/>
    <m/>
    <n v="117950.57156219773"/>
    <m/>
    <n v="117950.57156219773"/>
    <n v="4718.0228624879092"/>
    <n v="122668.59442468564"/>
    <n v="15946.917275209133"/>
    <n v="138615.51169989476"/>
    <n v="35"/>
    <n v="138650.51169989476"/>
    <m/>
    <n v="138650.51169989476"/>
    <n v="138650.51"/>
    <n v="4076400"/>
    <m/>
    <m/>
    <n v="0"/>
    <n v="138653.06122448979"/>
    <n v="4076400"/>
    <x v="3"/>
    <n v="10000"/>
    <n v="148653.06122448979"/>
    <n v="294000"/>
    <n v="4370400"/>
    <m/>
    <m/>
    <x v="4"/>
    <x v="4"/>
    <b v="1"/>
    <s v="АГ-005-Г-17-01-517"/>
    <m/>
    <s v="ДА"/>
    <s v="White Box"/>
    <b v="1"/>
    <n v="4370400"/>
    <n v="0"/>
    <b v="1"/>
    <s v=" "/>
    <s v=""/>
  </r>
  <r>
    <n v="518"/>
    <x v="3"/>
    <x v="16"/>
    <x v="1"/>
    <x v="0"/>
    <n v="13.17"/>
    <m/>
    <m/>
    <n v="13.17"/>
    <n v="16.940000000000001"/>
    <n v="3.55"/>
    <n v="2.41"/>
    <m/>
    <n v="5.8"/>
    <n v="2.68"/>
    <m/>
    <m/>
    <n v="2.68"/>
    <n v="44.55"/>
    <n v="41.87"/>
    <n v="43.21"/>
    <n v="85168.125"/>
    <n v="4258.40625"/>
    <n v="89426.53125"/>
    <n v="2682.7959375"/>
    <n v="92109.327187500006"/>
    <n v="921.09327187500003"/>
    <n v="93030.420459375004"/>
    <m/>
    <n v="93030.420459375004"/>
    <n v="4651.52102296875"/>
    <n v="97681.941482343755"/>
    <m/>
    <n v="97681.941482343755"/>
    <n v="976.81941482343757"/>
    <n v="98658.760897167187"/>
    <n v="4932.9380448583597"/>
    <n v="103591.69894202554"/>
    <m/>
    <n v="103591.69894202554"/>
    <n v="3107.7509682607661"/>
    <n v="106699.4499102863"/>
    <n v="500"/>
    <n v="107199.4499102863"/>
    <m/>
    <n v="107199.4499102863"/>
    <m/>
    <n v="107199.4499102863"/>
    <m/>
    <n v="107199.4499102863"/>
    <n v="1071.9944991028631"/>
    <n v="108271.44440938917"/>
    <m/>
    <n v="108271.44440938917"/>
    <m/>
    <n v="108271.44440938917"/>
    <n v="2706.7861102347292"/>
    <n v="110978.23051962389"/>
    <m/>
    <n v="110978.23051962389"/>
    <m/>
    <n v="110978.23051962389"/>
    <n v="8878.2584415699112"/>
    <n v="119856.4889611938"/>
    <n v="15581.343564955194"/>
    <n v="135437.832526149"/>
    <m/>
    <n v="135437.832526149"/>
    <m/>
    <n v="135437.832526149"/>
    <n v="135437.82999999999"/>
    <n v="5852300"/>
    <m/>
    <n v="0.02"/>
    <n v="117046"/>
    <n v="132729.78477204349"/>
    <n v="5735254"/>
    <x v="3"/>
    <n v="10000"/>
    <n v="142729.78477204349"/>
    <n v="432099.99999999907"/>
    <n v="6167353.9999999991"/>
    <m/>
    <s v="Скидка иногородним"/>
    <x v="0"/>
    <x v="0"/>
    <b v="1"/>
    <s v="АГ-005-Г-17-02-518"/>
    <m/>
    <s v="ДА"/>
    <s v="White Box"/>
    <b v="1"/>
    <n v="6167354"/>
    <n v="9.3132257461547852E-10"/>
    <b v="1"/>
    <d v="2024-11-25T00:00:00"/>
    <s v="Никишов"/>
  </r>
  <r>
    <n v="519"/>
    <x v="3"/>
    <x v="16"/>
    <x v="2"/>
    <x v="2"/>
    <n v="7.2"/>
    <m/>
    <m/>
    <n v="7.2"/>
    <n v="5.17"/>
    <n v="3.71"/>
    <m/>
    <m/>
    <n v="6.96"/>
    <n v="2.92"/>
    <m/>
    <m/>
    <n v="2.92"/>
    <n v="25.96"/>
    <n v="23.04"/>
    <n v="24.5"/>
    <n v="91105.56"/>
    <n v="4555.2780000000002"/>
    <n v="95660.838000000003"/>
    <n v="2869.8251399999999"/>
    <n v="98530.663140000004"/>
    <n v="8867.7596826000008"/>
    <n v="107398.4228226"/>
    <m/>
    <n v="107398.4228226"/>
    <m/>
    <n v="107398.4228226"/>
    <m/>
    <n v="107398.4228226"/>
    <n v="1073.9842282259999"/>
    <n v="108472.407050826"/>
    <n v="5423.6203525413002"/>
    <n v="113896.0274033673"/>
    <m/>
    <n v="113896.0274033673"/>
    <m/>
    <n v="113896.0274033673"/>
    <m/>
    <n v="113896.0274033673"/>
    <m/>
    <n v="113896.0274033673"/>
    <m/>
    <n v="113896.0274033673"/>
    <m/>
    <n v="113896.0274033673"/>
    <m/>
    <n v="113896.0274033673"/>
    <m/>
    <n v="113896.0274033673"/>
    <m/>
    <n v="113896.0274033673"/>
    <m/>
    <n v="113896.0274033673"/>
    <m/>
    <n v="113896.0274033673"/>
    <m/>
    <n v="113896.0274033673"/>
    <m/>
    <n v="113896.0274033673"/>
    <m/>
    <n v="113896.0274033673"/>
    <m/>
    <n v="113896.0274033673"/>
    <m/>
    <n v="113896.0274033673"/>
    <n v="113896.03"/>
    <n v="2790500"/>
    <m/>
    <m/>
    <n v="0"/>
    <n v="113897.95918367348"/>
    <n v="2790500"/>
    <x v="2"/>
    <n v="20000"/>
    <n v="133897.95918367349"/>
    <n v="490000.00000000047"/>
    <n v="3280500.0000000005"/>
    <m/>
    <m/>
    <x v="0"/>
    <x v="0"/>
    <b v="1"/>
    <s v="АГ-005-Г-17-03-519"/>
    <m/>
    <s v="ДА"/>
    <s v="Чистовая"/>
    <b v="1"/>
    <n v="3280500"/>
    <n v="-4.6566128730773926E-10"/>
    <b v="1"/>
    <d v="2024-02-22T00:00:00"/>
    <s v="Дик"/>
  </r>
  <r>
    <n v="520"/>
    <x v="3"/>
    <x v="16"/>
    <x v="3"/>
    <x v="1"/>
    <n v="14.48"/>
    <n v="11.42"/>
    <m/>
    <n v="25.9"/>
    <n v="15.86"/>
    <n v="3.01"/>
    <n v="2.67"/>
    <m/>
    <n v="9.44"/>
    <n v="2.72"/>
    <m/>
    <m/>
    <n v="2.72"/>
    <n v="59.6"/>
    <n v="56.88"/>
    <n v="58.24"/>
    <n v="79535.67300000001"/>
    <n v="3976.7836500000008"/>
    <n v="83512.456650000007"/>
    <n v="2505.3736994999999"/>
    <n v="86017.8303495"/>
    <m/>
    <n v="86017.8303495"/>
    <m/>
    <n v="86017.8303495"/>
    <m/>
    <n v="86017.8303495"/>
    <m/>
    <n v="86017.8303495"/>
    <n v="860.17830349500002"/>
    <n v="86878.008652995006"/>
    <n v="4343.9004326497507"/>
    <n v="91221.909085644758"/>
    <m/>
    <n v="91221.909085644758"/>
    <n v="1824.4381817128951"/>
    <n v="93046.347267357647"/>
    <m/>
    <n v="93046.347267357647"/>
    <n v="1860.9269453471529"/>
    <n v="94907.274212704797"/>
    <m/>
    <n v="94907.274212704797"/>
    <n v="949.07274212704795"/>
    <n v="95856.346954831839"/>
    <m/>
    <n v="95856.346954831839"/>
    <m/>
    <n v="95856.346954831839"/>
    <m/>
    <n v="95856.346954831839"/>
    <n v="1437.8452043224775"/>
    <n v="97294.192159154321"/>
    <m/>
    <n v="97294.192159154321"/>
    <m/>
    <n v="97294.192159154321"/>
    <m/>
    <n v="97294.192159154321"/>
    <m/>
    <n v="97294.192159154321"/>
    <m/>
    <n v="97294.192159154321"/>
    <m/>
    <n v="97294.192159154321"/>
    <n v="97294.19"/>
    <n v="5666500"/>
    <m/>
    <m/>
    <n v="0"/>
    <n v="97295.673076923078"/>
    <n v="5666500"/>
    <x v="2"/>
    <n v="20000"/>
    <n v="117295.67307692308"/>
    <n v="1164800"/>
    <n v="6831300"/>
    <m/>
    <m/>
    <x v="0"/>
    <x v="0"/>
    <b v="1"/>
    <s v="АГ-005-Г-17-04-520"/>
    <m/>
    <s v="ДА"/>
    <s v="Чистовая"/>
    <b v="1"/>
    <n v="6831300"/>
    <n v="0"/>
    <b v="1"/>
    <d v="2024-10-17T00:00:00"/>
    <s v="Никишов"/>
  </r>
  <r>
    <n v="521"/>
    <x v="3"/>
    <x v="16"/>
    <x v="4"/>
    <x v="1"/>
    <n v="15.41"/>
    <n v="12.78"/>
    <m/>
    <n v="28.189999999999998"/>
    <n v="13.45"/>
    <n v="3.7"/>
    <n v="2.72"/>
    <m/>
    <n v="8.2200000000000006"/>
    <n v="3.03"/>
    <m/>
    <m/>
    <n v="3.03"/>
    <n v="59.31"/>
    <n v="56.28"/>
    <n v="57.8"/>
    <n v="79149.577499999999"/>
    <n v="3957.4788750000002"/>
    <n v="83107.056375"/>
    <n v="2493.2116912500001"/>
    <n v="85600.268066250006"/>
    <m/>
    <n v="85600.268066250006"/>
    <m/>
    <n v="85600.268066250006"/>
    <m/>
    <n v="85600.268066250006"/>
    <m/>
    <n v="85600.268066250006"/>
    <n v="856.0026806625001"/>
    <n v="86456.270746912502"/>
    <n v="4322.8135373456253"/>
    <n v="90779.084284258133"/>
    <m/>
    <n v="90779.084284258133"/>
    <n v="1815.5816856851627"/>
    <n v="92594.665969943293"/>
    <m/>
    <n v="92594.665969943293"/>
    <n v="1851.893319398866"/>
    <n v="94446.559289342156"/>
    <m/>
    <n v="94446.559289342156"/>
    <n v="944.46559289342156"/>
    <n v="95391.024882235579"/>
    <m/>
    <n v="95391.024882235579"/>
    <m/>
    <n v="95391.024882235579"/>
    <m/>
    <n v="95391.024882235579"/>
    <m/>
    <n v="95391.024882235579"/>
    <m/>
    <n v="95391.024882235579"/>
    <m/>
    <n v="95391.024882235579"/>
    <m/>
    <n v="95391.024882235579"/>
    <m/>
    <n v="95391.024882235579"/>
    <m/>
    <n v="95391.024882235579"/>
    <m/>
    <n v="95391.024882235579"/>
    <n v="95391.02"/>
    <n v="5513700"/>
    <m/>
    <m/>
    <n v="0"/>
    <n v="95392.733564013848"/>
    <n v="5513700"/>
    <x v="2"/>
    <n v="20000"/>
    <n v="115392.73356401385"/>
    <n v="1156000"/>
    <n v="6669700"/>
    <m/>
    <m/>
    <x v="0"/>
    <x v="0"/>
    <b v="1"/>
    <s v="АГ-005-Г-17-05-521"/>
    <m/>
    <s v="ДА"/>
    <s v="Чистовая"/>
    <b v="1"/>
    <n v="6669700"/>
    <n v="0"/>
    <b v="1"/>
    <d v="2024-06-28T00:00:00"/>
    <s v="Дик"/>
  </r>
  <r>
    <n v="522"/>
    <x v="3"/>
    <x v="16"/>
    <x v="5"/>
    <x v="0"/>
    <n v="12.71"/>
    <m/>
    <m/>
    <n v="12.71"/>
    <n v="12.55"/>
    <n v="4.28"/>
    <m/>
    <m/>
    <n v="7.34"/>
    <n v="2.84"/>
    <m/>
    <m/>
    <n v="2.84"/>
    <n v="39.72"/>
    <n v="36.880000000000003"/>
    <n v="38.299999999999997"/>
    <n v="87601.5"/>
    <n v="4380.0749999999998"/>
    <n v="91981.574999999997"/>
    <n v="2759.4472499999997"/>
    <n v="94741.022249999995"/>
    <n v="947.41022249999992"/>
    <n v="95688.43247249999"/>
    <m/>
    <n v="95688.43247249999"/>
    <n v="4784.4216236249995"/>
    <n v="100472.854096125"/>
    <m/>
    <n v="100472.854096125"/>
    <m/>
    <n v="100472.854096125"/>
    <m/>
    <n v="100472.854096125"/>
    <m/>
    <n v="100472.854096125"/>
    <m/>
    <n v="100472.854096125"/>
    <m/>
    <n v="100472.854096125"/>
    <m/>
    <n v="100472.854096125"/>
    <m/>
    <n v="100472.854096125"/>
    <m/>
    <n v="100472.854096125"/>
    <m/>
    <n v="100472.854096125"/>
    <m/>
    <n v="100472.854096125"/>
    <m/>
    <n v="100472.854096125"/>
    <m/>
    <n v="100472.854096125"/>
    <m/>
    <n v="100472.854096125"/>
    <m/>
    <n v="100472.854096125"/>
    <m/>
    <n v="100472.854096125"/>
    <m/>
    <n v="100472.854096125"/>
    <m/>
    <n v="100472.854096125"/>
    <m/>
    <n v="100472.854096125"/>
    <n v="100472.85"/>
    <n v="3848200"/>
    <m/>
    <n v="0.02"/>
    <n v="76964"/>
    <n v="98465.691906005231"/>
    <n v="3771236"/>
    <x v="0"/>
    <n v="7500"/>
    <n v="105965.69190600523"/>
    <n v="287250"/>
    <n v="4058486"/>
    <m/>
    <s v="Скидка инвестору"/>
    <x v="0"/>
    <x v="0"/>
    <b v="1"/>
    <s v="АГ-005-Г-17-06-522"/>
    <m/>
    <s v="ДА"/>
    <s v="Предчистовая"/>
    <b v="1"/>
    <n v="4058486"/>
    <n v="0"/>
    <b v="1"/>
    <d v="2023-12-14T00:00:00"/>
    <s v="Дик"/>
  </r>
  <r>
    <n v="523"/>
    <x v="3"/>
    <x v="16"/>
    <x v="6"/>
    <x v="3"/>
    <n v="14.49"/>
    <n v="13.98"/>
    <n v="11.42"/>
    <n v="39.89"/>
    <n v="16.670000000000002"/>
    <n v="4.1399999999999997"/>
    <n v="1.89"/>
    <m/>
    <n v="11.31"/>
    <n v="2.86"/>
    <n v="2.79"/>
    <n v="5.42"/>
    <n v="11.07"/>
    <n v="84.97"/>
    <n v="73.900000000000006"/>
    <n v="79.44"/>
    <n v="77803.110000000015"/>
    <n v="3890.1555000000008"/>
    <n v="81693.265500000009"/>
    <n v="2450.7979650000002"/>
    <n v="84144.063465000014"/>
    <m/>
    <n v="84144.063465000014"/>
    <m/>
    <n v="84144.063465000014"/>
    <m/>
    <n v="84144.063465000014"/>
    <m/>
    <n v="84144.063465000014"/>
    <n v="841.44063465000011"/>
    <n v="84985.504099650017"/>
    <n v="4249.2752049825012"/>
    <n v="89234.779304632524"/>
    <m/>
    <n v="89234.779304632524"/>
    <n v="1784.6955860926505"/>
    <n v="91019.474890725178"/>
    <m/>
    <n v="91019.474890725178"/>
    <n v="1820.3894978145036"/>
    <n v="92839.864388539689"/>
    <n v="1000"/>
    <n v="93839.864388539689"/>
    <m/>
    <n v="93839.864388539689"/>
    <n v="1876.7972877707939"/>
    <n v="95716.661676310483"/>
    <m/>
    <n v="95716.661676310483"/>
    <n v="1914.3332335262096"/>
    <n v="97630.994909836692"/>
    <n v="2440.7748727459175"/>
    <n v="100071.7697825826"/>
    <m/>
    <n v="100071.7697825826"/>
    <n v="4002.870791303304"/>
    <n v="104074.6405738859"/>
    <n v="5203.7320286942959"/>
    <n v="109278.3726025802"/>
    <n v="14206.188438335426"/>
    <n v="123484.56104091564"/>
    <m/>
    <n v="123484.56104091564"/>
    <m/>
    <n v="123484.56104091564"/>
    <n v="123484.56"/>
    <n v="9809700"/>
    <m/>
    <n v="0.02"/>
    <n v="196194"/>
    <n v="121015.93655589124"/>
    <n v="9613506"/>
    <x v="3"/>
    <n v="10000"/>
    <n v="131015.93655589124"/>
    <n v="794400"/>
    <n v="10407906"/>
    <s v="Хит"/>
    <s v="Скидка для IT"/>
    <x v="0"/>
    <x v="0"/>
    <b v="1"/>
    <s v="АГ-005-Г-17-07-523"/>
    <m/>
    <s v="ДА"/>
    <s v="White Box"/>
    <b v="1"/>
    <n v="10407906"/>
    <n v="0"/>
    <b v="1"/>
    <d v="2024-12-09T00:00:00"/>
    <s v="Дик"/>
  </r>
  <r>
    <n v="524"/>
    <x v="3"/>
    <x v="16"/>
    <x v="7"/>
    <x v="0"/>
    <n v="16.79"/>
    <m/>
    <m/>
    <n v="16.79"/>
    <n v="11.43"/>
    <n v="3.56"/>
    <m/>
    <m/>
    <n v="6.66"/>
    <n v="2.4900000000000002"/>
    <m/>
    <m/>
    <n v="2.4900000000000002"/>
    <n v="40.93"/>
    <n v="38.44"/>
    <n v="39.69"/>
    <n v="86384.8125"/>
    <n v="4319.2406250000004"/>
    <n v="90704.053125000006"/>
    <n v="2721.1215937500001"/>
    <n v="93425.17471875"/>
    <n v="4204.1328623437503"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m/>
    <n v="97629.307581093744"/>
    <n v="97629.31"/>
    <n v="3874907.31"/>
    <m/>
    <n v="0.02"/>
    <n v="77498.146200000003"/>
    <n v="95676.723607961714"/>
    <n v="3797409.16"/>
    <x v="1"/>
    <m/>
    <n v="95676.723607961714"/>
    <n v="0"/>
    <n v="3797409.16"/>
    <m/>
    <s v="Многодетная семья"/>
    <x v="0"/>
    <x v="0"/>
    <b v="1"/>
    <s v="АГ-005-Г-17-08-524"/>
    <m/>
    <s v="НЕТ"/>
    <s v="Черновая"/>
    <b v="1"/>
    <n v="3797409.16"/>
    <n v="0"/>
    <b v="1"/>
    <d v="2023-09-28T00:00:00"/>
    <s v="Дик"/>
  </r>
  <r>
    <n v="525"/>
    <x v="3"/>
    <x v="17"/>
    <x v="0"/>
    <x v="2"/>
    <n v="13.74"/>
    <m/>
    <m/>
    <n v="13.74"/>
    <n v="5.84"/>
    <n v="3.76"/>
    <m/>
    <m/>
    <n v="3.73"/>
    <n v="4.6500000000000004"/>
    <m/>
    <m/>
    <n v="4.6500000000000004"/>
    <n v="31.72"/>
    <n v="27.07"/>
    <n v="29.4"/>
    <n v="89353.53"/>
    <n v="4467.6765000000005"/>
    <n v="93821.2065"/>
    <n v="2814.636195"/>
    <n v="96635.842694999999"/>
    <n v="8697.2258425500004"/>
    <n v="105333.06853755"/>
    <m/>
    <n v="105333.06853755"/>
    <m/>
    <n v="105333.06853755"/>
    <m/>
    <n v="105333.06853755"/>
    <n v="1053.3306853755"/>
    <n v="106386.39922292551"/>
    <n v="5319.319961146276"/>
    <n v="111705.71918407179"/>
    <m/>
    <n v="111705.71918407179"/>
    <n v="3351.1715755221535"/>
    <n v="115056.89075959394"/>
    <m/>
    <n v="115056.89075959394"/>
    <m/>
    <n v="115056.89075959394"/>
    <m/>
    <n v="115056.89075959394"/>
    <n v="1150.5689075959394"/>
    <n v="116207.45966718988"/>
    <m/>
    <n v="116207.45966718988"/>
    <m/>
    <n v="116207.45966718988"/>
    <m/>
    <n v="116207.45966718988"/>
    <n v="1743.111895007848"/>
    <n v="117950.57156219773"/>
    <m/>
    <n v="117950.57156219773"/>
    <m/>
    <n v="117950.57156219773"/>
    <n v="4718.0228624879092"/>
    <n v="122668.59442468564"/>
    <n v="15946.917275209133"/>
    <n v="138615.51169989476"/>
    <n v="35"/>
    <n v="138650.51169989476"/>
    <m/>
    <n v="138650.51169989476"/>
    <n v="138650.51"/>
    <n v="4076400"/>
    <m/>
    <m/>
    <n v="0"/>
    <n v="138653.06122448979"/>
    <n v="4076400"/>
    <x v="1"/>
    <m/>
    <n v="138653.06122448979"/>
    <n v="0"/>
    <n v="4076399.9999999995"/>
    <m/>
    <m/>
    <x v="1"/>
    <x v="1"/>
    <b v="1"/>
    <s v="АГ-005-Г-18-01-525"/>
    <m/>
    <s v="ДА"/>
    <s v="Черновая"/>
    <b v="1"/>
    <n v="4076400"/>
    <n v="4.6566128730773926E-10"/>
    <b v="1"/>
    <s v=" "/>
    <s v=""/>
  </r>
  <r>
    <n v="526"/>
    <x v="3"/>
    <x v="17"/>
    <x v="1"/>
    <x v="0"/>
    <n v="13.17"/>
    <m/>
    <m/>
    <n v="13.17"/>
    <n v="16.940000000000001"/>
    <n v="3.55"/>
    <n v="2.41"/>
    <m/>
    <n v="5.8"/>
    <n v="2.68"/>
    <m/>
    <m/>
    <n v="2.68"/>
    <n v="44.55"/>
    <n v="41.87"/>
    <n v="43.21"/>
    <n v="85168.125"/>
    <n v="4258.40625"/>
    <n v="89426.53125"/>
    <n v="2682.7959375"/>
    <n v="92109.327187500006"/>
    <n v="921.09327187500003"/>
    <n v="93030.420459375004"/>
    <m/>
    <n v="93030.420459375004"/>
    <n v="4651.52102296875"/>
    <n v="97681.941482343755"/>
    <m/>
    <n v="97681.941482343755"/>
    <n v="976.81941482343757"/>
    <n v="98658.760897167187"/>
    <n v="4932.9380448583597"/>
    <n v="103591.69894202554"/>
    <m/>
    <n v="103591.69894202554"/>
    <n v="3107.7509682607661"/>
    <n v="106699.4499102863"/>
    <n v="500"/>
    <n v="107199.4499102863"/>
    <m/>
    <n v="107199.4499102863"/>
    <m/>
    <n v="107199.4499102863"/>
    <m/>
    <n v="107199.4499102863"/>
    <m/>
    <n v="107199.4499102863"/>
    <m/>
    <n v="107199.4499102863"/>
    <m/>
    <n v="107199.4499102863"/>
    <m/>
    <n v="107199.4499102863"/>
    <m/>
    <n v="107199.4499102863"/>
    <m/>
    <n v="107199.4499102863"/>
    <m/>
    <n v="107199.4499102863"/>
    <m/>
    <n v="107199.4499102863"/>
    <m/>
    <n v="107199.4499102863"/>
    <m/>
    <n v="107199.4499102863"/>
    <n v="107199.45"/>
    <n v="4632100"/>
    <n v="88888"/>
    <m/>
    <n v="88888"/>
    <n v="105142.60587826892"/>
    <n v="4543212"/>
    <x v="2"/>
    <n v="20000"/>
    <n v="125142.60587826892"/>
    <n v="864200"/>
    <n v="5407412"/>
    <m/>
    <s v="Весна"/>
    <x v="0"/>
    <x v="0"/>
    <b v="1"/>
    <s v="АГ-005-Г-18-02-526"/>
    <m/>
    <s v="ДА"/>
    <s v="Чистовая"/>
    <b v="1"/>
    <n v="5407412"/>
    <n v="0"/>
    <b v="1"/>
    <d v="2024-04-11T00:00:00"/>
    <s v="Дик"/>
  </r>
  <r>
    <n v="527"/>
    <x v="3"/>
    <x v="17"/>
    <x v="2"/>
    <x v="2"/>
    <n v="7.2"/>
    <m/>
    <m/>
    <n v="7.2"/>
    <n v="5.17"/>
    <n v="3.71"/>
    <m/>
    <m/>
    <n v="6.96"/>
    <n v="2.92"/>
    <m/>
    <m/>
    <n v="2.92"/>
    <n v="25.96"/>
    <n v="23.04"/>
    <n v="24.5"/>
    <n v="91105.56"/>
    <n v="4555.2780000000002"/>
    <n v="95660.838000000003"/>
    <n v="2869.8251399999999"/>
    <n v="98530.663140000004"/>
    <n v="8867.7596826000008"/>
    <n v="107398.4228226"/>
    <m/>
    <n v="107398.4228226"/>
    <m/>
    <n v="107398.4228226"/>
    <m/>
    <n v="107398.4228226"/>
    <n v="1073.9842282259999"/>
    <n v="108472.407050826"/>
    <n v="5423.6203525413002"/>
    <n v="113896.0274033673"/>
    <m/>
    <n v="113896.0274033673"/>
    <n v="3416.880822101019"/>
    <n v="117312.90822546833"/>
    <m/>
    <n v="117312.90822546833"/>
    <m/>
    <n v="117312.90822546833"/>
    <m/>
    <n v="117312.90822546833"/>
    <n v="1173.1290822546832"/>
    <n v="118486.03730772302"/>
    <m/>
    <n v="118486.03730772302"/>
    <n v="592.43018653861509"/>
    <n v="119078.46749426163"/>
    <m/>
    <n v="119078.46749426163"/>
    <n v="2976.961687356541"/>
    <n v="122055.42918161816"/>
    <m/>
    <n v="122055.42918161816"/>
    <m/>
    <n v="122055.42918161816"/>
    <n v="4882.2171672647264"/>
    <n v="126937.64634888289"/>
    <n v="16501.894025354777"/>
    <n v="143439.54037423767"/>
    <n v="35"/>
    <n v="143474.54037423767"/>
    <m/>
    <n v="143474.54037423767"/>
    <n v="143474.54"/>
    <n v="3515200"/>
    <m/>
    <m/>
    <n v="0"/>
    <n v="143477.55102040817"/>
    <n v="3515200"/>
    <x v="1"/>
    <m/>
    <n v="143477.55102040817"/>
    <n v="0"/>
    <n v="3515200"/>
    <m/>
    <m/>
    <x v="4"/>
    <x v="4"/>
    <b v="1"/>
    <s v="АГ-005-Г-18-03-527"/>
    <m/>
    <s v="ДА"/>
    <s v="Черновая"/>
    <b v="1"/>
    <n v="3515200"/>
    <n v="0"/>
    <b v="1"/>
    <s v=" "/>
    <s v=""/>
  </r>
  <r>
    <n v="528"/>
    <x v="3"/>
    <x v="17"/>
    <x v="3"/>
    <x v="1"/>
    <n v="14.48"/>
    <n v="11.42"/>
    <m/>
    <n v="25.9"/>
    <n v="15.86"/>
    <n v="3.01"/>
    <n v="2.67"/>
    <m/>
    <n v="9.44"/>
    <n v="2.72"/>
    <m/>
    <m/>
    <n v="2.72"/>
    <n v="59.6"/>
    <n v="56.88"/>
    <n v="58.24"/>
    <n v="79535.67300000001"/>
    <n v="3976.7836500000008"/>
    <n v="83512.456650000007"/>
    <n v="2505.3736994999999"/>
    <n v="86017.8303495"/>
    <m/>
    <n v="86017.8303495"/>
    <m/>
    <n v="86017.8303495"/>
    <m/>
    <n v="86017.8303495"/>
    <m/>
    <n v="86017.8303495"/>
    <n v="860.17830349500002"/>
    <n v="86878.008652995006"/>
    <n v="4343.9004326497507"/>
    <n v="91221.909085644758"/>
    <m/>
    <n v="91221.909085644758"/>
    <n v="1824.4381817128951"/>
    <n v="93046.347267357647"/>
    <m/>
    <n v="93046.347267357647"/>
    <n v="1860.9269453471529"/>
    <n v="94907.274212704797"/>
    <m/>
    <n v="94907.274212704797"/>
    <n v="949.07274212704795"/>
    <n v="95856.346954831839"/>
    <m/>
    <n v="95856.346954831839"/>
    <m/>
    <n v="95856.346954831839"/>
    <m/>
    <n v="95856.346954831839"/>
    <n v="1437.8452043224775"/>
    <n v="97294.192159154321"/>
    <m/>
    <n v="97294.192159154321"/>
    <n v="3891.7676863661727"/>
    <n v="101185.9598455205"/>
    <n v="6071.1575907312299"/>
    <n v="107257.11743625173"/>
    <n v="13943.425266712726"/>
    <n v="121200.54270296446"/>
    <n v="35"/>
    <n v="121235.54270296446"/>
    <m/>
    <n v="121235.54270296446"/>
    <n v="121235.54"/>
    <n v="7060800"/>
    <n v="300000"/>
    <n v="0.03"/>
    <n v="511824"/>
    <n v="112448.07692307692"/>
    <n v="6548976"/>
    <x v="2"/>
    <n v="25000"/>
    <n v="137448.07692307694"/>
    <n v="1456000.0000000009"/>
    <n v="8004976.0000000009"/>
    <m/>
    <s v="Время действовать / Ветеран боевых действий"/>
    <x v="0"/>
    <x v="0"/>
    <b v="1"/>
    <s v="АГ-005-Г-18-04-528"/>
    <m/>
    <s v="ДА"/>
    <s v="Чистовая"/>
    <b v="1"/>
    <n v="8004976"/>
    <n v="-9.3132257461547852E-10"/>
    <b v="1"/>
    <d v="2025-03-21T00:00:00"/>
    <s v="Никишов"/>
  </r>
  <r>
    <n v="529"/>
    <x v="3"/>
    <x v="17"/>
    <x v="4"/>
    <x v="1"/>
    <n v="15.41"/>
    <n v="12.78"/>
    <m/>
    <n v="28.189999999999998"/>
    <n v="13.45"/>
    <n v="3.7"/>
    <n v="2.72"/>
    <m/>
    <n v="8.2200000000000006"/>
    <n v="3.03"/>
    <m/>
    <m/>
    <n v="3.03"/>
    <n v="59.31"/>
    <n v="56.28"/>
    <n v="57.8"/>
    <n v="79149.577499999999"/>
    <n v="3957.4788750000002"/>
    <n v="83107.056375"/>
    <n v="2493.2116912500001"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m/>
    <n v="85600.268066250006"/>
    <n v="85600.27"/>
    <n v="4947695.6100000003"/>
    <m/>
    <n v="0.03"/>
    <n v="148430.8683"/>
    <n v="83032.261937716277"/>
    <n v="4799264.74"/>
    <x v="0"/>
    <n v="7500"/>
    <n v="90532.261937716277"/>
    <n v="433500"/>
    <n v="5232764.74"/>
    <m/>
    <s v="Многодетная семья"/>
    <x v="0"/>
    <x v="0"/>
    <b v="1"/>
    <s v="АГ-005-Г-18-05-529"/>
    <m/>
    <s v="НЕТ"/>
    <s v="Предчистовая"/>
    <b v="1"/>
    <n v="5232764.74"/>
    <n v="0"/>
    <b v="1"/>
    <d v="2023-10-31T00:00:00"/>
    <s v="Кофанова"/>
  </r>
  <r>
    <n v="530"/>
    <x v="3"/>
    <x v="17"/>
    <x v="5"/>
    <x v="0"/>
    <n v="12.71"/>
    <m/>
    <m/>
    <n v="12.71"/>
    <n v="12.55"/>
    <n v="4.28"/>
    <m/>
    <m/>
    <n v="7.34"/>
    <n v="2.84"/>
    <m/>
    <m/>
    <n v="2.84"/>
    <n v="39.72"/>
    <n v="36.880000000000003"/>
    <n v="38.299999999999997"/>
    <n v="87601.5"/>
    <n v="4380.0749999999998"/>
    <n v="91981.574999999997"/>
    <n v="2759.4472499999997"/>
    <n v="94741.022249999995"/>
    <n v="947.41022249999992"/>
    <n v="95688.43247249999"/>
    <m/>
    <n v="95688.43247249999"/>
    <n v="4784.4216236249995"/>
    <n v="100472.854096125"/>
    <m/>
    <n v="100472.854096125"/>
    <n v="1004.72854096125"/>
    <n v="101477.58263708625"/>
    <n v="5073.8791318543126"/>
    <n v="106551.46176894056"/>
    <m/>
    <n v="106551.46176894056"/>
    <n v="3196.5438530682168"/>
    <n v="109748.00562200877"/>
    <m/>
    <n v="109748.00562200877"/>
    <m/>
    <n v="109748.00562200877"/>
    <m/>
    <n v="109748.00562200877"/>
    <m/>
    <n v="109748.00562200877"/>
    <n v="1097.4800562200878"/>
    <n v="110845.48567822886"/>
    <n v="554.22742839114426"/>
    <n v="111399.71310661999"/>
    <m/>
    <n v="111399.71310661999"/>
    <n v="2784.9928276655"/>
    <n v="114184.70593428549"/>
    <m/>
    <n v="114184.70593428549"/>
    <n v="2283.6941186857098"/>
    <n v="116468.40005297121"/>
    <n v="5823.4200026485605"/>
    <n v="122291.82005561977"/>
    <n v="15897.936607230571"/>
    <n v="138189.75666285033"/>
    <n v="35"/>
    <n v="138224.75666285033"/>
    <m/>
    <n v="138224.75666285033"/>
    <n v="138224.76"/>
    <n v="5294100"/>
    <m/>
    <n v="0.02"/>
    <n v="105882"/>
    <n v="135462.61096605746"/>
    <n v="5188218"/>
    <x v="2"/>
    <n v="25000"/>
    <n v="160462.61096605746"/>
    <n v="957500"/>
    <n v="6145718"/>
    <m/>
    <s v="Индивидуальная скидка"/>
    <x v="0"/>
    <x v="0"/>
    <b v="1"/>
    <s v="АГ-005-Г-18-06-530"/>
    <m/>
    <s v="ДА"/>
    <s v="Чистовая"/>
    <b v="1"/>
    <n v="6145718"/>
    <n v="0"/>
    <b v="1"/>
    <d v="2025-03-25T00:00:00"/>
    <s v="Арефьев"/>
  </r>
  <r>
    <n v="531"/>
    <x v="3"/>
    <x v="17"/>
    <x v="6"/>
    <x v="3"/>
    <n v="14.49"/>
    <n v="13.98"/>
    <n v="11.42"/>
    <n v="39.89"/>
    <n v="16.670000000000002"/>
    <n v="4.1399999999999997"/>
    <n v="1.89"/>
    <m/>
    <n v="11.31"/>
    <n v="2.86"/>
    <n v="2.79"/>
    <n v="5.42"/>
    <n v="11.07"/>
    <n v="84.97"/>
    <n v="73.900000000000006"/>
    <n v="79.44"/>
    <n v="77803.110000000015"/>
    <n v="3890.1555000000008"/>
    <n v="81693.265500000009"/>
    <n v="2450.7979650000002"/>
    <n v="84144.063465000014"/>
    <m/>
    <n v="84144.063465000014"/>
    <m/>
    <n v="84144.063465000014"/>
    <m/>
    <n v="84144.063465000014"/>
    <m/>
    <n v="84144.063465000014"/>
    <n v="841.44063465000011"/>
    <n v="84985.504099650017"/>
    <n v="4249.2752049825012"/>
    <n v="89234.779304632524"/>
    <m/>
    <n v="89234.779304632524"/>
    <m/>
    <n v="89234.779304632524"/>
    <m/>
    <n v="89234.779304632524"/>
    <m/>
    <n v="89234.779304632524"/>
    <m/>
    <n v="89234.779304632524"/>
    <m/>
    <n v="89234.779304632524"/>
    <m/>
    <n v="89234.779304632524"/>
    <m/>
    <n v="89234.779304632524"/>
    <m/>
    <n v="89234.779304632524"/>
    <m/>
    <n v="89234.779304632524"/>
    <m/>
    <n v="89234.779304632524"/>
    <m/>
    <n v="89234.779304632524"/>
    <m/>
    <n v="89234.779304632524"/>
    <m/>
    <n v="89234.779304632524"/>
    <m/>
    <n v="89234.779304632524"/>
    <m/>
    <n v="89234.779304632524"/>
    <n v="89234.78"/>
    <n v="7088900"/>
    <m/>
    <m/>
    <n v="0"/>
    <n v="89235.901309164154"/>
    <n v="7088900"/>
    <x v="3"/>
    <n v="7000"/>
    <n v="96235.901309164154"/>
    <n v="556080"/>
    <n v="7644980"/>
    <s v="Хит"/>
    <m/>
    <x v="0"/>
    <x v="0"/>
    <b v="1"/>
    <s v="АГ-005-Г-18-07-531"/>
    <m/>
    <s v="ДА"/>
    <s v="White Box"/>
    <b v="1"/>
    <n v="7644980"/>
    <n v="0"/>
    <b v="1"/>
    <d v="2024-01-24T00:00:00"/>
    <s v="Гвоздев"/>
  </r>
  <r>
    <n v="532"/>
    <x v="3"/>
    <x v="17"/>
    <x v="7"/>
    <x v="0"/>
    <n v="16.79"/>
    <m/>
    <m/>
    <n v="16.79"/>
    <n v="11.43"/>
    <n v="3.56"/>
    <m/>
    <m/>
    <n v="6.66"/>
    <n v="2.4900000000000002"/>
    <m/>
    <m/>
    <n v="2.4900000000000002"/>
    <n v="40.93"/>
    <n v="38.44"/>
    <n v="39.69"/>
    <n v="86384.8125"/>
    <n v="4319.2406250000004"/>
    <n v="90704.053125000006"/>
    <n v="2721.1215937500001"/>
    <n v="93425.17471875"/>
    <n v="4204.1328623437503"/>
    <n v="97629.307581093744"/>
    <m/>
    <n v="97629.307581093744"/>
    <n v="4881.4653790546872"/>
    <n v="102510.77296014843"/>
    <m/>
    <n v="102510.77296014843"/>
    <n v="1025.1077296014844"/>
    <n v="103535.88068974992"/>
    <n v="5176.794034487496"/>
    <n v="108712.67472423741"/>
    <m/>
    <n v="108712.67472423741"/>
    <n v="3261.3802417271222"/>
    <n v="111974.05496596453"/>
    <m/>
    <n v="111974.05496596453"/>
    <m/>
    <n v="111974.05496596453"/>
    <m/>
    <n v="111974.05496596453"/>
    <m/>
    <n v="111974.05496596453"/>
    <m/>
    <n v="111974.05496596453"/>
    <m/>
    <n v="111974.05496596453"/>
    <m/>
    <n v="111974.05496596453"/>
    <n v="559.87027482982273"/>
    <n v="112533.92524079436"/>
    <m/>
    <n v="112533.92524079436"/>
    <m/>
    <n v="112533.92524079436"/>
    <m/>
    <n v="112533.92524079436"/>
    <m/>
    <n v="112533.92524079436"/>
    <m/>
    <n v="112533.92524079436"/>
    <m/>
    <n v="112533.92524079436"/>
    <n v="112533.93"/>
    <n v="4466500"/>
    <m/>
    <m/>
    <n v="0"/>
    <n v="112534.64348702444"/>
    <n v="4466500"/>
    <x v="1"/>
    <m/>
    <n v="112534.64348702444"/>
    <n v="0"/>
    <n v="4466500"/>
    <m/>
    <m/>
    <x v="0"/>
    <x v="0"/>
    <b v="1"/>
    <s v="АГ-005-Г-18-08-532"/>
    <m/>
    <s v="ДА"/>
    <s v="Черновая"/>
    <b v="1"/>
    <n v="4466500"/>
    <n v="0"/>
    <b v="1"/>
    <d v="2024-08-08T00:00:00"/>
    <s v="Дик"/>
  </r>
  <r>
    <n v="533"/>
    <x v="3"/>
    <x v="18"/>
    <x v="0"/>
    <x v="2"/>
    <n v="13.74"/>
    <m/>
    <m/>
    <n v="13.74"/>
    <n v="5.84"/>
    <n v="3.76"/>
    <m/>
    <m/>
    <n v="3.73"/>
    <n v="4.6500000000000004"/>
    <m/>
    <m/>
    <n v="4.6500000000000004"/>
    <n v="31.72"/>
    <n v="27.07"/>
    <n v="29.4"/>
    <n v="96361.65"/>
    <n v="4818.0824999999995"/>
    <n v="101179.7325"/>
    <n v="3035.391975"/>
    <n v="104215.124475"/>
    <n v="9379.3612027500003"/>
    <n v="113594.48567775001"/>
    <m/>
    <n v="113594.48567775001"/>
    <m/>
    <n v="113594.48567775001"/>
    <m/>
    <n v="113594.48567775001"/>
    <n v="1135.9448567775"/>
    <n v="114730.43053452751"/>
    <n v="5736.5215267263757"/>
    <n v="120466.95206125388"/>
    <m/>
    <n v="120466.95206125388"/>
    <n v="3614.0085618376161"/>
    <n v="124080.96062309149"/>
    <m/>
    <n v="124080.96062309149"/>
    <m/>
    <n v="124080.96062309149"/>
    <m/>
    <n v="124080.96062309149"/>
    <n v="1240.8096062309151"/>
    <n v="125321.77022932241"/>
    <m/>
    <n v="125321.77022932241"/>
    <m/>
    <n v="125321.77022932241"/>
    <m/>
    <n v="125321.77022932241"/>
    <n v="1879.8265534398361"/>
    <n v="127201.59678276225"/>
    <m/>
    <n v="127201.59678276225"/>
    <m/>
    <n v="127201.59678276225"/>
    <n v="5088.06387131049"/>
    <n v="132289.66065407274"/>
    <n v="17197.655885029457"/>
    <n v="149487.3165391022"/>
    <n v="35"/>
    <n v="149522.3165391022"/>
    <m/>
    <n v="149522.3165391022"/>
    <n v="149522.32"/>
    <n v="4396000"/>
    <m/>
    <m/>
    <n v="0"/>
    <n v="149523.80952380953"/>
    <n v="4396000"/>
    <x v="1"/>
    <m/>
    <n v="149523.80952380953"/>
    <n v="0"/>
    <n v="4396000"/>
    <m/>
    <m/>
    <x v="1"/>
    <x v="1"/>
    <b v="1"/>
    <s v="АГ-005-Г-19-01-533"/>
    <m/>
    <s v="ДА"/>
    <s v="Черновая"/>
    <b v="1"/>
    <n v="4396000"/>
    <n v="0"/>
    <b v="1"/>
    <s v=" "/>
    <s v=""/>
  </r>
  <r>
    <n v="534"/>
    <x v="3"/>
    <x v="18"/>
    <x v="1"/>
    <x v="0"/>
    <n v="13.17"/>
    <m/>
    <m/>
    <n v="13.17"/>
    <n v="16.940000000000001"/>
    <n v="3.55"/>
    <n v="2.41"/>
    <m/>
    <n v="5.8"/>
    <n v="2.68"/>
    <m/>
    <m/>
    <n v="2.68"/>
    <n v="44.55"/>
    <n v="41.87"/>
    <n v="43.21"/>
    <n v="91657.125"/>
    <n v="4582.8562499999998"/>
    <n v="96239.981249999997"/>
    <n v="2887.1994374999999"/>
    <n v="99127.180687500004"/>
    <n v="991.27180687500004"/>
    <n v="100118.452494375"/>
    <m/>
    <n v="100118.452494375"/>
    <n v="5005.9226247187507"/>
    <n v="105124.37511909375"/>
    <m/>
    <n v="105124.37511909375"/>
    <n v="1051.2437511909375"/>
    <n v="106175.61887028468"/>
    <n v="5308.7809435142344"/>
    <n v="111484.39981379893"/>
    <m/>
    <n v="111484.39981379893"/>
    <m/>
    <n v="111484.39981379893"/>
    <m/>
    <n v="111484.39981379893"/>
    <m/>
    <n v="111484.39981379893"/>
    <m/>
    <n v="111484.39981379893"/>
    <m/>
    <n v="111484.39981379893"/>
    <m/>
    <n v="111484.39981379893"/>
    <m/>
    <n v="111484.39981379893"/>
    <m/>
    <n v="111484.39981379893"/>
    <m/>
    <n v="111484.39981379893"/>
    <m/>
    <n v="111484.39981379893"/>
    <m/>
    <n v="111484.39981379893"/>
    <m/>
    <n v="111484.39981379893"/>
    <m/>
    <n v="111484.39981379893"/>
    <m/>
    <n v="111484.39981379893"/>
    <m/>
    <n v="111484.39981379893"/>
    <n v="111484.4"/>
    <n v="4817300"/>
    <m/>
    <m/>
    <n v="0"/>
    <n v="111485.76718352233"/>
    <n v="4817300"/>
    <x v="1"/>
    <m/>
    <n v="111485.76718352233"/>
    <n v="0"/>
    <n v="4817300"/>
    <m/>
    <m/>
    <x v="0"/>
    <x v="0"/>
    <b v="1"/>
    <s v="АГ-005-Г-19-02-534"/>
    <m/>
    <s v="ДА"/>
    <s v="Черновая"/>
    <b v="1"/>
    <n v="4817300"/>
    <n v="0"/>
    <b v="1"/>
    <d v="2024-02-29T00:00:00"/>
    <s v="Никишов"/>
  </r>
  <r>
    <n v="535"/>
    <x v="3"/>
    <x v="18"/>
    <x v="2"/>
    <x v="2"/>
    <n v="7.2"/>
    <m/>
    <m/>
    <n v="7.2"/>
    <n v="5.17"/>
    <n v="3.71"/>
    <m/>
    <m/>
    <n v="6.96"/>
    <n v="2.92"/>
    <m/>
    <m/>
    <n v="2.92"/>
    <n v="25.96"/>
    <n v="23.04"/>
    <n v="24.5"/>
    <n v="98113.68"/>
    <n v="4905.6840000000002"/>
    <n v="103019.36399999999"/>
    <n v="3090.5809199999994"/>
    <n v="106109.94491999998"/>
    <n v="9549.8950427999971"/>
    <n v="115659.83996279998"/>
    <m/>
    <n v="115659.83996279998"/>
    <m/>
    <n v="115659.83996279998"/>
    <m/>
    <n v="115659.83996279998"/>
    <n v="1156.5983996279997"/>
    <n v="116816.43836242797"/>
    <n v="5840.821918121399"/>
    <n v="122657.26028054937"/>
    <m/>
    <n v="122657.26028054937"/>
    <n v="3679.7178084164807"/>
    <n v="126336.97808896584"/>
    <m/>
    <n v="126336.97808896584"/>
    <m/>
    <n v="126336.97808896584"/>
    <m/>
    <n v="126336.97808896584"/>
    <n v="1263.3697808896584"/>
    <n v="127600.3478698555"/>
    <m/>
    <n v="127600.3478698555"/>
    <n v="638.0017393492775"/>
    <n v="128238.34960920477"/>
    <m/>
    <n v="128238.34960920477"/>
    <n v="3205.9587402301195"/>
    <n v="131444.3083494349"/>
    <m/>
    <n v="131444.3083494349"/>
    <m/>
    <n v="131444.3083494349"/>
    <n v="5257.7723339773956"/>
    <n v="136702.08068341229"/>
    <n v="17771.270488843598"/>
    <n v="154473.35117225588"/>
    <n v="35"/>
    <n v="154508.35117225588"/>
    <m/>
    <n v="154508.35117225588"/>
    <n v="154508.35"/>
    <n v="3785500"/>
    <m/>
    <m/>
    <n v="0"/>
    <n v="154510.20408163266"/>
    <n v="3785500"/>
    <x v="3"/>
    <n v="10000"/>
    <n v="164510.20408163266"/>
    <n v="245000"/>
    <n v="4030500"/>
    <m/>
    <m/>
    <x v="1"/>
    <x v="1"/>
    <b v="1"/>
    <s v="АГ-005-Г-19-03-535"/>
    <m/>
    <s v="ДА"/>
    <s v="White Box"/>
    <b v="1"/>
    <n v="4030500"/>
    <n v="0"/>
    <b v="1"/>
    <s v=" "/>
    <s v=""/>
  </r>
  <r>
    <n v="536"/>
    <x v="3"/>
    <x v="18"/>
    <x v="3"/>
    <x v="1"/>
    <n v="14.48"/>
    <n v="11.42"/>
    <m/>
    <n v="25.9"/>
    <n v="15.86"/>
    <n v="3.01"/>
    <n v="2.67"/>
    <m/>
    <n v="9.44"/>
    <n v="2.72"/>
    <m/>
    <m/>
    <n v="2.72"/>
    <n v="59.6"/>
    <n v="56.88"/>
    <n v="58.24"/>
    <n v="85713.201000000001"/>
    <n v="4285.6600500000004"/>
    <n v="89998.861050000007"/>
    <n v="2699.9658315000001"/>
    <n v="92698.826881500005"/>
    <m/>
    <n v="92698.826881500005"/>
    <m/>
    <n v="92698.826881500005"/>
    <m/>
    <n v="92698.826881500005"/>
    <m/>
    <n v="92698.826881500005"/>
    <n v="926.98826881500008"/>
    <n v="93625.815150315"/>
    <n v="4681.2907575157506"/>
    <n v="98307.105907830744"/>
    <m/>
    <n v="98307.105907830744"/>
    <n v="1966.142118156615"/>
    <n v="100273.24802598736"/>
    <m/>
    <n v="100273.24802598736"/>
    <n v="2005.4649605197471"/>
    <n v="102278.7129865071"/>
    <m/>
    <n v="102278.7129865071"/>
    <n v="1022.7871298650711"/>
    <n v="103301.50011637218"/>
    <m/>
    <n v="103301.50011637218"/>
    <m/>
    <n v="103301.50011637218"/>
    <m/>
    <n v="103301.50011637218"/>
    <n v="1549.5225017455825"/>
    <n v="104851.02261811776"/>
    <m/>
    <n v="104851.02261811776"/>
    <n v="4194.0409047247103"/>
    <n v="109045.06352284247"/>
    <n v="6542.7038113705476"/>
    <n v="115587.76733421301"/>
    <n v="15026.409753447693"/>
    <n v="130614.1770876607"/>
    <n v="35"/>
    <n v="130649.1770876607"/>
    <m/>
    <n v="130649.1770876607"/>
    <n v="130649.18"/>
    <n v="7609100"/>
    <m/>
    <m/>
    <n v="0"/>
    <n v="130650.75549450549"/>
    <n v="7609100"/>
    <x v="3"/>
    <n v="10000"/>
    <n v="140650.75549450549"/>
    <n v="582400"/>
    <n v="8191500"/>
    <m/>
    <m/>
    <x v="1"/>
    <x v="1"/>
    <b v="1"/>
    <s v="АГ-005-Г-19-04-536"/>
    <m/>
    <s v="ДА"/>
    <s v="White Box"/>
    <b v="1"/>
    <n v="8191500"/>
    <n v="0"/>
    <b v="1"/>
    <s v=" "/>
    <s v=""/>
  </r>
  <r>
    <n v="537"/>
    <x v="3"/>
    <x v="18"/>
    <x v="4"/>
    <x v="1"/>
    <n v="15.41"/>
    <n v="12.78"/>
    <m/>
    <n v="28.189999999999998"/>
    <n v="13.45"/>
    <n v="3.7"/>
    <n v="2.72"/>
    <m/>
    <n v="8.2200000000000006"/>
    <n v="3.03"/>
    <m/>
    <m/>
    <n v="3.03"/>
    <n v="59.31"/>
    <n v="56.28"/>
    <n v="57.8"/>
    <n v="85327.105500000005"/>
    <n v="4266.3552750000008"/>
    <n v="89593.460775"/>
    <n v="2687.8038232499998"/>
    <n v="92281.264598249996"/>
    <m/>
    <n v="92281.264598249996"/>
    <m/>
    <n v="92281.264598249996"/>
    <m/>
    <n v="92281.264598249996"/>
    <m/>
    <n v="92281.264598249996"/>
    <n v="922.81264598249993"/>
    <n v="93204.077244232496"/>
    <n v="4660.2038622116252"/>
    <n v="97864.281106444119"/>
    <m/>
    <n v="97864.281106444119"/>
    <n v="1957.2856221288823"/>
    <n v="99821.566728573001"/>
    <m/>
    <n v="99821.566728573001"/>
    <n v="1996.4313345714602"/>
    <n v="101817.99806314446"/>
    <m/>
    <n v="101817.99806314446"/>
    <n v="1018.1799806314447"/>
    <n v="102836.1780437759"/>
    <m/>
    <n v="102836.1780437759"/>
    <m/>
    <n v="102836.1780437759"/>
    <m/>
    <n v="102836.1780437759"/>
    <n v="1542.5426706566384"/>
    <n v="104378.72071443254"/>
    <n v="500"/>
    <n v="104878.72071443254"/>
    <n v="4195.1488285773012"/>
    <n v="109073.86954300985"/>
    <n v="6544.4321725805903"/>
    <n v="115618.30171559044"/>
    <n v="15030.379223026757"/>
    <n v="130648.6809386172"/>
    <n v="35"/>
    <n v="130683.6809386172"/>
    <m/>
    <n v="130683.6809386172"/>
    <n v="130683.68"/>
    <n v="7553600"/>
    <m/>
    <m/>
    <n v="0"/>
    <n v="130685.12110726644"/>
    <n v="7553600"/>
    <x v="1"/>
    <m/>
    <n v="130685.12110726644"/>
    <n v="0"/>
    <n v="7553600"/>
    <m/>
    <m/>
    <x v="1"/>
    <x v="1"/>
    <b v="1"/>
    <s v="АГ-005-Г-19-05-537"/>
    <m/>
    <s v="ДА"/>
    <s v="Черновая"/>
    <b v="1"/>
    <n v="7553600"/>
    <n v="0"/>
    <b v="1"/>
    <s v=" "/>
    <s v=""/>
  </r>
  <r>
    <n v="538"/>
    <x v="3"/>
    <x v="18"/>
    <x v="5"/>
    <x v="0"/>
    <n v="12.71"/>
    <m/>
    <m/>
    <n v="12.71"/>
    <n v="12.55"/>
    <n v="4.28"/>
    <m/>
    <m/>
    <n v="7.34"/>
    <n v="2.84"/>
    <m/>
    <m/>
    <n v="2.84"/>
    <n v="39.72"/>
    <n v="36.880000000000003"/>
    <n v="38.299999999999997"/>
    <n v="94090.5"/>
    <n v="4704.5250000000005"/>
    <n v="98795.024999999994"/>
    <n v="2963.8507499999996"/>
    <n v="101758.87574999999"/>
    <n v="1017.5887574999999"/>
    <n v="102776.46450749999"/>
    <m/>
    <n v="102776.46450749999"/>
    <n v="5138.8232253749993"/>
    <n v="107915.28773287499"/>
    <m/>
    <n v="107915.28773287499"/>
    <n v="1079.1528773287498"/>
    <n v="108994.44061020373"/>
    <n v="5449.7220305101873"/>
    <n v="114444.16264071391"/>
    <m/>
    <n v="114444.16264071391"/>
    <n v="3433.3248792214172"/>
    <n v="117877.48751993533"/>
    <m/>
    <n v="117877.48751993533"/>
    <m/>
    <n v="117877.48751993533"/>
    <m/>
    <n v="117877.48751993533"/>
    <m/>
    <n v="117877.48751993533"/>
    <n v="1178.7748751993533"/>
    <n v="119056.26239513468"/>
    <n v="595.28131197567336"/>
    <n v="119651.54370711035"/>
    <m/>
    <n v="119651.54370711035"/>
    <n v="2991.288592677759"/>
    <n v="122642.8322997881"/>
    <m/>
    <n v="122642.8322997881"/>
    <n v="2452.8566459957619"/>
    <n v="125095.68894578387"/>
    <n v="6254.7844472891938"/>
    <n v="131350.47339307307"/>
    <n v="17075.561541099501"/>
    <n v="148426.03493417258"/>
    <n v="35"/>
    <n v="148461.03493417258"/>
    <m/>
    <n v="148461.03493417258"/>
    <n v="148461.03"/>
    <n v="5686100"/>
    <m/>
    <m/>
    <n v="0"/>
    <n v="148462.14099216711"/>
    <n v="5686100"/>
    <x v="1"/>
    <m/>
    <n v="148462.14099216711"/>
    <n v="0"/>
    <n v="5686100"/>
    <m/>
    <m/>
    <x v="4"/>
    <x v="4"/>
    <b v="1"/>
    <s v="АГ-005-Г-19-06-538"/>
    <m/>
    <s v="ДА"/>
    <s v="Черновая"/>
    <b v="1"/>
    <n v="5686100"/>
    <n v="0"/>
    <b v="1"/>
    <s v=" "/>
    <s v=""/>
  </r>
  <r>
    <n v="539"/>
    <x v="3"/>
    <x v="18"/>
    <x v="6"/>
    <x v="3"/>
    <n v="14.49"/>
    <n v="13.98"/>
    <n v="11.42"/>
    <n v="39.89"/>
    <n v="16.670000000000002"/>
    <n v="4.1399999999999997"/>
    <n v="1.89"/>
    <m/>
    <n v="11.31"/>
    <n v="2.86"/>
    <n v="2.79"/>
    <n v="5.42"/>
    <n v="11.07"/>
    <n v="84.97"/>
    <n v="73.900000000000006"/>
    <n v="79.44"/>
    <n v="82085.85000000002"/>
    <n v="4104.2925000000014"/>
    <n v="86190.142500000016"/>
    <n v="2585.7042750000005"/>
    <n v="88775.846775000013"/>
    <m/>
    <n v="88775.846775000013"/>
    <m/>
    <n v="88775.846775000013"/>
    <m/>
    <n v="88775.846775000013"/>
    <m/>
    <n v="88775.846775000013"/>
    <n v="887.75846775000014"/>
    <n v="89663.605242750011"/>
    <n v="4483.1802621375009"/>
    <n v="94146.785504887506"/>
    <m/>
    <n v="94146.785504887506"/>
    <n v="1882.9357100977502"/>
    <n v="96029.721214985257"/>
    <m/>
    <n v="96029.721214985257"/>
    <n v="1920.5944242997052"/>
    <n v="97950.315639284963"/>
    <n v="1000"/>
    <n v="98950.315639284963"/>
    <n v="989.50315639284963"/>
    <n v="99939.818795677813"/>
    <n v="1998.7963759135564"/>
    <n v="101938.61517159137"/>
    <m/>
    <n v="101938.61517159137"/>
    <n v="2038.7723034318276"/>
    <n v="103977.38747502321"/>
    <n v="2599.4346868755802"/>
    <n v="106576.82216189879"/>
    <m/>
    <n v="106576.82216189879"/>
    <n v="4263.0728864759512"/>
    <n v="110839.89504837475"/>
    <n v="5541.9947524187373"/>
    <n v="116381.88980079349"/>
    <n v="15129.645674103154"/>
    <n v="131511.53547489663"/>
    <n v="35"/>
    <n v="131546.53547489663"/>
    <m/>
    <n v="131546.53547489663"/>
    <n v="131546.54"/>
    <n v="10450100"/>
    <m/>
    <m/>
    <n v="0"/>
    <n v="131547.0795568983"/>
    <n v="10450100"/>
    <x v="3"/>
    <n v="10000"/>
    <n v="141547.0795568983"/>
    <n v="794400"/>
    <n v="11244500"/>
    <s v="Хит"/>
    <m/>
    <x v="1"/>
    <x v="1"/>
    <b v="1"/>
    <s v="АГ-005-Г-19-07-539"/>
    <m/>
    <s v="ДА"/>
    <s v="White Box"/>
    <b v="1"/>
    <n v="11244500"/>
    <n v="0"/>
    <b v="1"/>
    <s v=" "/>
    <s v=""/>
  </r>
  <r>
    <n v="540"/>
    <x v="3"/>
    <x v="18"/>
    <x v="7"/>
    <x v="0"/>
    <n v="16.79"/>
    <m/>
    <m/>
    <n v="16.79"/>
    <n v="11.43"/>
    <n v="3.56"/>
    <m/>
    <m/>
    <n v="6.66"/>
    <n v="2.4900000000000002"/>
    <m/>
    <m/>
    <n v="2.4900000000000002"/>
    <n v="40.93"/>
    <n v="38.44"/>
    <n v="39.69"/>
    <n v="91251.5625"/>
    <n v="4562.578125"/>
    <n v="95814.140625"/>
    <n v="2874.4242187499999"/>
    <n v="98688.564843750006"/>
    <n v="4440.98541796875"/>
    <n v="103129.55026171876"/>
    <m/>
    <n v="103129.55026171876"/>
    <n v="5156.477513085938"/>
    <n v="108286.02777480469"/>
    <m/>
    <n v="108286.02777480469"/>
    <n v="1082.8602777480469"/>
    <n v="109368.88805255273"/>
    <n v="5468.4444026276369"/>
    <n v="114837.33245518037"/>
    <m/>
    <n v="114837.33245518037"/>
    <n v="3445.1199736554108"/>
    <n v="118282.45242883578"/>
    <m/>
    <n v="118282.45242883578"/>
    <m/>
    <n v="118282.45242883578"/>
    <m/>
    <n v="118282.45242883578"/>
    <m/>
    <n v="118282.45242883578"/>
    <m/>
    <n v="118282.45242883578"/>
    <m/>
    <n v="118282.45242883578"/>
    <m/>
    <n v="118282.45242883578"/>
    <n v="591.41226214417895"/>
    <n v="118873.86469097996"/>
    <m/>
    <n v="118873.86469097996"/>
    <n v="2377.4772938195993"/>
    <n v="121251.34198479955"/>
    <m/>
    <n v="121251.34198479955"/>
    <m/>
    <n v="121251.34198479955"/>
    <m/>
    <n v="121251.34198479955"/>
    <m/>
    <n v="121251.34198479955"/>
    <n v="121251.34"/>
    <n v="4812500"/>
    <m/>
    <m/>
    <n v="0"/>
    <n v="121252.20458553793"/>
    <n v="4812500"/>
    <x v="2"/>
    <n v="24000"/>
    <n v="145252.20458553793"/>
    <n v="952560"/>
    <n v="5765060"/>
    <m/>
    <m/>
    <x v="0"/>
    <x v="0"/>
    <b v="1"/>
    <s v="АГ-005-Г-19-08-540"/>
    <m/>
    <s v="ДА"/>
    <s v="Чистовая"/>
    <b v="1"/>
    <n v="5765060"/>
    <n v="0"/>
    <b v="1"/>
    <d v="2024-10-03T00:00:00"/>
    <s v="Никишов"/>
  </r>
  <r>
    <n v="541"/>
    <x v="3"/>
    <x v="19"/>
    <x v="0"/>
    <x v="2"/>
    <n v="13.74"/>
    <m/>
    <m/>
    <n v="13.74"/>
    <n v="5.84"/>
    <n v="3.76"/>
    <m/>
    <m/>
    <n v="3.73"/>
    <n v="4.6500000000000004"/>
    <m/>
    <m/>
    <n v="4.6500000000000004"/>
    <n v="31.72"/>
    <n v="27.07"/>
    <n v="29.4"/>
    <n v="96361.65"/>
    <n v="4818.0824999999995"/>
    <n v="101179.7325"/>
    <n v="3035.391975"/>
    <n v="104215.124475"/>
    <n v="9379.3612027500003"/>
    <n v="113594.48567775001"/>
    <m/>
    <n v="113594.48567775001"/>
    <m/>
    <n v="113594.48567775001"/>
    <m/>
    <n v="113594.48567775001"/>
    <n v="1135.9448567775"/>
    <n v="114730.43053452751"/>
    <n v="5736.5215267263757"/>
    <n v="120466.95206125388"/>
    <m/>
    <n v="120466.95206125388"/>
    <n v="3614.0085618376161"/>
    <n v="124080.96062309149"/>
    <m/>
    <n v="124080.96062309149"/>
    <m/>
    <n v="124080.96062309149"/>
    <m/>
    <n v="124080.96062309149"/>
    <n v="1240.8096062309151"/>
    <n v="125321.77022932241"/>
    <m/>
    <n v="125321.77022932241"/>
    <m/>
    <n v="125321.77022932241"/>
    <m/>
    <n v="125321.77022932241"/>
    <n v="1879.8265534398361"/>
    <n v="127201.59678276225"/>
    <m/>
    <n v="127201.59678276225"/>
    <m/>
    <n v="127201.59678276225"/>
    <m/>
    <n v="127201.59678276225"/>
    <m/>
    <n v="127201.59678276225"/>
    <m/>
    <n v="127201.59678276225"/>
    <m/>
    <n v="127201.59678276225"/>
    <n v="127201.60000000001"/>
    <n v="3739800"/>
    <m/>
    <m/>
    <n v="0"/>
    <n v="127204.08163265306"/>
    <n v="3739800"/>
    <x v="3"/>
    <n v="8000"/>
    <n v="135204.08163265308"/>
    <n v="235200.00000000047"/>
    <n v="3975000.0000000005"/>
    <m/>
    <m/>
    <x v="0"/>
    <x v="0"/>
    <b v="1"/>
    <s v="АГ-005-Г-20-01-541"/>
    <m/>
    <s v="ДА"/>
    <s v="White Box"/>
    <b v="1"/>
    <n v="3975000"/>
    <n v="-4.6566128730773926E-10"/>
    <b v="1"/>
    <d v="2024-10-03T00:00:00"/>
    <s v="Дик"/>
  </r>
  <r>
    <n v="542"/>
    <x v="3"/>
    <x v="19"/>
    <x v="1"/>
    <x v="0"/>
    <n v="13.17"/>
    <m/>
    <m/>
    <n v="13.17"/>
    <n v="16.940000000000001"/>
    <n v="3.55"/>
    <n v="2.41"/>
    <m/>
    <n v="5.8"/>
    <n v="2.68"/>
    <m/>
    <m/>
    <n v="2.68"/>
    <n v="44.55"/>
    <n v="41.87"/>
    <n v="43.21"/>
    <n v="91657.125"/>
    <n v="4582.8562499999998"/>
    <n v="96239.981249999997"/>
    <n v="2887.1994374999999"/>
    <n v="99127.180687500004"/>
    <n v="991.27180687500004"/>
    <n v="100118.452494375"/>
    <m/>
    <n v="100118.452494375"/>
    <n v="5005.9226247187507"/>
    <n v="105124.37511909375"/>
    <m/>
    <n v="105124.37511909375"/>
    <n v="1051.2437511909375"/>
    <n v="106175.61887028468"/>
    <n v="5308.7809435142344"/>
    <n v="111484.39981379893"/>
    <m/>
    <n v="111484.39981379893"/>
    <n v="3344.5319944139678"/>
    <n v="114828.93180821289"/>
    <n v="500"/>
    <n v="115328.93180821289"/>
    <m/>
    <n v="115328.93180821289"/>
    <m/>
    <n v="115328.93180821289"/>
    <m/>
    <n v="115328.93180821289"/>
    <n v="1153.2893180821288"/>
    <n v="116482.22112629501"/>
    <m/>
    <n v="116482.22112629501"/>
    <m/>
    <n v="116482.22112629501"/>
    <n v="2912.0555281573756"/>
    <n v="119394.27665445239"/>
    <m/>
    <n v="119394.27665445239"/>
    <m/>
    <n v="119394.27665445239"/>
    <n v="9551.5421323561914"/>
    <n v="128945.81878680858"/>
    <n v="16762.956442285114"/>
    <n v="145708.77522909371"/>
    <n v="35"/>
    <n v="145743.77522909371"/>
    <m/>
    <n v="145743.77522909371"/>
    <n v="145743.78"/>
    <n v="6297600"/>
    <n v="525600"/>
    <m/>
    <n v="525600"/>
    <n v="133580.18977088635"/>
    <n v="5772000"/>
    <x v="1"/>
    <m/>
    <n v="133580.18977088635"/>
    <n v="0"/>
    <n v="5771999.9999999991"/>
    <m/>
    <s v="Большие скидки на маленькие квартиры"/>
    <x v="0"/>
    <x v="0"/>
    <b v="1"/>
    <s v="АГ-005-Г-20-02-542"/>
    <m/>
    <s v="ДА"/>
    <s v="Черновая"/>
    <b v="1"/>
    <n v="5772000"/>
    <n v="9.3132257461547852E-10"/>
    <b v="1"/>
    <s v=" "/>
    <s v=""/>
  </r>
  <r>
    <n v="543"/>
    <x v="3"/>
    <x v="19"/>
    <x v="2"/>
    <x v="2"/>
    <n v="7.2"/>
    <m/>
    <m/>
    <n v="7.2"/>
    <n v="5.17"/>
    <n v="3.71"/>
    <m/>
    <m/>
    <n v="6.96"/>
    <n v="2.92"/>
    <m/>
    <m/>
    <n v="2.92"/>
    <n v="25.96"/>
    <n v="23.04"/>
    <n v="24.5"/>
    <n v="98113.68"/>
    <n v="4905.6840000000002"/>
    <n v="103019.36399999999"/>
    <n v="3090.5809199999994"/>
    <n v="106109.94491999998"/>
    <n v="9549.8950427999971"/>
    <n v="115659.83996279998"/>
    <m/>
    <n v="115659.83996279998"/>
    <m/>
    <n v="115659.83996279998"/>
    <m/>
    <n v="115659.83996279998"/>
    <n v="1156.5983996279997"/>
    <n v="116816.43836242797"/>
    <n v="5840.821918121399"/>
    <n v="122657.26028054937"/>
    <m/>
    <n v="122657.26028054937"/>
    <n v="3679.7178084164807"/>
    <n v="126336.97808896584"/>
    <m/>
    <n v="126336.97808896584"/>
    <m/>
    <n v="126336.97808896584"/>
    <m/>
    <n v="126336.97808896584"/>
    <n v="1263.3697808896584"/>
    <n v="127600.3478698555"/>
    <m/>
    <n v="127600.3478698555"/>
    <n v="638.0017393492775"/>
    <n v="128238.34960920477"/>
    <m/>
    <n v="128238.34960920477"/>
    <n v="3205.9587402301195"/>
    <n v="131444.3083494349"/>
    <m/>
    <n v="131444.3083494349"/>
    <m/>
    <n v="131444.3083494349"/>
    <n v="5257.7723339773956"/>
    <n v="136702.08068341229"/>
    <n v="17771.270488843598"/>
    <n v="154473.35117225588"/>
    <n v="35"/>
    <n v="154508.35117225588"/>
    <m/>
    <n v="154508.35117225588"/>
    <n v="154508.35"/>
    <n v="3785500"/>
    <m/>
    <m/>
    <n v="0"/>
    <n v="154510.20408163266"/>
    <n v="3785500"/>
    <x v="1"/>
    <m/>
    <n v="154510.20408163266"/>
    <n v="0"/>
    <n v="3785500"/>
    <m/>
    <m/>
    <x v="4"/>
    <x v="4"/>
    <b v="1"/>
    <s v="АГ-005-Г-20-03-543"/>
    <m/>
    <s v="ДА"/>
    <s v="Черновая"/>
    <b v="1"/>
    <n v="3785500"/>
    <n v="0"/>
    <b v="1"/>
    <s v=" "/>
    <s v=""/>
  </r>
  <r>
    <n v="544"/>
    <x v="3"/>
    <x v="19"/>
    <x v="3"/>
    <x v="1"/>
    <n v="14.48"/>
    <n v="11.42"/>
    <m/>
    <n v="25.9"/>
    <n v="15.86"/>
    <n v="3.01"/>
    <n v="2.67"/>
    <m/>
    <n v="9.44"/>
    <n v="2.72"/>
    <m/>
    <m/>
    <n v="2.72"/>
    <n v="59.6"/>
    <n v="56.88"/>
    <n v="58.24"/>
    <n v="85713.201000000001"/>
    <n v="4285.6600500000004"/>
    <n v="89998.861050000007"/>
    <n v="2699.9658315000001"/>
    <n v="92698.826881500005"/>
    <m/>
    <n v="92698.826881500005"/>
    <m/>
    <n v="92698.826881500005"/>
    <m/>
    <n v="92698.826881500005"/>
    <m/>
    <n v="92698.826881500005"/>
    <n v="926.98826881500008"/>
    <n v="93625.815150315"/>
    <n v="4681.2907575157506"/>
    <n v="98307.105907830744"/>
    <m/>
    <n v="98307.105907830744"/>
    <n v="1966.142118156615"/>
    <n v="100273.24802598736"/>
    <m/>
    <n v="100273.24802598736"/>
    <n v="2005.4649605197471"/>
    <n v="102278.7129865071"/>
    <m/>
    <n v="102278.7129865071"/>
    <n v="1022.7871298650711"/>
    <n v="103301.50011637218"/>
    <m/>
    <n v="103301.50011637218"/>
    <m/>
    <n v="103301.50011637218"/>
    <m/>
    <n v="103301.50011637218"/>
    <n v="1549.5225017455825"/>
    <n v="104851.02261811776"/>
    <m/>
    <n v="104851.02261811776"/>
    <n v="4194.0409047247103"/>
    <n v="109045.06352284247"/>
    <n v="6542.7038113705476"/>
    <n v="115587.76733421301"/>
    <n v="15026.409753447693"/>
    <n v="130614.1770876607"/>
    <n v="35"/>
    <n v="130649.1770876607"/>
    <m/>
    <n v="130649.1770876607"/>
    <n v="130649.18"/>
    <n v="7609100"/>
    <m/>
    <m/>
    <n v="0"/>
    <n v="130650.75549450549"/>
    <n v="7609100"/>
    <x v="1"/>
    <m/>
    <n v="130650.75549450549"/>
    <n v="0"/>
    <n v="7609100"/>
    <m/>
    <m/>
    <x v="1"/>
    <x v="1"/>
    <b v="1"/>
    <s v="АГ-005-Г-20-04-544"/>
    <m/>
    <s v="ДА"/>
    <s v="Черновая"/>
    <b v="1"/>
    <n v="7609100"/>
    <n v="0"/>
    <b v="1"/>
    <s v=" "/>
    <s v=""/>
  </r>
  <r>
    <n v="545"/>
    <x v="3"/>
    <x v="19"/>
    <x v="4"/>
    <x v="1"/>
    <n v="15.41"/>
    <n v="12.78"/>
    <m/>
    <n v="28.189999999999998"/>
    <n v="13.45"/>
    <n v="3.7"/>
    <n v="2.72"/>
    <m/>
    <n v="8.2200000000000006"/>
    <n v="3.03"/>
    <m/>
    <m/>
    <n v="3.03"/>
    <n v="59.31"/>
    <n v="56.28"/>
    <n v="57.8"/>
    <n v="85327.105500000005"/>
    <n v="4266.3552750000008"/>
    <n v="89593.460775"/>
    <n v="2687.8038232499998"/>
    <n v="92281.264598249996"/>
    <m/>
    <n v="92281.264598249996"/>
    <m/>
    <n v="92281.264598249996"/>
    <m/>
    <n v="92281.264598249996"/>
    <m/>
    <n v="92281.264598249996"/>
    <n v="922.81264598249993"/>
    <n v="93204.077244232496"/>
    <n v="4660.2038622116252"/>
    <n v="97864.281106444119"/>
    <m/>
    <n v="97864.281106444119"/>
    <n v="1957.2856221288823"/>
    <n v="99821.566728573001"/>
    <m/>
    <n v="99821.566728573001"/>
    <n v="1996.4313345714602"/>
    <n v="101817.99806314446"/>
    <m/>
    <n v="101817.99806314446"/>
    <n v="1018.1799806314447"/>
    <n v="102836.1780437759"/>
    <m/>
    <n v="102836.1780437759"/>
    <m/>
    <n v="102836.1780437759"/>
    <m/>
    <n v="102836.1780437759"/>
    <n v="1542.5426706566384"/>
    <n v="104378.72071443254"/>
    <n v="500"/>
    <n v="104878.72071443254"/>
    <n v="4195.1488285773012"/>
    <n v="109073.86954300985"/>
    <n v="6544.4321725805903"/>
    <n v="115618.30171559044"/>
    <n v="15030.379223026757"/>
    <n v="130648.6809386172"/>
    <n v="35"/>
    <n v="130683.6809386172"/>
    <m/>
    <n v="130683.6809386172"/>
    <n v="130683.68"/>
    <n v="7553600"/>
    <m/>
    <m/>
    <n v="0"/>
    <n v="130685.12110726644"/>
    <n v="7553600"/>
    <x v="1"/>
    <m/>
    <n v="130685.12110726644"/>
    <n v="0"/>
    <n v="7553600"/>
    <m/>
    <m/>
    <x v="1"/>
    <x v="1"/>
    <b v="1"/>
    <s v="АГ-005-Г-20-05-545"/>
    <m/>
    <s v="ДА"/>
    <s v="Черновая"/>
    <b v="1"/>
    <n v="7553600"/>
    <n v="0"/>
    <b v="1"/>
    <s v=" "/>
    <s v=""/>
  </r>
  <r>
    <n v="546"/>
    <x v="3"/>
    <x v="19"/>
    <x v="5"/>
    <x v="0"/>
    <n v="12.71"/>
    <m/>
    <m/>
    <n v="12.71"/>
    <n v="12.55"/>
    <n v="4.28"/>
    <m/>
    <m/>
    <n v="7.34"/>
    <n v="2.84"/>
    <m/>
    <m/>
    <n v="2.84"/>
    <n v="39.72"/>
    <n v="36.880000000000003"/>
    <n v="38.299999999999997"/>
    <n v="94090.5"/>
    <n v="4704.5250000000005"/>
    <n v="98795.024999999994"/>
    <n v="2963.8507499999996"/>
    <n v="101758.87574999999"/>
    <n v="1017.5887574999999"/>
    <n v="102776.46450749999"/>
    <m/>
    <n v="102776.46450749999"/>
    <n v="5138.8232253749993"/>
    <n v="107915.28773287499"/>
    <m/>
    <n v="107915.28773287499"/>
    <n v="1079.1528773287498"/>
    <n v="108994.44061020373"/>
    <n v="5449.7220305101873"/>
    <n v="114444.16264071391"/>
    <m/>
    <n v="114444.16264071391"/>
    <n v="3433.3248792214172"/>
    <n v="117877.48751993533"/>
    <m/>
    <n v="117877.48751993533"/>
    <m/>
    <n v="117877.48751993533"/>
    <m/>
    <n v="117877.48751993533"/>
    <m/>
    <n v="117877.48751993533"/>
    <m/>
    <n v="117877.48751993533"/>
    <m/>
    <n v="117877.48751993533"/>
    <m/>
    <n v="117877.48751993533"/>
    <m/>
    <n v="117877.48751993533"/>
    <m/>
    <n v="117877.48751993533"/>
    <m/>
    <n v="117877.48751993533"/>
    <m/>
    <n v="117877.48751993533"/>
    <m/>
    <n v="117877.48751993533"/>
    <m/>
    <n v="117877.48751993533"/>
    <m/>
    <n v="117877.48751993533"/>
    <n v="117877.49"/>
    <n v="4514800"/>
    <m/>
    <m/>
    <n v="0"/>
    <n v="117879.89556135771"/>
    <n v="4514800"/>
    <x v="3"/>
    <n v="7000"/>
    <n v="124879.89556135771"/>
    <n v="268100"/>
    <n v="4782900"/>
    <m/>
    <m/>
    <x v="0"/>
    <x v="0"/>
    <b v="1"/>
    <s v="АГ-005-Г-20-06-546"/>
    <m/>
    <s v="ДА"/>
    <s v="White Box"/>
    <b v="1"/>
    <n v="4782900"/>
    <n v="0"/>
    <b v="1"/>
    <d v="2024-06-22T00:00:00"/>
    <s v="Голенко"/>
  </r>
  <r>
    <n v="547"/>
    <x v="3"/>
    <x v="19"/>
    <x v="6"/>
    <x v="3"/>
    <n v="14.49"/>
    <n v="13.98"/>
    <n v="11.42"/>
    <n v="39.89"/>
    <n v="16.670000000000002"/>
    <n v="4.1399999999999997"/>
    <n v="1.89"/>
    <m/>
    <n v="11.31"/>
    <n v="2.86"/>
    <n v="2.79"/>
    <n v="5.42"/>
    <n v="11.07"/>
    <n v="84.97"/>
    <n v="73.900000000000006"/>
    <n v="79.44"/>
    <n v="83513.430000000022"/>
    <m/>
    <n v="83513.430000000022"/>
    <m/>
    <n v="83513.430000000022"/>
    <m/>
    <n v="83513.430000000022"/>
    <m/>
    <n v="83513.430000000022"/>
    <m/>
    <n v="83513.430000000022"/>
    <m/>
    <n v="83513.430000000022"/>
    <m/>
    <n v="83513.430000000022"/>
    <m/>
    <n v="83513.430000000022"/>
    <m/>
    <n v="83513.430000000022"/>
    <m/>
    <n v="83513.430000000022"/>
    <m/>
    <n v="83513.430000000022"/>
    <m/>
    <n v="83513.430000000022"/>
    <m/>
    <n v="83513.430000000022"/>
    <m/>
    <n v="83513.430000000022"/>
    <m/>
    <n v="83513.430000000022"/>
    <m/>
    <n v="83513.430000000022"/>
    <m/>
    <n v="83513.430000000022"/>
    <m/>
    <n v="83513.430000000022"/>
    <m/>
    <n v="83513.430000000022"/>
    <m/>
    <n v="83513.430000000022"/>
    <m/>
    <n v="83513.430000000022"/>
    <m/>
    <n v="83513.430000000022"/>
    <m/>
    <n v="83513.430000000022"/>
    <m/>
    <n v="83513.430000000022"/>
    <n v="83513.429999999993"/>
    <n v="6634306.8799999999"/>
    <m/>
    <m/>
    <n v="0"/>
    <n v="83513.4300100705"/>
    <n v="6634306.8799999999"/>
    <x v="2"/>
    <n v="15500"/>
    <n v="99013.4300100705"/>
    <n v="1231320"/>
    <n v="7865626.8799999999"/>
    <s v="Хит"/>
    <m/>
    <x v="0"/>
    <x v="0"/>
    <b v="1"/>
    <s v="АГ-005-Г-20-07-547"/>
    <m/>
    <s v="НЕТ"/>
    <s v="Чистовая"/>
    <b v="1"/>
    <n v="7865626.8799999999"/>
    <n v="0"/>
    <b v="1"/>
    <d v="2023-09-26T00:00:00"/>
    <s v="Кофанова"/>
  </r>
  <r>
    <n v="548"/>
    <x v="3"/>
    <x v="19"/>
    <x v="7"/>
    <x v="0"/>
    <n v="16.79"/>
    <m/>
    <m/>
    <n v="16.79"/>
    <n v="11.43"/>
    <n v="3.56"/>
    <m/>
    <m/>
    <n v="6.66"/>
    <n v="2.4900000000000002"/>
    <m/>
    <m/>
    <n v="2.4900000000000002"/>
    <n v="40.93"/>
    <n v="38.44"/>
    <n v="39.69"/>
    <n v="92873.8125"/>
    <n v="4643.6906250000002"/>
    <n v="97517.503125000003"/>
    <n v="2925.52509375"/>
    <n v="100443.02821875"/>
    <n v="4519.9362698437499"/>
    <n v="104962.96448859375"/>
    <m/>
    <n v="104962.96448859375"/>
    <n v="5248.1482244296876"/>
    <n v="110211.11271302344"/>
    <m/>
    <n v="110211.11271302344"/>
    <n v="1102.1111271302343"/>
    <n v="111313.22384015367"/>
    <n v="5565.6611920076839"/>
    <n v="116878.88503216136"/>
    <m/>
    <n v="116878.88503216136"/>
    <n v="3506.3665509648404"/>
    <n v="120385.2515831262"/>
    <m/>
    <n v="120385.2515831262"/>
    <m/>
    <n v="120385.2515831262"/>
    <m/>
    <n v="120385.2515831262"/>
    <m/>
    <n v="120385.2515831262"/>
    <m/>
    <n v="120385.2515831262"/>
    <m/>
    <n v="120385.2515831262"/>
    <m/>
    <n v="120385.2515831262"/>
    <m/>
    <n v="120385.2515831262"/>
    <m/>
    <n v="120385.2515831262"/>
    <m/>
    <n v="120385.2515831262"/>
    <m/>
    <n v="120385.2515831262"/>
    <m/>
    <n v="120385.2515831262"/>
    <m/>
    <n v="120385.2515831262"/>
    <m/>
    <n v="120385.2515831262"/>
    <n v="120385.25"/>
    <n v="4778100"/>
    <n v="88888"/>
    <m/>
    <n v="88888"/>
    <n v="118145.93096497859"/>
    <n v="4689212"/>
    <x v="1"/>
    <m/>
    <n v="118145.93096497859"/>
    <n v="0"/>
    <n v="4689212"/>
    <m/>
    <s v="Весна"/>
    <x v="0"/>
    <x v="0"/>
    <b v="1"/>
    <s v="АГ-005-Г-20-08-548"/>
    <m/>
    <s v="ДА"/>
    <s v="Черновая"/>
    <b v="1"/>
    <n v="4689212"/>
    <n v="0"/>
    <b v="1"/>
    <d v="2024-03-26T00:00:00"/>
    <s v="Никишов"/>
  </r>
  <r>
    <n v="549"/>
    <x v="3"/>
    <x v="20"/>
    <x v="0"/>
    <x v="2"/>
    <n v="13.74"/>
    <m/>
    <m/>
    <n v="13.74"/>
    <n v="5.84"/>
    <n v="3.76"/>
    <m/>
    <m/>
    <n v="3.73"/>
    <n v="4.6500000000000004"/>
    <m/>
    <m/>
    <n v="4.6500000000000004"/>
    <n v="31.72"/>
    <n v="27.07"/>
    <n v="29.4"/>
    <n v="96361.65"/>
    <n v="4818.0824999999995"/>
    <n v="101179.7325"/>
    <n v="3035.391975"/>
    <n v="104215.124475"/>
    <n v="9379.3612027500003"/>
    <n v="113594.48567775001"/>
    <m/>
    <n v="113594.48567775001"/>
    <m/>
    <n v="113594.48567775001"/>
    <m/>
    <n v="113594.48567775001"/>
    <n v="1135.9448567775"/>
    <n v="114730.43053452751"/>
    <n v="5736.5215267263757"/>
    <n v="120466.95206125388"/>
    <m/>
    <n v="120466.95206125388"/>
    <n v="3614.0085618376161"/>
    <n v="124080.96062309149"/>
    <m/>
    <n v="124080.96062309149"/>
    <m/>
    <n v="124080.96062309149"/>
    <m/>
    <n v="124080.96062309149"/>
    <m/>
    <n v="124080.96062309149"/>
    <m/>
    <n v="124080.96062309149"/>
    <m/>
    <n v="124080.96062309149"/>
    <m/>
    <n v="124080.96062309149"/>
    <m/>
    <n v="124080.96062309149"/>
    <m/>
    <n v="124080.96062309149"/>
    <m/>
    <n v="124080.96062309149"/>
    <m/>
    <n v="124080.96062309149"/>
    <m/>
    <n v="124080.96062309149"/>
    <m/>
    <n v="124080.96062309149"/>
    <m/>
    <n v="124080.96062309149"/>
    <n v="124080.96000000001"/>
    <n v="3648000"/>
    <m/>
    <m/>
    <n v="0"/>
    <n v="124081.63265306123"/>
    <n v="3648000"/>
    <x v="2"/>
    <n v="20000"/>
    <n v="144081.63265306124"/>
    <n v="588000"/>
    <n v="4236000"/>
    <m/>
    <m/>
    <x v="0"/>
    <x v="0"/>
    <b v="1"/>
    <s v="АГ-005-Г-21-01-549"/>
    <m/>
    <s v="ДА"/>
    <s v="Чистовая"/>
    <b v="1"/>
    <n v="4236000"/>
    <n v="0"/>
    <b v="1"/>
    <d v="2024-05-24T00:00:00"/>
    <s v="Калачева"/>
  </r>
  <r>
    <n v="550"/>
    <x v="3"/>
    <x v="20"/>
    <x v="1"/>
    <x v="0"/>
    <n v="13.17"/>
    <m/>
    <m/>
    <n v="13.17"/>
    <n v="16.940000000000001"/>
    <n v="3.55"/>
    <n v="2.41"/>
    <m/>
    <n v="5.8"/>
    <n v="2.68"/>
    <m/>
    <m/>
    <n v="2.68"/>
    <n v="44.55"/>
    <n v="41.87"/>
    <n v="43.21"/>
    <n v="91657.125"/>
    <n v="4582.8562499999998"/>
    <n v="96239.981249999997"/>
    <n v="2887.1994374999999"/>
    <n v="99127.180687500004"/>
    <n v="991.27180687500004"/>
    <n v="100118.452494375"/>
    <m/>
    <n v="100118.452494375"/>
    <n v="5005.9226247187507"/>
    <n v="105124.37511909375"/>
    <m/>
    <n v="105124.37511909375"/>
    <n v="1051.2437511909375"/>
    <n v="106175.61887028468"/>
    <n v="5308.7809435142344"/>
    <n v="111484.39981379893"/>
    <m/>
    <n v="111484.39981379893"/>
    <n v="3344.5319944139678"/>
    <n v="114828.93180821289"/>
    <n v="500"/>
    <n v="115328.93180821289"/>
    <m/>
    <n v="115328.93180821289"/>
    <m/>
    <n v="115328.93180821289"/>
    <m/>
    <n v="115328.93180821289"/>
    <n v="1153.2893180821288"/>
    <n v="116482.22112629501"/>
    <m/>
    <n v="116482.22112629501"/>
    <m/>
    <n v="116482.22112629501"/>
    <n v="2912.0555281573756"/>
    <n v="119394.27665445239"/>
    <m/>
    <n v="119394.27665445239"/>
    <m/>
    <n v="119394.27665445239"/>
    <m/>
    <n v="119394.27665445239"/>
    <m/>
    <n v="119394.27665445239"/>
    <m/>
    <n v="119394.27665445239"/>
    <m/>
    <n v="119394.27665445239"/>
    <n v="119394.28"/>
    <n v="5159100"/>
    <m/>
    <n v="0.02"/>
    <n v="103182"/>
    <n v="117008.05369127517"/>
    <n v="5055918"/>
    <x v="1"/>
    <m/>
    <n v="117008.05369127517"/>
    <n v="0"/>
    <n v="5055918"/>
    <m/>
    <s v="Скидка иногородним"/>
    <x v="0"/>
    <x v="0"/>
    <b v="1"/>
    <s v="АГ-005-Г-21-02-550"/>
    <m/>
    <s v="ДА"/>
    <s v="Черновая"/>
    <b v="1"/>
    <n v="5055918"/>
    <n v="0"/>
    <b v="1"/>
    <d v="2024-10-23T00:00:00"/>
    <s v="Дик"/>
  </r>
  <r>
    <n v="551"/>
    <x v="3"/>
    <x v="20"/>
    <x v="2"/>
    <x v="2"/>
    <n v="7.2"/>
    <m/>
    <m/>
    <n v="7.2"/>
    <n v="5.17"/>
    <n v="3.71"/>
    <m/>
    <m/>
    <n v="6.96"/>
    <n v="2.92"/>
    <m/>
    <m/>
    <n v="2.92"/>
    <n v="25.96"/>
    <n v="23.04"/>
    <n v="24.5"/>
    <n v="98113.68"/>
    <n v="4905.6840000000002"/>
    <n v="103019.36399999999"/>
    <n v="3090.5809199999994"/>
    <n v="106109.94491999998"/>
    <n v="9549.8950427999971"/>
    <n v="115659.83996279998"/>
    <m/>
    <n v="115659.83996279998"/>
    <m/>
    <n v="115659.83996279998"/>
    <m/>
    <n v="115659.83996279998"/>
    <n v="1156.5983996279997"/>
    <n v="116816.43836242797"/>
    <n v="5840.821918121399"/>
    <n v="122657.26028054937"/>
    <m/>
    <n v="122657.26028054937"/>
    <n v="3679.7178084164807"/>
    <n v="126336.97808896584"/>
    <m/>
    <n v="126336.97808896584"/>
    <m/>
    <n v="126336.97808896584"/>
    <m/>
    <n v="126336.97808896584"/>
    <n v="1263.3697808896584"/>
    <n v="127600.3478698555"/>
    <m/>
    <n v="127600.3478698555"/>
    <n v="638.0017393492775"/>
    <n v="128238.34960920477"/>
    <m/>
    <n v="128238.34960920477"/>
    <n v="3205.9587402301195"/>
    <n v="131444.3083494349"/>
    <m/>
    <n v="131444.3083494349"/>
    <m/>
    <n v="131444.3083494349"/>
    <n v="5257.7723339773956"/>
    <n v="136702.08068341229"/>
    <n v="17771.270488843598"/>
    <n v="154473.35117225588"/>
    <n v="35"/>
    <n v="154508.35117225588"/>
    <m/>
    <n v="154508.35117225588"/>
    <n v="154508.35"/>
    <n v="3785500"/>
    <m/>
    <m/>
    <n v="0"/>
    <n v="154510.20408163266"/>
    <n v="3785500"/>
    <x v="1"/>
    <m/>
    <n v="154510.20408163266"/>
    <n v="0"/>
    <n v="3785500"/>
    <m/>
    <m/>
    <x v="1"/>
    <x v="1"/>
    <b v="1"/>
    <s v="АГ-005-Г-21-03-551"/>
    <m/>
    <s v="ДА"/>
    <s v="Черновая"/>
    <b v="1"/>
    <n v="3785500"/>
    <n v="0"/>
    <b v="1"/>
    <s v=" "/>
    <s v=""/>
  </r>
  <r>
    <n v="552"/>
    <x v="3"/>
    <x v="20"/>
    <x v="3"/>
    <x v="1"/>
    <n v="14.48"/>
    <n v="11.42"/>
    <m/>
    <n v="25.9"/>
    <n v="15.86"/>
    <n v="3.01"/>
    <n v="2.67"/>
    <m/>
    <n v="9.44"/>
    <n v="2.72"/>
    <m/>
    <m/>
    <n v="2.72"/>
    <n v="59.6"/>
    <n v="56.88"/>
    <n v="58.24"/>
    <n v="85713.201000000001"/>
    <n v="4285.6600500000004"/>
    <n v="89998.861050000007"/>
    <n v="2699.9658315000001"/>
    <n v="92698.826881500005"/>
    <m/>
    <n v="92698.826881500005"/>
    <m/>
    <n v="92698.826881500005"/>
    <m/>
    <n v="92698.826881500005"/>
    <m/>
    <n v="92698.826881500005"/>
    <n v="926.98826881500008"/>
    <n v="93625.815150315"/>
    <n v="4681.2907575157506"/>
    <n v="98307.105907830744"/>
    <m/>
    <n v="98307.105907830744"/>
    <n v="1966.142118156615"/>
    <n v="100273.24802598736"/>
    <m/>
    <n v="100273.24802598736"/>
    <n v="2005.4649605197471"/>
    <n v="102278.7129865071"/>
    <m/>
    <n v="102278.7129865071"/>
    <n v="1022.7871298650711"/>
    <n v="103301.50011637218"/>
    <m/>
    <n v="103301.50011637218"/>
    <m/>
    <n v="103301.50011637218"/>
    <m/>
    <n v="103301.50011637218"/>
    <n v="1549.5225017455825"/>
    <n v="104851.02261811776"/>
    <m/>
    <n v="104851.02261811776"/>
    <n v="4194.0409047247103"/>
    <n v="109045.06352284247"/>
    <n v="6542.7038113705476"/>
    <n v="115587.76733421301"/>
    <n v="15026.409753447693"/>
    <n v="130614.1770876607"/>
    <n v="35"/>
    <n v="130649.1770876607"/>
    <m/>
    <n v="130649.1770876607"/>
    <n v="130649.18"/>
    <n v="7609100"/>
    <m/>
    <m/>
    <n v="0"/>
    <n v="130650.75549450549"/>
    <n v="7609100"/>
    <x v="3"/>
    <n v="10000"/>
    <n v="140650.75549450549"/>
    <n v="582400"/>
    <n v="8191500"/>
    <m/>
    <m/>
    <x v="1"/>
    <x v="1"/>
    <b v="1"/>
    <s v="АГ-005-Г-21-04-552"/>
    <m/>
    <s v="ДА"/>
    <s v="White Box"/>
    <b v="1"/>
    <n v="8191500"/>
    <n v="0"/>
    <b v="1"/>
    <s v=" "/>
    <s v=""/>
  </r>
  <r>
    <n v="553"/>
    <x v="3"/>
    <x v="20"/>
    <x v="4"/>
    <x v="1"/>
    <n v="15.41"/>
    <n v="12.78"/>
    <m/>
    <n v="28.189999999999998"/>
    <n v="13.45"/>
    <n v="3.7"/>
    <n v="2.72"/>
    <m/>
    <n v="8.2200000000000006"/>
    <n v="3.03"/>
    <m/>
    <m/>
    <n v="3.03"/>
    <n v="59.31"/>
    <n v="56.28"/>
    <n v="57.8"/>
    <n v="85327.105500000005"/>
    <n v="4266.3552750000008"/>
    <n v="89593.460775"/>
    <n v="2687.8038232499998"/>
    <n v="92281.264598249996"/>
    <m/>
    <n v="92281.264598249996"/>
    <m/>
    <n v="92281.264598249996"/>
    <m/>
    <n v="92281.264598249996"/>
    <m/>
    <n v="92281.264598249996"/>
    <n v="922.81264598249993"/>
    <n v="93204.077244232496"/>
    <n v="4660.2038622116252"/>
    <n v="97864.281106444119"/>
    <m/>
    <n v="97864.281106444119"/>
    <n v="1957.2856221288823"/>
    <n v="99821.566728573001"/>
    <m/>
    <n v="99821.566728573001"/>
    <n v="1996.4313345714602"/>
    <n v="101817.99806314446"/>
    <m/>
    <n v="101817.99806314446"/>
    <n v="1018.1799806314447"/>
    <n v="102836.1780437759"/>
    <m/>
    <n v="102836.1780437759"/>
    <m/>
    <n v="102836.1780437759"/>
    <m/>
    <n v="102836.1780437759"/>
    <n v="1542.5426706566384"/>
    <n v="104378.72071443254"/>
    <n v="500"/>
    <n v="104878.72071443254"/>
    <n v="4195.1488285773012"/>
    <n v="109073.86954300985"/>
    <n v="6544.4321725805903"/>
    <n v="115618.30171559044"/>
    <n v="15030.379223026757"/>
    <n v="130648.6809386172"/>
    <n v="35"/>
    <n v="130683.6809386172"/>
    <m/>
    <n v="130683.6809386172"/>
    <n v="130683.68"/>
    <n v="7553600"/>
    <m/>
    <m/>
    <n v="0"/>
    <n v="130685.12110726644"/>
    <n v="7553600"/>
    <x v="1"/>
    <m/>
    <n v="130685.12110726644"/>
    <n v="0"/>
    <n v="7553600"/>
    <m/>
    <m/>
    <x v="4"/>
    <x v="4"/>
    <b v="1"/>
    <s v="АГ-005-Г-21-05-553"/>
    <m/>
    <s v="ДА"/>
    <s v="Черновая"/>
    <b v="1"/>
    <n v="7553600"/>
    <n v="0"/>
    <b v="1"/>
    <s v=" "/>
    <s v=""/>
  </r>
  <r>
    <n v="554"/>
    <x v="3"/>
    <x v="20"/>
    <x v="5"/>
    <x v="0"/>
    <n v="12.71"/>
    <m/>
    <m/>
    <n v="12.71"/>
    <n v="12.55"/>
    <n v="4.28"/>
    <m/>
    <m/>
    <n v="7.34"/>
    <n v="2.84"/>
    <m/>
    <m/>
    <n v="2.84"/>
    <n v="39.72"/>
    <n v="36.880000000000003"/>
    <n v="38.299999999999997"/>
    <n v="94090.5"/>
    <n v="4704.5250000000005"/>
    <n v="98795.024999999994"/>
    <n v="2963.8507499999996"/>
    <n v="101758.87574999999"/>
    <n v="1017.5887574999999"/>
    <n v="102776.46450749999"/>
    <m/>
    <n v="102776.46450749999"/>
    <n v="5138.8232253749993"/>
    <n v="107915.28773287499"/>
    <m/>
    <n v="107915.28773287499"/>
    <n v="1079.1528773287498"/>
    <n v="108994.44061020373"/>
    <n v="5449.7220305101873"/>
    <n v="114444.16264071391"/>
    <m/>
    <n v="114444.16264071391"/>
    <n v="3433.3248792214172"/>
    <n v="117877.48751993533"/>
    <m/>
    <n v="117877.48751993533"/>
    <m/>
    <n v="117877.48751993533"/>
    <m/>
    <n v="117877.48751993533"/>
    <m/>
    <n v="117877.48751993533"/>
    <n v="1178.7748751993533"/>
    <n v="119056.26239513468"/>
    <n v="595.28131197567336"/>
    <n v="119651.54370711035"/>
    <m/>
    <n v="119651.54370711035"/>
    <n v="2991.288592677759"/>
    <n v="122642.8322997881"/>
    <m/>
    <n v="122642.8322997881"/>
    <n v="2452.8566459957619"/>
    <n v="125095.68894578387"/>
    <n v="6254.7844472891938"/>
    <n v="131350.47339307307"/>
    <n v="17075.561541099501"/>
    <n v="148426.03493417258"/>
    <n v="35"/>
    <n v="148461.03493417258"/>
    <m/>
    <n v="148461.03493417258"/>
    <n v="148461.03"/>
    <n v="5686100"/>
    <m/>
    <m/>
    <n v="0"/>
    <n v="148462.14099216711"/>
    <n v="5686100"/>
    <x v="1"/>
    <m/>
    <n v="148462.14099216711"/>
    <n v="0"/>
    <n v="5686100"/>
    <m/>
    <m/>
    <x v="1"/>
    <x v="1"/>
    <b v="1"/>
    <s v="АГ-005-Г-21-06-554"/>
    <m/>
    <s v="ДА"/>
    <s v="Черновая"/>
    <b v="1"/>
    <n v="5686100"/>
    <n v="0"/>
    <b v="1"/>
    <s v=" "/>
    <s v=""/>
  </r>
  <r>
    <n v="555"/>
    <x v="3"/>
    <x v="20"/>
    <x v="6"/>
    <x v="3"/>
    <n v="14.49"/>
    <n v="13.98"/>
    <n v="11.42"/>
    <n v="39.89"/>
    <n v="16.670000000000002"/>
    <n v="4.1399999999999997"/>
    <n v="1.89"/>
    <m/>
    <n v="11.31"/>
    <n v="2.86"/>
    <n v="2.79"/>
    <n v="5.42"/>
    <n v="11.07"/>
    <n v="84.97"/>
    <n v="73.900000000000006"/>
    <n v="79.44"/>
    <n v="83513.430000000022"/>
    <n v="4175.6715000000013"/>
    <n v="87689.101500000019"/>
    <n v="2630.6730450000005"/>
    <n v="90319.774545000022"/>
    <m/>
    <n v="90319.774545000022"/>
    <m/>
    <n v="90319.774545000022"/>
    <m/>
    <n v="90319.774545000022"/>
    <m/>
    <n v="90319.774545000022"/>
    <n v="903.19774545000018"/>
    <n v="91222.972290450023"/>
    <n v="4561.1486145225017"/>
    <n v="95784.120904972529"/>
    <m/>
    <n v="95784.120904972529"/>
    <n v="1915.6824180994506"/>
    <n v="97699.803323071974"/>
    <m/>
    <n v="97699.803323071974"/>
    <n v="1953.9960664614396"/>
    <n v="99653.799389533408"/>
    <n v="1000"/>
    <n v="100653.79938953341"/>
    <m/>
    <n v="100653.79938953341"/>
    <n v="2013.0759877906683"/>
    <n v="102666.87537732408"/>
    <m/>
    <n v="102666.87537732408"/>
    <n v="2053.3375075464814"/>
    <n v="104720.21288487056"/>
    <n v="2618.005322121764"/>
    <n v="107338.21820699233"/>
    <m/>
    <n v="107338.21820699233"/>
    <n v="4293.5287282796935"/>
    <n v="111631.74693527202"/>
    <n v="5581.5873467636011"/>
    <n v="117213.33428203562"/>
    <n v="15237.733456664631"/>
    <n v="132451.06773870025"/>
    <n v="35"/>
    <n v="132486.06773870025"/>
    <m/>
    <n v="132486.06773870025"/>
    <n v="132486.07"/>
    <n v="10524700"/>
    <m/>
    <m/>
    <n v="0"/>
    <n v="132486.15307150051"/>
    <n v="10524700"/>
    <x v="2"/>
    <n v="25000"/>
    <n v="157486.15307150051"/>
    <n v="1986000"/>
    <n v="12510700"/>
    <s v="Хит"/>
    <m/>
    <x v="1"/>
    <x v="1"/>
    <b v="1"/>
    <s v="АГ-005-Г-21-07-555"/>
    <m/>
    <s v="ДА"/>
    <s v="Чистовая"/>
    <b v="1"/>
    <n v="12510700"/>
    <n v="0"/>
    <b v="1"/>
    <s v=" "/>
    <s v=""/>
  </r>
  <r>
    <n v="556"/>
    <x v="3"/>
    <x v="20"/>
    <x v="7"/>
    <x v="0"/>
    <n v="16.79"/>
    <m/>
    <m/>
    <n v="16.79"/>
    <n v="11.43"/>
    <n v="3.56"/>
    <m/>
    <m/>
    <n v="6.66"/>
    <n v="2.4900000000000002"/>
    <m/>
    <m/>
    <n v="2.4900000000000002"/>
    <n v="40.93"/>
    <n v="38.44"/>
    <n v="39.69"/>
    <n v="92873.8125"/>
    <n v="4643.6906250000002"/>
    <n v="97517.503125000003"/>
    <n v="2925.52509375"/>
    <n v="100443.02821875"/>
    <n v="4519.9362698437499"/>
    <n v="104962.96448859375"/>
    <m/>
    <n v="104962.96448859375"/>
    <n v="5248.1482244296876"/>
    <n v="110211.11271302344"/>
    <m/>
    <n v="110211.11271302344"/>
    <n v="1102.1111271302343"/>
    <n v="111313.22384015367"/>
    <n v="5565.6611920076839"/>
    <n v="116878.88503216136"/>
    <m/>
    <n v="116878.88503216136"/>
    <n v="3506.3665509648404"/>
    <n v="120385.2515831262"/>
    <m/>
    <n v="120385.2515831262"/>
    <m/>
    <n v="120385.2515831262"/>
    <m/>
    <n v="120385.2515831262"/>
    <m/>
    <n v="120385.2515831262"/>
    <m/>
    <n v="120385.2515831262"/>
    <m/>
    <n v="120385.2515831262"/>
    <m/>
    <n v="120385.2515831262"/>
    <n v="601.92625791563103"/>
    <n v="120987.17784104183"/>
    <m/>
    <n v="120987.17784104183"/>
    <n v="2419.7435568208366"/>
    <n v="123406.92139786266"/>
    <n v="6170.346069893134"/>
    <n v="129577.2674677558"/>
    <n v="16845.044770808254"/>
    <n v="146422.31223856405"/>
    <n v="35"/>
    <n v="146457.31223856405"/>
    <m/>
    <n v="146457.31223856405"/>
    <n v="146457.31"/>
    <n v="5812900"/>
    <m/>
    <m/>
    <n v="0"/>
    <n v="146457.54598135551"/>
    <n v="5812900"/>
    <x v="1"/>
    <m/>
    <n v="146457.54598135551"/>
    <n v="0"/>
    <n v="5812900"/>
    <m/>
    <m/>
    <x v="1"/>
    <x v="1"/>
    <b v="1"/>
    <s v="АГ-005-Г-21-08-556"/>
    <m/>
    <s v="ДА"/>
    <s v="Черновая"/>
    <b v="1"/>
    <n v="5812900"/>
    <n v="0"/>
    <b v="1"/>
    <s v=" "/>
    <s v=""/>
  </r>
  <r>
    <n v="557"/>
    <x v="3"/>
    <x v="21"/>
    <x v="0"/>
    <x v="2"/>
    <n v="13.74"/>
    <m/>
    <m/>
    <n v="13.74"/>
    <n v="5.84"/>
    <n v="3.76"/>
    <m/>
    <m/>
    <n v="3.73"/>
    <n v="4.6500000000000004"/>
    <m/>
    <m/>
    <n v="4.6500000000000004"/>
    <n v="31.72"/>
    <n v="27.07"/>
    <n v="29.4"/>
    <n v="96361.65"/>
    <n v="4818.0824999999995"/>
    <n v="101179.7325"/>
    <n v="3035.391975"/>
    <n v="104215.124475"/>
    <n v="9379.3612027500003"/>
    <n v="113594.48567775001"/>
    <m/>
    <n v="113594.48567775001"/>
    <m/>
    <n v="113594.48567775001"/>
    <m/>
    <n v="113594.48567775001"/>
    <n v="1135.9448567775"/>
    <n v="114730.43053452751"/>
    <n v="5736.5215267263757"/>
    <n v="120466.95206125388"/>
    <m/>
    <n v="120466.95206125388"/>
    <n v="3614.0085618376161"/>
    <n v="124080.96062309149"/>
    <m/>
    <n v="124080.96062309149"/>
    <m/>
    <n v="124080.96062309149"/>
    <m/>
    <n v="124080.96062309149"/>
    <n v="1240.8096062309151"/>
    <n v="125321.77022932241"/>
    <m/>
    <n v="125321.77022932241"/>
    <m/>
    <n v="125321.77022932241"/>
    <m/>
    <n v="125321.77022932241"/>
    <n v="1879.8265534398361"/>
    <n v="127201.59678276225"/>
    <m/>
    <n v="127201.59678276225"/>
    <m/>
    <n v="127201.59678276225"/>
    <n v="5088.06387131049"/>
    <n v="132289.66065407274"/>
    <n v="17197.655885029457"/>
    <n v="149487.3165391022"/>
    <n v="35"/>
    <n v="149522.3165391022"/>
    <m/>
    <n v="149522.3165391022"/>
    <n v="149522.32"/>
    <n v="4396000"/>
    <m/>
    <m/>
    <n v="0"/>
    <n v="149523.80952380953"/>
    <n v="4396000"/>
    <x v="3"/>
    <n v="10000"/>
    <n v="159523.80952380953"/>
    <n v="294000"/>
    <n v="4690000"/>
    <m/>
    <m/>
    <x v="1"/>
    <x v="1"/>
    <b v="1"/>
    <s v="АГ-005-Г-22-01-557"/>
    <m/>
    <s v="ДА"/>
    <s v="White Box"/>
    <b v="1"/>
    <n v="4690000"/>
    <n v="0"/>
    <b v="1"/>
    <s v=" "/>
    <s v=""/>
  </r>
  <r>
    <n v="558"/>
    <x v="3"/>
    <x v="21"/>
    <x v="1"/>
    <x v="0"/>
    <n v="13.17"/>
    <m/>
    <m/>
    <n v="13.17"/>
    <n v="16.940000000000001"/>
    <n v="3.55"/>
    <n v="2.41"/>
    <m/>
    <n v="5.8"/>
    <n v="2.68"/>
    <m/>
    <m/>
    <n v="2.68"/>
    <n v="44.55"/>
    <n v="41.87"/>
    <n v="43.21"/>
    <n v="91657.125"/>
    <n v="4582.8562499999998"/>
    <n v="96239.981249999997"/>
    <n v="2887.1994374999999"/>
    <n v="99127.180687500004"/>
    <n v="991.27180687500004"/>
    <n v="100118.452494375"/>
    <m/>
    <n v="100118.452494375"/>
    <n v="5005.9226247187507"/>
    <n v="105124.37511909375"/>
    <m/>
    <n v="105124.37511909375"/>
    <m/>
    <n v="105124.37511909375"/>
    <m/>
    <n v="105124.37511909375"/>
    <m/>
    <n v="105124.37511909375"/>
    <m/>
    <n v="105124.37511909375"/>
    <m/>
    <n v="105124.37511909375"/>
    <m/>
    <n v="105124.37511909375"/>
    <m/>
    <n v="105124.37511909375"/>
    <m/>
    <n v="105124.37511909375"/>
    <m/>
    <n v="105124.37511909375"/>
    <m/>
    <n v="105124.37511909375"/>
    <m/>
    <n v="105124.37511909375"/>
    <m/>
    <n v="105124.37511909375"/>
    <m/>
    <n v="105124.37511909375"/>
    <m/>
    <n v="105124.37511909375"/>
    <m/>
    <n v="105124.37511909375"/>
    <m/>
    <n v="105124.37511909375"/>
    <m/>
    <n v="105124.37511909375"/>
    <m/>
    <n v="105124.37511909375"/>
    <n v="105124.38"/>
    <n v="4542500"/>
    <m/>
    <n v="7.0000000000000007E-2"/>
    <n v="317975.00000000006"/>
    <n v="97767.299236287901"/>
    <n v="4224525"/>
    <x v="2"/>
    <n v="22000"/>
    <n v="119767.2992362879"/>
    <n v="950620"/>
    <n v="5175145"/>
    <m/>
    <s v="Индивидуальная скидка"/>
    <x v="0"/>
    <x v="0"/>
    <b v="1"/>
    <s v="АГ-005-Г-22-02-558"/>
    <m/>
    <s v="ДА"/>
    <s v="Чистовая"/>
    <b v="1"/>
    <n v="5175145"/>
    <n v="0"/>
    <b v="1"/>
    <d v="2023-11-30T00:00:00"/>
    <s v="Никишов"/>
  </r>
  <r>
    <n v="559"/>
    <x v="3"/>
    <x v="21"/>
    <x v="2"/>
    <x v="2"/>
    <n v="7.2"/>
    <m/>
    <m/>
    <n v="7.2"/>
    <n v="5.17"/>
    <n v="3.71"/>
    <m/>
    <m/>
    <n v="6.96"/>
    <n v="2.92"/>
    <m/>
    <m/>
    <n v="2.92"/>
    <n v="25.96"/>
    <n v="23.04"/>
    <n v="24.5"/>
    <n v="98113.68"/>
    <n v="4905.6840000000002"/>
    <n v="103019.36399999999"/>
    <n v="3090.5809199999994"/>
    <n v="106109.94491999998"/>
    <n v="9549.8950427999971"/>
    <n v="115659.83996279998"/>
    <m/>
    <n v="115659.83996279998"/>
    <m/>
    <n v="115659.83996279998"/>
    <m/>
    <n v="115659.83996279998"/>
    <n v="1156.5983996279997"/>
    <n v="116816.43836242797"/>
    <n v="5840.821918121399"/>
    <n v="122657.26028054937"/>
    <m/>
    <n v="122657.26028054937"/>
    <n v="3679.7178084164807"/>
    <n v="126336.97808896584"/>
    <m/>
    <n v="126336.97808896584"/>
    <m/>
    <n v="126336.97808896584"/>
    <m/>
    <n v="126336.97808896584"/>
    <n v="1263.3697808896584"/>
    <n v="127600.3478698555"/>
    <m/>
    <n v="127600.3478698555"/>
    <n v="638.0017393492775"/>
    <n v="128238.34960920477"/>
    <m/>
    <n v="128238.34960920477"/>
    <n v="3205.9587402301195"/>
    <n v="131444.3083494349"/>
    <m/>
    <n v="131444.3083494349"/>
    <m/>
    <n v="131444.3083494349"/>
    <n v="5257.7723339773956"/>
    <n v="136702.08068341229"/>
    <n v="17771.270488843598"/>
    <n v="154473.35117225588"/>
    <n v="35"/>
    <n v="154508.35117225588"/>
    <m/>
    <n v="154508.35117225588"/>
    <n v="154508.35"/>
    <n v="3785500"/>
    <m/>
    <m/>
    <n v="0"/>
    <n v="154510.20408163266"/>
    <n v="3785500"/>
    <x v="3"/>
    <n v="10000"/>
    <n v="164510.20408163266"/>
    <n v="245000"/>
    <n v="4030500"/>
    <m/>
    <m/>
    <x v="1"/>
    <x v="1"/>
    <b v="1"/>
    <s v="АГ-005-Г-22-03-559"/>
    <m/>
    <s v="ДА"/>
    <s v="White Box"/>
    <b v="1"/>
    <n v="4030500"/>
    <n v="0"/>
    <b v="1"/>
    <s v=" "/>
    <s v=""/>
  </r>
  <r>
    <n v="560"/>
    <x v="3"/>
    <x v="21"/>
    <x v="3"/>
    <x v="1"/>
    <n v="14.48"/>
    <n v="11.42"/>
    <m/>
    <n v="25.9"/>
    <n v="15.86"/>
    <n v="3.01"/>
    <n v="2.67"/>
    <m/>
    <n v="9.44"/>
    <n v="2.72"/>
    <m/>
    <m/>
    <n v="2.72"/>
    <n v="59.6"/>
    <n v="56.88"/>
    <n v="58.24"/>
    <n v="85713.201000000001"/>
    <n v="4285.6600500000004"/>
    <n v="89998.861050000007"/>
    <n v="2699.9658315000001"/>
    <n v="92698.826881500005"/>
    <m/>
    <n v="92698.826881500005"/>
    <m/>
    <n v="92698.826881500005"/>
    <m/>
    <n v="92698.826881500005"/>
    <m/>
    <n v="92698.826881500005"/>
    <n v="926.98826881500008"/>
    <n v="93625.815150315"/>
    <n v="4681.2907575157506"/>
    <n v="98307.105907830744"/>
    <m/>
    <n v="98307.105907830744"/>
    <n v="1966.142118156615"/>
    <n v="100273.24802598736"/>
    <m/>
    <n v="100273.24802598736"/>
    <n v="2005.4649605197471"/>
    <n v="102278.7129865071"/>
    <m/>
    <n v="102278.7129865071"/>
    <n v="1022.7871298650711"/>
    <n v="103301.50011637218"/>
    <m/>
    <n v="103301.50011637218"/>
    <m/>
    <n v="103301.50011637218"/>
    <m/>
    <n v="103301.50011637218"/>
    <n v="1549.5225017455825"/>
    <n v="104851.02261811776"/>
    <m/>
    <n v="104851.02261811776"/>
    <n v="4194.0409047247103"/>
    <n v="109045.06352284247"/>
    <n v="6542.7038113705476"/>
    <n v="115587.76733421301"/>
    <n v="15026.409753447693"/>
    <n v="130614.1770876607"/>
    <n v="35"/>
    <n v="130649.1770876607"/>
    <m/>
    <n v="130649.1770876607"/>
    <n v="130649.18"/>
    <n v="7609100"/>
    <m/>
    <m/>
    <n v="0"/>
    <n v="130650.75549450549"/>
    <n v="7609100"/>
    <x v="3"/>
    <n v="10000"/>
    <n v="140650.75549450549"/>
    <n v="582400"/>
    <n v="8191500"/>
    <m/>
    <m/>
    <x v="1"/>
    <x v="1"/>
    <b v="1"/>
    <s v="АГ-005-Г-22-04-560"/>
    <m/>
    <s v="ДА"/>
    <s v="White Box"/>
    <b v="1"/>
    <n v="8191500"/>
    <n v="0"/>
    <b v="1"/>
    <s v=" "/>
    <s v=""/>
  </r>
  <r>
    <n v="561"/>
    <x v="3"/>
    <x v="21"/>
    <x v="4"/>
    <x v="1"/>
    <n v="15.41"/>
    <n v="12.78"/>
    <m/>
    <n v="28.189999999999998"/>
    <n v="13.45"/>
    <n v="3.7"/>
    <n v="2.72"/>
    <m/>
    <n v="8.2200000000000006"/>
    <n v="3.03"/>
    <m/>
    <m/>
    <n v="3.03"/>
    <n v="59.31"/>
    <n v="56.28"/>
    <n v="57.8"/>
    <n v="85327.105500000005"/>
    <n v="4266.3552750000008"/>
    <n v="89593.460775"/>
    <n v="2687.8038232499998"/>
    <n v="92281.264598249996"/>
    <m/>
    <n v="92281.264598249996"/>
    <m/>
    <n v="92281.264598249996"/>
    <m/>
    <n v="92281.264598249996"/>
    <m/>
    <n v="92281.264598249996"/>
    <n v="922.81264598249993"/>
    <n v="93204.077244232496"/>
    <n v="4660.2038622116252"/>
    <n v="97864.281106444119"/>
    <m/>
    <n v="97864.281106444119"/>
    <n v="1957.2856221288823"/>
    <n v="99821.566728573001"/>
    <m/>
    <n v="99821.566728573001"/>
    <n v="1996.4313345714602"/>
    <n v="101817.99806314446"/>
    <m/>
    <n v="101817.99806314446"/>
    <n v="1018.1799806314447"/>
    <n v="102836.1780437759"/>
    <m/>
    <n v="102836.1780437759"/>
    <m/>
    <n v="102836.1780437759"/>
    <m/>
    <n v="102836.1780437759"/>
    <n v="1542.5426706566384"/>
    <n v="104378.72071443254"/>
    <n v="500"/>
    <n v="104878.72071443254"/>
    <n v="4195.1488285773012"/>
    <n v="109073.86954300985"/>
    <n v="6544.4321725805903"/>
    <n v="115618.30171559044"/>
    <n v="15030.379223026757"/>
    <n v="130648.6809386172"/>
    <n v="35"/>
    <n v="130683.6809386172"/>
    <m/>
    <n v="130683.6809386172"/>
    <n v="130683.68"/>
    <n v="7553600"/>
    <m/>
    <m/>
    <n v="0"/>
    <n v="130685.12110726644"/>
    <n v="7553600"/>
    <x v="3"/>
    <n v="10000"/>
    <n v="140685.12110726646"/>
    <n v="578000.00000000093"/>
    <n v="8131600.0000000009"/>
    <m/>
    <m/>
    <x v="1"/>
    <x v="1"/>
    <b v="1"/>
    <s v="АГ-005-Г-22-05-561"/>
    <m/>
    <s v="ДА"/>
    <s v="White Box"/>
    <b v="1"/>
    <n v="8131600"/>
    <n v="-9.3132257461547852E-10"/>
    <b v="1"/>
    <s v=" "/>
    <s v=""/>
  </r>
  <r>
    <n v="562"/>
    <x v="3"/>
    <x v="21"/>
    <x v="5"/>
    <x v="0"/>
    <n v="12.71"/>
    <m/>
    <m/>
    <n v="12.71"/>
    <n v="12.55"/>
    <n v="4.28"/>
    <m/>
    <m/>
    <n v="7.34"/>
    <n v="2.84"/>
    <m/>
    <m/>
    <n v="2.84"/>
    <n v="39.72"/>
    <n v="36.880000000000003"/>
    <n v="38.299999999999997"/>
    <n v="94090.5"/>
    <n v="4704.5250000000005"/>
    <n v="98795.024999999994"/>
    <n v="2963.8507499999996"/>
    <n v="101758.87574999999"/>
    <n v="1017.5887574999999"/>
    <n v="102776.46450749999"/>
    <m/>
    <n v="102776.46450749999"/>
    <n v="5138.8232253749993"/>
    <n v="107915.28773287499"/>
    <m/>
    <n v="107915.28773287499"/>
    <n v="1079.1528773287498"/>
    <n v="108994.44061020373"/>
    <n v="5449.7220305101873"/>
    <n v="114444.16264071391"/>
    <m/>
    <n v="114444.16264071391"/>
    <n v="3433.3248792214172"/>
    <n v="117877.48751993533"/>
    <m/>
    <n v="117877.48751993533"/>
    <m/>
    <n v="117877.48751993533"/>
    <m/>
    <n v="117877.48751993533"/>
    <m/>
    <n v="117877.48751993533"/>
    <n v="1178.7748751993533"/>
    <n v="119056.26239513468"/>
    <n v="595.28131197567336"/>
    <n v="119651.54370711035"/>
    <m/>
    <n v="119651.54370711035"/>
    <n v="2991.288592677759"/>
    <n v="122642.8322997881"/>
    <m/>
    <n v="122642.8322997881"/>
    <n v="2452.8566459957619"/>
    <n v="125095.68894578387"/>
    <n v="6254.7844472891938"/>
    <n v="131350.47339307307"/>
    <n v="17075.561541099501"/>
    <n v="148426.03493417258"/>
    <n v="35"/>
    <n v="148461.03493417258"/>
    <m/>
    <n v="148461.03493417258"/>
    <n v="148461.03"/>
    <n v="5686100"/>
    <m/>
    <m/>
    <n v="0"/>
    <n v="148462.14099216711"/>
    <n v="5686100"/>
    <x v="1"/>
    <m/>
    <n v="148462.14099216711"/>
    <n v="0"/>
    <n v="5686100"/>
    <m/>
    <m/>
    <x v="1"/>
    <x v="1"/>
    <b v="1"/>
    <s v="АГ-005-Г-22-06-562"/>
    <m/>
    <s v="ДА"/>
    <s v="Черновая"/>
    <b v="1"/>
    <n v="5686100"/>
    <n v="0"/>
    <b v="1"/>
    <s v=" "/>
    <s v=""/>
  </r>
  <r>
    <n v="563"/>
    <x v="3"/>
    <x v="21"/>
    <x v="6"/>
    <x v="3"/>
    <n v="14.49"/>
    <n v="13.98"/>
    <n v="11.42"/>
    <n v="39.89"/>
    <n v="16.670000000000002"/>
    <n v="4.1399999999999997"/>
    <n v="1.89"/>
    <m/>
    <n v="11.31"/>
    <n v="2.86"/>
    <n v="2.79"/>
    <n v="5.42"/>
    <n v="11.07"/>
    <n v="84.97"/>
    <n v="73.900000000000006"/>
    <n v="79.44"/>
    <n v="82085.85000000002"/>
    <n v="4104.2925000000014"/>
    <n v="86190.142500000016"/>
    <n v="2585.7042750000005"/>
    <n v="88775.846775000013"/>
    <m/>
    <n v="88775.846775000013"/>
    <m/>
    <n v="88775.846775000013"/>
    <m/>
    <n v="88775.846775000013"/>
    <m/>
    <n v="88775.846775000013"/>
    <n v="887.75846775000014"/>
    <n v="89663.605242750011"/>
    <n v="4483.1802621375009"/>
    <n v="94146.785504887506"/>
    <m/>
    <n v="94146.785504887506"/>
    <n v="1882.9357100977502"/>
    <n v="96029.721214985257"/>
    <m/>
    <n v="96029.721214985257"/>
    <n v="1920.5944242997052"/>
    <n v="97950.315639284963"/>
    <n v="1000"/>
    <n v="98950.315639284963"/>
    <m/>
    <n v="98950.315639284963"/>
    <n v="1979.0063127856993"/>
    <n v="100929.32195207066"/>
    <m/>
    <n v="100929.32195207066"/>
    <n v="2018.5864390414133"/>
    <n v="102947.90839111207"/>
    <n v="2573.6977097778017"/>
    <n v="105521.60610088987"/>
    <m/>
    <n v="105521.60610088987"/>
    <n v="4220.8642440355952"/>
    <n v="109742.47034492546"/>
    <n v="5487.123517246273"/>
    <n v="115229.59386217174"/>
    <n v="14979.847202082326"/>
    <n v="130209.44106425406"/>
    <n v="35"/>
    <n v="130244.44106425406"/>
    <m/>
    <n v="130244.44106425406"/>
    <n v="130244.44"/>
    <n v="10346700"/>
    <m/>
    <m/>
    <n v="0"/>
    <n v="130245.46827794562"/>
    <n v="10346700"/>
    <x v="3"/>
    <n v="10000"/>
    <n v="140245.46827794562"/>
    <n v="794400"/>
    <n v="11141100"/>
    <s v="Хит"/>
    <m/>
    <x v="1"/>
    <x v="1"/>
    <b v="1"/>
    <s v="АГ-005-Г-22-07-563"/>
    <m/>
    <s v="ДА"/>
    <s v="White Box"/>
    <b v="1"/>
    <n v="11141100"/>
    <n v="0"/>
    <b v="1"/>
    <s v=" "/>
    <s v=""/>
  </r>
  <r>
    <n v="564"/>
    <x v="3"/>
    <x v="21"/>
    <x v="7"/>
    <x v="0"/>
    <n v="16.79"/>
    <m/>
    <m/>
    <n v="16.79"/>
    <n v="11.43"/>
    <n v="3.56"/>
    <m/>
    <m/>
    <n v="6.66"/>
    <n v="2.4900000000000002"/>
    <m/>
    <m/>
    <n v="2.4900000000000002"/>
    <n v="40.93"/>
    <n v="38.44"/>
    <n v="39.69"/>
    <n v="91251.5625"/>
    <n v="4562.578125"/>
    <n v="95814.140625"/>
    <n v="2874.4242187499999"/>
    <n v="98688.564843750006"/>
    <n v="4440.98541796875"/>
    <n v="103129.55026171876"/>
    <m/>
    <n v="103129.55026171876"/>
    <n v="5156.477513085938"/>
    <n v="108286.02777480469"/>
    <m/>
    <n v="108286.02777480469"/>
    <n v="1082.8602777480469"/>
    <n v="109368.88805255273"/>
    <n v="5468.4444026276369"/>
    <n v="114837.33245518037"/>
    <m/>
    <n v="114837.33245518037"/>
    <n v="3445.1199736554108"/>
    <n v="118282.45242883578"/>
    <m/>
    <n v="118282.45242883578"/>
    <m/>
    <n v="118282.45242883578"/>
    <m/>
    <n v="118282.45242883578"/>
    <m/>
    <n v="118282.45242883578"/>
    <m/>
    <n v="118282.45242883578"/>
    <m/>
    <n v="118282.45242883578"/>
    <m/>
    <n v="118282.45242883578"/>
    <n v="591.41226214417895"/>
    <n v="118873.86469097996"/>
    <m/>
    <n v="118873.86469097996"/>
    <n v="2377.4772938195993"/>
    <n v="121251.34198479955"/>
    <n v="6062.5670992399782"/>
    <n v="127313.90908403954"/>
    <n v="16550.808180925142"/>
    <n v="143864.71726496468"/>
    <n v="35"/>
    <n v="143899.71726496468"/>
    <m/>
    <n v="143899.71726496468"/>
    <n v="143899.72"/>
    <n v="5711400"/>
    <m/>
    <m/>
    <n v="0"/>
    <n v="143900.22675736962"/>
    <n v="5711400"/>
    <x v="1"/>
    <m/>
    <n v="143900.22675736962"/>
    <n v="0"/>
    <n v="5711400"/>
    <m/>
    <m/>
    <x v="1"/>
    <x v="1"/>
    <b v="1"/>
    <s v="АГ-005-Г-22-08-564"/>
    <m/>
    <s v="ДА"/>
    <s v="Черновая"/>
    <b v="1"/>
    <n v="5711400"/>
    <n v="0"/>
    <b v="1"/>
    <s v=" "/>
    <s v=""/>
  </r>
  <r>
    <n v="565"/>
    <x v="3"/>
    <x v="22"/>
    <x v="0"/>
    <x v="2"/>
    <n v="13.74"/>
    <m/>
    <m/>
    <n v="13.74"/>
    <n v="5.84"/>
    <n v="3.76"/>
    <m/>
    <m/>
    <n v="3.73"/>
    <n v="4.6500000000000004"/>
    <m/>
    <m/>
    <n v="4.6500000000000004"/>
    <n v="31.72"/>
    <n v="27.07"/>
    <n v="29.4"/>
    <n v="96361.65"/>
    <n v="4818.0824999999995"/>
    <n v="101179.7325"/>
    <n v="3035.391975"/>
    <n v="104215.124475"/>
    <m/>
    <n v="104215.124475"/>
    <m/>
    <n v="104215.124475"/>
    <m/>
    <n v="104215.124475"/>
    <m/>
    <n v="104215.124475"/>
    <m/>
    <n v="104215.124475"/>
    <m/>
    <n v="104215.124475"/>
    <m/>
    <n v="104215.124475"/>
    <m/>
    <n v="104215.124475"/>
    <m/>
    <n v="104215.124475"/>
    <m/>
    <n v="104215.124475"/>
    <m/>
    <n v="104215.124475"/>
    <m/>
    <n v="104215.124475"/>
    <m/>
    <n v="104215.124475"/>
    <m/>
    <n v="104215.124475"/>
    <m/>
    <n v="104215.124475"/>
    <m/>
    <n v="104215.124475"/>
    <m/>
    <n v="104215.124475"/>
    <m/>
    <n v="104215.124475"/>
    <m/>
    <n v="104215.124475"/>
    <m/>
    <n v="104215.124475"/>
    <m/>
    <n v="104215.124475"/>
    <m/>
    <n v="104215.124475"/>
    <n v="104215.12"/>
    <n v="3063924.53"/>
    <m/>
    <m/>
    <n v="0"/>
    <n v="104215.12006802722"/>
    <n v="3063924.53"/>
    <x v="1"/>
    <m/>
    <n v="104215.12006802722"/>
    <n v="0"/>
    <n v="3063924.53"/>
    <m/>
    <m/>
    <x v="0"/>
    <x v="0"/>
    <b v="1"/>
    <s v="АГ-005-Г-23-01-565"/>
    <m/>
    <s v="НЕТ"/>
    <s v="Черновая"/>
    <b v="1"/>
    <n v="3063924.53"/>
    <n v="0"/>
    <b v="1"/>
    <d v="2023-09-20T00:00:00"/>
    <s v="Гайганова"/>
  </r>
  <r>
    <n v="566"/>
    <x v="3"/>
    <x v="22"/>
    <x v="1"/>
    <x v="0"/>
    <n v="13.17"/>
    <m/>
    <m/>
    <n v="13.17"/>
    <n v="16.940000000000001"/>
    <n v="3.55"/>
    <n v="2.41"/>
    <m/>
    <n v="5.8"/>
    <n v="2.68"/>
    <m/>
    <m/>
    <n v="2.68"/>
    <n v="44.55"/>
    <n v="41.87"/>
    <n v="43.21"/>
    <n v="91657.125"/>
    <n v="4582.8562499999998"/>
    <n v="96239.981249999997"/>
    <n v="2887.1994374999999"/>
    <n v="99127.180687500004"/>
    <n v="991.27180687500004"/>
    <n v="100118.452494375"/>
    <m/>
    <n v="100118.452494375"/>
    <n v="5005.9226247187507"/>
    <n v="105124.37511909375"/>
    <m/>
    <n v="105124.37511909375"/>
    <n v="1051.2437511909375"/>
    <n v="106175.61887028468"/>
    <n v="5308.7809435142344"/>
    <n v="111484.39981379893"/>
    <m/>
    <n v="111484.39981379893"/>
    <n v="3344.5319944139678"/>
    <n v="114828.93180821289"/>
    <n v="500"/>
    <n v="115328.93180821289"/>
    <m/>
    <n v="115328.93180821289"/>
    <m/>
    <n v="115328.93180821289"/>
    <m/>
    <n v="115328.93180821289"/>
    <n v="1153.2893180821288"/>
    <n v="116482.22112629501"/>
    <m/>
    <n v="116482.22112629501"/>
    <m/>
    <n v="116482.22112629501"/>
    <n v="2912.0555281573756"/>
    <n v="119394.27665445239"/>
    <m/>
    <n v="119394.27665445239"/>
    <m/>
    <n v="119394.27665445239"/>
    <n v="9551.5421323561914"/>
    <n v="128945.81878680858"/>
    <n v="16762.956442285114"/>
    <n v="145708.77522909371"/>
    <n v="35"/>
    <n v="145743.77522909371"/>
    <m/>
    <n v="145743.77522909371"/>
    <n v="145743.78"/>
    <n v="6297600"/>
    <m/>
    <m/>
    <n v="0"/>
    <n v="145744.04073131218"/>
    <n v="6297600"/>
    <x v="2"/>
    <n v="25000"/>
    <n v="170744.04073131218"/>
    <n v="1080250"/>
    <n v="7377850"/>
    <m/>
    <m/>
    <x v="1"/>
    <x v="1"/>
    <b v="1"/>
    <s v="АГ-005-Г-23-02-566"/>
    <m/>
    <s v="ДА"/>
    <s v="Чистовая"/>
    <b v="1"/>
    <n v="7377850"/>
    <n v="0"/>
    <b v="1"/>
    <s v=" "/>
    <s v=""/>
  </r>
  <r>
    <n v="567"/>
    <x v="3"/>
    <x v="22"/>
    <x v="2"/>
    <x v="2"/>
    <n v="7.2"/>
    <m/>
    <m/>
    <n v="7.2"/>
    <n v="5.17"/>
    <n v="3.71"/>
    <m/>
    <m/>
    <n v="6.96"/>
    <n v="2.92"/>
    <m/>
    <m/>
    <n v="2.92"/>
    <n v="25.96"/>
    <n v="23.04"/>
    <n v="24.5"/>
    <n v="98113.68"/>
    <n v="4905.6840000000002"/>
    <n v="103019.36399999999"/>
    <n v="3090.5809199999994"/>
    <n v="106109.94491999998"/>
    <n v="9549.8950427999971"/>
    <n v="115659.83996279998"/>
    <m/>
    <n v="115659.83996279998"/>
    <m/>
    <n v="115659.83996279998"/>
    <m/>
    <n v="115659.83996279998"/>
    <n v="1156.5983996279997"/>
    <n v="116816.43836242797"/>
    <n v="5840.821918121399"/>
    <n v="122657.26028054937"/>
    <m/>
    <n v="122657.26028054937"/>
    <n v="3679.7178084164807"/>
    <n v="126336.97808896584"/>
    <m/>
    <n v="126336.97808896584"/>
    <m/>
    <n v="126336.97808896584"/>
    <m/>
    <n v="126336.97808896584"/>
    <n v="1263.3697808896584"/>
    <n v="127600.3478698555"/>
    <m/>
    <n v="127600.3478698555"/>
    <m/>
    <n v="127600.3478698555"/>
    <m/>
    <n v="127600.3478698555"/>
    <m/>
    <n v="127600.3478698555"/>
    <m/>
    <n v="127600.3478698555"/>
    <m/>
    <n v="127600.3478698555"/>
    <m/>
    <n v="127600.3478698555"/>
    <m/>
    <n v="127600.3478698555"/>
    <m/>
    <n v="127600.3478698555"/>
    <m/>
    <n v="127600.3478698555"/>
    <n v="127600.35"/>
    <n v="3126300"/>
    <m/>
    <m/>
    <n v="0"/>
    <n v="127604.08163265306"/>
    <n v="3126300"/>
    <x v="2"/>
    <n v="20000"/>
    <n v="147604.08163265308"/>
    <n v="490000.00000000047"/>
    <n v="3616300.0000000005"/>
    <m/>
    <m/>
    <x v="0"/>
    <x v="0"/>
    <b v="1"/>
    <s v="АГ-005-Г-23-03-567"/>
    <m/>
    <s v="ДА"/>
    <s v="Чистовая"/>
    <b v="1"/>
    <n v="3616300"/>
    <n v="-4.6566128730773926E-10"/>
    <b v="1"/>
    <d v="2024-06-11T00:00:00"/>
    <s v="Никишов"/>
  </r>
  <r>
    <n v="568"/>
    <x v="3"/>
    <x v="22"/>
    <x v="3"/>
    <x v="1"/>
    <n v="14.48"/>
    <n v="11.42"/>
    <m/>
    <n v="25.9"/>
    <n v="15.86"/>
    <n v="3.01"/>
    <n v="2.67"/>
    <m/>
    <n v="9.44"/>
    <n v="2.72"/>
    <m/>
    <m/>
    <n v="2.72"/>
    <n v="59.6"/>
    <n v="56.88"/>
    <n v="58.24"/>
    <n v="85713.201000000001"/>
    <n v="4285.6600500000004"/>
    <n v="89998.861050000007"/>
    <n v="2699.9658315000001"/>
    <n v="92698.826881500005"/>
    <m/>
    <n v="92698.826881500005"/>
    <m/>
    <n v="92698.826881500005"/>
    <m/>
    <n v="92698.826881500005"/>
    <m/>
    <n v="92698.826881500005"/>
    <m/>
    <n v="92698.826881500005"/>
    <m/>
    <n v="92698.826881500005"/>
    <m/>
    <n v="92698.826881500005"/>
    <m/>
    <n v="92698.826881500005"/>
    <m/>
    <n v="92698.826881500005"/>
    <m/>
    <n v="92698.826881500005"/>
    <m/>
    <n v="92698.826881500005"/>
    <m/>
    <n v="92698.826881500005"/>
    <m/>
    <n v="92698.826881500005"/>
    <m/>
    <n v="92698.826881500005"/>
    <m/>
    <n v="92698.826881500005"/>
    <m/>
    <n v="92698.826881500005"/>
    <m/>
    <n v="92698.826881500005"/>
    <m/>
    <n v="92698.826881500005"/>
    <m/>
    <n v="92698.826881500005"/>
    <m/>
    <n v="92698.826881500005"/>
    <m/>
    <n v="92698.826881500005"/>
    <m/>
    <n v="92698.826881500005"/>
    <n v="92698.83"/>
    <n v="5398800"/>
    <m/>
    <n v="0.02"/>
    <n v="107976"/>
    <n v="90845.192307692298"/>
    <n v="5290824"/>
    <x v="2"/>
    <n v="22000"/>
    <n v="112845.1923076923"/>
    <n v="1281280"/>
    <n v="6572104"/>
    <m/>
    <s v="Скидка иногородним"/>
    <x v="0"/>
    <x v="0"/>
    <b v="1"/>
    <s v="АГ-005-Г-23-04-568"/>
    <m/>
    <s v="ДА"/>
    <s v="Чистовая"/>
    <b v="1"/>
    <n v="6572104"/>
    <n v="0"/>
    <b v="1"/>
    <d v="2023-12-22T00:00:00"/>
    <s v="Никишов"/>
  </r>
  <r>
    <n v="569"/>
    <x v="3"/>
    <x v="22"/>
    <x v="4"/>
    <x v="1"/>
    <n v="15.41"/>
    <n v="12.78"/>
    <m/>
    <n v="28.189999999999998"/>
    <n v="13.45"/>
    <n v="3.7"/>
    <n v="2.72"/>
    <m/>
    <n v="8.2200000000000006"/>
    <n v="3.03"/>
    <m/>
    <m/>
    <n v="3.03"/>
    <n v="59.31"/>
    <n v="56.28"/>
    <n v="57.8"/>
    <n v="85327.105500000005"/>
    <n v="4266.3552750000008"/>
    <n v="89593.460775"/>
    <n v="2687.8038232499998"/>
    <n v="92281.264598249996"/>
    <m/>
    <n v="92281.264598249996"/>
    <m/>
    <n v="92281.264598249996"/>
    <m/>
    <n v="92281.264598249996"/>
    <m/>
    <n v="92281.264598249996"/>
    <n v="922.81264598249993"/>
    <n v="93204.077244232496"/>
    <n v="4660.2038622116252"/>
    <n v="97864.281106444119"/>
    <m/>
    <n v="97864.281106444119"/>
    <n v="1957.2856221288823"/>
    <n v="99821.566728573001"/>
    <m/>
    <n v="99821.566728573001"/>
    <n v="1996.4313345714602"/>
    <n v="101817.99806314446"/>
    <m/>
    <n v="101817.99806314446"/>
    <n v="1018.1799806314447"/>
    <n v="102836.1780437759"/>
    <m/>
    <n v="102836.1780437759"/>
    <m/>
    <n v="102836.1780437759"/>
    <m/>
    <n v="102836.1780437759"/>
    <n v="1542.5426706566384"/>
    <n v="104378.72071443254"/>
    <n v="500"/>
    <n v="104878.72071443254"/>
    <n v="4195.1488285773012"/>
    <n v="109073.86954300985"/>
    <n v="6544.4321725805903"/>
    <n v="115618.30171559044"/>
    <n v="15030.379223026757"/>
    <n v="130648.6809386172"/>
    <n v="35"/>
    <n v="130683.6809386172"/>
    <m/>
    <n v="130683.6809386172"/>
    <n v="130683.68"/>
    <n v="7553600"/>
    <m/>
    <m/>
    <n v="0"/>
    <n v="130685.12110726644"/>
    <n v="7553600"/>
    <x v="1"/>
    <m/>
    <n v="130685.12110726644"/>
    <n v="0"/>
    <n v="7553600"/>
    <m/>
    <m/>
    <x v="1"/>
    <x v="1"/>
    <b v="1"/>
    <s v="АГ-005-Г-23-05-569"/>
    <m/>
    <s v="ДА"/>
    <s v="Черновая"/>
    <b v="1"/>
    <n v="7553600"/>
    <n v="0"/>
    <b v="1"/>
    <s v=" "/>
    <s v=""/>
  </r>
  <r>
    <n v="570"/>
    <x v="3"/>
    <x v="22"/>
    <x v="5"/>
    <x v="0"/>
    <n v="12.71"/>
    <m/>
    <m/>
    <n v="12.71"/>
    <n v="12.55"/>
    <n v="4.28"/>
    <m/>
    <m/>
    <n v="7.34"/>
    <n v="2.84"/>
    <m/>
    <m/>
    <n v="2.84"/>
    <n v="39.72"/>
    <n v="36.880000000000003"/>
    <n v="38.299999999999997"/>
    <n v="94090.5"/>
    <n v="4704.5250000000005"/>
    <n v="98795.024999999994"/>
    <n v="2963.8507499999996"/>
    <n v="101758.87574999999"/>
    <n v="1017.5887574999999"/>
    <n v="102776.46450749999"/>
    <m/>
    <n v="102776.46450749999"/>
    <m/>
    <n v="102776.46450749999"/>
    <m/>
    <n v="102776.46450749999"/>
    <m/>
    <n v="102776.46450749999"/>
    <m/>
    <n v="102776.46450749999"/>
    <m/>
    <n v="102776.46450749999"/>
    <m/>
    <n v="102776.46450749999"/>
    <m/>
    <n v="102776.46450749999"/>
    <m/>
    <n v="102776.46450749999"/>
    <m/>
    <n v="102776.46450749999"/>
    <m/>
    <n v="102776.46450749999"/>
    <m/>
    <n v="102776.46450749999"/>
    <m/>
    <n v="102776.46450749999"/>
    <m/>
    <n v="102776.46450749999"/>
    <m/>
    <n v="102776.46450749999"/>
    <m/>
    <n v="102776.46450749999"/>
    <m/>
    <n v="102776.46450749999"/>
    <m/>
    <n v="102776.46450749999"/>
    <m/>
    <n v="102776.46450749999"/>
    <m/>
    <n v="102776.46450749999"/>
    <m/>
    <n v="102776.46450749999"/>
    <n v="102776.46"/>
    <n v="3936338.42"/>
    <m/>
    <n v="0.02"/>
    <n v="78726.768400000001"/>
    <n v="100720.93080939948"/>
    <n v="3857611.65"/>
    <x v="0"/>
    <n v="7500"/>
    <n v="108220.93080939948"/>
    <n v="287249.99999999953"/>
    <n v="4144861.6499999994"/>
    <m/>
    <s v="Скидка иногородним"/>
    <x v="0"/>
    <x v="0"/>
    <b v="1"/>
    <s v="АГ-005-Г-23-06-570"/>
    <m/>
    <s v="НЕТ"/>
    <s v="Предчистовая"/>
    <b v="1"/>
    <n v="4144861.65"/>
    <n v="4.6566128730773926E-10"/>
    <b v="1"/>
    <d v="2023-11-18T00:00:00"/>
    <s v="Дик"/>
  </r>
  <r>
    <n v="571"/>
    <x v="3"/>
    <x v="22"/>
    <x v="6"/>
    <x v="3"/>
    <n v="14.49"/>
    <n v="13.98"/>
    <n v="11.42"/>
    <n v="39.89"/>
    <n v="16.670000000000002"/>
    <n v="4.1399999999999997"/>
    <n v="1.89"/>
    <m/>
    <n v="11.31"/>
    <n v="2.86"/>
    <n v="2.79"/>
    <n v="5.42"/>
    <n v="11.07"/>
    <n v="84.97"/>
    <n v="73.900000000000006"/>
    <n v="79.44"/>
    <n v="83513.430000000022"/>
    <n v="4175.6715000000013"/>
    <n v="87689.101500000019"/>
    <n v="2630.6730450000005"/>
    <n v="90319.774545000022"/>
    <m/>
    <n v="90319.774545000022"/>
    <m/>
    <n v="90319.774545000022"/>
    <m/>
    <n v="90319.774545000022"/>
    <m/>
    <n v="90319.774545000022"/>
    <n v="903.19774545000018"/>
    <n v="91222.972290450023"/>
    <n v="4561.1486145225017"/>
    <n v="95784.120904972529"/>
    <m/>
    <n v="95784.120904972529"/>
    <n v="1915.6824180994506"/>
    <n v="97699.803323071974"/>
    <m/>
    <n v="97699.803323071974"/>
    <n v="1953.9960664614396"/>
    <n v="99653.799389533408"/>
    <n v="1000"/>
    <n v="100653.79938953341"/>
    <m/>
    <n v="100653.79938953341"/>
    <n v="2013.0759877906683"/>
    <n v="102666.87537732408"/>
    <m/>
    <n v="102666.87537732408"/>
    <n v="2053.3375075464814"/>
    <n v="104720.21288487056"/>
    <n v="2618.005322121764"/>
    <n v="107338.21820699233"/>
    <m/>
    <n v="107338.21820699233"/>
    <n v="4293.5287282796935"/>
    <n v="111631.74693527202"/>
    <m/>
    <n v="111631.74693527202"/>
    <m/>
    <n v="111631.74693527202"/>
    <m/>
    <n v="111631.74693527202"/>
    <m/>
    <n v="111631.74693527202"/>
    <n v="111631.75"/>
    <n v="8868100"/>
    <m/>
    <n v="0.03"/>
    <n v="266043"/>
    <n v="108283.69838872105"/>
    <n v="8602057"/>
    <x v="1"/>
    <m/>
    <n v="108283.69838872105"/>
    <n v="0"/>
    <n v="8602057"/>
    <s v="Хит"/>
    <s v="Многодетная семья"/>
    <x v="0"/>
    <x v="0"/>
    <b v="1"/>
    <s v="АГ-005-Г-23-07-571"/>
    <m/>
    <s v="ДА"/>
    <s v="Черновая"/>
    <b v="1"/>
    <n v="8602057"/>
    <n v="0"/>
    <b v="1"/>
    <d v="2024-10-31T00:00:00"/>
    <s v="Дик"/>
  </r>
  <r>
    <n v="572"/>
    <x v="3"/>
    <x v="22"/>
    <x v="7"/>
    <x v="0"/>
    <n v="16.79"/>
    <m/>
    <m/>
    <n v="16.79"/>
    <n v="11.43"/>
    <n v="3.56"/>
    <m/>
    <m/>
    <n v="6.66"/>
    <n v="2.4900000000000002"/>
    <m/>
    <m/>
    <n v="2.4900000000000002"/>
    <n v="40.93"/>
    <n v="38.44"/>
    <n v="39.69"/>
    <n v="92873.8125"/>
    <n v="4643.6906250000002"/>
    <n v="97517.503125000003"/>
    <n v="2925.52509375"/>
    <n v="100443.02821875"/>
    <n v="4519.9362698437499"/>
    <n v="104962.96448859375"/>
    <m/>
    <n v="104962.96448859375"/>
    <n v="5248.1482244296876"/>
    <n v="110211.11271302344"/>
    <m/>
    <n v="110211.11271302344"/>
    <n v="1102.1111271302343"/>
    <n v="111313.22384015367"/>
    <n v="5565.6611920076839"/>
    <n v="116878.88503216136"/>
    <m/>
    <n v="116878.88503216136"/>
    <n v="3506.3665509648404"/>
    <n v="120385.2515831262"/>
    <m/>
    <n v="120385.2515831262"/>
    <m/>
    <n v="120385.2515831262"/>
    <m/>
    <n v="120385.2515831262"/>
    <m/>
    <n v="120385.2515831262"/>
    <m/>
    <n v="120385.2515831262"/>
    <m/>
    <n v="120385.2515831262"/>
    <m/>
    <n v="120385.2515831262"/>
    <n v="601.92625791563103"/>
    <n v="120987.17784104183"/>
    <m/>
    <n v="120987.17784104183"/>
    <n v="2419.7435568208366"/>
    <n v="123406.92139786266"/>
    <n v="6170.346069893134"/>
    <n v="129577.2674677558"/>
    <n v="16845.044770808254"/>
    <n v="146422.31223856405"/>
    <n v="35"/>
    <n v="146457.31223856405"/>
    <m/>
    <n v="146457.31223856405"/>
    <n v="146457.31"/>
    <n v="5812900"/>
    <m/>
    <m/>
    <n v="0"/>
    <n v="146457.54598135551"/>
    <n v="5812900"/>
    <x v="3"/>
    <n v="10000"/>
    <n v="156457.54598135551"/>
    <n v="396900"/>
    <n v="6209800"/>
    <m/>
    <m/>
    <x v="1"/>
    <x v="1"/>
    <b v="1"/>
    <s v="АГ-005-Г-23-08-572"/>
    <m/>
    <s v="ДА"/>
    <s v="White Box"/>
    <b v="1"/>
    <n v="6209800"/>
    <n v="0"/>
    <b v="1"/>
    <s v=" "/>
    <s v=""/>
  </r>
  <r>
    <n v="573"/>
    <x v="3"/>
    <x v="23"/>
    <x v="0"/>
    <x v="2"/>
    <n v="13.74"/>
    <m/>
    <m/>
    <n v="13.74"/>
    <n v="5.84"/>
    <n v="3.76"/>
    <m/>
    <m/>
    <n v="3.73"/>
    <n v="4.6500000000000004"/>
    <m/>
    <m/>
    <n v="4.6500000000000004"/>
    <n v="31.72"/>
    <n v="27.07"/>
    <n v="29.4"/>
    <n v="96361.65"/>
    <n v="4818.0824999999995"/>
    <n v="101179.7325"/>
    <n v="3035.391975"/>
    <n v="104215.124475"/>
    <n v="9379.3612027500003"/>
    <n v="113594.48567775001"/>
    <m/>
    <n v="113594.48567775001"/>
    <m/>
    <n v="113594.48567775001"/>
    <m/>
    <n v="113594.48567775001"/>
    <n v="1135.9448567775"/>
    <n v="114730.43053452751"/>
    <n v="5736.5215267263757"/>
    <n v="120466.95206125388"/>
    <m/>
    <n v="120466.95206125388"/>
    <n v="3614.0085618376161"/>
    <n v="124080.96062309149"/>
    <m/>
    <n v="124080.96062309149"/>
    <m/>
    <n v="124080.96062309149"/>
    <m/>
    <n v="124080.96062309149"/>
    <n v="1240.8096062309151"/>
    <n v="125321.77022932241"/>
    <m/>
    <n v="125321.77022932241"/>
    <m/>
    <n v="125321.77022932241"/>
    <m/>
    <n v="125321.77022932241"/>
    <n v="1879.8265534398361"/>
    <n v="127201.59678276225"/>
    <m/>
    <n v="127201.59678276225"/>
    <m/>
    <n v="127201.59678276225"/>
    <m/>
    <n v="127201.59678276225"/>
    <m/>
    <n v="127201.59678276225"/>
    <m/>
    <n v="127201.59678276225"/>
    <m/>
    <n v="127201.59678276225"/>
    <n v="127201.60000000001"/>
    <n v="3739800"/>
    <m/>
    <m/>
    <n v="0"/>
    <n v="127204.08163265306"/>
    <n v="3739800"/>
    <x v="2"/>
    <n v="20000"/>
    <n v="147204.08163265308"/>
    <n v="588000"/>
    <n v="4327800"/>
    <m/>
    <m/>
    <x v="0"/>
    <x v="0"/>
    <b v="1"/>
    <s v="АГ-005-Г-24-01-573"/>
    <m/>
    <s v="ДА"/>
    <s v="Чистовая"/>
    <b v="1"/>
    <n v="4327800"/>
    <n v="0"/>
    <b v="1"/>
    <d v="2024-10-03T00:00:00"/>
    <s v="Дик"/>
  </r>
  <r>
    <n v="574"/>
    <x v="3"/>
    <x v="23"/>
    <x v="1"/>
    <x v="0"/>
    <n v="13.17"/>
    <m/>
    <m/>
    <n v="13.17"/>
    <n v="16.940000000000001"/>
    <n v="3.55"/>
    <n v="2.41"/>
    <m/>
    <n v="5.8"/>
    <n v="2.68"/>
    <m/>
    <m/>
    <n v="2.68"/>
    <n v="44.55"/>
    <n v="41.87"/>
    <n v="43.21"/>
    <n v="91657.125"/>
    <n v="4582.8562499999998"/>
    <n v="96239.981249999997"/>
    <n v="2887.1994374999999"/>
    <n v="99127.180687500004"/>
    <n v="991.27180687500004"/>
    <n v="100118.452494375"/>
    <m/>
    <n v="100118.452494375"/>
    <n v="5005.9226247187507"/>
    <n v="105124.37511909375"/>
    <m/>
    <n v="105124.37511909375"/>
    <n v="1051.2437511909375"/>
    <n v="106175.61887028468"/>
    <n v="5308.7809435142344"/>
    <n v="111484.39981379893"/>
    <m/>
    <n v="111484.39981379893"/>
    <n v="3344.5319944139678"/>
    <n v="114828.93180821289"/>
    <n v="500"/>
    <n v="115328.93180821289"/>
    <m/>
    <n v="115328.93180821289"/>
    <m/>
    <n v="115328.93180821289"/>
    <m/>
    <n v="115328.93180821289"/>
    <n v="1153.2893180821288"/>
    <n v="116482.22112629501"/>
    <m/>
    <n v="116482.22112629501"/>
    <m/>
    <n v="116482.22112629501"/>
    <n v="2912.0555281573756"/>
    <n v="119394.27665445239"/>
    <m/>
    <n v="119394.27665445239"/>
    <m/>
    <n v="119394.27665445239"/>
    <n v="9551.5421323561914"/>
    <n v="128945.81878680858"/>
    <n v="16762.956442285114"/>
    <n v="145708.77522909371"/>
    <n v="35"/>
    <n v="145743.77522909371"/>
    <m/>
    <n v="145743.77522909371"/>
    <n v="145743.78"/>
    <n v="6297600"/>
    <m/>
    <m/>
    <n v="0"/>
    <n v="145744.04073131218"/>
    <n v="6297600"/>
    <x v="3"/>
    <n v="10000"/>
    <n v="155744.04073131218"/>
    <n v="432100"/>
    <n v="6729700"/>
    <m/>
    <m/>
    <x v="1"/>
    <x v="1"/>
    <b v="1"/>
    <s v="АГ-005-Г-24-02-574"/>
    <m/>
    <s v="ДА"/>
    <s v="White Box"/>
    <b v="1"/>
    <n v="6729700"/>
    <n v="0"/>
    <b v="1"/>
    <s v=" "/>
    <s v=""/>
  </r>
  <r>
    <n v="575"/>
    <x v="3"/>
    <x v="23"/>
    <x v="2"/>
    <x v="2"/>
    <n v="7.2"/>
    <m/>
    <m/>
    <n v="7.2"/>
    <n v="5.17"/>
    <n v="3.71"/>
    <m/>
    <m/>
    <n v="6.96"/>
    <n v="2.92"/>
    <m/>
    <m/>
    <n v="2.92"/>
    <n v="25.96"/>
    <n v="23.04"/>
    <n v="24.5"/>
    <n v="98113.68"/>
    <n v="4905.6840000000002"/>
    <n v="103019.36399999999"/>
    <n v="3090.5809199999994"/>
    <n v="106109.94491999998"/>
    <n v="9549.8950427999971"/>
    <n v="115659.83996279998"/>
    <m/>
    <n v="115659.83996279998"/>
    <m/>
    <n v="115659.83996279998"/>
    <m/>
    <n v="115659.83996279998"/>
    <n v="1156.5983996279997"/>
    <n v="116816.43836242797"/>
    <n v="5840.821918121399"/>
    <n v="122657.26028054937"/>
    <m/>
    <n v="122657.26028054937"/>
    <n v="3679.7178084164807"/>
    <n v="126336.97808896584"/>
    <m/>
    <n v="126336.97808896584"/>
    <m/>
    <n v="126336.97808896584"/>
    <m/>
    <n v="126336.97808896584"/>
    <n v="1263.3697808896584"/>
    <n v="127600.3478698555"/>
    <m/>
    <n v="127600.3478698555"/>
    <n v="638.0017393492775"/>
    <n v="128238.34960920477"/>
    <m/>
    <n v="128238.34960920477"/>
    <n v="3205.9587402301195"/>
    <n v="131444.3083494349"/>
    <m/>
    <n v="131444.3083494349"/>
    <m/>
    <n v="131444.3083494349"/>
    <m/>
    <n v="131444.3083494349"/>
    <m/>
    <n v="131444.3083494349"/>
    <m/>
    <n v="131444.3083494349"/>
    <m/>
    <n v="131444.3083494349"/>
    <n v="131444.31"/>
    <n v="3220400"/>
    <m/>
    <n v="0.03"/>
    <n v="96612"/>
    <n v="127501.55102040817"/>
    <n v="3123788"/>
    <x v="2"/>
    <n v="24000"/>
    <n v="151501.55102040817"/>
    <n v="588000"/>
    <n v="3711788"/>
    <m/>
    <s v="Ветеран боевых действий"/>
    <x v="0"/>
    <x v="0"/>
    <b v="1"/>
    <s v="АГ-005-Г-24-03-575"/>
    <m/>
    <s v="ДА"/>
    <s v="Чистовая"/>
    <b v="1"/>
    <n v="3711788"/>
    <n v="0"/>
    <b v="1"/>
    <d v="2024-11-26T00:00:00"/>
    <s v="Дик"/>
  </r>
  <r>
    <n v="576"/>
    <x v="3"/>
    <x v="23"/>
    <x v="3"/>
    <x v="1"/>
    <n v="14.48"/>
    <n v="11.42"/>
    <m/>
    <n v="25.9"/>
    <n v="15.86"/>
    <n v="3.01"/>
    <n v="2.67"/>
    <m/>
    <n v="9.44"/>
    <n v="2.72"/>
    <m/>
    <m/>
    <n v="2.72"/>
    <n v="59.6"/>
    <n v="56.88"/>
    <n v="58.24"/>
    <n v="85713.201000000001"/>
    <n v="4285.6600500000004"/>
    <n v="89998.861050000007"/>
    <n v="2699.9658315000001"/>
    <n v="92698.826881500005"/>
    <m/>
    <n v="92698.826881500005"/>
    <m/>
    <n v="92698.826881500005"/>
    <m/>
    <n v="92698.826881500005"/>
    <m/>
    <n v="92698.826881500005"/>
    <n v="926.98826881500008"/>
    <n v="93625.815150315"/>
    <n v="4681.2907575157506"/>
    <n v="98307.105907830744"/>
    <m/>
    <n v="98307.105907830744"/>
    <n v="1966.142118156615"/>
    <n v="100273.24802598736"/>
    <m/>
    <n v="100273.24802598736"/>
    <n v="2005.4649605197471"/>
    <n v="102278.7129865071"/>
    <m/>
    <n v="102278.7129865071"/>
    <n v="1022.7871298650711"/>
    <n v="103301.50011637218"/>
    <m/>
    <n v="103301.50011637218"/>
    <m/>
    <n v="103301.50011637218"/>
    <m/>
    <n v="103301.50011637218"/>
    <n v="1549.5225017455825"/>
    <n v="104851.02261811776"/>
    <m/>
    <n v="104851.02261811776"/>
    <n v="4194.0409047247103"/>
    <n v="109045.06352284247"/>
    <n v="6542.7038113705476"/>
    <n v="115587.76733421301"/>
    <n v="15026.409753447693"/>
    <n v="130614.1770876607"/>
    <n v="35"/>
    <n v="130649.1770876607"/>
    <m/>
    <n v="130649.1770876607"/>
    <n v="130649.18"/>
    <n v="7609100"/>
    <m/>
    <m/>
    <n v="0"/>
    <n v="130650.75549450549"/>
    <n v="7609100"/>
    <x v="3"/>
    <n v="10000"/>
    <n v="140650.75549450549"/>
    <n v="582400"/>
    <n v="8191500"/>
    <m/>
    <m/>
    <x v="1"/>
    <x v="1"/>
    <b v="1"/>
    <s v="АГ-005-Г-24-04-576"/>
    <m/>
    <s v="ДА"/>
    <s v="White Box"/>
    <b v="1"/>
    <n v="8191500"/>
    <n v="0"/>
    <b v="1"/>
    <s v=" "/>
    <s v=""/>
  </r>
  <r>
    <n v="577"/>
    <x v="3"/>
    <x v="23"/>
    <x v="4"/>
    <x v="1"/>
    <n v="15.41"/>
    <n v="12.78"/>
    <m/>
    <n v="28.189999999999998"/>
    <n v="13.45"/>
    <n v="3.7"/>
    <n v="2.72"/>
    <m/>
    <n v="8.2200000000000006"/>
    <n v="3.03"/>
    <m/>
    <m/>
    <n v="3.03"/>
    <n v="59.31"/>
    <n v="56.28"/>
    <n v="57.8"/>
    <n v="85327.105500000005"/>
    <n v="4266.3552750000008"/>
    <n v="89593.460775"/>
    <n v="2687.8038232499998"/>
    <n v="92281.264598249996"/>
    <m/>
    <n v="92281.264598249996"/>
    <m/>
    <n v="92281.264598249996"/>
    <m/>
    <n v="92281.264598249996"/>
    <m/>
    <n v="92281.264598249996"/>
    <n v="922.81264598249993"/>
    <n v="93204.077244232496"/>
    <n v="4660.2038622116252"/>
    <n v="97864.281106444119"/>
    <m/>
    <n v="97864.281106444119"/>
    <n v="1957.2856221288823"/>
    <n v="99821.566728573001"/>
    <m/>
    <n v="99821.566728573001"/>
    <n v="1996.4313345714602"/>
    <n v="101817.99806314446"/>
    <m/>
    <n v="101817.99806314446"/>
    <n v="1018.1799806314447"/>
    <n v="102836.1780437759"/>
    <m/>
    <n v="102836.1780437759"/>
    <m/>
    <n v="102836.1780437759"/>
    <m/>
    <n v="102836.1780437759"/>
    <n v="1542.5426706566384"/>
    <n v="104378.72071443254"/>
    <n v="500"/>
    <n v="104878.72071443254"/>
    <n v="4195.1488285773012"/>
    <n v="109073.86954300985"/>
    <n v="6544.4321725805903"/>
    <n v="115618.30171559044"/>
    <n v="15030.379223026757"/>
    <n v="130648.6809386172"/>
    <n v="35"/>
    <n v="130683.6809386172"/>
    <m/>
    <n v="130683.6809386172"/>
    <n v="130683.68"/>
    <n v="7553600"/>
    <m/>
    <m/>
    <n v="0"/>
    <n v="130685.12110726644"/>
    <n v="7553600"/>
    <x v="3"/>
    <n v="10000"/>
    <n v="140685.12110726646"/>
    <n v="578000.00000000093"/>
    <n v="8131600.0000000009"/>
    <m/>
    <m/>
    <x v="1"/>
    <x v="1"/>
    <b v="1"/>
    <s v="АГ-005-Г-24-05-577"/>
    <m/>
    <s v="ДА"/>
    <s v="White Box"/>
    <b v="1"/>
    <n v="8131600"/>
    <n v="-9.3132257461547852E-10"/>
    <b v="1"/>
    <s v=" "/>
    <s v=""/>
  </r>
  <r>
    <n v="578"/>
    <x v="3"/>
    <x v="23"/>
    <x v="5"/>
    <x v="0"/>
    <n v="12.71"/>
    <m/>
    <m/>
    <n v="12.71"/>
    <n v="12.55"/>
    <n v="4.28"/>
    <m/>
    <m/>
    <n v="7.34"/>
    <n v="2.84"/>
    <m/>
    <m/>
    <n v="2.84"/>
    <n v="39.72"/>
    <n v="36.880000000000003"/>
    <n v="38.299999999999997"/>
    <n v="94090.5"/>
    <n v="4704.5250000000005"/>
    <n v="98795.024999999994"/>
    <n v="2963.8507499999996"/>
    <n v="101758.87574999999"/>
    <n v="1017.5887574999999"/>
    <n v="102776.46450749999"/>
    <m/>
    <n v="102776.46450749999"/>
    <n v="5138.8232253749993"/>
    <n v="107915.28773287499"/>
    <m/>
    <n v="107915.28773287499"/>
    <n v="1079.1528773287498"/>
    <n v="108994.44061020373"/>
    <n v="5449.7220305101873"/>
    <n v="114444.16264071391"/>
    <m/>
    <n v="114444.16264071391"/>
    <n v="3433.3248792214172"/>
    <n v="117877.48751993533"/>
    <m/>
    <n v="117877.48751993533"/>
    <m/>
    <n v="117877.48751993533"/>
    <m/>
    <n v="117877.48751993533"/>
    <m/>
    <n v="117877.48751993533"/>
    <n v="1178.7748751993533"/>
    <n v="119056.26239513468"/>
    <n v="595.28131197567336"/>
    <n v="119651.54370711035"/>
    <m/>
    <n v="119651.54370711035"/>
    <n v="2991.288592677759"/>
    <n v="122642.8322997881"/>
    <m/>
    <n v="122642.8322997881"/>
    <n v="2452.8566459957619"/>
    <n v="125095.68894578387"/>
    <n v="6254.7844472891938"/>
    <n v="131350.47339307307"/>
    <n v="17075.561541099501"/>
    <n v="148426.03493417258"/>
    <n v="35"/>
    <n v="148461.03493417258"/>
    <m/>
    <n v="148461.03493417258"/>
    <n v="148461.03"/>
    <n v="5686100"/>
    <m/>
    <m/>
    <n v="0"/>
    <n v="148462.14099216711"/>
    <n v="5686100"/>
    <x v="1"/>
    <m/>
    <n v="148462.14099216711"/>
    <n v="0"/>
    <n v="5686100"/>
    <m/>
    <m/>
    <x v="1"/>
    <x v="1"/>
    <b v="1"/>
    <s v="АГ-005-Г-24-06-578"/>
    <m/>
    <s v="ДА"/>
    <s v="Черновая"/>
    <b v="1"/>
    <n v="5686100"/>
    <n v="0"/>
    <b v="1"/>
    <s v=" "/>
    <s v=""/>
  </r>
  <r>
    <n v="579"/>
    <x v="3"/>
    <x v="23"/>
    <x v="6"/>
    <x v="3"/>
    <n v="14.49"/>
    <n v="13.98"/>
    <n v="11.42"/>
    <n v="39.89"/>
    <n v="16.670000000000002"/>
    <n v="4.1399999999999997"/>
    <n v="1.89"/>
    <m/>
    <n v="11.31"/>
    <n v="2.86"/>
    <n v="2.79"/>
    <n v="5.42"/>
    <n v="11.07"/>
    <n v="84.97"/>
    <n v="73.900000000000006"/>
    <n v="79.44"/>
    <n v="83513.430000000022"/>
    <n v="4175.6715000000013"/>
    <n v="87689.101500000019"/>
    <n v="2630.6730450000005"/>
    <n v="90319.774545000022"/>
    <m/>
    <n v="90319.774545000022"/>
    <m/>
    <n v="90319.774545000022"/>
    <m/>
    <n v="90319.774545000022"/>
    <m/>
    <n v="90319.774545000022"/>
    <n v="903.19774545000018"/>
    <n v="91222.972290450023"/>
    <n v="4561.1486145225017"/>
    <n v="95784.120904972529"/>
    <m/>
    <n v="95784.120904972529"/>
    <n v="1915.6824180994506"/>
    <n v="97699.803323071974"/>
    <m/>
    <n v="97699.803323071974"/>
    <n v="1953.9960664614396"/>
    <n v="99653.799389533408"/>
    <n v="1000"/>
    <n v="100653.79938953341"/>
    <m/>
    <n v="100653.79938953341"/>
    <n v="2013.0759877906683"/>
    <n v="102666.87537732408"/>
    <m/>
    <n v="102666.87537732408"/>
    <n v="2053.3375075464814"/>
    <n v="104720.21288487056"/>
    <n v="2618.005322121764"/>
    <n v="107338.21820699233"/>
    <m/>
    <n v="107338.21820699233"/>
    <n v="4293.5287282796935"/>
    <n v="111631.74693527202"/>
    <n v="5581.5873467636011"/>
    <n v="117213.33428203562"/>
    <n v="15237.733456664631"/>
    <n v="132451.06773870025"/>
    <n v="35"/>
    <n v="132486.06773870025"/>
    <m/>
    <n v="132486.06773870025"/>
    <n v="132486.07"/>
    <n v="10524700"/>
    <m/>
    <m/>
    <n v="0"/>
    <n v="132486.15307150051"/>
    <n v="10524700"/>
    <x v="1"/>
    <m/>
    <n v="132486.15307150051"/>
    <n v="0"/>
    <n v="10524700"/>
    <s v="Хит"/>
    <m/>
    <x v="1"/>
    <x v="1"/>
    <b v="1"/>
    <s v="АГ-005-Г-24-07-579"/>
    <m/>
    <s v="ДА"/>
    <s v="Черновая"/>
    <b v="1"/>
    <n v="10524700"/>
    <n v="0"/>
    <b v="1"/>
    <s v=" "/>
    <s v=""/>
  </r>
  <r>
    <n v="580"/>
    <x v="3"/>
    <x v="23"/>
    <x v="7"/>
    <x v="0"/>
    <n v="16.79"/>
    <m/>
    <m/>
    <n v="16.79"/>
    <n v="11.43"/>
    <n v="3.56"/>
    <m/>
    <m/>
    <n v="6.66"/>
    <n v="2.4900000000000002"/>
    <m/>
    <m/>
    <n v="2.4900000000000002"/>
    <n v="40.93"/>
    <n v="38.44"/>
    <n v="39.69"/>
    <n v="92873.8125"/>
    <n v="4643.6906250000002"/>
    <n v="97517.503125000003"/>
    <n v="2925.52509375"/>
    <n v="100443.02821875"/>
    <n v="4519.9362698437499"/>
    <n v="104962.96448859375"/>
    <m/>
    <n v="104962.96448859375"/>
    <n v="5248.1482244296876"/>
    <n v="110211.11271302344"/>
    <m/>
    <n v="110211.11271302344"/>
    <n v="1102.1111271302343"/>
    <n v="111313.22384015367"/>
    <n v="5565.6611920076839"/>
    <n v="116878.88503216136"/>
    <m/>
    <n v="116878.88503216136"/>
    <n v="3506.3665509648404"/>
    <n v="120385.2515831262"/>
    <m/>
    <n v="120385.2515831262"/>
    <m/>
    <n v="120385.2515831262"/>
    <m/>
    <n v="120385.2515831262"/>
    <m/>
    <n v="120385.2515831262"/>
    <m/>
    <n v="120385.2515831262"/>
    <m/>
    <n v="120385.2515831262"/>
    <m/>
    <n v="120385.2515831262"/>
    <n v="601.92625791563103"/>
    <n v="120987.17784104183"/>
    <m/>
    <n v="120987.17784104183"/>
    <n v="2419.7435568208366"/>
    <n v="123406.92139786266"/>
    <n v="6170.346069893134"/>
    <n v="129577.2674677558"/>
    <n v="16845.044770808254"/>
    <n v="146422.31223856405"/>
    <n v="35"/>
    <n v="146457.31223856405"/>
    <m/>
    <n v="146457.31223856405"/>
    <n v="146457.31"/>
    <n v="5812900"/>
    <m/>
    <m/>
    <n v="0"/>
    <n v="146457.54598135551"/>
    <n v="5812900"/>
    <x v="1"/>
    <m/>
    <n v="146457.54598135551"/>
    <n v="0"/>
    <n v="5812900"/>
    <m/>
    <m/>
    <x v="1"/>
    <x v="1"/>
    <b v="1"/>
    <s v="АГ-005-Г-24-08-580"/>
    <m/>
    <s v="ДА"/>
    <s v="Черновая"/>
    <b v="1"/>
    <n v="5812900"/>
    <n v="0"/>
    <b v="1"/>
    <s v=" 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5729CB-1217-4727-BF7F-C4D1CCD2D2B6}" name="Сводная таблица1" cacheId="1" applyNumberFormats="0" applyBorderFormats="0" applyFontFormats="0" applyPatternFormats="0" applyAlignmentFormats="0" applyWidthHeightFormats="1" dataCaption="     " updatedVersion="8" minRefreshableVersion="3" useAutoFormatting="1" itemPrintTitles="1" createdVersion="8" indent="0" compact="0" compactData="0" multipleFieldFilters="0" colHeaderCaption=" ">
  <location ref="A5:H40" firstHeaderRow="1" firstDataRow="3" firstDataCol="2" rowPageCount="1" colPageCount="1"/>
  <pivotFields count="101">
    <pivotField compact="0" numFmtId="1" outline="0" showAll="0"/>
    <pivotField axis="axisPage" compact="0" outline="0" showAll="0">
      <items count="5">
        <item x="0"/>
        <item x="1"/>
        <item x="2"/>
        <item x="3"/>
        <item t="default"/>
      </items>
    </pivotField>
    <pivotField compact="0" outline="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Row" compact="0" outline="0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compact="0" outline="0" showAll="0">
      <items count="5">
        <item x="2"/>
        <item x="0"/>
        <item x="1"/>
        <item x="3"/>
        <item t="default"/>
      </items>
    </pivotField>
    <pivotField compact="0" numFmtId="164" outline="0" showAll="0"/>
    <pivotField compact="0" outline="0" showAll="0"/>
    <pivotField compact="0" outline="0" showAll="0"/>
    <pivotField compact="0" numFmtId="164" outline="0" showAll="0"/>
    <pivotField compact="0" numFmtId="164" outline="0" showAll="0"/>
    <pivotField compact="0" numFmtId="164" outline="0" showAll="0"/>
    <pivotField compact="0" outline="0" showAll="0"/>
    <pivotField compact="0" outline="0" showAll="0"/>
    <pivotField compact="0" numFmtId="164" outline="0" showAll="0"/>
    <pivotField compact="0" numFmtId="164" outline="0" showAll="0"/>
    <pivotField compact="0" outline="0" showAll="0"/>
    <pivotField compact="0" outline="0" showAll="0"/>
    <pivotField compact="0" numFmtId="164" outline="0" showAll="0"/>
    <pivotField compact="0" numFmtId="164" outline="0" showAll="0"/>
    <pivotField compact="0" numFmtId="164" outline="0" showAll="0"/>
    <pivotField compact="0" numFmtId="169" outline="0" showAll="0"/>
    <pivotField compact="0" numFmtId="169" outline="0" showAll="0"/>
    <pivotField compact="0" outline="0" showAll="0"/>
    <pivotField compact="0" numFmtId="16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numFmtId="4" outline="0" showAll="0"/>
    <pivotField compact="0" numFmtId="4" outline="0" showAll="0"/>
    <pivotField compact="0" outline="0" showAll="0"/>
    <pivotField compact="0" outline="0" showAll="0"/>
    <pivotField compact="0" numFmtId="4" outline="0" showAll="0"/>
    <pivotField compact="0" numFmtId="4" outline="0" showAll="0"/>
    <pivotField compact="0" numFmtId="4" outline="0" showAll="0"/>
    <pivotField compact="0" outline="0" showAll="0">
      <items count="5">
        <item x="3"/>
        <item x="0"/>
        <item x="1"/>
        <item x="2"/>
        <item t="default"/>
      </items>
    </pivotField>
    <pivotField compact="0" outline="0" showAll="0"/>
    <pivotField compact="0" numFmtId="4" outline="0" showAll="0"/>
    <pivotField compact="0" numFmtId="4" outline="0" showAll="0"/>
    <pivotField compact="0" numFmtId="4" outline="0" showAll="0"/>
    <pivotField compact="0" outline="0" showAll="0"/>
    <pivotField compact="0" outline="0" showAll="0"/>
    <pivotField compact="0" outline="0" showAll="0">
      <items count="6">
        <item x="3"/>
        <item x="0"/>
        <item x="1"/>
        <item x="4"/>
        <item x="2"/>
        <item t="default"/>
      </items>
    </pivotField>
    <pivotField compact="0" outline="0" showAll="0">
      <items count="6">
        <item sd="0" x="3"/>
        <item sd="0" x="0"/>
        <item sd="0" x="1"/>
        <item sd="0" x="4"/>
        <item sd="0" x="2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numFmtId="4" outline="0" showAll="0"/>
    <pivotField compact="0" numFmtId="4" outline="0" showAll="0"/>
    <pivotField compact="0" outline="0" showAll="0"/>
    <pivotField compact="0" outline="0" showAll="0"/>
    <pivotField compact="0" outline="0" showAll="0"/>
    <pivotField compact="0" outline="0" showAll="0">
      <items count="4">
        <item x="0"/>
        <item x="1"/>
        <item x="2"/>
        <item t="default"/>
      </items>
    </pivotField>
    <pivotField compact="0" outline="0" showAll="0">
      <items count="5">
        <item x="0"/>
        <item x="1"/>
        <item x="2"/>
        <item x="3"/>
        <item t="default"/>
      </items>
    </pivotField>
    <pivotField name="    " axis="axisCol" compact="0" outline="0" showAll="0">
      <items count="3">
        <item n="Реализовано" sd="0" x="0"/>
        <item n="Остаток" sd="0" x="1"/>
        <item t="default"/>
      </items>
    </pivotField>
    <pivotField name="  " axis="axisRow" compact="0" outline="0" showAll="0">
      <items count="4">
        <item x="0"/>
        <item n="White box" sd="0" x="2"/>
        <item x="1"/>
        <item t="default"/>
      </items>
    </pivotField>
  </pivotFields>
  <rowFields count="2">
    <field x="3"/>
    <field x="100"/>
  </rowFields>
  <rowItems count="33">
    <i>
      <x/>
      <x/>
    </i>
    <i r="1">
      <x v="1"/>
    </i>
    <i r="1">
      <x v="2"/>
    </i>
    <i t="default">
      <x/>
    </i>
    <i>
      <x v="1"/>
      <x/>
    </i>
    <i r="1">
      <x v="1"/>
    </i>
    <i r="1">
      <x v="2"/>
    </i>
    <i t="default">
      <x v="1"/>
    </i>
    <i>
      <x v="2"/>
      <x/>
    </i>
    <i r="1">
      <x v="1"/>
    </i>
    <i r="1">
      <x v="2"/>
    </i>
    <i t="default">
      <x v="2"/>
    </i>
    <i>
      <x v="3"/>
      <x/>
    </i>
    <i r="1">
      <x v="1"/>
    </i>
    <i r="1">
      <x v="2"/>
    </i>
    <i t="default">
      <x v="3"/>
    </i>
    <i>
      <x v="4"/>
      <x/>
    </i>
    <i r="1">
      <x v="1"/>
    </i>
    <i r="1">
      <x v="2"/>
    </i>
    <i t="default">
      <x v="4"/>
    </i>
    <i>
      <x v="5"/>
      <x/>
    </i>
    <i r="1">
      <x v="1"/>
    </i>
    <i r="1">
      <x v="2"/>
    </i>
    <i t="default">
      <x v="5"/>
    </i>
    <i>
      <x v="6"/>
      <x/>
    </i>
    <i r="1">
      <x v="1"/>
    </i>
    <i r="1">
      <x v="2"/>
    </i>
    <i t="default">
      <x v="6"/>
    </i>
    <i>
      <x v="7"/>
      <x/>
    </i>
    <i r="1">
      <x v="1"/>
    </i>
    <i r="1">
      <x v="2"/>
    </i>
    <i t="default">
      <x v="7"/>
    </i>
    <i t="grand">
      <x/>
    </i>
  </rowItems>
  <colFields count="2">
    <field x="99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pageFields count="1">
    <pageField fld="1" hier="-1"/>
  </pageFields>
  <dataFields count="2">
    <dataField name=" " fld="90" subtotal="count" baseField="0" baseItem="0"/>
    <dataField name=" %" fld="87" subtotal="count" baseField="100" baseItem="2" numFmtId="10">
      <extLst>
        <ext xmlns:x14="http://schemas.microsoft.com/office/spreadsheetml/2009/9/main" uri="{E15A36E0-9728-4e99-A89B-3F7291B0FE68}">
          <x14:dataField pivotShowAs="percentOfParentRow"/>
        </ext>
      </extLst>
    </dataField>
  </dataFields>
  <formats count="31">
    <format dxfId="514">
      <pivotArea dataOnly="0" outline="0" fieldPosition="0">
        <references count="2">
          <reference field="1" count="1" selected="0">
            <x v="0"/>
          </reference>
          <reference field="100" count="0"/>
        </references>
      </pivotArea>
    </format>
    <format dxfId="513">
      <pivotArea dataOnly="0" fieldPosition="0">
        <references count="2">
          <reference field="1" count="1" selected="0">
            <x v="0"/>
          </reference>
          <reference field="99" count="1">
            <x v="0"/>
          </reference>
        </references>
      </pivotArea>
    </format>
    <format dxfId="512">
      <pivotArea grandCol="1" outline="0" collapsedLevelsAreSubtotals="1" fieldPosition="0"/>
    </format>
    <format dxfId="511">
      <pivotArea type="origin" dataOnly="0" labelOnly="1" outline="0" fieldPosition="0"/>
    </format>
    <format dxfId="510">
      <pivotArea field="4" type="button" dataOnly="0" labelOnly="1" outline="0"/>
    </format>
    <format dxfId="509">
      <pivotArea field="3" type="button" dataOnly="0" labelOnly="1" outline="0" axis="axisRow" fieldPosition="0"/>
    </format>
    <format dxfId="508">
      <pivotArea dataOnly="0" labelOnly="1" grandRow="1" outline="0" fieldPosition="0"/>
    </format>
    <format dxfId="507">
      <pivotArea type="origin" dataOnly="0" labelOnly="1" outline="0" fieldPosition="0"/>
    </format>
    <format dxfId="506">
      <pivotArea field="4" type="button" dataOnly="0" labelOnly="1" outline="0"/>
    </format>
    <format dxfId="505">
      <pivotArea field="3" type="button" dataOnly="0" labelOnly="1" outline="0" axis="axisRow" fieldPosition="0"/>
    </format>
    <format dxfId="504">
      <pivotArea dataOnly="0" labelOnly="1" grandRow="1" outline="0" fieldPosition="0"/>
    </format>
    <format dxfId="503">
      <pivotArea dataOnly="0" outline="0" fieldPosition="0">
        <references count="2">
          <reference field="1" count="1" selected="0">
            <x v="0"/>
          </reference>
          <reference field="99" count="1">
            <x v="0"/>
          </reference>
        </references>
      </pivotArea>
    </format>
    <format dxfId="502">
      <pivotArea outline="0" collapsedLevelsAreSubtotals="1" fieldPosition="0"/>
    </format>
    <format dxfId="501">
      <pivotArea field="99" type="button" dataOnly="0" labelOnly="1" outline="0" axis="axisCol" fieldPosition="0"/>
    </format>
    <format dxfId="500">
      <pivotArea field="-2" type="button" dataOnly="0" labelOnly="1" outline="0" axis="axisCol" fieldPosition="1"/>
    </format>
    <format dxfId="499">
      <pivotArea type="topRight" dataOnly="0" labelOnly="1" outline="0" fieldPosition="0"/>
    </format>
    <format dxfId="498">
      <pivotArea dataOnly="0" labelOnly="1" outline="0" fieldPosition="0">
        <references count="1">
          <reference field="99" count="0"/>
        </references>
      </pivotArea>
    </format>
    <format dxfId="497">
      <pivotArea field="99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96">
      <pivotArea field="99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95">
      <pivotArea dataOnly="0" labelOnly="1" outline="0" fieldPosition="0">
        <references count="2">
          <reference field="4294967294" count="2">
            <x v="0"/>
            <x v="1"/>
          </reference>
          <reference field="99" count="1" selected="0">
            <x v="0"/>
          </reference>
        </references>
      </pivotArea>
    </format>
    <format dxfId="494">
      <pivotArea dataOnly="0" labelOnly="1" outline="0" fieldPosition="0">
        <references count="2">
          <reference field="4294967294" count="2">
            <x v="0"/>
            <x v="1"/>
          </reference>
          <reference field="99" count="1" selected="0">
            <x v="1"/>
          </reference>
        </references>
      </pivotArea>
    </format>
    <format dxfId="493">
      <pivotArea outline="0" collapsedLevelsAreSubtotals="1" fieldPosition="0"/>
    </format>
    <format dxfId="492">
      <pivotArea field="99" type="button" dataOnly="0" labelOnly="1" outline="0" axis="axisCol" fieldPosition="0"/>
    </format>
    <format dxfId="491">
      <pivotArea field="-2" type="button" dataOnly="0" labelOnly="1" outline="0" axis="axisCol" fieldPosition="1"/>
    </format>
    <format dxfId="490">
      <pivotArea type="topRight" dataOnly="0" labelOnly="1" outline="0" fieldPosition="0"/>
    </format>
    <format dxfId="489">
      <pivotArea dataOnly="0" labelOnly="1" outline="0" fieldPosition="0">
        <references count="1">
          <reference field="99" count="0"/>
        </references>
      </pivotArea>
    </format>
    <format dxfId="488">
      <pivotArea field="99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87">
      <pivotArea field="99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86">
      <pivotArea dataOnly="0" labelOnly="1" outline="0" fieldPosition="0">
        <references count="2">
          <reference field="4294967294" count="2">
            <x v="0"/>
            <x v="1"/>
          </reference>
          <reference field="99" count="1" selected="0">
            <x v="0"/>
          </reference>
        </references>
      </pivotArea>
    </format>
    <format dxfId="485">
      <pivotArea dataOnly="0" labelOnly="1" outline="0" fieldPosition="0">
        <references count="2">
          <reference field="4294967294" count="2">
            <x v="0"/>
            <x v="1"/>
          </reference>
          <reference field="99" count="1" selected="0">
            <x v="1"/>
          </reference>
        </references>
      </pivotArea>
    </format>
    <format dxfId="484">
      <pivotArea outline="0" fieldPosition="0">
        <references count="1">
          <reference field="4294967294" count="1">
            <x v="1"/>
          </reference>
        </references>
      </pivotArea>
    </format>
  </formats>
  <conditionalFormats count="7">
    <conditionalFormat priority="1">
      <pivotAreas count="1">
        <pivotArea type="data" outline="0" collapsedLevelsAreSubtotals="1" fieldPosition="0">
          <references count="4">
            <reference field="4294967294" count="1" selected="0">
              <x v="1"/>
            </reference>
            <reference field="3" count="1" selected="0">
              <x v="6"/>
            </reference>
            <reference field="99" count="1" selected="0">
              <x v="0"/>
            </reference>
            <reference field="100" count="3" selected="0">
              <x v="0"/>
              <x v="1"/>
              <x v="2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4">
            <reference field="4294967294" count="1" selected="0">
              <x v="1"/>
            </reference>
            <reference field="3" count="1" selected="0">
              <x v="5"/>
            </reference>
            <reference field="99" count="1" selected="0">
              <x v="0"/>
            </reference>
            <reference field="100" count="3" selected="0">
              <x v="0"/>
              <x v="1"/>
              <x v="2"/>
            </reference>
          </references>
        </pivotArea>
      </pivotAreas>
    </conditionalFormat>
    <conditionalFormat priority="3">
      <pivotAreas count="1">
        <pivotArea type="data" outline="0" collapsedLevelsAreSubtotals="1" fieldPosition="0">
          <references count="4">
            <reference field="4294967294" count="1" selected="0">
              <x v="1"/>
            </reference>
            <reference field="3" count="1" selected="0">
              <x v="4"/>
            </reference>
            <reference field="99" count="1" selected="0">
              <x v="0"/>
            </reference>
            <reference field="100" count="3" selected="0">
              <x v="0"/>
              <x v="1"/>
              <x v="2"/>
            </reference>
          </references>
        </pivotArea>
      </pivotAreas>
    </conditionalFormat>
    <conditionalFormat priority="4">
      <pivotAreas count="1">
        <pivotArea type="data" outline="0" collapsedLevelsAreSubtotals="1" fieldPosition="0">
          <references count="4">
            <reference field="4294967294" count="1" selected="0">
              <x v="1"/>
            </reference>
            <reference field="3" count="1" selected="0">
              <x v="3"/>
            </reference>
            <reference field="99" count="1" selected="0">
              <x v="0"/>
            </reference>
            <reference field="100" count="3" selected="0">
              <x v="0"/>
              <x v="1"/>
              <x v="2"/>
            </reference>
          </references>
        </pivotArea>
      </pivotAreas>
    </conditionalFormat>
    <conditionalFormat priority="5">
      <pivotAreas count="1">
        <pivotArea type="data" outline="0" collapsedLevelsAreSubtotals="1" fieldPosition="0">
          <references count="4">
            <reference field="4294967294" count="1" selected="0">
              <x v="1"/>
            </reference>
            <reference field="3" count="1" selected="0">
              <x v="2"/>
            </reference>
            <reference field="99" count="1" selected="0">
              <x v="0"/>
            </reference>
            <reference field="100" count="3" selected="0">
              <x v="0"/>
              <x v="1"/>
              <x v="2"/>
            </reference>
          </references>
        </pivotArea>
      </pivotAreas>
    </conditionalFormat>
    <conditionalFormat priority="6">
      <pivotAreas count="1">
        <pivotArea type="data" outline="0" collapsedLevelsAreSubtotals="1" fieldPosition="0">
          <references count="4">
            <reference field="4294967294" count="1" selected="0">
              <x v="1"/>
            </reference>
            <reference field="3" count="1" selected="0">
              <x v="1"/>
            </reference>
            <reference field="99" count="1" selected="0">
              <x v="0"/>
            </reference>
            <reference field="100" count="3" selected="0">
              <x v="0"/>
              <x v="1"/>
              <x v="2"/>
            </reference>
          </references>
        </pivotArea>
      </pivotAreas>
    </conditionalFormat>
    <conditionalFormat priority="7">
      <pivotAreas count="1">
        <pivotArea type="data" outline="0" collapsedLevelsAreSubtotals="1" fieldPosition="0">
          <references count="4">
            <reference field="4294967294" count="1" selected="0">
              <x v="1"/>
            </reference>
            <reference field="3" count="1" selected="0">
              <x v="0"/>
            </reference>
            <reference field="99" count="1" selected="0">
              <x v="0"/>
            </reference>
            <reference field="100" count="3" selected="0">
              <x v="0"/>
              <x v="1"/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580B2-84A4-4DF9-93D5-2A855FF90BE7}" name="Сводная таблица1" cacheId="1" applyNumberFormats="0" applyBorderFormats="0" applyFontFormats="0" applyPatternFormats="0" applyAlignmentFormats="0" applyWidthHeightFormats="1" dataCaption="Значения" updatedVersion="8" minRefreshableVersion="3" itemPrintTitles="1" createdVersion="8" indent="0" compact="0" compactData="0" multipleFieldFilters="0">
  <location ref="A3:G7" firstHeaderRow="0" firstDataRow="1" firstDataCol="4"/>
  <pivotFields count="101">
    <pivotField compact="0" numFmtId="1" outline="0" showAll="0"/>
    <pivotField axis="axisRow" compact="0" outline="0" showAll="0">
      <items count="5">
        <item sd="0" x="0"/>
        <item sd="0" x="1"/>
        <item sd="0" x="2"/>
        <item sd="0" x="3"/>
        <item t="default"/>
      </items>
    </pivotField>
    <pivotField axis="axisRow" compact="0" outline="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Row" compact="0" outline="0" showAll="0" defaultSubtotal="0">
      <items count="8">
        <item sd="0" x="0"/>
        <item sd="0" x="1"/>
        <item sd="0" x="2"/>
        <item x="3"/>
        <item x="4"/>
        <item x="5"/>
        <item x="6"/>
        <item x="7"/>
      </items>
    </pivotField>
    <pivotField dataField="1" compact="0" outline="0" showAll="0">
      <items count="5">
        <item h="1" x="2"/>
        <item h="1" x="0"/>
        <item h="1" x="1"/>
        <item x="3"/>
        <item t="default"/>
      </items>
    </pivotField>
    <pivotField compact="0" numFmtId="164" outline="0" showAll="0"/>
    <pivotField compact="0" outline="0" showAll="0"/>
    <pivotField compact="0" outline="0" showAll="0"/>
    <pivotField compact="0" numFmtId="164" outline="0" showAll="0"/>
    <pivotField compact="0" numFmtId="164" outline="0" showAll="0"/>
    <pivotField compact="0" numFmtId="164" outline="0" showAll="0"/>
    <pivotField compact="0" outline="0" showAll="0"/>
    <pivotField compact="0" outline="0" showAll="0"/>
    <pivotField compact="0" numFmtId="164" outline="0" showAll="0"/>
    <pivotField compact="0" numFmtId="164" outline="0" showAll="0"/>
    <pivotField compact="0" outline="0" showAll="0"/>
    <pivotField compact="0" outline="0" showAll="0"/>
    <pivotField compact="0" numFmtId="164" outline="0" showAll="0"/>
    <pivotField compact="0" numFmtId="164" outline="0" showAll="0"/>
    <pivotField compact="0" numFmtId="164" outline="0" showAll="0"/>
    <pivotField dataField="1" compact="0" numFmtId="169" outline="0" showAll="0"/>
    <pivotField compact="0" numFmtId="169" outline="0" showAll="0"/>
    <pivotField compact="0" outline="0" showAll="0"/>
    <pivotField compact="0" numFmtId="16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outline="0" showAll="0"/>
    <pivotField compact="0" numFmtId="4" outline="0" showAll="0"/>
    <pivotField compact="0" numFmtId="4" outline="0" showAll="0"/>
    <pivotField compact="0" numFmtId="4" outline="0" showAll="0"/>
    <pivotField compact="0" outline="0" showAll="0"/>
    <pivotField compact="0" outline="0" showAll="0"/>
    <pivotField compact="0" numFmtId="4" outline="0" showAll="0"/>
    <pivotField compact="0" numFmtId="4" outline="0" showAll="0"/>
    <pivotField compact="0" numFmtId="4" outline="0" showAll="0"/>
    <pivotField compact="0" outline="0" showAll="0">
      <items count="5">
        <item x="3"/>
        <item x="0"/>
        <item x="1"/>
        <item x="2"/>
        <item t="default"/>
      </items>
    </pivotField>
    <pivotField compact="0" outline="0" showAll="0"/>
    <pivotField compact="0" numFmtId="4" outline="0" showAll="0"/>
    <pivotField compact="0" numFmtId="4" outline="0" showAll="0"/>
    <pivotField dataField="1" compact="0" numFmtId="4" outline="0" showAll="0"/>
    <pivotField compact="0" outline="0" showAll="0"/>
    <pivotField compact="0" outline="0" showAll="0"/>
    <pivotField compact="0" outline="0" showAll="0">
      <items count="6">
        <item x="3"/>
        <item x="0"/>
        <item x="1"/>
        <item x="4"/>
        <item x="2"/>
        <item t="default"/>
      </items>
    </pivotField>
    <pivotField compact="0" outline="0" showAll="0">
      <items count="6">
        <item x="3"/>
        <item x="0"/>
        <item x="1"/>
        <item x="4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4" outline="0" showAll="0"/>
    <pivotField compact="0" numFmtId="4" outline="0" showAll="0"/>
    <pivotField compact="0" outline="0" showAll="0"/>
    <pivotField compact="0" outline="0" showAll="0"/>
    <pivotField compact="0" outline="0" showAll="0"/>
    <pivotField axis="axisRow" compact="0" outline="0" showAll="0">
      <items count="4">
        <item x="0"/>
        <item x="1"/>
        <item x="2"/>
        <item t="default"/>
      </items>
    </pivotField>
    <pivotField compact="0" outline="0" showAll="0">
      <items count="5">
        <item x="3"/>
        <item x="0"/>
        <item x="2"/>
        <item x="1"/>
        <item t="default"/>
      </items>
    </pivotField>
    <pivotField compact="0" outline="0" showAll="0">
      <items count="3">
        <item x="1"/>
        <item x="0"/>
        <item t="default"/>
      </items>
    </pivotField>
    <pivotField compact="0" outline="0" showAll="0">
      <items count="4">
        <item x="2"/>
        <item x="0"/>
        <item x="1"/>
        <item t="default"/>
      </items>
    </pivotField>
  </pivotFields>
  <rowFields count="4">
    <field x="1"/>
    <field x="3"/>
    <field x="97"/>
    <field x="2"/>
  </rowFields>
  <rowItems count="4"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ШТ" fld="4" subtotal="count" baseField="1" baseItem="0"/>
    <dataField name="Расчетная площадь" fld="20" subtotal="average" baseField="3" baseItem="2"/>
    <dataField name="Стоимость" fld="81" subtotal="average" baseField="3" baseItem="1" numFmtId="4"/>
  </dataFields>
  <formats count="122">
    <format dxfId="483">
      <pivotArea collapsedLevelsAreSubtotals="1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82">
      <pivotArea collapsedLevelsAreSubtotals="1" fieldPosition="0">
        <references count="2">
          <reference field="4294967294" count="1" selected="0">
            <x v="1"/>
          </reference>
          <reference field="1" count="1">
            <x v="1"/>
          </reference>
        </references>
      </pivotArea>
    </format>
    <format dxfId="481">
      <pivotArea collapsedLevelsAreSubtotals="1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80">
      <pivotArea collapsedLevelsAreSubtotals="1" fieldPosition="0">
        <references count="2">
          <reference field="4294967294" count="1" selected="0">
            <x v="1"/>
          </reference>
          <reference field="1" count="1">
            <x v="2"/>
          </reference>
        </references>
      </pivotArea>
    </format>
    <format dxfId="479">
      <pivotArea collapsedLevelsAreSubtotals="1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78">
      <pivotArea collapsedLevelsAreSubtotals="1" fieldPosition="0">
        <references count="2">
          <reference field="4294967294" count="1" selected="0">
            <x v="1"/>
          </reference>
          <reference field="1" count="1">
            <x v="3"/>
          </reference>
        </references>
      </pivotArea>
    </format>
    <format dxfId="477">
      <pivotArea collapsedLevelsAreSubtotals="1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3" count="0"/>
        </references>
      </pivotArea>
    </format>
    <format dxfId="476">
      <pivotArea collapsedLevelsAreSubtotals="1" fieldPosition="0">
        <references count="2">
          <reference field="4294967294" count="1" selected="0">
            <x v="1"/>
          </reference>
          <reference field="1" count="1">
            <x v="0"/>
          </reference>
        </references>
      </pivotArea>
    </format>
    <format dxfId="475">
      <pivotArea dataOnly="0" outline="0" fieldPosition="0">
        <references count="1">
          <reference field="4294967294" count="1">
            <x v="1"/>
          </reference>
        </references>
      </pivotArea>
    </format>
    <format dxfId="474">
      <pivotArea type="all" dataOnly="0" outline="0" fieldPosition="0"/>
    </format>
    <format dxfId="473">
      <pivotArea outline="0" collapsedLevelsAreSubtotals="1" fieldPosition="0"/>
    </format>
    <format dxfId="472">
      <pivotArea field="1" type="button" dataOnly="0" labelOnly="1" outline="0" axis="axisRow" fieldPosition="0"/>
    </format>
    <format dxfId="471">
      <pivotArea dataOnly="0" labelOnly="1" fieldPosition="0">
        <references count="1">
          <reference field="1" count="0"/>
        </references>
      </pivotArea>
    </format>
    <format dxfId="470">
      <pivotArea dataOnly="0" labelOnly="1" grandRow="1" outline="0" fieldPosition="0"/>
    </format>
    <format dxfId="469">
      <pivotArea dataOnly="0" labelOnly="1" fieldPosition="0">
        <references count="2">
          <reference field="1" count="1" selected="0">
            <x v="0"/>
          </reference>
          <reference field="2" count="16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</reference>
        </references>
      </pivotArea>
    </format>
    <format dxfId="468">
      <pivotArea dataOnly="0" labelOnly="1" fieldPosition="0">
        <references count="2">
          <reference field="1" count="1" selected="0">
            <x v="1"/>
          </reference>
          <reference field="2" count="16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</reference>
        </references>
      </pivotArea>
    </format>
    <format dxfId="467">
      <pivotArea dataOnly="0" labelOnly="1" fieldPosition="0">
        <references count="2">
          <reference field="1" count="1" selected="0">
            <x v="2"/>
          </reference>
          <reference field="2" count="0"/>
        </references>
      </pivotArea>
    </format>
    <format dxfId="466">
      <pivotArea dataOnly="0" labelOnly="1" fieldPosition="0">
        <references count="2">
          <reference field="1" count="1" selected="0">
            <x v="3"/>
          </reference>
          <reference field="2" count="0"/>
        </references>
      </pivotArea>
    </format>
    <format dxfId="465">
      <pivotArea dataOnly="0" labelOnly="1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6">
            <x v="0"/>
            <x v="1"/>
            <x v="2"/>
            <x v="3"/>
            <x v="4"/>
            <x v="5"/>
          </reference>
        </references>
      </pivotArea>
    </format>
    <format dxfId="464">
      <pivotArea dataOnly="0" labelOnly="1" fieldPosition="0">
        <references count="3">
          <reference field="1" count="1" selected="0">
            <x v="0"/>
          </reference>
          <reference field="2" count="1" selected="0">
            <x v="1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63">
      <pivotArea dataOnly="0" labelOnly="1" fieldPosition="0">
        <references count="3">
          <reference field="1" count="1" selected="0">
            <x v="0"/>
          </reference>
          <reference field="2" count="1" selected="0">
            <x v="2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62">
      <pivotArea dataOnly="0" labelOnly="1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61">
      <pivotArea dataOnly="0" labelOnly="1" fieldPosition="0">
        <references count="3">
          <reference field="1" count="1" selected="0">
            <x v="0"/>
          </reference>
          <reference field="2" count="1" selected="0">
            <x v="4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60">
      <pivotArea dataOnly="0" labelOnly="1" fieldPosition="0">
        <references count="3">
          <reference field="1" count="1" selected="0">
            <x v="0"/>
          </reference>
          <reference field="2" count="1" selected="0">
            <x v="5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59">
      <pivotArea dataOnly="0" labelOnly="1" fieldPosition="0">
        <references count="3">
          <reference field="1" count="1" selected="0">
            <x v="0"/>
          </reference>
          <reference field="2" count="1" selected="0">
            <x v="6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58">
      <pivotArea dataOnly="0" labelOnly="1" fieldPosition="0">
        <references count="3">
          <reference field="1" count="1" selected="0">
            <x v="0"/>
          </reference>
          <reference field="2" count="1" selected="0">
            <x v="7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57">
      <pivotArea dataOnly="0" labelOnly="1" fieldPosition="0">
        <references count="3">
          <reference field="1" count="1" selected="0">
            <x v="0"/>
          </reference>
          <reference field="2" count="1" selected="0">
            <x v="8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56">
      <pivotArea dataOnly="0" labelOnly="1" fieldPosition="0">
        <references count="3">
          <reference field="1" count="1" selected="0">
            <x v="0"/>
          </reference>
          <reference field="2" count="1" selected="0">
            <x v="9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55">
      <pivotArea dataOnly="0" labelOnly="1" fieldPosition="0">
        <references count="3">
          <reference field="1" count="1" selected="0">
            <x v="0"/>
          </reference>
          <reference field="2" count="1" selected="0">
            <x v="10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54">
      <pivotArea dataOnly="0" labelOnly="1" fieldPosition="0">
        <references count="3">
          <reference field="1" count="1" selected="0">
            <x v="0"/>
          </reference>
          <reference field="2" count="1" selected="0">
            <x v="11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53">
      <pivotArea dataOnly="0" labelOnly="1" fieldPosition="0">
        <references count="3">
          <reference field="1" count="1" selected="0">
            <x v="0"/>
          </reference>
          <reference field="2" count="1" selected="0">
            <x v="12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52">
      <pivotArea dataOnly="0" labelOnly="1" fieldPosition="0">
        <references count="3">
          <reference field="1" count="1" selected="0">
            <x v="0"/>
          </reference>
          <reference field="2" count="1" selected="0">
            <x v="13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51">
      <pivotArea dataOnly="0" labelOnly="1" fieldPosition="0">
        <references count="3">
          <reference field="1" count="1" selected="0">
            <x v="0"/>
          </reference>
          <reference field="2" count="1" selected="0">
            <x v="14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50">
      <pivotArea dataOnly="0" labelOnly="1" fieldPosition="0">
        <references count="3">
          <reference field="1" count="1" selected="0">
            <x v="0"/>
          </reference>
          <reference field="2" count="1" selected="0">
            <x v="15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49">
      <pivotArea dataOnly="0" labelOnly="1" fieldPosition="0">
        <references count="3">
          <reference field="1" count="1" selected="0">
            <x v="1"/>
          </reference>
          <reference field="2" count="1" selected="0">
            <x v="0"/>
          </reference>
          <reference field="3" count="6">
            <x v="0"/>
            <x v="1"/>
            <x v="2"/>
            <x v="3"/>
            <x v="4"/>
            <x v="5"/>
          </reference>
        </references>
      </pivotArea>
    </format>
    <format dxfId="448">
      <pivotArea dataOnly="0" labelOnly="1" fieldPosition="0">
        <references count="3">
          <reference field="1" count="1" selected="0">
            <x v="1"/>
          </reference>
          <reference field="2" count="1" selected="0">
            <x v="1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47">
      <pivotArea dataOnly="0" labelOnly="1" fieldPosition="0">
        <references count="3">
          <reference field="1" count="1" selected="0">
            <x v="1"/>
          </reference>
          <reference field="2" count="1" selected="0">
            <x v="2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46">
      <pivotArea dataOnly="0" labelOnly="1" fieldPosition="0">
        <references count="3">
          <reference field="1" count="1" selected="0">
            <x v="1"/>
          </reference>
          <reference field="2" count="1" selected="0">
            <x v="3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45">
      <pivotArea dataOnly="0" labelOnly="1" fieldPosition="0">
        <references count="3">
          <reference field="1" count="1" selected="0">
            <x v="1"/>
          </reference>
          <reference field="2" count="1" selected="0">
            <x v="4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44">
      <pivotArea dataOnly="0" labelOnly="1" fieldPosition="0">
        <references count="3">
          <reference field="1" count="1" selected="0">
            <x v="1"/>
          </reference>
          <reference field="2" count="1" selected="0">
            <x v="5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43">
      <pivotArea dataOnly="0" labelOnly="1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42">
      <pivotArea dataOnly="0" labelOnly="1" fieldPosition="0">
        <references count="3">
          <reference field="1" count="1" selected="0">
            <x v="1"/>
          </reference>
          <reference field="2" count="1" selected="0">
            <x v="7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41">
      <pivotArea dataOnly="0" labelOnly="1" fieldPosition="0">
        <references count="3">
          <reference field="1" count="1" selected="0">
            <x v="1"/>
          </reference>
          <reference field="2" count="1" selected="0">
            <x v="8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40">
      <pivotArea dataOnly="0" labelOnly="1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39">
      <pivotArea dataOnly="0" labelOnly="1" fieldPosition="0">
        <references count="3">
          <reference field="1" count="1" selected="0">
            <x v="1"/>
          </reference>
          <reference field="2" count="1" selected="0">
            <x v="10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38">
      <pivotArea dataOnly="0" labelOnly="1" fieldPosition="0">
        <references count="3">
          <reference field="1" count="1" selected="0">
            <x v="1"/>
          </reference>
          <reference field="2" count="1" selected="0">
            <x v="11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37">
      <pivotArea dataOnly="0" labelOnly="1" fieldPosition="0">
        <references count="3">
          <reference field="1" count="1" selected="0">
            <x v="1"/>
          </reference>
          <reference field="2" count="1" selected="0">
            <x v="12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36">
      <pivotArea dataOnly="0" labelOnly="1" fieldPosition="0">
        <references count="3">
          <reference field="1" count="1" selected="0">
            <x v="1"/>
          </reference>
          <reference field="2" count="1" selected="0">
            <x v="13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35">
      <pivotArea dataOnly="0" labelOnly="1" fieldPosition="0">
        <references count="3">
          <reference field="1" count="1" selected="0">
            <x v="1"/>
          </reference>
          <reference field="2" count="1" selected="0">
            <x v="14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34">
      <pivotArea dataOnly="0" labelOnly="1" fieldPosition="0">
        <references count="3">
          <reference field="1" count="1" selected="0">
            <x v="1"/>
          </reference>
          <reference field="2" count="1" selected="0">
            <x v="15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33">
      <pivotArea dataOnly="0" labelOnly="1" fieldPosition="0">
        <references count="3">
          <reference field="1" count="1" selected="0">
            <x v="2"/>
          </reference>
          <reference field="2" count="1" selected="0">
            <x v="0"/>
          </reference>
          <reference field="3" count="6">
            <x v="0"/>
            <x v="1"/>
            <x v="2"/>
            <x v="3"/>
            <x v="4"/>
            <x v="5"/>
          </reference>
        </references>
      </pivotArea>
    </format>
    <format dxfId="432">
      <pivotArea dataOnly="0" labelOnly="1" fieldPosition="0">
        <references count="3">
          <reference field="1" count="1" selected="0">
            <x v="2"/>
          </reference>
          <reference field="2" count="1" selected="0">
            <x v="1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31">
      <pivotArea dataOnly="0" labelOnly="1" fieldPosition="0">
        <references count="3">
          <reference field="1" count="1" selected="0">
            <x v="2"/>
          </reference>
          <reference field="2" count="1" selected="0">
            <x v="2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30">
      <pivotArea dataOnly="0" labelOnly="1" fieldPosition="0">
        <references count="3">
          <reference field="1" count="1" selected="0">
            <x v="2"/>
          </reference>
          <reference field="2" count="1" selected="0">
            <x v="3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29">
      <pivotArea dataOnly="0" labelOnly="1" fieldPosition="0">
        <references count="3">
          <reference field="1" count="1" selected="0">
            <x v="2"/>
          </reference>
          <reference field="2" count="1" selected="0">
            <x v="4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28">
      <pivotArea dataOnly="0" labelOnly="1" fieldPosition="0">
        <references count="3">
          <reference field="1" count="1" selected="0">
            <x v="2"/>
          </reference>
          <reference field="2" count="1" selected="0">
            <x v="5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27">
      <pivotArea dataOnly="0" labelOnly="1" fieldPosition="0">
        <references count="3">
          <reference field="1" count="1" selected="0">
            <x v="2"/>
          </reference>
          <reference field="2" count="1" selected="0">
            <x v="6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26">
      <pivotArea dataOnly="0" labelOnly="1" fieldPosition="0">
        <references count="3">
          <reference field="1" count="1" selected="0">
            <x v="2"/>
          </reference>
          <reference field="2" count="1" selected="0">
            <x v="7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25">
      <pivotArea dataOnly="0" labelOnly="1" fieldPosition="0">
        <references count="3">
          <reference field="1" count="1" selected="0">
            <x v="2"/>
          </reference>
          <reference field="2" count="1" selected="0">
            <x v="8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24">
      <pivotArea dataOnly="0" labelOnly="1" fieldPosition="0">
        <references count="3">
          <reference field="1" count="1" selected="0">
            <x v="2"/>
          </reference>
          <reference field="2" count="1" selected="0">
            <x v="9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23">
      <pivotArea dataOnly="0" labelOnly="1" fieldPosition="0">
        <references count="3">
          <reference field="1" count="1" selected="0">
            <x v="2"/>
          </reference>
          <reference field="2" count="1" selected="0">
            <x v="10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22">
      <pivotArea dataOnly="0" labelOnly="1" fieldPosition="0">
        <references count="3">
          <reference field="1" count="1" selected="0">
            <x v="2"/>
          </reference>
          <reference field="2" count="1" selected="0">
            <x v="11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21">
      <pivotArea dataOnly="0" labelOnly="1" fieldPosition="0">
        <references count="3">
          <reference field="1" count="1" selected="0">
            <x v="2"/>
          </reference>
          <reference field="2" count="1" selected="0">
            <x v="12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20">
      <pivotArea dataOnly="0" labelOnly="1" fieldPosition="0">
        <references count="3">
          <reference field="1" count="1" selected="0">
            <x v="2"/>
          </reference>
          <reference field="2" count="1" selected="0">
            <x v="13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19">
      <pivotArea dataOnly="0" labelOnly="1" fieldPosition="0">
        <references count="3">
          <reference field="1" count="1" selected="0">
            <x v="2"/>
          </reference>
          <reference field="2" count="1" selected="0">
            <x v="14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18">
      <pivotArea dataOnly="0" labelOnly="1" fieldPosition="0">
        <references count="3">
          <reference field="1" count="1" selected="0">
            <x v="2"/>
          </reference>
          <reference field="2" count="1" selected="0">
            <x v="15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17">
      <pivotArea dataOnly="0" labelOnly="1" fieldPosition="0">
        <references count="3">
          <reference field="1" count="1" selected="0">
            <x v="2"/>
          </reference>
          <reference field="2" count="1" selected="0">
            <x v="16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16">
      <pivotArea dataOnly="0" labelOnly="1" fieldPosition="0">
        <references count="3">
          <reference field="1" count="1" selected="0">
            <x v="2"/>
          </reference>
          <reference field="2" count="1" selected="0">
            <x v="17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15">
      <pivotArea dataOnly="0" labelOnly="1" fieldPosition="0">
        <references count="3">
          <reference field="1" count="1" selected="0">
            <x v="2"/>
          </reference>
          <reference field="2" count="1" selected="0">
            <x v="18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14">
      <pivotArea dataOnly="0" labelOnly="1" fieldPosition="0">
        <references count="3">
          <reference field="1" count="1" selected="0">
            <x v="2"/>
          </reference>
          <reference field="2" count="1" selected="0">
            <x v="19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13">
      <pivotArea dataOnly="0" labelOnly="1" fieldPosition="0">
        <references count="3">
          <reference field="1" count="1" selected="0">
            <x v="2"/>
          </reference>
          <reference field="2" count="1" selected="0">
            <x v="20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12">
      <pivotArea dataOnly="0" labelOnly="1" fieldPosition="0">
        <references count="3">
          <reference field="1" count="1" selected="0">
            <x v="2"/>
          </reference>
          <reference field="2" count="1" selected="0">
            <x v="21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11">
      <pivotArea dataOnly="0" labelOnly="1" fieldPosition="0">
        <references count="3">
          <reference field="1" count="1" selected="0">
            <x v="2"/>
          </reference>
          <reference field="2" count="1" selected="0">
            <x v="22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10">
      <pivotArea dataOnly="0" labelOnly="1" fieldPosition="0">
        <references count="3">
          <reference field="1" count="1" selected="0">
            <x v="2"/>
          </reference>
          <reference field="2" count="1" selected="0">
            <x v="23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09">
      <pivotArea dataOnly="0" labelOnly="1" fieldPosition="0">
        <references count="3">
          <reference field="1" count="1" selected="0">
            <x v="3"/>
          </reference>
          <reference field="2" count="1" selected="0">
            <x v="0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08">
      <pivotArea dataOnly="0" labelOnly="1" fieldPosition="0">
        <references count="3">
          <reference field="1" count="1" selected="0">
            <x v="3"/>
          </reference>
          <reference field="2" count="1" selected="0">
            <x v="1"/>
          </reference>
          <reference field="3" count="0"/>
        </references>
      </pivotArea>
    </format>
    <format dxfId="407">
      <pivotArea dataOnly="0" labelOnly="1" fieldPosition="0">
        <references count="3">
          <reference field="1" count="1" selected="0">
            <x v="3"/>
          </reference>
          <reference field="2" count="1" selected="0">
            <x v="2"/>
          </reference>
          <reference field="3" count="0"/>
        </references>
      </pivotArea>
    </format>
    <format dxfId="406">
      <pivotArea dataOnly="0" labelOnly="1" fieldPosition="0">
        <references count="3">
          <reference field="1" count="1" selected="0">
            <x v="3"/>
          </reference>
          <reference field="2" count="1" selected="0">
            <x v="3"/>
          </reference>
          <reference field="3" count="0"/>
        </references>
      </pivotArea>
    </format>
    <format dxfId="405">
      <pivotArea dataOnly="0" labelOnly="1" fieldPosition="0">
        <references count="3">
          <reference field="1" count="1" selected="0">
            <x v="3"/>
          </reference>
          <reference field="2" count="1" selected="0">
            <x v="4"/>
          </reference>
          <reference field="3" count="0"/>
        </references>
      </pivotArea>
    </format>
    <format dxfId="404">
      <pivotArea dataOnly="0" labelOnly="1" fieldPosition="0">
        <references count="3">
          <reference field="1" count="1" selected="0">
            <x v="3"/>
          </reference>
          <reference field="2" count="1" selected="0">
            <x v="5"/>
          </reference>
          <reference field="3" count="0"/>
        </references>
      </pivotArea>
    </format>
    <format dxfId="403">
      <pivotArea dataOnly="0" labelOnly="1" fieldPosition="0">
        <references count="3">
          <reference field="1" count="1" selected="0">
            <x v="3"/>
          </reference>
          <reference field="2" count="1" selected="0">
            <x v="6"/>
          </reference>
          <reference field="3" count="0"/>
        </references>
      </pivotArea>
    </format>
    <format dxfId="402">
      <pivotArea dataOnly="0" labelOnly="1" fieldPosition="0">
        <references count="3">
          <reference field="1" count="1" selected="0">
            <x v="3"/>
          </reference>
          <reference field="2" count="1" selected="0">
            <x v="7"/>
          </reference>
          <reference field="3" count="0"/>
        </references>
      </pivotArea>
    </format>
    <format dxfId="401">
      <pivotArea dataOnly="0" labelOnly="1" fieldPosition="0">
        <references count="3">
          <reference field="1" count="1" selected="0">
            <x v="3"/>
          </reference>
          <reference field="2" count="1" selected="0">
            <x v="8"/>
          </reference>
          <reference field="3" count="0"/>
        </references>
      </pivotArea>
    </format>
    <format dxfId="400">
      <pivotArea dataOnly="0" labelOnly="1" fieldPosition="0">
        <references count="3">
          <reference field="1" count="1" selected="0">
            <x v="3"/>
          </reference>
          <reference field="2" count="1" selected="0">
            <x v="9"/>
          </reference>
          <reference field="3" count="0"/>
        </references>
      </pivotArea>
    </format>
    <format dxfId="399">
      <pivotArea dataOnly="0" labelOnly="1" fieldPosition="0">
        <references count="3">
          <reference field="1" count="1" selected="0">
            <x v="3"/>
          </reference>
          <reference field="2" count="1" selected="0">
            <x v="10"/>
          </reference>
          <reference field="3" count="0"/>
        </references>
      </pivotArea>
    </format>
    <format dxfId="398">
      <pivotArea dataOnly="0" labelOnly="1" fieldPosition="0">
        <references count="3">
          <reference field="1" count="1" selected="0">
            <x v="3"/>
          </reference>
          <reference field="2" count="1" selected="0">
            <x v="11"/>
          </reference>
          <reference field="3" count="0"/>
        </references>
      </pivotArea>
    </format>
    <format dxfId="397">
      <pivotArea dataOnly="0" labelOnly="1" fieldPosition="0">
        <references count="3">
          <reference field="1" count="1" selected="0">
            <x v="3"/>
          </reference>
          <reference field="2" count="1" selected="0">
            <x v="12"/>
          </reference>
          <reference field="3" count="0"/>
        </references>
      </pivotArea>
    </format>
    <format dxfId="396">
      <pivotArea dataOnly="0" labelOnly="1" fieldPosition="0">
        <references count="3">
          <reference field="1" count="1" selected="0">
            <x v="3"/>
          </reference>
          <reference field="2" count="1" selected="0">
            <x v="13"/>
          </reference>
          <reference field="3" count="0"/>
        </references>
      </pivotArea>
    </format>
    <format dxfId="395">
      <pivotArea dataOnly="0" labelOnly="1" fieldPosition="0">
        <references count="3">
          <reference field="1" count="1" selected="0">
            <x v="3"/>
          </reference>
          <reference field="2" count="1" selected="0">
            <x v="14"/>
          </reference>
          <reference field="3" count="0"/>
        </references>
      </pivotArea>
    </format>
    <format dxfId="394">
      <pivotArea dataOnly="0" labelOnly="1" fieldPosition="0">
        <references count="3">
          <reference field="1" count="1" selected="0">
            <x v="3"/>
          </reference>
          <reference field="2" count="1" selected="0">
            <x v="15"/>
          </reference>
          <reference field="3" count="0"/>
        </references>
      </pivotArea>
    </format>
    <format dxfId="393">
      <pivotArea dataOnly="0" labelOnly="1" fieldPosition="0">
        <references count="3">
          <reference field="1" count="1" selected="0">
            <x v="3"/>
          </reference>
          <reference field="2" count="1" selected="0">
            <x v="16"/>
          </reference>
          <reference field="3" count="0"/>
        </references>
      </pivotArea>
    </format>
    <format dxfId="392">
      <pivotArea dataOnly="0" labelOnly="1" fieldPosition="0">
        <references count="3">
          <reference field="1" count="1" selected="0">
            <x v="3"/>
          </reference>
          <reference field="2" count="1" selected="0">
            <x v="17"/>
          </reference>
          <reference field="3" count="0"/>
        </references>
      </pivotArea>
    </format>
    <format dxfId="391">
      <pivotArea dataOnly="0" labelOnly="1" fieldPosition="0">
        <references count="3">
          <reference field="1" count="1" selected="0">
            <x v="3"/>
          </reference>
          <reference field="2" count="1" selected="0">
            <x v="18"/>
          </reference>
          <reference field="3" count="0"/>
        </references>
      </pivotArea>
    </format>
    <format dxfId="390">
      <pivotArea dataOnly="0" labelOnly="1" fieldPosition="0">
        <references count="3">
          <reference field="1" count="1" selected="0">
            <x v="3"/>
          </reference>
          <reference field="2" count="1" selected="0">
            <x v="19"/>
          </reference>
          <reference field="3" count="0"/>
        </references>
      </pivotArea>
    </format>
    <format dxfId="389">
      <pivotArea dataOnly="0" labelOnly="1" fieldPosition="0">
        <references count="3">
          <reference field="1" count="1" selected="0">
            <x v="3"/>
          </reference>
          <reference field="2" count="1" selected="0">
            <x v="20"/>
          </reference>
          <reference field="3" count="0"/>
        </references>
      </pivotArea>
    </format>
    <format dxfId="388">
      <pivotArea dataOnly="0" labelOnly="1" fieldPosition="0">
        <references count="3">
          <reference field="1" count="1" selected="0">
            <x v="3"/>
          </reference>
          <reference field="2" count="1" selected="0">
            <x v="21"/>
          </reference>
          <reference field="3" count="0"/>
        </references>
      </pivotArea>
    </format>
    <format dxfId="387">
      <pivotArea dataOnly="0" labelOnly="1" fieldPosition="0">
        <references count="3">
          <reference field="1" count="1" selected="0">
            <x v="3"/>
          </reference>
          <reference field="2" count="1" selected="0">
            <x v="22"/>
          </reference>
          <reference field="3" count="0"/>
        </references>
      </pivotArea>
    </format>
    <format dxfId="386">
      <pivotArea dataOnly="0" labelOnly="1" fieldPosition="0">
        <references count="3">
          <reference field="1" count="1" selected="0">
            <x v="3"/>
          </reference>
          <reference field="2" count="1" selected="0">
            <x v="23"/>
          </reference>
          <reference field="3" count="0"/>
        </references>
      </pivotArea>
    </format>
    <format dxfId="38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84">
      <pivotArea outline="0" fieldPosition="0">
        <references count="1">
          <reference field="4294967294" count="1" selected="0">
            <x v="1"/>
          </reference>
        </references>
      </pivotArea>
    </format>
    <format dxfId="38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82">
      <pivotArea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3" count="2" selected="0">
            <x v="3"/>
            <x v="5"/>
          </reference>
        </references>
      </pivotArea>
    </format>
    <format dxfId="381">
      <pivotArea outline="0" fieldPosition="0">
        <references count="1">
          <reference field="4294967294" count="1" selected="0">
            <x v="2"/>
          </reference>
        </references>
      </pivotArea>
    </format>
    <format dxfId="38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79">
      <pivotArea type="all" dataOnly="0" outline="0" fieldPosition="0"/>
    </format>
    <format dxfId="378">
      <pivotArea outline="0" collapsedLevelsAreSubtotals="1" fieldPosition="0"/>
    </format>
    <format dxfId="377">
      <pivotArea field="1" type="button" dataOnly="0" labelOnly="1" outline="0" axis="axisRow" fieldPosition="0"/>
    </format>
    <format dxfId="376">
      <pivotArea field="3" type="button" dataOnly="0" labelOnly="1" outline="0" axis="axisRow" fieldPosition="1"/>
    </format>
    <format dxfId="375">
      <pivotArea field="2" type="button" dataOnly="0" labelOnly="1" outline="0" axis="axisRow" fieldPosition="3"/>
    </format>
    <format dxfId="374">
      <pivotArea dataOnly="0" labelOnly="1" outline="0" fieldPosition="0">
        <references count="1">
          <reference field="1" count="0"/>
        </references>
      </pivotArea>
    </format>
    <format dxfId="373">
      <pivotArea dataOnly="0" labelOnly="1" outline="0" fieldPosition="0">
        <references count="1">
          <reference field="1" count="0" defaultSubtotal="1"/>
        </references>
      </pivotArea>
    </format>
    <format dxfId="372">
      <pivotArea dataOnly="0" labelOnly="1" grandRow="1" outline="0" fieldPosition="0"/>
    </format>
    <format dxfId="371">
      <pivotArea dataOnly="0" labelOnly="1" outline="0" fieldPosition="0">
        <references count="2">
          <reference field="1" count="1" selected="0">
            <x v="0"/>
          </reference>
          <reference field="3" count="4">
            <x v="1"/>
            <x v="3"/>
            <x v="4"/>
            <x v="5"/>
          </reference>
        </references>
      </pivotArea>
    </format>
    <format dxfId="370">
      <pivotArea dataOnly="0" labelOnly="1" outline="0" fieldPosition="0">
        <references count="2">
          <reference field="1" count="1" selected="0">
            <x v="1"/>
          </reference>
          <reference field="3" count="5">
            <x v="0"/>
            <x v="2"/>
            <x v="3"/>
            <x v="4"/>
            <x v="5"/>
          </reference>
        </references>
      </pivotArea>
    </format>
    <format dxfId="369">
      <pivotArea dataOnly="0" labelOnly="1" outline="0" fieldPosition="0">
        <references count="2">
          <reference field="1" count="1" selected="0">
            <x v="2"/>
          </reference>
          <reference field="3" count="3">
            <x v="0"/>
            <x v="2"/>
            <x v="3"/>
          </reference>
        </references>
      </pivotArea>
    </format>
    <format dxfId="368">
      <pivotArea dataOnly="0" labelOnly="1" outline="0" fieldPosition="0">
        <references count="2">
          <reference field="1" count="1" selected="0">
            <x v="3"/>
          </reference>
          <reference field="3" count="2">
            <x v="3"/>
            <x v="4"/>
          </reference>
        </references>
      </pivotArea>
    </format>
    <format dxfId="3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6">
      <pivotArea outline="0" fieldPosition="0">
        <references count="1">
          <reference field="4294967294" count="1" selected="0">
            <x v="2"/>
          </reference>
        </references>
      </pivotArea>
    </format>
    <format dxfId="36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64">
      <pivotArea outline="0" fieldPosition="0">
        <references count="4">
          <reference field="4294967294" count="1" selected="0">
            <x v="2"/>
          </reference>
          <reference field="1" count="1" selected="0">
            <x v="2"/>
          </reference>
          <reference field="2" count="1" selected="0">
            <x v="1"/>
          </reference>
          <reference field="3" count="1" selected="0">
            <x v="3"/>
          </reference>
        </references>
      </pivotArea>
    </format>
    <format dxfId="363">
      <pivotArea dataOnly="0" outline="0" fieldPosition="0">
        <references count="1">
          <reference field="3" count="1">
            <x v="5"/>
          </reference>
        </references>
      </pivotArea>
    </format>
    <format dxfId="362">
      <pivotArea dataOnly="0" outline="0" fieldPosition="0">
        <references count="1">
          <reference field="2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Реестр4_1" backgroundRefresh="0" connectionId="1" xr16:uid="{00000000-0016-0000-0300-000000000000}" autoFormatId="16" applyNumberFormats="0" applyBorderFormats="0" applyFontFormats="0" applyPatternFormats="0" applyAlignmentFormats="0" applyWidthHeightFormats="0">
  <queryTableRefresh nextId="87">
    <queryTableFields count="38">
      <queryTableField id="1" name="№" tableColumnId="1"/>
      <queryTableField id="2" name="Секция" tableColumnId="2"/>
      <queryTableField id="3" name="Этаж" tableColumnId="3"/>
      <queryTableField id="4" name="Номер на этаже" tableColumnId="4"/>
      <queryTableField id="5" name="Тип кв" tableColumnId="5"/>
      <queryTableField id="67" dataBound="0" tableColumnId="18"/>
      <queryTableField id="66" dataBound="0" tableColumnId="17"/>
      <queryTableField id="65" dataBound="0" tableColumnId="16"/>
      <queryTableField id="63" dataBound="0" tableColumnId="14"/>
      <queryTableField id="68" dataBound="0" tableColumnId="7"/>
      <queryTableField id="55" dataBound="0" tableColumnId="6"/>
      <queryTableField id="21" name="Цена м2 базовая" tableColumnId="21"/>
      <queryTableField id="22" name="Коэф базовой  наценки" tableColumnId="22"/>
      <queryTableField id="23" name="Цена м2 с К наценки без отделки" tableColumnId="23"/>
      <queryTableField id="24" name="еврокухня" tableColumnId="24"/>
      <queryTableField id="75" dataBound="0" tableColumnId="15"/>
      <queryTableField id="25" name="ванна от 4 кв.м" tableColumnId="25"/>
      <queryTableField id="85" dataBound="0" tableColumnId="36"/>
      <queryTableField id="84" dataBound="0" tableColumnId="32"/>
      <queryTableField id="27" name="лоджий больше 2х" tableColumnId="27"/>
      <queryTableField id="77" dataBound="0" tableColumnId="12"/>
      <queryTableField id="28" name="гардеробные" tableColumnId="28"/>
      <queryTableField id="69" dataBound="0" tableColumnId="8"/>
      <queryTableField id="70" dataBound="0" tableColumnId="9"/>
      <queryTableField id="30" name="низкий этаж" tableColumnId="30"/>
      <queryTableField id="71" dataBound="0" tableColumnId="10"/>
      <queryTableField id="33" name="выход на лоджию с кухни" tableColumnId="33"/>
      <queryTableField id="34" name="вид на 2 стороны" tableColumnId="34"/>
      <queryTableField id="78" dataBound="0" tableColumnId="13"/>
      <queryTableField id="35" name="Не угловая" tableColumnId="35"/>
      <queryTableField id="82" dataBound="0" tableColumnId="26"/>
      <queryTableField id="81" dataBound="0" tableColumnId="20"/>
      <queryTableField id="76" dataBound="0" tableColumnId="11"/>
      <queryTableField id="80" dataBound="0" tableColumnId="19"/>
      <queryTableField id="37" name="Цена м2 с учетом всех коэф-тов" tableColumnId="37"/>
      <queryTableField id="40" name="Цена м2 с учетом всех наценок" tableColumnId="40"/>
      <queryTableField id="41" name="Стоимость ОН без отделки без скидки" tableColumnId="41"/>
      <queryTableField id="52" name="Статус" tableColumnId="52"/>
    </queryTableFields>
    <queryTableDeletedFields count="34">
      <deletedField name="Площадь комната 1"/>
      <deletedField name="Площадь комната 2"/>
      <deletedField name="Площадь комната 3"/>
      <deletedField name="Площадь по проекту жилая"/>
      <deletedField name="Площадь кухни"/>
      <deletedField name="Площадь ванная"/>
      <deletedField name="Площадь с\у"/>
      <deletedField name="гардеробная"/>
      <deletedField name="Площадь вх группа"/>
      <deletedField name="Площадь Лоджии"/>
      <deletedField name="Площадь 2Лоджии"/>
      <deletedField name="Летние"/>
      <deletedField name="Площадь по проекту (общая)"/>
      <deletedField name="Площадь по проекту отапл (без летних)"/>
      <deletedField name="Общая приведенная с летними и пониж коэф"/>
      <deletedField name="Скидка %"/>
      <deletedField name="Скидка в сумме"/>
      <deletedField name="Стоимость ОН со скидкой"/>
      <deletedField name="кухни от 10 до 14кв.м"/>
      <deletedField name="свободная планировка"/>
      <deletedField name="Статусы CRM"/>
      <deletedField name="проверка статуса"/>
      <deletedField name="раздельные с/у"/>
      <deletedField name="квадратные комнаты"/>
      <deletedField name="Примечание"/>
      <deletedField name="Отделка"/>
      <deletedField name="Стоимость отделки"/>
      <deletedField name="Цена м2 с отделкой"/>
      <deletedField name="Сумма отделки"/>
      <deletedField name="Стоимость квартиры с отделкой"/>
      <deletedField name="ОН ХИТ"/>
      <deletedField name="наценка 1"/>
      <deletedField name="наценка 2"/>
      <deletedField name="Высокий  этаж"/>
    </queryTableDeletedFields>
  </queryTableRefresh>
  <extLst>
    <ext xmlns:x15="http://schemas.microsoft.com/office/spreadsheetml/2010/11/main" uri="{883FBD77-0823-4a55-B5E3-86C4891E6966}">
      <x15:queryTable sourceDataName=" 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65BFC5F-D58E-49C2-9638-DA8892CE9B63}" autoFormatId="16" applyNumberFormats="0" applyBorderFormats="0" applyFontFormats="0" applyPatternFormats="0" applyAlignmentFormats="0" applyWidthHeightFormats="0">
  <queryTableRefresh nextId="69">
    <queryTableFields count="52">
      <queryTableField id="1" name="№" tableColumnId="1"/>
      <queryTableField id="2" name="кол-во" tableColumnId="2"/>
      <queryTableField id="3" name="Дата подачи на регистрацию" tableColumnId="3"/>
      <queryTableField id="4" name="№ договора" tableColumnId="4"/>
      <queryTableField id="5" name="Схема продажи" tableColumnId="5"/>
      <queryTableField id="6" name="СЭР\МФЦ" tableColumnId="6"/>
      <queryTableField id="7" name="Способ регистрации" tableColumnId="7"/>
      <queryTableField id="8" name="Дата регистрации МФЦ (план)" tableColumnId="8"/>
      <queryTableField id="9" name="Дата регистрации МФЦ\СЭР" tableColumnId="9"/>
      <queryTableField id="10" name="Все участники сделки" tableColumnId="10"/>
      <queryTableField id="11" name="Дом" tableColumnId="11"/>
      <queryTableField id="12" name="Секция" tableColumnId="12"/>
      <queryTableField id="13" name="№ на этаже" tableColumnId="13"/>
      <queryTableField id="14" name="Этаж" tableColumnId="14"/>
      <queryTableField id="15" name="№ кв" tableColumnId="15"/>
      <queryTableField id="16" name="Тип кв" tableColumnId="16"/>
      <queryTableField id="17" name="S" tableColumnId="17"/>
      <queryTableField id="18" name="Отделка " tableColumnId="18"/>
      <queryTableField id="19" name="Сумма договора" tableColumnId="19"/>
      <queryTableField id="20" name="Цена м2" tableColumnId="20"/>
      <queryTableField id="21" name="Платная бронь" tableColumnId="21"/>
      <queryTableField id="22" name="Итоговая стоимость с отделкой" tableColumnId="22"/>
      <queryTableField id="23" name="Итоговая цена м2 с отделкой" tableColumnId="23"/>
      <queryTableField id="24" name="Стоимость отделки" tableColumnId="24"/>
      <queryTableField id="63" dataBound="0" tableColumnId="63"/>
      <queryTableField id="25" name="Итоговая стоимость без отделки" tableColumnId="25"/>
      <queryTableField id="26" name="Итоговая цена м2 без отделки" tableColumnId="26"/>
      <queryTableField id="27" name="Акция\скидка" tableColumnId="27"/>
      <queryTableField id="28" name="Сумма скидки" tableColumnId="28"/>
      <queryTableField id="29" name="Вариант оплаты" tableColumnId="29"/>
      <queryTableField id="30" name="Банк" tableColumnId="30"/>
      <queryTableField id="31" name="Собственные средства" tableColumnId="31"/>
      <queryTableField id="32" name="Кредитные средства" tableColumnId="32"/>
      <queryTableField id="33" name="МСК" tableColumnId="33"/>
      <queryTableField id="34" name="ЖСК" tableColumnId="34"/>
      <queryTableField id="35" name="РВИ" tableColumnId="35"/>
      <queryTableField id="36" name="Программа кредитования" tableColumnId="36"/>
      <queryTableField id="37" name="Скидка по Гос. программе" tableColumnId="37"/>
      <queryTableField id="38" name="Ставка Гос. Программы" tableColumnId="38"/>
      <queryTableField id="39" name="% комиссии" tableColumnId="39"/>
      <queryTableField id="40" name="сумма комиссии" tableColumnId="40"/>
      <queryTableField id="41" name="Основной клиент" tableColumnId="41"/>
      <queryTableField id="42" name="Мобильный телефон" tableColumnId="42"/>
      <queryTableField id="43" name="Пол" tableColumnId="43"/>
      <queryTableField id="44" name="Дата рождения" tableColumnId="44"/>
      <queryTableField id="57" name="Источник рекламы" tableColumnId="57"/>
      <queryTableField id="58" name="МОП" tableColumnId="58"/>
      <queryTableField id="59" name="ИМ" tableColumnId="59"/>
      <queryTableField id="60" name="Тип договора" tableColumnId="60"/>
      <queryTableField id="67" name="Фикс за АН" tableColumnId="45"/>
      <queryTableField id="61" name="Дата расторжения\уступки" tableColumnId="61"/>
      <queryTableField id="62" name="Примечание" tableColumnId="6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екция" xr10:uid="{0A90478A-DA40-4F0C-B847-DD88B52183C7}" sourceName="Секция">
  <pivotTables>
    <pivotTable tabId="27" name="Сводная таблица1"/>
  </pivotTables>
  <data>
    <tabular pivotCacheId="1606969684">
      <items count="4">
        <i x="1" s="1"/>
        <i x="2" s="1"/>
        <i x="3" s="1"/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ип_кв" xr10:uid="{512871A7-8552-4268-89D9-54E7D112E5A8}" sourceName="Тип кв">
  <pivotTables>
    <pivotTable tabId="27" name="Сводная таблица1"/>
  </pivotTables>
  <data>
    <tabular pivotCacheId="1606969684">
      <items count="4">
        <i x="2"/>
        <i x="0"/>
        <i x="1"/>
        <i x="3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екция1" xr10:uid="{554F3667-5D40-4C1E-8F52-2C07CB2DD500}" sourceName="Секция">
  <pivotTables>
    <pivotTable tabId="29" name="Сводная таблица1"/>
  </pivotTables>
  <data>
    <tabular pivotCacheId="1606969684">
      <items count="4">
        <i x="0" s="1"/>
        <i x="1" s="1"/>
        <i x="2" s="1"/>
        <i x="3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ип_кв1" xr10:uid="{0C616C81-9D86-4D35-8E5B-3595C5981097}" sourceName="Тип кв">
  <pivotTables>
    <pivotTable tabId="29" name="Сводная таблица1"/>
  </pivotTables>
  <data>
    <tabular pivotCacheId="1606969684">
      <items count="4">
        <i x="2" s="1"/>
        <i x="0" s="1"/>
        <i x="1" s="1"/>
        <i x="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Секция 1" xr10:uid="{DCE1E154-4FF0-44A3-8444-51EEBC0D9004}" cache="Срез_Секция1" caption="Секция" rowHeight="241300"/>
  <slicer name="Тип кв 1" xr10:uid="{93B4ED0D-E2E3-448F-ACDB-0724CD3A1DB8}" cache="Срез_Тип_кв1" caption="Тип кв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Секция" xr10:uid="{F01C6553-4E21-442C-8D51-D3F456BD3C75}" cache="Срез_Секция" caption="Секция" columnCount="4" rowHeight="288000"/>
  <slicer name="Тип кв" xr10:uid="{3E070BC0-4C5A-44EF-93CF-D45E9B9576BD}" cache="Срез_Тип_кв" caption="Тип кв" columnCount="4" rowHeight="28800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ППД5" displayName="ППД5" ref="A2:DV582" totalsRowShown="0" headerRowDxfId="761" dataDxfId="760">
  <autoFilter ref="A2:DV582" xr:uid="{00000000-000C-0000-FFFF-FFFF00000000}">
    <filterColumn colId="0">
      <filters>
        <filter val="305"/>
      </filters>
    </filterColumn>
  </autoFilter>
  <tableColumns count="126">
    <tableColumn id="1" xr3:uid="{00000000-0010-0000-0000-000001000000}" name="№" dataDxfId="759" totalsRowDxfId="758"/>
    <tableColumn id="2" xr3:uid="{00000000-0010-0000-0000-000002000000}" name="Секция" dataDxfId="757" totalsRowDxfId="756"/>
    <tableColumn id="3" xr3:uid="{00000000-0010-0000-0000-000003000000}" name="Этаж" dataDxfId="755" totalsRowDxfId="754"/>
    <tableColumn id="4" xr3:uid="{00000000-0010-0000-0000-000004000000}" name="№ на этаже" dataDxfId="753" totalsRowDxfId="752"/>
    <tableColumn id="5" xr3:uid="{00000000-0010-0000-0000-000005000000}" name="Тип кв" dataDxfId="751" totalsRowDxfId="750"/>
    <tableColumn id="29" xr3:uid="{00000000-0010-0000-0000-00001D000000}" name="Комната 1" dataDxfId="749" totalsRowDxfId="748"/>
    <tableColumn id="28" xr3:uid="{00000000-0010-0000-0000-00001C000000}" name="Комната 2" dataDxfId="747" totalsRowDxfId="746"/>
    <tableColumn id="30" xr3:uid="{00000000-0010-0000-0000-00001E000000}" name="Комната 3" dataDxfId="745" totalsRowDxfId="744"/>
    <tableColumn id="18" xr3:uid="{00000000-0010-0000-0000-000012000000}" name="Площадь по проекту жилая" dataDxfId="743" totalsRowDxfId="742">
      <calculatedColumnFormula>SUM(ППД5[[#This Row],[Комната 1]:[Комната 3]])</calculatedColumnFormula>
    </tableColumn>
    <tableColumn id="35" xr3:uid="{00000000-0010-0000-0000-000023000000}" name="Кухня" dataDxfId="741" totalsRowDxfId="740"/>
    <tableColumn id="34" xr3:uid="{00000000-0010-0000-0000-000022000000}" name="Ванная" dataDxfId="739" totalsRowDxfId="738"/>
    <tableColumn id="42" xr3:uid="{00000000-0010-0000-0000-00002A000000}" name="С\У" dataDxfId="737" totalsRowDxfId="736"/>
    <tableColumn id="6" xr3:uid="{00000000-0010-0000-0000-000006000000}" name="Гардеробная" dataDxfId="735"/>
    <tableColumn id="41" xr3:uid="{00000000-0010-0000-0000-000029000000}" name="Коридор" dataDxfId="734" totalsRowDxfId="733"/>
    <tableColumn id="43" xr3:uid="{00000000-0010-0000-0000-00002B000000}" name="Лоджия 1" dataDxfId="732" totalsRowDxfId="731"/>
    <tableColumn id="40" xr3:uid="{00000000-0010-0000-0000-000028000000}" name="Лоджия 2" dataDxfId="730" totalsRowDxfId="729"/>
    <tableColumn id="14" xr3:uid="{00000000-0010-0000-0000-00000E000000}" name="Лоджия 3" dataDxfId="728" totalsRowDxfId="727"/>
    <tableColumn id="44" xr3:uid="{00000000-0010-0000-0000-00002C000000}" name="Летние" dataDxfId="726">
      <calculatedColumnFormula>SUM(ППД5[[#This Row],[Лоджия 1]:[Лоджия 3]])</calculatedColumnFormula>
    </tableColumn>
    <tableColumn id="19" xr3:uid="{00000000-0010-0000-0000-000013000000}" name="Площадь по проекту(общая)" dataDxfId="725" totalsRowDxfId="724" dataCellStyle="Финансовый 2">
      <calculatedColumnFormula>ROUND(SUM(ППД5[[#This Row],[Площадь по проекту жилая]:[Лоджия 3]]),2)</calculatedColumnFormula>
    </tableColumn>
    <tableColumn id="36" xr3:uid="{00000000-0010-0000-0000-000024000000}" name="Площадь по проекту отапл (без летних)" dataDxfId="723" dataCellStyle="Финансовый 2">
      <calculatedColumnFormula>ROUND(ППД5[[#This Row],[Площадь по проекту(общая)]]-ППД5[[#This Row],[Летние]],2)</calculatedColumnFormula>
    </tableColumn>
    <tableColumn id="12" xr3:uid="{00000000-0010-0000-0000-00000C000000}" name="Расчетная проектная площадь" dataDxfId="722" dataCellStyle="Финансовый 2">
      <calculatedColumnFormula>ROUND(ППД5[[#This Row],[Площадь по проекту(общая)]]-(SUM(ППД5[[#This Row],[Лоджия 1]:[Лоджия 3]])/2),2)</calculatedColumnFormula>
    </tableColumn>
    <tableColumn id="122" xr3:uid="{D5115392-3F31-4B70-9E09-E069325AE29B}" name="Тест" dataDxfId="721" dataCellStyle="Финансовый 2">
      <calculatedColumnFormula>IF(ППД5[[#This Row],[Статус]]="продажа",ППД5[[#This Row],[Расчетная проектная площадь]],ППД5[[#This Row],[Расчетная ТП площадь]])</calculatedColumnFormula>
    </tableColumn>
    <tableColumn id="101" xr3:uid="{7AF5501B-A866-47B6-9891-5EBDDA8FEA74}" name="ТП Комната 1" dataDxfId="720" dataCellStyle="Финансовый 2"/>
    <tableColumn id="102" xr3:uid="{652AE9E4-9733-4933-94AB-38CCE3D4FDC6}" name="ТП Комната 2" dataDxfId="719" dataCellStyle="Финансовый 2"/>
    <tableColumn id="103" xr3:uid="{E517F618-43E2-4431-911B-0461AB2D3FCE}" name="ТП Комната 3" dataDxfId="718" dataCellStyle="Финансовый 2"/>
    <tableColumn id="107" xr3:uid="{0F586826-6470-46E5-8F82-95B966758805}" name="Площадь по ТП жилая" dataDxfId="717" dataCellStyle="Финансовый 2">
      <calculatedColumnFormula>SUM(ППД5[[#This Row],[ТП Комната 1]:[ТП Комната 3]])</calculatedColumnFormula>
    </tableColumn>
    <tableColumn id="108" xr3:uid="{4F909695-564C-44A0-AD23-50637013D641}" name="ТП Кухня" dataDxfId="716" dataCellStyle="Финансовый 2"/>
    <tableColumn id="109" xr3:uid="{08FAB6B5-1E36-47C8-ADE0-E79E3CEE29F0}" name="ТП Ванная" dataDxfId="715" dataCellStyle="Финансовый 2"/>
    <tableColumn id="104" xr3:uid="{A8A061C3-C693-4E6C-BC7F-EDE469F8C65B}" name="ТП С\У" dataDxfId="714" dataCellStyle="Финансовый 2"/>
    <tableColumn id="105" xr3:uid="{E42D7DCE-562F-44B8-B15A-12D37736F9EE}" name="ТП Гардеробная" dataDxfId="713" dataCellStyle="Финансовый 2"/>
    <tableColumn id="106" xr3:uid="{6197CF84-9419-4EAD-B7F1-7FA0E5BF3312}" name="ТП Коридор" dataDxfId="712" dataCellStyle="Финансовый 2"/>
    <tableColumn id="98" xr3:uid="{26FDF22D-878F-4A16-AF74-44FF55DEFCC6}" name="ТП Лоджия 1" dataDxfId="711" dataCellStyle="Финансовый 2"/>
    <tableColumn id="99" xr3:uid="{3D0541CC-8EB0-4D68-81AF-4248FBC17136}" name="ТП Лоджия 2" dataDxfId="710" dataCellStyle="Финансовый 2"/>
    <tableColumn id="100" xr3:uid="{2291A16C-2FBC-45A9-8112-C6860F82A4DD}" name="ТП Лоджия 3" dataDxfId="709" dataCellStyle="Финансовый 2"/>
    <tableColumn id="112" xr3:uid="{D1939003-1E1B-4A28-9183-28084793509C}" name="ТП Летние" dataDxfId="708" dataCellStyle="Финансовый 2"/>
    <tableColumn id="117" xr3:uid="{B8B1FD25-D1C5-4D96-9EAF-ADB9233C6387}" name="кроме того прочая_x000a_(без коэффициента)" dataDxfId="707" dataCellStyle="Финансовый 2"/>
    <tableColumn id="113" xr3:uid="{E1FA777A-F69E-43C8-874A-8599B7B3A99D}" name="ТП общая S" dataDxfId="706" dataCellStyle="Финансовый 2">
      <calculatedColumnFormula>SUM(ППД5[[#This Row],[Площадь по ТП жилая]:[ТП Лоджия 3]])-ППД5[[#This Row],[ТП Летние]]+ППД5[[#This Row],[кроме того прочая
(без коэффициента)]]</calculatedColumnFormula>
    </tableColumn>
    <tableColumn id="111" xr3:uid="{0BD9DB8D-9B03-40F9-8F39-5B4AC5CF8F4C}" name="Расчетная ТП площадь" dataDxfId="705" dataCellStyle="Финансовый 2">
      <calculatedColumnFormula>ППД5[[#This Row],[ТП Площадь без летних]]+(ППД5[[#This Row],[ТП Летние]])</calculatedColumnFormula>
    </tableColumn>
    <tableColumn id="110" xr3:uid="{0CCFFC1C-CE41-49D4-9CF8-5D73D0C9553E}" name="ТП Площадь без летних" dataDxfId="704" dataCellStyle="Финансовый 2">
      <calculatedColumnFormula>ППД5[[#This Row],[ТП общая S]]-ППД5[[#This Row],[кроме того прочая
(без коэффициента)]]</calculatedColumnFormula>
    </tableColumn>
    <tableColumn id="131" xr3:uid="{B92614F1-D0D8-4CE9-909E-BFA3807289A3}" name="Подсобная" dataDxfId="703" dataCellStyle="Финансовый 2">
      <calculatedColumnFormula>SUM(ППД5[[#This Row],[ТП Кухня]:[ТП Коридор]])</calculatedColumnFormula>
    </tableColumn>
    <tableColumn id="116" xr3:uid="{79928F06-C73B-406D-8DE5-30A8B25B312A}" name="Расхождение" dataDxfId="702" dataCellStyle="Финансовый 2">
      <calculatedColumnFormula>ППД5[[#This Row],[Расчетная ТП площадь]]-ППД5[[#This Row],[Расчетная проектная площадь]]</calculatedColumnFormula>
    </tableColumn>
    <tableColumn id="124" xr3:uid="{4BA0C5FF-75FF-4889-A6D8-D043E82FD70B}" name="% расхождения" dataDxfId="701" dataCellStyle="Процентный">
      <calculatedColumnFormula>ППД5[[#This Row],[Расчетная ТП площадь]]/ППД5[[#This Row],[Расчетная проектная площадь]]-1</calculatedColumnFormula>
    </tableColumn>
    <tableColumn id="115" xr3:uid="{7B442DDC-FCFE-4A5A-BE39-C6BB7EC11FF0}" name="Сумма доплаты" dataDxfId="700" dataCellStyle="Финансовый 2">
      <calculatedColumnFormula>ППД5[[#This Row],[% расхождения]]*ППД5[[#This Row],[Стоимость до скидки]]</calculatedColumnFormula>
    </tableColumn>
    <tableColumn id="38" xr3:uid="{657B7AC0-41F7-451B-8F9D-5FDE59293E04}" name="м2 после К" dataDxfId="699" dataCellStyle="Финансовый 2">
      <calculatedColumnFormula>VLOOKUP(ППД5[[#This Row],[№]],наценкад5[],COLUMN(наценкад5[[#This Row],[Цена м2 с учетом всех K]]),0)</calculatedColumnFormula>
    </tableColumn>
    <tableColumn id="37" xr3:uid="{348338BB-CBC5-48FA-8BCF-6C4BFF7656EE}" name="Повышение 16.08.23 - 5%" dataDxfId="698" dataCellStyle="Финансовый 2"/>
    <tableColumn id="16" xr3:uid="{1E27AA8A-06E5-4EC5-A6FC-652568B724B5}" name="Фикс 16.08.23" dataDxfId="697" dataCellStyle="Финансовый 2">
      <calculatedColumnFormula>ППД5[[#This Row],[м2 после К]]+ППД5[[#This Row],[Повышение 16.08.23 - 5%]]</calculatedColumnFormula>
    </tableColumn>
    <tableColumn id="47" xr3:uid="{D737070F-724D-4FBF-B6B2-427AF6CABFA8}" name="Повышение 29.08.23 - 3%" dataDxfId="696" dataCellStyle="Финансовый 2"/>
    <tableColumn id="46" xr3:uid="{41DF9784-65F2-4DBA-8CD5-937714FD5805}" name="Фикс 29.08.23" dataDxfId="695" dataCellStyle="Финансовый 2">
      <calculatedColumnFormula>ППД5[[#This Row],[Фикс 16.08.23]]+ППД5[[#This Row],[Повышение 29.08.23 - 3%]]</calculatedColumnFormula>
    </tableColumn>
    <tableColumn id="49" xr3:uid="{29E44F28-3584-486C-913C-6AFDF1B19093}" name="Повышение 06.09.23 СТ и 1К" dataDxfId="694" dataCellStyle="Финансовый 2"/>
    <tableColumn id="48" xr3:uid="{8B624773-6885-409D-B50E-AC224EF743D8}" name="Фикс 06.09.23" dataDxfId="693" dataCellStyle="Финансовый 2">
      <calculatedColumnFormula>ППД5[[#This Row],[Фикс 29.08.23]]+ППД5[[#This Row],[Повышение 06.09.23 СТ и 1К]]</calculatedColumnFormula>
    </tableColumn>
    <tableColumn id="32" xr3:uid="{92C09F74-B82F-4390-922B-8D331D848639}" name="Повышение 23.10.23  В4 " dataDxfId="692" dataCellStyle="Финансовый 2"/>
    <tableColumn id="17" xr3:uid="{F5A2E90A-2F78-44ED-AF76-46F94F3E6D5F}" name="Фикс 23.10.23" dataDxfId="691" dataCellStyle="Финансовый 2">
      <calculatedColumnFormula>ППД5[[#This Row],[Повышение 23.10.23  В4 ]]+ППД5[[#This Row],[Фикс 06.09.23]]</calculatedColumnFormula>
    </tableColumn>
    <tableColumn id="50" xr3:uid="{777425CD-A2C2-40F8-9C8B-E3580F32307C}" name="Повышение 8.11.23 1К 5%" dataDxfId="690" dataCellStyle="Финансовый 2"/>
    <tableColumn id="51" xr3:uid="{880DB70B-11FC-416C-BE12-4E101DBCF295}" name="Фикс 8.11.23" dataDxfId="689" dataCellStyle="Финансовый 2">
      <calculatedColumnFormula>ППД5[[#This Row],[Повышение 8.11.23 1К 5%]]+ППД5[[#This Row],[Фикс 23.10.23]]</calculatedColumnFormula>
    </tableColumn>
    <tableColumn id="54" xr3:uid="{3F3D7EE8-ECF3-407E-ABD5-B23E3856C68B}" name="Корректировка 24.11.23 - 1К В5, 2К А2, №233" dataDxfId="688" dataCellStyle="Финансовый 2"/>
    <tableColumn id="52" xr3:uid="{738E8E07-0258-460C-8821-01462A98F203}" name="Фикс 8.11.24" dataDxfId="687" dataCellStyle="Финансовый 2">
      <calculatedColumnFormula>ППД5[[#This Row],[Корректировка 24.11.23 - 1К В5, 2К А2, №233]]+ППД5[[#This Row],[Фикс 8.11.23]]</calculatedColumnFormula>
    </tableColumn>
    <tableColumn id="56" xr3:uid="{1866C4CB-5667-4494-988F-34FB8CC7AF07}" name="Наценка за отделку 29.12.23 1%" dataDxfId="686" dataCellStyle="Финансовый 2"/>
    <tableColumn id="55" xr3:uid="{AC380762-CD10-4F9A-933B-6FA1945DA7BD}" name="Фикс 29.12.23" dataDxfId="685" dataCellStyle="Финансовый 2">
      <calculatedColumnFormula>ППД5[[#This Row],[Наценка за отделку 29.12.23 1%]]+ППД5[[#This Row],[Фикс 8.11.24]]</calculatedColumnFormula>
    </tableColumn>
    <tableColumn id="58" xr3:uid="{1F57920C-99FF-4DC4-98E6-BA2FBE94BC48}" name="Наценка 10.01.24 5%" dataDxfId="684" dataCellStyle="Финансовый 2"/>
    <tableColumn id="57" xr3:uid="{94061257-F549-40E9-99A2-DC16AE88841D}" name="Фикс 10.01.24" dataDxfId="683" dataCellStyle="Финансовый 2">
      <calculatedColumnFormula>ППД5[[#This Row],[Фикс 29.12.23]]+ППД5[[#This Row],[Наценка 10.01.24 5%]]</calculatedColumnFormula>
    </tableColumn>
    <tableColumn id="60" xr3:uid="{3B52D4C4-8719-4EE6-8AA9-D365C1A60F65}" name="Наценка 26.02.24 1 Этаж" dataDxfId="682" dataCellStyle="Финансовый 2"/>
    <tableColumn id="59" xr3:uid="{D7D6341B-98B0-4659-93AF-88D8F565FA3B}" name="Фикс 26.02.24" dataDxfId="681" dataCellStyle="Финансовый 2">
      <calculatedColumnFormula>ППД5[[#This Row],[Наценка 26.02.24 1 Этаж]]+ППД5[[#This Row],[Фикс 10.01.24]]</calculatedColumnFormula>
    </tableColumn>
    <tableColumn id="65" xr3:uid="{8301D4C1-B09E-40AF-AA66-E0BEEE553AD5}" name="Наценка 06.03.24_x000a_СТ, 1К - 3%_x000a_2К, 3К - 2%" dataDxfId="680" dataCellStyle="Финансовый 2"/>
    <tableColumn id="31" xr3:uid="{6B442ED8-7E9B-40F1-937A-AD41A4E2D55B}" name="Фикс 06.03.24" dataDxfId="679" dataCellStyle="Финансовый 2">
      <calculatedColumnFormula>ППД5[[#This Row],[Фикс 26.02.24]]+ППД5[[#This Row],[Наценка 06.03.24
СТ, 1К - 3%
2К, 3К - 2%]]</calculatedColumnFormula>
    </tableColumn>
    <tableColumn id="67" xr3:uid="{624E9C97-A882-48A4-8960-A1891FEA2CB4}" name="Наценка Г2+500" dataDxfId="678" dataCellStyle="Финансовый 2"/>
    <tableColumn id="66" xr3:uid="{BD928A73-2BDA-4C50-BC6D-13ACFD9E42AF}" name="Фикс 13.03.25" dataDxfId="677" dataCellStyle="Финансовый 2">
      <calculatedColumnFormula>ППД5[[#This Row],[Фикс 06.03.24]]+ППД5[[#This Row],[Наценка Г2+500]]</calculatedColumnFormula>
    </tableColumn>
    <tableColumn id="69" xr3:uid="{BED7FEDF-817E-460B-B12E-DE072A1D7240}" name="Наценка 20.03.24_x000a_2К, 3К - 2%" dataDxfId="676" dataCellStyle="Финансовый 2"/>
    <tableColumn id="68" xr3:uid="{F04C14FA-2A7E-4173-A221-E0A03D1DB27E}" name="Фикс 20.03.24" dataDxfId="675" dataCellStyle="Финансовый 2">
      <calculatedColumnFormula>ППД5[[#This Row],[Фикс 13.03.25]]+ППД5[[#This Row],[Наценка 20.03.24
2К, 3К - 2%]]</calculatedColumnFormula>
    </tableColumn>
    <tableColumn id="71" xr3:uid="{C6C8E341-0972-4868-B6A4-0E1B2520E721}" name="Наценка 08.04.24 _x000a_2К: В3 - 150_x000a_3К: Г7 +1000" dataDxfId="674" dataCellStyle="Финансовый 2"/>
    <tableColumn id="70" xr3:uid="{779C8E61-3335-46AD-B2CD-B86E8409D32A}" name="Фикс 08.04.24" dataDxfId="673" dataCellStyle="Финансовый 2">
      <calculatedColumnFormula>ППД5[[#This Row],[Фикс 20.03.24]]+ППД5[[#This Row],[Наценка 08.04.24 
2К: В3 - 150
3К: Г7 +1000]]</calculatedColumnFormula>
    </tableColumn>
    <tableColumn id="73" xr3:uid="{01DDA634-8914-4AAD-9952-93EF92D94DA2}" name="Наценка 16.05.24 1%_x000a_А4,А6,Б3,Б6,Б7,В2,В3,В5,В6,Г1,Г3-Г5" dataDxfId="672" dataCellStyle="Финансовый 2"/>
    <tableColumn id="74" xr3:uid="{211A5EC5-E084-4A0A-A56B-708D63F86D3A}" name="Фикс 16.05.24" dataDxfId="671" dataCellStyle="Финансовый 2">
      <calculatedColumnFormula>ППД5[[#This Row],[Фикс 08.04.24]]+ППД5[[#This Row],[Наценка 16.05.24 1%
А4,А6,Б3,Б6,Б7,В2,В3,В5,В6,Г1,Г3-Г5]]</calculatedColumnFormula>
    </tableColumn>
    <tableColumn id="76" xr3:uid="{62C9B98C-2745-40AF-A519-957B361D0761}" name="Наценка 24.05.24_x000a_1% - Б4, Б5,Г2,Г6_x000a_2% - А1,А3,А5,Б2,Г7" dataDxfId="670" dataCellStyle="Финансовый 2"/>
    <tableColumn id="75" xr3:uid="{2A87F4BA-FE8D-4AFF-A7AB-84765D6F0F8E}" name="Фикс 24.05.24" dataDxfId="669" dataCellStyle="Финансовый 2">
      <calculatedColumnFormula>ППД5[[#This Row],[Фикс 16.05.24]]+ППД5[[#This Row],[Наценка 24.05.24
1% - Б4, Б5,Г2,Г6
2% - А1,А3,А5,Б2,Г7]]</calculatedColumnFormula>
    </tableColumn>
    <tableColumn id="78" xr3:uid="{C78D13C8-DDBD-425C-98A6-2152958B0903}" name="Наценка 06.06.24_x000a_0К: В2,Г3 +0,5%_x000a_1К: А7, Б5/4, Г6 +0,5%_x000a_3К: В6 +0,5%_x000a_1К: А3 +1%" dataDxfId="668" dataCellStyle="Финансовый 2"/>
    <tableColumn id="77" xr3:uid="{7E7225CD-3E05-4733-B593-772F95314D88}" name="Фикс 06.06.24" dataDxfId="667" dataCellStyle="Финансовый 2">
      <calculatedColumnFormula>ППД5[[#This Row],[Наценка 06.06.24
0К: В2,Г3 +0,5%
1К: А7, Б5/4, Г6 +0,5%
3К: В6 +0,5%
1К: А3 +1%]]+ППД5[[#This Row],[Фикс 24.05.24]]</calculatedColumnFormula>
    </tableColumn>
    <tableColumn id="80" xr3:uid="{FA2A8680-757E-493A-9262-2FD25D716BFB}" name="13.06.2024_x000a_3К - 2%" dataDxfId="666" dataCellStyle="Финансовый 2"/>
    <tableColumn id="79" xr3:uid="{347A6922-A40A-44B7-B307-E84A3F95BE5A}" name="Фикс 13.06.24" dataDxfId="665" dataCellStyle="Финансовый 2">
      <calculatedColumnFormula>ППД5[[#This Row],[Фикс 06.06.24]]+ППД5[[#This Row],[13.06.2024
3К - 2%]]</calculatedColumnFormula>
    </tableColumn>
    <tableColumn id="82" xr3:uid="{B177D998-2DCB-493A-929E-DB6796339327}" name="02.07.2024: Г3 А1 А3 Б5 Б7 Г2 Г6 Б3 Б4 В3 Г7 2,5% ост 0,5-1,5%" dataDxfId="664" dataCellStyle="Финансовый 2">
      <calculatedColumnFormula>1%*ППД5[[#This Row],[Фикс 13.06.24]]</calculatedColumnFormula>
    </tableColumn>
    <tableColumn id="81" xr3:uid="{BB808EE5-B90D-4118-8B2F-C1DE23B85A79}" name="Фикс 02.07.24" dataDxfId="663" dataCellStyle="Финансовый 2">
      <calculatedColumnFormula>ППД5[[#This Row],[02.07.2024: Г3 А1 А3 Б5 Б7 Г2 Г6 Б3 Б4 В3 Г7 2,5% ост 0,5-1,5%]]+ППД5[[#This Row],[Фикс 13.06.24]]</calculatedColumnFormula>
    </tableColumn>
    <tableColumn id="84" xr3:uid="{522CDB71-310A-416F-A698-A780D0BDB815}" name="04.09.2024 +500_x000a_0К - Б2; 1К - А3;_x000a_2К - А6, Б4, В3, Г5" dataDxfId="662" dataCellStyle="Финансовый 2"/>
    <tableColumn id="83" xr3:uid="{29F8C478-C077-4559-A4C7-4B2B51B24B39}" name="Фикс 04.09.24" dataDxfId="661" dataCellStyle="Финансовый 2">
      <calculatedColumnFormula>ППД5[[#This Row],[Фикс 02.07.24]]+ППД5[[#This Row],[04.09.2024 +500
0К - Б2; 1К - А3;
2К - А6, Б4, В3, Г5]]</calculatedColumnFormula>
    </tableColumn>
    <tableColumn id="86" xr3:uid="{93291BB0-35C4-4816-A817-6D05D62BE069}" name="Наценка 16.09.2024_x000a_1К: А1,В7,Г6/7,Г8 - 2%_x000a_2К: А4,А5,А6,Б1,Б6,Б3/4,В3,В4,Г4,Г5 - 4%_x000a_3К: 4%" dataDxfId="660" dataCellStyle="Финансовый 2"/>
    <tableColumn id="85" xr3:uid="{64B7E1B3-E505-4E20-9E6F-E3DDBD5D03CA}" name="Фикс 16.09.2024" dataDxfId="659" dataCellStyle="Финансовый 2">
      <calculatedColumnFormula>ППД5[[#This Row],[Наценка 16.09.2024
1К: А1,В7,Г6/7,Г8 - 2%
2К: А4,А5,А6,Б1,Б6,Б3/4,В3,В4,Г4,Г5 - 4%
3К: 4%]]+ППД5[[#This Row],[Фикс 04.09.24]]</calculatedColumnFormula>
    </tableColumn>
    <tableColumn id="88" xr3:uid="{696779E2-9976-4467-9E79-FF5935B3EBD3}" name="Наценка 01.11.24_x000a_СТ: 4%_x000a_1К: 34-40м 5%; 40м+ 8%; МГН 1%_x000a_2К: 55-70м 6%; 70-73м 7%; 73-76м 8% _x000a_3К: 5%" dataDxfId="658" dataCellStyle="Финансовый 2"/>
    <tableColumn id="87" xr3:uid="{B5FAB294-0C15-48B1-93BC-18D346BF6F2E}" name="Фикс 01.11.24" dataDxfId="657" dataCellStyle="Финансовый 2">
      <calculatedColumnFormula>ППД5[[#This Row],[Фикс 16.09.2024]]+ППД5[[#This Row],[Наценка 01.11.24
СТ: 4%
1К: 34-40м 5%; 40м+ 8%; МГН 1%
2К: 55-70м 6%; 70-73м 7%; 73-76м 8% 
3К: 5%]]</calculatedColumnFormula>
    </tableColumn>
    <tableColumn id="90" xr3:uid="{0F223B74-BCD2-42BA-9B22-F953CAFB0F3E}" name="Наценка 06.11 13%" dataDxfId="656" dataCellStyle="Финансовый 2">
      <calculatedColumnFormula>ППД5[[#This Row],[Фикс 01.11.24]]*12%</calculatedColumnFormula>
    </tableColumn>
    <tableColumn id="89" xr3:uid="{B5B3BF27-6A0B-4B56-BFF0-3D5C440AC90E}" name="Фикс 06.11.24" dataDxfId="655" dataCellStyle="Финансовый 2">
      <calculatedColumnFormula>ППД5[[#This Row],[Наценка 06.11 13%]]+ППД5[[#This Row],[Фикс 01.11.24]]</calculatedColumnFormula>
    </tableColumn>
    <tableColumn id="93" xr3:uid="{32581899-895A-4B49-AEED-C609824E35E5}" name="Наценка 18.12.24 распределение КВ" dataDxfId="654" dataCellStyle="Финансовый 2"/>
    <tableColumn id="92" xr3:uid="{2D00A6C6-028F-47E6-B49E-371928FE0730}" name="Фикс 18.12.24" dataDxfId="653" dataCellStyle="Финансовый 2">
      <calculatedColumnFormula>ППД5[[#This Row],[Фикс 06.11.24]]+ППД5[[#This Row],[Наценка 18.12.24 распределение КВ]]</calculatedColumnFormula>
    </tableColumn>
    <tableColumn id="95" xr3:uid="{E6CAF042-AA30-4A3D-96D0-6568524AFEF6}" name="Наценка 10.02.25 +1%_x000a_1К: А3_x000a_2К: Б3, В3" dataDxfId="652" dataCellStyle="Финансовый 2"/>
    <tableColumn id="94" xr3:uid="{1A2AD993-119D-4F99-8385-99A41E1BFA75}" name="Фикс 10.02.25" dataDxfId="651" dataCellStyle="Финансовый 2">
      <calculatedColumnFormula>ППД5[[#This Row],[Фикс 18.12.24]]+ППД5[[#This Row],[Наценка 10.02.25 +1%
1К: А3
2К: Б3, В3]]</calculatedColumnFormula>
    </tableColumn>
    <tableColumn id="7" xr3:uid="{00000000-0010-0000-0000-000007000000}" name="утв цена м2" dataDxfId="650" dataCellStyle="Финансовый 2">
      <calculatedColumnFormula>ROUND(ППД5[[#This Row],[Фикс 10.02.25]],2)</calculatedColumnFormula>
    </tableColumn>
    <tableColumn id="15" xr3:uid="{0A73AC85-F68A-47D8-B45C-BDF6A756B953}" name="Стоимость до скидки" dataDxfId="649" dataCellStyle="Финансовый 2">
      <calculatedColumnFormula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calculatedColumnFormula>
    </tableColumn>
    <tableColumn id="132" xr3:uid="{7F65139F-9018-49F9-A349-5AF38ECBEDC2}" name="Стоимость после доплаты" dataDxfId="648" dataCellStyle="Финансовый 2">
      <calculatedColumnFormula>ROUNDUP(ППД5[[#This Row],[Стоимость до скидки]]+ППД5[[#This Row],[Сумма доплаты]],-2)</calculatedColumnFormula>
    </tableColumn>
    <tableColumn id="10" xr3:uid="{00000000-0010-0000-0000-00000A000000}" name="Скидка фиксированная" dataDxfId="647" dataCellStyle="Финансовый 2"/>
    <tableColumn id="8" xr3:uid="{A43E2356-6168-4CA0-94C3-7D6FB20D44E7}" name="Скидка %" dataDxfId="646" dataCellStyle="Процентный"/>
    <tableColumn id="33" xr3:uid="{00000000-0010-0000-0000-000021000000}" name="Итоговая сумма скидки" dataDxfId="645" dataCellStyle="Финансовый 2">
      <calculatedColumnFormula>ППД5[[#This Row],[Стоимость до скидки]]*ППД5[[#This Row],[Скидка %]]+ППД5[[#This Row],[Скидка фиксированная]]</calculatedColumnFormula>
    </tableColumn>
    <tableColumn id="9" xr3:uid="{00000000-0010-0000-0000-000009000000}" name="Цена м2 без отделки со скидкой" dataDxfId="644" dataCellStyle="Финансовый 2">
      <calculatedColumnFormula>ППД5[[#This Row],[Стоимость ОН без отделки со скидкой]]/ППД5[[#This Row],[Расчетная проектная площадь]]</calculatedColumnFormula>
    </tableColumn>
    <tableColumn id="11" xr3:uid="{00000000-0010-0000-0000-00000B000000}" name="Стоимость ОН без отделки со скидкой" dataDxfId="643" totalsRowDxfId="642" dataCellStyle="Финансовый 2">
      <calculatedColumnFormula>ROUND(ППД5[[#This Row],[Стоимость до скидки]]-ППД5[[#This Row],[Итоговая сумма скидки]],2)</calculatedColumnFormula>
    </tableColumn>
    <tableColumn id="24" xr3:uid="{00000000-0010-0000-0000-000018000000}" name="Отделка" dataDxfId="641" totalsRowDxfId="640" dataCellStyle="Финансовый 2">
      <calculatedColumnFormula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calculatedColumnFormula>
    </tableColumn>
    <tableColumn id="25" xr3:uid="{00000000-0010-0000-0000-000019000000}" name="Стоимость отделки" dataDxfId="639" totalsRowDxfId="638" dataCellStyle="Финансовый"/>
    <tableColumn id="118" xr3:uid="{75357F12-CB1B-403E-BDFB-13E2F37308DE}" name="Расхождение, %" dataDxfId="637" totalsRowDxfId="636" dataCellStyle="Процентный">
      <calculatedColumnFormula>ППД5[[#This Row],[Расхождение]]/ППД5[[#This Row],[Расчетная проектная площадь]]</calculatedColumnFormula>
    </tableColumn>
    <tableColumn id="114" xr3:uid="{CFF75388-1883-4545-808E-8E860285EA43}" name="Столбец1" dataDxfId="635" totalsRowDxfId="634" dataCellStyle="Финансовый">
      <calculatedColumnFormula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calculatedColumnFormula>
    </tableColumn>
    <tableColumn id="26" xr3:uid="{00000000-0010-0000-0000-00001A000000}" name="Цена м2 с отделкой" dataDxfId="633" dataCellStyle="Финансовый 2">
      <calculatedColumnFormula>ППД5[[#This Row],[Цена м2 без отделки со скидкой]]+ППД5[[#This Row],[Стоимость отделки]]</calculatedColumnFormula>
    </tableColumn>
    <tableColumn id="45" xr3:uid="{00000000-0010-0000-0000-00002D000000}" name="Сумма отделки" dataDxfId="632" dataCellStyle="Финансовый 2">
      <calculatedColumnFormula>ППД5[[#This Row],[Стоимость квартиры с отделкой]]-ППД5[[#This Row],[Стоимость ОН без отделки со скидкой]]</calculatedColumnFormula>
    </tableColumn>
    <tableColumn id="27" xr3:uid="{00000000-0010-0000-0000-00001B000000}" name="Стоимость квартиры с отделкой" dataDxfId="631" dataCellStyle="Финансовый 2">
      <calculatedColumnFormula>ППД5[[#This Row],[Цена м2 с отделкой]]*ППД5[[#This Row],[Расчетная проектная площадь]]</calculatedColumnFormula>
    </tableColumn>
    <tableColumn id="39" xr3:uid="{00000000-0010-0000-0000-000027000000}" name="ОН ХИТ" dataDxfId="630" totalsRowDxfId="629" dataCellStyle="Финансовый 2"/>
    <tableColumn id="20" xr3:uid="{00000000-0010-0000-0000-000014000000}" name="Примечание" dataDxfId="628" totalsRowDxfId="627"/>
    <tableColumn id="21" xr3:uid="{00000000-0010-0000-0000-000015000000}" name="Статус" dataDxfId="626" totalsRowDxfId="625"/>
    <tableColumn id="23" xr3:uid="{00000000-0010-0000-0000-000017000000}" name="Статусы CRM" dataDxfId="624" dataCellStyle="Обычный 4"/>
    <tableColumn id="22" xr3:uid="{00000000-0010-0000-0000-000016000000}" name="проверка статуса" dataDxfId="623" totalsRowDxfId="622">
      <calculatedColumnFormula>EXACT(ППД5[[#This Row],[Статусы CRM]],ППД5[[#This Row],[Статус]])</calculatedColumnFormula>
    </tableColumn>
    <tableColumn id="13" xr3:uid="{FE285FAE-BADC-4014-A7B7-6817B480ABC3}" name="КОД ОН" dataDxfId="621"/>
    <tableColumn id="91" xr3:uid="{D550E170-1688-43E4-B11C-D598BCEB03D4}" name="Стоимость по переуступке" dataDxfId="620"/>
    <tableColumn id="53" xr3:uid="{44762315-9AB2-4704-9B00-1C7E202BA5DD}" name="Округление" dataDxfId="619"/>
    <tableColumn id="61" xr3:uid="{827D1186-5118-4A35-8308-029DA9472F55}" name="Отделка CRM" dataDxfId="618"/>
    <tableColumn id="62" xr3:uid="{A59B6938-9FA9-4A5B-BDE8-88E49D583972}" name="Сверка отделки" dataDxfId="617">
      <calculatedColumnFormula>ППД5[[#This Row],[Отделка CRM]]=ППД5[[#This Row],[Отделка]]</calculatedColumnFormula>
    </tableColumn>
    <tableColumn id="63" xr3:uid="{DD4A34F6-08E4-4EFB-8271-EAF2D27B7B38}" name="Стоимость CRM" dataDxfId="616"/>
    <tableColumn id="64" xr3:uid="{AA229CDF-7921-4C0F-B8BF-9C5B2B78B0A5}" name="Сверка стоимость " dataDxfId="615">
      <calculatedColumnFormula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calculatedColumnFormula>
    </tableColumn>
    <tableColumn id="72" xr3:uid="{8C7308A0-72CD-4E7C-A309-8EBA047E4B52}" name="Сверка скидки" dataDxfId="614">
      <calculatedColumnFormula>IF(AND(ППД5[[#This Row],[Статус]]="свободно",ППД5[[#This Row],[Итоговая сумма скидки]]&lt;&gt;0),FALSE,TRUE)</calculatedColumnFormula>
    </tableColumn>
    <tableColumn id="96" xr3:uid="{1EF48D4E-67FF-43A9-AE54-9E20656B094D}" name="Дата продажи" dataDxfId="613">
      <calculatedColumnFormula>_xlfn.XLOOKUP(ППД5[[#This Row],[№]],Юрист[№ кв],Юрист[Дата подачи на регистрацию]," ",0,-1)</calculatedColumnFormula>
    </tableColumn>
    <tableColumn id="97" xr3:uid="{2EC4D715-3C5F-4AAE-B8EE-C3CCE276A61B}" name="МОП" dataDxfId="612">
      <calculatedColumnFormula>_xlfn.XLOOKUP(ППД5[[#This Row],[№]],Юрист[№ кв],Юрист[МОП],"",0,-1)</calculatedColumnFormula>
    </tableColumn>
    <tableColumn id="119" xr3:uid="{AD68A4D3-3796-4D01-BC44-FD0E5C58DB6A}" name="Адрес" dataDxfId="611"/>
    <tableColumn id="120" xr3:uid="{09988937-EBE4-4216-9CC7-9BA1D8D9660C}" name="Кадастровый номер" dataDxfId="610"/>
    <tableColumn id="121" xr3:uid="{06D07EA9-C2A9-4BFE-9517-81FB431C7DFC}" name="Площадь в выписке" dataDxfId="609"/>
    <tableColumn id="125" xr3:uid="{E4CE5B49-C7CE-4475-AC96-861F85DAD780}" name="Столбец3" dataDxfId="60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наценкад5" displayName="наценкад5" ref="A2:AL582" tableType="queryTable" totalsRowShown="0" headerRowDxfId="607" dataDxfId="606">
  <autoFilter ref="A2:AL582" xr:uid="{00000000-0009-0000-0100-000001000000}">
    <filterColumn colId="0">
      <filters>
        <filter val="305"/>
      </filters>
    </filterColumn>
  </autoFilter>
  <tableColumns count="38">
    <tableColumn id="1" xr3:uid="{00000000-0010-0000-0100-000001000000}" uniqueName="1" name="№" queryTableFieldId="1" dataDxfId="605"/>
    <tableColumn id="2" xr3:uid="{00000000-0010-0000-0100-000002000000}" uniqueName="2" name="Секция" queryTableFieldId="2" dataDxfId="604"/>
    <tableColumn id="3" xr3:uid="{00000000-0010-0000-0100-000003000000}" uniqueName="3" name="Этаж" queryTableFieldId="3" dataDxfId="603"/>
    <tableColumn id="4" xr3:uid="{00000000-0010-0000-0100-000004000000}" uniqueName="4" name="Номер на этаже" queryTableFieldId="4" dataDxfId="602"/>
    <tableColumn id="5" xr3:uid="{00000000-0010-0000-0100-000005000000}" uniqueName="5" name="Тип кв" queryTableFieldId="5" dataDxfId="601"/>
    <tableColumn id="18" xr3:uid="{00000000-0010-0000-0100-000012000000}" uniqueName="18" name="Кухня" queryTableFieldId="67" dataDxfId="600">
      <calculatedColumnFormula>_xlfn.XLOOKUP(наценкад5[[#This Row],[№]],ППД5[№],ППД5[Кухня],"-",0)</calculatedColumnFormula>
    </tableColumn>
    <tableColumn id="17" xr3:uid="{00000000-0010-0000-0100-000011000000}" uniqueName="17" name="Ванная" queryTableFieldId="66" dataDxfId="599">
      <calculatedColumnFormula>_xlfn.XLOOKUP(наценкад5[[#This Row],[№]],ППД5[№],ППД5[Ванная],"-",0)</calculatedColumnFormula>
    </tableColumn>
    <tableColumn id="16" xr3:uid="{00000000-0010-0000-0100-000010000000}" uniqueName="16" name="Гардеробная" queryTableFieldId="65" dataDxfId="598">
      <calculatedColumnFormula>_xlfn.XLOOKUP(наценкад5[[#This Row],[№]],ППД5[№],ППД5[Гардеробная],"-",0)</calculatedColumnFormula>
    </tableColumn>
    <tableColumn id="14" xr3:uid="{00000000-0010-0000-0100-00000E000000}" uniqueName="14" name="Лоджия 2" queryTableFieldId="63" dataDxfId="597">
      <calculatedColumnFormula>_xlfn.XLOOKUP(наценкад5[[#This Row],[№]],ППД5[№],ППД5[Лоджия 2],"-",0)</calculatedColumnFormula>
    </tableColumn>
    <tableColumn id="7" xr3:uid="{00000000-0010-0000-0100-000007000000}" uniqueName="7" name="С\У" queryTableFieldId="68" dataDxfId="596">
      <calculatedColumnFormula>_xlfn.XLOOKUP(наценкад5[[#This Row],[№]],ППД5[№],ППД5[С\У],"-",0)</calculatedColumnFormula>
    </tableColumn>
    <tableColumn id="6" xr3:uid="{00000000-0010-0000-0100-000006000000}" uniqueName="6" name="Расчетная проектная площадь" queryTableFieldId="55" dataDxfId="595">
      <calculatedColumnFormula>_xlfn.XLOOKUP(наценкад5[[#This Row],[№]],ППД5[№],ППД5[Расчетная проектная площадь],"-",0)</calculatedColumnFormula>
    </tableColumn>
    <tableColumn id="21" xr3:uid="{00000000-0010-0000-0100-000015000000}" uniqueName="21" name="Цена м2 базовая" queryTableFieldId="21" dataDxfId="594"/>
    <tableColumn id="22" xr3:uid="{00000000-0010-0000-0100-000016000000}" uniqueName="22" name="Базовой K" queryTableFieldId="22" dataDxfId="593" dataCellStyle="Процентный"/>
    <tableColumn id="23" xr3:uid="{00000000-0010-0000-0100-000017000000}" uniqueName="23" name="Цена м2 с базовым K" queryTableFieldId="23" dataDxfId="592"/>
    <tableColumn id="24" xr3:uid="{00000000-0010-0000-0100-000018000000}" uniqueName="24" name="еврокухня" queryTableFieldId="24" dataDxfId="591" dataCellStyle="Процентный"/>
    <tableColumn id="15" xr3:uid="{00000000-0010-0000-0100-00000F000000}" uniqueName="15" name="кухни от 10 до 14" queryTableFieldId="75" dataDxfId="590" dataCellStyle="Процентный"/>
    <tableColumn id="25" xr3:uid="{00000000-0010-0000-0100-000019000000}" uniqueName="25" name="ванна от 4 кв.м" queryTableFieldId="25" dataDxfId="589" dataCellStyle="Процентный"/>
    <tableColumn id="36" xr3:uid="{4910E2BF-73AF-452A-B00E-5ACE463F0BDC}" uniqueName="36" name="раздельный су" queryTableFieldId="85" dataDxfId="588" dataCellStyle="Процентный"/>
    <tableColumn id="32" xr3:uid="{D2EB2270-0ABF-4A05-BE21-1B0007EEEE45}" uniqueName="32" name="2 С\У" queryTableFieldId="84" dataDxfId="587" dataCellStyle="Процентный"/>
    <tableColumn id="27" xr3:uid="{00000000-0010-0000-0100-00001B000000}" uniqueName="27" name="2 лоджии" queryTableFieldId="27" dataDxfId="586" dataCellStyle="Процентный"/>
    <tableColumn id="12" xr3:uid="{A4A141FF-9DD7-427A-9821-AF424B4A5CA9}" uniqueName="12" name="3 лоджии" queryTableFieldId="77" dataDxfId="585" dataCellStyle="Процентный"/>
    <tableColumn id="28" xr3:uid="{00000000-0010-0000-0100-00001C000000}" uniqueName="28" name="гардероб" queryTableFieldId="28" dataDxfId="584" dataCellStyle="Процентный"/>
    <tableColumn id="8" xr3:uid="{00000000-0010-0000-0100-000008000000}" uniqueName="8" name="Панорама" queryTableFieldId="69" dataDxfId="583" dataCellStyle="Процентный"/>
    <tableColumn id="9" xr3:uid="{00000000-0010-0000-0100-000009000000}" uniqueName="9" name="Вид на улицу\двор" queryTableFieldId="70" dataDxfId="582" dataCellStyle="Процентный"/>
    <tableColumn id="30" xr3:uid="{00000000-0010-0000-0100-00001E000000}" uniqueName="30" name="низкий этаж" queryTableFieldId="30" dataDxfId="581" dataCellStyle="Процентный"/>
    <tableColumn id="10" xr3:uid="{00000000-0010-0000-0100-00000A000000}" uniqueName="10" name="Высокий потолок" queryTableFieldId="71" dataDxfId="580" dataCellStyle="Процентный"/>
    <tableColumn id="33" xr3:uid="{00000000-0010-0000-0100-000021000000}" uniqueName="33" name="Кухня с лоджией" queryTableFieldId="33" dataDxfId="579" dataCellStyle="Процентный"/>
    <tableColumn id="34" xr3:uid="{00000000-0010-0000-0100-000022000000}" uniqueName="34" name="вид на 2 стороны" queryTableFieldId="34" dataDxfId="578" dataCellStyle="Процентный"/>
    <tableColumn id="13" xr3:uid="{6533AD04-6BFD-4F64-9235-2EBFD64C05FF}" uniqueName="13" name="вид на 3 стороны" queryTableFieldId="78" dataDxfId="577" dataCellStyle="Процентный"/>
    <tableColumn id="35" xr3:uid="{00000000-0010-0000-0100-000023000000}" uniqueName="35" name="Не угловая" queryTableFieldId="35" dataDxfId="576" dataCellStyle="Процентный"/>
    <tableColumn id="26" xr3:uid="{4A3F4042-B334-4459-A488-8298C7271F35}" uniqueName="26" name="1этаж" queryTableFieldId="82" dataDxfId="575" dataCellStyle="Процентный"/>
    <tableColumn id="20" xr3:uid="{1113E196-F01D-41AC-AA13-DA926BAD00E9}" uniqueName="20" name="Распашные двери" queryTableFieldId="81" dataDxfId="574" dataCellStyle="Процентный"/>
    <tableColumn id="11" xr3:uid="{00000000-0010-0000-0100-00000B000000}" uniqueName="11" name="Лифт" queryTableFieldId="76" dataDxfId="573" dataCellStyle="Процентный"/>
    <tableColumn id="19" xr3:uid="{21E6786F-FE31-427F-9D9B-EC9E9516701C}" uniqueName="19" name="большая площадь" queryTableFieldId="80" dataDxfId="572" dataCellStyle="Процентный"/>
    <tableColumn id="37" xr3:uid="{00000000-0010-0000-0100-000025000000}" uniqueName="37" name="Цена м2 с учетом всех K" queryTableFieldId="37" dataDxfId="571"/>
    <tableColumn id="40" xr3:uid="{00000000-0010-0000-0100-000028000000}" uniqueName="40" name="утв цена м2" queryTableFieldId="40" dataDxfId="570"/>
    <tableColumn id="41" xr3:uid="{00000000-0010-0000-0100-000029000000}" uniqueName="41" name="Стоимость ОН без отделки" queryTableFieldId="41" dataDxfId="569" dataCellStyle="Финансовый 2"/>
    <tableColumn id="52" xr3:uid="{00000000-0010-0000-0100-000034000000}" uniqueName="52" name="Статус" queryTableFieldId="52" dataDxfId="56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5EA8FD-8E17-467F-8119-E195760868D6}" name="Юрист" displayName="Юрист" ref="A1:AZ426" tableType="queryTable" totalsRowShown="0" headerRowDxfId="567" dataDxfId="566">
  <autoFilter ref="A1:AZ426" xr:uid="{455EA8FD-8E17-467F-8119-E195760868D6}"/>
  <tableColumns count="52">
    <tableColumn id="1" xr3:uid="{61D5D299-C003-4B3B-A4E5-E37E22D81A66}" uniqueName="1" name="№" queryTableFieldId="1" dataDxfId="565"/>
    <tableColumn id="2" xr3:uid="{0E5AAC60-31AC-4113-99CD-CF2D6236DDBE}" uniqueName="2" name="кол-во" queryTableFieldId="2" dataDxfId="564"/>
    <tableColumn id="3" xr3:uid="{12176EF1-6B06-42C7-8E7B-9D968B6A5641}" uniqueName="3" name="Дата подачи на регистрацию" queryTableFieldId="3" dataDxfId="563"/>
    <tableColumn id="4" xr3:uid="{B25ECF0F-4ABA-453D-8A34-7D39E27794A2}" uniqueName="4" name="№ договора" queryTableFieldId="4" dataDxfId="562"/>
    <tableColumn id="5" xr3:uid="{35E9E290-816D-4AC7-BD9C-E2347E2E6895}" uniqueName="5" name="Схема продажи" queryTableFieldId="5" dataDxfId="561"/>
    <tableColumn id="6" xr3:uid="{D55A0420-CEAB-44DD-9F4D-1DFEEB3700C7}" uniqueName="6" name="СЭР\МФЦ" queryTableFieldId="6" dataDxfId="560"/>
    <tableColumn id="7" xr3:uid="{5E5EEC2B-A4B8-404F-A71F-A35CE989A870}" uniqueName="7" name="Способ регистрации" queryTableFieldId="7" dataDxfId="559"/>
    <tableColumn id="8" xr3:uid="{2942C167-B5F4-4822-8563-24245F0E75EC}" uniqueName="8" name="Дата регистрации МФЦ (план)" queryTableFieldId="8" dataDxfId="558"/>
    <tableColumn id="9" xr3:uid="{F317DE1B-0643-4E1E-9B34-AC33D6195A45}" uniqueName="9" name="Дата регистрации МФЦ\СЭР" queryTableFieldId="9" dataDxfId="557"/>
    <tableColumn id="10" xr3:uid="{EC5FEB02-F205-49B3-8EC5-3EDC736B603A}" uniqueName="10" name="Все участники сделки" queryTableFieldId="10" dataDxfId="556"/>
    <tableColumn id="11" xr3:uid="{D9405051-BCF0-4B95-AA5B-814ACE741D8E}" uniqueName="11" name="Дом" queryTableFieldId="11" dataDxfId="555"/>
    <tableColumn id="12" xr3:uid="{D0BB8C87-8C64-4453-A0C2-504DB5C8A1E7}" uniqueName="12" name="Секция" queryTableFieldId="12" dataDxfId="554"/>
    <tableColumn id="13" xr3:uid="{194A52D4-F973-4BD4-B93A-D4643F5B23C0}" uniqueName="13" name="№ на этаже" queryTableFieldId="13" dataDxfId="553"/>
    <tableColumn id="14" xr3:uid="{E4AF04C4-4374-42C0-BF4B-10097F4278A8}" uniqueName="14" name="Этаж" queryTableFieldId="14" dataDxfId="552"/>
    <tableColumn id="15" xr3:uid="{9AFDC0D9-F49E-45F7-97C8-A27B20D95ED4}" uniqueName="15" name="№ кв" queryTableFieldId="15" dataDxfId="551"/>
    <tableColumn id="16" xr3:uid="{B5390B04-A069-4673-B47A-E6055F7EB51E}" uniqueName="16" name="Тип кв" queryTableFieldId="16" dataDxfId="550"/>
    <tableColumn id="17" xr3:uid="{FDE604DE-D011-4157-BB6D-ECBAF40DF49A}" uniqueName="17" name="S" queryTableFieldId="17" dataDxfId="549"/>
    <tableColumn id="18" xr3:uid="{16161C0D-6035-40FF-B6B7-BD8BE04EA6AE}" uniqueName="18" name="Отделка " queryTableFieldId="18" dataDxfId="548"/>
    <tableColumn id="19" xr3:uid="{9B24B136-7ED9-457E-A4FF-943C93AD124B}" uniqueName="19" name="Сумма договора" queryTableFieldId="19" dataDxfId="547"/>
    <tableColumn id="20" xr3:uid="{43A2423C-8A0A-4662-9739-ACBA1F99F7B8}" uniqueName="20" name="Цена м2" queryTableFieldId="20" dataDxfId="546"/>
    <tableColumn id="21" xr3:uid="{90C6378E-2F1F-45D7-A23D-232D0F8F1723}" uniqueName="21" name="Платная бронь" queryTableFieldId="21" dataDxfId="545"/>
    <tableColumn id="22" xr3:uid="{5D469AC6-DC0C-4CDC-AD5D-513CD79097E2}" uniqueName="22" name="Итоговая стоимость с отделкой" queryTableFieldId="22" dataDxfId="544"/>
    <tableColumn id="23" xr3:uid="{EF04C1E6-7B28-4C4D-8987-C703387009D3}" uniqueName="23" name="Итоговая цена м2 с отделкой" queryTableFieldId="23" dataDxfId="543"/>
    <tableColumn id="24" xr3:uid="{5BD9B578-8EB2-4310-B13E-13BA67AB748D}" uniqueName="24" name="Стоимость отделки" queryTableFieldId="24" dataDxfId="542"/>
    <tableColumn id="63" xr3:uid="{534C3AAA-805E-4DDA-8D5A-01C8BD172EE7}" uniqueName="63" name="м2" queryTableFieldId="63" dataDxfId="541">
      <calculatedColumnFormula>Юрист[[#This Row],[Итоговая цена м2 с отделкой]]-Юрист[[#This Row],[Итоговая цена м2 без отделки]]</calculatedColumnFormula>
    </tableColumn>
    <tableColumn id="25" xr3:uid="{81CC2B8B-87B5-4B59-A2FF-45A7AE0BF0BD}" uniqueName="25" name="Итоговая стоимость без отделки" queryTableFieldId="25" dataDxfId="540"/>
    <tableColumn id="26" xr3:uid="{E702FFEB-7D9C-46E3-8716-34CCE5276375}" uniqueName="26" name="Итоговая цена м2 без отделки" queryTableFieldId="26" dataDxfId="539"/>
    <tableColumn id="27" xr3:uid="{662B1123-0642-40CA-AE68-DF2BD3005326}" uniqueName="27" name="Акция\скидка" queryTableFieldId="27" dataDxfId="538"/>
    <tableColumn id="28" xr3:uid="{6A87C41C-8D8E-480F-B3B5-6B3AD3C61CEF}" uniqueName="28" name="Сумма скидки" queryTableFieldId="28" dataDxfId="537"/>
    <tableColumn id="29" xr3:uid="{BECF2007-2997-4B42-9BE9-ACB69734515C}" uniqueName="29" name="Вариант оплаты" queryTableFieldId="29" dataDxfId="536"/>
    <tableColumn id="30" xr3:uid="{57D2B0AF-4C8B-4B8E-BFDA-33A993B4301E}" uniqueName="30" name="Банк" queryTableFieldId="30" dataDxfId="535"/>
    <tableColumn id="31" xr3:uid="{E8B831AE-A55C-473C-9CAC-F6E6460A1E1F}" uniqueName="31" name="Собственные средства" queryTableFieldId="31" dataDxfId="534"/>
    <tableColumn id="32" xr3:uid="{770A05D5-2463-4CBF-882E-040432871DFD}" uniqueName="32" name="Кредитные средства" queryTableFieldId="32" dataDxfId="533"/>
    <tableColumn id="33" xr3:uid="{77C081B1-035C-4F6C-9E1A-370CD7E6D684}" uniqueName="33" name="МСК" queryTableFieldId="33" dataDxfId="532"/>
    <tableColumn id="34" xr3:uid="{471CFA0F-E95B-412D-8482-419002953D05}" uniqueName="34" name="ЖСК" queryTableFieldId="34" dataDxfId="531"/>
    <tableColumn id="35" xr3:uid="{C081FE73-1BDA-4F6C-B85D-8C827737070B}" uniqueName="35" name="РВИ" queryTableFieldId="35" dataDxfId="530"/>
    <tableColumn id="36" xr3:uid="{ED58DC80-5136-4AC8-8FFA-0AEFC67CB331}" uniqueName="36" name="Программа кредитования" queryTableFieldId="36" dataDxfId="529"/>
    <tableColumn id="37" xr3:uid="{13999E91-DB26-4847-922B-A3B5FD7BE02B}" uniqueName="37" name="Скидка по Гос. программе" queryTableFieldId="37" dataDxfId="528" dataCellStyle="Процентный"/>
    <tableColumn id="38" xr3:uid="{A3743BB0-3F5D-4F3A-873A-B2BD2BD9F95F}" uniqueName="38" name="Ставка Гос. Программы" queryTableFieldId="38" dataDxfId="527" dataCellStyle="Процентный"/>
    <tableColumn id="39" xr3:uid="{AD6BB6C1-EADB-49D8-AE17-499D9DB52C31}" uniqueName="39" name="% комиссии" queryTableFieldId="39" dataDxfId="526"/>
    <tableColumn id="40" xr3:uid="{E182FCF3-823C-4F70-A6DC-AF3C034B04FF}" uniqueName="40" name="сумма комиссии" queryTableFieldId="40" dataDxfId="525"/>
    <tableColumn id="41" xr3:uid="{B75EC53A-6F0A-498D-AD2C-7660EA494BB5}" uniqueName="41" name="Основной клиент" queryTableFieldId="41" dataDxfId="524"/>
    <tableColumn id="42" xr3:uid="{17F38998-99B1-4765-84D4-30D30787EC57}" uniqueName="42" name="Мобильный телефон" queryTableFieldId="42" dataDxfId="523"/>
    <tableColumn id="43" xr3:uid="{B1D9BC41-2A11-4ED4-85EF-85ECD87D6CFE}" uniqueName="43" name="Пол" queryTableFieldId="43" dataDxfId="522"/>
    <tableColumn id="44" xr3:uid="{32393F9C-70B3-4973-95F1-487389BAC7B2}" uniqueName="44" name="Дата рождения" queryTableFieldId="44" dataDxfId="521"/>
    <tableColumn id="57" xr3:uid="{61CC079B-79A0-4825-8422-ADA8D53D3B72}" uniqueName="57" name="Источник рекламы" queryTableFieldId="57" dataDxfId="520"/>
    <tableColumn id="58" xr3:uid="{A5087E26-AFB2-4D44-B46E-EDC5C7A95058}" uniqueName="58" name="МОП" queryTableFieldId="58" dataDxfId="519"/>
    <tableColumn id="59" xr3:uid="{9B89E6D1-B08B-48CC-B57B-EB338756EF99}" uniqueName="59" name="ИМ" queryTableFieldId="59" dataDxfId="518"/>
    <tableColumn id="60" xr3:uid="{1D90BF3E-614E-4B55-85A0-275DB36321F5}" uniqueName="60" name="Тип договора" queryTableFieldId="60" dataDxfId="517"/>
    <tableColumn id="45" xr3:uid="{72ACB2FC-CD48-4452-AFD4-999C876C7580}" uniqueName="45" name="Фикс за АН" queryTableFieldId="67"/>
    <tableColumn id="61" xr3:uid="{4A8F3642-5EC0-4C9B-B8BF-F86845CACB11}" uniqueName="61" name="Дата расторжения\уступки" queryTableFieldId="61" dataDxfId="516"/>
    <tableColumn id="62" xr3:uid="{A2DB5FC4-7594-4364-978E-56B573A57726}" uniqueName="62" name="Примечание" queryTableFieldId="62" dataDxfId="5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Relationship Id="rId4" Type="http://schemas.microsoft.com/office/2007/relationships/slicer" Target="../slicers/slicer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EG600"/>
  <sheetViews>
    <sheetView tabSelected="1" zoomScale="85" zoomScaleNormal="85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AI585" sqref="AI585:AO585"/>
    </sheetView>
  </sheetViews>
  <sheetFormatPr defaultColWidth="9.140625" defaultRowHeight="15" outlineLevelCol="1" x14ac:dyDescent="0.25"/>
  <cols>
    <col min="1" max="1" width="7.42578125" style="108" bestFit="1" customWidth="1"/>
    <col min="2" max="3" width="6.5703125" style="111" customWidth="1"/>
    <col min="4" max="5" width="6.5703125" style="108" customWidth="1"/>
    <col min="6" max="6" width="11.42578125" style="108" hidden="1" customWidth="1" outlineLevel="1"/>
    <col min="7" max="8" width="9.5703125" style="108" hidden="1" customWidth="1" outlineLevel="1"/>
    <col min="9" max="9" width="9.5703125" style="111" hidden="1" customWidth="1" outlineLevel="1"/>
    <col min="10" max="10" width="8.7109375" style="111" hidden="1" customWidth="1" outlineLevel="1"/>
    <col min="11" max="11" width="8.5703125" style="111" hidden="1" customWidth="1" outlineLevel="1"/>
    <col min="12" max="12" width="7.28515625" style="111" hidden="1" customWidth="1" outlineLevel="1"/>
    <col min="13" max="13" width="17.5703125" style="111" hidden="1" customWidth="1" outlineLevel="1"/>
    <col min="14" max="14" width="8.28515625" style="111" hidden="1" customWidth="1" outlineLevel="1"/>
    <col min="15" max="16" width="11.7109375" style="111" hidden="1" customWidth="1" outlineLevel="1"/>
    <col min="17" max="17" width="6.5703125" style="111" hidden="1" customWidth="1" outlineLevel="1"/>
    <col min="18" max="18" width="10" style="111" hidden="1" customWidth="1" outlineLevel="1"/>
    <col min="19" max="19" width="10.7109375" style="212" hidden="1" customWidth="1" outlineLevel="1"/>
    <col min="20" max="20" width="8.85546875" style="111" hidden="1" customWidth="1" outlineLevel="1"/>
    <col min="21" max="21" width="15.7109375" style="212" customWidth="1" collapsed="1"/>
    <col min="22" max="22" width="15.7109375" style="212" hidden="1" customWidth="1"/>
    <col min="23" max="26" width="13.28515625" style="212" customWidth="1" outlineLevel="1"/>
    <col min="27" max="27" width="13.85546875" style="212" customWidth="1" outlineLevel="1"/>
    <col min="28" max="29" width="11.140625" style="212" customWidth="1" outlineLevel="1"/>
    <col min="30" max="30" width="11.140625" style="212" hidden="1" customWidth="1" outlineLevel="1"/>
    <col min="31" max="33" width="11.140625" style="212" customWidth="1" outlineLevel="1"/>
    <col min="34" max="34" width="6.42578125" style="212" customWidth="1" outlineLevel="1"/>
    <col min="35" max="35" width="11.140625" style="212" customWidth="1" outlineLevel="1"/>
    <col min="36" max="36" width="15.7109375" style="212" customWidth="1" outlineLevel="1"/>
    <col min="37" max="37" width="11.7109375" style="212" customWidth="1" outlineLevel="1"/>
    <col min="38" max="38" width="11.7109375" style="177" customWidth="1"/>
    <col min="39" max="39" width="11.7109375" style="212" customWidth="1"/>
    <col min="40" max="40" width="11.7109375" style="212" hidden="1" customWidth="1" outlineLevel="1"/>
    <col min="41" max="41" width="15.7109375" style="212" customWidth="1" collapsed="1"/>
    <col min="42" max="42" width="15.7109375" style="212" hidden="1" customWidth="1"/>
    <col min="43" max="43" width="16.140625" style="108" hidden="1" customWidth="1"/>
    <col min="44" max="44" width="13.7109375" style="212" hidden="1" customWidth="1"/>
    <col min="45" max="47" width="15.7109375" style="212" hidden="1" customWidth="1" outlineLevel="1"/>
    <col min="48" max="48" width="16.140625" style="212" hidden="1" customWidth="1" outlineLevel="1"/>
    <col min="49" max="49" width="17.28515625" style="212" hidden="1" customWidth="1" outlineLevel="1"/>
    <col min="50" max="50" width="18.28515625" style="212" hidden="1" customWidth="1" outlineLevel="1"/>
    <col min="51" max="51" width="17.28515625" style="212" hidden="1" customWidth="1" outlineLevel="1"/>
    <col min="52" max="52" width="29" style="212" hidden="1" customWidth="1" outlineLevel="1"/>
    <col min="53" max="63" width="17.28515625" style="212" hidden="1" customWidth="1" outlineLevel="1"/>
    <col min="64" max="65" width="15.7109375" style="212" hidden="1" customWidth="1" outlineLevel="1"/>
    <col min="66" max="66" width="20.28515625" style="212" hidden="1" customWidth="1" outlineLevel="1"/>
    <col min="67" max="69" width="15.7109375" style="212" hidden="1" customWidth="1" outlineLevel="1"/>
    <col min="70" max="70" width="21.28515625" style="212" hidden="1" customWidth="1" outlineLevel="1"/>
    <col min="71" max="71" width="15.7109375" style="212" hidden="1" customWidth="1" outlineLevel="1"/>
    <col min="72" max="73" width="25.7109375" style="212" hidden="1" customWidth="1" outlineLevel="1"/>
    <col min="74" max="74" width="23.7109375" style="212" hidden="1" customWidth="1" outlineLevel="1"/>
    <col min="75" max="75" width="25.7109375" style="212" hidden="1" customWidth="1" outlineLevel="1"/>
    <col min="76" max="76" width="30.5703125" style="212" hidden="1" customWidth="1" outlineLevel="1"/>
    <col min="77" max="77" width="18.42578125" style="212" hidden="1" customWidth="1" outlineLevel="1"/>
    <col min="78" max="78" width="15.5703125" style="212" hidden="1" customWidth="1" outlineLevel="1"/>
    <col min="79" max="79" width="18.42578125" style="212" hidden="1" customWidth="1" outlineLevel="1"/>
    <col min="80" max="80" width="29.85546875" style="212" hidden="1" customWidth="1" outlineLevel="1"/>
    <col min="81" max="81" width="18.42578125" style="212" hidden="1" customWidth="1" outlineLevel="1"/>
    <col min="82" max="83" width="25.7109375" style="212" hidden="1" customWidth="1" outlineLevel="1"/>
    <col min="84" max="84" width="36.5703125" style="212" hidden="1" customWidth="1" outlineLevel="1"/>
    <col min="85" max="85" width="25.7109375" style="212" hidden="1" customWidth="1" outlineLevel="1"/>
    <col min="86" max="86" width="31.85546875" style="212" hidden="1" customWidth="1" outlineLevel="1"/>
    <col min="87" max="87" width="18.42578125" style="212" hidden="1" customWidth="1" outlineLevel="1"/>
    <col min="88" max="88" width="18.85546875" style="212" hidden="1" customWidth="1" outlineLevel="1"/>
    <col min="89" max="91" width="18.42578125" style="212" hidden="1" customWidth="1" outlineLevel="1"/>
    <col min="92" max="92" width="21.28515625" style="212" hidden="1" customWidth="1" outlineLevel="1"/>
    <col min="93" max="93" width="18.42578125" style="212" hidden="1" customWidth="1" outlineLevel="1"/>
    <col min="94" max="94" width="17.28515625" style="14" hidden="1" customWidth="1" collapsed="1"/>
    <col min="95" max="95" width="17.28515625" style="14" hidden="1" customWidth="1"/>
    <col min="96" max="96" width="15" style="14" hidden="1" customWidth="1"/>
    <col min="97" max="98" width="20.28515625" style="14" hidden="1" customWidth="1" outlineLevel="1"/>
    <col min="99" max="99" width="18.42578125" style="14" hidden="1" customWidth="1" outlineLevel="1"/>
    <col min="100" max="100" width="19.140625" style="15" hidden="1" customWidth="1" collapsed="1"/>
    <col min="101" max="101" width="15.140625" style="196" hidden="1" customWidth="1"/>
    <col min="102" max="102" width="17" style="14" hidden="1" customWidth="1"/>
    <col min="103" max="103" width="16.140625" style="14" hidden="1" customWidth="1"/>
    <col min="104" max="104" width="16.140625" style="331" hidden="1" customWidth="1"/>
    <col min="105" max="105" width="16.140625" style="326" hidden="1" customWidth="1"/>
    <col min="106" max="106" width="23.140625" style="10" hidden="1" customWidth="1"/>
    <col min="107" max="107" width="16.140625" style="108" hidden="1" customWidth="1"/>
    <col min="108" max="108" width="33.85546875" style="111" hidden="1" customWidth="1"/>
    <col min="109" max="109" width="12.42578125" style="111" hidden="1" customWidth="1"/>
    <col min="110" max="110" width="11.85546875" style="108" bestFit="1" customWidth="1"/>
    <col min="111" max="111" width="11.85546875" style="108" hidden="1" customWidth="1"/>
    <col min="112" max="112" width="17.85546875" style="108" hidden="1" customWidth="1"/>
    <col min="113" max="113" width="14.42578125" style="111" hidden="1" customWidth="1"/>
    <col min="114" max="115" width="17.28515625" style="108" hidden="1" customWidth="1"/>
    <col min="116" max="116" width="15.28515625" style="108" hidden="1" customWidth="1"/>
    <col min="117" max="117" width="17.85546875" style="111" hidden="1" customWidth="1"/>
    <col min="118" max="118" width="13.140625" style="108" hidden="1" customWidth="1"/>
    <col min="119" max="119" width="19.5703125" style="108" hidden="1" customWidth="1"/>
    <col min="120" max="120" width="15" style="108" hidden="1" customWidth="1"/>
    <col min="121" max="121" width="9.85546875" style="108" hidden="1" customWidth="1"/>
    <col min="122" max="122" width="13.5703125" style="111" hidden="1" customWidth="1"/>
    <col min="123" max="123" width="12.140625" style="111" hidden="1" customWidth="1"/>
    <col min="124" max="124" width="21" style="108" hidden="1" customWidth="1"/>
    <col min="125" max="125" width="18.140625" style="108" hidden="1" customWidth="1"/>
    <col min="126" max="126" width="11.7109375" style="108" hidden="1" customWidth="1"/>
    <col min="127" max="127" width="11.7109375" style="108" bestFit="1" customWidth="1"/>
    <col min="128" max="16384" width="9.140625" style="108"/>
  </cols>
  <sheetData>
    <row r="1" spans="1:137" ht="12.75" thickBot="1" x14ac:dyDescent="0.3">
      <c r="A1" s="108">
        <f>SUBTOTAL(3,ППД5[Секция])</f>
        <v>1</v>
      </c>
      <c r="E1" s="242"/>
      <c r="F1" s="209"/>
      <c r="G1" s="209"/>
      <c r="H1" s="209"/>
      <c r="I1" s="209"/>
      <c r="J1" s="209"/>
      <c r="K1" s="204"/>
      <c r="L1" s="204"/>
      <c r="M1" s="204"/>
      <c r="N1" s="204"/>
      <c r="O1" s="204"/>
      <c r="P1" s="204"/>
      <c r="Q1" s="204"/>
      <c r="R1" s="209">
        <f>SUBTOTAL(9,ППД5[Летние])</f>
        <v>2.71</v>
      </c>
      <c r="S1" s="209">
        <f>SUBTOTAL(9,ППД5[Площадь по проекту(общая)])</f>
        <v>36.159999999999997</v>
      </c>
      <c r="T1" s="209">
        <f>SUBTOTAL(9,ППД5[Площадь по проекту отапл (без летних)])</f>
        <v>33.450000000000003</v>
      </c>
      <c r="U1" s="209">
        <f>SUBTOTAL(9,ППД5[Расчетная проектная площадь])</f>
        <v>34.81</v>
      </c>
      <c r="V1" s="209"/>
      <c r="W1" s="209">
        <f>SUBTOTAL(9,ППД5[ТП Комната 1])</f>
        <v>14.2</v>
      </c>
      <c r="X1" s="209">
        <f>SUBTOTAL(9,ППД5[ТП Комната 2])</f>
        <v>0</v>
      </c>
      <c r="Y1" s="209">
        <f>SUBTOTAL(9,ППД5[ТП Комната 3])</f>
        <v>0</v>
      </c>
      <c r="Z1" s="209">
        <f>SUBTOTAL(9,ППД5[Площадь по ТП жилая])</f>
        <v>14.2</v>
      </c>
      <c r="AA1" s="209">
        <f>SUBTOTAL(9,ППД5[ТП Кухня])</f>
        <v>9.1</v>
      </c>
      <c r="AB1" s="209">
        <f>SUBTOTAL(9,ППД5[ТП Ванная])</f>
        <v>3.8</v>
      </c>
      <c r="AC1" s="209">
        <f>SUBTOTAL(9,ППД5[ТП С\У])</f>
        <v>0</v>
      </c>
      <c r="AD1" s="209">
        <f>SUBTOTAL(9,ППД5[ТП Гардеробная])</f>
        <v>0</v>
      </c>
      <c r="AE1" s="209">
        <f>SUBTOTAL(9,ППД5[ТП Коридор])</f>
        <v>6.2</v>
      </c>
      <c r="AF1" s="209">
        <f>SUBTOTAL(9,ППД5[ТП Лоджия 1])</f>
        <v>1.35</v>
      </c>
      <c r="AG1" s="209">
        <f>SUBTOTAL(9,ППД5[ТП Лоджия 2])</f>
        <v>0</v>
      </c>
      <c r="AH1" s="209">
        <f>SUBTOTAL(9,ППД5[ТП Лоджия 3])</f>
        <v>0</v>
      </c>
      <c r="AI1" s="209">
        <f>SUBTOTAL(9,ППД5[ТП Летние])</f>
        <v>1.35</v>
      </c>
      <c r="AJ1" s="209">
        <f>SUBTOTAL(9,ППД5[кроме того прочая
(без коэффициента)])</f>
        <v>2.7</v>
      </c>
      <c r="AK1" s="209">
        <f>SUBTOTAL(9,ППД5[ТП общая S])</f>
        <v>36</v>
      </c>
      <c r="AL1" s="209">
        <f>SUBTOTAL(9,ППД5[Расчетная ТП площадь])</f>
        <v>34.65</v>
      </c>
      <c r="AM1" s="209">
        <f>SUBTOTAL(9,ППД5[ТП Площадь без летних])</f>
        <v>33.299999999999997</v>
      </c>
      <c r="AN1" s="209">
        <f>SUBTOTAL(9,ППД5[Подсобная])</f>
        <v>19.099999999999998</v>
      </c>
      <c r="AO1" s="209">
        <f>SUBTOTAL(9,ППД5[Расхождение])</f>
        <v>-0.16000000000000369</v>
      </c>
      <c r="AP1" s="209"/>
      <c r="AQ1" s="69">
        <f>SUBTOTAL(9,ППД5[Сумма доплаты])</f>
        <v>-23554.151106004836</v>
      </c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11"/>
      <c r="CP1" s="69"/>
      <c r="CQ1" s="69"/>
      <c r="CT1" s="69">
        <f>SUBTOTAL(9,ППД5[Итоговая сумма скидки])</f>
        <v>153735</v>
      </c>
      <c r="CU1" s="69">
        <f>CV1/U1</f>
        <v>142797.04108014939</v>
      </c>
      <c r="CV1" s="69">
        <f>SUBTOTAL(9,ППД5[Стоимость ОН без отделки со скидкой])</f>
        <v>4970765</v>
      </c>
      <c r="CW1" s="14"/>
      <c r="CY1" s="331"/>
      <c r="CZ1" s="326"/>
      <c r="DA1" s="69">
        <f>DC1/U1</f>
        <v>167797.04108014939</v>
      </c>
      <c r="DB1" s="69">
        <f>SUBTOTAL(9,ППД5[Сумма отделки])</f>
        <v>870250.00000000093</v>
      </c>
      <c r="DC1" s="69">
        <f>SUBTOTAL(9,ППД5[Стоимость квартиры с отделкой])</f>
        <v>5841015.0000000009</v>
      </c>
      <c r="DE1" s="108"/>
      <c r="DF1" s="341" t="s">
        <v>785</v>
      </c>
      <c r="DG1" s="363">
        <v>45845</v>
      </c>
      <c r="DH1" s="364"/>
      <c r="DI1" s="108"/>
      <c r="DL1" s="111"/>
      <c r="DM1" s="108"/>
      <c r="DO1" s="69">
        <f>SUBTOTAL(9,ППД5[[Сверка стоимость ]])</f>
        <v>-9.3132257461547852E-10</v>
      </c>
      <c r="DQ1" s="111"/>
      <c r="DS1" s="108"/>
      <c r="DT1" s="342"/>
    </row>
    <row r="2" spans="1:137" s="258" customFormat="1" ht="84.75" thickBot="1" x14ac:dyDescent="0.3">
      <c r="A2" s="243" t="s">
        <v>6</v>
      </c>
      <c r="B2" s="243" t="s">
        <v>17</v>
      </c>
      <c r="C2" s="243" t="s">
        <v>16</v>
      </c>
      <c r="D2" s="243" t="s">
        <v>97</v>
      </c>
      <c r="E2" s="243" t="s">
        <v>18</v>
      </c>
      <c r="F2" s="243" t="s">
        <v>66</v>
      </c>
      <c r="G2" s="243" t="s">
        <v>67</v>
      </c>
      <c r="H2" s="243" t="s">
        <v>68</v>
      </c>
      <c r="I2" s="243" t="s">
        <v>152</v>
      </c>
      <c r="J2" s="243" t="s">
        <v>60</v>
      </c>
      <c r="K2" s="243" t="s">
        <v>61</v>
      </c>
      <c r="L2" s="214" t="s">
        <v>62</v>
      </c>
      <c r="M2" s="343" t="s">
        <v>40</v>
      </c>
      <c r="N2" s="243" t="s">
        <v>65</v>
      </c>
      <c r="O2" s="243" t="s">
        <v>63</v>
      </c>
      <c r="P2" s="243" t="s">
        <v>64</v>
      </c>
      <c r="Q2" s="243" t="s">
        <v>69</v>
      </c>
      <c r="R2" s="243" t="s">
        <v>25</v>
      </c>
      <c r="S2" s="243" t="s">
        <v>151</v>
      </c>
      <c r="T2" s="344" t="s">
        <v>153</v>
      </c>
      <c r="U2" s="345" t="s">
        <v>92</v>
      </c>
      <c r="V2" s="200" t="s">
        <v>139</v>
      </c>
      <c r="W2" s="243" t="s">
        <v>2277</v>
      </c>
      <c r="X2" s="243" t="s">
        <v>2278</v>
      </c>
      <c r="Y2" s="243" t="s">
        <v>2279</v>
      </c>
      <c r="Z2" s="243" t="s">
        <v>2280</v>
      </c>
      <c r="AA2" s="243" t="s">
        <v>2281</v>
      </c>
      <c r="AB2" s="243" t="s">
        <v>2282</v>
      </c>
      <c r="AC2" s="243" t="s">
        <v>2283</v>
      </c>
      <c r="AD2" s="243" t="s">
        <v>2284</v>
      </c>
      <c r="AE2" s="243" t="s">
        <v>2285</v>
      </c>
      <c r="AF2" s="243" t="s">
        <v>2286</v>
      </c>
      <c r="AG2" s="243" t="s">
        <v>2287</v>
      </c>
      <c r="AH2" s="243" t="s">
        <v>2288</v>
      </c>
      <c r="AI2" s="243" t="s">
        <v>2289</v>
      </c>
      <c r="AJ2" s="243" t="s">
        <v>2296</v>
      </c>
      <c r="AK2" s="243" t="s">
        <v>2290</v>
      </c>
      <c r="AL2" s="243" t="s">
        <v>2292</v>
      </c>
      <c r="AM2" s="243" t="s">
        <v>2291</v>
      </c>
      <c r="AN2" s="243" t="s">
        <v>3463</v>
      </c>
      <c r="AO2" s="243" t="s">
        <v>2294</v>
      </c>
      <c r="AP2" s="200" t="s">
        <v>3462</v>
      </c>
      <c r="AQ2" s="243" t="s">
        <v>2293</v>
      </c>
      <c r="AR2" s="243" t="s">
        <v>96</v>
      </c>
      <c r="AS2" s="243" t="s">
        <v>165</v>
      </c>
      <c r="AT2" s="243" t="s">
        <v>166</v>
      </c>
      <c r="AU2" s="243" t="s">
        <v>169</v>
      </c>
      <c r="AV2" s="243" t="s">
        <v>168</v>
      </c>
      <c r="AW2" s="243" t="s">
        <v>758</v>
      </c>
      <c r="AX2" s="243" t="s">
        <v>756</v>
      </c>
      <c r="AY2" s="243" t="s">
        <v>759</v>
      </c>
      <c r="AZ2" s="243" t="s">
        <v>755</v>
      </c>
      <c r="BA2" s="243" t="s">
        <v>760</v>
      </c>
      <c r="BB2" s="243" t="s">
        <v>761</v>
      </c>
      <c r="BC2" s="243" t="s">
        <v>773</v>
      </c>
      <c r="BD2" s="243" t="s">
        <v>764</v>
      </c>
      <c r="BE2" s="243" t="s">
        <v>769</v>
      </c>
      <c r="BF2" s="243" t="s">
        <v>770</v>
      </c>
      <c r="BG2" s="243" t="s">
        <v>771</v>
      </c>
      <c r="BH2" s="243" t="s">
        <v>772</v>
      </c>
      <c r="BI2" s="243" t="s">
        <v>782</v>
      </c>
      <c r="BJ2" s="243" t="s">
        <v>775</v>
      </c>
      <c r="BK2" s="243" t="s">
        <v>783</v>
      </c>
      <c r="BL2" s="243" t="s">
        <v>784</v>
      </c>
      <c r="BM2" s="243" t="s">
        <v>786</v>
      </c>
      <c r="BN2" s="243" t="s">
        <v>787</v>
      </c>
      <c r="BO2" s="243" t="s">
        <v>790</v>
      </c>
      <c r="BP2" s="243" t="s">
        <v>789</v>
      </c>
      <c r="BQ2" s="243" t="s">
        <v>797</v>
      </c>
      <c r="BR2" s="243" t="s">
        <v>792</v>
      </c>
      <c r="BS2" s="243" t="s">
        <v>798</v>
      </c>
      <c r="BT2" s="243" t="s">
        <v>794</v>
      </c>
      <c r="BU2" s="243" t="s">
        <v>796</v>
      </c>
      <c r="BV2" s="243" t="s">
        <v>795</v>
      </c>
      <c r="BW2" s="243" t="s">
        <v>800</v>
      </c>
      <c r="BX2" s="243" t="s">
        <v>799</v>
      </c>
      <c r="BY2" s="346" t="s">
        <v>801</v>
      </c>
      <c r="BZ2" s="243" t="s">
        <v>802</v>
      </c>
      <c r="CA2" s="346" t="s">
        <v>805</v>
      </c>
      <c r="CB2" s="243" t="s">
        <v>804</v>
      </c>
      <c r="CC2" s="346" t="s">
        <v>808</v>
      </c>
      <c r="CD2" s="243" t="s">
        <v>807</v>
      </c>
      <c r="CE2" s="347" t="s">
        <v>811</v>
      </c>
      <c r="CF2" s="243" t="s">
        <v>810</v>
      </c>
      <c r="CG2" s="347" t="s">
        <v>812</v>
      </c>
      <c r="CH2" s="243" t="s">
        <v>813</v>
      </c>
      <c r="CI2" s="347" t="s">
        <v>815</v>
      </c>
      <c r="CJ2" s="243" t="s">
        <v>814</v>
      </c>
      <c r="CK2" s="347" t="s">
        <v>818</v>
      </c>
      <c r="CL2" s="243" t="s">
        <v>819</v>
      </c>
      <c r="CM2" s="346" t="s">
        <v>1701</v>
      </c>
      <c r="CN2" s="243" t="s">
        <v>1702</v>
      </c>
      <c r="CO2" s="243" t="s">
        <v>38</v>
      </c>
      <c r="CP2" s="243" t="s">
        <v>95</v>
      </c>
      <c r="CQ2" s="243" t="s">
        <v>3464</v>
      </c>
      <c r="CR2" s="5" t="s">
        <v>93</v>
      </c>
      <c r="CS2" s="5" t="s">
        <v>26</v>
      </c>
      <c r="CT2" s="5" t="s">
        <v>94</v>
      </c>
      <c r="CU2" s="5" t="s">
        <v>44</v>
      </c>
      <c r="CV2" s="5" t="s">
        <v>43</v>
      </c>
      <c r="CW2" s="5" t="s">
        <v>8</v>
      </c>
      <c r="CX2" s="88" t="s">
        <v>9</v>
      </c>
      <c r="CY2" s="243" t="s">
        <v>2297</v>
      </c>
      <c r="CZ2" s="327" t="s">
        <v>2295</v>
      </c>
      <c r="DA2" s="5" t="s">
        <v>173</v>
      </c>
      <c r="DB2" s="5" t="s">
        <v>28</v>
      </c>
      <c r="DC2" s="5" t="s">
        <v>10</v>
      </c>
      <c r="DD2" s="5" t="s">
        <v>27</v>
      </c>
      <c r="DE2" s="200" t="s">
        <v>7</v>
      </c>
      <c r="DF2" s="348" t="s">
        <v>0</v>
      </c>
      <c r="DG2" s="349" t="s">
        <v>1</v>
      </c>
      <c r="DH2" s="349" t="s">
        <v>24</v>
      </c>
      <c r="DI2" s="350" t="s">
        <v>174</v>
      </c>
      <c r="DJ2" s="200" t="s">
        <v>817</v>
      </c>
      <c r="DK2" s="200" t="s">
        <v>762</v>
      </c>
      <c r="DL2" s="202" t="s">
        <v>776</v>
      </c>
      <c r="DM2" s="202" t="s">
        <v>777</v>
      </c>
      <c r="DN2" s="202" t="s">
        <v>778</v>
      </c>
      <c r="DO2" s="202" t="s">
        <v>779</v>
      </c>
      <c r="DP2" s="220" t="s">
        <v>793</v>
      </c>
      <c r="DQ2" s="200" t="s">
        <v>2121</v>
      </c>
      <c r="DR2" s="200" t="s">
        <v>854</v>
      </c>
      <c r="DS2" s="334" t="s">
        <v>3458</v>
      </c>
      <c r="DT2" s="334" t="s">
        <v>3459</v>
      </c>
      <c r="DU2" s="334" t="s">
        <v>3460</v>
      </c>
      <c r="DV2" s="258" t="s">
        <v>3461</v>
      </c>
    </row>
    <row r="3" spans="1:137" s="258" customFormat="1" hidden="1" x14ac:dyDescent="0.25">
      <c r="A3" s="337">
        <v>1</v>
      </c>
      <c r="B3" s="151" t="s">
        <v>5</v>
      </c>
      <c r="C3" s="151">
        <v>1</v>
      </c>
      <c r="D3" s="338">
        <v>1</v>
      </c>
      <c r="E3" s="151">
        <v>1</v>
      </c>
      <c r="F3" s="152">
        <v>14.68</v>
      </c>
      <c r="G3" s="152"/>
      <c r="H3" s="152"/>
      <c r="I3" s="109">
        <f>SUM(ППД5[[#This Row],[Комната 1]:[Комната 3]])</f>
        <v>14.68</v>
      </c>
      <c r="J3" s="152">
        <v>9.84</v>
      </c>
      <c r="K3" s="152">
        <v>3.63</v>
      </c>
      <c r="L3" s="152"/>
      <c r="M3" s="152"/>
      <c r="N3" s="152">
        <v>4.8899999999999997</v>
      </c>
      <c r="O3" s="152">
        <v>2.7</v>
      </c>
      <c r="P3" s="152"/>
      <c r="Q3" s="152"/>
      <c r="R3" s="152">
        <f>SUM(ППД5[[#This Row],[Лоджия 1]:[Лоджия 3]])</f>
        <v>2.7</v>
      </c>
      <c r="S3" s="96">
        <f>ROUND(SUM(ППД5[[#This Row],[Площадь по проекту жилая]:[Лоджия 3]]),2)</f>
        <v>35.74</v>
      </c>
      <c r="T3" s="96">
        <f>ROUND(ППД5[[#This Row],[Площадь по проекту(общая)]]-ППД5[[#This Row],[Летние]],2)</f>
        <v>33.04</v>
      </c>
      <c r="U3" s="91">
        <f>ROUND(ППД5[[#This Row],[Площадь по проекту(общая)]]-(SUM(ППД5[[#This Row],[Лоджия 1]:[Лоджия 3]])/2),2)</f>
        <v>34.39</v>
      </c>
      <c r="V3" s="91">
        <f>IF(ППД5[[#This Row],[Статус]]="продажа",ППД5[[#This Row],[Расчетная проектная площадь]],ППД5[[#This Row],[Расчетная ТП площадь]])</f>
        <v>34.39</v>
      </c>
      <c r="W3" s="91">
        <v>14.7</v>
      </c>
      <c r="X3" s="91"/>
      <c r="Y3" s="91"/>
      <c r="Z3" s="91">
        <f>SUM(ППД5[[#This Row],[ТП Комната 1]:[ТП Комната 3]])</f>
        <v>14.7</v>
      </c>
      <c r="AA3" s="91">
        <v>9.6999999999999993</v>
      </c>
      <c r="AB3" s="91">
        <v>3.7</v>
      </c>
      <c r="AC3" s="91"/>
      <c r="AD3" s="91"/>
      <c r="AE3" s="91">
        <v>4.8</v>
      </c>
      <c r="AF3" s="91">
        <v>1.35</v>
      </c>
      <c r="AG3" s="91"/>
      <c r="AH3" s="91"/>
      <c r="AI3" s="91">
        <f>SUM(ППД5[[#This Row],[ТП Лоджия 1]:[ТП Лоджия 3]])</f>
        <v>1.35</v>
      </c>
      <c r="AJ3" s="95">
        <v>2.7</v>
      </c>
      <c r="AK3" s="95">
        <f>SUM(ППД5[[#This Row],[Площадь по ТП жилая]:[ТП Лоджия 3]])-ППД5[[#This Row],[ТП Летние]]+ППД5[[#This Row],[кроме того прочая
(без коэффициента)]]</f>
        <v>35.6</v>
      </c>
      <c r="AL3" s="95">
        <f>ППД5[[#This Row],[ТП Площадь без летних]]+(ППД5[[#This Row],[ТП Летние]])</f>
        <v>34.25</v>
      </c>
      <c r="AM3" s="95">
        <f>ППД5[[#This Row],[ТП общая S]]-ППД5[[#This Row],[кроме того прочая
(без коэффициента)]]</f>
        <v>32.9</v>
      </c>
      <c r="AN3" s="95">
        <f>SUM(ППД5[[#This Row],[ТП Кухня]:[ТП Коридор]])</f>
        <v>18.2</v>
      </c>
      <c r="AO3" s="91">
        <f>ППД5[[#This Row],[Расчетная ТП площадь]]-ППД5[[#This Row],[Расчетная проектная площадь]]</f>
        <v>-0.14000000000000057</v>
      </c>
      <c r="AP3" s="335">
        <f>ППД5[[#This Row],[Расчетная ТП площадь]]/ППД5[[#This Row],[Расчетная проектная площадь]]-1</f>
        <v>-4.0709508578075093E-3</v>
      </c>
      <c r="AQ3" s="95">
        <f>ППД5[[#This Row],[% расхождения]]*ППД5[[#This Row],[Стоимость до скидки]]</f>
        <v>-12758.18461180578</v>
      </c>
      <c r="AR3" s="91">
        <f>VLOOKUP(ППД5[[#This Row],[№]],наценкад5[],COLUMN(наценкад5[[#This Row],[Цена м2 с учетом всех K]]),0)</f>
        <v>86790.375</v>
      </c>
      <c r="AS3" s="96">
        <f>ППД5[[#This Row],[м2 после К]]*5%</f>
        <v>4339.5187500000002</v>
      </c>
      <c r="AT3" s="96">
        <f>ППД5[[#This Row],[м2 после К]]+ППД5[[#This Row],[Повышение 16.08.23 - 5%]]</f>
        <v>91129.893750000003</v>
      </c>
      <c r="AU3" s="93"/>
      <c r="AV3" s="93">
        <f>ППД5[[#This Row],[Фикс 16.08.23]]+ППД5[[#This Row],[Повышение 29.08.23 - 3%]]</f>
        <v>91129.893750000003</v>
      </c>
      <c r="AW3" s="93"/>
      <c r="AX3" s="93">
        <f>ППД5[[#This Row],[Фикс 29.08.23]]+ППД5[[#This Row],[Повышение 06.09.23 СТ и 1К]]</f>
        <v>91129.893750000003</v>
      </c>
      <c r="AY3" s="93"/>
      <c r="AZ3" s="93">
        <f>ППД5[[#This Row],[Повышение 23.10.23  В4 ]]+ППД5[[#This Row],[Фикс 06.09.23]]</f>
        <v>91129.893750000003</v>
      </c>
      <c r="BA3" s="93"/>
      <c r="BB3" s="93">
        <f>ППД5[[#This Row],[Повышение 8.11.23 1К 5%]]+ППД5[[#This Row],[Фикс 23.10.23]]</f>
        <v>91129.893750000003</v>
      </c>
      <c r="BC3" s="93"/>
      <c r="BD3" s="93">
        <f>ППД5[[#This Row],[Корректировка 24.11.23 - 1К В5, 2К А2, №233]]+ППД5[[#This Row],[Фикс 8.11.23]]</f>
        <v>91129.893750000003</v>
      </c>
      <c r="BE3" s="93"/>
      <c r="BF3" s="93">
        <f>ППД5[[#This Row],[Наценка за отделку 29.12.23 1%]]+ППД5[[#This Row],[Фикс 8.11.24]]</f>
        <v>91129.893750000003</v>
      </c>
      <c r="BG3" s="93"/>
      <c r="BH3" s="93">
        <f>ППД5[[#This Row],[Фикс 29.12.23]]+ППД5[[#This Row],[Наценка 10.01.24 5%]]</f>
        <v>91129.893750000003</v>
      </c>
      <c r="BI3" s="93"/>
      <c r="BJ3" s="93">
        <f>ППД5[[#This Row],[Наценка 26.02.24 1 Этаж]]+ППД5[[#This Row],[Фикс 10.01.24]]</f>
        <v>91129.893750000003</v>
      </c>
      <c r="BK3" s="93"/>
      <c r="BL3" s="93">
        <f>ППД5[[#This Row],[Фикс 26.02.24]]+ППД5[[#This Row],[Наценка 06.03.24
СТ, 1К - 3%
2К, 3К - 2%]]</f>
        <v>91129.893750000003</v>
      </c>
      <c r="BM3" s="93"/>
      <c r="BN3" s="93">
        <f>ППД5[[#This Row],[Фикс 06.03.24]]+ППД5[[#This Row],[Наценка Г2+500]]</f>
        <v>91129.893750000003</v>
      </c>
      <c r="BO3" s="93"/>
      <c r="BP3" s="93">
        <f>ППД5[[#This Row],[Фикс 13.03.25]]+ППД5[[#This Row],[Наценка 20.03.24
2К, 3К - 2%]]</f>
        <v>91129.893750000003</v>
      </c>
      <c r="BQ3" s="93"/>
      <c r="BR3" s="93">
        <f>ППД5[[#This Row],[Фикс 20.03.24]]+ППД5[[#This Row],[Наценка 08.04.24 
2К: В3 - 150
3К: Г7 +1000]]</f>
        <v>91129.893750000003</v>
      </c>
      <c r="BS3" s="93"/>
      <c r="BT3" s="93">
        <f>ППД5[[#This Row],[Фикс 08.04.24]]+ППД5[[#This Row],[Наценка 16.05.24 1%
А4,А6,Б3,Б6,Б7,В2,В3,В5,В6,Г1,Г3-Г5]]</f>
        <v>91129.893750000003</v>
      </c>
      <c r="BU3" s="93"/>
      <c r="BV3" s="93">
        <f>ППД5[[#This Row],[Фикс 16.05.24]]+ППД5[[#This Row],[Наценка 24.05.24
1% - Б4, Б5,Г2,Г6
2% - А1,А3,А5,Б2,Г7]]</f>
        <v>91129.893750000003</v>
      </c>
      <c r="BW3" s="93"/>
      <c r="BX3" s="93">
        <f>ППД5[[#This Row],[Наценка 06.06.24
0К: В2,Г3 +0,5%
1К: А7, Б5/4, Г6 +0,5%
3К: В6 +0,5%
1К: А3 +1%]]+ППД5[[#This Row],[Фикс 24.05.24]]</f>
        <v>91129.893750000003</v>
      </c>
      <c r="BY3" s="93"/>
      <c r="BZ3" s="93">
        <f>ППД5[[#This Row],[Фикс 06.06.24]]+ППД5[[#This Row],[13.06.2024
3К - 2%]]</f>
        <v>91129.893750000003</v>
      </c>
      <c r="CA3" s="93"/>
      <c r="CB3" s="93">
        <f>ППД5[[#This Row],[02.07.2024: Г3 А1 А3 Б5 Б7 Г2 Г6 Б3 Б4 В3 Г7 2,5% ост 0,5-1,5%]]+ППД5[[#This Row],[Фикс 13.06.24]]</f>
        <v>91129.893750000003</v>
      </c>
      <c r="CC3" s="93"/>
      <c r="CD3" s="93">
        <f>ППД5[[#This Row],[Фикс 02.07.24]]+ППД5[[#This Row],[04.09.2024 +500
0К - Б2; 1К - А3;
2К - А6, Б4, В3, Г5]]</f>
        <v>91129.893750000003</v>
      </c>
      <c r="CE3" s="93"/>
      <c r="CF3" s="93">
        <f>ППД5[[#This Row],[Наценка 16.09.2024
1К: А1,В7,Г6/7,Г8 - 2%
2К: А4,А5,А6,Б1,Б6,Б3/4,В3,В4,Г4,Г5 - 4%
3К: 4%]]+ППД5[[#This Row],[Фикс 04.09.24]]</f>
        <v>91129.893750000003</v>
      </c>
      <c r="CG3" s="93"/>
      <c r="CH3" s="93">
        <f>ППД5[[#This Row],[Фикс 16.09.2024]]+ППД5[[#This Row],[Наценка 01.11.24
СТ: 4%
1К: 34-40м 5%; 40м+ 8%; МГН 1%
2К: 55-70м 6%; 70-73м 7%; 73-76м 8% 
3К: 5%]]</f>
        <v>91129.893750000003</v>
      </c>
      <c r="CI3" s="93"/>
      <c r="CJ3" s="93">
        <f>ППД5[[#This Row],[Наценка 06.11 13%]]+ППД5[[#This Row],[Фикс 01.11.24]]</f>
        <v>91129.893750000003</v>
      </c>
      <c r="CK3" s="93"/>
      <c r="CL3" s="93">
        <f>ППД5[[#This Row],[Фикс 06.11.24]]+ППД5[[#This Row],[Наценка 18.12.24 распределение КВ]]</f>
        <v>91129.893750000003</v>
      </c>
      <c r="CM3" s="93"/>
      <c r="CN3" s="93">
        <f>ППД5[[#This Row],[Фикс 18.12.24]]+ППД5[[#This Row],[Наценка 10.02.25 +1%
1К: А3
2К: Б3, В3]]</f>
        <v>91129.893750000003</v>
      </c>
      <c r="CO3" s="97">
        <f>ROUND(ППД5[[#This Row],[Фикс 10.02.25]],2)</f>
        <v>91129.89</v>
      </c>
      <c r="CP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3133956.92</v>
      </c>
      <c r="CQ3" s="93">
        <f>ROUNDUP(ППД5[[#This Row],[Стоимость до скидки]]+ППД5[[#This Row],[Сумма доплаты]],-2)</f>
        <v>3121200</v>
      </c>
      <c r="CR3" s="68"/>
      <c r="CS3" s="90"/>
      <c r="CT3" s="68">
        <f>ППД5[[#This Row],[Стоимость до скидки]]*ППД5[[#This Row],[Скидка %]]+ППД5[[#This Row],[Скидка фиксированная]]</f>
        <v>0</v>
      </c>
      <c r="CU3" s="3">
        <f>ППД5[[#This Row],[Стоимость ОН без отделки со скидкой]]/ППД5[[#This Row],[Расчетная проектная площадь]]</f>
        <v>91129.890084326835</v>
      </c>
      <c r="CV3" s="3">
        <f>ROUND(ППД5[[#This Row],[Стоимость до скидки]]-ППД5[[#This Row],[Итоговая сумма скидки]],2)</f>
        <v>3133956.92</v>
      </c>
      <c r="CW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3" s="197">
        <v>5000</v>
      </c>
      <c r="CY3" s="332">
        <f>ППД5[[#This Row],[Расхождение]]/ППД5[[#This Row],[Расчетная проектная площадь]]</f>
        <v>-4.0709508578075189E-3</v>
      </c>
      <c r="CZ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-0.16000000000000014</v>
      </c>
      <c r="DA3" s="3">
        <f>ППД5[[#This Row],[Цена м2 без отделки со скидкой]]+ППД5[[#This Row],[Стоимость отделки]]</f>
        <v>96129.890084326835</v>
      </c>
      <c r="DB3" s="3">
        <f>ППД5[[#This Row],[Стоимость квартиры с отделкой]]-ППД5[[#This Row],[Стоимость ОН без отделки со скидкой]]</f>
        <v>171950</v>
      </c>
      <c r="DC3" s="3">
        <f>ППД5[[#This Row],[Цена м2 с отделкой]]*ППД5[[#This Row],[Расчетная проектная площадь]]</f>
        <v>3305906.92</v>
      </c>
      <c r="DD3" s="3" t="s">
        <v>154</v>
      </c>
      <c r="DE3" s="212"/>
      <c r="DF3" s="199" t="s">
        <v>172</v>
      </c>
      <c r="DG3" s="221" t="s">
        <v>172</v>
      </c>
      <c r="DH3" s="100" t="b">
        <f>EXACT(ППД5[[#This Row],[Статусы CRM]],ППД5[[#This Row],[Статус]])</f>
        <v>1</v>
      </c>
      <c r="DI3" s="213" t="s">
        <v>175</v>
      </c>
      <c r="DJ3" s="204"/>
      <c r="DK3" s="111" t="s">
        <v>76</v>
      </c>
      <c r="DL3" s="216" t="s">
        <v>13</v>
      </c>
      <c r="DM3" s="201" t="b">
        <f>ППД5[[#This Row],[Отделка CRM]]=ППД5[[#This Row],[Отделка]]</f>
        <v>1</v>
      </c>
      <c r="DN3" s="204">
        <v>3305906.92</v>
      </c>
      <c r="DO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" s="207" t="b">
        <f>IF(AND(ППД5[[#This Row],[Статус]]="свободно",ППД5[[#This Row],[Итоговая сумма скидки]]&lt;&gt;0),FALSE,TRUE)</f>
        <v>1</v>
      </c>
      <c r="DQ3" s="240">
        <f>_xlfn.XLOOKUP(ППД5[[#This Row],[№]],Юрист[№ кв],Юрист[Дата подачи на регистрацию]," ",0,-1)</f>
        <v>45187</v>
      </c>
      <c r="DR3" s="115" t="str">
        <f>_xlfn.XLOOKUP(ППД5[[#This Row],[№]],Юрист[№ кв],Юрист[МОП],"",0,-1)</f>
        <v>Никишов</v>
      </c>
      <c r="DS3" s="333" t="s">
        <v>2298</v>
      </c>
      <c r="DT3" s="333" t="s">
        <v>2299</v>
      </c>
      <c r="DU3" s="333">
        <v>32.9</v>
      </c>
      <c r="DV3" s="111"/>
      <c r="DW3" s="108"/>
      <c r="DX3" s="108"/>
      <c r="DY3" s="108"/>
      <c r="DZ3" s="108"/>
      <c r="EA3" s="108"/>
      <c r="EB3" s="108"/>
      <c r="EC3" s="108"/>
      <c r="ED3" s="108"/>
      <c r="EE3" s="108"/>
      <c r="EF3" s="108"/>
      <c r="EG3" s="108"/>
    </row>
    <row r="4" spans="1:137" s="258" customFormat="1" hidden="1" x14ac:dyDescent="0.25">
      <c r="A4" s="337">
        <v>2</v>
      </c>
      <c r="B4" s="151" t="s">
        <v>5</v>
      </c>
      <c r="C4" s="151">
        <v>1</v>
      </c>
      <c r="D4" s="338">
        <v>2</v>
      </c>
      <c r="E4" s="151">
        <v>2</v>
      </c>
      <c r="F4" s="152">
        <v>15.82</v>
      </c>
      <c r="G4" s="152">
        <v>14.9</v>
      </c>
      <c r="H4" s="152"/>
      <c r="I4" s="109">
        <f>SUM(ППД5[[#This Row],[Комната 1]:[Комната 3]])</f>
        <v>30.72</v>
      </c>
      <c r="J4" s="152">
        <v>18.7</v>
      </c>
      <c r="K4" s="152">
        <v>4.42</v>
      </c>
      <c r="L4" s="152"/>
      <c r="M4" s="152">
        <v>3.25</v>
      </c>
      <c r="N4" s="152">
        <v>8.3699999999999992</v>
      </c>
      <c r="O4" s="152">
        <v>3</v>
      </c>
      <c r="P4" s="152"/>
      <c r="Q4" s="152"/>
      <c r="R4" s="152">
        <f>SUM(ППД5[[#This Row],[Лоджия 1]:[Лоджия 3]])</f>
        <v>3</v>
      </c>
      <c r="S4" s="96">
        <f>ROUND(SUM(ППД5[[#This Row],[Площадь по проекту жилая]:[Лоджия 3]]),2)</f>
        <v>68.459999999999994</v>
      </c>
      <c r="T4" s="96">
        <f>ROUND(ППД5[[#This Row],[Площадь по проекту(общая)]]-ППД5[[#This Row],[Летние]],2)</f>
        <v>65.459999999999994</v>
      </c>
      <c r="U4" s="91">
        <f>ROUND(ППД5[[#This Row],[Площадь по проекту(общая)]]-(SUM(ППД5[[#This Row],[Лоджия 1]:[Лоджия 3]])/2),2)</f>
        <v>66.959999999999994</v>
      </c>
      <c r="V4" s="91">
        <f>IF(ППД5[[#This Row],[Статус]]="продажа",ППД5[[#This Row],[Расчетная проектная площадь]],ППД5[[#This Row],[Расчетная ТП площадь]])</f>
        <v>66.350000000000009</v>
      </c>
      <c r="W4" s="91">
        <v>14.9</v>
      </c>
      <c r="X4" s="91">
        <v>15.7</v>
      </c>
      <c r="Y4" s="91"/>
      <c r="Z4" s="91">
        <f>SUM(ППД5[[#This Row],[ТП Комната 1]:[ТП Комната 3]])</f>
        <v>30.6</v>
      </c>
      <c r="AA4" s="91">
        <v>18.2</v>
      </c>
      <c r="AB4" s="91">
        <v>4.4000000000000004</v>
      </c>
      <c r="AC4" s="91"/>
      <c r="AD4" s="91">
        <v>3.2</v>
      </c>
      <c r="AE4" s="91">
        <v>8.5</v>
      </c>
      <c r="AF4" s="91">
        <v>1.45</v>
      </c>
      <c r="AG4" s="91"/>
      <c r="AH4" s="91"/>
      <c r="AI4" s="91">
        <f>SUM(ППД5[[#This Row],[ТП Лоджия 1]:[ТП Лоджия 3]])</f>
        <v>1.45</v>
      </c>
      <c r="AJ4" s="95">
        <v>2.9</v>
      </c>
      <c r="AK4" s="95">
        <f>SUM(ППД5[[#This Row],[Площадь по ТП жилая]:[ТП Лоджия 3]])-ППД5[[#This Row],[ТП Летние]]+ППД5[[#This Row],[кроме того прочая
(без коэффициента)]]</f>
        <v>67.800000000000011</v>
      </c>
      <c r="AL4" s="95">
        <f>ППД5[[#This Row],[ТП Площадь без летних]]+(ППД5[[#This Row],[ТП Летние]])</f>
        <v>66.350000000000009</v>
      </c>
      <c r="AM4" s="95">
        <f>ППД5[[#This Row],[ТП общая S]]-ППД5[[#This Row],[кроме того прочая
(без коэффициента)]]</f>
        <v>64.900000000000006</v>
      </c>
      <c r="AN4" s="95">
        <f>SUM(ППД5[[#This Row],[ТП Кухня]:[ТП Коридор]])</f>
        <v>34.299999999999997</v>
      </c>
      <c r="AO4" s="91">
        <f>ППД5[[#This Row],[Расчетная ТП площадь]]-ППД5[[#This Row],[Расчетная проектная площадь]]</f>
        <v>-0.60999999999998522</v>
      </c>
      <c r="AP4" s="335">
        <f>ППД5[[#This Row],[Расчетная ТП площадь]]/ППД5[[#This Row],[Расчетная проектная площадь]]-1</f>
        <v>-9.1099163679806416E-3</v>
      </c>
      <c r="AQ4" s="95">
        <f>ППД5[[#This Row],[% расхождения]]*ППД5[[#This Row],[Стоимость до скидки]]</f>
        <v>-76419.444444442415</v>
      </c>
      <c r="AR4" s="91">
        <f>VLOOKUP(ППД5[[#This Row],[№]],наценкад5[],COLUMN(наценкад5[[#This Row],[Цена м2 с учетом всех K]]),0)</f>
        <v>84941.010000000009</v>
      </c>
      <c r="AS4" s="96">
        <f>ППД5[[#This Row],[м2 после К]]*5%</f>
        <v>4247.0505000000003</v>
      </c>
      <c r="AT4" s="96">
        <f>ППД5[[#This Row],[м2 после К]]+ППД5[[#This Row],[Повышение 16.08.23 - 5%]]</f>
        <v>89188.060500000007</v>
      </c>
      <c r="AU4" s="93">
        <f>ППД5[[#This Row],[Фикс 16.08.23]]*3%</f>
        <v>2675.641815</v>
      </c>
      <c r="AV4" s="93">
        <f>ППД5[[#This Row],[Фикс 16.08.23]]+ППД5[[#This Row],[Повышение 29.08.23 - 3%]]</f>
        <v>91863.702315000002</v>
      </c>
      <c r="AW4" s="93"/>
      <c r="AX4" s="93">
        <f>ППД5[[#This Row],[Фикс 29.08.23]]+ППД5[[#This Row],[Повышение 06.09.23 СТ и 1К]]</f>
        <v>91863.702315000002</v>
      </c>
      <c r="AY4" s="93"/>
      <c r="AZ4" s="93">
        <f>ППД5[[#This Row],[Повышение 23.10.23  В4 ]]+ППД5[[#This Row],[Фикс 06.09.23]]</f>
        <v>91863.702315000002</v>
      </c>
      <c r="BA4" s="93"/>
      <c r="BB4" s="93">
        <f>ППД5[[#This Row],[Повышение 8.11.23 1К 5%]]+ППД5[[#This Row],[Фикс 23.10.23]]</f>
        <v>91863.702315000002</v>
      </c>
      <c r="BC4" s="93"/>
      <c r="BD4" s="93">
        <f>ППД5[[#This Row],[Корректировка 24.11.23 - 1К В5, 2К А2, №233]]+ППД5[[#This Row],[Фикс 8.11.23]]</f>
        <v>91863.702315000002</v>
      </c>
      <c r="BE4" s="93">
        <f>ППД5[[#This Row],[Фикс 8.11.24]]*1%</f>
        <v>918.63702315</v>
      </c>
      <c r="BF4" s="93">
        <f>ППД5[[#This Row],[Наценка за отделку 29.12.23 1%]]+ППД5[[#This Row],[Фикс 8.11.24]]</f>
        <v>92782.339338150006</v>
      </c>
      <c r="BG4" s="93">
        <f>ППД5[[#This Row],[Фикс 29.12.23]]*5%</f>
        <v>4639.1169669075007</v>
      </c>
      <c r="BH4" s="93">
        <f>ППД5[[#This Row],[Фикс 29.12.23]]+ППД5[[#This Row],[Наценка 10.01.24 5%]]</f>
        <v>97421.456305057509</v>
      </c>
      <c r="BI4" s="93">
        <f>100000-ППД5[[#This Row],[Фикс 10.01.24]]</f>
        <v>2578.5436949424911</v>
      </c>
      <c r="BJ4" s="93">
        <f>ППД5[[#This Row],[Наценка 26.02.24 1 Этаж]]+ППД5[[#This Row],[Фикс 10.01.24]]</f>
        <v>100000</v>
      </c>
      <c r="BK4" s="93">
        <f>ППД5[[#This Row],[Фикс 26.02.24]]*2%</f>
        <v>2000</v>
      </c>
      <c r="BL4" s="93">
        <f>ППД5[[#This Row],[Фикс 26.02.24]]+ППД5[[#This Row],[Наценка 06.03.24
СТ, 1К - 3%
2К, 3К - 2%]]</f>
        <v>102000</v>
      </c>
      <c r="BM4" s="93"/>
      <c r="BN4" s="93">
        <f>ППД5[[#This Row],[Фикс 06.03.24]]+ППД5[[#This Row],[Наценка Г2+500]]</f>
        <v>102000</v>
      </c>
      <c r="BO4" s="93">
        <f>ППД5[[#This Row],[Фикс 13.03.25]]*2%</f>
        <v>2040</v>
      </c>
      <c r="BP4" s="93">
        <f>ППД5[[#This Row],[Фикс 13.03.25]]+ППД5[[#This Row],[Наценка 20.03.24
2К, 3К - 2%]]</f>
        <v>104040</v>
      </c>
      <c r="BQ4" s="93"/>
      <c r="BR4" s="93">
        <f>ППД5[[#This Row],[Фикс 20.03.24]]+ППД5[[#This Row],[Наценка 08.04.24 
2К: В3 - 150
3К: Г7 +1000]]</f>
        <v>104040</v>
      </c>
      <c r="BS4" s="93"/>
      <c r="BT4" s="93">
        <f>ППД5[[#This Row],[Фикс 08.04.24]]+ППД5[[#This Row],[Наценка 16.05.24 1%
А4,А6,Б3,Б6,Б7,В2,В3,В5,В6,Г1,Г3-Г5]]</f>
        <v>104040</v>
      </c>
      <c r="BU4" s="93"/>
      <c r="BV4" s="93">
        <f>ППД5[[#This Row],[Фикс 16.05.24]]+ППД5[[#This Row],[Наценка 24.05.24
1% - Б4, Б5,Г2,Г6
2% - А1,А3,А5,Б2,Г7]]</f>
        <v>104040</v>
      </c>
      <c r="BW4" s="93"/>
      <c r="BX4" s="93">
        <f>ППД5[[#This Row],[Наценка 06.06.24
0К: В2,Г3 +0,5%
1К: А7, Б5/4, Г6 +0,5%
3К: В6 +0,5%
1К: А3 +1%]]+ППД5[[#This Row],[Фикс 24.05.24]]</f>
        <v>104040</v>
      </c>
      <c r="BY4" s="93"/>
      <c r="BZ4" s="93">
        <f>ППД5[[#This Row],[Фикс 06.06.24]]+ППД5[[#This Row],[13.06.2024
3К - 2%]]</f>
        <v>104040</v>
      </c>
      <c r="CA4" s="93">
        <f>0.5%*ППД5[[#This Row],[Фикс 13.06.24]]</f>
        <v>520.20000000000005</v>
      </c>
      <c r="CB4" s="93">
        <f>ППД5[[#This Row],[02.07.2024: Г3 А1 А3 Б5 Б7 Г2 Г6 Б3 Б4 В3 Г7 2,5% ост 0,5-1,5%]]+ППД5[[#This Row],[Фикс 13.06.24]]</f>
        <v>104560.2</v>
      </c>
      <c r="CC4" s="93"/>
      <c r="CD4" s="93">
        <f>ППД5[[#This Row],[Фикс 02.07.24]]+ППД5[[#This Row],[04.09.2024 +500
0К - Б2; 1К - А3;
2К - А6, Б4, В3, Г5]]</f>
        <v>104560.2</v>
      </c>
      <c r="CE4" s="93"/>
      <c r="CF4" s="93">
        <f>ППД5[[#This Row],[Наценка 16.09.2024
1К: А1,В7,Г6/7,Г8 - 2%
2К: А4,А5,А6,Б1,Б6,Б3/4,В3,В4,Г4,Г5 - 4%
3К: 4%]]+ППД5[[#This Row],[Фикс 04.09.24]]</f>
        <v>104560.2</v>
      </c>
      <c r="CG4" s="93">
        <f>ППД5[[#This Row],[Фикс 16.09.2024]]*6%</f>
        <v>6273.6119999999992</v>
      </c>
      <c r="CH4" s="93">
        <f>ППД5[[#This Row],[Фикс 16.09.2024]]+ППД5[[#This Row],[Наценка 01.11.24
СТ: 4%
1К: 34-40м 5%; 40м+ 8%; МГН 1%
2К: 55-70м 6%; 70-73м 7%; 73-76м 8% 
3К: 5%]]</f>
        <v>110833.81199999999</v>
      </c>
      <c r="CI4" s="93">
        <f>ППД5[[#This Row],[Фикс 01.11.24]]*13%</f>
        <v>14408.395559999999</v>
      </c>
      <c r="CJ4" s="93">
        <f>ППД5[[#This Row],[Наценка 06.11 13%]]+ППД5[[#This Row],[Фикс 01.11.24]]</f>
        <v>125242.20756</v>
      </c>
      <c r="CK4" s="93">
        <v>35</v>
      </c>
      <c r="CL4" s="93">
        <f>ППД5[[#This Row],[Фикс 06.11.24]]+ППД5[[#This Row],[Наценка 18.12.24 распределение КВ]]</f>
        <v>125277.20756</v>
      </c>
      <c r="CM4" s="93"/>
      <c r="CN4" s="93">
        <f>ППД5[[#This Row],[Фикс 18.12.24]]+ППД5[[#This Row],[Наценка 10.02.25 +1%
1К: А3
2К: Б3, В3]]</f>
        <v>125277.20756</v>
      </c>
      <c r="CO4" s="97">
        <f>ROUND(ППД5[[#This Row],[Фикс 10.02.25]],2)</f>
        <v>125277.21</v>
      </c>
      <c r="CP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8388600</v>
      </c>
      <c r="CQ4" s="93">
        <f>ROUNDUP(ППД5[[#This Row],[Стоимость до скидки]]+ППД5[[#This Row],[Сумма доплаты]],-2)</f>
        <v>8312200</v>
      </c>
      <c r="CR4" s="68"/>
      <c r="CS4" s="90"/>
      <c r="CT4" s="68">
        <f>ППД5[[#This Row],[Стоимость до скидки]]*ППД5[[#This Row],[Скидка %]]+ППД5[[#This Row],[Скидка фиксированная]]</f>
        <v>0</v>
      </c>
      <c r="CU4" s="3">
        <f>ППД5[[#This Row],[Стоимость ОН без отделки со скидкой]]/ППД5[[#This Row],[Расчетная проектная площадь]]</f>
        <v>125277.7777777778</v>
      </c>
      <c r="CV4" s="3">
        <f>ROUND(ППД5[[#This Row],[Стоимость до скидки]]-ППД5[[#This Row],[Итоговая сумма скидки]],2)</f>
        <v>8388600</v>
      </c>
      <c r="CW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" s="197"/>
      <c r="CY4" s="332">
        <f>ППД5[[#This Row],[Расхождение]]/ППД5[[#This Row],[Расчетная проектная площадь]]</f>
        <v>-9.1099163679806642E-3</v>
      </c>
      <c r="CZ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-0.44000000000000128</v>
      </c>
      <c r="DA4" s="3">
        <f>ППД5[[#This Row],[Цена м2 без отделки со скидкой]]+ППД5[[#This Row],[Стоимость отделки]]</f>
        <v>125277.7777777778</v>
      </c>
      <c r="DB4" s="3">
        <f>ППД5[[#This Row],[Стоимость квартиры с отделкой]]-ППД5[[#This Row],[Стоимость ОН без отделки со скидкой]]</f>
        <v>0</v>
      </c>
      <c r="DC4" s="3">
        <f>ППД5[[#This Row],[Цена м2 с отделкой]]*ППД5[[#This Row],[Расчетная проектная площадь]]</f>
        <v>8388600</v>
      </c>
      <c r="DD4" s="98"/>
      <c r="DE4" s="99"/>
      <c r="DF4" s="155" t="s">
        <v>157</v>
      </c>
      <c r="DG4" s="245" t="s">
        <v>157</v>
      </c>
      <c r="DH4" s="100" t="b">
        <f>EXACT(ППД5[[#This Row],[Статусы CRM]],ППД5[[#This Row],[Статус]])</f>
        <v>1</v>
      </c>
      <c r="DI4" s="213" t="s">
        <v>176</v>
      </c>
      <c r="DJ4" s="204"/>
      <c r="DK4" s="111" t="s">
        <v>763</v>
      </c>
      <c r="DL4" s="216" t="s">
        <v>12</v>
      </c>
      <c r="DM4" s="201" t="b">
        <f>ППД5[[#This Row],[Отделка CRM]]=ППД5[[#This Row],[Отделка]]</f>
        <v>1</v>
      </c>
      <c r="DN4" s="203">
        <v>8388600</v>
      </c>
      <c r="DO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" s="207" t="b">
        <f>IF(AND(ППД5[[#This Row],[Статус]]="свободно",ППД5[[#This Row],[Итоговая сумма скидки]]&lt;&gt;0),FALSE,TRUE)</f>
        <v>1</v>
      </c>
      <c r="DQ4" s="240" t="str">
        <f>_xlfn.XLOOKUP(ППД5[[#This Row],[№]],Юрист[№ кв],Юрист[Дата подачи на регистрацию]," ",0,-1)</f>
        <v xml:space="preserve"> </v>
      </c>
      <c r="DR4" s="115" t="str">
        <f>_xlfn.XLOOKUP(ППД5[[#This Row],[№]],Юрист[№ кв],Юрист[МОП],"",0,-1)</f>
        <v/>
      </c>
      <c r="DS4" s="333" t="s">
        <v>2300</v>
      </c>
      <c r="DT4" s="333" t="s">
        <v>2301</v>
      </c>
      <c r="DU4" s="333">
        <v>64.900000000000006</v>
      </c>
      <c r="DV4" s="111"/>
    </row>
    <row r="5" spans="1:137" s="258" customFormat="1" hidden="1" x14ac:dyDescent="0.25">
      <c r="A5" s="337">
        <v>3</v>
      </c>
      <c r="B5" s="151" t="s">
        <v>5</v>
      </c>
      <c r="C5" s="151">
        <v>1</v>
      </c>
      <c r="D5" s="338">
        <v>3</v>
      </c>
      <c r="E5" s="151">
        <v>1</v>
      </c>
      <c r="F5" s="152">
        <v>13.59</v>
      </c>
      <c r="G5" s="152"/>
      <c r="H5" s="152"/>
      <c r="I5" s="109">
        <f>SUM(ППД5[[#This Row],[Комната 1]:[Комната 3]])</f>
        <v>13.59</v>
      </c>
      <c r="J5" s="152">
        <v>14.97</v>
      </c>
      <c r="K5" s="152">
        <v>4.1100000000000003</v>
      </c>
      <c r="L5" s="152"/>
      <c r="M5" s="152"/>
      <c r="N5" s="152">
        <v>3.71</v>
      </c>
      <c r="O5" s="152">
        <v>2.97</v>
      </c>
      <c r="P5" s="152"/>
      <c r="Q5" s="152"/>
      <c r="R5" s="152">
        <f>SUM(ППД5[[#This Row],[Лоджия 1]:[Лоджия 3]])</f>
        <v>2.97</v>
      </c>
      <c r="S5" s="96">
        <f>ROUND(SUM(ППД5[[#This Row],[Площадь по проекту жилая]:[Лоджия 3]]),2)</f>
        <v>39.35</v>
      </c>
      <c r="T5" s="96">
        <f>ROUND(ППД5[[#This Row],[Площадь по проекту(общая)]]-ППД5[[#This Row],[Летние]],2)</f>
        <v>36.380000000000003</v>
      </c>
      <c r="U5" s="91">
        <f>ROUND(ППД5[[#This Row],[Площадь по проекту(общая)]]-(SUM(ППД5[[#This Row],[Лоджия 1]:[Лоджия 3]])/2),2)</f>
        <v>37.869999999999997</v>
      </c>
      <c r="V5" s="91">
        <f>IF(ППД5[[#This Row],[Статус]]="продажа",ППД5[[#This Row],[Расчетная проектная площадь]],ППД5[[#This Row],[Расчетная ТП площадь]])</f>
        <v>37.550000000000004</v>
      </c>
      <c r="W5" s="91">
        <v>13.6</v>
      </c>
      <c r="X5" s="91"/>
      <c r="Y5" s="91"/>
      <c r="Z5" s="91">
        <f>SUM(ППД5[[#This Row],[ТП Комната 1]:[ТП Комната 3]])</f>
        <v>13.6</v>
      </c>
      <c r="AA5" s="91">
        <v>14.8</v>
      </c>
      <c r="AB5" s="91">
        <v>4.0999999999999996</v>
      </c>
      <c r="AC5" s="91"/>
      <c r="AD5" s="91"/>
      <c r="AE5" s="91">
        <v>3.7</v>
      </c>
      <c r="AF5" s="91">
        <v>1.35</v>
      </c>
      <c r="AG5" s="91"/>
      <c r="AH5" s="91"/>
      <c r="AI5" s="91">
        <f>SUM(ППД5[[#This Row],[ТП Лоджия 1]:[ТП Лоджия 3]])</f>
        <v>1.35</v>
      </c>
      <c r="AJ5" s="95">
        <v>2.7</v>
      </c>
      <c r="AK5" s="95">
        <f>SUM(ППД5[[#This Row],[Площадь по ТП жилая]:[ТП Лоджия 3]])-ППД5[[#This Row],[ТП Летние]]+ППД5[[#This Row],[кроме того прочая
(без коэффициента)]]</f>
        <v>38.900000000000006</v>
      </c>
      <c r="AL5" s="95">
        <f>ППД5[[#This Row],[ТП Площадь без летних]]+(ППД5[[#This Row],[ТП Летние]])</f>
        <v>37.550000000000004</v>
      </c>
      <c r="AM5" s="95">
        <f>ППД5[[#This Row],[ТП общая S]]-ППД5[[#This Row],[кроме того прочая
(без коэффициента)]]</f>
        <v>36.200000000000003</v>
      </c>
      <c r="AN5" s="95">
        <f>SUM(ППД5[[#This Row],[ТП Кухня]:[ТП Коридор]])</f>
        <v>22.599999999999998</v>
      </c>
      <c r="AO5" s="91">
        <f>ППД5[[#This Row],[Расчетная ТП площадь]]-ППД5[[#This Row],[Расчетная проектная площадь]]</f>
        <v>-0.31999999999999318</v>
      </c>
      <c r="AP5" s="335">
        <f>ППД5[[#This Row],[Расчетная ТП площадь]]/ППД5[[#This Row],[Расчетная проектная площадь]]-1</f>
        <v>-8.4499603908104737E-3</v>
      </c>
      <c r="AQ5" s="95">
        <f>ППД5[[#This Row],[% расхождения]]*ППД5[[#This Row],[Стоимость до скидки]]</f>
        <v>-49271.719038815871</v>
      </c>
      <c r="AR5" s="91">
        <f>VLOOKUP(ППД5[[#This Row],[№]],наценкад5[],COLUMN(наценкад5[[#This Row],[Цена м2 с учетом всех K]]),0)</f>
        <v>91657.125</v>
      </c>
      <c r="AS5" s="96">
        <f>ППД5[[#This Row],[м2 после К]]*5%</f>
        <v>4582.8562499999998</v>
      </c>
      <c r="AT5" s="96">
        <f>ППД5[[#This Row],[м2 после К]]+ППД5[[#This Row],[Повышение 16.08.23 - 5%]]</f>
        <v>96239.981249999997</v>
      </c>
      <c r="AU5" s="93">
        <f>ППД5[[#This Row],[Фикс 16.08.23]]*3%</f>
        <v>2887.1994374999999</v>
      </c>
      <c r="AV5" s="93">
        <f>ППД5[[#This Row],[Фикс 16.08.23]]+ППД5[[#This Row],[Повышение 29.08.23 - 3%]]</f>
        <v>99127.180687500004</v>
      </c>
      <c r="AW5" s="93">
        <f>ППД5[[#This Row],[Фикс 29.08.23]]*4%</f>
        <v>3965.0872275000002</v>
      </c>
      <c r="AX5" s="93">
        <f>ППД5[[#This Row],[Фикс 29.08.23]]+ППД5[[#This Row],[Повышение 06.09.23 СТ и 1К]]</f>
        <v>103092.267915</v>
      </c>
      <c r="AY5" s="93"/>
      <c r="AZ5" s="93">
        <f>ППД5[[#This Row],[Повышение 23.10.23  В4 ]]+ППД5[[#This Row],[Фикс 06.09.23]]</f>
        <v>103092.267915</v>
      </c>
      <c r="BA5" s="93">
        <f>ППД5[[#This Row],[Фикс 23.10.23]]*5%</f>
        <v>5154.6133957500006</v>
      </c>
      <c r="BB5" s="93">
        <f>ППД5[[#This Row],[Повышение 8.11.23 1К 5%]]+ППД5[[#This Row],[Фикс 23.10.23]]</f>
        <v>108246.88131075</v>
      </c>
      <c r="BC5" s="93"/>
      <c r="BD5" s="93">
        <f>ППД5[[#This Row],[Корректировка 24.11.23 - 1К В5, 2К А2, №233]]+ППД5[[#This Row],[Фикс 8.11.23]]</f>
        <v>108246.88131075</v>
      </c>
      <c r="BE5" s="93">
        <f>ППД5[[#This Row],[Фикс 8.11.24]]*1%</f>
        <v>1082.4688131075</v>
      </c>
      <c r="BF5" s="93">
        <f>ППД5[[#This Row],[Наценка за отделку 29.12.23 1%]]+ППД5[[#This Row],[Фикс 8.11.24]]</f>
        <v>109329.3501238575</v>
      </c>
      <c r="BG5" s="93">
        <f>ППД5[[#This Row],[Фикс 29.12.23]]*5%</f>
        <v>5466.4675061928756</v>
      </c>
      <c r="BH5" s="93">
        <f>ППД5[[#This Row],[Фикс 29.12.23]]+ППД5[[#This Row],[Наценка 10.01.24 5%]]</f>
        <v>114795.81763005037</v>
      </c>
      <c r="BI5" s="93">
        <f>120000-ППД5[[#This Row],[Фикс 10.01.24]]</f>
        <v>5204.1823699496308</v>
      </c>
      <c r="BJ5" s="93">
        <f>ППД5[[#This Row],[Наценка 26.02.24 1 Этаж]]+ППД5[[#This Row],[Фикс 10.01.24]]</f>
        <v>120000</v>
      </c>
      <c r="BK5" s="93">
        <f>ППД5[[#This Row],[Фикс 26.02.24]]*3%</f>
        <v>3600</v>
      </c>
      <c r="BL5" s="93">
        <f>ППД5[[#This Row],[Фикс 26.02.24]]+ППД5[[#This Row],[Наценка 06.03.24
СТ, 1К - 3%
2К, 3К - 2%]]</f>
        <v>123600</v>
      </c>
      <c r="BM5" s="93"/>
      <c r="BN5" s="93">
        <f>ППД5[[#This Row],[Фикс 06.03.24]]+ППД5[[#This Row],[Наценка Г2+500]]</f>
        <v>123600</v>
      </c>
      <c r="BO5" s="93"/>
      <c r="BP5" s="93">
        <f>ППД5[[#This Row],[Фикс 13.03.25]]+ППД5[[#This Row],[Наценка 20.03.24
2К, 3К - 2%]]</f>
        <v>123600</v>
      </c>
      <c r="BQ5" s="93"/>
      <c r="BR5" s="93">
        <f>ППД5[[#This Row],[Фикс 20.03.24]]+ППД5[[#This Row],[Наценка 08.04.24 
2К: В3 - 150
3К: Г7 +1000]]</f>
        <v>123600</v>
      </c>
      <c r="BS5" s="93"/>
      <c r="BT5" s="93">
        <f>ППД5[[#This Row],[Фикс 08.04.24]]+ППД5[[#This Row],[Наценка 16.05.24 1%
А4,А6,Б3,Б6,Б7,В2,В3,В5,В6,Г1,Г3-Г5]]</f>
        <v>123600</v>
      </c>
      <c r="BU5" s="93"/>
      <c r="BV5" s="93">
        <f>ППД5[[#This Row],[Фикс 16.05.24]]+ППД5[[#This Row],[Наценка 24.05.24
1% - Б4, Б5,Г2,Г6
2% - А1,А3,А5,Б2,Г7]]</f>
        <v>123600</v>
      </c>
      <c r="BW5" s="93">
        <f>ППД5[[#This Row],[Фикс 24.05.24]]*1%</f>
        <v>1236</v>
      </c>
      <c r="BX5" s="93">
        <f>ППД5[[#This Row],[Наценка 06.06.24
0К: В2,Г3 +0,5%
1К: А7, Б5/4, Г6 +0,5%
3К: В6 +0,5%
1К: А3 +1%]]+ППД5[[#This Row],[Фикс 24.05.24]]</f>
        <v>124836</v>
      </c>
      <c r="BY5" s="93"/>
      <c r="BZ5" s="93">
        <f>ППД5[[#This Row],[Фикс 06.06.24]]+ППД5[[#This Row],[13.06.2024
3К - 2%]]</f>
        <v>124836</v>
      </c>
      <c r="CA5" s="93">
        <f>2.5%*ППД5[[#This Row],[Фикс 13.06.24]]</f>
        <v>3120.9</v>
      </c>
      <c r="CB5" s="93">
        <f>ППД5[[#This Row],[02.07.2024: Г3 А1 А3 Б5 Б7 Г2 Г6 Б3 Б4 В3 Г7 2,5% ост 0,5-1,5%]]+ППД5[[#This Row],[Фикс 13.06.24]]</f>
        <v>127956.9</v>
      </c>
      <c r="CC5" s="93">
        <v>500</v>
      </c>
      <c r="CD5" s="93">
        <f>ППД5[[#This Row],[Фикс 02.07.24]]+ППД5[[#This Row],[04.09.2024 +500
0К - Б2; 1К - А3;
2К - А6, Б4, В3, Г5]]</f>
        <v>128456.9</v>
      </c>
      <c r="CE5" s="93"/>
      <c r="CF5" s="93">
        <f>ППД5[[#This Row],[Наценка 16.09.2024
1К: А1,В7,Г6/7,Г8 - 2%
2К: А4,А5,А6,Б1,Б6,Б3/4,В3,В4,Г4,Г5 - 4%
3К: 4%]]+ППД5[[#This Row],[Фикс 04.09.24]]</f>
        <v>128456.9</v>
      </c>
      <c r="CG5" s="93">
        <f>ППД5[[#This Row],[Фикс 16.09.2024]]*5%</f>
        <v>6422.8450000000003</v>
      </c>
      <c r="CH5" s="93">
        <f>ППД5[[#This Row],[Фикс 16.09.2024]]+ППД5[[#This Row],[Наценка 01.11.24
СТ: 4%
1К: 34-40м 5%; 40м+ 8%; МГН 1%
2К: 55-70м 6%; 70-73м 7%; 73-76м 8% 
3К: 5%]]</f>
        <v>134879.745</v>
      </c>
      <c r="CI5" s="93">
        <f>ППД5[[#This Row],[Фикс 01.11.24]]*13%</f>
        <v>17534.366849999999</v>
      </c>
      <c r="CJ5" s="93">
        <f>ППД5[[#This Row],[Наценка 06.11 13%]]+ППД5[[#This Row],[Фикс 01.11.24]]</f>
        <v>152414.11184999999</v>
      </c>
      <c r="CK5" s="93">
        <v>35</v>
      </c>
      <c r="CL5" s="93">
        <f>ППД5[[#This Row],[Фикс 06.11.24]]+ППД5[[#This Row],[Наценка 18.12.24 распределение КВ]]</f>
        <v>152449.11184999999</v>
      </c>
      <c r="CM5" s="93">
        <f>ППД5[[#This Row],[Фикс 18.12.24]]*1%</f>
        <v>1524.4911184999999</v>
      </c>
      <c r="CN5" s="93">
        <f>ППД5[[#This Row],[Фикс 18.12.24]]+ППД5[[#This Row],[Наценка 10.02.25 +1%
1К: А3
2К: Б3, В3]]</f>
        <v>153973.6029685</v>
      </c>
      <c r="CO5" s="97">
        <f>ROUND(ППД5[[#This Row],[Фикс 10.02.25]],2)</f>
        <v>153973.6</v>
      </c>
      <c r="CP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5831000</v>
      </c>
      <c r="CQ5" s="93">
        <f>ROUNDUP(ППД5[[#This Row],[Стоимость до скидки]]+ППД5[[#This Row],[Сумма доплаты]],-2)</f>
        <v>5781800</v>
      </c>
      <c r="CR5" s="68"/>
      <c r="CS5" s="90"/>
      <c r="CT5" s="68">
        <f>ППД5[[#This Row],[Стоимость до скидки]]*ППД5[[#This Row],[Скидка %]]+ППД5[[#This Row],[Скидка фиксированная]]</f>
        <v>0</v>
      </c>
      <c r="CU5" s="3">
        <f>ППД5[[#This Row],[Стоимость ОН без отделки со скидкой]]/ППД5[[#This Row],[Расчетная проектная площадь]]</f>
        <v>153974.12199630315</v>
      </c>
      <c r="CV5" s="3">
        <f>ROUND(ППД5[[#This Row],[Стоимость до скидки]]-ППД5[[#This Row],[Итоговая сумма скидки]],2)</f>
        <v>5831000</v>
      </c>
      <c r="CW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" s="197"/>
      <c r="CY5" s="332">
        <f>ППД5[[#This Row],[Расхождение]]/ППД5[[#This Row],[Расчетная проектная площадь]]</f>
        <v>-8.4499603908104893E-3</v>
      </c>
      <c r="CZ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-0.19000000000000306</v>
      </c>
      <c r="DA5" s="3">
        <f>ППД5[[#This Row],[Цена м2 без отделки со скидкой]]+ППД5[[#This Row],[Стоимость отделки]]</f>
        <v>153974.12199630315</v>
      </c>
      <c r="DB5" s="3">
        <f>ППД5[[#This Row],[Стоимость квартиры с отделкой]]-ППД5[[#This Row],[Стоимость ОН без отделки со скидкой]]</f>
        <v>0</v>
      </c>
      <c r="DC5" s="3">
        <f>ППД5[[#This Row],[Цена м2 с отделкой]]*ППД5[[#This Row],[Расчетная проектная площадь]]</f>
        <v>5831000</v>
      </c>
      <c r="DD5" s="98"/>
      <c r="DE5" s="99"/>
      <c r="DF5" s="155" t="s">
        <v>157</v>
      </c>
      <c r="DG5" s="221" t="s">
        <v>157</v>
      </c>
      <c r="DH5" s="100" t="b">
        <f>EXACT(ППД5[[#This Row],[Статусы CRM]],ППД5[[#This Row],[Статус]])</f>
        <v>1</v>
      </c>
      <c r="DI5" s="213" t="s">
        <v>177</v>
      </c>
      <c r="DJ5" s="204"/>
      <c r="DK5" s="111" t="s">
        <v>763</v>
      </c>
      <c r="DL5" s="216" t="s">
        <v>12</v>
      </c>
      <c r="DM5" s="201" t="b">
        <f>ППД5[[#This Row],[Отделка CRM]]=ППД5[[#This Row],[Отделка]]</f>
        <v>1</v>
      </c>
      <c r="DN5" s="203">
        <v>5831000</v>
      </c>
      <c r="DO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" s="207" t="b">
        <f>IF(AND(ППД5[[#This Row],[Статус]]="свободно",ППД5[[#This Row],[Итоговая сумма скидки]]&lt;&gt;0),FALSE,TRUE)</f>
        <v>1</v>
      </c>
      <c r="DQ5" s="240" t="str">
        <f>_xlfn.XLOOKUP(ППД5[[#This Row],[№]],Юрист[№ кв],Юрист[Дата подачи на регистрацию]," ",0,-1)</f>
        <v xml:space="preserve"> </v>
      </c>
      <c r="DR5" s="115" t="str">
        <f>_xlfn.XLOOKUP(ППД5[[#This Row],[№]],Юрист[№ кв],Юрист[МОП],"",0,-1)</f>
        <v/>
      </c>
      <c r="DS5" s="333" t="s">
        <v>2302</v>
      </c>
      <c r="DT5" s="333" t="s">
        <v>2303</v>
      </c>
      <c r="DU5" s="333">
        <v>36.200000000000003</v>
      </c>
      <c r="DV5" s="111"/>
    </row>
    <row r="6" spans="1:137" s="258" customFormat="1" hidden="1" x14ac:dyDescent="0.25">
      <c r="A6" s="337">
        <v>4</v>
      </c>
      <c r="B6" s="151" t="s">
        <v>5</v>
      </c>
      <c r="C6" s="151">
        <v>1</v>
      </c>
      <c r="D6" s="338">
        <v>4</v>
      </c>
      <c r="E6" s="151">
        <v>2</v>
      </c>
      <c r="F6" s="152">
        <v>16.46</v>
      </c>
      <c r="G6" s="152">
        <v>12.47</v>
      </c>
      <c r="H6" s="152"/>
      <c r="I6" s="109">
        <f>SUM(ППД5[[#This Row],[Комната 1]:[Комната 3]])</f>
        <v>28.93</v>
      </c>
      <c r="J6" s="152">
        <v>27.57</v>
      </c>
      <c r="K6" s="152">
        <v>4.3499999999999996</v>
      </c>
      <c r="L6" s="152">
        <v>1.55</v>
      </c>
      <c r="M6" s="152"/>
      <c r="N6" s="152">
        <v>8</v>
      </c>
      <c r="O6" s="152">
        <v>2.67</v>
      </c>
      <c r="P6" s="152">
        <v>2.56</v>
      </c>
      <c r="Q6" s="152"/>
      <c r="R6" s="152">
        <f>SUM(ППД5[[#This Row],[Лоджия 1]:[Лоджия 3]])</f>
        <v>5.23</v>
      </c>
      <c r="S6" s="96">
        <f>ROUND(SUM(ППД5[[#This Row],[Площадь по проекту жилая]:[Лоджия 3]]),2)</f>
        <v>75.63</v>
      </c>
      <c r="T6" s="96">
        <f>ROUND(ППД5[[#This Row],[Площадь по проекту(общая)]]-ППД5[[#This Row],[Летние]],2)</f>
        <v>70.400000000000006</v>
      </c>
      <c r="U6" s="91">
        <f>ROUND(ППД5[[#This Row],[Площадь по проекту(общая)]]-(SUM(ППД5[[#This Row],[Лоджия 1]:[Лоджия 3]])/2),2)</f>
        <v>73.02</v>
      </c>
      <c r="V6" s="91">
        <f>IF(ППД5[[#This Row],[Статус]]="продажа",ППД5[[#This Row],[Расчетная проектная площадь]],ППД5[[#This Row],[Расчетная ТП площадь]])</f>
        <v>73.02</v>
      </c>
      <c r="W6" s="91">
        <v>16.5</v>
      </c>
      <c r="X6" s="91">
        <v>12.4</v>
      </c>
      <c r="Y6" s="91"/>
      <c r="Z6" s="91">
        <f>SUM(ППД5[[#This Row],[ТП Комната 1]:[ТП Комната 3]])</f>
        <v>28.9</v>
      </c>
      <c r="AA6" s="91">
        <v>27.2</v>
      </c>
      <c r="AB6" s="91">
        <v>4.5</v>
      </c>
      <c r="AC6" s="91">
        <v>1.5</v>
      </c>
      <c r="AD6" s="91"/>
      <c r="AE6" s="91">
        <v>8.1</v>
      </c>
      <c r="AF6" s="91">
        <v>1.35</v>
      </c>
      <c r="AG6" s="91">
        <v>1.3</v>
      </c>
      <c r="AH6" s="91"/>
      <c r="AI6" s="91">
        <f>SUM(ППД5[[#This Row],[ТП Лоджия 1]:[ТП Лоджия 3]])</f>
        <v>2.6500000000000004</v>
      </c>
      <c r="AJ6" s="95">
        <v>5.3000000000000007</v>
      </c>
      <c r="AK6" s="95">
        <f>SUM(ППД5[[#This Row],[Площадь по ТП жилая]:[ТП Лоджия 3]])-ППД5[[#This Row],[ТП Летние]]+ППД5[[#This Row],[кроме того прочая
(без коэффициента)]]</f>
        <v>75.499999999999972</v>
      </c>
      <c r="AL6" s="95">
        <f>ППД5[[#This Row],[ТП Площадь без летних]]+(ППД5[[#This Row],[ТП Летние]])</f>
        <v>72.84999999999998</v>
      </c>
      <c r="AM6" s="95">
        <f>ППД5[[#This Row],[ТП общая S]]-ППД5[[#This Row],[кроме того прочая
(без коэффициента)]]</f>
        <v>70.199999999999974</v>
      </c>
      <c r="AN6" s="95">
        <f>SUM(ППД5[[#This Row],[ТП Кухня]:[ТП Коридор]])</f>
        <v>41.300000000000004</v>
      </c>
      <c r="AO6" s="91">
        <f>ППД5[[#This Row],[Расчетная ТП площадь]]-ППД5[[#This Row],[Расчетная проектная площадь]]</f>
        <v>-0.17000000000001592</v>
      </c>
      <c r="AP6" s="335">
        <f>ППД5[[#This Row],[Расчетная ТП площадь]]/ППД5[[#This Row],[Расчетная проектная площадь]]-1</f>
        <v>-2.3281292796496489E-3</v>
      </c>
      <c r="AQ6" s="95">
        <f>ППД5[[#This Row],[% расхождения]]*ППД5[[#This Row],[Стоимость до скидки]]</f>
        <v>-14765.001502329638</v>
      </c>
      <c r="AR6" s="91">
        <f>VLOOKUP(ППД5[[#This Row],[№]],наценкад5[],COLUMN(наценкад5[[#This Row],[Цена м2 с учетом всех K]]),0)</f>
        <v>80307.864000000001</v>
      </c>
      <c r="AS6" s="96">
        <f>ППД5[[#This Row],[м2 после К]]*5%</f>
        <v>4015.3932000000004</v>
      </c>
      <c r="AT6" s="96">
        <f>ППД5[[#This Row],[м2 после К]]+ППД5[[#This Row],[Повышение 16.08.23 - 5%]]</f>
        <v>84323.257200000007</v>
      </c>
      <c r="AU6" s="93">
        <f>ППД5[[#This Row],[Фикс 16.08.23]]*3%</f>
        <v>2529.6977160000001</v>
      </c>
      <c r="AV6" s="93">
        <f>ППД5[[#This Row],[Фикс 16.08.23]]+ППД5[[#This Row],[Повышение 29.08.23 - 3%]]</f>
        <v>86852.954916000002</v>
      </c>
      <c r="AW6" s="93"/>
      <c r="AX6" s="93">
        <f>ППД5[[#This Row],[Фикс 29.08.23]]+ППД5[[#This Row],[Повышение 06.09.23 СТ и 1К]]</f>
        <v>86852.954916000002</v>
      </c>
      <c r="AY6" s="93"/>
      <c r="AZ6" s="93">
        <f>ППД5[[#This Row],[Повышение 23.10.23  В4 ]]+ППД5[[#This Row],[Фикс 06.09.23]]</f>
        <v>86852.954916000002</v>
      </c>
      <c r="BA6" s="93"/>
      <c r="BB6" s="93">
        <f>ППД5[[#This Row],[Повышение 8.11.23 1К 5%]]+ППД5[[#This Row],[Фикс 23.10.23]]</f>
        <v>86852.954916000002</v>
      </c>
      <c r="BC6" s="93"/>
      <c r="BD6" s="93">
        <f>ППД5[[#This Row],[Корректировка 24.11.23 - 1К В5, 2К А2, №233]]+ППД5[[#This Row],[Фикс 8.11.23]]</f>
        <v>86852.954916000002</v>
      </c>
      <c r="BE6" s="93"/>
      <c r="BF6" s="93">
        <f>ППД5[[#This Row],[Наценка за отделку 29.12.23 1%]]+ППД5[[#This Row],[Фикс 8.11.24]]</f>
        <v>86852.954916000002</v>
      </c>
      <c r="BG6" s="93"/>
      <c r="BH6" s="93">
        <f>ППД5[[#This Row],[Фикс 29.12.23]]+ППД5[[#This Row],[Наценка 10.01.24 5%]]</f>
        <v>86852.954916000002</v>
      </c>
      <c r="BI6" s="93"/>
      <c r="BJ6" s="93">
        <f>ППД5[[#This Row],[Наценка 26.02.24 1 Этаж]]+ППД5[[#This Row],[Фикс 10.01.24]]</f>
        <v>86852.954916000002</v>
      </c>
      <c r="BK6" s="93"/>
      <c r="BL6" s="93">
        <f>ППД5[[#This Row],[Фикс 26.02.24]]+ППД5[[#This Row],[Наценка 06.03.24
СТ, 1К - 3%
2К, 3К - 2%]]</f>
        <v>86852.954916000002</v>
      </c>
      <c r="BM6" s="93"/>
      <c r="BN6" s="93">
        <f>ППД5[[#This Row],[Фикс 06.03.24]]+ППД5[[#This Row],[Наценка Г2+500]]</f>
        <v>86852.954916000002</v>
      </c>
      <c r="BO6" s="93"/>
      <c r="BP6" s="93">
        <f>ППД5[[#This Row],[Фикс 13.03.25]]+ППД5[[#This Row],[Наценка 20.03.24
2К, 3К - 2%]]</f>
        <v>86852.954916000002</v>
      </c>
      <c r="BQ6" s="93"/>
      <c r="BR6" s="93">
        <f>ППД5[[#This Row],[Фикс 20.03.24]]+ППД5[[#This Row],[Наценка 08.04.24 
2К: В3 - 150
3К: Г7 +1000]]</f>
        <v>86852.954916000002</v>
      </c>
      <c r="BS6" s="93"/>
      <c r="BT6" s="93">
        <f>ППД5[[#This Row],[Фикс 08.04.24]]+ППД5[[#This Row],[Наценка 16.05.24 1%
А4,А6,Б3,Б6,Б7,В2,В3,В5,В6,Г1,Г3-Г5]]</f>
        <v>86852.954916000002</v>
      </c>
      <c r="BU6" s="93"/>
      <c r="BV6" s="93">
        <f>ППД5[[#This Row],[Фикс 16.05.24]]+ППД5[[#This Row],[Наценка 24.05.24
1% - Б4, Б5,Г2,Г6
2% - А1,А3,А5,Б2,Г7]]</f>
        <v>86852.954916000002</v>
      </c>
      <c r="BW6" s="93"/>
      <c r="BX6" s="93">
        <f>ППД5[[#This Row],[Наценка 06.06.24
0К: В2,Г3 +0,5%
1К: А7, Б5/4, Г6 +0,5%
3К: В6 +0,5%
1К: А3 +1%]]+ППД5[[#This Row],[Фикс 24.05.24]]</f>
        <v>86852.954916000002</v>
      </c>
      <c r="BY6" s="93"/>
      <c r="BZ6" s="93">
        <f>ППД5[[#This Row],[Фикс 06.06.24]]+ППД5[[#This Row],[13.06.2024
3К - 2%]]</f>
        <v>86852.954916000002</v>
      </c>
      <c r="CA6" s="93"/>
      <c r="CB6" s="93">
        <f>ППД5[[#This Row],[02.07.2024: Г3 А1 А3 Б5 Б7 Г2 Г6 Б3 Б4 В3 Г7 2,5% ост 0,5-1,5%]]+ППД5[[#This Row],[Фикс 13.06.24]]</f>
        <v>86852.954916000002</v>
      </c>
      <c r="CC6" s="93"/>
      <c r="CD6" s="93">
        <f>ППД5[[#This Row],[Фикс 02.07.24]]+ППД5[[#This Row],[04.09.2024 +500
0К - Б2; 1К - А3;
2К - А6, Б4, В3, Г5]]</f>
        <v>86852.954916000002</v>
      </c>
      <c r="CE6" s="93"/>
      <c r="CF6" s="93">
        <f>ППД5[[#This Row],[Наценка 16.09.2024
1К: А1,В7,Г6/7,Г8 - 2%
2К: А4,А5,А6,Б1,Б6,Б3/4,В3,В4,Г4,Г5 - 4%
3К: 4%]]+ППД5[[#This Row],[Фикс 04.09.24]]</f>
        <v>86852.954916000002</v>
      </c>
      <c r="CG6" s="93"/>
      <c r="CH6" s="93">
        <f>ППД5[[#This Row],[Фикс 16.09.2024]]+ППД5[[#This Row],[Наценка 01.11.24
СТ: 4%
1К: 34-40м 5%; 40м+ 8%; МГН 1%
2К: 55-70м 6%; 70-73м 7%; 73-76м 8% 
3К: 5%]]</f>
        <v>86852.954916000002</v>
      </c>
      <c r="CI6" s="93"/>
      <c r="CJ6" s="93">
        <f>ППД5[[#This Row],[Наценка 06.11 13%]]+ППД5[[#This Row],[Фикс 01.11.24]]</f>
        <v>86852.954916000002</v>
      </c>
      <c r="CK6" s="93"/>
      <c r="CL6" s="93">
        <f>ППД5[[#This Row],[Фикс 06.11.24]]+ППД5[[#This Row],[Наценка 18.12.24 распределение КВ]]</f>
        <v>86852.954916000002</v>
      </c>
      <c r="CM6" s="93"/>
      <c r="CN6" s="93">
        <f>ППД5[[#This Row],[Фикс 18.12.24]]+ППД5[[#This Row],[Наценка 10.02.25 +1%
1К: А3
2К: Б3, В3]]</f>
        <v>86852.954916000002</v>
      </c>
      <c r="CO6" s="97">
        <f>ROUND(ППД5[[#This Row],[Фикс 10.02.25]],2)</f>
        <v>86852.95</v>
      </c>
      <c r="CP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6342002.4100000001</v>
      </c>
      <c r="CQ6" s="93">
        <f>ROUNDUP(ППД5[[#This Row],[Стоимость до скидки]]+ППД5[[#This Row],[Сумма доплаты]],-2)</f>
        <v>6327300</v>
      </c>
      <c r="CR6" s="68"/>
      <c r="CS6" s="90">
        <v>0.02</v>
      </c>
      <c r="CT6" s="68">
        <f>ППД5[[#This Row],[Стоимость до скидки]]*ППД5[[#This Row],[Скидка %]]+ППД5[[#This Row],[Скидка фиксированная]]</f>
        <v>126840.0482</v>
      </c>
      <c r="CU6" s="3">
        <f>ППД5[[#This Row],[Стоимость ОН без отделки со скидкой]]/ППД5[[#This Row],[Расчетная проектная площадь]]</f>
        <v>85115.890988770203</v>
      </c>
      <c r="CV6" s="3">
        <f>ROUND(ППД5[[#This Row],[Стоимость до скидки]]-ППД5[[#This Row],[Итоговая сумма скидки]],2)</f>
        <v>6215162.3600000003</v>
      </c>
      <c r="CW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6" s="197">
        <v>7500</v>
      </c>
      <c r="CY6" s="332">
        <f>ППД5[[#This Row],[Расхождение]]/ППД5[[#This Row],[Расчетная проектная площадь]]</f>
        <v>-2.3281292796496294E-3</v>
      </c>
      <c r="CZ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-0.1699999999999946</v>
      </c>
      <c r="DA6" s="3">
        <f>ППД5[[#This Row],[Цена м2 без отделки со скидкой]]+ППД5[[#This Row],[Стоимость отделки]]</f>
        <v>92615.890988770203</v>
      </c>
      <c r="DB6" s="3">
        <f>ППД5[[#This Row],[Стоимость квартиры с отделкой]]-ППД5[[#This Row],[Стоимость ОН без отделки со скидкой]]</f>
        <v>547649.99999999907</v>
      </c>
      <c r="DC6" s="3">
        <f>ППД5[[#This Row],[Цена м2 с отделкой]]*ППД5[[#This Row],[Расчетная проектная площадь]]</f>
        <v>6762812.3599999994</v>
      </c>
      <c r="DD6" s="98"/>
      <c r="DE6" s="111" t="s">
        <v>757</v>
      </c>
      <c r="DF6" s="199" t="s">
        <v>172</v>
      </c>
      <c r="DG6" s="245" t="s">
        <v>172</v>
      </c>
      <c r="DH6" s="100" t="b">
        <f>EXACT(ППД5[[#This Row],[Статусы CRM]],ППД5[[#This Row],[Статус]])</f>
        <v>1</v>
      </c>
      <c r="DI6" s="213" t="s">
        <v>178</v>
      </c>
      <c r="DJ6" s="204"/>
      <c r="DK6" s="111" t="s">
        <v>76</v>
      </c>
      <c r="DL6" s="216" t="s">
        <v>13</v>
      </c>
      <c r="DM6" s="201" t="b">
        <f>ППД5[[#This Row],[Отделка CRM]]=ППД5[[#This Row],[Отделка]]</f>
        <v>1</v>
      </c>
      <c r="DN6" s="203">
        <v>6762812.3600000003</v>
      </c>
      <c r="DO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9.3132257461547852E-10</v>
      </c>
      <c r="DP6" s="207" t="b">
        <f>IF(AND(ППД5[[#This Row],[Статус]]="свободно",ППД5[[#This Row],[Итоговая сумма скидки]]&lt;&gt;0),FALSE,TRUE)</f>
        <v>1</v>
      </c>
      <c r="DQ6" s="240">
        <f>_xlfn.XLOOKUP(ППД5[[#This Row],[№]],Юрист[№ кв],Юрист[Дата подачи на регистрацию]," ",0,-1)</f>
        <v>45260</v>
      </c>
      <c r="DR6" s="115" t="str">
        <f>_xlfn.XLOOKUP(ППД5[[#This Row],[№]],Юрист[№ кв],Юрист[МОП],"",0,-1)</f>
        <v>Никишов</v>
      </c>
      <c r="DS6" s="333" t="s">
        <v>2304</v>
      </c>
      <c r="DT6" s="333" t="s">
        <v>2305</v>
      </c>
      <c r="DU6" s="333">
        <v>70.2</v>
      </c>
      <c r="DV6" s="111"/>
    </row>
    <row r="7" spans="1:137" s="258" customFormat="1" hidden="1" x14ac:dyDescent="0.25">
      <c r="A7" s="337">
        <v>5</v>
      </c>
      <c r="B7" s="151" t="s">
        <v>5</v>
      </c>
      <c r="C7" s="151">
        <v>1</v>
      </c>
      <c r="D7" s="338">
        <v>5</v>
      </c>
      <c r="E7" s="151">
        <v>2</v>
      </c>
      <c r="F7" s="152">
        <v>14.64</v>
      </c>
      <c r="G7" s="152">
        <v>10.74</v>
      </c>
      <c r="H7" s="152"/>
      <c r="I7" s="109">
        <f>SUM(ППД5[[#This Row],[Комната 1]:[Комната 3]])</f>
        <v>25.380000000000003</v>
      </c>
      <c r="J7" s="152">
        <v>14.35</v>
      </c>
      <c r="K7" s="152">
        <v>4.16</v>
      </c>
      <c r="L7" s="152">
        <v>1.93</v>
      </c>
      <c r="M7" s="152"/>
      <c r="N7" s="152">
        <v>11.14</v>
      </c>
      <c r="O7" s="152">
        <v>2.62</v>
      </c>
      <c r="P7" s="152"/>
      <c r="Q7" s="152"/>
      <c r="R7" s="152">
        <f>SUM(ППД5[[#This Row],[Лоджия 1]:[Лоджия 3]])</f>
        <v>2.62</v>
      </c>
      <c r="S7" s="96">
        <f>ROUND(SUM(ППД5[[#This Row],[Площадь по проекту жилая]:[Лоджия 3]]),2)</f>
        <v>59.58</v>
      </c>
      <c r="T7" s="96">
        <f>ROUND(ППД5[[#This Row],[Площадь по проекту(общая)]]-ППД5[[#This Row],[Летние]],2)</f>
        <v>56.96</v>
      </c>
      <c r="U7" s="91">
        <f>ROUND(ППД5[[#This Row],[Площадь по проекту(общая)]]-(SUM(ППД5[[#This Row],[Лоджия 1]:[Лоджия 3]])/2),2)</f>
        <v>58.27</v>
      </c>
      <c r="V7" s="91">
        <f>IF(ППД5[[#This Row],[Статус]]="продажа",ППД5[[#This Row],[Расчетная проектная площадь]],ППД5[[#This Row],[Расчетная ТП площадь]])</f>
        <v>58.27</v>
      </c>
      <c r="W7" s="91">
        <v>10.8</v>
      </c>
      <c r="X7" s="91">
        <v>14.6</v>
      </c>
      <c r="Y7" s="91"/>
      <c r="Z7" s="91">
        <f>SUM(ППД5[[#This Row],[ТП Комната 1]:[ТП Комната 3]])</f>
        <v>25.4</v>
      </c>
      <c r="AA7" s="91">
        <v>14.3</v>
      </c>
      <c r="AB7" s="91">
        <v>2</v>
      </c>
      <c r="AC7" s="91">
        <v>4.0999999999999996</v>
      </c>
      <c r="AD7" s="91"/>
      <c r="AE7" s="91">
        <v>10.9</v>
      </c>
      <c r="AF7" s="91">
        <v>1.3</v>
      </c>
      <c r="AG7" s="91"/>
      <c r="AH7" s="91"/>
      <c r="AI7" s="91">
        <f>SUM(ППД5[[#This Row],[ТП Лоджия 1]:[ТП Лоджия 3]])</f>
        <v>1.3</v>
      </c>
      <c r="AJ7" s="95">
        <v>2.6</v>
      </c>
      <c r="AK7" s="95">
        <f>SUM(ППД5[[#This Row],[Площадь по ТП жилая]:[ТП Лоджия 3]])-ППД5[[#This Row],[ТП Летние]]+ППД5[[#This Row],[кроме того прочая
(без коэффициента)]]</f>
        <v>59.300000000000004</v>
      </c>
      <c r="AL7" s="95">
        <f>ППД5[[#This Row],[ТП Площадь без летних]]+(ППД5[[#This Row],[ТП Летние]])</f>
        <v>58</v>
      </c>
      <c r="AM7" s="95">
        <f>ППД5[[#This Row],[ТП общая S]]-ППД5[[#This Row],[кроме того прочая
(без коэффициента)]]</f>
        <v>56.7</v>
      </c>
      <c r="AN7" s="95">
        <f>SUM(ППД5[[#This Row],[ТП Кухня]:[ТП Коридор]])</f>
        <v>31.299999999999997</v>
      </c>
      <c r="AO7" s="91">
        <f>ППД5[[#This Row],[Расчетная ТП площадь]]-ППД5[[#This Row],[Расчетная проектная площадь]]</f>
        <v>-0.27000000000000313</v>
      </c>
      <c r="AP7" s="335">
        <f>ППД5[[#This Row],[Расчетная ТП площадь]]/ППД5[[#This Row],[Расчетная проектная площадь]]-1</f>
        <v>-4.6336021966707497E-3</v>
      </c>
      <c r="AQ7" s="95">
        <f>ППД5[[#This Row],[% расхождения]]*ППД5[[#This Row],[Стоимость до скидки]]</f>
        <v>-21578.877909730931</v>
      </c>
      <c r="AR7" s="91">
        <f>VLOOKUP(ППД5[[#This Row],[№]],наценкад5[],COLUMN(наценкад5[[#This Row],[Цена м2 с учетом всех K]]),0)</f>
        <v>79921.768500000006</v>
      </c>
      <c r="AS7" s="96"/>
      <c r="AT7" s="96">
        <f>ППД5[[#This Row],[м2 после К]]+ППД5[[#This Row],[Повышение 16.08.23 - 5%]]</f>
        <v>79921.768500000006</v>
      </c>
      <c r="AU7" s="93"/>
      <c r="AV7" s="93">
        <f>ППД5[[#This Row],[Фикс 16.08.23]]+ППД5[[#This Row],[Повышение 29.08.23 - 3%]]</f>
        <v>79921.768500000006</v>
      </c>
      <c r="AW7" s="93"/>
      <c r="AX7" s="93">
        <f>ППД5[[#This Row],[Фикс 29.08.23]]+ППД5[[#This Row],[Повышение 06.09.23 СТ и 1К]]</f>
        <v>79921.768500000006</v>
      </c>
      <c r="AY7" s="93"/>
      <c r="AZ7" s="93">
        <f>ППД5[[#This Row],[Повышение 23.10.23  В4 ]]+ППД5[[#This Row],[Фикс 06.09.23]]</f>
        <v>79921.768500000006</v>
      </c>
      <c r="BA7" s="93"/>
      <c r="BB7" s="93">
        <f>ППД5[[#This Row],[Повышение 8.11.23 1К 5%]]+ППД5[[#This Row],[Фикс 23.10.23]]</f>
        <v>79921.768500000006</v>
      </c>
      <c r="BC7" s="93"/>
      <c r="BD7" s="93">
        <f>ППД5[[#This Row],[Корректировка 24.11.23 - 1К В5, 2К А2, №233]]+ППД5[[#This Row],[Фикс 8.11.23]]</f>
        <v>79921.768500000006</v>
      </c>
      <c r="BE7" s="93"/>
      <c r="BF7" s="93">
        <f>ППД5[[#This Row],[Наценка за отделку 29.12.23 1%]]+ППД5[[#This Row],[Фикс 8.11.24]]</f>
        <v>79921.768500000006</v>
      </c>
      <c r="BG7" s="93"/>
      <c r="BH7" s="93">
        <f>ППД5[[#This Row],[Фикс 29.12.23]]+ППД5[[#This Row],[Наценка 10.01.24 5%]]</f>
        <v>79921.768500000006</v>
      </c>
      <c r="BI7" s="93"/>
      <c r="BJ7" s="93">
        <f>ППД5[[#This Row],[Наценка 26.02.24 1 Этаж]]+ППД5[[#This Row],[Фикс 10.01.24]]</f>
        <v>79921.768500000006</v>
      </c>
      <c r="BK7" s="93"/>
      <c r="BL7" s="93">
        <f>ППД5[[#This Row],[Фикс 26.02.24]]+ППД5[[#This Row],[Наценка 06.03.24
СТ, 1К - 3%
2К, 3К - 2%]]</f>
        <v>79921.768500000006</v>
      </c>
      <c r="BM7" s="93"/>
      <c r="BN7" s="93">
        <f>ППД5[[#This Row],[Фикс 06.03.24]]+ППД5[[#This Row],[Наценка Г2+500]]</f>
        <v>79921.768500000006</v>
      </c>
      <c r="BO7" s="93"/>
      <c r="BP7" s="93">
        <f>ППД5[[#This Row],[Фикс 13.03.25]]+ППД5[[#This Row],[Наценка 20.03.24
2К, 3К - 2%]]</f>
        <v>79921.768500000006</v>
      </c>
      <c r="BQ7" s="93"/>
      <c r="BR7" s="93">
        <f>ППД5[[#This Row],[Фикс 20.03.24]]+ППД5[[#This Row],[Наценка 08.04.24 
2К: В3 - 150
3К: Г7 +1000]]</f>
        <v>79921.768500000006</v>
      </c>
      <c r="BS7" s="93"/>
      <c r="BT7" s="93">
        <f>ППД5[[#This Row],[Фикс 08.04.24]]+ППД5[[#This Row],[Наценка 16.05.24 1%
А4,А6,Б3,Б6,Б7,В2,В3,В5,В6,Г1,Г3-Г5]]</f>
        <v>79921.768500000006</v>
      </c>
      <c r="BU7" s="93"/>
      <c r="BV7" s="93">
        <f>ППД5[[#This Row],[Фикс 16.05.24]]+ППД5[[#This Row],[Наценка 24.05.24
1% - Б4, Б5,Г2,Г6
2% - А1,А3,А5,Б2,Г7]]</f>
        <v>79921.768500000006</v>
      </c>
      <c r="BW7" s="93"/>
      <c r="BX7" s="93">
        <f>ППД5[[#This Row],[Наценка 06.06.24
0К: В2,Г3 +0,5%
1К: А7, Б5/4, Г6 +0,5%
3К: В6 +0,5%
1К: А3 +1%]]+ППД5[[#This Row],[Фикс 24.05.24]]</f>
        <v>79921.768500000006</v>
      </c>
      <c r="BY7" s="93"/>
      <c r="BZ7" s="93">
        <f>ППД5[[#This Row],[Фикс 06.06.24]]+ППД5[[#This Row],[13.06.2024
3К - 2%]]</f>
        <v>79921.768500000006</v>
      </c>
      <c r="CA7" s="93"/>
      <c r="CB7" s="93">
        <f>ППД5[[#This Row],[02.07.2024: Г3 А1 А3 Б5 Б7 Г2 Г6 Б3 Б4 В3 Г7 2,5% ост 0,5-1,5%]]+ППД5[[#This Row],[Фикс 13.06.24]]</f>
        <v>79921.768500000006</v>
      </c>
      <c r="CC7" s="93"/>
      <c r="CD7" s="93">
        <f>ППД5[[#This Row],[Фикс 02.07.24]]+ППД5[[#This Row],[04.09.2024 +500
0К - Б2; 1К - А3;
2К - А6, Б4, В3, Г5]]</f>
        <v>79921.768500000006</v>
      </c>
      <c r="CE7" s="93"/>
      <c r="CF7" s="93">
        <f>ППД5[[#This Row],[Наценка 16.09.2024
1К: А1,В7,Г6/7,Г8 - 2%
2К: А4,А5,А6,Б1,Б6,Б3/4,В3,В4,Г4,Г5 - 4%
3К: 4%]]+ППД5[[#This Row],[Фикс 04.09.24]]</f>
        <v>79921.768500000006</v>
      </c>
      <c r="CG7" s="93"/>
      <c r="CH7" s="93">
        <f>ППД5[[#This Row],[Фикс 16.09.2024]]+ППД5[[#This Row],[Наценка 01.11.24
СТ: 4%
1К: 34-40м 5%; 40м+ 8%; МГН 1%
2К: 55-70м 6%; 70-73м 7%; 73-76м 8% 
3К: 5%]]</f>
        <v>79921.768500000006</v>
      </c>
      <c r="CI7" s="93"/>
      <c r="CJ7" s="93">
        <f>ППД5[[#This Row],[Наценка 06.11 13%]]+ППД5[[#This Row],[Фикс 01.11.24]]</f>
        <v>79921.768500000006</v>
      </c>
      <c r="CK7" s="93"/>
      <c r="CL7" s="93">
        <f>ППД5[[#This Row],[Фикс 06.11.24]]+ППД5[[#This Row],[Наценка 18.12.24 распределение КВ]]</f>
        <v>79921.768500000006</v>
      </c>
      <c r="CM7" s="93"/>
      <c r="CN7" s="93">
        <f>ППД5[[#This Row],[Фикс 18.12.24]]+ППД5[[#This Row],[Наценка 10.02.25 +1%
1К: А3
2К: Б3, В3]]</f>
        <v>79921.768500000006</v>
      </c>
      <c r="CO7" s="97">
        <f>ROUND(ППД5[[#This Row],[Фикс 10.02.25]],2)</f>
        <v>79921.77</v>
      </c>
      <c r="CP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4657041.54</v>
      </c>
      <c r="CQ7" s="93">
        <f>ROUNDUP(ППД5[[#This Row],[Стоимость до скидки]]+ППД5[[#This Row],[Сумма доплаты]],-2)</f>
        <v>4635500</v>
      </c>
      <c r="CR7" s="68"/>
      <c r="CS7" s="90"/>
      <c r="CT7" s="68">
        <f>ППД5[[#This Row],[Стоимость до скидки]]*ППД5[[#This Row],[Скидка %]]+ППД5[[#This Row],[Скидка фиксированная]]</f>
        <v>0</v>
      </c>
      <c r="CU7" s="3">
        <f>ППД5[[#This Row],[Стоимость ОН без отделки со скидкой]]/ППД5[[#This Row],[Расчетная проектная площадь]]</f>
        <v>79921.770036039132</v>
      </c>
      <c r="CV7" s="3">
        <f>ROUND(ППД5[[#This Row],[Стоимость до скидки]]-ППД5[[#This Row],[Итоговая сумма скидки]],2)</f>
        <v>4657041.54</v>
      </c>
      <c r="CW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7" s="197">
        <v>4500</v>
      </c>
      <c r="CY7" s="332">
        <f>ППД5[[#This Row],[Расхождение]]/ППД5[[#This Row],[Расчетная проектная площадь]]</f>
        <v>-4.6336021966707245E-3</v>
      </c>
      <c r="CZ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-0.28000000000000291</v>
      </c>
      <c r="DA7" s="3">
        <f>ППД5[[#This Row],[Цена м2 без отделки со скидкой]]+ППД5[[#This Row],[Стоимость отделки]]</f>
        <v>84421.770036039132</v>
      </c>
      <c r="DB7" s="3">
        <f>ППД5[[#This Row],[Стоимость квартиры с отделкой]]-ППД5[[#This Row],[Стоимость ОН без отделки со скидкой]]</f>
        <v>262215</v>
      </c>
      <c r="DC7" s="3">
        <f>ППД5[[#This Row],[Цена м2 с отделкой]]*ППД5[[#This Row],[Расчетная проектная площадь]]</f>
        <v>4919256.54</v>
      </c>
      <c r="DD7" s="98"/>
      <c r="DE7" s="99"/>
      <c r="DF7" s="199" t="s">
        <v>172</v>
      </c>
      <c r="DG7" s="245" t="s">
        <v>172</v>
      </c>
      <c r="DH7" s="100" t="b">
        <f>EXACT(ППД5[[#This Row],[Статусы CRM]],ППД5[[#This Row],[Статус]])</f>
        <v>1</v>
      </c>
      <c r="DI7" s="213" t="s">
        <v>179</v>
      </c>
      <c r="DJ7" s="204"/>
      <c r="DK7" s="111" t="s">
        <v>76</v>
      </c>
      <c r="DL7" s="216" t="s">
        <v>13</v>
      </c>
      <c r="DM7" s="201" t="b">
        <f>ППД5[[#This Row],[Отделка CRM]]=ППД5[[#This Row],[Отделка]]</f>
        <v>1</v>
      </c>
      <c r="DN7" s="203">
        <v>4919256.54</v>
      </c>
      <c r="DO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7" s="207" t="b">
        <f>IF(AND(ППД5[[#This Row],[Статус]]="свободно",ППД5[[#This Row],[Итоговая сумма скидки]]&lt;&gt;0),FALSE,TRUE)</f>
        <v>1</v>
      </c>
      <c r="DQ7" s="240">
        <f>_xlfn.XLOOKUP(ППД5[[#This Row],[№]],Юрист[№ кв],Юрист[Дата подачи на регистрацию]," ",0,-1)</f>
        <v>45188</v>
      </c>
      <c r="DR7" s="115" t="str">
        <f>_xlfn.XLOOKUP(ППД5[[#This Row],[№]],Юрист[№ кв],Юрист[МОП],"",0,-1)</f>
        <v>Никишов</v>
      </c>
      <c r="DS7" s="333" t="s">
        <v>2306</v>
      </c>
      <c r="DT7" s="333" t="s">
        <v>2307</v>
      </c>
      <c r="DU7" s="333">
        <v>56.7</v>
      </c>
      <c r="DV7" s="111"/>
    </row>
    <row r="8" spans="1:137" s="258" customFormat="1" hidden="1" x14ac:dyDescent="0.25">
      <c r="A8" s="337">
        <v>6</v>
      </c>
      <c r="B8" s="151" t="s">
        <v>5</v>
      </c>
      <c r="C8" s="151">
        <v>1</v>
      </c>
      <c r="D8" s="338">
        <v>6</v>
      </c>
      <c r="E8" s="151">
        <v>1</v>
      </c>
      <c r="F8" s="152">
        <v>18.489999999999998</v>
      </c>
      <c r="G8" s="152"/>
      <c r="H8" s="152"/>
      <c r="I8" s="109">
        <f>SUM(ППД5[[#This Row],[Комната 1]:[Комната 3]])</f>
        <v>18.489999999999998</v>
      </c>
      <c r="J8" s="152">
        <v>13.04</v>
      </c>
      <c r="K8" s="152">
        <v>3.9</v>
      </c>
      <c r="L8" s="152"/>
      <c r="M8" s="152"/>
      <c r="N8" s="152">
        <v>5.99</v>
      </c>
      <c r="O8" s="152">
        <v>2.65</v>
      </c>
      <c r="P8" s="152"/>
      <c r="Q8" s="152"/>
      <c r="R8" s="152">
        <f>SUM(ППД5[[#This Row],[Лоджия 1]:[Лоджия 3]])</f>
        <v>2.65</v>
      </c>
      <c r="S8" s="96">
        <f>ROUND(SUM(ППД5[[#This Row],[Площадь по проекту жилая]:[Лоджия 3]]),2)</f>
        <v>44.07</v>
      </c>
      <c r="T8" s="96">
        <f>ROUND(ППД5[[#This Row],[Площадь по проекту(общая)]]-ППД5[[#This Row],[Летние]],2)</f>
        <v>41.42</v>
      </c>
      <c r="U8" s="91">
        <f>ROUND(ППД5[[#This Row],[Площадь по проекту(общая)]]-(SUM(ППД5[[#This Row],[Лоджия 1]:[Лоджия 3]])/2),2)</f>
        <v>42.75</v>
      </c>
      <c r="V8" s="91">
        <f>IF(ППД5[[#This Row],[Статус]]="продажа",ППД5[[#This Row],[Расчетная проектная площадь]],ППД5[[#This Row],[Расчетная ТП площадь]])</f>
        <v>42.75</v>
      </c>
      <c r="W8" s="91">
        <v>18.399999999999999</v>
      </c>
      <c r="X8" s="91"/>
      <c r="Y8" s="91"/>
      <c r="Z8" s="91">
        <f>SUM(ППД5[[#This Row],[ТП Комната 1]:[ТП Комната 3]])</f>
        <v>18.399999999999999</v>
      </c>
      <c r="AA8" s="91">
        <v>13</v>
      </c>
      <c r="AB8" s="91">
        <v>3.9</v>
      </c>
      <c r="AC8" s="91"/>
      <c r="AD8" s="91"/>
      <c r="AE8" s="91">
        <v>6</v>
      </c>
      <c r="AF8" s="91">
        <v>1.3</v>
      </c>
      <c r="AG8" s="91"/>
      <c r="AH8" s="91"/>
      <c r="AI8" s="91">
        <f>SUM(ППД5[[#This Row],[ТП Лоджия 1]:[ТП Лоджия 3]])</f>
        <v>1.3</v>
      </c>
      <c r="AJ8" s="95">
        <v>2.6</v>
      </c>
      <c r="AK8" s="95">
        <f>SUM(ППД5[[#This Row],[Площадь по ТП жилая]:[ТП Лоджия 3]])-ППД5[[#This Row],[ТП Летние]]+ППД5[[#This Row],[кроме того прочая
(без коэффициента)]]</f>
        <v>43.9</v>
      </c>
      <c r="AL8" s="95">
        <f>ППД5[[#This Row],[ТП Площадь без летних]]+(ППД5[[#This Row],[ТП Летние]])</f>
        <v>42.599999999999994</v>
      </c>
      <c r="AM8" s="95">
        <f>ППД5[[#This Row],[ТП общая S]]-ППД5[[#This Row],[кроме того прочая
(без коэффициента)]]</f>
        <v>41.3</v>
      </c>
      <c r="AN8" s="95">
        <f>SUM(ППД5[[#This Row],[ТП Кухня]:[ТП Коридор]])</f>
        <v>22.9</v>
      </c>
      <c r="AO8" s="91">
        <f>ППД5[[#This Row],[Расчетная ТП площадь]]-ППД5[[#This Row],[Расчетная проектная площадь]]</f>
        <v>-0.15000000000000568</v>
      </c>
      <c r="AP8" s="335">
        <f>ППД5[[#This Row],[Расчетная ТП площадь]]/ППД5[[#This Row],[Расчетная проектная площадь]]-1</f>
        <v>-3.5087719298246833E-3</v>
      </c>
      <c r="AQ8" s="95">
        <f>ППД5[[#This Row],[% расхождения]]*ППД5[[#This Row],[Стоимость до скидки]]</f>
        <v>-14163.783017544352</v>
      </c>
      <c r="AR8" s="91">
        <f>VLOOKUP(ППД5[[#This Row],[№]],наценкад5[],COLUMN(наценкад5[[#This Row],[Цена м2 с учетом всех K]]),0)</f>
        <v>83951.4375</v>
      </c>
      <c r="AS8" s="96">
        <f>ППД5[[#This Row],[м2 после К]]*5%</f>
        <v>4197.5718750000005</v>
      </c>
      <c r="AT8" s="96">
        <f>ППД5[[#This Row],[м2 после К]]+ППД5[[#This Row],[Повышение 16.08.23 - 5%]]</f>
        <v>88149.009374999994</v>
      </c>
      <c r="AU8" s="93">
        <f>ППД5[[#This Row],[Фикс 16.08.23]]*3%</f>
        <v>2644.4702812499995</v>
      </c>
      <c r="AV8" s="93">
        <f>ППД5[[#This Row],[Фикс 16.08.23]]+ППД5[[#This Row],[Повышение 29.08.23 - 3%]]</f>
        <v>90793.479656249998</v>
      </c>
      <c r="AW8" s="93">
        <f>ППД5[[#This Row],[Фикс 29.08.23]]*4%</f>
        <v>3631.7391862499999</v>
      </c>
      <c r="AX8" s="93">
        <f>ППД5[[#This Row],[Фикс 29.08.23]]+ППД5[[#This Row],[Повышение 06.09.23 СТ и 1К]]</f>
        <v>94425.218842499991</v>
      </c>
      <c r="AY8" s="93"/>
      <c r="AZ8" s="93">
        <f>ППД5[[#This Row],[Повышение 23.10.23  В4 ]]+ППД5[[#This Row],[Фикс 06.09.23]]</f>
        <v>94425.218842499991</v>
      </c>
      <c r="BA8" s="93"/>
      <c r="BB8" s="93">
        <f>ППД5[[#This Row],[Повышение 8.11.23 1К 5%]]+ППД5[[#This Row],[Фикс 23.10.23]]</f>
        <v>94425.218842499991</v>
      </c>
      <c r="BC8" s="93"/>
      <c r="BD8" s="93">
        <f>ППД5[[#This Row],[Корректировка 24.11.23 - 1К В5, 2К А2, №233]]+ППД5[[#This Row],[Фикс 8.11.23]]</f>
        <v>94425.218842499991</v>
      </c>
      <c r="BE8" s="93"/>
      <c r="BF8" s="93">
        <f>ППД5[[#This Row],[Наценка за отделку 29.12.23 1%]]+ППД5[[#This Row],[Фикс 8.11.24]]</f>
        <v>94425.218842499991</v>
      </c>
      <c r="BG8" s="93"/>
      <c r="BH8" s="93">
        <f>ППД5[[#This Row],[Фикс 29.12.23]]+ППД5[[#This Row],[Наценка 10.01.24 5%]]</f>
        <v>94425.218842499991</v>
      </c>
      <c r="BI8" s="93"/>
      <c r="BJ8" s="93">
        <f>ППД5[[#This Row],[Наценка 26.02.24 1 Этаж]]+ППД5[[#This Row],[Фикс 10.01.24]]</f>
        <v>94425.218842499991</v>
      </c>
      <c r="BK8" s="93"/>
      <c r="BL8" s="93">
        <f>ППД5[[#This Row],[Фикс 26.02.24]]+ППД5[[#This Row],[Наценка 06.03.24
СТ, 1К - 3%
2К, 3К - 2%]]</f>
        <v>94425.218842499991</v>
      </c>
      <c r="BM8" s="93"/>
      <c r="BN8" s="93">
        <f>ППД5[[#This Row],[Фикс 06.03.24]]+ППД5[[#This Row],[Наценка Г2+500]]</f>
        <v>94425.218842499991</v>
      </c>
      <c r="BO8" s="93"/>
      <c r="BP8" s="93">
        <f>ППД5[[#This Row],[Фикс 13.03.25]]+ППД5[[#This Row],[Наценка 20.03.24
2К, 3К - 2%]]</f>
        <v>94425.218842499991</v>
      </c>
      <c r="BQ8" s="93"/>
      <c r="BR8" s="93">
        <f>ППД5[[#This Row],[Фикс 20.03.24]]+ППД5[[#This Row],[Наценка 08.04.24 
2К: В3 - 150
3К: Г7 +1000]]</f>
        <v>94425.218842499991</v>
      </c>
      <c r="BS8" s="93"/>
      <c r="BT8" s="93">
        <f>ППД5[[#This Row],[Фикс 08.04.24]]+ППД5[[#This Row],[Наценка 16.05.24 1%
А4,А6,Б3,Б6,Б7,В2,В3,В5,В6,Г1,Г3-Г5]]</f>
        <v>94425.218842499991</v>
      </c>
      <c r="BU8" s="93"/>
      <c r="BV8" s="93">
        <f>ППД5[[#This Row],[Фикс 16.05.24]]+ППД5[[#This Row],[Наценка 24.05.24
1% - Б4, Б5,Г2,Г6
2% - А1,А3,А5,Б2,Г7]]</f>
        <v>94425.218842499991</v>
      </c>
      <c r="BW8" s="93"/>
      <c r="BX8" s="93">
        <f>ППД5[[#This Row],[Наценка 06.06.24
0К: В2,Г3 +0,5%
1К: А7, Б5/4, Г6 +0,5%
3К: В6 +0,5%
1К: А3 +1%]]+ППД5[[#This Row],[Фикс 24.05.24]]</f>
        <v>94425.218842499991</v>
      </c>
      <c r="BY8" s="93"/>
      <c r="BZ8" s="93">
        <f>ППД5[[#This Row],[Фикс 06.06.24]]+ППД5[[#This Row],[13.06.2024
3К - 2%]]</f>
        <v>94425.218842499991</v>
      </c>
      <c r="CA8" s="93"/>
      <c r="CB8" s="93">
        <f>ППД5[[#This Row],[02.07.2024: Г3 А1 А3 Б5 Б7 Г2 Г6 Б3 Б4 В3 Г7 2,5% ост 0,5-1,5%]]+ППД5[[#This Row],[Фикс 13.06.24]]</f>
        <v>94425.218842499991</v>
      </c>
      <c r="CC8" s="93"/>
      <c r="CD8" s="93">
        <f>ППД5[[#This Row],[Фикс 02.07.24]]+ППД5[[#This Row],[04.09.2024 +500
0К - Б2; 1К - А3;
2К - А6, Б4, В3, Г5]]</f>
        <v>94425.218842499991</v>
      </c>
      <c r="CE8" s="93"/>
      <c r="CF8" s="93">
        <f>ППД5[[#This Row],[Наценка 16.09.2024
1К: А1,В7,Г6/7,Г8 - 2%
2К: А4,А5,А6,Б1,Б6,Б3/4,В3,В4,Г4,Г5 - 4%
3К: 4%]]+ППД5[[#This Row],[Фикс 04.09.24]]</f>
        <v>94425.218842499991</v>
      </c>
      <c r="CG8" s="93"/>
      <c r="CH8" s="93">
        <f>ППД5[[#This Row],[Фикс 16.09.2024]]+ППД5[[#This Row],[Наценка 01.11.24
СТ: 4%
1К: 34-40м 5%; 40м+ 8%; МГН 1%
2К: 55-70м 6%; 70-73м 7%; 73-76м 8% 
3К: 5%]]</f>
        <v>94425.218842499991</v>
      </c>
      <c r="CI8" s="93"/>
      <c r="CJ8" s="93">
        <f>ППД5[[#This Row],[Наценка 06.11 13%]]+ППД5[[#This Row],[Фикс 01.11.24]]</f>
        <v>94425.218842499991</v>
      </c>
      <c r="CK8" s="93"/>
      <c r="CL8" s="93">
        <f>ППД5[[#This Row],[Фикс 06.11.24]]+ППД5[[#This Row],[Наценка 18.12.24 распределение КВ]]</f>
        <v>94425.218842499991</v>
      </c>
      <c r="CM8" s="93"/>
      <c r="CN8" s="93">
        <f>ППД5[[#This Row],[Фикс 18.12.24]]+ППД5[[#This Row],[Наценка 10.02.25 +1%
1К: А3
2К: Б3, В3]]</f>
        <v>94425.218842499991</v>
      </c>
      <c r="CO8" s="97">
        <f>ROUND(ППД5[[#This Row],[Фикс 10.02.25]],2)</f>
        <v>94425.22</v>
      </c>
      <c r="CP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4036678.16</v>
      </c>
      <c r="CQ8" s="93">
        <f>ROUNDUP(ППД5[[#This Row],[Стоимость до скидки]]+ППД5[[#This Row],[Сумма доплаты]],-2)</f>
        <v>4022600</v>
      </c>
      <c r="CR8" s="68"/>
      <c r="CS8" s="90"/>
      <c r="CT8" s="68">
        <f>ППД5[[#This Row],[Стоимость до скидки]]*ППД5[[#This Row],[Скидка %]]+ППД5[[#This Row],[Скидка фиксированная]]</f>
        <v>0</v>
      </c>
      <c r="CU8" s="3">
        <f>ППД5[[#This Row],[Стоимость ОН без отделки со скидкой]]/ППД5[[#This Row],[Расчетная проектная площадь]]</f>
        <v>94425.22011695907</v>
      </c>
      <c r="CV8" s="3">
        <f>ROUND(ППД5[[#This Row],[Стоимость до скидки]]-ППД5[[#This Row],[Итоговая сумма скидки]],2)</f>
        <v>4036678.16</v>
      </c>
      <c r="CW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8" s="197">
        <v>22000</v>
      </c>
      <c r="CY8" s="332">
        <f>ППД5[[#This Row],[Расхождение]]/ППД5[[#This Row],[Расчетная проектная площадь]]</f>
        <v>-3.5087719298246942E-3</v>
      </c>
      <c r="CZ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-3.0000000000002913E-2</v>
      </c>
      <c r="DA8" s="3">
        <f>ППД5[[#This Row],[Цена м2 без отделки со скидкой]]+ППД5[[#This Row],[Стоимость отделки]]</f>
        <v>116425.22011695907</v>
      </c>
      <c r="DB8" s="3">
        <f>ППД5[[#This Row],[Стоимость квартиры с отделкой]]-ППД5[[#This Row],[Стоимость ОН без отделки со скидкой]]</f>
        <v>940500</v>
      </c>
      <c r="DC8" s="3">
        <f>ППД5[[#This Row],[Цена м2 с отделкой]]*ППД5[[#This Row],[Расчетная проектная площадь]]</f>
        <v>4977178.16</v>
      </c>
      <c r="DD8" s="98"/>
      <c r="DE8" s="99"/>
      <c r="DF8" s="199" t="s">
        <v>172</v>
      </c>
      <c r="DG8" s="245" t="s">
        <v>172</v>
      </c>
      <c r="DH8" s="100" t="b">
        <f>EXACT(ППД5[[#This Row],[Статусы CRM]],ППД5[[#This Row],[Статус]])</f>
        <v>1</v>
      </c>
      <c r="DI8" s="213" t="s">
        <v>180</v>
      </c>
      <c r="DJ8" s="204"/>
      <c r="DK8" s="111" t="s">
        <v>76</v>
      </c>
      <c r="DL8" s="216" t="s">
        <v>14</v>
      </c>
      <c r="DM8" s="201" t="b">
        <f>ППД5[[#This Row],[Отделка CRM]]=ППД5[[#This Row],[Отделка]]</f>
        <v>1</v>
      </c>
      <c r="DN8" s="203">
        <v>4977178.16</v>
      </c>
      <c r="DO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8" s="207" t="b">
        <f>IF(AND(ППД5[[#This Row],[Статус]]="свободно",ППД5[[#This Row],[Итоговая сумма скидки]]&lt;&gt;0),FALSE,TRUE)</f>
        <v>1</v>
      </c>
      <c r="DQ8" s="240">
        <f>_xlfn.XLOOKUP(ППД5[[#This Row],[№]],Юрист[№ кв],Юрист[Дата подачи на регистрацию]," ",0,-1)</f>
        <v>45223</v>
      </c>
      <c r="DR8" s="115" t="str">
        <f>_xlfn.XLOOKUP(ППД5[[#This Row],[№]],Юрист[№ кв],Юрист[МОП],"",0,-1)</f>
        <v>Калачева</v>
      </c>
      <c r="DS8" s="333" t="s">
        <v>2308</v>
      </c>
      <c r="DT8" s="333" t="s">
        <v>2309</v>
      </c>
      <c r="DU8" s="333">
        <v>41.3</v>
      </c>
      <c r="DV8" s="111" t="s">
        <v>844</v>
      </c>
    </row>
    <row r="9" spans="1:137" hidden="1" x14ac:dyDescent="0.25">
      <c r="A9" s="112">
        <v>7</v>
      </c>
      <c r="B9" s="111" t="s">
        <v>5</v>
      </c>
      <c r="C9" s="111">
        <v>2</v>
      </c>
      <c r="D9" s="338">
        <v>1</v>
      </c>
      <c r="E9" s="111">
        <v>1</v>
      </c>
      <c r="F9" s="105">
        <v>14.68</v>
      </c>
      <c r="G9" s="105"/>
      <c r="H9" s="105"/>
      <c r="I9" s="94">
        <f>SUM(ППД5[[#This Row],[Комната 1]:[Комната 3]])</f>
        <v>14.68</v>
      </c>
      <c r="J9" s="1">
        <v>9.84</v>
      </c>
      <c r="K9" s="105">
        <v>3.63</v>
      </c>
      <c r="L9" s="105"/>
      <c r="M9" s="105"/>
      <c r="N9" s="105">
        <v>4.8899999999999997</v>
      </c>
      <c r="O9" s="105">
        <v>2.7</v>
      </c>
      <c r="P9" s="105"/>
      <c r="Q9" s="105"/>
      <c r="R9" s="105">
        <f>SUM(ППД5[[#This Row],[Лоджия 1]:[Лоджия 3]])</f>
        <v>2.7</v>
      </c>
      <c r="S9" s="7">
        <f>ROUND(SUM(ППД5[[#This Row],[Площадь по проекту жилая]:[Лоджия 3]]),2)</f>
        <v>35.74</v>
      </c>
      <c r="T9" s="7">
        <f>ROUND(ППД5[[#This Row],[Площадь по проекту(общая)]]-ППД5[[#This Row],[Летние]],2)</f>
        <v>33.04</v>
      </c>
      <c r="U9" s="91">
        <f>ROUND(ППД5[[#This Row],[Площадь по проекту(общая)]]-(SUM(ППД5[[#This Row],[Лоджия 1]:[Лоджия 3]])/2),2)</f>
        <v>34.39</v>
      </c>
      <c r="V9" s="91">
        <f>IF(ППД5[[#This Row],[Статус]]="продажа",ППД5[[#This Row],[Расчетная проектная площадь]],ППД5[[#This Row],[Расчетная ТП площадь]])</f>
        <v>34.39</v>
      </c>
      <c r="W9" s="91">
        <v>14.7</v>
      </c>
      <c r="X9" s="91"/>
      <c r="Y9" s="91"/>
      <c r="Z9" s="91">
        <f>SUM(ППД5[[#This Row],[ТП Комната 1]:[ТП Комната 3]])</f>
        <v>14.7</v>
      </c>
      <c r="AA9" s="91">
        <v>9.8000000000000007</v>
      </c>
      <c r="AB9" s="91">
        <v>3.8</v>
      </c>
      <c r="AC9" s="91"/>
      <c r="AD9" s="91"/>
      <c r="AE9" s="91">
        <v>4.9000000000000004</v>
      </c>
      <c r="AF9" s="91">
        <v>1.35</v>
      </c>
      <c r="AG9" s="91"/>
      <c r="AH9" s="91"/>
      <c r="AI9" s="91">
        <f>SUM(ППД5[[#This Row],[ТП Лоджия 1]:[ТП Лоджия 3]])</f>
        <v>1.35</v>
      </c>
      <c r="AJ9" s="95">
        <v>2.7</v>
      </c>
      <c r="AK9" s="91">
        <f>SUM(ППД5[[#This Row],[Площадь по ТП жилая]:[ТП Лоджия 3]])-ППД5[[#This Row],[ТП Летние]]+ППД5[[#This Row],[кроме того прочая
(без коэффициента)]]</f>
        <v>35.900000000000006</v>
      </c>
      <c r="AL9" s="95">
        <f>ППД5[[#This Row],[ТП Площадь без летних]]+(ППД5[[#This Row],[ТП Летние]])</f>
        <v>34.550000000000004</v>
      </c>
      <c r="AM9" s="91">
        <f>ППД5[[#This Row],[ТП общая S]]-ППД5[[#This Row],[кроме того прочая
(без коэффициента)]]</f>
        <v>33.200000000000003</v>
      </c>
      <c r="AN9" s="95">
        <f>SUM(ППД5[[#This Row],[ТП Кухня]:[ТП Коридор]])</f>
        <v>18.5</v>
      </c>
      <c r="AO9" s="91">
        <f>ППД5[[#This Row],[Расчетная ТП площадь]]-ППД5[[#This Row],[Расчетная проектная площадь]]</f>
        <v>0.16000000000000369</v>
      </c>
      <c r="AP9" s="335">
        <f>ППД5[[#This Row],[Расчетная ТП площадь]]/ППД5[[#This Row],[Расчетная проектная площадь]]-1</f>
        <v>4.6525152660659153E-3</v>
      </c>
      <c r="AQ9" s="91">
        <f>ППД5[[#This Row],[% расхождения]]*ППД5[[#This Row],[Стоимость до скидки]]</f>
        <v>13367.340785112521</v>
      </c>
      <c r="AR9" s="91">
        <f>VLOOKUP(ППД5[[#This Row],[№]],наценкад5[],COLUMN(наценкад5[[#This Row],[Цена м2 с учетом всех K]]),0)</f>
        <v>83545.875</v>
      </c>
      <c r="AS9" s="8"/>
      <c r="AT9" s="8">
        <f>ППД5[[#This Row],[м2 после К]]+ППД5[[#This Row],[Повышение 16.08.23 - 5%]]</f>
        <v>83545.875</v>
      </c>
      <c r="AU9" s="93"/>
      <c r="AV9" s="93">
        <f>ППД5[[#This Row],[Фикс 16.08.23]]+ППД5[[#This Row],[Повышение 29.08.23 - 3%]]</f>
        <v>83545.875</v>
      </c>
      <c r="AW9" s="93"/>
      <c r="AX9" s="93">
        <f>ППД5[[#This Row],[Фикс 29.08.23]]+ППД5[[#This Row],[Повышение 06.09.23 СТ и 1К]]</f>
        <v>83545.875</v>
      </c>
      <c r="AY9" s="93"/>
      <c r="AZ9" s="93">
        <f>ППД5[[#This Row],[Повышение 23.10.23  В4 ]]+ППД5[[#This Row],[Фикс 06.09.23]]</f>
        <v>83545.875</v>
      </c>
      <c r="BA9" s="93"/>
      <c r="BB9" s="93">
        <f>ППД5[[#This Row],[Повышение 8.11.23 1К 5%]]+ППД5[[#This Row],[Фикс 23.10.23]]</f>
        <v>83545.875</v>
      </c>
      <c r="BC9" s="93"/>
      <c r="BD9" s="93">
        <f>ППД5[[#This Row],[Корректировка 24.11.23 - 1К В5, 2К А2, №233]]+ППД5[[#This Row],[Фикс 8.11.23]]</f>
        <v>83545.875</v>
      </c>
      <c r="BE9" s="93"/>
      <c r="BF9" s="93">
        <f>ППД5[[#This Row],[Наценка за отделку 29.12.23 1%]]+ППД5[[#This Row],[Фикс 8.11.24]]</f>
        <v>83545.875</v>
      </c>
      <c r="BG9" s="93"/>
      <c r="BH9" s="93">
        <f>ППД5[[#This Row],[Фикс 29.12.23]]+ППД5[[#This Row],[Наценка 10.01.24 5%]]</f>
        <v>83545.875</v>
      </c>
      <c r="BI9" s="93"/>
      <c r="BJ9" s="93">
        <f>ППД5[[#This Row],[Наценка 26.02.24 1 Этаж]]+ППД5[[#This Row],[Фикс 10.01.24]]</f>
        <v>83545.875</v>
      </c>
      <c r="BK9" s="93"/>
      <c r="BL9" s="93">
        <f>ППД5[[#This Row],[Фикс 26.02.24]]+ППД5[[#This Row],[Наценка 06.03.24
СТ, 1К - 3%
2К, 3К - 2%]]</f>
        <v>83545.875</v>
      </c>
      <c r="BM9" s="93"/>
      <c r="BN9" s="93">
        <f>ППД5[[#This Row],[Фикс 06.03.24]]+ППД5[[#This Row],[Наценка Г2+500]]</f>
        <v>83545.875</v>
      </c>
      <c r="BO9" s="93"/>
      <c r="BP9" s="93">
        <f>ППД5[[#This Row],[Фикс 13.03.25]]+ППД5[[#This Row],[Наценка 20.03.24
2К, 3К - 2%]]</f>
        <v>83545.875</v>
      </c>
      <c r="BQ9" s="93"/>
      <c r="BR9" s="93">
        <f>ППД5[[#This Row],[Фикс 20.03.24]]+ППД5[[#This Row],[Наценка 08.04.24 
2К: В3 - 150
3К: Г7 +1000]]</f>
        <v>83545.875</v>
      </c>
      <c r="BS9" s="93"/>
      <c r="BT9" s="93">
        <f>ППД5[[#This Row],[Фикс 08.04.24]]+ППД5[[#This Row],[Наценка 16.05.24 1%
А4,А6,Б3,Б6,Б7,В2,В3,В5,В6,Г1,Г3-Г5]]</f>
        <v>83545.875</v>
      </c>
      <c r="BU9" s="93"/>
      <c r="BV9" s="93">
        <f>ППД5[[#This Row],[Фикс 16.05.24]]+ППД5[[#This Row],[Наценка 24.05.24
1% - Б4, Б5,Г2,Г6
2% - А1,А3,А5,Б2,Г7]]</f>
        <v>83545.875</v>
      </c>
      <c r="BW9" s="93"/>
      <c r="BX9" s="93">
        <f>ППД5[[#This Row],[Наценка 06.06.24
0К: В2,Г3 +0,5%
1К: А7, Б5/4, Г6 +0,5%
3К: В6 +0,5%
1К: А3 +1%]]+ППД5[[#This Row],[Фикс 24.05.24]]</f>
        <v>83545.875</v>
      </c>
      <c r="BY9" s="93"/>
      <c r="BZ9" s="93">
        <f>ППД5[[#This Row],[Фикс 06.06.24]]+ППД5[[#This Row],[13.06.2024
3К - 2%]]</f>
        <v>83545.875</v>
      </c>
      <c r="CA9" s="93"/>
      <c r="CB9" s="93">
        <f>ППД5[[#This Row],[02.07.2024: Г3 А1 А3 Б5 Б7 Г2 Г6 Б3 Б4 В3 Г7 2,5% ост 0,5-1,5%]]+ППД5[[#This Row],[Фикс 13.06.24]]</f>
        <v>83545.875</v>
      </c>
      <c r="CC9" s="93"/>
      <c r="CD9" s="93">
        <f>ППД5[[#This Row],[Фикс 02.07.24]]+ППД5[[#This Row],[04.09.2024 +500
0К - Б2; 1К - А3;
2К - А6, Б4, В3, Г5]]</f>
        <v>83545.875</v>
      </c>
      <c r="CE9" s="93"/>
      <c r="CF9" s="93">
        <f>ППД5[[#This Row],[Наценка 16.09.2024
1К: А1,В7,Г6/7,Г8 - 2%
2К: А4,А5,А6,Б1,Б6,Б3/4,В3,В4,Г4,Г5 - 4%
3К: 4%]]+ППД5[[#This Row],[Фикс 04.09.24]]</f>
        <v>83545.875</v>
      </c>
      <c r="CG9" s="93"/>
      <c r="CH9" s="93">
        <f>ППД5[[#This Row],[Фикс 16.09.2024]]+ППД5[[#This Row],[Наценка 01.11.24
СТ: 4%
1К: 34-40м 5%; 40м+ 8%; МГН 1%
2К: 55-70м 6%; 70-73м 7%; 73-76м 8% 
3К: 5%]]</f>
        <v>83545.875</v>
      </c>
      <c r="CI9" s="93"/>
      <c r="CJ9" s="93">
        <f>ППД5[[#This Row],[Наценка 06.11 13%]]+ППД5[[#This Row],[Фикс 01.11.24]]</f>
        <v>83545.875</v>
      </c>
      <c r="CK9" s="93"/>
      <c r="CL9" s="93">
        <f>ППД5[[#This Row],[Фикс 06.11.24]]+ППД5[[#This Row],[Наценка 18.12.24 распределение КВ]]</f>
        <v>83545.875</v>
      </c>
      <c r="CM9" s="93"/>
      <c r="CN9" s="93">
        <f>ППД5[[#This Row],[Фикс 18.12.24]]+ППД5[[#This Row],[Наценка 10.02.25 +1%
1К: А3
2К: Б3, В3]]</f>
        <v>83545.875</v>
      </c>
      <c r="CO9" s="9">
        <f>ROUND(ППД5[[#This Row],[Фикс 10.02.25]],2)</f>
        <v>83545.88</v>
      </c>
      <c r="CP9" s="9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2873142.81</v>
      </c>
      <c r="CQ9" s="9">
        <f>ROUNDUP(ППД5[[#This Row],[Стоимость до скидки]]+ППД5[[#This Row],[Сумма доплаты]],-2)</f>
        <v>2886600</v>
      </c>
      <c r="CR9" s="89">
        <v>20000</v>
      </c>
      <c r="CS9" s="90"/>
      <c r="CT9" s="68">
        <f>ППД5[[#This Row],[Стоимость до скидки]]*ППД5[[#This Row],[Скидка %]]+ППД5[[#This Row],[Скидка фиксированная]]</f>
        <v>20000</v>
      </c>
      <c r="CU9" s="3">
        <f>ППД5[[#This Row],[Стоимость ОН без отделки со скидкой]]/ППД5[[#This Row],[Расчетная проектная площадь]]</f>
        <v>82964.315498691474</v>
      </c>
      <c r="CV9" s="3">
        <f>ROUND(ППД5[[#This Row],[Стоимость до скидки]]-ППД5[[#This Row],[Итоговая сумма скидки]],2)</f>
        <v>2853142.81</v>
      </c>
      <c r="CW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9" s="197"/>
      <c r="CY9" s="332">
        <f>ППД5[[#This Row],[Расхождение]]/ППД5[[#This Row],[Расчетная проектная площадь]]</f>
        <v>4.6525152660658242E-3</v>
      </c>
      <c r="CZ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0.14000000000000057</v>
      </c>
      <c r="DA9" s="3">
        <f>ППД5[[#This Row],[Цена м2 без отделки со скидкой]]+ППД5[[#This Row],[Стоимость отделки]]</f>
        <v>82964.315498691474</v>
      </c>
      <c r="DB9" s="3">
        <f>ППД5[[#This Row],[Стоимость квартиры с отделкой]]-ППД5[[#This Row],[Стоимость ОН без отделки со скидкой]]</f>
        <v>0</v>
      </c>
      <c r="DC9" s="3">
        <f>ППД5[[#This Row],[Цена м2 с отделкой]]*ППД5[[#This Row],[Расчетная проектная площадь]]</f>
        <v>2853142.81</v>
      </c>
      <c r="DD9" s="3" t="s">
        <v>154</v>
      </c>
      <c r="DE9" s="111" t="s">
        <v>159</v>
      </c>
      <c r="DF9" s="199" t="s">
        <v>172</v>
      </c>
      <c r="DG9" s="245" t="s">
        <v>172</v>
      </c>
      <c r="DH9" s="100" t="b">
        <f>EXACT(ППД5[[#This Row],[Статусы CRM]],ППД5[[#This Row],[Статус]])</f>
        <v>1</v>
      </c>
      <c r="DI9" s="213" t="s">
        <v>181</v>
      </c>
      <c r="DJ9" s="204"/>
      <c r="DK9" s="111" t="s">
        <v>76</v>
      </c>
      <c r="DL9" s="216" t="s">
        <v>12</v>
      </c>
      <c r="DM9" s="201" t="b">
        <f>ППД5[[#This Row],[Отделка CRM]]=ППД5[[#This Row],[Отделка]]</f>
        <v>1</v>
      </c>
      <c r="DN9" s="203">
        <v>2853142.81</v>
      </c>
      <c r="DO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9" s="207" t="b">
        <f>IF(AND(ППД5[[#This Row],[Статус]]="свободно",ППД5[[#This Row],[Итоговая сумма скидки]]&lt;&gt;0),FALSE,TRUE)</f>
        <v>1</v>
      </c>
      <c r="DQ9" s="240">
        <f>_xlfn.XLOOKUP(ППД5[[#This Row],[№]],Юрист[№ кв],Юрист[Дата подачи на регистрацию]," ",0,-1)</f>
        <v>45194</v>
      </c>
      <c r="DR9" s="115" t="str">
        <f>_xlfn.XLOOKUP(ППД5[[#This Row],[№]],Юрист[№ кв],Юрист[МОП],"",0,-1)</f>
        <v>Дик</v>
      </c>
      <c r="DS9" s="333" t="s">
        <v>2310</v>
      </c>
      <c r="DT9" s="333" t="s">
        <v>2311</v>
      </c>
      <c r="DU9" s="333">
        <v>33.200000000000003</v>
      </c>
      <c r="DV9" s="111"/>
    </row>
    <row r="10" spans="1:137" hidden="1" x14ac:dyDescent="0.25">
      <c r="A10" s="112">
        <v>8</v>
      </c>
      <c r="B10" s="111" t="s">
        <v>5</v>
      </c>
      <c r="C10" s="111">
        <v>2</v>
      </c>
      <c r="D10" s="111">
        <v>2</v>
      </c>
      <c r="E10" s="111">
        <v>2</v>
      </c>
      <c r="F10" s="105">
        <v>15.82</v>
      </c>
      <c r="G10" s="156">
        <v>15.54</v>
      </c>
      <c r="H10" s="105"/>
      <c r="I10" s="94">
        <f>SUM(ППД5[[#This Row],[Комната 1]:[Комната 3]])</f>
        <v>31.36</v>
      </c>
      <c r="J10" s="105">
        <v>19.440000000000001</v>
      </c>
      <c r="K10" s="105">
        <v>4.42</v>
      </c>
      <c r="L10" s="105"/>
      <c r="M10" s="105">
        <v>3.25</v>
      </c>
      <c r="N10" s="105">
        <v>8.5299999999999994</v>
      </c>
      <c r="O10" s="105">
        <v>3</v>
      </c>
      <c r="P10" s="105"/>
      <c r="Q10" s="105"/>
      <c r="R10" s="105">
        <f>SUM(ППД5[[#This Row],[Лоджия 1]:[Лоджия 3]])</f>
        <v>3</v>
      </c>
      <c r="S10" s="7">
        <f>ROUND(SUM(ППД5[[#This Row],[Площадь по проекту жилая]:[Лоджия 3]]),2)</f>
        <v>70</v>
      </c>
      <c r="T10" s="7">
        <f>ROUND(ППД5[[#This Row],[Площадь по проекту(общая)]]-ППД5[[#This Row],[Летние]],2)</f>
        <v>67</v>
      </c>
      <c r="U10" s="92">
        <f>ROUND(ППД5[[#This Row],[Площадь по проекту(общая)]]-(SUM(ППД5[[#This Row],[Лоджия 1]:[Лоджия 3]])/2),2)</f>
        <v>68.5</v>
      </c>
      <c r="V10" s="92">
        <f>IF(ППД5[[#This Row],[Статус]]="продажа",ППД5[[#This Row],[Расчетная проектная площадь]],ППД5[[#This Row],[Расчетная ТП площадь]])</f>
        <v>68.5</v>
      </c>
      <c r="W10" s="92">
        <v>15.5</v>
      </c>
      <c r="X10" s="92">
        <v>15.9</v>
      </c>
      <c r="Y10" s="92"/>
      <c r="Z10" s="92">
        <f>SUM(ППД5[[#This Row],[ТП Комната 1]:[ТП Комната 3]])</f>
        <v>31.4</v>
      </c>
      <c r="AA10" s="92">
        <v>19</v>
      </c>
      <c r="AB10" s="92">
        <v>4.5</v>
      </c>
      <c r="AC10" s="92"/>
      <c r="AD10" s="92">
        <v>3.3</v>
      </c>
      <c r="AE10" s="92">
        <v>8.8000000000000007</v>
      </c>
      <c r="AF10" s="92">
        <v>1.5</v>
      </c>
      <c r="AG10" s="92"/>
      <c r="AH10" s="92"/>
      <c r="AI10" s="91">
        <f>SUM(ППД5[[#This Row],[ТП Лоджия 1]:[ТП Лоджия 3]])</f>
        <v>1.5</v>
      </c>
      <c r="AJ10" s="95">
        <v>3</v>
      </c>
      <c r="AK10" s="92">
        <f>SUM(ППД5[[#This Row],[Площадь по ТП жилая]:[ТП Лоджия 3]])-ППД5[[#This Row],[ТП Летние]]+ППД5[[#This Row],[кроме того прочая
(без коэффициента)]]</f>
        <v>70</v>
      </c>
      <c r="AL10" s="95">
        <f>ППД5[[#This Row],[ТП Площадь без летних]]+(ППД5[[#This Row],[ТП Летние]])</f>
        <v>68.5</v>
      </c>
      <c r="AM10" s="92">
        <f>ППД5[[#This Row],[ТП общая S]]-ППД5[[#This Row],[кроме того прочая
(без коэффициента)]]</f>
        <v>67</v>
      </c>
      <c r="AN10" s="95">
        <f>SUM(ППД5[[#This Row],[ТП Кухня]:[ТП Коридор]])</f>
        <v>35.6</v>
      </c>
      <c r="AO10" s="91">
        <f>ППД5[[#This Row],[Расчетная ТП площадь]]-ППД5[[#This Row],[Расчетная проектная площадь]]</f>
        <v>0</v>
      </c>
      <c r="AP10" s="335">
        <f>ППД5[[#This Row],[Расчетная ТП площадь]]/ППД5[[#This Row],[Расчетная проектная площадь]]-1</f>
        <v>0</v>
      </c>
      <c r="AQ10" s="92">
        <f>ППД5[[#This Row],[% расхождения]]*ППД5[[#This Row],[Стоимость до скидки]]</f>
        <v>0</v>
      </c>
      <c r="AR10" s="92">
        <f>VLOOKUP(ППД5[[#This Row],[№]],наценкад5[],COLUMN(наценкад5[[#This Row],[Цена м2 с учетом всех K]]),0)</f>
        <v>84941.010000000009</v>
      </c>
      <c r="AS10" s="7">
        <f>ППД5[[#This Row],[м2 после К]]*5%</f>
        <v>4247.0505000000003</v>
      </c>
      <c r="AT10" s="7">
        <f>ППД5[[#This Row],[м2 после К]]+ППД5[[#This Row],[Повышение 16.08.23 - 5%]]</f>
        <v>89188.060500000007</v>
      </c>
      <c r="AU10" s="9">
        <f>ППД5[[#This Row],[Фикс 16.08.23]]*3%</f>
        <v>2675.641815</v>
      </c>
      <c r="AV10" s="9">
        <f>ППД5[[#This Row],[Фикс 16.08.23]]+ППД5[[#This Row],[Повышение 29.08.23 - 3%]]</f>
        <v>91863.702315000002</v>
      </c>
      <c r="AW10" s="9"/>
      <c r="AX10" s="9">
        <f>ППД5[[#This Row],[Фикс 29.08.23]]+ППД5[[#This Row],[Повышение 06.09.23 СТ и 1К]]</f>
        <v>91863.702315000002</v>
      </c>
      <c r="AY10" s="9"/>
      <c r="AZ10" s="9">
        <f>ППД5[[#This Row],[Повышение 23.10.23  В4 ]]+ППД5[[#This Row],[Фикс 06.09.23]]</f>
        <v>91863.702315000002</v>
      </c>
      <c r="BA10" s="9"/>
      <c r="BB10" s="9">
        <f>ППД5[[#This Row],[Повышение 8.11.23 1К 5%]]+ППД5[[#This Row],[Фикс 23.10.23]]</f>
        <v>91863.702315000002</v>
      </c>
      <c r="BC10" s="9">
        <v>-831</v>
      </c>
      <c r="BD10" s="9">
        <f>ППД5[[#This Row],[Корректировка 24.11.23 - 1К В5, 2К А2, №233]]+ППД5[[#This Row],[Фикс 8.11.23]]</f>
        <v>91032.702315000002</v>
      </c>
      <c r="BE10" s="93">
        <f>ППД5[[#This Row],[Фикс 8.11.24]]*1%</f>
        <v>910.32702315000006</v>
      </c>
      <c r="BF10" s="9">
        <f>ППД5[[#This Row],[Наценка за отделку 29.12.23 1%]]+ППД5[[#This Row],[Фикс 8.11.24]]</f>
        <v>91943.029338150009</v>
      </c>
      <c r="BG10" s="93">
        <f>ППД5[[#This Row],[Фикс 29.12.23]]*5%</f>
        <v>4597.1514669075004</v>
      </c>
      <c r="BH10" s="9">
        <f>ППД5[[#This Row],[Фикс 29.12.23]]+ППД5[[#This Row],[Наценка 10.01.24 5%]]</f>
        <v>96540.180805057505</v>
      </c>
      <c r="BI10" s="9"/>
      <c r="BJ10" s="9">
        <f>ППД5[[#This Row],[Наценка 26.02.24 1 Этаж]]+ППД5[[#This Row],[Фикс 10.01.24]]</f>
        <v>96540.180805057505</v>
      </c>
      <c r="BK10" s="93">
        <f>ППД5[[#This Row],[Фикс 26.02.24]]*2%</f>
        <v>1930.8036161011501</v>
      </c>
      <c r="BL10" s="9">
        <f>ППД5[[#This Row],[Фикс 26.02.24]]+ППД5[[#This Row],[Наценка 06.03.24
СТ, 1К - 3%
2К, 3К - 2%]]</f>
        <v>98470.984421158661</v>
      </c>
      <c r="BM10" s="9"/>
      <c r="BN10" s="9">
        <f>ППД5[[#This Row],[Фикс 06.03.24]]+ППД5[[#This Row],[Наценка Г2+500]]</f>
        <v>98470.984421158661</v>
      </c>
      <c r="BO10" s="9">
        <f>ППД5[[#This Row],[Фикс 13.03.25]]*2%</f>
        <v>1969.4196884231733</v>
      </c>
      <c r="BP10" s="9">
        <f>ППД5[[#This Row],[Фикс 13.03.25]]+ППД5[[#This Row],[Наценка 20.03.24
2К, 3К - 2%]]</f>
        <v>100440.40410958184</v>
      </c>
      <c r="BQ10" s="9"/>
      <c r="BR10" s="9">
        <f>ППД5[[#This Row],[Фикс 20.03.24]]+ППД5[[#This Row],[Наценка 08.04.24 
2К: В3 - 150
3К: Г7 +1000]]</f>
        <v>100440.40410958184</v>
      </c>
      <c r="BS10" s="9"/>
      <c r="BT10" s="9">
        <f>ППД5[[#This Row],[Фикс 08.04.24]]+ППД5[[#This Row],[Наценка 16.05.24 1%
А4,А6,Б3,Б6,Б7,В2,В3,В5,В6,Г1,Г3-Г5]]</f>
        <v>100440.40410958184</v>
      </c>
      <c r="BU10" s="9"/>
      <c r="BV10" s="9">
        <f>ППД5[[#This Row],[Фикс 16.05.24]]+ППД5[[#This Row],[Наценка 24.05.24
1% - Б4, Б5,Г2,Г6
2% - А1,А3,А5,Б2,Г7]]</f>
        <v>100440.40410958184</v>
      </c>
      <c r="BW10" s="9"/>
      <c r="BX10" s="9">
        <f>ППД5[[#This Row],[Наценка 06.06.24
0К: В2,Г3 +0,5%
1К: А7, Б5/4, Г6 +0,5%
3К: В6 +0,5%
1К: А3 +1%]]+ППД5[[#This Row],[Фикс 24.05.24]]</f>
        <v>100440.40410958184</v>
      </c>
      <c r="BY10" s="9"/>
      <c r="BZ10" s="9">
        <f>ППД5[[#This Row],[Фикс 06.06.24]]+ППД5[[#This Row],[13.06.2024
3К - 2%]]</f>
        <v>100440.40410958184</v>
      </c>
      <c r="CA10" s="93">
        <f>0.5%*ППД5[[#This Row],[Фикс 13.06.24]]</f>
        <v>502.20202054790923</v>
      </c>
      <c r="CB10" s="9">
        <f>ППД5[[#This Row],[02.07.2024: Г3 А1 А3 Б5 Б7 Г2 Г6 Б3 Б4 В3 Г7 2,5% ост 0,5-1,5%]]+ППД5[[#This Row],[Фикс 13.06.24]]</f>
        <v>100942.60613012974</v>
      </c>
      <c r="CC10" s="9"/>
      <c r="CD10" s="9">
        <f>ППД5[[#This Row],[Фикс 02.07.24]]+ППД5[[#This Row],[04.09.2024 +500
0К - Б2; 1К - А3;
2К - А6, Б4, В3, Г5]]</f>
        <v>100942.60613012974</v>
      </c>
      <c r="CE10" s="9"/>
      <c r="CF10" s="9">
        <f>ППД5[[#This Row],[Наценка 16.09.2024
1К: А1,В7,Г6/7,Г8 - 2%
2К: А4,А5,А6,Б1,Б6,Б3/4,В3,В4,Г4,Г5 - 4%
3К: 4%]]+ППД5[[#This Row],[Фикс 04.09.24]]</f>
        <v>100942.60613012974</v>
      </c>
      <c r="CG10" s="93">
        <f>ППД5[[#This Row],[Фикс 16.09.2024]]*6%</f>
        <v>6056.5563678077842</v>
      </c>
      <c r="CH10" s="9">
        <f>ППД5[[#This Row],[Фикс 16.09.2024]]+ППД5[[#This Row],[Наценка 01.11.24
СТ: 4%
1К: 34-40м 5%; 40м+ 8%; МГН 1%
2К: 55-70м 6%; 70-73м 7%; 73-76м 8% 
3К: 5%]]</f>
        <v>106999.16249793753</v>
      </c>
      <c r="CI10" s="93">
        <f>ППД5[[#This Row],[Фикс 01.11.24]]*13%</f>
        <v>13909.891124731879</v>
      </c>
      <c r="CJ10" s="9">
        <f>ППД5[[#This Row],[Наценка 06.11 13%]]+ППД5[[#This Row],[Фикс 01.11.24]]</f>
        <v>120909.05362266941</v>
      </c>
      <c r="CK10" s="93">
        <v>35</v>
      </c>
      <c r="CL10" s="9">
        <f>ППД5[[#This Row],[Фикс 06.11.24]]+ППД5[[#This Row],[Наценка 18.12.24 распределение КВ]]</f>
        <v>120944.05362266941</v>
      </c>
      <c r="CM10" s="9"/>
      <c r="CN10" s="9">
        <f>ППД5[[#This Row],[Фикс 18.12.24]]+ППД5[[#This Row],[Наценка 10.02.25 +1%
1К: А3
2К: Б3, В3]]</f>
        <v>120944.05362266941</v>
      </c>
      <c r="CO10" s="9">
        <f>ROUND(ППД5[[#This Row],[Фикс 10.02.25]],2)</f>
        <v>120944.05</v>
      </c>
      <c r="CP1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8284700</v>
      </c>
      <c r="CQ10" s="93">
        <f>ROUNDUP(ППД5[[#This Row],[Стоимость до скидки]]+ППД5[[#This Row],[Сумма доплаты]],-2)</f>
        <v>8284700</v>
      </c>
      <c r="CR10" s="68"/>
      <c r="CS10" s="90">
        <v>0.02</v>
      </c>
      <c r="CT10" s="68">
        <f>ППД5[[#This Row],[Стоимость до скидки]]*ППД5[[#This Row],[Скидка %]]+ППД5[[#This Row],[Скидка фиксированная]]</f>
        <v>165694</v>
      </c>
      <c r="CU10" s="3">
        <f>ППД5[[#This Row],[Стоимость ОН без отделки со скидкой]]/ППД5[[#This Row],[Расчетная проектная площадь]]</f>
        <v>118525.63503649634</v>
      </c>
      <c r="CV10" s="3">
        <f>ROUND(ППД5[[#This Row],[Стоимость до скидки]]-ППД5[[#This Row],[Итоговая сумма скидки]],2)</f>
        <v>8119006</v>
      </c>
      <c r="CW1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0" s="218"/>
      <c r="CY10" s="332">
        <f>ППД5[[#This Row],[Расхождение]]/ППД5[[#This Row],[Расчетная проектная площадь]]</f>
        <v>0</v>
      </c>
      <c r="CZ10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-4.00000000000027E-2</v>
      </c>
      <c r="DA10" s="3">
        <f>ППД5[[#This Row],[Цена м2 без отделки со скидкой]]+ППД5[[#This Row],[Стоимость отделки]]</f>
        <v>118525.63503649634</v>
      </c>
      <c r="DB10" s="3">
        <f>ППД5[[#This Row],[Стоимость квартиры с отделкой]]-ППД5[[#This Row],[Стоимость ОН без отделки со скидкой]]</f>
        <v>0</v>
      </c>
      <c r="DC10" s="3">
        <f>ППД5[[#This Row],[Цена м2 с отделкой]]*ППД5[[#This Row],[Расчетная проектная площадь]]</f>
        <v>8119006</v>
      </c>
      <c r="DD10" s="3"/>
      <c r="DE10" s="111" t="s">
        <v>757</v>
      </c>
      <c r="DF10" s="155" t="s">
        <v>172</v>
      </c>
      <c r="DG10" s="245" t="s">
        <v>172</v>
      </c>
      <c r="DH10" s="100" t="b">
        <f>EXACT(ППД5[[#This Row],[Статусы CRM]],ППД5[[#This Row],[Статус]])</f>
        <v>1</v>
      </c>
      <c r="DI10" s="213" t="s">
        <v>182</v>
      </c>
      <c r="DJ10" s="204"/>
      <c r="DK10" s="111" t="s">
        <v>763</v>
      </c>
      <c r="DL10" s="216" t="s">
        <v>12</v>
      </c>
      <c r="DM10" s="201" t="b">
        <f>ППД5[[#This Row],[Отделка CRM]]=ППД5[[#This Row],[Отделка]]</f>
        <v>1</v>
      </c>
      <c r="DN10" s="203">
        <v>8119006</v>
      </c>
      <c r="DO1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0" s="207" t="b">
        <f>IF(AND(ППД5[[#This Row],[Статус]]="свободно",ППД5[[#This Row],[Итоговая сумма скидки]]&lt;&gt;0),FALSE,TRUE)</f>
        <v>1</v>
      </c>
      <c r="DQ10" s="240">
        <f>_xlfn.XLOOKUP(ППД5[[#This Row],[№]],Юрист[№ кв],Юрист[Дата подачи на регистрацию]," ",0,-1)</f>
        <v>45652</v>
      </c>
      <c r="DR10" s="115" t="str">
        <f>_xlfn.XLOOKUP(ППД5[[#This Row],[№]],Юрист[№ кв],Юрист[МОП],"",0,-1)</f>
        <v>Нуждина</v>
      </c>
      <c r="DS10" s="333" t="s">
        <v>2312</v>
      </c>
      <c r="DT10" s="333" t="s">
        <v>2313</v>
      </c>
      <c r="DU10" s="333">
        <v>67</v>
      </c>
      <c r="DV10" s="111"/>
    </row>
    <row r="11" spans="1:137" hidden="1" x14ac:dyDescent="0.25">
      <c r="A11" s="112">
        <v>9</v>
      </c>
      <c r="B11" s="111" t="s">
        <v>5</v>
      </c>
      <c r="C11" s="111">
        <v>2</v>
      </c>
      <c r="D11" s="111">
        <v>3</v>
      </c>
      <c r="E11" s="111">
        <v>1</v>
      </c>
      <c r="F11" s="105">
        <v>13.6</v>
      </c>
      <c r="G11" s="105"/>
      <c r="H11" s="105"/>
      <c r="I11" s="94">
        <f>SUM(ППД5[[#This Row],[Комната 1]:[Комната 3]])</f>
        <v>13.6</v>
      </c>
      <c r="J11" s="105">
        <v>14.97</v>
      </c>
      <c r="K11" s="105">
        <v>4.1100000000000003</v>
      </c>
      <c r="L11" s="105"/>
      <c r="M11" s="105"/>
      <c r="N11" s="105">
        <v>3.7</v>
      </c>
      <c r="O11" s="105">
        <v>2.69</v>
      </c>
      <c r="P11" s="105"/>
      <c r="Q11" s="105"/>
      <c r="R11" s="105">
        <f>SUM(ППД5[[#This Row],[Лоджия 1]:[Лоджия 3]])</f>
        <v>2.69</v>
      </c>
      <c r="S11" s="7">
        <f>ROUND(SUM(ППД5[[#This Row],[Площадь по проекту жилая]:[Лоджия 3]]),2)</f>
        <v>39.07</v>
      </c>
      <c r="T11" s="7">
        <f>ROUND(ППД5[[#This Row],[Площадь по проекту(общая)]]-ППД5[[#This Row],[Летние]],2)</f>
        <v>36.380000000000003</v>
      </c>
      <c r="U11" s="92">
        <f>ROUND(ППД5[[#This Row],[Площадь по проекту(общая)]]-(SUM(ППД5[[#This Row],[Лоджия 1]:[Лоджия 3]])/2),2)</f>
        <v>37.729999999999997</v>
      </c>
      <c r="V11" s="92">
        <f>IF(ППД5[[#This Row],[Статус]]="продажа",ППД5[[#This Row],[Расчетная проектная площадь]],ППД5[[#This Row],[Расчетная ТП площадь]])</f>
        <v>37.729999999999997</v>
      </c>
      <c r="W11" s="92">
        <v>13.5</v>
      </c>
      <c r="X11" s="92"/>
      <c r="Y11" s="92"/>
      <c r="Z11" s="92">
        <f>SUM(ППД5[[#This Row],[ТП Комната 1]:[ТП Комната 3]])</f>
        <v>13.5</v>
      </c>
      <c r="AA11" s="92">
        <v>14.6</v>
      </c>
      <c r="AB11" s="92">
        <v>4.0999999999999996</v>
      </c>
      <c r="AC11" s="92"/>
      <c r="AD11" s="92"/>
      <c r="AE11" s="92">
        <v>3.7</v>
      </c>
      <c r="AF11" s="91">
        <v>1.35</v>
      </c>
      <c r="AG11" s="92"/>
      <c r="AH11" s="92"/>
      <c r="AI11" s="91">
        <f>SUM(ППД5[[#This Row],[ТП Лоджия 1]:[ТП Лоджия 3]])</f>
        <v>1.35</v>
      </c>
      <c r="AJ11" s="95">
        <v>2.7</v>
      </c>
      <c r="AK11" s="92">
        <f>SUM(ППД5[[#This Row],[Площадь по ТП жилая]:[ТП Лоджия 3]])-ППД5[[#This Row],[ТП Летние]]+ППД5[[#This Row],[кроме того прочая
(без коэффициента)]]</f>
        <v>38.600000000000009</v>
      </c>
      <c r="AL11" s="95">
        <f>ППД5[[#This Row],[ТП Площадь без летних]]+(ППД5[[#This Row],[ТП Летние]])</f>
        <v>37.250000000000007</v>
      </c>
      <c r="AM11" s="92">
        <f>ППД5[[#This Row],[ТП общая S]]-ППД5[[#This Row],[кроме того прочая
(без коэффициента)]]</f>
        <v>35.900000000000006</v>
      </c>
      <c r="AN11" s="95">
        <f>SUM(ППД5[[#This Row],[ТП Кухня]:[ТП Коридор]])</f>
        <v>22.4</v>
      </c>
      <c r="AO11" s="91">
        <f>ППД5[[#This Row],[Расчетная ТП площадь]]-ППД5[[#This Row],[Расчетная проектная площадь]]</f>
        <v>-0.47999999999998977</v>
      </c>
      <c r="AP11" s="335">
        <f>ППД5[[#This Row],[Расчетная ТП площадь]]/ППД5[[#This Row],[Расчетная проектная площадь]]-1</f>
        <v>-1.2721971905645058E-2</v>
      </c>
      <c r="AQ11" s="92">
        <f>ППД5[[#This Row],[% расхождения]]*ППД5[[#This Row],[Стоимость до скидки]]</f>
        <v>-58551.603498540811</v>
      </c>
      <c r="AR11" s="92">
        <f>VLOOKUP(ППД5[[#This Row],[№]],наценкад5[],COLUMN(наценкад5[[#This Row],[Цена м2 с учетом всех K]]),0)</f>
        <v>88412.625</v>
      </c>
      <c r="AS11" s="7">
        <f>ППД5[[#This Row],[м2 после К]]*5%</f>
        <v>4420.6312500000004</v>
      </c>
      <c r="AT11" s="7">
        <f>ППД5[[#This Row],[м2 после К]]+ППД5[[#This Row],[Повышение 16.08.23 - 5%]]</f>
        <v>92833.256250000006</v>
      </c>
      <c r="AU11" s="9">
        <f>ППД5[[#This Row],[Фикс 16.08.23]]*3%</f>
        <v>2784.9976875000002</v>
      </c>
      <c r="AV11" s="9">
        <f>ППД5[[#This Row],[Фикс 16.08.23]]+ППД5[[#This Row],[Повышение 29.08.23 - 3%]]</f>
        <v>95618.253937500005</v>
      </c>
      <c r="AW11" s="93">
        <f>ППД5[[#This Row],[Фикс 29.08.23]]*7%</f>
        <v>6693.2777756250007</v>
      </c>
      <c r="AX11" s="9">
        <f>ППД5[[#This Row],[Фикс 29.08.23]]+ППД5[[#This Row],[Повышение 06.09.23 СТ и 1К]]</f>
        <v>102311.531713125</v>
      </c>
      <c r="AY11" s="9"/>
      <c r="AZ11" s="9">
        <f>ППД5[[#This Row],[Повышение 23.10.23  В4 ]]+ППД5[[#This Row],[Фикс 06.09.23]]</f>
        <v>102311.531713125</v>
      </c>
      <c r="BA11" s="93">
        <f>ППД5[[#This Row],[Фикс 23.10.23]]*5%</f>
        <v>5115.5765856562502</v>
      </c>
      <c r="BB11" s="93">
        <f>ППД5[[#This Row],[Повышение 8.11.23 1К 5%]]+ППД5[[#This Row],[Фикс 23.10.23]]</f>
        <v>107427.10829878126</v>
      </c>
      <c r="BC11" s="93"/>
      <c r="BD11" s="93">
        <f>ППД5[[#This Row],[Корректировка 24.11.23 - 1К В5, 2К А2, №233]]+ППД5[[#This Row],[Фикс 8.11.23]]</f>
        <v>107427.10829878126</v>
      </c>
      <c r="BE11" s="93">
        <f>ППД5[[#This Row],[Фикс 8.11.24]]*1%</f>
        <v>1074.2710829878126</v>
      </c>
      <c r="BF11" s="93">
        <f>ППД5[[#This Row],[Наценка за отделку 29.12.23 1%]]+ППД5[[#This Row],[Фикс 8.11.24]]</f>
        <v>108501.37938176907</v>
      </c>
      <c r="BG11" s="93">
        <f>ППД5[[#This Row],[Фикс 29.12.23]]*5%</f>
        <v>5425.0689690884537</v>
      </c>
      <c r="BH11" s="93">
        <f>ППД5[[#This Row],[Фикс 29.12.23]]+ППД5[[#This Row],[Наценка 10.01.24 5%]]</f>
        <v>113926.44835085754</v>
      </c>
      <c r="BI11" s="93"/>
      <c r="BJ11" s="93">
        <f>ППД5[[#This Row],[Наценка 26.02.24 1 Этаж]]+ППД5[[#This Row],[Фикс 10.01.24]]</f>
        <v>113926.44835085754</v>
      </c>
      <c r="BK11" s="93">
        <f>ППД5[[#This Row],[Фикс 26.02.24]]*3%</f>
        <v>3417.7934505257258</v>
      </c>
      <c r="BL11" s="93">
        <f>ППД5[[#This Row],[Фикс 26.02.24]]+ППД5[[#This Row],[Наценка 06.03.24
СТ, 1К - 3%
2К, 3К - 2%]]</f>
        <v>117344.24180138326</v>
      </c>
      <c r="BM11" s="93"/>
      <c r="BN11" s="93">
        <f>ППД5[[#This Row],[Фикс 06.03.24]]+ППД5[[#This Row],[Наценка Г2+500]]</f>
        <v>117344.24180138326</v>
      </c>
      <c r="BO11" s="93"/>
      <c r="BP11" s="93">
        <f>ППД5[[#This Row],[Фикс 13.03.25]]+ППД5[[#This Row],[Наценка 20.03.24
2К, 3К - 2%]]</f>
        <v>117344.24180138326</v>
      </c>
      <c r="BQ11" s="93"/>
      <c r="BR11" s="93">
        <f>ППД5[[#This Row],[Фикс 20.03.24]]+ППД5[[#This Row],[Наценка 08.04.24 
2К: В3 - 150
3К: Г7 +1000]]</f>
        <v>117344.24180138326</v>
      </c>
      <c r="BS11" s="93"/>
      <c r="BT11" s="93">
        <f>ППД5[[#This Row],[Фикс 08.04.24]]+ППД5[[#This Row],[Наценка 16.05.24 1%
А4,А6,Б3,Б6,Б7,В2,В3,В5,В6,Г1,Г3-Г5]]</f>
        <v>117344.24180138326</v>
      </c>
      <c r="BU11" s="93"/>
      <c r="BV11" s="93">
        <f>ППД5[[#This Row],[Фикс 16.05.24]]+ППД5[[#This Row],[Наценка 24.05.24
1% - Б4, Б5,Г2,Г6
2% - А1,А3,А5,Б2,Г7]]</f>
        <v>117344.24180138326</v>
      </c>
      <c r="BW11" s="93">
        <f>ППД5[[#This Row],[Фикс 24.05.24]]*1%</f>
        <v>1173.4424180138326</v>
      </c>
      <c r="BX11" s="93">
        <f>ППД5[[#This Row],[Наценка 06.06.24
0К: В2,Г3 +0,5%
1К: А7, Б5/4, Г6 +0,5%
3К: В6 +0,5%
1К: А3 +1%]]+ППД5[[#This Row],[Фикс 24.05.24]]</f>
        <v>118517.6842193971</v>
      </c>
      <c r="BY11" s="93"/>
      <c r="BZ11" s="93">
        <f>ППД5[[#This Row],[Фикс 06.06.24]]+ППД5[[#This Row],[13.06.2024
3К - 2%]]</f>
        <v>118517.6842193971</v>
      </c>
      <c r="CA11" s="93">
        <f>2.5%*ППД5[[#This Row],[Фикс 13.06.24]]</f>
        <v>2962.9421054849277</v>
      </c>
      <c r="CB11" s="93">
        <f>ППД5[[#This Row],[02.07.2024: Г3 А1 А3 Б5 Б7 Г2 Г6 Б3 Б4 В3 Г7 2,5% ост 0,5-1,5%]]+ППД5[[#This Row],[Фикс 13.06.24]]</f>
        <v>121480.62632488202</v>
      </c>
      <c r="CC11" s="93">
        <v>500</v>
      </c>
      <c r="CD11" s="93">
        <f>ППД5[[#This Row],[Фикс 02.07.24]]+ППД5[[#This Row],[04.09.2024 +500
0К - Б2; 1К - А3;
2К - А6, Б4, В3, Г5]]</f>
        <v>121980.62632488202</v>
      </c>
      <c r="CE11" s="93"/>
      <c r="CF11" s="93">
        <f>ППД5[[#This Row],[Наценка 16.09.2024
1К: А1,В7,Г6/7,Г8 - 2%
2К: А4,А5,А6,Б1,Б6,Б3/4,В3,В4,Г4,Г5 - 4%
3К: 4%]]+ППД5[[#This Row],[Фикс 04.09.24]]</f>
        <v>121980.62632488202</v>
      </c>
      <c r="CG11" s="93"/>
      <c r="CH11" s="93">
        <f>ППД5[[#This Row],[Фикс 16.09.2024]]+ППД5[[#This Row],[Наценка 01.11.24
СТ: 4%
1К: 34-40м 5%; 40м+ 8%; МГН 1%
2К: 55-70м 6%; 70-73м 7%; 73-76м 8% 
3К: 5%]]</f>
        <v>121980.62632488202</v>
      </c>
      <c r="CI11" s="93"/>
      <c r="CJ11" s="93">
        <f>ППД5[[#This Row],[Наценка 06.11 13%]]+ППД5[[#This Row],[Фикс 01.11.24]]</f>
        <v>121980.62632488202</v>
      </c>
      <c r="CK11" s="93"/>
      <c r="CL11" s="93">
        <f>ППД5[[#This Row],[Фикс 06.11.24]]+ППД5[[#This Row],[Наценка 18.12.24 распределение КВ]]</f>
        <v>121980.62632488202</v>
      </c>
      <c r="CM11" s="93"/>
      <c r="CN11" s="93">
        <f>ППД5[[#This Row],[Фикс 18.12.24]]+ППД5[[#This Row],[Наценка 10.02.25 +1%
1К: А3
2К: Б3, В3]]</f>
        <v>121980.62632488202</v>
      </c>
      <c r="CO11" s="9">
        <f>ROUND(ППД5[[#This Row],[Фикс 10.02.25]],2)</f>
        <v>121980.63</v>
      </c>
      <c r="CP1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4602400</v>
      </c>
      <c r="CQ11" s="93">
        <f>ROUNDUP(ППД5[[#This Row],[Стоимость до скидки]]+ППД5[[#This Row],[Сумма доплаты]],-2)</f>
        <v>4543900</v>
      </c>
      <c r="CR11" s="68"/>
      <c r="CS11" s="90"/>
      <c r="CT11" s="68">
        <f>ППД5[[#This Row],[Стоимость до скидки]]*ППД5[[#This Row],[Скидка %]]+ППД5[[#This Row],[Скидка фиксированная]]</f>
        <v>0</v>
      </c>
      <c r="CU11" s="3">
        <f>ППД5[[#This Row],[Стоимость ОН без отделки со скидкой]]/ППД5[[#This Row],[Расчетная проектная площадь]]</f>
        <v>121982.50728862974</v>
      </c>
      <c r="CV11" s="3">
        <f>ROUND(ППД5[[#This Row],[Стоимость до скидки]]-ППД5[[#This Row],[Итоговая сумма скидки]],2)</f>
        <v>4602400</v>
      </c>
      <c r="CW1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1" s="217"/>
      <c r="CY11" s="210">
        <f>ППД5[[#This Row],[Расхождение]]/ППД5[[#This Row],[Расчетная проектная площадь]]</f>
        <v>-1.2721971905645104E-2</v>
      </c>
      <c r="CZ11" s="330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-0.38000000000000078</v>
      </c>
      <c r="DA11" s="3">
        <f>ППД5[[#This Row],[Цена м2 без отделки со скидкой]]+ППД5[[#This Row],[Стоимость отделки]]</f>
        <v>121982.50728862974</v>
      </c>
      <c r="DB11" s="3">
        <f>ППД5[[#This Row],[Стоимость квартиры с отделкой]]-ППД5[[#This Row],[Стоимость ОН без отделки со скидкой]]</f>
        <v>0</v>
      </c>
      <c r="DC11" s="3">
        <f>ППД5[[#This Row],[Цена м2 с отделкой]]*ППД5[[#This Row],[Расчетная проектная площадь]]</f>
        <v>4602400</v>
      </c>
      <c r="DD11" s="3"/>
      <c r="DF11" s="199" t="s">
        <v>172</v>
      </c>
      <c r="DG11" s="245" t="s">
        <v>172</v>
      </c>
      <c r="DH11" s="100" t="b">
        <f>EXACT(ППД5[[#This Row],[Статусы CRM]],ППД5[[#This Row],[Статус]])</f>
        <v>1</v>
      </c>
      <c r="DI11" s="213" t="s">
        <v>183</v>
      </c>
      <c r="DJ11" s="204"/>
      <c r="DK11" s="111" t="s">
        <v>763</v>
      </c>
      <c r="DL11" s="216" t="s">
        <v>12</v>
      </c>
      <c r="DM11" s="201" t="b">
        <f>ППД5[[#This Row],[Отделка CRM]]=ППД5[[#This Row],[Отделка]]</f>
        <v>1</v>
      </c>
      <c r="DN11" s="203">
        <v>4602400</v>
      </c>
      <c r="DO1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1" s="207" t="b">
        <f>IF(AND(ППД5[[#This Row],[Статус]]="свободно",ППД5[[#This Row],[Итоговая сумма скидки]]&lt;&gt;0),FALSE,TRUE)</f>
        <v>1</v>
      </c>
      <c r="DQ11" s="240">
        <f>_xlfn.XLOOKUP(ППД5[[#This Row],[№]],Юрист[№ кв],Юрист[Дата подачи на регистрацию]," ",0,-1)</f>
        <v>45589</v>
      </c>
      <c r="DR11" s="115" t="str">
        <f>_xlfn.XLOOKUP(ППД5[[#This Row],[№]],Юрист[№ кв],Юрист[МОП],"",0,-1)</f>
        <v>Дик</v>
      </c>
      <c r="DS11" s="333" t="s">
        <v>2314</v>
      </c>
      <c r="DT11" s="333" t="s">
        <v>2315</v>
      </c>
      <c r="DU11" s="333">
        <v>35.9</v>
      </c>
      <c r="DV11" s="111"/>
    </row>
    <row r="12" spans="1:137" hidden="1" x14ac:dyDescent="0.25">
      <c r="A12" s="112">
        <v>10</v>
      </c>
      <c r="B12" s="111" t="s">
        <v>5</v>
      </c>
      <c r="C12" s="111">
        <v>2</v>
      </c>
      <c r="D12" s="111">
        <v>4</v>
      </c>
      <c r="E12" s="111">
        <v>1</v>
      </c>
      <c r="F12" s="105">
        <v>22.91</v>
      </c>
      <c r="G12" s="105"/>
      <c r="H12" s="105"/>
      <c r="I12" s="94">
        <f>SUM(ППД5[[#This Row],[Комната 1]:[Комната 3]])</f>
        <v>22.91</v>
      </c>
      <c r="J12" s="105">
        <v>14.58</v>
      </c>
      <c r="K12" s="105">
        <v>4.34</v>
      </c>
      <c r="L12" s="105">
        <v>3.71</v>
      </c>
      <c r="M12" s="105"/>
      <c r="N12" s="105">
        <v>10.98</v>
      </c>
      <c r="O12" s="105">
        <v>3.74</v>
      </c>
      <c r="P12" s="105"/>
      <c r="Q12" s="105"/>
      <c r="R12" s="105">
        <f>SUM(ППД5[[#This Row],[Лоджия 1]:[Лоджия 3]])</f>
        <v>3.74</v>
      </c>
      <c r="S12" s="7">
        <f>ROUND(SUM(ППД5[[#This Row],[Площадь по проекту жилая]:[Лоджия 3]]),2)</f>
        <v>60.26</v>
      </c>
      <c r="T12" s="7">
        <f>ROUND(ППД5[[#This Row],[Площадь по проекту(общая)]]-ППД5[[#This Row],[Летние]],2)</f>
        <v>56.52</v>
      </c>
      <c r="U12" s="92">
        <f>ROUND(ППД5[[#This Row],[Площадь по проекту(общая)]]-(SUM(ППД5[[#This Row],[Лоджия 1]:[Лоджия 3]])/2),2)</f>
        <v>58.39</v>
      </c>
      <c r="V12" s="92">
        <f>IF(ППД5[[#This Row],[Статус]]="продажа",ППД5[[#This Row],[Расчетная проектная площадь]],ППД5[[#This Row],[Расчетная ТП площадь]])</f>
        <v>58.39</v>
      </c>
      <c r="W12" s="92">
        <v>22.9</v>
      </c>
      <c r="X12" s="92"/>
      <c r="Y12" s="92"/>
      <c r="Z12" s="92">
        <f>SUM(ППД5[[#This Row],[ТП Комната 1]:[ТП Комната 3]])</f>
        <v>22.9</v>
      </c>
      <c r="AA12" s="92">
        <v>14.4</v>
      </c>
      <c r="AB12" s="92">
        <v>4.4000000000000004</v>
      </c>
      <c r="AC12" s="92">
        <v>3.7</v>
      </c>
      <c r="AD12" s="92"/>
      <c r="AE12" s="92">
        <v>11</v>
      </c>
      <c r="AF12" s="92">
        <v>1.8</v>
      </c>
      <c r="AG12" s="92"/>
      <c r="AH12" s="92"/>
      <c r="AI12" s="91">
        <f>SUM(ППД5[[#This Row],[ТП Лоджия 1]:[ТП Лоджия 3]])</f>
        <v>1.8</v>
      </c>
      <c r="AJ12" s="95">
        <v>3.6</v>
      </c>
      <c r="AK12" s="92">
        <f>SUM(ППД5[[#This Row],[Площадь по ТП жилая]:[ТП Лоджия 3]])-ППД5[[#This Row],[ТП Летние]]+ППД5[[#This Row],[кроме того прочая
(без коэффициента)]]</f>
        <v>60</v>
      </c>
      <c r="AL12" s="95">
        <f>ППД5[[#This Row],[ТП Площадь без летних]]+(ППД5[[#This Row],[ТП Летние]])</f>
        <v>58.199999999999996</v>
      </c>
      <c r="AM12" s="92">
        <f>ППД5[[#This Row],[ТП общая S]]-ППД5[[#This Row],[кроме того прочая
(без коэффициента)]]</f>
        <v>56.4</v>
      </c>
      <c r="AN12" s="95">
        <f>SUM(ППД5[[#This Row],[ТП Кухня]:[ТП Коридор]])</f>
        <v>33.5</v>
      </c>
      <c r="AO12" s="91">
        <f>ППД5[[#This Row],[Расчетная ТП площадь]]-ППД5[[#This Row],[Расчетная проектная площадь]]</f>
        <v>-0.19000000000000483</v>
      </c>
      <c r="AP12" s="335">
        <f>ППД5[[#This Row],[Расчетная ТП площадь]]/ППД5[[#This Row],[Расчетная проектная площадь]]-1</f>
        <v>-3.2539818462066217E-3</v>
      </c>
      <c r="AQ12" s="92">
        <f>ППД5[[#This Row],[% расхождения]]*ППД5[[#This Row],[Стоимость до скидки]]</f>
        <v>-21703.082719644306</v>
      </c>
      <c r="AR12" s="92">
        <f>VLOOKUP(ППД5[[#This Row],[№]],наценкад5[],COLUMN(наценкад5[[#This Row],[Цена м2 с учетом всех K]]),0)</f>
        <v>78679.125</v>
      </c>
      <c r="AS12" s="7">
        <f>ППД5[[#This Row],[м2 после К]]*5%</f>
        <v>3933.9562500000002</v>
      </c>
      <c r="AT12" s="7">
        <f>ППД5[[#This Row],[м2 после К]]+ППД5[[#This Row],[Повышение 16.08.23 - 5%]]</f>
        <v>82613.081250000003</v>
      </c>
      <c r="AU12" s="9">
        <f>ППД5[[#This Row],[Фикс 16.08.23]]*3%</f>
        <v>2478.3924375000001</v>
      </c>
      <c r="AV12" s="9">
        <f>ППД5[[#This Row],[Фикс 16.08.23]]+ППД5[[#This Row],[Повышение 29.08.23 - 3%]]</f>
        <v>85091.473687500009</v>
      </c>
      <c r="AW12" s="93">
        <f>ППД5[[#This Row],[Фикс 29.08.23]]*1%</f>
        <v>850.91473687500013</v>
      </c>
      <c r="AX12" s="9">
        <f>ППД5[[#This Row],[Фикс 29.08.23]]+ППД5[[#This Row],[Повышение 06.09.23 СТ и 1К]]</f>
        <v>85942.388424375007</v>
      </c>
      <c r="AY12" s="9"/>
      <c r="AZ12" s="9">
        <f>ППД5[[#This Row],[Повышение 23.10.23  В4 ]]+ППД5[[#This Row],[Фикс 06.09.23]]</f>
        <v>85942.388424375007</v>
      </c>
      <c r="BA12" s="93">
        <f>ППД5[[#This Row],[Фикс 23.10.23]]*5%</f>
        <v>4297.1194212187502</v>
      </c>
      <c r="BB12" s="93">
        <f>ППД5[[#This Row],[Повышение 8.11.23 1К 5%]]+ППД5[[#This Row],[Фикс 23.10.23]]</f>
        <v>90239.507845593762</v>
      </c>
      <c r="BC12" s="93"/>
      <c r="BD12" s="93">
        <f>ППД5[[#This Row],[Корректировка 24.11.23 - 1К В5, 2К А2, №233]]+ППД5[[#This Row],[Фикс 8.11.23]]</f>
        <v>90239.507845593762</v>
      </c>
      <c r="BE12" s="93">
        <f>ППД5[[#This Row],[Фикс 8.11.24]]*1%</f>
        <v>902.39507845593766</v>
      </c>
      <c r="BF12" s="93">
        <f>ППД5[[#This Row],[Наценка за отделку 29.12.23 1%]]+ППД5[[#This Row],[Фикс 8.11.24]]</f>
        <v>91141.902924049704</v>
      </c>
      <c r="BG12" s="93">
        <f>ППД5[[#This Row],[Фикс 29.12.23]]*5%</f>
        <v>4557.095146202485</v>
      </c>
      <c r="BH12" s="93">
        <f>ППД5[[#This Row],[Фикс 29.12.23]]+ППД5[[#This Row],[Наценка 10.01.24 5%]]</f>
        <v>95698.998070252186</v>
      </c>
      <c r="BI12" s="93"/>
      <c r="BJ12" s="93">
        <f>ППД5[[#This Row],[Наценка 26.02.24 1 Этаж]]+ППД5[[#This Row],[Фикс 10.01.24]]</f>
        <v>95698.998070252186</v>
      </c>
      <c r="BK12" s="93">
        <f>ППД5[[#This Row],[Фикс 26.02.24]]*3%</f>
        <v>2870.9699421075657</v>
      </c>
      <c r="BL12" s="93">
        <f>ППД5[[#This Row],[Фикс 26.02.24]]+ППД5[[#This Row],[Наценка 06.03.24
СТ, 1К - 3%
2К, 3К - 2%]]</f>
        <v>98569.96801235975</v>
      </c>
      <c r="BM12" s="93"/>
      <c r="BN12" s="93">
        <f>ППД5[[#This Row],[Фикс 06.03.24]]+ППД5[[#This Row],[Наценка Г2+500]]</f>
        <v>98569.96801235975</v>
      </c>
      <c r="BO12" s="93"/>
      <c r="BP12" s="93">
        <f>ППД5[[#This Row],[Фикс 13.03.25]]+ППД5[[#This Row],[Наценка 20.03.24
2К, 3К - 2%]]</f>
        <v>98569.96801235975</v>
      </c>
      <c r="BQ12" s="93"/>
      <c r="BR12" s="93">
        <f>ППД5[[#This Row],[Фикс 20.03.24]]+ППД5[[#This Row],[Наценка 08.04.24 
2К: В3 - 150
3К: Г7 +1000]]</f>
        <v>98569.96801235975</v>
      </c>
      <c r="BS12" s="93">
        <f>ППД5[[#This Row],[Фикс 08.04.24]]*1%</f>
        <v>985.69968012359755</v>
      </c>
      <c r="BT12" s="93">
        <f>ППД5[[#This Row],[Фикс 08.04.24]]+ППД5[[#This Row],[Наценка 16.05.24 1%
А4,А6,Б3,Б6,Б7,В2,В3,В5,В6,Г1,Г3-Г5]]</f>
        <v>99555.667692483345</v>
      </c>
      <c r="BU12" s="93"/>
      <c r="BV12" s="93">
        <f>ППД5[[#This Row],[Фикс 16.05.24]]+ППД5[[#This Row],[Наценка 24.05.24
1% - Б4, Б5,Г2,Г6
2% - А1,А3,А5,Б2,Г7]]</f>
        <v>99555.667692483345</v>
      </c>
      <c r="BW12" s="93"/>
      <c r="BX12" s="93">
        <f>ППД5[[#This Row],[Наценка 06.06.24
0К: В2,Г3 +0,5%
1К: А7, Б5/4, Г6 +0,5%
3К: В6 +0,5%
1К: А3 +1%]]+ППД5[[#This Row],[Фикс 24.05.24]]</f>
        <v>99555.667692483345</v>
      </c>
      <c r="BY12" s="93"/>
      <c r="BZ12" s="93">
        <f>ППД5[[#This Row],[Фикс 06.06.24]]+ППД5[[#This Row],[13.06.2024
3К - 2%]]</f>
        <v>99555.667692483345</v>
      </c>
      <c r="CA12" s="93">
        <f>0.5%*ППД5[[#This Row],[Фикс 13.06.24]]</f>
        <v>497.77833846241674</v>
      </c>
      <c r="CB12" s="93">
        <f>ППД5[[#This Row],[02.07.2024: Г3 А1 А3 Б5 Б7 Г2 Г6 Б3 Б4 В3 Г7 2,5% ост 0,5-1,5%]]+ППД5[[#This Row],[Фикс 13.06.24]]</f>
        <v>100053.44603094576</v>
      </c>
      <c r="CC12" s="93"/>
      <c r="CD12" s="93">
        <f>ППД5[[#This Row],[Фикс 02.07.24]]+ППД5[[#This Row],[04.09.2024 +500
0К - Б2; 1К - А3;
2К - А6, Б4, В3, Г5]]</f>
        <v>100053.44603094576</v>
      </c>
      <c r="CE12" s="93"/>
      <c r="CF12" s="93">
        <f>ППД5[[#This Row],[Наценка 16.09.2024
1К: А1,В7,Г6/7,Г8 - 2%
2К: А4,А5,А6,Б1,Б6,Б3/4,В3,В4,Г4,Г5 - 4%
3К: 4%]]+ППД5[[#This Row],[Фикс 04.09.24]]</f>
        <v>100053.44603094576</v>
      </c>
      <c r="CG12" s="93">
        <f>ППД5[[#This Row],[Фикс 16.09.2024]]*1%</f>
        <v>1000.5344603094577</v>
      </c>
      <c r="CH12" s="93">
        <f>ППД5[[#This Row],[Фикс 16.09.2024]]+ППД5[[#This Row],[Наценка 01.11.24
СТ: 4%
1К: 34-40м 5%; 40м+ 8%; МГН 1%
2К: 55-70м 6%; 70-73м 7%; 73-76м 8% 
3К: 5%]]</f>
        <v>101053.98049125522</v>
      </c>
      <c r="CI12" s="93">
        <f>ППД5[[#This Row],[Фикс 01.11.24]]*13%</f>
        <v>13137.01746386318</v>
      </c>
      <c r="CJ12" s="93">
        <f>ППД5[[#This Row],[Наценка 06.11 13%]]+ППД5[[#This Row],[Фикс 01.11.24]]</f>
        <v>114190.99795511839</v>
      </c>
      <c r="CK12" s="93">
        <v>35</v>
      </c>
      <c r="CL12" s="93">
        <f>ППД5[[#This Row],[Фикс 06.11.24]]+ППД5[[#This Row],[Наценка 18.12.24 распределение КВ]]</f>
        <v>114225.99795511839</v>
      </c>
      <c r="CM12" s="93"/>
      <c r="CN12" s="93">
        <f>ППД5[[#This Row],[Фикс 18.12.24]]+ППД5[[#This Row],[Наценка 10.02.25 +1%
1К: А3
2К: Б3, В3]]</f>
        <v>114225.99795511839</v>
      </c>
      <c r="CO12" s="9">
        <f>ROUND(ППД5[[#This Row],[Фикс 10.02.25]],2)</f>
        <v>114226</v>
      </c>
      <c r="CP1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6669700</v>
      </c>
      <c r="CQ12" s="93">
        <f>ROUNDUP(ППД5[[#This Row],[Стоимость до скидки]]+ППД5[[#This Row],[Сумма доплаты]],-2)</f>
        <v>6648000</v>
      </c>
      <c r="CR12" s="68">
        <f>ППД5[[#This Row],[Расчетная проектная площадь]]*8000</f>
        <v>467120</v>
      </c>
      <c r="CS12" s="90"/>
      <c r="CT12" s="68">
        <f>ППД5[[#This Row],[Стоимость до скидки]]*ППД5[[#This Row],[Скидка %]]+ППД5[[#This Row],[Скидка фиксированная]]</f>
        <v>467120</v>
      </c>
      <c r="CU12" s="3">
        <f>ППД5[[#This Row],[Стоимость ОН без отделки со скидкой]]/ППД5[[#This Row],[Расчетная проектная площадь]]</f>
        <v>106226.75115601986</v>
      </c>
      <c r="CV12" s="3">
        <f>ROUND(ППД5[[#This Row],[Стоимость до скидки]]-ППД5[[#This Row],[Итоговая сумма скидки]],2)</f>
        <v>6202580</v>
      </c>
      <c r="CW1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2" s="197"/>
      <c r="CY12" s="332">
        <f>ППД5[[#This Row],[Расхождение]]/ППД5[[#This Row],[Расчетная проектная площадь]]</f>
        <v>-3.2539818462066251E-3</v>
      </c>
      <c r="CZ1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-0.11000000000000121</v>
      </c>
      <c r="DA12" s="3">
        <f>ППД5[[#This Row],[Цена м2 без отделки со скидкой]]+ППД5[[#This Row],[Стоимость отделки]]</f>
        <v>106226.75115601986</v>
      </c>
      <c r="DB12" s="3">
        <f>ППД5[[#This Row],[Стоимость квартиры с отделкой]]-ППД5[[#This Row],[Стоимость ОН без отделки со скидкой]]</f>
        <v>0</v>
      </c>
      <c r="DC12" s="3">
        <f>ППД5[[#This Row],[Цена м2 с отделкой]]*ППД5[[#This Row],[Расчетная проектная площадь]]</f>
        <v>6202580</v>
      </c>
      <c r="DD12" s="3" t="s">
        <v>156</v>
      </c>
      <c r="DE12" s="111" t="s">
        <v>2122</v>
      </c>
      <c r="DF12" s="155" t="s">
        <v>172</v>
      </c>
      <c r="DG12" s="221" t="s">
        <v>172</v>
      </c>
      <c r="DH12" s="100" t="b">
        <f>EXACT(ППД5[[#This Row],[Статусы CRM]],ППД5[[#This Row],[Статус]])</f>
        <v>1</v>
      </c>
      <c r="DI12" s="213" t="s">
        <v>184</v>
      </c>
      <c r="DJ12" s="204"/>
      <c r="DK12" s="111" t="s">
        <v>763</v>
      </c>
      <c r="DL12" s="216" t="s">
        <v>12</v>
      </c>
      <c r="DM12" s="201" t="b">
        <f>ППД5[[#This Row],[Отделка CRM]]=ППД5[[#This Row],[Отделка]]</f>
        <v>1</v>
      </c>
      <c r="DN12" s="203">
        <v>6202580</v>
      </c>
      <c r="DO1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2" s="207" t="b">
        <f>IF(AND(ППД5[[#This Row],[Статус]]="свободно",ППД5[[#This Row],[Итоговая сумма скидки]]&lt;&gt;0),FALSE,TRUE)</f>
        <v>1</v>
      </c>
      <c r="DQ12" s="240">
        <f>_xlfn.XLOOKUP(ППД5[[#This Row],[№]],Юрист[№ кв],Юрист[Дата подачи на регистрацию]," ",0,-1)</f>
        <v>45782</v>
      </c>
      <c r="DR12" s="115" t="str">
        <f>_xlfn.XLOOKUP(ППД5[[#This Row],[№]],Юрист[№ кв],Юрист[МОП],"",0,-1)</f>
        <v>Никишов</v>
      </c>
      <c r="DS12" s="333" t="s">
        <v>2316</v>
      </c>
      <c r="DT12" s="333" t="s">
        <v>2317</v>
      </c>
      <c r="DU12" s="333">
        <v>56.4</v>
      </c>
      <c r="DV12" s="111"/>
    </row>
    <row r="13" spans="1:137" hidden="1" x14ac:dyDescent="0.25">
      <c r="A13" s="112">
        <v>11</v>
      </c>
      <c r="B13" s="111" t="s">
        <v>5</v>
      </c>
      <c r="C13" s="111">
        <v>2</v>
      </c>
      <c r="D13" s="111">
        <v>5</v>
      </c>
      <c r="E13" s="111">
        <v>2</v>
      </c>
      <c r="F13" s="105">
        <v>16.46</v>
      </c>
      <c r="G13" s="105">
        <v>12.47</v>
      </c>
      <c r="H13" s="105"/>
      <c r="I13" s="94">
        <f>SUM(ППД5[[#This Row],[Комната 1]:[Комната 3]])</f>
        <v>28.93</v>
      </c>
      <c r="J13" s="105">
        <v>18</v>
      </c>
      <c r="K13" s="105">
        <v>4.3499999999999996</v>
      </c>
      <c r="L13" s="105">
        <v>1.55</v>
      </c>
      <c r="M13" s="105"/>
      <c r="N13" s="105">
        <v>8</v>
      </c>
      <c r="O13" s="105">
        <v>2.67</v>
      </c>
      <c r="P13" s="105"/>
      <c r="Q13" s="105"/>
      <c r="R13" s="105">
        <f>SUM(ППД5[[#This Row],[Лоджия 1]:[Лоджия 3]])</f>
        <v>2.67</v>
      </c>
      <c r="S13" s="8">
        <f>ROUND(SUM(ППД5[[#This Row],[Площадь по проекту жилая]:[Лоджия 3]]),2)</f>
        <v>63.5</v>
      </c>
      <c r="T13" s="8">
        <f>ROUND(ППД5[[#This Row],[Площадь по проекту(общая)]]-ППД5[[#This Row],[Летние]],2)</f>
        <v>60.83</v>
      </c>
      <c r="U13" s="91">
        <f>ROUND(ППД5[[#This Row],[Площадь по проекту(общая)]]-(SUM(ППД5[[#This Row],[Лоджия 1]:[Лоджия 3]])/2),2)</f>
        <v>62.17</v>
      </c>
      <c r="V13" s="91">
        <f>IF(ППД5[[#This Row],[Статус]]="продажа",ППД5[[#This Row],[Расчетная проектная площадь]],ППД5[[#This Row],[Расчетная ТП площадь]])</f>
        <v>62.17</v>
      </c>
      <c r="W13" s="91">
        <v>16.399999999999999</v>
      </c>
      <c r="X13" s="91">
        <v>12.5</v>
      </c>
      <c r="Y13" s="91"/>
      <c r="Z13" s="91">
        <f>SUM(ППД5[[#This Row],[ТП Комната 1]:[ТП Комната 3]])</f>
        <v>28.9</v>
      </c>
      <c r="AA13" s="91">
        <v>17.899999999999999</v>
      </c>
      <c r="AB13" s="91">
        <v>4.3</v>
      </c>
      <c r="AC13" s="91">
        <v>1.5</v>
      </c>
      <c r="AD13" s="91"/>
      <c r="AE13" s="91">
        <v>7.9</v>
      </c>
      <c r="AF13" s="91">
        <v>1.35</v>
      </c>
      <c r="AG13" s="91"/>
      <c r="AH13" s="91"/>
      <c r="AI13" s="91">
        <f>SUM(ППД5[[#This Row],[ТП Лоджия 1]:[ТП Лоджия 3]])</f>
        <v>1.35</v>
      </c>
      <c r="AJ13" s="95">
        <v>2.7</v>
      </c>
      <c r="AK13" s="91">
        <f>SUM(ППД5[[#This Row],[Площадь по ТП жилая]:[ТП Лоджия 3]])-ППД5[[#This Row],[ТП Летние]]+ППД5[[#This Row],[кроме того прочая
(без коэффициента)]]</f>
        <v>63.199999999999996</v>
      </c>
      <c r="AL13" s="95">
        <f>ППД5[[#This Row],[ТП Площадь без летних]]+(ППД5[[#This Row],[ТП Летние]])</f>
        <v>61.849999999999994</v>
      </c>
      <c r="AM13" s="91">
        <f>ППД5[[#This Row],[ТП общая S]]-ППД5[[#This Row],[кроме того прочая
(без коэффициента)]]</f>
        <v>60.499999999999993</v>
      </c>
      <c r="AN13" s="95">
        <f>SUM(ППД5[[#This Row],[ТП Кухня]:[ТП Коридор]])</f>
        <v>31.6</v>
      </c>
      <c r="AO13" s="91">
        <f>ППД5[[#This Row],[Расчетная ТП площадь]]-ППД5[[#This Row],[Расчетная проектная площадь]]</f>
        <v>-0.32000000000000739</v>
      </c>
      <c r="AP13" s="335">
        <f>ППД5[[#This Row],[Расчетная ТП площадь]]/ППД5[[#This Row],[Расчетная проектная площадь]]-1</f>
        <v>-5.1471770950620721E-3</v>
      </c>
      <c r="AQ13" s="91">
        <f>ППД5[[#This Row],[% расхождения]]*ППД5[[#This Row],[Стоимость до скидки]]</f>
        <v>-39345.536432363988</v>
      </c>
      <c r="AR13" s="91">
        <f>VLOOKUP(ППД5[[#This Row],[№]],наценкад5[],COLUMN(наценкад5[[#This Row],[Цена м2 с учетом всех K]]),0)</f>
        <v>81466.150500000003</v>
      </c>
      <c r="AS13" s="8">
        <f>ППД5[[#This Row],[м2 после К]]*5%</f>
        <v>4073.3075250000002</v>
      </c>
      <c r="AT13" s="8">
        <f>ППД5[[#This Row],[м2 после К]]+ППД5[[#This Row],[Повышение 16.08.23 - 5%]]</f>
        <v>85539.458025</v>
      </c>
      <c r="AU13" s="93">
        <f>ППД5[[#This Row],[Фикс 16.08.23]]*3%</f>
        <v>2566.1837407499997</v>
      </c>
      <c r="AV13" s="93">
        <f>ППД5[[#This Row],[Фикс 16.08.23]]+ППД5[[#This Row],[Повышение 29.08.23 - 3%]]</f>
        <v>88105.641765749999</v>
      </c>
      <c r="AW13" s="93"/>
      <c r="AX13" s="93">
        <f>ППД5[[#This Row],[Фикс 29.08.23]]+ППД5[[#This Row],[Повышение 06.09.23 СТ и 1К]]</f>
        <v>88105.641765749999</v>
      </c>
      <c r="AY13" s="93"/>
      <c r="AZ13" s="93">
        <f>ППД5[[#This Row],[Повышение 23.10.23  В4 ]]+ППД5[[#This Row],[Фикс 06.09.23]]</f>
        <v>88105.641765749999</v>
      </c>
      <c r="BA13" s="93"/>
      <c r="BB13" s="93">
        <f>ППД5[[#This Row],[Повышение 8.11.23 1К 5%]]+ППД5[[#This Row],[Фикс 23.10.23]]</f>
        <v>88105.641765749999</v>
      </c>
      <c r="BC13" s="93"/>
      <c r="BD13" s="93">
        <f>ППД5[[#This Row],[Корректировка 24.11.23 - 1К В5, 2К А2, №233]]+ППД5[[#This Row],[Фикс 8.11.23]]</f>
        <v>88105.641765749999</v>
      </c>
      <c r="BE13" s="93">
        <f>ППД5[[#This Row],[Фикс 8.11.24]]*1%</f>
        <v>881.05641765749999</v>
      </c>
      <c r="BF13" s="93">
        <f>ППД5[[#This Row],[Наценка за отделку 29.12.23 1%]]+ППД5[[#This Row],[Фикс 8.11.24]]</f>
        <v>88986.698183407498</v>
      </c>
      <c r="BG13" s="93">
        <f>ППД5[[#This Row],[Фикс 29.12.23]]*5%</f>
        <v>4449.3349091703749</v>
      </c>
      <c r="BH13" s="93">
        <f>ППД5[[#This Row],[Фикс 29.12.23]]+ППД5[[#This Row],[Наценка 10.01.24 5%]]</f>
        <v>93436.033092577869</v>
      </c>
      <c r="BI13" s="93"/>
      <c r="BJ13" s="93">
        <f>ППД5[[#This Row],[Наценка 26.02.24 1 Этаж]]+ППД5[[#This Row],[Фикс 10.01.24]]</f>
        <v>93436.033092577869</v>
      </c>
      <c r="BK13" s="93">
        <f>ППД5[[#This Row],[Фикс 26.02.24]]*2%</f>
        <v>1868.7206618515575</v>
      </c>
      <c r="BL13" s="93">
        <f>ППД5[[#This Row],[Фикс 26.02.24]]+ППД5[[#This Row],[Наценка 06.03.24
СТ, 1К - 3%
2К, 3К - 2%]]</f>
        <v>95304.753754429432</v>
      </c>
      <c r="BM13" s="93"/>
      <c r="BN13" s="93">
        <f>ППД5[[#This Row],[Фикс 06.03.24]]+ППД5[[#This Row],[Наценка Г2+500]]</f>
        <v>95304.753754429432</v>
      </c>
      <c r="BO13" s="93">
        <f>ППД5[[#This Row],[Фикс 13.03.25]]*2%</f>
        <v>1906.0950750885886</v>
      </c>
      <c r="BP13" s="93">
        <f>ППД5[[#This Row],[Фикс 13.03.25]]+ППД5[[#This Row],[Наценка 20.03.24
2К, 3К - 2%]]</f>
        <v>97210.848829518014</v>
      </c>
      <c r="BQ13" s="93"/>
      <c r="BR13" s="93">
        <f>ППД5[[#This Row],[Фикс 20.03.24]]+ППД5[[#This Row],[Наценка 08.04.24 
2К: В3 - 150
3К: Г7 +1000]]</f>
        <v>97210.848829518014</v>
      </c>
      <c r="BS13" s="93"/>
      <c r="BT13" s="93">
        <f>ППД5[[#This Row],[Фикс 08.04.24]]+ППД5[[#This Row],[Наценка 16.05.24 1%
А4,А6,Б3,Б6,Б7,В2,В3,В5,В6,Г1,Г3-Г5]]</f>
        <v>97210.848829518014</v>
      </c>
      <c r="BU13" s="93"/>
      <c r="BV13" s="93">
        <f>ППД5[[#This Row],[Фикс 16.05.24]]+ППД5[[#This Row],[Наценка 24.05.24
1% - Б4, Б5,Г2,Г6
2% - А1,А3,А5,Б2,Г7]]</f>
        <v>97210.848829518014</v>
      </c>
      <c r="BW13" s="93">
        <f>ППД5[[#This Row],[Фикс 24.05.24]]*0.5%</f>
        <v>486.05424414759005</v>
      </c>
      <c r="BX13" s="93">
        <f>ППД5[[#This Row],[Наценка 06.06.24
0К: В2,Г3 +0,5%
1К: А7, Б5/4, Г6 +0,5%
3К: В6 +0,5%
1К: А3 +1%]]+ППД5[[#This Row],[Фикс 24.05.24]]</f>
        <v>97696.903073665599</v>
      </c>
      <c r="BY13" s="93"/>
      <c r="BZ13" s="93">
        <f>ППД5[[#This Row],[Фикс 06.06.24]]+ППД5[[#This Row],[13.06.2024
3К - 2%]]</f>
        <v>97696.903073665599</v>
      </c>
      <c r="CA13" s="93">
        <f>1%*ППД5[[#This Row],[Фикс 13.06.24]]</f>
        <v>976.96903073665601</v>
      </c>
      <c r="CB13" s="93">
        <f>ППД5[[#This Row],[02.07.2024: Г3 А1 А3 Б5 Б7 Г2 Г6 Б3 Б4 В3 Г7 2,5% ост 0,5-1,5%]]+ППД5[[#This Row],[Фикс 13.06.24]]</f>
        <v>98673.872104402253</v>
      </c>
      <c r="CC13" s="93"/>
      <c r="CD13" s="93">
        <f>ППД5[[#This Row],[Фикс 02.07.24]]+ППД5[[#This Row],[04.09.2024 +500
0К - Б2; 1К - А3;
2К - А6, Б4, В3, Г5]]</f>
        <v>98673.872104402253</v>
      </c>
      <c r="CE13" s="93">
        <f>ППД5[[#This Row],[Фикс 04.09.24]]*4%</f>
        <v>3946.9548841760902</v>
      </c>
      <c r="CF13" s="93">
        <f>ППД5[[#This Row],[Наценка 16.09.2024
1К: А1,В7,Г6/7,Г8 - 2%
2К: А4,А5,А6,Б1,Б6,Б3/4,В3,В4,Г4,Г5 - 4%
3К: 4%]]+ППД5[[#This Row],[Фикс 04.09.24]]</f>
        <v>102620.82698857834</v>
      </c>
      <c r="CG13" s="93">
        <f>ППД5[[#This Row],[Фикс 16.09.2024]]*6%</f>
        <v>6157.2496193146999</v>
      </c>
      <c r="CH13" s="93">
        <f>ППД5[[#This Row],[Фикс 16.09.2024]]+ППД5[[#This Row],[Наценка 01.11.24
СТ: 4%
1К: 34-40м 5%; 40м+ 8%; МГН 1%
2К: 55-70м 6%; 70-73м 7%; 73-76м 8% 
3К: 5%]]</f>
        <v>108778.07660789303</v>
      </c>
      <c r="CI13" s="93">
        <f>ППД5[[#This Row],[Фикс 01.11.24]]*13%</f>
        <v>14141.149959026096</v>
      </c>
      <c r="CJ13" s="93">
        <f>ППД5[[#This Row],[Наценка 06.11 13%]]+ППД5[[#This Row],[Фикс 01.11.24]]</f>
        <v>122919.22656691913</v>
      </c>
      <c r="CK13" s="93">
        <v>35</v>
      </c>
      <c r="CL13" s="93">
        <f>ППД5[[#This Row],[Фикс 06.11.24]]+ППД5[[#This Row],[Наценка 18.12.24 распределение КВ]]</f>
        <v>122954.22656691913</v>
      </c>
      <c r="CM13" s="93"/>
      <c r="CN13" s="93">
        <f>ППД5[[#This Row],[Фикс 18.12.24]]+ППД5[[#This Row],[Наценка 10.02.25 +1%
1К: А3
2К: Б3, В3]]</f>
        <v>122954.22656691913</v>
      </c>
      <c r="CO13" s="93">
        <f>ROUND(ППД5[[#This Row],[Фикс 10.02.25]],2)</f>
        <v>122954.23</v>
      </c>
      <c r="CP1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7644100</v>
      </c>
      <c r="CQ13" s="93">
        <f>ROUNDUP(ППД5[[#This Row],[Стоимость до скидки]]+ППД5[[#This Row],[Сумма доплаты]],-2)</f>
        <v>7604800</v>
      </c>
      <c r="CR13" s="68">
        <v>300000</v>
      </c>
      <c r="CS13" s="90">
        <v>0.03</v>
      </c>
      <c r="CT13" s="68">
        <f>ППД5[[#This Row],[Стоимость до скидки]]*ППД5[[#This Row],[Скидка %]]+ППД5[[#This Row],[Скидка фиксированная]]</f>
        <v>529323</v>
      </c>
      <c r="CU13" s="3">
        <f>ППД5[[#This Row],[Стоимость ОН без отделки со скидкой]]/ППД5[[#This Row],[Расчетная проектная площадь]]</f>
        <v>114440.67878397941</v>
      </c>
      <c r="CV13" s="3">
        <f>ROUND(ППД5[[#This Row],[Стоимость до скидки]]-ППД5[[#This Row],[Итоговая сумма скидки]],2)</f>
        <v>7114777</v>
      </c>
      <c r="CW1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13" s="197">
        <v>10000</v>
      </c>
      <c r="CY13" s="332">
        <f>ППД5[[#This Row],[Расхождение]]/ППД5[[#This Row],[Расчетная проектная площадь]]</f>
        <v>-5.1471770950620461E-3</v>
      </c>
      <c r="CZ1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-0.29999999999999716</v>
      </c>
      <c r="DA13" s="3">
        <f>ППД5[[#This Row],[Цена м2 без отделки со скидкой]]+ППД5[[#This Row],[Стоимость отделки]]</f>
        <v>124440.67878397941</v>
      </c>
      <c r="DB13" s="3">
        <f>ППД5[[#This Row],[Стоимость квартиры с отделкой]]-ППД5[[#This Row],[Стоимость ОН без отделки со скидкой]]</f>
        <v>621700</v>
      </c>
      <c r="DC13" s="3">
        <f>ППД5[[#This Row],[Цена м2 с отделкой]]*ППД5[[#This Row],[Расчетная проектная площадь]]</f>
        <v>7736477</v>
      </c>
      <c r="DD13" s="3"/>
      <c r="DE13" s="111" t="s">
        <v>2113</v>
      </c>
      <c r="DF13" s="155" t="s">
        <v>172</v>
      </c>
      <c r="DG13" s="221" t="s">
        <v>172</v>
      </c>
      <c r="DH13" s="100" t="b">
        <f>EXACT(ППД5[[#This Row],[Статусы CRM]],ППД5[[#This Row],[Статус]])</f>
        <v>1</v>
      </c>
      <c r="DI13" s="213" t="s">
        <v>185</v>
      </c>
      <c r="DJ13" s="204"/>
      <c r="DK13" s="111" t="s">
        <v>763</v>
      </c>
      <c r="DL13" s="216" t="s">
        <v>780</v>
      </c>
      <c r="DM13" s="201" t="b">
        <f>ППД5[[#This Row],[Отделка CRM]]=ППД5[[#This Row],[Отделка]]</f>
        <v>1</v>
      </c>
      <c r="DN13" s="203">
        <v>7736477</v>
      </c>
      <c r="DO1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3" s="207" t="b">
        <f>IF(AND(ППД5[[#This Row],[Статус]]="свободно",ППД5[[#This Row],[Итоговая сумма скидки]]&lt;&gt;0),FALSE,TRUE)</f>
        <v>1</v>
      </c>
      <c r="DQ13" s="240">
        <f>_xlfn.XLOOKUP(ППД5[[#This Row],[№]],Юрист[№ кв],Юрист[Дата подачи на регистрацию]," ",0,-1)</f>
        <v>45792</v>
      </c>
      <c r="DR13" s="115" t="str">
        <f>_xlfn.XLOOKUP(ППД5[[#This Row],[№]],Юрист[№ кв],Юрист[МОП],"",0,-1)</f>
        <v>Арефьев</v>
      </c>
      <c r="DS13" s="333" t="s">
        <v>2318</v>
      </c>
      <c r="DT13" s="333" t="s">
        <v>2319</v>
      </c>
      <c r="DU13" s="333">
        <v>60.5</v>
      </c>
      <c r="DV13" s="111"/>
    </row>
    <row r="14" spans="1:137" hidden="1" x14ac:dyDescent="0.25">
      <c r="A14" s="112">
        <v>12</v>
      </c>
      <c r="B14" s="111" t="s">
        <v>5</v>
      </c>
      <c r="C14" s="111">
        <v>2</v>
      </c>
      <c r="D14" s="111">
        <v>6</v>
      </c>
      <c r="E14" s="111">
        <v>2</v>
      </c>
      <c r="F14" s="105">
        <v>14.64</v>
      </c>
      <c r="G14" s="105">
        <v>10.74</v>
      </c>
      <c r="H14" s="105"/>
      <c r="I14" s="94">
        <f>SUM(ППД5[[#This Row],[Комната 1]:[Комната 3]])</f>
        <v>25.380000000000003</v>
      </c>
      <c r="J14" s="105">
        <v>14.35</v>
      </c>
      <c r="K14" s="105">
        <v>4.16</v>
      </c>
      <c r="L14" s="105">
        <v>1.93</v>
      </c>
      <c r="M14" s="105"/>
      <c r="N14" s="105">
        <v>11.03</v>
      </c>
      <c r="O14" s="105">
        <v>2.62</v>
      </c>
      <c r="P14" s="105"/>
      <c r="Q14" s="105"/>
      <c r="R14" s="105">
        <f>SUM(ППД5[[#This Row],[Лоджия 1]:[Лоджия 3]])</f>
        <v>2.62</v>
      </c>
      <c r="S14" s="8">
        <f>ROUND(SUM(ППД5[[#This Row],[Площадь по проекту жилая]:[Лоджия 3]]),2)</f>
        <v>59.47</v>
      </c>
      <c r="T14" s="8">
        <f>ROUND(ППД5[[#This Row],[Площадь по проекту(общая)]]-ППД5[[#This Row],[Летние]],2)</f>
        <v>56.85</v>
      </c>
      <c r="U14" s="91">
        <f>ROUND(ППД5[[#This Row],[Площадь по проекту(общая)]]-(SUM(ППД5[[#This Row],[Лоджия 1]:[Лоджия 3]])/2),2)</f>
        <v>58.16</v>
      </c>
      <c r="V14" s="91">
        <f>IF(ППД5[[#This Row],[Статус]]="продажа",ППД5[[#This Row],[Расчетная проектная площадь]],ППД5[[#This Row],[Расчетная ТП площадь]])</f>
        <v>58.16</v>
      </c>
      <c r="W14" s="91">
        <v>10.8</v>
      </c>
      <c r="X14" s="91">
        <v>14.6</v>
      </c>
      <c r="Y14" s="91"/>
      <c r="Z14" s="91">
        <f>SUM(ППД5[[#This Row],[ТП Комната 1]:[ТП Комната 3]])</f>
        <v>25.4</v>
      </c>
      <c r="AA14" s="91">
        <v>14.3</v>
      </c>
      <c r="AB14" s="91">
        <v>4.2</v>
      </c>
      <c r="AC14" s="91">
        <v>2</v>
      </c>
      <c r="AD14" s="91"/>
      <c r="AE14" s="91">
        <v>11.1</v>
      </c>
      <c r="AF14" s="91">
        <v>1.3</v>
      </c>
      <c r="AG14" s="91"/>
      <c r="AH14" s="91"/>
      <c r="AI14" s="91">
        <f>SUM(ППД5[[#This Row],[ТП Лоджия 1]:[ТП Лоджия 3]])</f>
        <v>1.3</v>
      </c>
      <c r="AJ14" s="95">
        <v>2.6</v>
      </c>
      <c r="AK14" s="91">
        <f>SUM(ППД5[[#This Row],[Площадь по ТП жилая]:[ТП Лоджия 3]])-ППД5[[#This Row],[ТП Летние]]+ППД5[[#This Row],[кроме того прочая
(без коэффициента)]]</f>
        <v>59.600000000000009</v>
      </c>
      <c r="AL14" s="95">
        <f>ППД5[[#This Row],[ТП Площадь без летних]]+(ППД5[[#This Row],[ТП Летние]])</f>
        <v>58.300000000000004</v>
      </c>
      <c r="AM14" s="91">
        <f>ППД5[[#This Row],[ТП общая S]]-ППД5[[#This Row],[кроме того прочая
(без коэффициента)]]</f>
        <v>57.000000000000007</v>
      </c>
      <c r="AN14" s="95">
        <f>SUM(ППД5[[#This Row],[ТП Кухня]:[ТП Коридор]])</f>
        <v>31.6</v>
      </c>
      <c r="AO14" s="91">
        <f>ППД5[[#This Row],[Расчетная ТП площадь]]-ППД5[[#This Row],[Расчетная проектная площадь]]</f>
        <v>0.14000000000000767</v>
      </c>
      <c r="AP14" s="335">
        <f>ППД5[[#This Row],[Расчетная ТП площадь]]/ППД5[[#This Row],[Расчетная проектная площадь]]-1</f>
        <v>2.4071526822559974E-3</v>
      </c>
      <c r="AQ14" s="91">
        <f>ППД5[[#This Row],[% расхождения]]*ППД5[[#This Row],[Стоимость до скидки]]</f>
        <v>12451.707792297895</v>
      </c>
      <c r="AR14" s="91">
        <f>VLOOKUP(ППД5[[#This Row],[№]],наценкад5[],COLUMN(наценкад5[[#This Row],[Цена м2 с учетом всех K]]),0)</f>
        <v>82238.34150000001</v>
      </c>
      <c r="AS14" s="8">
        <f>ППД5[[#This Row],[м2 после К]]*5%</f>
        <v>4111.9170750000003</v>
      </c>
      <c r="AT14" s="8">
        <f>ППД5[[#This Row],[м2 после К]]+ППД5[[#This Row],[Повышение 16.08.23 - 5%]]</f>
        <v>86350.258575000014</v>
      </c>
      <c r="AU14" s="93">
        <f>ППД5[[#This Row],[Фикс 16.08.23]]*3%</f>
        <v>2590.5077572500004</v>
      </c>
      <c r="AV14" s="93">
        <f>ППД5[[#This Row],[Фикс 16.08.23]]+ППД5[[#This Row],[Повышение 29.08.23 - 3%]]</f>
        <v>88940.766332250016</v>
      </c>
      <c r="AW14" s="93"/>
      <c r="AX14" s="93">
        <f>ППД5[[#This Row],[Фикс 29.08.23]]+ППД5[[#This Row],[Повышение 06.09.23 СТ и 1К]]</f>
        <v>88940.766332250016</v>
      </c>
      <c r="AY14" s="93"/>
      <c r="AZ14" s="93">
        <f>ППД5[[#This Row],[Повышение 23.10.23  В4 ]]+ППД5[[#This Row],[Фикс 06.09.23]]</f>
        <v>88940.766332250016</v>
      </c>
      <c r="BA14" s="93"/>
      <c r="BB14" s="93">
        <f>ППД5[[#This Row],[Повышение 8.11.23 1К 5%]]+ППД5[[#This Row],[Фикс 23.10.23]]</f>
        <v>88940.766332250016</v>
      </c>
      <c r="BC14" s="93"/>
      <c r="BD14" s="93">
        <f>ППД5[[#This Row],[Корректировка 24.11.23 - 1К В5, 2К А2, №233]]+ППД5[[#This Row],[Фикс 8.11.23]]</f>
        <v>88940.766332250016</v>
      </c>
      <c r="BE14" s="93"/>
      <c r="BF14" s="93">
        <f>ППД5[[#This Row],[Наценка за отделку 29.12.23 1%]]+ППД5[[#This Row],[Фикс 8.11.24]]</f>
        <v>88940.766332250016</v>
      </c>
      <c r="BG14" s="93"/>
      <c r="BH14" s="93">
        <f>ППД5[[#This Row],[Фикс 29.12.23]]+ППД5[[#This Row],[Наценка 10.01.24 5%]]</f>
        <v>88940.766332250016</v>
      </c>
      <c r="BI14" s="93"/>
      <c r="BJ14" s="93">
        <f>ППД5[[#This Row],[Наценка 26.02.24 1 Этаж]]+ППД5[[#This Row],[Фикс 10.01.24]]</f>
        <v>88940.766332250016</v>
      </c>
      <c r="BK14" s="93"/>
      <c r="BL14" s="93">
        <f>ППД5[[#This Row],[Фикс 26.02.24]]+ППД5[[#This Row],[Наценка 06.03.24
СТ, 1К - 3%
2К, 3К - 2%]]</f>
        <v>88940.766332250016</v>
      </c>
      <c r="BM14" s="93"/>
      <c r="BN14" s="93">
        <f>ППД5[[#This Row],[Фикс 06.03.24]]+ППД5[[#This Row],[Наценка Г2+500]]</f>
        <v>88940.766332250016</v>
      </c>
      <c r="BO14" s="93"/>
      <c r="BP14" s="93">
        <f>ППД5[[#This Row],[Фикс 13.03.25]]+ППД5[[#This Row],[Наценка 20.03.24
2К, 3К - 2%]]</f>
        <v>88940.766332250016</v>
      </c>
      <c r="BQ14" s="93"/>
      <c r="BR14" s="93">
        <f>ППД5[[#This Row],[Фикс 20.03.24]]+ППД5[[#This Row],[Наценка 08.04.24 
2К: В3 - 150
3К: Г7 +1000]]</f>
        <v>88940.766332250016</v>
      </c>
      <c r="BS14" s="93"/>
      <c r="BT14" s="93">
        <f>ППД5[[#This Row],[Фикс 08.04.24]]+ППД5[[#This Row],[Наценка 16.05.24 1%
А4,А6,Б3,Б6,Б7,В2,В3,В5,В6,Г1,Г3-Г5]]</f>
        <v>88940.766332250016</v>
      </c>
      <c r="BU14" s="93"/>
      <c r="BV14" s="93">
        <f>ППД5[[#This Row],[Фикс 16.05.24]]+ППД5[[#This Row],[Наценка 24.05.24
1% - Б4, Б5,Г2,Г6
2% - А1,А3,А5,Б2,Г7]]</f>
        <v>88940.766332250016</v>
      </c>
      <c r="BW14" s="93"/>
      <c r="BX14" s="93">
        <f>ППД5[[#This Row],[Наценка 06.06.24
0К: В2,Г3 +0,5%
1К: А7, Б5/4, Г6 +0,5%
3К: В6 +0,5%
1К: А3 +1%]]+ППД5[[#This Row],[Фикс 24.05.24]]</f>
        <v>88940.766332250016</v>
      </c>
      <c r="BY14" s="93"/>
      <c r="BZ14" s="93">
        <f>ППД5[[#This Row],[Фикс 06.06.24]]+ППД5[[#This Row],[13.06.2024
3К - 2%]]</f>
        <v>88940.766332250016</v>
      </c>
      <c r="CA14" s="93"/>
      <c r="CB14" s="93">
        <f>ППД5[[#This Row],[02.07.2024: Г3 А1 А3 Б5 Б7 Г2 Г6 Б3 Б4 В3 Г7 2,5% ост 0,5-1,5%]]+ППД5[[#This Row],[Фикс 13.06.24]]</f>
        <v>88940.766332250016</v>
      </c>
      <c r="CC14" s="93"/>
      <c r="CD14" s="93">
        <f>ППД5[[#This Row],[Фикс 02.07.24]]+ППД5[[#This Row],[04.09.2024 +500
0К - Б2; 1К - А3;
2К - А6, Б4, В3, Г5]]</f>
        <v>88940.766332250016</v>
      </c>
      <c r="CE14" s="93"/>
      <c r="CF14" s="93">
        <f>ППД5[[#This Row],[Наценка 16.09.2024
1К: А1,В7,Г6/7,Г8 - 2%
2К: А4,А5,А6,Б1,Б6,Б3/4,В3,В4,Г4,Г5 - 4%
3К: 4%]]+ППД5[[#This Row],[Фикс 04.09.24]]</f>
        <v>88940.766332250016</v>
      </c>
      <c r="CG14" s="93"/>
      <c r="CH14" s="93">
        <f>ППД5[[#This Row],[Фикс 16.09.2024]]+ППД5[[#This Row],[Наценка 01.11.24
СТ: 4%
1К: 34-40м 5%; 40м+ 8%; МГН 1%
2К: 55-70м 6%; 70-73м 7%; 73-76м 8% 
3К: 5%]]</f>
        <v>88940.766332250016</v>
      </c>
      <c r="CI14" s="93"/>
      <c r="CJ14" s="93">
        <f>ППД5[[#This Row],[Наценка 06.11 13%]]+ППД5[[#This Row],[Фикс 01.11.24]]</f>
        <v>88940.766332250016</v>
      </c>
      <c r="CK14" s="93"/>
      <c r="CL14" s="93">
        <f>ППД5[[#This Row],[Фикс 06.11.24]]+ППД5[[#This Row],[Наценка 18.12.24 распределение КВ]]</f>
        <v>88940.766332250016</v>
      </c>
      <c r="CM14" s="93"/>
      <c r="CN14" s="93">
        <f>ППД5[[#This Row],[Фикс 18.12.24]]+ППД5[[#This Row],[Наценка 10.02.25 +1%
1К: А3
2К: Б3, В3]]</f>
        <v>88940.766332250016</v>
      </c>
      <c r="CO14" s="93">
        <f>ROUND(ППД5[[#This Row],[Фикс 10.02.25]],2)</f>
        <v>88940.77</v>
      </c>
      <c r="CP1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5172795.18</v>
      </c>
      <c r="CQ14" s="93">
        <f>ROUNDUP(ППД5[[#This Row],[Стоимость до скидки]]+ППД5[[#This Row],[Сумма доплаты]],-2)</f>
        <v>5185300</v>
      </c>
      <c r="CR14" s="68"/>
      <c r="CS14" s="90"/>
      <c r="CT14" s="68">
        <f>ППД5[[#This Row],[Стоимость до скидки]]*ППД5[[#This Row],[Скидка %]]+ППД5[[#This Row],[Скидка фиксированная]]</f>
        <v>0</v>
      </c>
      <c r="CU14" s="3">
        <f>ППД5[[#This Row],[Стоимость ОН без отделки со скидкой]]/ППД5[[#This Row],[Расчетная проектная площадь]]</f>
        <v>88940.769944979373</v>
      </c>
      <c r="CV14" s="3">
        <f>ROUND(ППД5[[#This Row],[Стоимость до скидки]]-ППД5[[#This Row],[Итоговая сумма скидки]],2)</f>
        <v>5172795.18</v>
      </c>
      <c r="CW1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14" s="197">
        <v>7500</v>
      </c>
      <c r="CY14" s="332">
        <f>ППД5[[#This Row],[Расхождение]]/ППД5[[#This Row],[Расчетная проектная площадь]]</f>
        <v>2.4071526822559779E-3</v>
      </c>
      <c r="CZ1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0.13000000000000078</v>
      </c>
      <c r="DA14" s="3">
        <f>ППД5[[#This Row],[Цена м2 без отделки со скидкой]]+ППД5[[#This Row],[Стоимость отделки]]</f>
        <v>96440.769944979373</v>
      </c>
      <c r="DB14" s="3">
        <f>ППД5[[#This Row],[Стоимость квартиры с отделкой]]-ППД5[[#This Row],[Стоимость ОН без отделки со скидкой]]</f>
        <v>436200</v>
      </c>
      <c r="DC14" s="3">
        <f>ППД5[[#This Row],[Цена м2 с отделкой]]*ППД5[[#This Row],[Расчетная проектная площадь]]</f>
        <v>5608995.1799999997</v>
      </c>
      <c r="DD14" s="3"/>
      <c r="DF14" s="199" t="s">
        <v>172</v>
      </c>
      <c r="DG14" s="245" t="s">
        <v>172</v>
      </c>
      <c r="DH14" s="100" t="b">
        <f>EXACT(ППД5[[#This Row],[Статусы CRM]],ППД5[[#This Row],[Статус]])</f>
        <v>1</v>
      </c>
      <c r="DI14" s="213" t="s">
        <v>186</v>
      </c>
      <c r="DJ14" s="204"/>
      <c r="DK14" s="111" t="s">
        <v>76</v>
      </c>
      <c r="DL14" s="216" t="s">
        <v>13</v>
      </c>
      <c r="DM14" s="201" t="b">
        <f>ППД5[[#This Row],[Отделка CRM]]=ППД5[[#This Row],[Отделка]]</f>
        <v>1</v>
      </c>
      <c r="DN14" s="203">
        <v>5608995.1799999997</v>
      </c>
      <c r="DO1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4" s="207" t="b">
        <f>IF(AND(ППД5[[#This Row],[Статус]]="свободно",ППД5[[#This Row],[Итоговая сумма скидки]]&lt;&gt;0),FALSE,TRUE)</f>
        <v>1</v>
      </c>
      <c r="DQ14" s="240">
        <f>_xlfn.XLOOKUP(ППД5[[#This Row],[№]],Юрист[№ кв],Юрист[Дата подачи на регистрацию]," ",0,-1)</f>
        <v>45246</v>
      </c>
      <c r="DR14" s="115" t="str">
        <f>_xlfn.XLOOKUP(ППД5[[#This Row],[№]],Юрист[№ кв],Юрист[МОП],"",0,-1)</f>
        <v>Дик</v>
      </c>
      <c r="DS14" s="333" t="s">
        <v>2320</v>
      </c>
      <c r="DT14" s="333" t="s">
        <v>2321</v>
      </c>
      <c r="DU14" s="333">
        <v>57</v>
      </c>
      <c r="DV14" s="111"/>
    </row>
    <row r="15" spans="1:137" hidden="1" x14ac:dyDescent="0.25">
      <c r="A15" s="112">
        <v>13</v>
      </c>
      <c r="B15" s="111" t="s">
        <v>5</v>
      </c>
      <c r="C15" s="111">
        <v>2</v>
      </c>
      <c r="D15" s="111">
        <v>7</v>
      </c>
      <c r="E15" s="111">
        <v>1</v>
      </c>
      <c r="F15" s="157">
        <v>18.489999999999998</v>
      </c>
      <c r="G15" s="105"/>
      <c r="H15" s="105"/>
      <c r="I15" s="94">
        <f>SUM(ППД5[[#This Row],[Комната 1]:[Комната 3]])</f>
        <v>18.489999999999998</v>
      </c>
      <c r="J15" s="105">
        <v>13.04</v>
      </c>
      <c r="K15" s="105">
        <v>3.9</v>
      </c>
      <c r="L15" s="105"/>
      <c r="M15" s="105"/>
      <c r="N15" s="105">
        <v>5.99</v>
      </c>
      <c r="O15" s="105">
        <v>2.65</v>
      </c>
      <c r="P15" s="105"/>
      <c r="Q15" s="105"/>
      <c r="R15" s="105">
        <f>SUM(ППД5[[#This Row],[Лоджия 1]:[Лоджия 3]])</f>
        <v>2.65</v>
      </c>
      <c r="S15" s="7">
        <f>ROUND(SUM(ППД5[[#This Row],[Площадь по проекту жилая]:[Лоджия 3]]),2)</f>
        <v>44.07</v>
      </c>
      <c r="T15" s="7">
        <f>ROUND(ППД5[[#This Row],[Площадь по проекту(общая)]]-ППД5[[#This Row],[Летние]],2)</f>
        <v>41.42</v>
      </c>
      <c r="U15" s="92">
        <f>ROUND(ППД5[[#This Row],[Площадь по проекту(общая)]]-(SUM(ППД5[[#This Row],[Лоджия 1]:[Лоджия 3]])/2),2)</f>
        <v>42.75</v>
      </c>
      <c r="V15" s="92">
        <f>IF(ППД5[[#This Row],[Статус]]="продажа",ППД5[[#This Row],[Расчетная проектная площадь]],ППД5[[#This Row],[Расчетная ТП площадь]])</f>
        <v>42.75</v>
      </c>
      <c r="W15" s="92">
        <v>18.399999999999999</v>
      </c>
      <c r="X15" s="92"/>
      <c r="Y15" s="92"/>
      <c r="Z15" s="92">
        <f>SUM(ППД5[[#This Row],[ТП Комната 1]:[ТП Комната 3]])</f>
        <v>18.399999999999999</v>
      </c>
      <c r="AA15" s="92">
        <v>12.8</v>
      </c>
      <c r="AB15" s="92">
        <v>3.9</v>
      </c>
      <c r="AC15" s="92"/>
      <c r="AD15" s="92"/>
      <c r="AE15" s="92">
        <v>6.1</v>
      </c>
      <c r="AF15" s="92">
        <v>1.3</v>
      </c>
      <c r="AG15" s="92"/>
      <c r="AH15" s="92"/>
      <c r="AI15" s="91">
        <f>SUM(ППД5[[#This Row],[ТП Лоджия 1]:[ТП Лоджия 3]])</f>
        <v>1.3</v>
      </c>
      <c r="AJ15" s="95">
        <v>2.6</v>
      </c>
      <c r="AK15" s="92">
        <f>SUM(ППД5[[#This Row],[Площадь по ТП жилая]:[ТП Лоджия 3]])-ППД5[[#This Row],[ТП Летние]]+ППД5[[#This Row],[кроме того прочая
(без коэффициента)]]</f>
        <v>43.800000000000004</v>
      </c>
      <c r="AL15" s="95">
        <f>ППД5[[#This Row],[ТП Площадь без летних]]+(ППД5[[#This Row],[ТП Летние]])</f>
        <v>42.5</v>
      </c>
      <c r="AM15" s="92">
        <f>ППД5[[#This Row],[ТП общая S]]-ППД5[[#This Row],[кроме того прочая
(без коэффициента)]]</f>
        <v>41.2</v>
      </c>
      <c r="AN15" s="95">
        <f>SUM(ППД5[[#This Row],[ТП Кухня]:[ТП Коридор]])</f>
        <v>22.799999999999997</v>
      </c>
      <c r="AO15" s="91">
        <f>ППД5[[#This Row],[Расчетная ТП площадь]]-ППД5[[#This Row],[Расчетная проектная площадь]]</f>
        <v>-0.25</v>
      </c>
      <c r="AP15" s="335">
        <f>ППД5[[#This Row],[Расчетная ТП площадь]]/ППД5[[#This Row],[Расчетная проектная площадь]]-1</f>
        <v>-5.8479532163743242E-3</v>
      </c>
      <c r="AQ15" s="92">
        <f>ППД5[[#This Row],[% расхождения]]*ППД5[[#This Row],[Стоимость до скидки]]</f>
        <v>-23834.385029239991</v>
      </c>
      <c r="AR15" s="92">
        <f>VLOOKUP(ППД5[[#This Row],[№]],наценкад5[],COLUMN(наценкад5[[#This Row],[Цена м2 с учетом всех K]]),0)</f>
        <v>84762.5625</v>
      </c>
      <c r="AS15" s="7">
        <f>ППД5[[#This Row],[м2 после К]]*5%</f>
        <v>4238.1281250000002</v>
      </c>
      <c r="AT15" s="7">
        <f>ППД5[[#This Row],[м2 после К]]+ППД5[[#This Row],[Повышение 16.08.23 - 5%]]</f>
        <v>89000.690625000003</v>
      </c>
      <c r="AU15" s="9">
        <f>ППД5[[#This Row],[Фикс 16.08.23]]*3%</f>
        <v>2670.02071875</v>
      </c>
      <c r="AV15" s="9">
        <f>ППД5[[#This Row],[Фикс 16.08.23]]+ППД5[[#This Row],[Повышение 29.08.23 - 3%]]</f>
        <v>91670.711343750008</v>
      </c>
      <c r="AW15" s="93">
        <f>ППД5[[#This Row],[Фикс 29.08.23]]*4%</f>
        <v>3666.8284537500003</v>
      </c>
      <c r="AX15" s="9">
        <f>ППД5[[#This Row],[Фикс 29.08.23]]+ППД5[[#This Row],[Повышение 06.09.23 СТ и 1К]]</f>
        <v>95337.539797500009</v>
      </c>
      <c r="AY15" s="9"/>
      <c r="AZ15" s="9">
        <f>ППД5[[#This Row],[Повышение 23.10.23  В4 ]]+ППД5[[#This Row],[Фикс 06.09.23]]</f>
        <v>95337.539797500009</v>
      </c>
      <c r="BA15" s="9"/>
      <c r="BB15" s="9">
        <f>ППД5[[#This Row],[Повышение 8.11.23 1К 5%]]+ППД5[[#This Row],[Фикс 23.10.23]]</f>
        <v>95337.539797500009</v>
      </c>
      <c r="BC15" s="9"/>
      <c r="BD15" s="9">
        <f>ППД5[[#This Row],[Корректировка 24.11.23 - 1К В5, 2К А2, №233]]+ППД5[[#This Row],[Фикс 8.11.23]]</f>
        <v>95337.539797500009</v>
      </c>
      <c r="BE15" s="9"/>
      <c r="BF15" s="9">
        <f>ППД5[[#This Row],[Наценка за отделку 29.12.23 1%]]+ППД5[[#This Row],[Фикс 8.11.24]]</f>
        <v>95337.539797500009</v>
      </c>
      <c r="BG15" s="9"/>
      <c r="BH15" s="9">
        <f>ППД5[[#This Row],[Фикс 29.12.23]]+ППД5[[#This Row],[Наценка 10.01.24 5%]]</f>
        <v>95337.539797500009</v>
      </c>
      <c r="BI15" s="9"/>
      <c r="BJ15" s="9">
        <f>ППД5[[#This Row],[Наценка 26.02.24 1 Этаж]]+ППД5[[#This Row],[Фикс 10.01.24]]</f>
        <v>95337.539797500009</v>
      </c>
      <c r="BK15" s="93"/>
      <c r="BL15" s="9">
        <f>ППД5[[#This Row],[Фикс 26.02.24]]+ППД5[[#This Row],[Наценка 06.03.24
СТ, 1К - 3%
2К, 3К - 2%]]</f>
        <v>95337.539797500009</v>
      </c>
      <c r="BM15" s="9"/>
      <c r="BN15" s="9">
        <f>ППД5[[#This Row],[Фикс 06.03.24]]+ППД5[[#This Row],[Наценка Г2+500]]</f>
        <v>95337.539797500009</v>
      </c>
      <c r="BO15" s="9"/>
      <c r="BP15" s="9">
        <f>ППД5[[#This Row],[Фикс 13.03.25]]+ППД5[[#This Row],[Наценка 20.03.24
2К, 3К - 2%]]</f>
        <v>95337.539797500009</v>
      </c>
      <c r="BQ15" s="9"/>
      <c r="BR15" s="9">
        <f>ППД5[[#This Row],[Фикс 20.03.24]]+ППД5[[#This Row],[Наценка 08.04.24 
2К: В3 - 150
3К: Г7 +1000]]</f>
        <v>95337.539797500009</v>
      </c>
      <c r="BS15" s="9"/>
      <c r="BT15" s="9">
        <f>ППД5[[#This Row],[Фикс 08.04.24]]+ППД5[[#This Row],[Наценка 16.05.24 1%
А4,А6,Б3,Б6,Б7,В2,В3,В5,В6,Г1,Г3-Г5]]</f>
        <v>95337.539797500009</v>
      </c>
      <c r="BU15" s="9"/>
      <c r="BV15" s="9">
        <f>ППД5[[#This Row],[Фикс 16.05.24]]+ППД5[[#This Row],[Наценка 24.05.24
1% - Б4, Б5,Г2,Г6
2% - А1,А3,А5,Б2,Г7]]</f>
        <v>95337.539797500009</v>
      </c>
      <c r="BW15" s="9"/>
      <c r="BX15" s="9">
        <f>ППД5[[#This Row],[Наценка 06.06.24
0К: В2,Г3 +0,5%
1К: А7, Б5/4, Г6 +0,5%
3К: В6 +0,5%
1К: А3 +1%]]+ППД5[[#This Row],[Фикс 24.05.24]]</f>
        <v>95337.539797500009</v>
      </c>
      <c r="BY15" s="9"/>
      <c r="BZ15" s="9">
        <f>ППД5[[#This Row],[Фикс 06.06.24]]+ППД5[[#This Row],[13.06.2024
3К - 2%]]</f>
        <v>95337.539797500009</v>
      </c>
      <c r="CA15" s="9"/>
      <c r="CB15" s="9">
        <f>ППД5[[#This Row],[02.07.2024: Г3 А1 А3 Б5 Б7 Г2 Г6 Б3 Б4 В3 Г7 2,5% ост 0,5-1,5%]]+ППД5[[#This Row],[Фикс 13.06.24]]</f>
        <v>95337.539797500009</v>
      </c>
      <c r="CC15" s="9"/>
      <c r="CD15" s="9">
        <f>ППД5[[#This Row],[Фикс 02.07.24]]+ППД5[[#This Row],[04.09.2024 +500
0К - Б2; 1К - А3;
2К - А6, Б4, В3, Г5]]</f>
        <v>95337.539797500009</v>
      </c>
      <c r="CE15" s="9"/>
      <c r="CF15" s="9">
        <f>ППД5[[#This Row],[Наценка 16.09.2024
1К: А1,В7,Г6/7,Г8 - 2%
2К: А4,А5,А6,Б1,Б6,Б3/4,В3,В4,Г4,Г5 - 4%
3К: 4%]]+ППД5[[#This Row],[Фикс 04.09.24]]</f>
        <v>95337.539797500009</v>
      </c>
      <c r="CG15" s="9"/>
      <c r="CH15" s="9">
        <f>ППД5[[#This Row],[Фикс 16.09.2024]]+ППД5[[#This Row],[Наценка 01.11.24
СТ: 4%
1К: 34-40м 5%; 40м+ 8%; МГН 1%
2К: 55-70м 6%; 70-73м 7%; 73-76м 8% 
3К: 5%]]</f>
        <v>95337.539797500009</v>
      </c>
      <c r="CI15" s="9"/>
      <c r="CJ15" s="9">
        <f>ППД5[[#This Row],[Наценка 06.11 13%]]+ППД5[[#This Row],[Фикс 01.11.24]]</f>
        <v>95337.539797500009</v>
      </c>
      <c r="CK15" s="9"/>
      <c r="CL15" s="9">
        <f>ППД5[[#This Row],[Фикс 06.11.24]]+ППД5[[#This Row],[Наценка 18.12.24 распределение КВ]]</f>
        <v>95337.539797500009</v>
      </c>
      <c r="CM15" s="9"/>
      <c r="CN15" s="9">
        <f>ППД5[[#This Row],[Фикс 18.12.24]]+ППД5[[#This Row],[Наценка 10.02.25 +1%
1К: А3
2К: Б3, В3]]</f>
        <v>95337.539797500009</v>
      </c>
      <c r="CO15" s="9">
        <f>ROUND(ППД5[[#This Row],[Фикс 10.02.25]],2)</f>
        <v>95337.54</v>
      </c>
      <c r="CP15" s="9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4075679.84</v>
      </c>
      <c r="CQ15" s="9">
        <f>ROUNDUP(ППД5[[#This Row],[Стоимость до скидки]]+ППД5[[#This Row],[Сумма доплаты]],-2)</f>
        <v>4051900</v>
      </c>
      <c r="CR15" s="68"/>
      <c r="CS15" s="90"/>
      <c r="CT15" s="68">
        <f>ППД5[[#This Row],[Стоимость до скидки]]*ППД5[[#This Row],[Скидка %]]+ППД5[[#This Row],[Скидка фиксированная]]</f>
        <v>0</v>
      </c>
      <c r="CU15" s="3">
        <f>ППД5[[#This Row],[Стоимость ОН без отделки со скидкой]]/ППД5[[#This Row],[Расчетная проектная площадь]]</f>
        <v>95337.540116959062</v>
      </c>
      <c r="CV15" s="3">
        <f>ROUND(ППД5[[#This Row],[Стоимость до скидки]]-ППД5[[#This Row],[Итоговая сумма скидки]],2)</f>
        <v>4075679.84</v>
      </c>
      <c r="CW1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15" s="197">
        <v>7500</v>
      </c>
      <c r="CY15" s="332">
        <f>ППД5[[#This Row],[Расхождение]]/ППД5[[#This Row],[Расчетная проектная площадь]]</f>
        <v>-5.8479532163742687E-3</v>
      </c>
      <c r="CZ1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-0.13000000000000433</v>
      </c>
      <c r="DA15" s="3">
        <f>ППД5[[#This Row],[Цена м2 без отделки со скидкой]]+ППД5[[#This Row],[Стоимость отделки]]</f>
        <v>102837.54011695906</v>
      </c>
      <c r="DB15" s="3">
        <f>ППД5[[#This Row],[Стоимость квартиры с отделкой]]-ППД5[[#This Row],[Стоимость ОН без отделки со скидкой]]</f>
        <v>320625</v>
      </c>
      <c r="DC15" s="3">
        <f>ППД5[[#This Row],[Цена м2 с отделкой]]*ППД5[[#This Row],[Расчетная проектная площадь]]</f>
        <v>4396304.84</v>
      </c>
      <c r="DD15" s="3"/>
      <c r="DF15" s="199" t="s">
        <v>172</v>
      </c>
      <c r="DG15" s="245" t="s">
        <v>172</v>
      </c>
      <c r="DH15" s="100" t="b">
        <f>EXACT(ППД5[[#This Row],[Статусы CRM]],ППД5[[#This Row],[Статус]])</f>
        <v>1</v>
      </c>
      <c r="DI15" s="213" t="s">
        <v>187</v>
      </c>
      <c r="DJ15" s="204"/>
      <c r="DK15" s="111" t="s">
        <v>76</v>
      </c>
      <c r="DL15" s="216" t="s">
        <v>13</v>
      </c>
      <c r="DM15" s="201" t="b">
        <f>ППД5[[#This Row],[Отделка CRM]]=ППД5[[#This Row],[Отделка]]</f>
        <v>1</v>
      </c>
      <c r="DN15" s="203">
        <v>4396304.84</v>
      </c>
      <c r="DO1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5" s="207" t="b">
        <f>IF(AND(ППД5[[#This Row],[Статус]]="свободно",ППД5[[#This Row],[Итоговая сумма скидки]]&lt;&gt;0),FALSE,TRUE)</f>
        <v>1</v>
      </c>
      <c r="DQ15" s="240">
        <f>_xlfn.XLOOKUP(ППД5[[#This Row],[№]],Юрист[№ кв],Юрист[Дата подачи на регистрацию]," ",0,-1)</f>
        <v>45275</v>
      </c>
      <c r="DR15" s="115" t="str">
        <f>_xlfn.XLOOKUP(ППД5[[#This Row],[№]],Юрист[№ кв],Юрист[МОП],"",0,-1)</f>
        <v>Дик</v>
      </c>
      <c r="DS15" s="333" t="s">
        <v>2322</v>
      </c>
      <c r="DT15" s="333" t="s">
        <v>2323</v>
      </c>
      <c r="DU15" s="333">
        <v>41.2</v>
      </c>
      <c r="DV15" s="111"/>
    </row>
    <row r="16" spans="1:137" hidden="1" x14ac:dyDescent="0.25">
      <c r="A16" s="112">
        <v>14</v>
      </c>
      <c r="B16" s="111" t="s">
        <v>5</v>
      </c>
      <c r="C16" s="111">
        <v>3</v>
      </c>
      <c r="D16" s="338">
        <v>1</v>
      </c>
      <c r="E16" s="111">
        <v>1</v>
      </c>
      <c r="F16" s="105">
        <v>14.68</v>
      </c>
      <c r="G16" s="105"/>
      <c r="H16" s="105"/>
      <c r="I16" s="94">
        <f>SUM(ППД5[[#This Row],[Комната 1]:[Комната 3]])</f>
        <v>14.68</v>
      </c>
      <c r="J16" s="1">
        <v>9.84</v>
      </c>
      <c r="K16" s="105">
        <v>3.63</v>
      </c>
      <c r="L16" s="105"/>
      <c r="M16" s="105"/>
      <c r="N16" s="105">
        <v>4.8899999999999997</v>
      </c>
      <c r="O16" s="105">
        <v>2.7</v>
      </c>
      <c r="P16" s="105"/>
      <c r="Q16" s="105"/>
      <c r="R16" s="105">
        <f>SUM(ППД5[[#This Row],[Лоджия 1]:[Лоджия 3]])</f>
        <v>2.7</v>
      </c>
      <c r="S16" s="7">
        <f>ROUND(SUM(ППД5[[#This Row],[Площадь по проекту жилая]:[Лоджия 3]]),2)</f>
        <v>35.74</v>
      </c>
      <c r="T16" s="7">
        <f>ROUND(ППД5[[#This Row],[Площадь по проекту(общая)]]-ППД5[[#This Row],[Летние]],2)</f>
        <v>33.04</v>
      </c>
      <c r="U16" s="92">
        <f>ROUND(ППД5[[#This Row],[Площадь по проекту(общая)]]-(SUM(ППД5[[#This Row],[Лоджия 1]:[Лоджия 3]])/2),2)</f>
        <v>34.39</v>
      </c>
      <c r="V16" s="92">
        <f>IF(ППД5[[#This Row],[Статус]]="продажа",ППД5[[#This Row],[Расчетная проектная площадь]],ППД5[[#This Row],[Расчетная ТП площадь]])</f>
        <v>34.39</v>
      </c>
      <c r="W16" s="92">
        <v>14.7</v>
      </c>
      <c r="X16" s="92"/>
      <c r="Y16" s="92"/>
      <c r="Z16" s="92">
        <f>SUM(ППД5[[#This Row],[ТП Комната 1]:[ТП Комната 3]])</f>
        <v>14.7</v>
      </c>
      <c r="AA16" s="92">
        <v>9.8000000000000007</v>
      </c>
      <c r="AB16" s="92">
        <v>3.7</v>
      </c>
      <c r="AC16" s="92"/>
      <c r="AD16" s="92"/>
      <c r="AE16" s="92">
        <v>4.9000000000000004</v>
      </c>
      <c r="AF16" s="91">
        <v>1.35</v>
      </c>
      <c r="AG16" s="92"/>
      <c r="AH16" s="92"/>
      <c r="AI16" s="91">
        <f>SUM(ППД5[[#This Row],[ТП Лоджия 1]:[ТП Лоджия 3]])</f>
        <v>1.35</v>
      </c>
      <c r="AJ16" s="95">
        <v>2.7</v>
      </c>
      <c r="AK16" s="92">
        <f>SUM(ППД5[[#This Row],[Площадь по ТП жилая]:[ТП Лоджия 3]])-ППД5[[#This Row],[ТП Летние]]+ППД5[[#This Row],[кроме того прочая
(без коэффициента)]]</f>
        <v>35.800000000000004</v>
      </c>
      <c r="AL16" s="95">
        <f>ППД5[[#This Row],[ТП Площадь без летних]]+(ППД5[[#This Row],[ТП Летние]])</f>
        <v>34.450000000000003</v>
      </c>
      <c r="AM16" s="92">
        <f>ППД5[[#This Row],[ТП общая S]]-ППД5[[#This Row],[кроме того прочая
(без коэффициента)]]</f>
        <v>33.1</v>
      </c>
      <c r="AN16" s="95">
        <f>SUM(ППД5[[#This Row],[ТП Кухня]:[ТП Коридор]])</f>
        <v>18.399999999999999</v>
      </c>
      <c r="AO16" s="91">
        <f>ППД5[[#This Row],[Расчетная ТП площадь]]-ППД5[[#This Row],[Расчетная проектная площадь]]</f>
        <v>6.0000000000002274E-2</v>
      </c>
      <c r="AP16" s="335">
        <f>ППД5[[#This Row],[Расчетная ТП площадь]]/ППД5[[#This Row],[Расчетная проектная площадь]]-1</f>
        <v>1.7446932247746627E-3</v>
      </c>
      <c r="AQ16" s="92">
        <f>ППД5[[#This Row],[% расхождения]]*ППД5[[#This Row],[Стоимость до скидки]]</f>
        <v>5263.3902064554213</v>
      </c>
      <c r="AR16" s="92">
        <f>VLOOKUP(ППД5[[#This Row],[№]],наценкад5[],COLUMN(наценкад5[[#This Row],[Цена м2 с учетом всех K]]),0)</f>
        <v>83545.875</v>
      </c>
      <c r="AS16" s="7">
        <f>ППД5[[#This Row],[м2 после К]]*5%</f>
        <v>4177.2937499999998</v>
      </c>
      <c r="AT16" s="7">
        <f>ППД5[[#This Row],[м2 после К]]+ППД5[[#This Row],[Повышение 16.08.23 - 5%]]</f>
        <v>87723.168749999997</v>
      </c>
      <c r="AU16" s="9"/>
      <c r="AV16" s="9">
        <f>ППД5[[#This Row],[Фикс 16.08.23]]+ППД5[[#This Row],[Повышение 29.08.23 - 3%]]</f>
        <v>87723.168749999997</v>
      </c>
      <c r="AW16" s="9"/>
      <c r="AX16" s="9">
        <f>ППД5[[#This Row],[Фикс 29.08.23]]+ППД5[[#This Row],[Повышение 06.09.23 СТ и 1К]]</f>
        <v>87723.168749999997</v>
      </c>
      <c r="AY16" s="9"/>
      <c r="AZ16" s="9">
        <f>ППД5[[#This Row],[Повышение 23.10.23  В4 ]]+ППД5[[#This Row],[Фикс 06.09.23]]</f>
        <v>87723.168749999997</v>
      </c>
      <c r="BA16" s="9"/>
      <c r="BB16" s="9">
        <f>ППД5[[#This Row],[Повышение 8.11.23 1К 5%]]+ППД5[[#This Row],[Фикс 23.10.23]]</f>
        <v>87723.168749999997</v>
      </c>
      <c r="BC16" s="9"/>
      <c r="BD16" s="9">
        <f>ППД5[[#This Row],[Корректировка 24.11.23 - 1К В5, 2К А2, №233]]+ППД5[[#This Row],[Фикс 8.11.23]]</f>
        <v>87723.168749999997</v>
      </c>
      <c r="BE16" s="9"/>
      <c r="BF16" s="9">
        <f>ППД5[[#This Row],[Наценка за отделку 29.12.23 1%]]+ППД5[[#This Row],[Фикс 8.11.24]]</f>
        <v>87723.168749999997</v>
      </c>
      <c r="BG16" s="9"/>
      <c r="BH16" s="9">
        <f>ППД5[[#This Row],[Фикс 29.12.23]]+ППД5[[#This Row],[Наценка 10.01.24 5%]]</f>
        <v>87723.168749999997</v>
      </c>
      <c r="BI16" s="9"/>
      <c r="BJ16" s="9">
        <f>ППД5[[#This Row],[Наценка 26.02.24 1 Этаж]]+ППД5[[#This Row],[Фикс 10.01.24]]</f>
        <v>87723.168749999997</v>
      </c>
      <c r="BK16" s="93"/>
      <c r="BL16" s="9">
        <f>ППД5[[#This Row],[Фикс 26.02.24]]+ППД5[[#This Row],[Наценка 06.03.24
СТ, 1К - 3%
2К, 3К - 2%]]</f>
        <v>87723.168749999997</v>
      </c>
      <c r="BM16" s="9"/>
      <c r="BN16" s="9">
        <f>ППД5[[#This Row],[Фикс 06.03.24]]+ППД5[[#This Row],[Наценка Г2+500]]</f>
        <v>87723.168749999997</v>
      </c>
      <c r="BO16" s="9"/>
      <c r="BP16" s="9">
        <f>ППД5[[#This Row],[Фикс 13.03.25]]+ППД5[[#This Row],[Наценка 20.03.24
2К, 3К - 2%]]</f>
        <v>87723.168749999997</v>
      </c>
      <c r="BQ16" s="9"/>
      <c r="BR16" s="9">
        <f>ППД5[[#This Row],[Фикс 20.03.24]]+ППД5[[#This Row],[Наценка 08.04.24 
2К: В3 - 150
3К: Г7 +1000]]</f>
        <v>87723.168749999997</v>
      </c>
      <c r="BS16" s="9"/>
      <c r="BT16" s="9">
        <f>ППД5[[#This Row],[Фикс 08.04.24]]+ППД5[[#This Row],[Наценка 16.05.24 1%
А4,А6,Б3,Б6,Б7,В2,В3,В5,В6,Г1,Г3-Г5]]</f>
        <v>87723.168749999997</v>
      </c>
      <c r="BU16" s="9"/>
      <c r="BV16" s="9">
        <f>ППД5[[#This Row],[Фикс 16.05.24]]+ППД5[[#This Row],[Наценка 24.05.24
1% - Б4, Б5,Г2,Г6
2% - А1,А3,А5,Б2,Г7]]</f>
        <v>87723.168749999997</v>
      </c>
      <c r="BW16" s="9"/>
      <c r="BX16" s="9">
        <f>ППД5[[#This Row],[Наценка 06.06.24
0К: В2,Г3 +0,5%
1К: А7, Б5/4, Г6 +0,5%
3К: В6 +0,5%
1К: А3 +1%]]+ППД5[[#This Row],[Фикс 24.05.24]]</f>
        <v>87723.168749999997</v>
      </c>
      <c r="BY16" s="9"/>
      <c r="BZ16" s="9">
        <f>ППД5[[#This Row],[Фикс 06.06.24]]+ППД5[[#This Row],[13.06.2024
3К - 2%]]</f>
        <v>87723.168749999997</v>
      </c>
      <c r="CA16" s="9"/>
      <c r="CB16" s="9">
        <f>ППД5[[#This Row],[02.07.2024: Г3 А1 А3 Б5 Б7 Г2 Г6 Б3 Б4 В3 Г7 2,5% ост 0,5-1,5%]]+ППД5[[#This Row],[Фикс 13.06.24]]</f>
        <v>87723.168749999997</v>
      </c>
      <c r="CC16" s="9"/>
      <c r="CD16" s="9">
        <f>ППД5[[#This Row],[Фикс 02.07.24]]+ППД5[[#This Row],[04.09.2024 +500
0К - Б2; 1К - А3;
2К - А6, Б4, В3, Г5]]</f>
        <v>87723.168749999997</v>
      </c>
      <c r="CE16" s="9"/>
      <c r="CF16" s="9">
        <f>ППД5[[#This Row],[Наценка 16.09.2024
1К: А1,В7,Г6/7,Г8 - 2%
2К: А4,А5,А6,Б1,Б6,Б3/4,В3,В4,Г4,Г5 - 4%
3К: 4%]]+ППД5[[#This Row],[Фикс 04.09.24]]</f>
        <v>87723.168749999997</v>
      </c>
      <c r="CG16" s="9"/>
      <c r="CH16" s="9">
        <f>ППД5[[#This Row],[Фикс 16.09.2024]]+ППД5[[#This Row],[Наценка 01.11.24
СТ: 4%
1К: 34-40м 5%; 40м+ 8%; МГН 1%
2К: 55-70м 6%; 70-73м 7%; 73-76м 8% 
3К: 5%]]</f>
        <v>87723.168749999997</v>
      </c>
      <c r="CI16" s="9"/>
      <c r="CJ16" s="9">
        <f>ППД5[[#This Row],[Наценка 06.11 13%]]+ППД5[[#This Row],[Фикс 01.11.24]]</f>
        <v>87723.168749999997</v>
      </c>
      <c r="CK16" s="9"/>
      <c r="CL16" s="9">
        <f>ППД5[[#This Row],[Фикс 06.11.24]]+ППД5[[#This Row],[Наценка 18.12.24 распределение КВ]]</f>
        <v>87723.168749999997</v>
      </c>
      <c r="CM16" s="9"/>
      <c r="CN16" s="9">
        <f>ППД5[[#This Row],[Фикс 18.12.24]]+ППД5[[#This Row],[Наценка 10.02.25 +1%
1К: А3
2К: Б3, В3]]</f>
        <v>87723.168749999997</v>
      </c>
      <c r="CO16" s="9">
        <f>ROUND(ППД5[[#This Row],[Фикс 10.02.25]],2)</f>
        <v>87723.17</v>
      </c>
      <c r="CP16" s="9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3016799.82</v>
      </c>
      <c r="CQ16" s="9">
        <f>ROUNDUP(ППД5[[#This Row],[Стоимость до скидки]]+ППД5[[#This Row],[Сумма доплаты]],-2)</f>
        <v>3022100</v>
      </c>
      <c r="CR16" s="89"/>
      <c r="CS16" s="90"/>
      <c r="CT16" s="68">
        <f>ППД5[[#This Row],[Стоимость до скидки]]*ППД5[[#This Row],[Скидка %]]+ППД5[[#This Row],[Скидка фиксированная]]</f>
        <v>0</v>
      </c>
      <c r="CU16" s="3">
        <f>ППД5[[#This Row],[Стоимость ОН без отделки со скидкой]]/ППД5[[#This Row],[Расчетная проектная площадь]]</f>
        <v>87723.170107589409</v>
      </c>
      <c r="CV16" s="3">
        <f>ROUND(ППД5[[#This Row],[Стоимость до скидки]]-ППД5[[#This Row],[Итоговая сумма скидки]],2)</f>
        <v>3016799.82</v>
      </c>
      <c r="CW1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6" s="197"/>
      <c r="CY16" s="332">
        <f>ППД5[[#This Row],[Расхождение]]/ППД5[[#This Row],[Расчетная проектная площадь]]</f>
        <v>1.74469322477471E-3</v>
      </c>
      <c r="CZ1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3.9999999999999147E-2</v>
      </c>
      <c r="DA16" s="3">
        <f>ППД5[[#This Row],[Цена м2 без отделки со скидкой]]+ППД5[[#This Row],[Стоимость отделки]]</f>
        <v>87723.170107589409</v>
      </c>
      <c r="DB16" s="3">
        <f>ППД5[[#This Row],[Стоимость квартиры с отделкой]]-ППД5[[#This Row],[Стоимость ОН без отделки со скидкой]]</f>
        <v>0</v>
      </c>
      <c r="DC16" s="3">
        <f>ППД5[[#This Row],[Цена м2 с отделкой]]*ППД5[[#This Row],[Расчетная проектная площадь]]</f>
        <v>3016799.82</v>
      </c>
      <c r="DD16" s="3" t="s">
        <v>154</v>
      </c>
      <c r="DF16" s="199" t="s">
        <v>172</v>
      </c>
      <c r="DG16" s="245" t="s">
        <v>172</v>
      </c>
      <c r="DH16" s="100" t="b">
        <f>EXACT(ППД5[[#This Row],[Статусы CRM]],ППД5[[#This Row],[Статус]])</f>
        <v>1</v>
      </c>
      <c r="DI16" s="213" t="s">
        <v>188</v>
      </c>
      <c r="DJ16" s="204"/>
      <c r="DK16" s="111" t="s">
        <v>76</v>
      </c>
      <c r="DL16" s="216" t="s">
        <v>12</v>
      </c>
      <c r="DM16" s="201" t="b">
        <f>ППД5[[#This Row],[Отделка CRM]]=ППД5[[#This Row],[Отделка]]</f>
        <v>1</v>
      </c>
      <c r="DN16" s="203">
        <v>3016799.82</v>
      </c>
      <c r="DO1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6" s="207" t="b">
        <f>IF(AND(ППД5[[#This Row],[Статус]]="свободно",ППД5[[#This Row],[Итоговая сумма скидки]]&lt;&gt;0),FALSE,TRUE)</f>
        <v>1</v>
      </c>
      <c r="DQ16" s="240">
        <f>_xlfn.XLOOKUP(ППД5[[#This Row],[№]],Юрист[№ кв],Юрист[Дата подачи на регистрацию]," ",0,-1)</f>
        <v>45188</v>
      </c>
      <c r="DR16" s="115" t="str">
        <f>_xlfn.XLOOKUP(ППД5[[#This Row],[№]],Юрист[№ кв],Юрист[МОП],"",0,-1)</f>
        <v>Калачева</v>
      </c>
      <c r="DS16" s="333" t="s">
        <v>2324</v>
      </c>
      <c r="DT16" s="333" t="s">
        <v>2325</v>
      </c>
      <c r="DU16" s="333">
        <v>33.1</v>
      </c>
      <c r="DV16" s="111"/>
    </row>
    <row r="17" spans="1:126" hidden="1" x14ac:dyDescent="0.25">
      <c r="A17" s="112">
        <v>15</v>
      </c>
      <c r="B17" s="111" t="s">
        <v>5</v>
      </c>
      <c r="C17" s="111">
        <v>3</v>
      </c>
      <c r="D17" s="111">
        <v>2</v>
      </c>
      <c r="E17" s="111">
        <v>2</v>
      </c>
      <c r="F17" s="105">
        <v>15.82</v>
      </c>
      <c r="G17" s="156">
        <v>15.54</v>
      </c>
      <c r="H17" s="105"/>
      <c r="I17" s="94">
        <f>SUM(ППД5[[#This Row],[Комната 1]:[Комната 3]])</f>
        <v>31.36</v>
      </c>
      <c r="J17" s="105">
        <v>19.440000000000001</v>
      </c>
      <c r="K17" s="105">
        <v>4.42</v>
      </c>
      <c r="L17" s="105"/>
      <c r="M17" s="105">
        <v>3.25</v>
      </c>
      <c r="N17" s="105">
        <v>8.5299999999999994</v>
      </c>
      <c r="O17" s="105">
        <v>3</v>
      </c>
      <c r="P17" s="105"/>
      <c r="Q17" s="105"/>
      <c r="R17" s="105">
        <f>SUM(ППД5[[#This Row],[Лоджия 1]:[Лоджия 3]])</f>
        <v>3</v>
      </c>
      <c r="S17" s="7">
        <f>ROUND(SUM(ППД5[[#This Row],[Площадь по проекту жилая]:[Лоджия 3]]),2)</f>
        <v>70</v>
      </c>
      <c r="T17" s="7">
        <f>ROUND(ППД5[[#This Row],[Площадь по проекту(общая)]]-ППД5[[#This Row],[Летние]],2)</f>
        <v>67</v>
      </c>
      <c r="U17" s="92">
        <f>ROUND(ППД5[[#This Row],[Площадь по проекту(общая)]]-(SUM(ППД5[[#This Row],[Лоджия 1]:[Лоджия 3]])/2),2)</f>
        <v>68.5</v>
      </c>
      <c r="V17" s="92">
        <f>IF(ППД5[[#This Row],[Статус]]="продажа",ППД5[[#This Row],[Расчетная проектная площадь]],ППД5[[#This Row],[Расчетная ТП площадь]])</f>
        <v>68.150000000000006</v>
      </c>
      <c r="W17" s="92">
        <v>15.6</v>
      </c>
      <c r="X17" s="92">
        <v>15.8</v>
      </c>
      <c r="Y17" s="92"/>
      <c r="Z17" s="92">
        <f>SUM(ППД5[[#This Row],[ТП Комната 1]:[ТП Комната 3]])</f>
        <v>31.4</v>
      </c>
      <c r="AA17" s="92">
        <v>19</v>
      </c>
      <c r="AB17" s="92">
        <v>4.5</v>
      </c>
      <c r="AC17" s="92"/>
      <c r="AD17" s="92">
        <v>3.2</v>
      </c>
      <c r="AE17" s="92">
        <v>8.6000000000000014</v>
      </c>
      <c r="AF17" s="91">
        <v>1.45</v>
      </c>
      <c r="AG17" s="92"/>
      <c r="AH17" s="92"/>
      <c r="AI17" s="91">
        <f>SUM(ППД5[[#This Row],[ТП Лоджия 1]:[ТП Лоджия 3]])</f>
        <v>1.45</v>
      </c>
      <c r="AJ17" s="95">
        <v>2.9</v>
      </c>
      <c r="AK17" s="92">
        <f>SUM(ППД5[[#This Row],[Площадь по ТП жилая]:[ТП Лоджия 3]])-ППД5[[#This Row],[ТП Летние]]+ППД5[[#This Row],[кроме того прочая
(без коэффициента)]]</f>
        <v>69.600000000000009</v>
      </c>
      <c r="AL17" s="95">
        <f>ППД5[[#This Row],[ТП Площадь без летних]]+(ППД5[[#This Row],[ТП Летние]])</f>
        <v>68.150000000000006</v>
      </c>
      <c r="AM17" s="92">
        <f>ППД5[[#This Row],[ТП общая S]]-ППД5[[#This Row],[кроме того прочая
(без коэффициента)]]</f>
        <v>66.7</v>
      </c>
      <c r="AN17" s="95">
        <f>SUM(ППД5[[#This Row],[ТП Кухня]:[ТП Коридор]])</f>
        <v>35.299999999999997</v>
      </c>
      <c r="AO17" s="91">
        <f>ППД5[[#This Row],[Расчетная ТП площадь]]-ППД5[[#This Row],[Расчетная проектная площадь]]</f>
        <v>-0.34999999999999432</v>
      </c>
      <c r="AP17" s="335">
        <f>ППД5[[#This Row],[Расчетная ТП площадь]]/ППД5[[#This Row],[Расчетная проектная площадь]]-1</f>
        <v>-5.1094890510947621E-3</v>
      </c>
      <c r="AQ17" s="92">
        <f>ППД5[[#This Row],[% расхождения]]*ППД5[[#This Row],[Стоимость до скидки]]</f>
        <v>-42330.583941604775</v>
      </c>
      <c r="AR17" s="92">
        <f>VLOOKUP(ППД5[[#This Row],[№]],наценкад5[],COLUMN(наценкад5[[#This Row],[Цена м2 с учетом всех K]]),0)</f>
        <v>84941.010000000009</v>
      </c>
      <c r="AS17" s="7">
        <f>ППД5[[#This Row],[м2 после К]]*5%</f>
        <v>4247.0505000000003</v>
      </c>
      <c r="AT17" s="7">
        <f>ППД5[[#This Row],[м2 после К]]+ППД5[[#This Row],[Повышение 16.08.23 - 5%]]</f>
        <v>89188.060500000007</v>
      </c>
      <c r="AU17" s="9">
        <f>ППД5[[#This Row],[Фикс 16.08.23]]*3%</f>
        <v>2675.641815</v>
      </c>
      <c r="AV17" s="9">
        <f>ППД5[[#This Row],[Фикс 16.08.23]]+ППД5[[#This Row],[Повышение 29.08.23 - 3%]]</f>
        <v>91863.702315000002</v>
      </c>
      <c r="AW17" s="9"/>
      <c r="AX17" s="9">
        <f>ППД5[[#This Row],[Фикс 29.08.23]]+ППД5[[#This Row],[Повышение 06.09.23 СТ и 1К]]</f>
        <v>91863.702315000002</v>
      </c>
      <c r="AY17" s="9"/>
      <c r="AZ17" s="9">
        <f>ППД5[[#This Row],[Повышение 23.10.23  В4 ]]+ППД5[[#This Row],[Фикс 06.09.23]]</f>
        <v>91863.702315000002</v>
      </c>
      <c r="BA17" s="9"/>
      <c r="BB17" s="9">
        <f>ППД5[[#This Row],[Повышение 8.11.23 1К 5%]]+ППД5[[#This Row],[Фикс 23.10.23]]</f>
        <v>91863.702315000002</v>
      </c>
      <c r="BC17" s="9">
        <v>-831</v>
      </c>
      <c r="BD17" s="9">
        <f>ППД5[[#This Row],[Корректировка 24.11.23 - 1К В5, 2К А2, №233]]+ППД5[[#This Row],[Фикс 8.11.23]]</f>
        <v>91032.702315000002</v>
      </c>
      <c r="BE17" s="93">
        <f>ППД5[[#This Row],[Фикс 8.11.24]]*1%</f>
        <v>910.32702315000006</v>
      </c>
      <c r="BF17" s="9">
        <f>ППД5[[#This Row],[Наценка за отделку 29.12.23 1%]]+ППД5[[#This Row],[Фикс 8.11.24]]</f>
        <v>91943.029338150009</v>
      </c>
      <c r="BG17" s="93">
        <f>ППД5[[#This Row],[Фикс 29.12.23]]*5%</f>
        <v>4597.1514669075004</v>
      </c>
      <c r="BH17" s="9">
        <f>ППД5[[#This Row],[Фикс 29.12.23]]+ППД5[[#This Row],[Наценка 10.01.24 5%]]</f>
        <v>96540.180805057505</v>
      </c>
      <c r="BI17" s="9"/>
      <c r="BJ17" s="9">
        <f>ППД5[[#This Row],[Наценка 26.02.24 1 Этаж]]+ППД5[[#This Row],[Фикс 10.01.24]]</f>
        <v>96540.180805057505</v>
      </c>
      <c r="BK17" s="93">
        <f>ППД5[[#This Row],[Фикс 26.02.24]]*2%</f>
        <v>1930.8036161011501</v>
      </c>
      <c r="BL17" s="9">
        <f>ППД5[[#This Row],[Фикс 26.02.24]]+ППД5[[#This Row],[Наценка 06.03.24
СТ, 1К - 3%
2К, 3К - 2%]]</f>
        <v>98470.984421158661</v>
      </c>
      <c r="BM17" s="9"/>
      <c r="BN17" s="9">
        <f>ППД5[[#This Row],[Фикс 06.03.24]]+ППД5[[#This Row],[Наценка Г2+500]]</f>
        <v>98470.984421158661</v>
      </c>
      <c r="BO17" s="9">
        <f>ППД5[[#This Row],[Фикс 13.03.25]]*2%</f>
        <v>1969.4196884231733</v>
      </c>
      <c r="BP17" s="9">
        <f>ППД5[[#This Row],[Фикс 13.03.25]]+ППД5[[#This Row],[Наценка 20.03.24
2К, 3К - 2%]]</f>
        <v>100440.40410958184</v>
      </c>
      <c r="BQ17" s="9"/>
      <c r="BR17" s="9">
        <f>ППД5[[#This Row],[Фикс 20.03.24]]+ППД5[[#This Row],[Наценка 08.04.24 
2К: В3 - 150
3К: Г7 +1000]]</f>
        <v>100440.40410958184</v>
      </c>
      <c r="BS17" s="9"/>
      <c r="BT17" s="9">
        <f>ППД5[[#This Row],[Фикс 08.04.24]]+ППД5[[#This Row],[Наценка 16.05.24 1%
А4,А6,Б3,Б6,Б7,В2,В3,В5,В6,Г1,Г3-Г5]]</f>
        <v>100440.40410958184</v>
      </c>
      <c r="BU17" s="9"/>
      <c r="BV17" s="9">
        <f>ППД5[[#This Row],[Фикс 16.05.24]]+ППД5[[#This Row],[Наценка 24.05.24
1% - Б4, Б5,Г2,Г6
2% - А1,А3,А5,Б2,Г7]]</f>
        <v>100440.40410958184</v>
      </c>
      <c r="BW17" s="9"/>
      <c r="BX17" s="9">
        <f>ППД5[[#This Row],[Наценка 06.06.24
0К: В2,Г3 +0,5%
1К: А7, Б5/4, Г6 +0,5%
3К: В6 +0,5%
1К: А3 +1%]]+ППД5[[#This Row],[Фикс 24.05.24]]</f>
        <v>100440.40410958184</v>
      </c>
      <c r="BY17" s="9"/>
      <c r="BZ17" s="9">
        <f>ППД5[[#This Row],[Фикс 06.06.24]]+ППД5[[#This Row],[13.06.2024
3К - 2%]]</f>
        <v>100440.40410958184</v>
      </c>
      <c r="CA17" s="93">
        <f>0.5%*ППД5[[#This Row],[Фикс 13.06.24]]</f>
        <v>502.20202054790923</v>
      </c>
      <c r="CB17" s="9">
        <f>ППД5[[#This Row],[02.07.2024: Г3 А1 А3 Б5 Б7 Г2 Г6 Б3 Б4 В3 Г7 2,5% ост 0,5-1,5%]]+ППД5[[#This Row],[Фикс 13.06.24]]</f>
        <v>100942.60613012974</v>
      </c>
      <c r="CC17" s="9"/>
      <c r="CD17" s="9">
        <f>ППД5[[#This Row],[Фикс 02.07.24]]+ППД5[[#This Row],[04.09.2024 +500
0К - Б2; 1К - А3;
2К - А6, Б4, В3, Г5]]</f>
        <v>100942.60613012974</v>
      </c>
      <c r="CE17" s="9"/>
      <c r="CF17" s="9">
        <f>ППД5[[#This Row],[Наценка 16.09.2024
1К: А1,В7,Г6/7,Г8 - 2%
2К: А4,А5,А6,Б1,Б6,Б3/4,В3,В4,Г4,Г5 - 4%
3К: 4%]]+ППД5[[#This Row],[Фикс 04.09.24]]</f>
        <v>100942.60613012974</v>
      </c>
      <c r="CG17" s="93">
        <f>ППД5[[#This Row],[Фикс 16.09.2024]]*6%</f>
        <v>6056.5563678077842</v>
      </c>
      <c r="CH17" s="9">
        <f>ППД5[[#This Row],[Фикс 16.09.2024]]+ППД5[[#This Row],[Наценка 01.11.24
СТ: 4%
1К: 34-40м 5%; 40м+ 8%; МГН 1%
2К: 55-70м 6%; 70-73м 7%; 73-76м 8% 
3К: 5%]]</f>
        <v>106999.16249793753</v>
      </c>
      <c r="CI17" s="93">
        <f>ППД5[[#This Row],[Фикс 01.11.24]]*13%</f>
        <v>13909.891124731879</v>
      </c>
      <c r="CJ17" s="9">
        <f>ППД5[[#This Row],[Наценка 06.11 13%]]+ППД5[[#This Row],[Фикс 01.11.24]]</f>
        <v>120909.05362266941</v>
      </c>
      <c r="CK17" s="93">
        <v>35</v>
      </c>
      <c r="CL17" s="9">
        <f>ППД5[[#This Row],[Фикс 06.11.24]]+ППД5[[#This Row],[Наценка 18.12.24 распределение КВ]]</f>
        <v>120944.05362266941</v>
      </c>
      <c r="CM17" s="9"/>
      <c r="CN17" s="9">
        <f>ППД5[[#This Row],[Фикс 18.12.24]]+ППД5[[#This Row],[Наценка 10.02.25 +1%
1К: А3
2К: Б3, В3]]</f>
        <v>120944.05362266941</v>
      </c>
      <c r="CO17" s="9">
        <f>ROUND(ППД5[[#This Row],[Фикс 10.02.25]],2)</f>
        <v>120944.05</v>
      </c>
      <c r="CP1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8284700</v>
      </c>
      <c r="CQ17" s="93">
        <f>ROUNDUP(ППД5[[#This Row],[Стоимость до скидки]]+ППД5[[#This Row],[Сумма доплаты]],-2)</f>
        <v>8242400</v>
      </c>
      <c r="CR17" s="68"/>
      <c r="CS17" s="90"/>
      <c r="CT17" s="68">
        <f>ППД5[[#This Row],[Стоимость до скидки]]*ППД5[[#This Row],[Скидка %]]+ППД5[[#This Row],[Скидка фиксированная]]</f>
        <v>0</v>
      </c>
      <c r="CU17" s="3">
        <f>ППД5[[#This Row],[Стоимость ОН без отделки со скидкой]]/ППД5[[#This Row],[Расчетная проектная площадь]]</f>
        <v>120944.52554744526</v>
      </c>
      <c r="CV17" s="3">
        <f>ROUND(ППД5[[#This Row],[Стоимость до скидки]]-ППД5[[#This Row],[Итоговая сумма скидки]],2)</f>
        <v>8284700</v>
      </c>
      <c r="CW1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17" s="218">
        <v>10000</v>
      </c>
      <c r="CY17" s="332">
        <f>ППД5[[#This Row],[Расхождение]]/ППД5[[#This Row],[Расчетная проектная площадь]]</f>
        <v>-5.1094890510948072E-3</v>
      </c>
      <c r="CZ17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-0.34000000000000696</v>
      </c>
      <c r="DA17" s="3">
        <f>ППД5[[#This Row],[Цена м2 без отделки со скидкой]]+ППД5[[#This Row],[Стоимость отделки]]</f>
        <v>130944.52554744526</v>
      </c>
      <c r="DB17" s="3">
        <f>ППД5[[#This Row],[Стоимость квартиры с отделкой]]-ППД5[[#This Row],[Стоимость ОН без отделки со скидкой]]</f>
        <v>685000</v>
      </c>
      <c r="DC17" s="3">
        <f>ППД5[[#This Row],[Цена м2 с отделкой]]*ППД5[[#This Row],[Расчетная проектная площадь]]</f>
        <v>8969700</v>
      </c>
      <c r="DD17" s="3"/>
      <c r="DF17" s="155" t="s">
        <v>157</v>
      </c>
      <c r="DG17" s="221" t="s">
        <v>157</v>
      </c>
      <c r="DH17" s="100" t="b">
        <f>EXACT(ППД5[[#This Row],[Статусы CRM]],ППД5[[#This Row],[Статус]])</f>
        <v>1</v>
      </c>
      <c r="DI17" s="213" t="s">
        <v>189</v>
      </c>
      <c r="DJ17" s="204"/>
      <c r="DK17" s="111" t="s">
        <v>763</v>
      </c>
      <c r="DL17" s="216" t="s">
        <v>780</v>
      </c>
      <c r="DM17" s="201" t="b">
        <f>ППД5[[#This Row],[Отделка CRM]]=ППД5[[#This Row],[Отделка]]</f>
        <v>1</v>
      </c>
      <c r="DN17" s="203">
        <v>8969700</v>
      </c>
      <c r="DO1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7" s="207" t="b">
        <f>IF(AND(ППД5[[#This Row],[Статус]]="свободно",ППД5[[#This Row],[Итоговая сумма скидки]]&lt;&gt;0),FALSE,TRUE)</f>
        <v>1</v>
      </c>
      <c r="DQ17" s="240" t="str">
        <f>_xlfn.XLOOKUP(ППД5[[#This Row],[№]],Юрист[№ кв],Юрист[Дата подачи на регистрацию]," ",0,-1)</f>
        <v xml:space="preserve"> </v>
      </c>
      <c r="DR17" s="115" t="str">
        <f>_xlfn.XLOOKUP(ППД5[[#This Row],[№]],Юрист[№ кв],Юрист[МОП],"",0,-1)</f>
        <v/>
      </c>
      <c r="DS17" s="333" t="s">
        <v>2326</v>
      </c>
      <c r="DT17" s="333" t="s">
        <v>2327</v>
      </c>
      <c r="DU17" s="333">
        <v>66.7</v>
      </c>
      <c r="DV17" s="111"/>
    </row>
    <row r="18" spans="1:126" hidden="1" x14ac:dyDescent="0.25">
      <c r="A18" s="112">
        <v>16</v>
      </c>
      <c r="B18" s="111" t="s">
        <v>5</v>
      </c>
      <c r="C18" s="111">
        <v>3</v>
      </c>
      <c r="D18" s="111">
        <v>3</v>
      </c>
      <c r="E18" s="111">
        <v>1</v>
      </c>
      <c r="F18" s="105">
        <v>13.6</v>
      </c>
      <c r="G18" s="105"/>
      <c r="H18" s="105"/>
      <c r="I18" s="94">
        <f>SUM(ППД5[[#This Row],[Комната 1]:[Комната 3]])</f>
        <v>13.6</v>
      </c>
      <c r="J18" s="105">
        <v>14.97</v>
      </c>
      <c r="K18" s="105">
        <v>4.1100000000000003</v>
      </c>
      <c r="L18" s="105"/>
      <c r="M18" s="105"/>
      <c r="N18" s="105">
        <v>3.7</v>
      </c>
      <c r="O18" s="105">
        <v>2.69</v>
      </c>
      <c r="P18" s="105"/>
      <c r="Q18" s="105"/>
      <c r="R18" s="105">
        <f>SUM(ППД5[[#This Row],[Лоджия 1]:[Лоджия 3]])</f>
        <v>2.69</v>
      </c>
      <c r="S18" s="7">
        <f>ROUND(SUM(ППД5[[#This Row],[Площадь по проекту жилая]:[Лоджия 3]]),2)</f>
        <v>39.07</v>
      </c>
      <c r="T18" s="7">
        <f>ROUND(ППД5[[#This Row],[Площадь по проекту(общая)]]-ППД5[[#This Row],[Летние]],2)</f>
        <v>36.380000000000003</v>
      </c>
      <c r="U18" s="92">
        <f>ROUND(ППД5[[#This Row],[Площадь по проекту(общая)]]-(SUM(ППД5[[#This Row],[Лоджия 1]:[Лоджия 3]])/2),2)</f>
        <v>37.729999999999997</v>
      </c>
      <c r="V18" s="92">
        <f>IF(ППД5[[#This Row],[Статус]]="продажа",ППД5[[#This Row],[Расчетная проектная площадь]],ППД5[[#This Row],[Расчетная ТП площадь]])</f>
        <v>37.729999999999997</v>
      </c>
      <c r="W18" s="92">
        <v>13.6</v>
      </c>
      <c r="X18" s="92"/>
      <c r="Y18" s="92"/>
      <c r="Z18" s="92">
        <f>SUM(ППД5[[#This Row],[ТП Комната 1]:[ТП Комната 3]])</f>
        <v>13.6</v>
      </c>
      <c r="AA18" s="92">
        <v>14.7</v>
      </c>
      <c r="AB18" s="92">
        <v>4.0999999999999996</v>
      </c>
      <c r="AC18" s="92"/>
      <c r="AD18" s="92"/>
      <c r="AE18" s="92">
        <v>3.8</v>
      </c>
      <c r="AF18" s="91">
        <v>1.35</v>
      </c>
      <c r="AG18" s="92"/>
      <c r="AH18" s="92"/>
      <c r="AI18" s="91">
        <f>SUM(ППД5[[#This Row],[ТП Лоджия 1]:[ТП Лоджия 3]])</f>
        <v>1.35</v>
      </c>
      <c r="AJ18" s="95">
        <v>2.7</v>
      </c>
      <c r="AK18" s="92">
        <f>SUM(ППД5[[#This Row],[Площадь по ТП жилая]:[ТП Лоджия 3]])-ППД5[[#This Row],[ТП Летние]]+ППД5[[#This Row],[кроме того прочая
(без коэффициента)]]</f>
        <v>38.9</v>
      </c>
      <c r="AL18" s="95">
        <f>ППД5[[#This Row],[ТП Площадь без летних]]+(ППД5[[#This Row],[ТП Летние]])</f>
        <v>37.549999999999997</v>
      </c>
      <c r="AM18" s="92">
        <f>ППД5[[#This Row],[ТП общая S]]-ППД5[[#This Row],[кроме того прочая
(без коэффициента)]]</f>
        <v>36.199999999999996</v>
      </c>
      <c r="AN18" s="95">
        <f>SUM(ППД5[[#This Row],[ТП Кухня]:[ТП Коридор]])</f>
        <v>22.599999999999998</v>
      </c>
      <c r="AO18" s="91">
        <f>ППД5[[#This Row],[Расчетная ТП площадь]]-ППД5[[#This Row],[Расчетная проектная площадь]]</f>
        <v>-0.17999999999999972</v>
      </c>
      <c r="AP18" s="335">
        <f>ППД5[[#This Row],[Расчетная ТП площадь]]/ППД5[[#This Row],[Расчетная проектная площадь]]-1</f>
        <v>-4.7707394646170354E-3</v>
      </c>
      <c r="AQ18" s="92">
        <f>ППД5[[#This Row],[% расхождения]]*ППД5[[#This Row],[Стоимость до скидки]]</f>
        <v>-15914.273400477139</v>
      </c>
      <c r="AR18" s="92">
        <f>VLOOKUP(ППД5[[#This Row],[№]],наценкад5[],COLUMN(наценкад5[[#This Row],[Цена м2 с учетом всех K]]),0)</f>
        <v>88412.625</v>
      </c>
      <c r="AS18" s="7"/>
      <c r="AT18" s="7">
        <f>ППД5[[#This Row],[м2 после К]]+ППД5[[#This Row],[Повышение 16.08.23 - 5%]]</f>
        <v>88412.625</v>
      </c>
      <c r="AU18" s="9"/>
      <c r="AV18" s="9">
        <f>ППД5[[#This Row],[Фикс 16.08.23]]+ППД5[[#This Row],[Повышение 29.08.23 - 3%]]</f>
        <v>88412.625</v>
      </c>
      <c r="AW18" s="9"/>
      <c r="AX18" s="9">
        <f>ППД5[[#This Row],[Фикс 29.08.23]]+ППД5[[#This Row],[Повышение 06.09.23 СТ и 1К]]</f>
        <v>88412.625</v>
      </c>
      <c r="AY18" s="9"/>
      <c r="AZ18" s="9">
        <f>ППД5[[#This Row],[Повышение 23.10.23  В4 ]]+ППД5[[#This Row],[Фикс 06.09.23]]</f>
        <v>88412.625</v>
      </c>
      <c r="BA18" s="9"/>
      <c r="BB18" s="9">
        <f>ППД5[[#This Row],[Повышение 8.11.23 1К 5%]]+ППД5[[#This Row],[Фикс 23.10.23]]</f>
        <v>88412.625</v>
      </c>
      <c r="BC18" s="9"/>
      <c r="BD18" s="9">
        <f>ППД5[[#This Row],[Корректировка 24.11.23 - 1К В5, 2К А2, №233]]+ППД5[[#This Row],[Фикс 8.11.23]]</f>
        <v>88412.625</v>
      </c>
      <c r="BE18" s="9"/>
      <c r="BF18" s="9">
        <f>ППД5[[#This Row],[Наценка за отделку 29.12.23 1%]]+ППД5[[#This Row],[Фикс 8.11.24]]</f>
        <v>88412.625</v>
      </c>
      <c r="BG18" s="9"/>
      <c r="BH18" s="9">
        <f>ППД5[[#This Row],[Фикс 29.12.23]]+ППД5[[#This Row],[Наценка 10.01.24 5%]]</f>
        <v>88412.625</v>
      </c>
      <c r="BI18" s="9"/>
      <c r="BJ18" s="9">
        <f>ППД5[[#This Row],[Наценка 26.02.24 1 Этаж]]+ППД5[[#This Row],[Фикс 10.01.24]]</f>
        <v>88412.625</v>
      </c>
      <c r="BK18" s="93"/>
      <c r="BL18" s="9">
        <f>ППД5[[#This Row],[Фикс 26.02.24]]+ППД5[[#This Row],[Наценка 06.03.24
СТ, 1К - 3%
2К, 3К - 2%]]</f>
        <v>88412.625</v>
      </c>
      <c r="BM18" s="9"/>
      <c r="BN18" s="9">
        <f>ППД5[[#This Row],[Фикс 06.03.24]]+ППД5[[#This Row],[Наценка Г2+500]]</f>
        <v>88412.625</v>
      </c>
      <c r="BO18" s="9"/>
      <c r="BP18" s="9">
        <f>ППД5[[#This Row],[Фикс 13.03.25]]+ППД5[[#This Row],[Наценка 20.03.24
2К, 3К - 2%]]</f>
        <v>88412.625</v>
      </c>
      <c r="BQ18" s="9"/>
      <c r="BR18" s="9">
        <f>ППД5[[#This Row],[Фикс 20.03.24]]+ППД5[[#This Row],[Наценка 08.04.24 
2К: В3 - 150
3К: Г7 +1000]]</f>
        <v>88412.625</v>
      </c>
      <c r="BS18" s="9"/>
      <c r="BT18" s="9">
        <f>ППД5[[#This Row],[Фикс 08.04.24]]+ППД5[[#This Row],[Наценка 16.05.24 1%
А4,А6,Б3,Б6,Б7,В2,В3,В5,В6,Г1,Г3-Г5]]</f>
        <v>88412.625</v>
      </c>
      <c r="BU18" s="9"/>
      <c r="BV18" s="9">
        <f>ППД5[[#This Row],[Фикс 16.05.24]]+ППД5[[#This Row],[Наценка 24.05.24
1% - Б4, Б5,Г2,Г6
2% - А1,А3,А5,Б2,Г7]]</f>
        <v>88412.625</v>
      </c>
      <c r="BW18" s="93"/>
      <c r="BX18" s="9">
        <f>ППД5[[#This Row],[Наценка 06.06.24
0К: В2,Г3 +0,5%
1К: А7, Б5/4, Г6 +0,5%
3К: В6 +0,5%
1К: А3 +1%]]+ППД5[[#This Row],[Фикс 24.05.24]]</f>
        <v>88412.625</v>
      </c>
      <c r="BY18" s="9"/>
      <c r="BZ18" s="9">
        <f>ППД5[[#This Row],[Фикс 06.06.24]]+ППД5[[#This Row],[13.06.2024
3К - 2%]]</f>
        <v>88412.625</v>
      </c>
      <c r="CA18" s="9"/>
      <c r="CB18" s="9">
        <f>ППД5[[#This Row],[02.07.2024: Г3 А1 А3 Б5 Б7 Г2 Г6 Б3 Б4 В3 Г7 2,5% ост 0,5-1,5%]]+ППД5[[#This Row],[Фикс 13.06.24]]</f>
        <v>88412.625</v>
      </c>
      <c r="CC18" s="9"/>
      <c r="CD18" s="9">
        <f>ППД5[[#This Row],[Фикс 02.07.24]]+ППД5[[#This Row],[04.09.2024 +500
0К - Б2; 1К - А3;
2К - А6, Б4, В3, Г5]]</f>
        <v>88412.625</v>
      </c>
      <c r="CE18" s="9"/>
      <c r="CF18" s="9">
        <f>ППД5[[#This Row],[Наценка 16.09.2024
1К: А1,В7,Г6/7,Г8 - 2%
2К: А4,А5,А6,Б1,Б6,Б3/4,В3,В4,Г4,Г5 - 4%
3К: 4%]]+ППД5[[#This Row],[Фикс 04.09.24]]</f>
        <v>88412.625</v>
      </c>
      <c r="CG18" s="9"/>
      <c r="CH18" s="9">
        <f>ППД5[[#This Row],[Фикс 16.09.2024]]+ППД5[[#This Row],[Наценка 01.11.24
СТ: 4%
1К: 34-40м 5%; 40м+ 8%; МГН 1%
2К: 55-70м 6%; 70-73м 7%; 73-76м 8% 
3К: 5%]]</f>
        <v>88412.625</v>
      </c>
      <c r="CI18" s="9"/>
      <c r="CJ18" s="9">
        <f>ППД5[[#This Row],[Наценка 06.11 13%]]+ППД5[[#This Row],[Фикс 01.11.24]]</f>
        <v>88412.625</v>
      </c>
      <c r="CK18" s="9"/>
      <c r="CL18" s="9">
        <f>ППД5[[#This Row],[Фикс 06.11.24]]+ППД5[[#This Row],[Наценка 18.12.24 распределение КВ]]</f>
        <v>88412.625</v>
      </c>
      <c r="CM18" s="93"/>
      <c r="CN18" s="9">
        <f>ППД5[[#This Row],[Фикс 18.12.24]]+ППД5[[#This Row],[Наценка 10.02.25 +1%
1К: А3
2К: Б3, В3]]</f>
        <v>88412.625</v>
      </c>
      <c r="CO18" s="9">
        <f>ROUND(ППД5[[#This Row],[Фикс 10.02.25]],2)</f>
        <v>88412.63</v>
      </c>
      <c r="CP18" s="9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3335808.53</v>
      </c>
      <c r="CQ18" s="9">
        <f>ROUNDUP(ППД5[[#This Row],[Стоимость до скидки]]+ППД5[[#This Row],[Сумма доплаты]],-2)</f>
        <v>3319900</v>
      </c>
      <c r="CR18" s="68"/>
      <c r="CS18" s="90"/>
      <c r="CT18" s="68">
        <f>ППД5[[#This Row],[Стоимость до скидки]]*ППД5[[#This Row],[Скидка %]]+ППД5[[#This Row],[Скидка фиксированная]]</f>
        <v>0</v>
      </c>
      <c r="CU18" s="3">
        <f>ППД5[[#This Row],[Стоимость ОН без отделки со скидкой]]/ППД5[[#This Row],[Расчетная проектная площадь]]</f>
        <v>88412.630002650418</v>
      </c>
      <c r="CV18" s="3">
        <f>ROUND(ППД5[[#This Row],[Стоимость до скидки]]-ППД5[[#This Row],[Итоговая сумма скидки]],2)</f>
        <v>3335808.53</v>
      </c>
      <c r="CW1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18" s="197">
        <v>4500</v>
      </c>
      <c r="CY18" s="332">
        <f>ППД5[[#This Row],[Расхождение]]/ППД5[[#This Row],[Расчетная проектная площадь]]</f>
        <v>-4.7707394646170085E-3</v>
      </c>
      <c r="CZ1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-0.18000000000000149</v>
      </c>
      <c r="DA18" s="3">
        <f>ППД5[[#This Row],[Цена м2 без отделки со скидкой]]+ППД5[[#This Row],[Стоимость отделки]]</f>
        <v>92912.630002650418</v>
      </c>
      <c r="DB18" s="3">
        <f>ППД5[[#This Row],[Стоимость квартиры с отделкой]]-ППД5[[#This Row],[Стоимость ОН без отделки со скидкой]]</f>
        <v>169785</v>
      </c>
      <c r="DC18" s="3">
        <f>ППД5[[#This Row],[Цена м2 с отделкой]]*ППД5[[#This Row],[Расчетная проектная площадь]]</f>
        <v>3505593.53</v>
      </c>
      <c r="DD18" s="3"/>
      <c r="DF18" s="199" t="s">
        <v>172</v>
      </c>
      <c r="DG18" s="245" t="s">
        <v>172</v>
      </c>
      <c r="DH18" s="100" t="b">
        <f>EXACT(ППД5[[#This Row],[Статусы CRM]],ППД5[[#This Row],[Статус]])</f>
        <v>1</v>
      </c>
      <c r="DI18" s="213" t="s">
        <v>190</v>
      </c>
      <c r="DJ18" s="204"/>
      <c r="DK18" s="111" t="s">
        <v>76</v>
      </c>
      <c r="DL18" s="216" t="s">
        <v>13</v>
      </c>
      <c r="DM18" s="201" t="b">
        <f>ППД5[[#This Row],[Отделка CRM]]=ППД5[[#This Row],[Отделка]]</f>
        <v>1</v>
      </c>
      <c r="DN18" s="203">
        <v>3505593.53</v>
      </c>
      <c r="DO1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8" s="207" t="b">
        <f>IF(AND(ППД5[[#This Row],[Статус]]="свободно",ППД5[[#This Row],[Итоговая сумма скидки]]&lt;&gt;0),FALSE,TRUE)</f>
        <v>1</v>
      </c>
      <c r="DQ18" s="240">
        <f>_xlfn.XLOOKUP(ППД5[[#This Row],[№]],Юрист[№ кв],Юрист[Дата подачи на регистрацию]," ",0,-1)</f>
        <v>45188</v>
      </c>
      <c r="DR18" s="115" t="str">
        <f>_xlfn.XLOOKUP(ППД5[[#This Row],[№]],Юрист[№ кв],Юрист[МОП],"",0,-1)</f>
        <v>Дик</v>
      </c>
      <c r="DS18" s="333" t="s">
        <v>2328</v>
      </c>
      <c r="DT18" s="333" t="s">
        <v>2329</v>
      </c>
      <c r="DU18" s="333">
        <v>36.200000000000003</v>
      </c>
      <c r="DV18" s="111"/>
    </row>
    <row r="19" spans="1:126" hidden="1" x14ac:dyDescent="0.25">
      <c r="A19" s="112">
        <v>17</v>
      </c>
      <c r="B19" s="111" t="s">
        <v>5</v>
      </c>
      <c r="C19" s="111">
        <v>3</v>
      </c>
      <c r="D19" s="111">
        <v>4</v>
      </c>
      <c r="E19" s="111">
        <v>2</v>
      </c>
      <c r="F19" s="105">
        <v>16.61</v>
      </c>
      <c r="G19" s="105">
        <v>11.38</v>
      </c>
      <c r="H19" s="105"/>
      <c r="I19" s="94">
        <f>SUM(ППД5[[#This Row],[Комната 1]:[Комната 3]])</f>
        <v>27.990000000000002</v>
      </c>
      <c r="J19" s="105">
        <v>14.58</v>
      </c>
      <c r="K19" s="105">
        <v>4.34</v>
      </c>
      <c r="L19" s="105">
        <v>2.08</v>
      </c>
      <c r="M19" s="105"/>
      <c r="N19" s="105">
        <v>8.82</v>
      </c>
      <c r="O19" s="105">
        <v>2.56</v>
      </c>
      <c r="P19" s="105"/>
      <c r="Q19" s="105"/>
      <c r="R19" s="105">
        <f>SUM(ППД5[[#This Row],[Лоджия 1]:[Лоджия 3]])</f>
        <v>2.56</v>
      </c>
      <c r="S19" s="7">
        <f>ROUND(SUM(ППД5[[#This Row],[Площадь по проекту жилая]:[Лоджия 3]]),2)</f>
        <v>60.37</v>
      </c>
      <c r="T19" s="7">
        <f>ROUND(ППД5[[#This Row],[Площадь по проекту(общая)]]-ППД5[[#This Row],[Летние]],2)</f>
        <v>57.81</v>
      </c>
      <c r="U19" s="92">
        <f>ROUND(ППД5[[#This Row],[Площадь по проекту(общая)]]-(SUM(ППД5[[#This Row],[Лоджия 1]:[Лоджия 3]])/2),2)</f>
        <v>59.09</v>
      </c>
      <c r="V19" s="92">
        <f>IF(ППД5[[#This Row],[Статус]]="продажа",ППД5[[#This Row],[Расчетная проектная площадь]],ППД5[[#This Row],[Расчетная ТП площадь]])</f>
        <v>59.09</v>
      </c>
      <c r="W19" s="92">
        <v>16.600000000000001</v>
      </c>
      <c r="X19" s="92">
        <v>11.2</v>
      </c>
      <c r="Y19" s="92"/>
      <c r="Z19" s="92">
        <f>SUM(ППД5[[#This Row],[ТП Комната 1]:[ТП Комната 3]])</f>
        <v>27.8</v>
      </c>
      <c r="AA19" s="92">
        <v>14.7</v>
      </c>
      <c r="AB19" s="92">
        <v>4.3</v>
      </c>
      <c r="AC19" s="92">
        <v>2.1</v>
      </c>
      <c r="AD19" s="92"/>
      <c r="AE19" s="92">
        <v>8.8000000000000007</v>
      </c>
      <c r="AF19" s="92">
        <v>1.3</v>
      </c>
      <c r="AG19" s="92"/>
      <c r="AH19" s="92"/>
      <c r="AI19" s="91">
        <f>SUM(ППД5[[#This Row],[ТП Лоджия 1]:[ТП Лоджия 3]])</f>
        <v>1.3</v>
      </c>
      <c r="AJ19" s="95">
        <v>2.6</v>
      </c>
      <c r="AK19" s="92">
        <f>SUM(ППД5[[#This Row],[Площадь по ТП жилая]:[ТП Лоджия 3]])-ППД5[[#This Row],[ТП Летние]]+ППД5[[#This Row],[кроме того прочая
(без коэффициента)]]</f>
        <v>60.300000000000004</v>
      </c>
      <c r="AL19" s="95">
        <f>ППД5[[#This Row],[ТП Площадь без летних]]+(ППД5[[#This Row],[ТП Летние]])</f>
        <v>59</v>
      </c>
      <c r="AM19" s="92">
        <f>ППД5[[#This Row],[ТП общая S]]-ППД5[[#This Row],[кроме того прочая
(без коэффициента)]]</f>
        <v>57.7</v>
      </c>
      <c r="AN19" s="95">
        <f>SUM(ППД5[[#This Row],[ТП Кухня]:[ТП Коридор]])</f>
        <v>29.900000000000002</v>
      </c>
      <c r="AO19" s="91">
        <f>ППД5[[#This Row],[Расчетная ТП площадь]]-ППД5[[#This Row],[Расчетная проектная площадь]]</f>
        <v>-9.0000000000003411E-2</v>
      </c>
      <c r="AP19" s="335">
        <f>ППД5[[#This Row],[Расчетная ТП площадь]]/ППД5[[#This Row],[Расчетная проектная площадь]]-1</f>
        <v>-1.5231003553901612E-3</v>
      </c>
      <c r="AQ19" s="92">
        <f>ППД5[[#This Row],[% расхождения]]*ППД5[[#This Row],[Стоимость до скидки]]</f>
        <v>-11123.049585378809</v>
      </c>
      <c r="AR19" s="92">
        <f>VLOOKUP(ППД5[[#This Row],[№]],наценкад5[],COLUMN(наценкад5[[#This Row],[Цена м2 с учетом всех K]]),0)</f>
        <v>81080.055000000008</v>
      </c>
      <c r="AS19" s="7">
        <f>ППД5[[#This Row],[м2 после К]]*5%</f>
        <v>4054.0027500000006</v>
      </c>
      <c r="AT19" s="7">
        <f>ППД5[[#This Row],[м2 после К]]+ППД5[[#This Row],[Повышение 16.08.23 - 5%]]</f>
        <v>85134.057750000007</v>
      </c>
      <c r="AU19" s="9">
        <f>ППД5[[#This Row],[Фикс 16.08.23]]*3%</f>
        <v>2554.0217325000003</v>
      </c>
      <c r="AV19" s="9">
        <f>ППД5[[#This Row],[Фикс 16.08.23]]+ППД5[[#This Row],[Повышение 29.08.23 - 3%]]</f>
        <v>87688.079482500005</v>
      </c>
      <c r="AW19" s="9"/>
      <c r="AX19" s="9">
        <f>ППД5[[#This Row],[Фикс 29.08.23]]+ППД5[[#This Row],[Повышение 06.09.23 СТ и 1К]]</f>
        <v>87688.079482500005</v>
      </c>
      <c r="AY19" s="9"/>
      <c r="AZ19" s="9">
        <f>ППД5[[#This Row],[Повышение 23.10.23  В4 ]]+ППД5[[#This Row],[Фикс 06.09.23]]</f>
        <v>87688.079482500005</v>
      </c>
      <c r="BA19" s="9"/>
      <c r="BB19" s="9">
        <f>ППД5[[#This Row],[Повышение 8.11.23 1К 5%]]+ППД5[[#This Row],[Фикс 23.10.23]]</f>
        <v>87688.079482500005</v>
      </c>
      <c r="BC19" s="9"/>
      <c r="BD19" s="9">
        <f>ППД5[[#This Row],[Корректировка 24.11.23 - 1К В5, 2К А2, №233]]+ППД5[[#This Row],[Фикс 8.11.23]]</f>
        <v>87688.079482500005</v>
      </c>
      <c r="BE19" s="93">
        <f>ППД5[[#This Row],[Фикс 8.11.24]]*1%</f>
        <v>876.88079482500007</v>
      </c>
      <c r="BF19" s="9">
        <f>ППД5[[#This Row],[Наценка за отделку 29.12.23 1%]]+ППД5[[#This Row],[Фикс 8.11.24]]</f>
        <v>88564.960277325008</v>
      </c>
      <c r="BG19" s="93">
        <f>ППД5[[#This Row],[Фикс 29.12.23]]*5%</f>
        <v>4428.2480138662504</v>
      </c>
      <c r="BH19" s="9">
        <f>ППД5[[#This Row],[Фикс 29.12.23]]+ППД5[[#This Row],[Наценка 10.01.24 5%]]</f>
        <v>92993.208291191258</v>
      </c>
      <c r="BI19" s="9"/>
      <c r="BJ19" s="9">
        <f>ППД5[[#This Row],[Наценка 26.02.24 1 Этаж]]+ППД5[[#This Row],[Фикс 10.01.24]]</f>
        <v>92993.208291191258</v>
      </c>
      <c r="BK19" s="93">
        <f>ППД5[[#This Row],[Фикс 26.02.24]]*2%</f>
        <v>1859.8641658238253</v>
      </c>
      <c r="BL19" s="9">
        <f>ППД5[[#This Row],[Фикс 26.02.24]]+ППД5[[#This Row],[Наценка 06.03.24
СТ, 1К - 3%
2К, 3К - 2%]]</f>
        <v>94853.072457015078</v>
      </c>
      <c r="BM19" s="9"/>
      <c r="BN19" s="9">
        <f>ППД5[[#This Row],[Фикс 06.03.24]]+ППД5[[#This Row],[Наценка Г2+500]]</f>
        <v>94853.072457015078</v>
      </c>
      <c r="BO19" s="9">
        <f>ППД5[[#This Row],[Фикс 13.03.25]]*2%</f>
        <v>1897.0614491403016</v>
      </c>
      <c r="BP19" s="9">
        <f>ППД5[[#This Row],[Фикс 13.03.25]]+ППД5[[#This Row],[Наценка 20.03.24
2К, 3К - 2%]]</f>
        <v>96750.133906155374</v>
      </c>
      <c r="BQ19" s="9"/>
      <c r="BR19" s="9">
        <f>ППД5[[#This Row],[Фикс 20.03.24]]+ППД5[[#This Row],[Наценка 08.04.24 
2К: В3 - 150
3К: Г7 +1000]]</f>
        <v>96750.133906155374</v>
      </c>
      <c r="BS19" s="93">
        <f>ППД5[[#This Row],[Фикс 08.04.24]]*1%</f>
        <v>967.50133906155372</v>
      </c>
      <c r="BT19" s="9">
        <f>ППД5[[#This Row],[Фикс 08.04.24]]+ППД5[[#This Row],[Наценка 16.05.24 1%
А4,А6,Б3,Б6,Б7,В2,В3,В5,В6,Г1,Г3-Г5]]</f>
        <v>97717.635245216923</v>
      </c>
      <c r="BU19" s="9"/>
      <c r="BV19" s="9">
        <f>ППД5[[#This Row],[Фикс 16.05.24]]+ППД5[[#This Row],[Наценка 24.05.24
1% - Б4, Б5,Г2,Г6
2% - А1,А3,А5,Б2,Г7]]</f>
        <v>97717.635245216923</v>
      </c>
      <c r="BW19" s="9"/>
      <c r="BX19" s="9">
        <f>ППД5[[#This Row],[Наценка 06.06.24
0К: В2,Г3 +0,5%
1К: А7, Б5/4, Г6 +0,5%
3К: В6 +0,5%
1К: А3 +1%]]+ППД5[[#This Row],[Фикс 24.05.24]]</f>
        <v>97717.635245216923</v>
      </c>
      <c r="BY19" s="9"/>
      <c r="BZ19" s="9">
        <f>ППД5[[#This Row],[Фикс 06.06.24]]+ППД5[[#This Row],[13.06.2024
3К - 2%]]</f>
        <v>97717.635245216923</v>
      </c>
      <c r="CA19" s="9">
        <f>1.5%*ППД5[[#This Row],[Фикс 13.06.24]]</f>
        <v>1465.7645286782538</v>
      </c>
      <c r="CB19" s="9">
        <f>ППД5[[#This Row],[02.07.2024: Г3 А1 А3 Б5 Б7 Г2 Г6 Б3 Б4 В3 Г7 2,5% ост 0,5-1,5%]]+ППД5[[#This Row],[Фикс 13.06.24]]</f>
        <v>99183.399773895173</v>
      </c>
      <c r="CC19" s="9"/>
      <c r="CD19" s="9">
        <f>ППД5[[#This Row],[Фикс 02.07.24]]+ППД5[[#This Row],[04.09.2024 +500
0К - Б2; 1К - А3;
2К - А6, Б4, В3, Г5]]</f>
        <v>99183.399773895173</v>
      </c>
      <c r="CE19" s="93">
        <f>ППД5[[#This Row],[Фикс 04.09.24]]*4%</f>
        <v>3967.3359909558071</v>
      </c>
      <c r="CF19" s="9">
        <f>ППД5[[#This Row],[Наценка 16.09.2024
1К: А1,В7,Г6/7,Г8 - 2%
2К: А4,А5,А6,Б1,Б6,Б3/4,В3,В4,Г4,Г5 - 4%
3К: 4%]]+ППД5[[#This Row],[Фикс 04.09.24]]</f>
        <v>103150.73576485098</v>
      </c>
      <c r="CG19" s="93">
        <f>ППД5[[#This Row],[Фикс 16.09.2024]]*6%</f>
        <v>6189.0441458910582</v>
      </c>
      <c r="CH19" s="9">
        <f>ППД5[[#This Row],[Фикс 16.09.2024]]+ППД5[[#This Row],[Наценка 01.11.24
СТ: 4%
1К: 34-40м 5%; 40м+ 8%; МГН 1%
2К: 55-70м 6%; 70-73м 7%; 73-76м 8% 
3К: 5%]]</f>
        <v>109339.77991074204</v>
      </c>
      <c r="CI19" s="93">
        <f>ППД5[[#This Row],[Фикс 01.11.24]]*13%</f>
        <v>14214.171388396466</v>
      </c>
      <c r="CJ19" s="9">
        <f>ППД5[[#This Row],[Наценка 06.11 13%]]+ППД5[[#This Row],[Фикс 01.11.24]]</f>
        <v>123553.95129913851</v>
      </c>
      <c r="CK19" s="93">
        <v>35</v>
      </c>
      <c r="CL19" s="9">
        <f>ППД5[[#This Row],[Фикс 06.11.24]]+ППД5[[#This Row],[Наценка 18.12.24 распределение КВ]]</f>
        <v>123588.95129913851</v>
      </c>
      <c r="CM19" s="9"/>
      <c r="CN19" s="9">
        <f>ППД5[[#This Row],[Фикс 18.12.24]]+ППД5[[#This Row],[Наценка 10.02.25 +1%
1К: А3
2К: Б3, В3]]</f>
        <v>123588.95129913851</v>
      </c>
      <c r="CO19" s="9">
        <f>ROUND(ППД5[[#This Row],[Фикс 10.02.25]],2)</f>
        <v>123588.95</v>
      </c>
      <c r="CP1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7302900</v>
      </c>
      <c r="CQ19" s="93">
        <f>ROUNDUP(ППД5[[#This Row],[Стоимость до скидки]]+ППД5[[#This Row],[Сумма доплаты]],-2)</f>
        <v>7291800</v>
      </c>
      <c r="CR19" s="68">
        <v>507550</v>
      </c>
      <c r="CS19" s="90"/>
      <c r="CT19" s="68">
        <f>ППД5[[#This Row],[Стоимость до скидки]]*ППД5[[#This Row],[Скидка %]]+ППД5[[#This Row],[Скидка фиксированная]]</f>
        <v>507550</v>
      </c>
      <c r="CU19" s="3">
        <f>ППД5[[#This Row],[Стоимость ОН без отделки со скидкой]]/ППД5[[#This Row],[Расчетная проектная площадь]]</f>
        <v>115000</v>
      </c>
      <c r="CV19" s="3">
        <f>ROUND(ППД5[[#This Row],[Стоимость до скидки]]-ППД5[[#This Row],[Итоговая сумма скидки]],2)</f>
        <v>6795350</v>
      </c>
      <c r="CW1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9" s="218"/>
      <c r="CY19" s="332">
        <f>ППД5[[#This Row],[Расхождение]]/ППД5[[#This Row],[Расчетная проектная площадь]]</f>
        <v>-1.5231003553901406E-3</v>
      </c>
      <c r="CZ19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8.0000000000000071E-2</v>
      </c>
      <c r="DA19" s="3">
        <f>ППД5[[#This Row],[Цена м2 без отделки со скидкой]]+ППД5[[#This Row],[Стоимость отделки]]</f>
        <v>115000</v>
      </c>
      <c r="DB19" s="3">
        <f>ППД5[[#This Row],[Стоимость квартиры с отделкой]]-ППД5[[#This Row],[Стоимость ОН без отделки со скидкой]]</f>
        <v>0</v>
      </c>
      <c r="DC19" s="3">
        <f>ППД5[[#This Row],[Цена м2 с отделкой]]*ППД5[[#This Row],[Расчетная проектная площадь]]</f>
        <v>6795350</v>
      </c>
      <c r="DD19" s="3"/>
      <c r="DE19" s="111" t="s">
        <v>2199</v>
      </c>
      <c r="DF19" s="155" t="s">
        <v>172</v>
      </c>
      <c r="DG19" s="221" t="s">
        <v>172</v>
      </c>
      <c r="DH19" s="100" t="b">
        <f>EXACT(ППД5[[#This Row],[Статусы CRM]],ППД5[[#This Row],[Статус]])</f>
        <v>1</v>
      </c>
      <c r="DI19" s="213" t="s">
        <v>191</v>
      </c>
      <c r="DJ19" s="204"/>
      <c r="DK19" s="111" t="s">
        <v>763</v>
      </c>
      <c r="DL19" s="216" t="s">
        <v>12</v>
      </c>
      <c r="DM19" s="201" t="b">
        <f>ППД5[[#This Row],[Отделка CRM]]=ППД5[[#This Row],[Отделка]]</f>
        <v>1</v>
      </c>
      <c r="DN19" s="203">
        <v>6795350</v>
      </c>
      <c r="DO1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9" s="207" t="b">
        <f>IF(AND(ППД5[[#This Row],[Статус]]="свободно",ППД5[[#This Row],[Итоговая сумма скидки]]&lt;&gt;0),FALSE,TRUE)</f>
        <v>1</v>
      </c>
      <c r="DQ19" s="240" t="str">
        <f>_xlfn.XLOOKUP(ППД5[[#This Row],[№]],Юрист[№ кв],Юрист[Дата подачи на регистрацию]," ",0,-1)</f>
        <v xml:space="preserve"> </v>
      </c>
      <c r="DR19" s="115" t="str">
        <f>_xlfn.XLOOKUP(ППД5[[#This Row],[№]],Юрист[№ кв],Юрист[МОП],"",0,-1)</f>
        <v/>
      </c>
      <c r="DS19" s="333" t="s">
        <v>2330</v>
      </c>
      <c r="DT19" s="333" t="s">
        <v>2331</v>
      </c>
      <c r="DU19" s="333">
        <v>57.7</v>
      </c>
      <c r="DV19" s="111"/>
    </row>
    <row r="20" spans="1:126" hidden="1" x14ac:dyDescent="0.25">
      <c r="A20" s="112">
        <v>18</v>
      </c>
      <c r="B20" s="111" t="s">
        <v>5</v>
      </c>
      <c r="C20" s="111">
        <v>3</v>
      </c>
      <c r="D20" s="111">
        <v>5</v>
      </c>
      <c r="E20" s="111">
        <v>2</v>
      </c>
      <c r="F20" s="105">
        <v>16.46</v>
      </c>
      <c r="G20" s="105">
        <v>12.47</v>
      </c>
      <c r="H20" s="105"/>
      <c r="I20" s="94">
        <f>SUM(ППД5[[#This Row],[Комната 1]:[Комната 3]])</f>
        <v>28.93</v>
      </c>
      <c r="J20" s="105">
        <v>18</v>
      </c>
      <c r="K20" s="105">
        <v>4.3499999999999996</v>
      </c>
      <c r="L20" s="105">
        <v>1.55</v>
      </c>
      <c r="M20" s="105"/>
      <c r="N20" s="105">
        <v>8</v>
      </c>
      <c r="O20" s="105">
        <v>2.67</v>
      </c>
      <c r="P20" s="105"/>
      <c r="Q20" s="105"/>
      <c r="R20" s="105">
        <f>SUM(ППД5[[#This Row],[Лоджия 1]:[Лоджия 3]])</f>
        <v>2.67</v>
      </c>
      <c r="S20" s="8">
        <f>ROUND(SUM(ППД5[[#This Row],[Площадь по проекту жилая]:[Лоджия 3]]),2)</f>
        <v>63.5</v>
      </c>
      <c r="T20" s="8">
        <f>ROUND(ППД5[[#This Row],[Площадь по проекту(общая)]]-ППД5[[#This Row],[Летние]],2)</f>
        <v>60.83</v>
      </c>
      <c r="U20" s="91">
        <f>ROUND(ППД5[[#This Row],[Площадь по проекту(общая)]]-(SUM(ППД5[[#This Row],[Лоджия 1]:[Лоджия 3]])/2),2)</f>
        <v>62.17</v>
      </c>
      <c r="V20" s="91">
        <f>IF(ППД5[[#This Row],[Статус]]="продажа",ППД5[[#This Row],[Расчетная проектная площадь]],ППД5[[#This Row],[Расчетная ТП площадь]])</f>
        <v>62.17</v>
      </c>
      <c r="W20" s="91">
        <v>16.399999999999999</v>
      </c>
      <c r="X20" s="91">
        <v>12.4</v>
      </c>
      <c r="Y20" s="91"/>
      <c r="Z20" s="91">
        <f>SUM(ППД5[[#This Row],[ТП Комната 1]:[ТП Комната 3]])</f>
        <v>28.799999999999997</v>
      </c>
      <c r="AA20" s="91">
        <v>17.8</v>
      </c>
      <c r="AB20" s="91">
        <v>4.3</v>
      </c>
      <c r="AC20" s="91">
        <v>1.5</v>
      </c>
      <c r="AD20" s="91"/>
      <c r="AE20" s="91">
        <v>8</v>
      </c>
      <c r="AF20" s="91">
        <v>1.3</v>
      </c>
      <c r="AG20" s="91"/>
      <c r="AH20" s="91"/>
      <c r="AI20" s="91">
        <f>SUM(ППД5[[#This Row],[ТП Лоджия 1]:[ТП Лоджия 3]])</f>
        <v>1.3</v>
      </c>
      <c r="AJ20" s="95">
        <v>2.6</v>
      </c>
      <c r="AK20" s="91">
        <f>SUM(ППД5[[#This Row],[Площадь по ТП жилая]:[ТП Лоджия 3]])-ППД5[[#This Row],[ТП Летние]]+ППД5[[#This Row],[кроме того прочая
(без коэффициента)]]</f>
        <v>62.999999999999993</v>
      </c>
      <c r="AL20" s="95">
        <f>ППД5[[#This Row],[ТП Площадь без летних]]+(ППД5[[#This Row],[ТП Летние]])</f>
        <v>61.699999999999989</v>
      </c>
      <c r="AM20" s="91">
        <f>ППД5[[#This Row],[ТП общая S]]-ППД5[[#This Row],[кроме того прочая
(без коэффициента)]]</f>
        <v>60.399999999999991</v>
      </c>
      <c r="AN20" s="95">
        <f>SUM(ППД5[[#This Row],[ТП Кухня]:[ТП Коридор]])</f>
        <v>31.6</v>
      </c>
      <c r="AO20" s="91">
        <f>ППД5[[#This Row],[Расчетная ТП площадь]]-ППД5[[#This Row],[Расчетная проектная площадь]]</f>
        <v>-0.47000000000001307</v>
      </c>
      <c r="AP20" s="335">
        <f>ППД5[[#This Row],[Расчетная ТП площадь]]/ППД5[[#This Row],[Расчетная проектная площадь]]-1</f>
        <v>-7.5599163583723872E-3</v>
      </c>
      <c r="AQ20" s="91">
        <f>ППД5[[#This Row],[% расхождения]]*ППД5[[#This Row],[Стоимость до скидки]]</f>
        <v>-41213.640019302904</v>
      </c>
      <c r="AR20" s="91">
        <f>VLOOKUP(ППД5[[#This Row],[№]],наценкад5[],COLUMN(наценкад5[[#This Row],[Цена м2 с учетом всех K]]),0)</f>
        <v>81080.055000000008</v>
      </c>
      <c r="AS20" s="8">
        <f>ППД5[[#This Row],[м2 после К]]*5%</f>
        <v>4054.0027500000006</v>
      </c>
      <c r="AT20" s="8">
        <f>ППД5[[#This Row],[м2 после К]]+ППД5[[#This Row],[Повышение 16.08.23 - 5%]]</f>
        <v>85134.057750000007</v>
      </c>
      <c r="AU20" s="93">
        <f>ППД5[[#This Row],[Фикс 16.08.23]]*3%</f>
        <v>2554.0217325000003</v>
      </c>
      <c r="AV20" s="93">
        <f>ППД5[[#This Row],[Фикс 16.08.23]]+ППД5[[#This Row],[Повышение 29.08.23 - 3%]]</f>
        <v>87688.079482500005</v>
      </c>
      <c r="AW20" s="93"/>
      <c r="AX20" s="93">
        <f>ППД5[[#This Row],[Фикс 29.08.23]]+ППД5[[#This Row],[Повышение 06.09.23 СТ и 1К]]</f>
        <v>87688.079482500005</v>
      </c>
      <c r="AY20" s="93"/>
      <c r="AZ20" s="93">
        <f>ППД5[[#This Row],[Повышение 23.10.23  В4 ]]+ППД5[[#This Row],[Фикс 06.09.23]]</f>
        <v>87688.079482500005</v>
      </c>
      <c r="BA20" s="93"/>
      <c r="BB20" s="93">
        <f>ППД5[[#This Row],[Повышение 8.11.23 1К 5%]]+ППД5[[#This Row],[Фикс 23.10.23]]</f>
        <v>87688.079482500005</v>
      </c>
      <c r="BC20" s="93"/>
      <c r="BD20" s="93">
        <f>ППД5[[#This Row],[Корректировка 24.11.23 - 1К В5, 2К А2, №233]]+ППД5[[#This Row],[Фикс 8.11.23]]</f>
        <v>87688.079482500005</v>
      </c>
      <c r="BE20" s="93"/>
      <c r="BF20" s="93">
        <f>ППД5[[#This Row],[Наценка за отделку 29.12.23 1%]]+ППД5[[#This Row],[Фикс 8.11.24]]</f>
        <v>87688.079482500005</v>
      </c>
      <c r="BG20" s="93"/>
      <c r="BH20" s="93">
        <f>ППД5[[#This Row],[Фикс 29.12.23]]+ППД5[[#This Row],[Наценка 10.01.24 5%]]</f>
        <v>87688.079482500005</v>
      </c>
      <c r="BI20" s="93"/>
      <c r="BJ20" s="93">
        <f>ППД5[[#This Row],[Наценка 26.02.24 1 Этаж]]+ППД5[[#This Row],[Фикс 10.01.24]]</f>
        <v>87688.079482500005</v>
      </c>
      <c r="BK20" s="93"/>
      <c r="BL20" s="93">
        <f>ППД5[[#This Row],[Фикс 26.02.24]]+ППД5[[#This Row],[Наценка 06.03.24
СТ, 1К - 3%
2К, 3К - 2%]]</f>
        <v>87688.079482500005</v>
      </c>
      <c r="BM20" s="93"/>
      <c r="BN20" s="93">
        <f>ППД5[[#This Row],[Фикс 06.03.24]]+ППД5[[#This Row],[Наценка Г2+500]]</f>
        <v>87688.079482500005</v>
      </c>
      <c r="BO20" s="93"/>
      <c r="BP20" s="93">
        <f>ППД5[[#This Row],[Фикс 13.03.25]]+ППД5[[#This Row],[Наценка 20.03.24
2К, 3К - 2%]]</f>
        <v>87688.079482500005</v>
      </c>
      <c r="BQ20" s="93"/>
      <c r="BR20" s="93">
        <f>ППД5[[#This Row],[Фикс 20.03.24]]+ППД5[[#This Row],[Наценка 08.04.24 
2К: В3 - 150
3К: Г7 +1000]]</f>
        <v>87688.079482500005</v>
      </c>
      <c r="BS20" s="93"/>
      <c r="BT20" s="93">
        <f>ППД5[[#This Row],[Фикс 08.04.24]]+ППД5[[#This Row],[Наценка 16.05.24 1%
А4,А6,Б3,Б6,Б7,В2,В3,В5,В6,Г1,Г3-Г5]]</f>
        <v>87688.079482500005</v>
      </c>
      <c r="BU20" s="93"/>
      <c r="BV20" s="93">
        <f>ППД5[[#This Row],[Фикс 16.05.24]]+ППД5[[#This Row],[Наценка 24.05.24
1% - Б4, Б5,Г2,Г6
2% - А1,А3,А5,Б2,Г7]]</f>
        <v>87688.079482500005</v>
      </c>
      <c r="BW20" s="93"/>
      <c r="BX20" s="93">
        <f>ППД5[[#This Row],[Наценка 06.06.24
0К: В2,Г3 +0,5%
1К: А7, Б5/4, Г6 +0,5%
3К: В6 +0,5%
1К: А3 +1%]]+ППД5[[#This Row],[Фикс 24.05.24]]</f>
        <v>87688.079482500005</v>
      </c>
      <c r="BY20" s="93"/>
      <c r="BZ20" s="93">
        <f>ППД5[[#This Row],[Фикс 06.06.24]]+ППД5[[#This Row],[13.06.2024
3К - 2%]]</f>
        <v>87688.079482500005</v>
      </c>
      <c r="CA20" s="93"/>
      <c r="CB20" s="93">
        <f>ППД5[[#This Row],[02.07.2024: Г3 А1 А3 Б5 Б7 Г2 Г6 Б3 Б4 В3 Г7 2,5% ост 0,5-1,5%]]+ППД5[[#This Row],[Фикс 13.06.24]]</f>
        <v>87688.079482500005</v>
      </c>
      <c r="CC20" s="93"/>
      <c r="CD20" s="93">
        <f>ППД5[[#This Row],[Фикс 02.07.24]]+ППД5[[#This Row],[04.09.2024 +500
0К - Б2; 1К - А3;
2К - А6, Б4, В3, Г5]]</f>
        <v>87688.079482500005</v>
      </c>
      <c r="CE20" s="93"/>
      <c r="CF20" s="93">
        <f>ППД5[[#This Row],[Наценка 16.09.2024
1К: А1,В7,Г6/7,Г8 - 2%
2К: А4,А5,А6,Б1,Б6,Б3/4,В3,В4,Г4,Г5 - 4%
3К: 4%]]+ППД5[[#This Row],[Фикс 04.09.24]]</f>
        <v>87688.079482500005</v>
      </c>
      <c r="CG20" s="93"/>
      <c r="CH20" s="93">
        <f>ППД5[[#This Row],[Фикс 16.09.2024]]+ППД5[[#This Row],[Наценка 01.11.24
СТ: 4%
1К: 34-40м 5%; 40м+ 8%; МГН 1%
2К: 55-70м 6%; 70-73м 7%; 73-76м 8% 
3К: 5%]]</f>
        <v>87688.079482500005</v>
      </c>
      <c r="CI20" s="93"/>
      <c r="CJ20" s="93">
        <f>ППД5[[#This Row],[Наценка 06.11 13%]]+ППД5[[#This Row],[Фикс 01.11.24]]</f>
        <v>87688.079482500005</v>
      </c>
      <c r="CK20" s="93"/>
      <c r="CL20" s="93">
        <f>ППД5[[#This Row],[Фикс 06.11.24]]+ППД5[[#This Row],[Наценка 18.12.24 распределение КВ]]</f>
        <v>87688.079482500005</v>
      </c>
      <c r="CM20" s="93"/>
      <c r="CN20" s="93">
        <f>ППД5[[#This Row],[Фикс 18.12.24]]+ППД5[[#This Row],[Наценка 10.02.25 +1%
1К: А3
2К: Б3, В3]]</f>
        <v>87688.079482500005</v>
      </c>
      <c r="CO20" s="93">
        <f>ROUND(ППД5[[#This Row],[Фикс 10.02.25]],2)</f>
        <v>87688.08</v>
      </c>
      <c r="CP2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5451600</v>
      </c>
      <c r="CQ20" s="93">
        <f>ROUNDUP(ППД5[[#This Row],[Стоимость до скидки]]+ППД5[[#This Row],[Сумма доплаты]],-2)</f>
        <v>5410400</v>
      </c>
      <c r="CR20" s="68">
        <v>30000</v>
      </c>
      <c r="CS20" s="90"/>
      <c r="CT20" s="68">
        <f>ППД5[[#This Row],[Стоимость до скидки]]*ППД5[[#This Row],[Скидка %]]+ППД5[[#This Row],[Скидка фиксированная]]</f>
        <v>30000</v>
      </c>
      <c r="CU20" s="3">
        <f>ППД5[[#This Row],[Стоимость ОН без отделки со скидкой]]/ППД5[[#This Row],[Расчетная проектная площадь]]</f>
        <v>87206.047933086695</v>
      </c>
      <c r="CV20" s="3">
        <f>ROUND(ППД5[[#This Row],[Стоимость до скидки]]-ППД5[[#This Row],[Итоговая сумма скидки]],2)</f>
        <v>5421600</v>
      </c>
      <c r="CW2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20" s="197">
        <v>7500</v>
      </c>
      <c r="CY20" s="332">
        <f>ППД5[[#This Row],[Расхождение]]/ППД5[[#This Row],[Расчетная проектная площадь]]</f>
        <v>-7.5599163583724149E-3</v>
      </c>
      <c r="CZ2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-0.29999999999999716</v>
      </c>
      <c r="DA20" s="3">
        <f>ППД5[[#This Row],[Цена м2 без отделки со скидкой]]+ППД5[[#This Row],[Стоимость отделки]]</f>
        <v>94706.047933086695</v>
      </c>
      <c r="DB20" s="3">
        <f>ППД5[[#This Row],[Стоимость квартиры с отделкой]]-ППД5[[#This Row],[Стоимость ОН без отделки со скидкой]]</f>
        <v>466275</v>
      </c>
      <c r="DC20" s="3">
        <f>ППД5[[#This Row],[Цена м2 с отделкой]]*ППД5[[#This Row],[Расчетная проектная площадь]]</f>
        <v>5887875</v>
      </c>
      <c r="DD20" s="3"/>
      <c r="DE20" s="111" t="s">
        <v>766</v>
      </c>
      <c r="DF20" s="155" t="s">
        <v>172</v>
      </c>
      <c r="DG20" s="245" t="s">
        <v>172</v>
      </c>
      <c r="DH20" s="100" t="b">
        <f>EXACT(ППД5[[#This Row],[Статусы CRM]],ППД5[[#This Row],[Статус]])</f>
        <v>1</v>
      </c>
      <c r="DI20" s="213" t="s">
        <v>192</v>
      </c>
      <c r="DJ20" s="204"/>
      <c r="DK20" s="111" t="s">
        <v>763</v>
      </c>
      <c r="DL20" s="216" t="s">
        <v>13</v>
      </c>
      <c r="DM20" s="201" t="b">
        <f>ППД5[[#This Row],[Отделка CRM]]=ППД5[[#This Row],[Отделка]]</f>
        <v>1</v>
      </c>
      <c r="DN20" s="203">
        <v>5887875</v>
      </c>
      <c r="DO2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0" s="207" t="b">
        <f>IF(AND(ППД5[[#This Row],[Статус]]="свободно",ППД5[[#This Row],[Итоговая сумма скидки]]&lt;&gt;0),FALSE,TRUE)</f>
        <v>1</v>
      </c>
      <c r="DQ20" s="240">
        <f>_xlfn.XLOOKUP(ППД5[[#This Row],[№]],Юрист[№ кв],Юрист[Дата подачи на регистрацию]," ",0,-1)</f>
        <v>45289</v>
      </c>
      <c r="DR20" s="115" t="str">
        <f>_xlfn.XLOOKUP(ППД5[[#This Row],[№]],Юрист[№ кв],Юрист[МОП],"",0,-1)</f>
        <v>Дик</v>
      </c>
      <c r="DS20" s="333" t="s">
        <v>2332</v>
      </c>
      <c r="DT20" s="333" t="s">
        <v>2333</v>
      </c>
      <c r="DU20" s="333">
        <v>60.4</v>
      </c>
      <c r="DV20" s="111"/>
    </row>
    <row r="21" spans="1:126" hidden="1" x14ac:dyDescent="0.25">
      <c r="A21" s="112">
        <v>19</v>
      </c>
      <c r="B21" s="111" t="s">
        <v>5</v>
      </c>
      <c r="C21" s="111">
        <v>3</v>
      </c>
      <c r="D21" s="111">
        <v>6</v>
      </c>
      <c r="E21" s="111">
        <v>2</v>
      </c>
      <c r="F21" s="105">
        <v>14.64</v>
      </c>
      <c r="G21" s="105">
        <v>10.74</v>
      </c>
      <c r="H21" s="105"/>
      <c r="I21" s="94">
        <f>SUM(ППД5[[#This Row],[Комната 1]:[Комната 3]])</f>
        <v>25.380000000000003</v>
      </c>
      <c r="J21" s="105">
        <v>14.35</v>
      </c>
      <c r="K21" s="105">
        <v>4.16</v>
      </c>
      <c r="L21" s="105">
        <v>1.93</v>
      </c>
      <c r="M21" s="105"/>
      <c r="N21" s="105">
        <v>11.03</v>
      </c>
      <c r="O21" s="105">
        <v>2.6219999999999999</v>
      </c>
      <c r="P21" s="105"/>
      <c r="Q21" s="105"/>
      <c r="R21" s="105">
        <f>SUM(ППД5[[#This Row],[Лоджия 1]:[Лоджия 3]])</f>
        <v>2.6219999999999999</v>
      </c>
      <c r="S21" s="8">
        <f>ROUND(SUM(ППД5[[#This Row],[Площадь по проекту жилая]:[Лоджия 3]]),2)</f>
        <v>59.47</v>
      </c>
      <c r="T21" s="8">
        <f>ROUND(ППД5[[#This Row],[Площадь по проекту(общая)]]-ППД5[[#This Row],[Летние]],2)</f>
        <v>56.85</v>
      </c>
      <c r="U21" s="91">
        <f>ROUND(ППД5[[#This Row],[Площадь по проекту(общая)]]-(SUM(ППД5[[#This Row],[Лоджия 1]:[Лоджия 3]])/2),2)</f>
        <v>58.16</v>
      </c>
      <c r="V21" s="91">
        <f>IF(ППД5[[#This Row],[Статус]]="продажа",ППД5[[#This Row],[Расчетная проектная площадь]],ППД5[[#This Row],[Расчетная ТП площадь]])</f>
        <v>58.16</v>
      </c>
      <c r="W21" s="91">
        <v>10.7</v>
      </c>
      <c r="X21" s="91">
        <v>14.6</v>
      </c>
      <c r="Y21" s="91"/>
      <c r="Z21" s="91">
        <f>SUM(ППД5[[#This Row],[ТП Комната 1]:[ТП Комната 3]])</f>
        <v>25.299999999999997</v>
      </c>
      <c r="AA21" s="91">
        <v>14.3</v>
      </c>
      <c r="AB21" s="91">
        <v>4.2</v>
      </c>
      <c r="AC21" s="91">
        <v>2</v>
      </c>
      <c r="AD21" s="91"/>
      <c r="AE21" s="91">
        <v>11</v>
      </c>
      <c r="AF21" s="91">
        <v>1.3</v>
      </c>
      <c r="AG21" s="91"/>
      <c r="AH21" s="91"/>
      <c r="AI21" s="91">
        <f>SUM(ППД5[[#This Row],[ТП Лоджия 1]:[ТП Лоджия 3]])</f>
        <v>1.3</v>
      </c>
      <c r="AJ21" s="95">
        <v>2.6</v>
      </c>
      <c r="AK21" s="91">
        <f>SUM(ППД5[[#This Row],[Площадь по ТП жилая]:[ТП Лоджия 3]])-ППД5[[#This Row],[ТП Летние]]+ППД5[[#This Row],[кроме того прочая
(без коэффициента)]]</f>
        <v>59.4</v>
      </c>
      <c r="AL21" s="95">
        <f>ППД5[[#This Row],[ТП Площадь без летних]]+(ППД5[[#This Row],[ТП Летние]])</f>
        <v>58.099999999999994</v>
      </c>
      <c r="AM21" s="91">
        <f>ППД5[[#This Row],[ТП общая S]]-ППД5[[#This Row],[кроме того прочая
(без коэффициента)]]</f>
        <v>56.8</v>
      </c>
      <c r="AN21" s="95">
        <f>SUM(ППД5[[#This Row],[ТП Кухня]:[ТП Коридор]])</f>
        <v>31.5</v>
      </c>
      <c r="AO21" s="91">
        <f>ППД5[[#This Row],[Расчетная ТП площадь]]-ППД5[[#This Row],[Расчетная проектная площадь]]</f>
        <v>-6.0000000000002274E-2</v>
      </c>
      <c r="AP21" s="335">
        <f>ППД5[[#This Row],[Расчетная ТП площадь]]/ППД5[[#This Row],[Расчетная проектная площадь]]-1</f>
        <v>-1.0316368638240148E-3</v>
      </c>
      <c r="AQ21" s="91">
        <f>ППД5[[#This Row],[% расхождения]]*ППД5[[#This Row],[Стоимость до скидки]]</f>
        <v>-7558.7001375521741</v>
      </c>
      <c r="AR21" s="91">
        <f>VLOOKUP(ППД5[[#This Row],[№]],наценкад5[],COLUMN(наценкад5[[#This Row],[Цена м2 с учетом всех K]]),0)</f>
        <v>82238.34150000001</v>
      </c>
      <c r="AS21" s="8">
        <f>ППД5[[#This Row],[м2 после К]]*5%</f>
        <v>4111.9170750000003</v>
      </c>
      <c r="AT21" s="8">
        <f>ППД5[[#This Row],[м2 после К]]+ППД5[[#This Row],[Повышение 16.08.23 - 5%]]</f>
        <v>86350.258575000014</v>
      </c>
      <c r="AU21" s="93">
        <f>ППД5[[#This Row],[Фикс 16.08.23]]*3%</f>
        <v>2590.5077572500004</v>
      </c>
      <c r="AV21" s="93">
        <f>ППД5[[#This Row],[Фикс 16.08.23]]+ППД5[[#This Row],[Повышение 29.08.23 - 3%]]</f>
        <v>88940.766332250016</v>
      </c>
      <c r="AW21" s="93"/>
      <c r="AX21" s="93">
        <f>ППД5[[#This Row],[Фикс 29.08.23]]+ППД5[[#This Row],[Повышение 06.09.23 СТ и 1К]]</f>
        <v>88940.766332250016</v>
      </c>
      <c r="AY21" s="93"/>
      <c r="AZ21" s="93">
        <f>ППД5[[#This Row],[Повышение 23.10.23  В4 ]]+ППД5[[#This Row],[Фикс 06.09.23]]</f>
        <v>88940.766332250016</v>
      </c>
      <c r="BA21" s="93"/>
      <c r="BB21" s="93">
        <f>ППД5[[#This Row],[Повышение 8.11.23 1К 5%]]+ППД5[[#This Row],[Фикс 23.10.23]]</f>
        <v>88940.766332250016</v>
      </c>
      <c r="BC21" s="93"/>
      <c r="BD21" s="93">
        <f>ППД5[[#This Row],[Корректировка 24.11.23 - 1К В5, 2К А2, №233]]+ППД5[[#This Row],[Фикс 8.11.23]]</f>
        <v>88940.766332250016</v>
      </c>
      <c r="BE21" s="93">
        <f>ППД5[[#This Row],[Фикс 8.11.24]]*1%</f>
        <v>889.40766332250018</v>
      </c>
      <c r="BF21" s="93">
        <f>ППД5[[#This Row],[Наценка за отделку 29.12.23 1%]]+ППД5[[#This Row],[Фикс 8.11.24]]</f>
        <v>89830.173995572521</v>
      </c>
      <c r="BG21" s="93">
        <f>ППД5[[#This Row],[Фикс 29.12.23]]*5%</f>
        <v>4491.5086997786266</v>
      </c>
      <c r="BH21" s="93">
        <f>ППД5[[#This Row],[Фикс 29.12.23]]+ППД5[[#This Row],[Наценка 10.01.24 5%]]</f>
        <v>94321.682695351148</v>
      </c>
      <c r="BI21" s="93"/>
      <c r="BJ21" s="93">
        <f>ППД5[[#This Row],[Наценка 26.02.24 1 Этаж]]+ППД5[[#This Row],[Фикс 10.01.24]]</f>
        <v>94321.682695351148</v>
      </c>
      <c r="BK21" s="93">
        <f>ППД5[[#This Row],[Фикс 26.02.24]]*2%</f>
        <v>1886.433653907023</v>
      </c>
      <c r="BL21" s="93">
        <f>ППД5[[#This Row],[Фикс 26.02.24]]+ППД5[[#This Row],[Наценка 06.03.24
СТ, 1К - 3%
2К, 3К - 2%]]</f>
        <v>96208.116349258169</v>
      </c>
      <c r="BM21" s="93"/>
      <c r="BN21" s="93">
        <f>ППД5[[#This Row],[Фикс 06.03.24]]+ППД5[[#This Row],[Наценка Г2+500]]</f>
        <v>96208.116349258169</v>
      </c>
      <c r="BO21" s="93">
        <f>ППД5[[#This Row],[Фикс 13.03.25]]*2%</f>
        <v>1924.1623269851634</v>
      </c>
      <c r="BP21" s="93">
        <f>ППД5[[#This Row],[Фикс 13.03.25]]+ППД5[[#This Row],[Наценка 20.03.24
2К, 3К - 2%]]</f>
        <v>98132.278676243339</v>
      </c>
      <c r="BQ21" s="93"/>
      <c r="BR21" s="93">
        <f>ППД5[[#This Row],[Фикс 20.03.24]]+ППД5[[#This Row],[Наценка 08.04.24 
2К: В3 - 150
3К: Г7 +1000]]</f>
        <v>98132.278676243339</v>
      </c>
      <c r="BS21" s="93">
        <f>ППД5[[#This Row],[Фикс 08.04.24]]*1%</f>
        <v>981.32278676243345</v>
      </c>
      <c r="BT21" s="93">
        <f>ППД5[[#This Row],[Фикс 08.04.24]]+ППД5[[#This Row],[Наценка 16.05.24 1%
А4,А6,Б3,Б6,Б7,В2,В3,В5,В6,Г1,Г3-Г5]]</f>
        <v>99113.601463005776</v>
      </c>
      <c r="BU21" s="93"/>
      <c r="BV21" s="93">
        <f>ППД5[[#This Row],[Фикс 16.05.24]]+ППД5[[#This Row],[Наценка 24.05.24
1% - Б4, Б5,Г2,Г6
2% - А1,А3,А5,Б2,Г7]]</f>
        <v>99113.601463005776</v>
      </c>
      <c r="BW21" s="93"/>
      <c r="BX21" s="93">
        <f>ППД5[[#This Row],[Наценка 06.06.24
0К: В2,Г3 +0,5%
1К: А7, Б5/4, Г6 +0,5%
3К: В6 +0,5%
1К: А3 +1%]]+ППД5[[#This Row],[Фикс 24.05.24]]</f>
        <v>99113.601463005776</v>
      </c>
      <c r="BY21" s="93"/>
      <c r="BZ21" s="93">
        <f>ППД5[[#This Row],[Фикс 06.06.24]]+ППД5[[#This Row],[13.06.2024
3К - 2%]]</f>
        <v>99113.601463005776</v>
      </c>
      <c r="CA21" s="9">
        <f>1.5%*ППД5[[#This Row],[Фикс 13.06.24]]</f>
        <v>1486.7040219450867</v>
      </c>
      <c r="CB21" s="93">
        <f>ППД5[[#This Row],[02.07.2024: Г3 А1 А3 Б5 Б7 Г2 Г6 Б3 Б4 В3 Г7 2,5% ост 0,5-1,5%]]+ППД5[[#This Row],[Фикс 13.06.24]]</f>
        <v>100600.30548495086</v>
      </c>
      <c r="CC21" s="93">
        <v>500</v>
      </c>
      <c r="CD21" s="93">
        <f>ППД5[[#This Row],[Фикс 02.07.24]]+ППД5[[#This Row],[04.09.2024 +500
0К - Б2; 1К - А3;
2К - А6, Б4, В3, Г5]]</f>
        <v>101100.30548495086</v>
      </c>
      <c r="CE21" s="93">
        <f>ППД5[[#This Row],[Фикс 04.09.24]]*4%</f>
        <v>4044.0122193980346</v>
      </c>
      <c r="CF21" s="93">
        <f>ППД5[[#This Row],[Наценка 16.09.2024
1К: А1,В7,Г6/7,Г8 - 2%
2К: А4,А5,А6,Б1,Б6,Б3/4,В3,В4,Г4,Г5 - 4%
3К: 4%]]+ППД5[[#This Row],[Фикс 04.09.24]]</f>
        <v>105144.3177043489</v>
      </c>
      <c r="CG21" s="93">
        <f>ППД5[[#This Row],[Фикс 16.09.2024]]*6%</f>
        <v>6308.6590622609338</v>
      </c>
      <c r="CH21" s="93">
        <f>ППД5[[#This Row],[Фикс 16.09.2024]]+ППД5[[#This Row],[Наценка 01.11.24
СТ: 4%
1К: 34-40м 5%; 40м+ 8%; МГН 1%
2К: 55-70м 6%; 70-73м 7%; 73-76м 8% 
3К: 5%]]</f>
        <v>111452.97676660983</v>
      </c>
      <c r="CI21" s="93">
        <f>ППД5[[#This Row],[Фикс 01.11.24]]*13%</f>
        <v>14488.886979659279</v>
      </c>
      <c r="CJ21" s="93">
        <f>ППД5[[#This Row],[Наценка 06.11 13%]]+ППД5[[#This Row],[Фикс 01.11.24]]</f>
        <v>125941.86374626911</v>
      </c>
      <c r="CK21" s="93">
        <v>35</v>
      </c>
      <c r="CL21" s="93">
        <f>ППД5[[#This Row],[Фикс 06.11.24]]+ППД5[[#This Row],[Наценка 18.12.24 распределение КВ]]</f>
        <v>125976.86374626911</v>
      </c>
      <c r="CM21" s="93"/>
      <c r="CN21" s="93">
        <f>ППД5[[#This Row],[Фикс 18.12.24]]+ППД5[[#This Row],[Наценка 10.02.25 +1%
1К: А3
2К: Б3, В3]]</f>
        <v>125976.86374626911</v>
      </c>
      <c r="CO21" s="93">
        <f>ROUND(ППД5[[#This Row],[Фикс 10.02.25]],2)</f>
        <v>125976.86</v>
      </c>
      <c r="CP2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7326900</v>
      </c>
      <c r="CQ21" s="93">
        <f>ROUNDUP(ППД5[[#This Row],[Стоимость до скидки]]+ППД5[[#This Row],[Сумма доплаты]],-2)</f>
        <v>7319400</v>
      </c>
      <c r="CR21" s="68">
        <v>300000</v>
      </c>
      <c r="CS21" s="90">
        <v>0.03</v>
      </c>
      <c r="CT21" s="68">
        <f>ППД5[[#This Row],[Стоимость до скидки]]*ППД5[[#This Row],[Скидка %]]+ППД5[[#This Row],[Скидка фиксированная]]</f>
        <v>519807</v>
      </c>
      <c r="CU21" s="3">
        <f>ППД5[[#This Row],[Стоимость ОН без отделки со скидкой]]/ППД5[[#This Row],[Расчетная проектная площадь]]</f>
        <v>117040.80123796425</v>
      </c>
      <c r="CV21" s="3">
        <f>ROUND(ППД5[[#This Row],[Стоимость до скидки]]-ППД5[[#This Row],[Итоговая сумма скидки]],2)</f>
        <v>6807093</v>
      </c>
      <c r="CW2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1" s="197"/>
      <c r="CY21" s="332">
        <f>ППД5[[#This Row],[Расхождение]]/ППД5[[#This Row],[Расчетная проектная площадь]]</f>
        <v>-1.0316368638239731E-3</v>
      </c>
      <c r="CZ2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2.9999999999999361E-2</v>
      </c>
      <c r="DA21" s="3">
        <f>ППД5[[#This Row],[Цена м2 без отделки со скидкой]]+ППД5[[#This Row],[Стоимость отделки]]</f>
        <v>117040.80123796425</v>
      </c>
      <c r="DB21" s="3">
        <f>ППД5[[#This Row],[Стоимость квартиры с отделкой]]-ППД5[[#This Row],[Стоимость ОН без отделки со скидкой]]</f>
        <v>0</v>
      </c>
      <c r="DC21" s="3">
        <f>ППД5[[#This Row],[Цена м2 с отделкой]]*ППД5[[#This Row],[Расчетная проектная площадь]]</f>
        <v>6807093</v>
      </c>
      <c r="DD21" s="3"/>
      <c r="DE21" s="111" t="s">
        <v>2200</v>
      </c>
      <c r="DF21" s="155" t="s">
        <v>172</v>
      </c>
      <c r="DG21" s="221" t="s">
        <v>172</v>
      </c>
      <c r="DH21" s="100" t="b">
        <f>EXACT(ППД5[[#This Row],[Статусы CRM]],ППД5[[#This Row],[Статус]])</f>
        <v>1</v>
      </c>
      <c r="DI21" s="213" t="s">
        <v>193</v>
      </c>
      <c r="DJ21" s="204"/>
      <c r="DK21" s="111" t="s">
        <v>763</v>
      </c>
      <c r="DL21" s="216" t="s">
        <v>12</v>
      </c>
      <c r="DM21" s="201" t="b">
        <f>ППД5[[#This Row],[Отделка CRM]]=ППД5[[#This Row],[Отделка]]</f>
        <v>1</v>
      </c>
      <c r="DN21" s="203">
        <v>6807093</v>
      </c>
      <c r="DO2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1" s="207" t="b">
        <f>IF(AND(ППД5[[#This Row],[Статус]]="свободно",ППД5[[#This Row],[Итоговая сумма скидки]]&lt;&gt;0),FALSE,TRUE)</f>
        <v>1</v>
      </c>
      <c r="DQ21" s="240" t="str">
        <f>_xlfn.XLOOKUP(ППД5[[#This Row],[№]],Юрист[№ кв],Юрист[Дата подачи на регистрацию]," ",0,-1)</f>
        <v xml:space="preserve"> </v>
      </c>
      <c r="DR21" s="115" t="str">
        <f>_xlfn.XLOOKUP(ППД5[[#This Row],[№]],Юрист[№ кв],Юрист[МОП],"",0,-1)</f>
        <v/>
      </c>
      <c r="DS21" s="333" t="s">
        <v>2334</v>
      </c>
      <c r="DT21" s="333" t="s">
        <v>2335</v>
      </c>
      <c r="DU21" s="333">
        <v>56.8</v>
      </c>
      <c r="DV21" s="111"/>
    </row>
    <row r="22" spans="1:126" hidden="1" x14ac:dyDescent="0.25">
      <c r="A22" s="112">
        <v>20</v>
      </c>
      <c r="B22" s="111" t="s">
        <v>5</v>
      </c>
      <c r="C22" s="111">
        <v>3</v>
      </c>
      <c r="D22" s="111">
        <v>7</v>
      </c>
      <c r="E22" s="111">
        <v>1</v>
      </c>
      <c r="F22" s="157">
        <v>18.489999999999998</v>
      </c>
      <c r="G22" s="105"/>
      <c r="H22" s="105"/>
      <c r="I22" s="94">
        <f>SUM(ППД5[[#This Row],[Комната 1]:[Комната 3]])</f>
        <v>18.489999999999998</v>
      </c>
      <c r="J22" s="105">
        <v>13.04</v>
      </c>
      <c r="K22" s="105">
        <v>3.9</v>
      </c>
      <c r="L22" s="105"/>
      <c r="M22" s="105"/>
      <c r="N22" s="105">
        <v>5.99</v>
      </c>
      <c r="O22" s="105">
        <v>2.65</v>
      </c>
      <c r="P22" s="105"/>
      <c r="Q22" s="105"/>
      <c r="R22" s="105">
        <f>SUM(ППД5[[#This Row],[Лоджия 1]:[Лоджия 3]])</f>
        <v>2.65</v>
      </c>
      <c r="S22" s="7">
        <f>ROUND(SUM(ППД5[[#This Row],[Площадь по проекту жилая]:[Лоджия 3]]),2)</f>
        <v>44.07</v>
      </c>
      <c r="T22" s="7">
        <f>ROUND(ППД5[[#This Row],[Площадь по проекту(общая)]]-ППД5[[#This Row],[Летние]],2)</f>
        <v>41.42</v>
      </c>
      <c r="U22" s="92">
        <f>ROUND(ППД5[[#This Row],[Площадь по проекту(общая)]]-(SUM(ППД5[[#This Row],[Лоджия 1]:[Лоджия 3]])/2),2)</f>
        <v>42.75</v>
      </c>
      <c r="V22" s="92">
        <f>IF(ППД5[[#This Row],[Статус]]="продажа",ППД5[[#This Row],[Расчетная проектная площадь]],ППД5[[#This Row],[Расчетная ТП площадь]])</f>
        <v>42.75</v>
      </c>
      <c r="W22" s="92">
        <v>18.5</v>
      </c>
      <c r="X22" s="92"/>
      <c r="Y22" s="92"/>
      <c r="Z22" s="92">
        <f>SUM(ППД5[[#This Row],[ТП Комната 1]:[ТП Комната 3]])</f>
        <v>18.5</v>
      </c>
      <c r="AA22" s="92">
        <v>12.7</v>
      </c>
      <c r="AB22" s="92">
        <v>3.9</v>
      </c>
      <c r="AC22" s="92"/>
      <c r="AD22" s="92"/>
      <c r="AE22" s="92">
        <v>6.1</v>
      </c>
      <c r="AF22" s="92">
        <v>1.3</v>
      </c>
      <c r="AG22" s="92"/>
      <c r="AH22" s="92"/>
      <c r="AI22" s="91">
        <f>SUM(ППД5[[#This Row],[ТП Лоджия 1]:[ТП Лоджия 3]])</f>
        <v>1.3</v>
      </c>
      <c r="AJ22" s="95">
        <v>2.6</v>
      </c>
      <c r="AK22" s="92">
        <f>SUM(ППД5[[#This Row],[Площадь по ТП жилая]:[ТП Лоджия 3]])-ППД5[[#This Row],[ТП Летние]]+ППД5[[#This Row],[кроме того прочая
(без коэффициента)]]</f>
        <v>43.800000000000004</v>
      </c>
      <c r="AL22" s="95">
        <f>ППД5[[#This Row],[ТП Площадь без летних]]+(ППД5[[#This Row],[ТП Летние]])</f>
        <v>42.5</v>
      </c>
      <c r="AM22" s="92">
        <f>ППД5[[#This Row],[ТП общая S]]-ППД5[[#This Row],[кроме того прочая
(без коэффициента)]]</f>
        <v>41.2</v>
      </c>
      <c r="AN22" s="95">
        <f>SUM(ППД5[[#This Row],[ТП Кухня]:[ТП Коридор]])</f>
        <v>22.699999999999996</v>
      </c>
      <c r="AO22" s="91">
        <f>ППД5[[#This Row],[Расчетная ТП площадь]]-ППД5[[#This Row],[Расчетная проектная площадь]]</f>
        <v>-0.25</v>
      </c>
      <c r="AP22" s="335">
        <f>ППД5[[#This Row],[Расчетная ТП площадь]]/ППД5[[#This Row],[Расчетная проектная площадь]]-1</f>
        <v>-5.8479532163743242E-3</v>
      </c>
      <c r="AQ22" s="92">
        <f>ППД5[[#This Row],[% расхождения]]*ППД5[[#This Row],[Стоимость до скидки]]</f>
        <v>-27336.842105263415</v>
      </c>
      <c r="AR22" s="92">
        <f>VLOOKUP(ППД5[[#This Row],[№]],наценкад5[],COLUMN(наценкад5[[#This Row],[Цена м2 с учетом всех K]]),0)</f>
        <v>84762.5625</v>
      </c>
      <c r="AS22" s="7">
        <f>ППД5[[#This Row],[м2 после К]]*5%</f>
        <v>4238.1281250000002</v>
      </c>
      <c r="AT22" s="7">
        <f>ППД5[[#This Row],[м2 после К]]+ППД5[[#This Row],[Повышение 16.08.23 - 5%]]</f>
        <v>89000.690625000003</v>
      </c>
      <c r="AU22" s="9">
        <f>ППД5[[#This Row],[Фикс 16.08.23]]*3%</f>
        <v>2670.02071875</v>
      </c>
      <c r="AV22" s="9">
        <f>ППД5[[#This Row],[Фикс 16.08.23]]+ППД5[[#This Row],[Повышение 29.08.23 - 3%]]</f>
        <v>91670.711343750008</v>
      </c>
      <c r="AW22" s="93">
        <f>ППД5[[#This Row],[Фикс 29.08.23]]*4%</f>
        <v>3666.8284537500003</v>
      </c>
      <c r="AX22" s="9">
        <f>ППД5[[#This Row],[Фикс 29.08.23]]+ППД5[[#This Row],[Повышение 06.09.23 СТ и 1К]]</f>
        <v>95337.539797500009</v>
      </c>
      <c r="AY22" s="9"/>
      <c r="AZ22" s="9">
        <f>ППД5[[#This Row],[Повышение 23.10.23  В4 ]]+ППД5[[#This Row],[Фикс 06.09.23]]</f>
        <v>95337.539797500009</v>
      </c>
      <c r="BA22" s="93">
        <f>ППД5[[#This Row],[Фикс 23.10.23]]*5%</f>
        <v>4766.8769898750006</v>
      </c>
      <c r="BB22" s="93">
        <f>ППД5[[#This Row],[Повышение 8.11.23 1К 5%]]+ППД5[[#This Row],[Фикс 23.10.23]]</f>
        <v>100104.41678737501</v>
      </c>
      <c r="BC22" s="93"/>
      <c r="BD22" s="93">
        <f>ППД5[[#This Row],[Корректировка 24.11.23 - 1К В5, 2К А2, №233]]+ППД5[[#This Row],[Фикс 8.11.23]]</f>
        <v>100104.41678737501</v>
      </c>
      <c r="BE22" s="93">
        <f>ППД5[[#This Row],[Фикс 8.11.24]]*1%</f>
        <v>1001.0441678737501</v>
      </c>
      <c r="BF22" s="93">
        <f>ППД5[[#This Row],[Наценка за отделку 29.12.23 1%]]+ППД5[[#This Row],[Фикс 8.11.24]]</f>
        <v>101105.46095524877</v>
      </c>
      <c r="BG22" s="93">
        <f>ППД5[[#This Row],[Фикс 29.12.23]]*5%</f>
        <v>5055.2730477624391</v>
      </c>
      <c r="BH22" s="93">
        <f>ППД5[[#This Row],[Фикс 29.12.23]]+ППД5[[#This Row],[Наценка 10.01.24 5%]]</f>
        <v>106160.73400301121</v>
      </c>
      <c r="BI22" s="93"/>
      <c r="BJ22" s="93">
        <f>ППД5[[#This Row],[Наценка 26.02.24 1 Этаж]]+ППД5[[#This Row],[Фикс 10.01.24]]</f>
        <v>106160.73400301121</v>
      </c>
      <c r="BK22" s="93">
        <f>ППД5[[#This Row],[Фикс 26.02.24]]*3%</f>
        <v>3184.8220200903361</v>
      </c>
      <c r="BL22" s="93">
        <f>ППД5[[#This Row],[Фикс 26.02.24]]+ППД5[[#This Row],[Наценка 06.03.24
СТ, 1К - 3%
2К, 3К - 2%]]</f>
        <v>109345.55602310154</v>
      </c>
      <c r="BM22" s="93"/>
      <c r="BN22" s="93">
        <f>ППД5[[#This Row],[Фикс 06.03.24]]+ППД5[[#This Row],[Наценка Г2+500]]</f>
        <v>109345.55602310154</v>
      </c>
      <c r="BO22" s="93"/>
      <c r="BP22" s="93">
        <f>ППД5[[#This Row],[Фикс 13.03.25]]+ППД5[[#This Row],[Наценка 20.03.24
2К, 3К - 2%]]</f>
        <v>109345.55602310154</v>
      </c>
      <c r="BQ22" s="93"/>
      <c r="BR22" s="93">
        <f>ППД5[[#This Row],[Фикс 20.03.24]]+ППД5[[#This Row],[Наценка 08.04.24 
2К: В3 - 150
3К: Г7 +1000]]</f>
        <v>109345.55602310154</v>
      </c>
      <c r="BS22" s="93"/>
      <c r="BT22" s="93">
        <f>ППД5[[#This Row],[Фикс 08.04.24]]+ППД5[[#This Row],[Наценка 16.05.24 1%
А4,А6,Б3,Б6,Б7,В2,В3,В5,В6,Г1,Г3-Г5]]</f>
        <v>109345.55602310154</v>
      </c>
      <c r="BU22" s="93"/>
      <c r="BV22" s="93">
        <f>ППД5[[#This Row],[Фикс 16.05.24]]+ППД5[[#This Row],[Наценка 24.05.24
1% - Б4, Б5,Г2,Г6
2% - А1,А3,А5,Б2,Г7]]</f>
        <v>109345.55602310154</v>
      </c>
      <c r="BW22" s="9"/>
      <c r="BX22" s="93">
        <f>ППД5[[#This Row],[Наценка 06.06.24
0К: В2,Г3 +0,5%
1К: А7, Б5/4, Г6 +0,5%
3К: В6 +0,5%
1К: А3 +1%]]+ППД5[[#This Row],[Фикс 24.05.24]]</f>
        <v>109345.55602310154</v>
      </c>
      <c r="BY22" s="93"/>
      <c r="BZ22" s="93">
        <f>ППД5[[#This Row],[Фикс 06.06.24]]+ППД5[[#This Row],[13.06.2024
3К - 2%]]</f>
        <v>109345.55602310154</v>
      </c>
      <c r="CA22" s="93"/>
      <c r="CB22" s="93">
        <f>ППД5[[#This Row],[02.07.2024: Г3 А1 А3 Б5 Б7 Г2 Г6 Б3 Б4 В3 Г7 2,5% ост 0,5-1,5%]]+ППД5[[#This Row],[Фикс 13.06.24]]</f>
        <v>109345.55602310154</v>
      </c>
      <c r="CC22" s="93"/>
      <c r="CD22" s="93">
        <f>ППД5[[#This Row],[Фикс 02.07.24]]+ППД5[[#This Row],[04.09.2024 +500
0К - Б2; 1К - А3;
2К - А6, Б4, В3, Г5]]</f>
        <v>109345.55602310154</v>
      </c>
      <c r="CE22" s="93"/>
      <c r="CF22" s="93">
        <f>ППД5[[#This Row],[Наценка 16.09.2024
1К: А1,В7,Г6/7,Г8 - 2%
2К: А4,А5,А6,Б1,Б6,Б3/4,В3,В4,Г4,Г5 - 4%
3К: 4%]]+ППД5[[#This Row],[Фикс 04.09.24]]</f>
        <v>109345.55602310154</v>
      </c>
      <c r="CG22" s="93"/>
      <c r="CH22" s="93">
        <f>ППД5[[#This Row],[Фикс 16.09.2024]]+ППД5[[#This Row],[Наценка 01.11.24
СТ: 4%
1К: 34-40м 5%; 40м+ 8%; МГН 1%
2К: 55-70м 6%; 70-73м 7%; 73-76м 8% 
3К: 5%]]</f>
        <v>109345.55602310154</v>
      </c>
      <c r="CI22" s="93"/>
      <c r="CJ22" s="93">
        <f>ППД5[[#This Row],[Наценка 06.11 13%]]+ППД5[[#This Row],[Фикс 01.11.24]]</f>
        <v>109345.55602310154</v>
      </c>
      <c r="CK22" s="93"/>
      <c r="CL22" s="93">
        <f>ППД5[[#This Row],[Фикс 06.11.24]]+ППД5[[#This Row],[Наценка 18.12.24 распределение КВ]]</f>
        <v>109345.55602310154</v>
      </c>
      <c r="CM22" s="93"/>
      <c r="CN22" s="93">
        <f>ППД5[[#This Row],[Фикс 18.12.24]]+ППД5[[#This Row],[Наценка 10.02.25 +1%
1К: А3
2К: Б3, В3]]</f>
        <v>109345.55602310154</v>
      </c>
      <c r="CO22" s="9">
        <f>ROUND(ППД5[[#This Row],[Фикс 10.02.25]],2)</f>
        <v>109345.56</v>
      </c>
      <c r="CP2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4674600</v>
      </c>
      <c r="CQ22" s="93">
        <f>ROUNDUP(ППД5[[#This Row],[Стоимость до скидки]]+ППД5[[#This Row],[Сумма доплаты]],-2)</f>
        <v>4647300</v>
      </c>
      <c r="CR22" s="68"/>
      <c r="CS22" s="90">
        <v>0.03</v>
      </c>
      <c r="CT22" s="68">
        <f>ППД5[[#This Row],[Стоимость до скидки]]*ППД5[[#This Row],[Скидка %]]+ППД5[[#This Row],[Скидка фиксированная]]</f>
        <v>140238</v>
      </c>
      <c r="CU22" s="3">
        <f>ППД5[[#This Row],[Стоимость ОН без отделки со скидкой]]/ППД5[[#This Row],[Расчетная проектная площадь]]</f>
        <v>106066.94736842105</v>
      </c>
      <c r="CV22" s="3">
        <f>ROUND(ППД5[[#This Row],[Стоимость до скидки]]-ППД5[[#This Row],[Итоговая сумма скидки]],2)</f>
        <v>4534362</v>
      </c>
      <c r="CW2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2" s="197">
        <v>20000</v>
      </c>
      <c r="CY22" s="332">
        <f>ППД5[[#This Row],[Расхождение]]/ППД5[[#This Row],[Расчетная проектная площадь]]</f>
        <v>-5.8479532163742687E-3</v>
      </c>
      <c r="CZ2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-0.23000000000000576</v>
      </c>
      <c r="DA22" s="3">
        <f>ППД5[[#This Row],[Цена м2 без отделки со скидкой]]+ППД5[[#This Row],[Стоимость отделки]]</f>
        <v>126066.94736842105</v>
      </c>
      <c r="DB22" s="3">
        <f>ППД5[[#This Row],[Стоимость квартиры с отделкой]]-ППД5[[#This Row],[Стоимость ОН без отделки со скидкой]]</f>
        <v>855000</v>
      </c>
      <c r="DC22" s="3">
        <f>ППД5[[#This Row],[Цена м2 с отделкой]]*ППД5[[#This Row],[Расчетная проектная площадь]]</f>
        <v>5389362</v>
      </c>
      <c r="DD22" s="3"/>
      <c r="DE22" s="111" t="s">
        <v>162</v>
      </c>
      <c r="DF22" s="155" t="s">
        <v>172</v>
      </c>
      <c r="DG22" s="245" t="s">
        <v>172</v>
      </c>
      <c r="DH22" s="100" t="b">
        <f>EXACT(ППД5[[#This Row],[Статусы CRM]],ППД5[[#This Row],[Статус]])</f>
        <v>1</v>
      </c>
      <c r="DI22" s="213" t="s">
        <v>194</v>
      </c>
      <c r="DJ22" s="204"/>
      <c r="DK22" s="111" t="s">
        <v>763</v>
      </c>
      <c r="DL22" s="216" t="s">
        <v>14</v>
      </c>
      <c r="DM22" s="201" t="b">
        <f>ППД5[[#This Row],[Отделка CRM]]=ППД5[[#This Row],[Отделка]]</f>
        <v>1</v>
      </c>
      <c r="DN22" s="203">
        <v>5389362</v>
      </c>
      <c r="DO2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2" s="207" t="b">
        <f>IF(AND(ППД5[[#This Row],[Статус]]="свободно",ППД5[[#This Row],[Итоговая сумма скидки]]&lt;&gt;0),FALSE,TRUE)</f>
        <v>1</v>
      </c>
      <c r="DQ22" s="240">
        <f>_xlfn.XLOOKUP(ППД5[[#This Row],[№]],Юрист[№ кв],Юрист[Дата подачи на регистрацию]," ",0,-1)</f>
        <v>45488</v>
      </c>
      <c r="DR22" s="115" t="str">
        <f>_xlfn.XLOOKUP(ППД5[[#This Row],[№]],Юрист[№ кв],Юрист[МОП],"",0,-1)</f>
        <v>Дик</v>
      </c>
      <c r="DS22" s="333" t="s">
        <v>2336</v>
      </c>
      <c r="DT22" s="333" t="s">
        <v>2337</v>
      </c>
      <c r="DU22" s="333">
        <v>41.2</v>
      </c>
      <c r="DV22" s="111" t="s">
        <v>844</v>
      </c>
    </row>
    <row r="23" spans="1:126" hidden="1" x14ac:dyDescent="0.25">
      <c r="A23" s="112">
        <v>21</v>
      </c>
      <c r="B23" s="111" t="s">
        <v>5</v>
      </c>
      <c r="C23" s="111">
        <v>4</v>
      </c>
      <c r="D23" s="338">
        <v>1</v>
      </c>
      <c r="E23" s="111">
        <v>1</v>
      </c>
      <c r="F23" s="105">
        <v>14.68</v>
      </c>
      <c r="G23" s="105"/>
      <c r="H23" s="105"/>
      <c r="I23" s="94">
        <f>SUM(ППД5[[#This Row],[Комната 1]:[Комната 3]])</f>
        <v>14.68</v>
      </c>
      <c r="J23" s="1">
        <v>9.84</v>
      </c>
      <c r="K23" s="105">
        <v>3.63</v>
      </c>
      <c r="L23" s="105"/>
      <c r="M23" s="105"/>
      <c r="N23" s="105">
        <v>4.8899999999999997</v>
      </c>
      <c r="O23" s="105">
        <v>2.7</v>
      </c>
      <c r="P23" s="105"/>
      <c r="Q23" s="105"/>
      <c r="R23" s="105">
        <f>SUM(ППД5[[#This Row],[Лоджия 1]:[Лоджия 3]])</f>
        <v>2.7</v>
      </c>
      <c r="S23" s="7">
        <f>ROUND(SUM(ППД5[[#This Row],[Площадь по проекту жилая]:[Лоджия 3]]),2)</f>
        <v>35.74</v>
      </c>
      <c r="T23" s="7">
        <f>ROUND(ППД5[[#This Row],[Площадь по проекту(общая)]]-ППД5[[#This Row],[Летние]],2)</f>
        <v>33.04</v>
      </c>
      <c r="U23" s="92">
        <f>ROUND(ППД5[[#This Row],[Площадь по проекту(общая)]]-(SUM(ППД5[[#This Row],[Лоджия 1]:[Лоджия 3]])/2),2)</f>
        <v>34.39</v>
      </c>
      <c r="V23" s="92">
        <f>IF(ППД5[[#This Row],[Статус]]="продажа",ППД5[[#This Row],[Расчетная проектная площадь]],ППД5[[#This Row],[Расчетная ТП площадь]])</f>
        <v>34.39</v>
      </c>
      <c r="W23" s="92">
        <v>14.7</v>
      </c>
      <c r="X23" s="92"/>
      <c r="Y23" s="92"/>
      <c r="Z23" s="92">
        <f>SUM(ППД5[[#This Row],[ТП Комната 1]:[ТП Комната 3]])</f>
        <v>14.7</v>
      </c>
      <c r="AA23" s="92">
        <v>9.8000000000000007</v>
      </c>
      <c r="AB23" s="92">
        <v>3.7</v>
      </c>
      <c r="AC23" s="92"/>
      <c r="AD23" s="92"/>
      <c r="AE23" s="92">
        <v>4.9000000000000004</v>
      </c>
      <c r="AF23" s="91">
        <v>1.35</v>
      </c>
      <c r="AG23" s="92"/>
      <c r="AH23" s="92"/>
      <c r="AI23" s="91">
        <f>SUM(ППД5[[#This Row],[ТП Лоджия 1]:[ТП Лоджия 3]])</f>
        <v>1.35</v>
      </c>
      <c r="AJ23" s="95">
        <v>2.7</v>
      </c>
      <c r="AK23" s="92">
        <f>SUM(ППД5[[#This Row],[Площадь по ТП жилая]:[ТП Лоджия 3]])-ППД5[[#This Row],[ТП Летние]]+ППД5[[#This Row],[кроме того прочая
(без коэффициента)]]</f>
        <v>35.800000000000004</v>
      </c>
      <c r="AL23" s="95">
        <f>ППД5[[#This Row],[ТП Площадь без летних]]+(ППД5[[#This Row],[ТП Летние]])</f>
        <v>34.450000000000003</v>
      </c>
      <c r="AM23" s="92">
        <f>ППД5[[#This Row],[ТП общая S]]-ППД5[[#This Row],[кроме того прочая
(без коэффициента)]]</f>
        <v>33.1</v>
      </c>
      <c r="AN23" s="95">
        <f>SUM(ППД5[[#This Row],[ТП Кухня]:[ТП Коридор]])</f>
        <v>18.399999999999999</v>
      </c>
      <c r="AO23" s="91">
        <f>ППД5[[#This Row],[Расчетная ТП площадь]]-ППД5[[#This Row],[Расчетная проектная площадь]]</f>
        <v>6.0000000000002274E-2</v>
      </c>
      <c r="AP23" s="335">
        <f>ППД5[[#This Row],[Расчетная ТП площадь]]/ППД5[[#This Row],[Расчетная проектная площадь]]-1</f>
        <v>1.7446932247746627E-3</v>
      </c>
      <c r="AQ23" s="92">
        <f>ППД5[[#This Row],[% расхождения]]*ППД5[[#This Row],[Стоимость до скидки]]</f>
        <v>7088.514102936977</v>
      </c>
      <c r="AR23" s="92">
        <f>VLOOKUP(ППД5[[#This Row],[№]],наценкад5[],COLUMN(наценкад5[[#This Row],[Цена м2 с учетом всех K]]),0)</f>
        <v>83545.875</v>
      </c>
      <c r="AS23" s="7">
        <f>ППД5[[#This Row],[м2 после К]]*5%</f>
        <v>4177.2937499999998</v>
      </c>
      <c r="AT23" s="7">
        <f>ППД5[[#This Row],[м2 после К]]+ППД5[[#This Row],[Повышение 16.08.23 - 5%]]</f>
        <v>87723.168749999997</v>
      </c>
      <c r="AU23" s="9">
        <f>ППД5[[#This Row],[Фикс 16.08.23]]*3%</f>
        <v>2631.6950624999999</v>
      </c>
      <c r="AV23" s="9">
        <f>ППД5[[#This Row],[Фикс 16.08.23]]+ППД5[[#This Row],[Повышение 29.08.23 - 3%]]</f>
        <v>90354.8638125</v>
      </c>
      <c r="AW23" s="93">
        <f>ППД5[[#This Row],[Фикс 29.08.23]]*14%</f>
        <v>12649.680933750002</v>
      </c>
      <c r="AX23" s="9">
        <f>ППД5[[#This Row],[Фикс 29.08.23]]+ППД5[[#This Row],[Повышение 06.09.23 СТ и 1К]]</f>
        <v>103004.54474625</v>
      </c>
      <c r="AY23" s="9"/>
      <c r="AZ23" s="9">
        <f>ППД5[[#This Row],[Повышение 23.10.23  В4 ]]+ППД5[[#This Row],[Фикс 06.09.23]]</f>
        <v>103004.54474625</v>
      </c>
      <c r="BA23" s="93">
        <f>ППД5[[#This Row],[Фикс 23.10.23]]*5%</f>
        <v>5150.2272373125006</v>
      </c>
      <c r="BB23" s="93">
        <f>ППД5[[#This Row],[Повышение 8.11.23 1К 5%]]+ППД5[[#This Row],[Фикс 23.10.23]]</f>
        <v>108154.7719835625</v>
      </c>
      <c r="BC23" s="93"/>
      <c r="BD23" s="93">
        <f>ППД5[[#This Row],[Корректировка 24.11.23 - 1К В5, 2К А2, №233]]+ППД5[[#This Row],[Фикс 8.11.23]]</f>
        <v>108154.7719835625</v>
      </c>
      <c r="BE23" s="93">
        <f>ППД5[[#This Row],[Фикс 8.11.24]]*1%</f>
        <v>1081.547719835625</v>
      </c>
      <c r="BF23" s="93">
        <f>ППД5[[#This Row],[Наценка за отделку 29.12.23 1%]]+ППД5[[#This Row],[Фикс 8.11.24]]</f>
        <v>109236.31970339813</v>
      </c>
      <c r="BG23" s="93">
        <f>ППД5[[#This Row],[Фикс 29.12.23]]*5%</f>
        <v>5461.8159851699065</v>
      </c>
      <c r="BH23" s="93">
        <f>ППД5[[#This Row],[Фикс 29.12.23]]+ППД5[[#This Row],[Наценка 10.01.24 5%]]</f>
        <v>114698.13568856803</v>
      </c>
      <c r="BI23" s="93"/>
      <c r="BJ23" s="93">
        <f>ППД5[[#This Row],[Наценка 26.02.24 1 Этаж]]+ППД5[[#This Row],[Фикс 10.01.24]]</f>
        <v>114698.13568856803</v>
      </c>
      <c r="BK23" s="93">
        <f>ППД5[[#This Row],[Фикс 26.02.24]]*3%</f>
        <v>3440.9440706570408</v>
      </c>
      <c r="BL23" s="93">
        <f>ППД5[[#This Row],[Фикс 26.02.24]]+ППД5[[#This Row],[Наценка 06.03.24
СТ, 1К - 3%
2К, 3К - 2%]]</f>
        <v>118139.07975922507</v>
      </c>
      <c r="BM23" s="93"/>
      <c r="BN23" s="93">
        <f>ППД5[[#This Row],[Фикс 06.03.24]]+ППД5[[#This Row],[Наценка Г2+500]]</f>
        <v>118139.07975922507</v>
      </c>
      <c r="BO23" s="93"/>
      <c r="BP23" s="93">
        <f>ППД5[[#This Row],[Фикс 13.03.25]]+ППД5[[#This Row],[Наценка 20.03.24
2К, 3К - 2%]]</f>
        <v>118139.07975922507</v>
      </c>
      <c r="BQ23" s="93"/>
      <c r="BR23" s="93">
        <f>ППД5[[#This Row],[Фикс 20.03.24]]+ППД5[[#This Row],[Наценка 08.04.24 
2К: В3 - 150
3К: Г7 +1000]]</f>
        <v>118139.07975922507</v>
      </c>
      <c r="BS23" s="93"/>
      <c r="BT23" s="93">
        <f>ППД5[[#This Row],[Фикс 08.04.24]]+ППД5[[#This Row],[Наценка 16.05.24 1%
А4,А6,Б3,Б6,Б7,В2,В3,В5,В6,Г1,Г3-Г5]]</f>
        <v>118139.07975922507</v>
      </c>
      <c r="BU23" s="93"/>
      <c r="BV23" s="93">
        <f>ППД5[[#This Row],[Фикс 16.05.24]]+ППД5[[#This Row],[Наценка 24.05.24
1% - Б4, Б5,Г2,Г6
2% - А1,А3,А5,Б2,Г7]]</f>
        <v>118139.07975922507</v>
      </c>
      <c r="BW23" s="93"/>
      <c r="BX23" s="93">
        <f>ППД5[[#This Row],[Наценка 06.06.24
0К: В2,Г3 +0,5%
1К: А7, Б5/4, Г6 +0,5%
3К: В6 +0,5%
1К: А3 +1%]]+ППД5[[#This Row],[Фикс 24.05.24]]</f>
        <v>118139.07975922507</v>
      </c>
      <c r="BY23" s="93"/>
      <c r="BZ23" s="93">
        <f>ППД5[[#This Row],[Фикс 06.06.24]]+ППД5[[#This Row],[13.06.2024
3К - 2%]]</f>
        <v>118139.07975922507</v>
      </c>
      <c r="CA23" s="93"/>
      <c r="CB23" s="93">
        <f>ППД5[[#This Row],[02.07.2024: Г3 А1 А3 Б5 Б7 Г2 Г6 Б3 Б4 В3 Г7 2,5% ост 0,5-1,5%]]+ППД5[[#This Row],[Фикс 13.06.24]]</f>
        <v>118139.07975922507</v>
      </c>
      <c r="CC23" s="93"/>
      <c r="CD23" s="93">
        <f>ППД5[[#This Row],[Фикс 02.07.24]]+ППД5[[#This Row],[04.09.2024 +500
0К - Б2; 1К - А3;
2К - А6, Б4, В3, Г5]]</f>
        <v>118139.07975922507</v>
      </c>
      <c r="CE23" s="93"/>
      <c r="CF23" s="93">
        <f>ППД5[[#This Row],[Наценка 16.09.2024
1К: А1,В7,Г6/7,Г8 - 2%
2К: А4,А5,А6,Б1,Б6,Б3/4,В3,В4,Г4,Г5 - 4%
3К: 4%]]+ППД5[[#This Row],[Фикс 04.09.24]]</f>
        <v>118139.07975922507</v>
      </c>
      <c r="CG23" s="93"/>
      <c r="CH23" s="93">
        <f>ППД5[[#This Row],[Фикс 16.09.2024]]+ППД5[[#This Row],[Наценка 01.11.24
СТ: 4%
1К: 34-40м 5%; 40м+ 8%; МГН 1%
2К: 55-70м 6%; 70-73м 7%; 73-76м 8% 
3К: 5%]]</f>
        <v>118139.07975922507</v>
      </c>
      <c r="CI23" s="93"/>
      <c r="CJ23" s="93">
        <f>ППД5[[#This Row],[Наценка 06.11 13%]]+ППД5[[#This Row],[Фикс 01.11.24]]</f>
        <v>118139.07975922507</v>
      </c>
      <c r="CK23" s="93"/>
      <c r="CL23" s="93">
        <f>ППД5[[#This Row],[Фикс 06.11.24]]+ППД5[[#This Row],[Наценка 18.12.24 распределение КВ]]</f>
        <v>118139.07975922507</v>
      </c>
      <c r="CM23" s="93"/>
      <c r="CN23" s="93">
        <f>ППД5[[#This Row],[Фикс 18.12.24]]+ППД5[[#This Row],[Наценка 10.02.25 +1%
1К: А3
2К: Б3, В3]]</f>
        <v>118139.07975922507</v>
      </c>
      <c r="CO23" s="93">
        <f>ROUND(ППД5[[#This Row],[Фикс 10.02.25]],2)</f>
        <v>118139.08</v>
      </c>
      <c r="CP2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4062900</v>
      </c>
      <c r="CQ23" s="93">
        <f>ROUNDUP(ППД5[[#This Row],[Стоимость до скидки]]+ППД5[[#This Row],[Сумма доплаты]],-2)</f>
        <v>4070000</v>
      </c>
      <c r="CR23" s="68"/>
      <c r="CS23" s="90"/>
      <c r="CT23" s="68">
        <f>ППД5[[#This Row],[Стоимость до скидки]]*ППД5[[#This Row],[Скидка %]]+ППД5[[#This Row],[Скидка фиксированная]]</f>
        <v>0</v>
      </c>
      <c r="CU23" s="3">
        <f>ППД5[[#This Row],[Стоимость ОН без отделки со скидкой]]/ППД5[[#This Row],[Расчетная проектная площадь]]</f>
        <v>118141.90171561501</v>
      </c>
      <c r="CV23" s="3">
        <f>ROUND(ППД5[[#This Row],[Стоимость до скидки]]-ППД5[[#This Row],[Итоговая сумма скидки]],2)</f>
        <v>4062900</v>
      </c>
      <c r="CW2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23" s="197">
        <v>7000</v>
      </c>
      <c r="CY23" s="332">
        <f>ППД5[[#This Row],[Расхождение]]/ППД5[[#This Row],[Расчетная проектная площадь]]</f>
        <v>1.74469322477471E-3</v>
      </c>
      <c r="CZ2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3.9999999999999147E-2</v>
      </c>
      <c r="DA23" s="3">
        <f>ППД5[[#This Row],[Цена м2 без отделки со скидкой]]+ППД5[[#This Row],[Стоимость отделки]]</f>
        <v>125141.90171561501</v>
      </c>
      <c r="DB23" s="3">
        <f>ППД5[[#This Row],[Стоимость квартиры с отделкой]]-ППД5[[#This Row],[Стоимость ОН без отделки со скидкой]]</f>
        <v>240730</v>
      </c>
      <c r="DC23" s="3">
        <f>ППД5[[#This Row],[Цена м2 с отделкой]]*ППД5[[#This Row],[Расчетная проектная площадь]]</f>
        <v>4303630</v>
      </c>
      <c r="DD23" s="3" t="s">
        <v>154</v>
      </c>
      <c r="DF23" s="155" t="s">
        <v>172</v>
      </c>
      <c r="DG23" s="245" t="s">
        <v>172</v>
      </c>
      <c r="DH23" s="100" t="b">
        <f>EXACT(ППД5[[#This Row],[Статусы CRM]],ППД5[[#This Row],[Статус]])</f>
        <v>1</v>
      </c>
      <c r="DI23" s="213" t="s">
        <v>195</v>
      </c>
      <c r="DJ23" s="204"/>
      <c r="DK23" s="111" t="s">
        <v>763</v>
      </c>
      <c r="DL23" s="216" t="s">
        <v>780</v>
      </c>
      <c r="DM23" s="201" t="b">
        <f>ППД5[[#This Row],[Отделка CRM]]=ППД5[[#This Row],[Отделка]]</f>
        <v>1</v>
      </c>
      <c r="DN23" s="203">
        <v>4303630</v>
      </c>
      <c r="DO2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3" s="207" t="b">
        <f>IF(AND(ППД5[[#This Row],[Статус]]="свободно",ППД5[[#This Row],[Итоговая сумма скидки]]&lt;&gt;0),FALSE,TRUE)</f>
        <v>1</v>
      </c>
      <c r="DQ23" s="240">
        <f>_xlfn.XLOOKUP(ППД5[[#This Row],[№]],Юрист[№ кв],Юрист[Дата подачи на регистрацию]," ",0,-1)</f>
        <v>45461</v>
      </c>
      <c r="DR23" s="115" t="str">
        <f>_xlfn.XLOOKUP(ППД5[[#This Row],[№]],Юрист[№ кв],Юрист[МОП],"",0,-1)</f>
        <v>Дик</v>
      </c>
      <c r="DS23" s="333" t="s">
        <v>2338</v>
      </c>
      <c r="DT23" s="333" t="s">
        <v>2339</v>
      </c>
      <c r="DU23" s="333">
        <v>33.1</v>
      </c>
      <c r="DV23" s="111"/>
    </row>
    <row r="24" spans="1:126" hidden="1" x14ac:dyDescent="0.25">
      <c r="A24" s="112">
        <v>22</v>
      </c>
      <c r="B24" s="111" t="s">
        <v>5</v>
      </c>
      <c r="C24" s="111">
        <v>4</v>
      </c>
      <c r="D24" s="111">
        <v>2</v>
      </c>
      <c r="E24" s="111">
        <v>2</v>
      </c>
      <c r="F24" s="105">
        <v>15.82</v>
      </c>
      <c r="G24" s="156">
        <v>15.54</v>
      </c>
      <c r="H24" s="105"/>
      <c r="I24" s="94">
        <f>SUM(ППД5[[#This Row],[Комната 1]:[Комната 3]])</f>
        <v>31.36</v>
      </c>
      <c r="J24" s="105">
        <v>19.440000000000001</v>
      </c>
      <c r="K24" s="105">
        <v>4.42</v>
      </c>
      <c r="L24" s="105"/>
      <c r="M24" s="105">
        <v>3.25</v>
      </c>
      <c r="N24" s="105">
        <v>8.5299999999999994</v>
      </c>
      <c r="O24" s="105">
        <v>3</v>
      </c>
      <c r="P24" s="105"/>
      <c r="Q24" s="105"/>
      <c r="R24" s="105">
        <f>SUM(ППД5[[#This Row],[Лоджия 1]:[Лоджия 3]])</f>
        <v>3</v>
      </c>
      <c r="S24" s="7">
        <f>ROUND(SUM(ППД5[[#This Row],[Площадь по проекту жилая]:[Лоджия 3]]),2)</f>
        <v>70</v>
      </c>
      <c r="T24" s="7">
        <f>ROUND(ППД5[[#This Row],[Площадь по проекту(общая)]]-ППД5[[#This Row],[Летние]],2)</f>
        <v>67</v>
      </c>
      <c r="U24" s="92">
        <f>ROUND(ППД5[[#This Row],[Площадь по проекту(общая)]]-(SUM(ППД5[[#This Row],[Лоджия 1]:[Лоджия 3]])/2),2)</f>
        <v>68.5</v>
      </c>
      <c r="V24" s="92">
        <f>IF(ППД5[[#This Row],[Статус]]="продажа",ППД5[[#This Row],[Расчетная проектная площадь]],ППД5[[#This Row],[Расчетная ТП площадь]])</f>
        <v>67.899999999999991</v>
      </c>
      <c r="W24" s="92">
        <v>15.5</v>
      </c>
      <c r="X24" s="92">
        <v>15.7</v>
      </c>
      <c r="Y24" s="92"/>
      <c r="Z24" s="92">
        <f>SUM(ППД5[[#This Row],[ТП Комната 1]:[ТП Комната 3]])</f>
        <v>31.2</v>
      </c>
      <c r="AA24" s="92">
        <v>18.899999999999999</v>
      </c>
      <c r="AB24" s="92">
        <v>4.5</v>
      </c>
      <c r="AC24" s="92"/>
      <c r="AD24" s="92">
        <v>3.2</v>
      </c>
      <c r="AE24" s="92">
        <v>8.6</v>
      </c>
      <c r="AF24" s="92">
        <v>1.5</v>
      </c>
      <c r="AG24" s="92"/>
      <c r="AH24" s="92"/>
      <c r="AI24" s="91">
        <f>SUM(ППД5[[#This Row],[ТП Лоджия 1]:[ТП Лоджия 3]])</f>
        <v>1.5</v>
      </c>
      <c r="AJ24" s="95">
        <v>3</v>
      </c>
      <c r="AK24" s="92">
        <f>SUM(ППД5[[#This Row],[Площадь по ТП жилая]:[ТП Лоджия 3]])-ППД5[[#This Row],[ТП Летние]]+ППД5[[#This Row],[кроме того прочая
(без коэффициента)]]</f>
        <v>69.399999999999991</v>
      </c>
      <c r="AL24" s="95">
        <f>ППД5[[#This Row],[ТП Площадь без летних]]+(ППД5[[#This Row],[ТП Летние]])</f>
        <v>67.899999999999991</v>
      </c>
      <c r="AM24" s="92">
        <f>ППД5[[#This Row],[ТП общая S]]-ППД5[[#This Row],[кроме того прочая
(без коэффициента)]]</f>
        <v>66.399999999999991</v>
      </c>
      <c r="AN24" s="95">
        <f>SUM(ППД5[[#This Row],[ТП Кухня]:[ТП Коридор]])</f>
        <v>35.199999999999996</v>
      </c>
      <c r="AO24" s="91">
        <f>ППД5[[#This Row],[Расчетная ТП площадь]]-ППД5[[#This Row],[Расчетная проектная площадь]]</f>
        <v>-0.60000000000000853</v>
      </c>
      <c r="AP24" s="335">
        <f>ППД5[[#This Row],[Расчетная ТП площадь]]/ППД5[[#This Row],[Расчетная проектная площадь]]-1</f>
        <v>-8.7591240875913856E-3</v>
      </c>
      <c r="AQ24" s="92">
        <f>ППД5[[#This Row],[% расхождения]]*ППД5[[#This Row],[Стоимость до скидки]]</f>
        <v>-72566.715328468359</v>
      </c>
      <c r="AR24" s="92">
        <f>VLOOKUP(ППД5[[#This Row],[№]],наценкад5[],COLUMN(наценкад5[[#This Row],[Цена м2 с учетом всех K]]),0)</f>
        <v>84941.010000000009</v>
      </c>
      <c r="AS24" s="7">
        <f>ППД5[[#This Row],[м2 после К]]*5%</f>
        <v>4247.0505000000003</v>
      </c>
      <c r="AT24" s="7">
        <f>ППД5[[#This Row],[м2 после К]]+ППД5[[#This Row],[Повышение 16.08.23 - 5%]]</f>
        <v>89188.060500000007</v>
      </c>
      <c r="AU24" s="9">
        <f>ППД5[[#This Row],[Фикс 16.08.23]]*3%</f>
        <v>2675.641815</v>
      </c>
      <c r="AV24" s="9">
        <f>ППД5[[#This Row],[Фикс 16.08.23]]+ППД5[[#This Row],[Повышение 29.08.23 - 3%]]</f>
        <v>91863.702315000002</v>
      </c>
      <c r="AW24" s="9"/>
      <c r="AX24" s="9">
        <f>ППД5[[#This Row],[Фикс 29.08.23]]+ППД5[[#This Row],[Повышение 06.09.23 СТ и 1К]]</f>
        <v>91863.702315000002</v>
      </c>
      <c r="AY24" s="9"/>
      <c r="AZ24" s="9">
        <f>ППД5[[#This Row],[Повышение 23.10.23  В4 ]]+ППД5[[#This Row],[Фикс 06.09.23]]</f>
        <v>91863.702315000002</v>
      </c>
      <c r="BA24" s="9"/>
      <c r="BB24" s="9">
        <f>ППД5[[#This Row],[Повышение 8.11.23 1К 5%]]+ППД5[[#This Row],[Фикс 23.10.23]]</f>
        <v>91863.702315000002</v>
      </c>
      <c r="BC24" s="9">
        <v>-831</v>
      </c>
      <c r="BD24" s="9">
        <f>ППД5[[#This Row],[Корректировка 24.11.23 - 1К В5, 2К А2, №233]]+ППД5[[#This Row],[Фикс 8.11.23]]</f>
        <v>91032.702315000002</v>
      </c>
      <c r="BE24" s="93">
        <f>ППД5[[#This Row],[Фикс 8.11.24]]*1%</f>
        <v>910.32702315000006</v>
      </c>
      <c r="BF24" s="9">
        <f>ППД5[[#This Row],[Наценка за отделку 29.12.23 1%]]+ППД5[[#This Row],[Фикс 8.11.24]]</f>
        <v>91943.029338150009</v>
      </c>
      <c r="BG24" s="93">
        <f>ППД5[[#This Row],[Фикс 29.12.23]]*5%</f>
        <v>4597.1514669075004</v>
      </c>
      <c r="BH24" s="9">
        <f>ППД5[[#This Row],[Фикс 29.12.23]]+ППД5[[#This Row],[Наценка 10.01.24 5%]]</f>
        <v>96540.180805057505</v>
      </c>
      <c r="BI24" s="9"/>
      <c r="BJ24" s="9">
        <f>ППД5[[#This Row],[Наценка 26.02.24 1 Этаж]]+ППД5[[#This Row],[Фикс 10.01.24]]</f>
        <v>96540.180805057505</v>
      </c>
      <c r="BK24" s="93">
        <f>ППД5[[#This Row],[Фикс 26.02.24]]*2%</f>
        <v>1930.8036161011501</v>
      </c>
      <c r="BL24" s="9">
        <f>ППД5[[#This Row],[Фикс 26.02.24]]+ППД5[[#This Row],[Наценка 06.03.24
СТ, 1К - 3%
2К, 3К - 2%]]</f>
        <v>98470.984421158661</v>
      </c>
      <c r="BM24" s="9"/>
      <c r="BN24" s="9">
        <f>ППД5[[#This Row],[Фикс 06.03.24]]+ППД5[[#This Row],[Наценка Г2+500]]</f>
        <v>98470.984421158661</v>
      </c>
      <c r="BO24" s="9">
        <f>ППД5[[#This Row],[Фикс 13.03.25]]*2%</f>
        <v>1969.4196884231733</v>
      </c>
      <c r="BP24" s="9">
        <f>ППД5[[#This Row],[Фикс 13.03.25]]+ППД5[[#This Row],[Наценка 20.03.24
2К, 3К - 2%]]</f>
        <v>100440.40410958184</v>
      </c>
      <c r="BQ24" s="9"/>
      <c r="BR24" s="9">
        <f>ППД5[[#This Row],[Фикс 20.03.24]]+ППД5[[#This Row],[Наценка 08.04.24 
2К: В3 - 150
3К: Г7 +1000]]</f>
        <v>100440.40410958184</v>
      </c>
      <c r="BS24" s="9"/>
      <c r="BT24" s="9">
        <f>ППД5[[#This Row],[Фикс 08.04.24]]+ППД5[[#This Row],[Наценка 16.05.24 1%
А4,А6,Б3,Б6,Б7,В2,В3,В5,В6,Г1,Г3-Г5]]</f>
        <v>100440.40410958184</v>
      </c>
      <c r="BU24" s="9"/>
      <c r="BV24" s="9">
        <f>ППД5[[#This Row],[Фикс 16.05.24]]+ППД5[[#This Row],[Наценка 24.05.24
1% - Б4, Б5,Г2,Г6
2% - А1,А3,А5,Б2,Г7]]</f>
        <v>100440.40410958184</v>
      </c>
      <c r="BW24" s="9"/>
      <c r="BX24" s="9">
        <f>ППД5[[#This Row],[Наценка 06.06.24
0К: В2,Г3 +0,5%
1К: А7, Б5/4, Г6 +0,5%
3К: В6 +0,5%
1К: А3 +1%]]+ППД5[[#This Row],[Фикс 24.05.24]]</f>
        <v>100440.40410958184</v>
      </c>
      <c r="BY24" s="9"/>
      <c r="BZ24" s="9">
        <f>ППД5[[#This Row],[Фикс 06.06.24]]+ППД5[[#This Row],[13.06.2024
3К - 2%]]</f>
        <v>100440.40410958184</v>
      </c>
      <c r="CA24" s="93">
        <f>0.5%*ППД5[[#This Row],[Фикс 13.06.24]]</f>
        <v>502.20202054790923</v>
      </c>
      <c r="CB24" s="9">
        <f>ППД5[[#This Row],[02.07.2024: Г3 А1 А3 Б5 Б7 Г2 Г6 Б3 Б4 В3 Г7 2,5% ост 0,5-1,5%]]+ППД5[[#This Row],[Фикс 13.06.24]]</f>
        <v>100942.60613012974</v>
      </c>
      <c r="CC24" s="9"/>
      <c r="CD24" s="9">
        <f>ППД5[[#This Row],[Фикс 02.07.24]]+ППД5[[#This Row],[04.09.2024 +500
0К - Б2; 1К - А3;
2К - А6, Б4, В3, Г5]]</f>
        <v>100942.60613012974</v>
      </c>
      <c r="CE24" s="9"/>
      <c r="CF24" s="9">
        <f>ППД5[[#This Row],[Наценка 16.09.2024
1К: А1,В7,Г6/7,Г8 - 2%
2К: А4,А5,А6,Б1,Б6,Б3/4,В3,В4,Г4,Г5 - 4%
3К: 4%]]+ППД5[[#This Row],[Фикс 04.09.24]]</f>
        <v>100942.60613012974</v>
      </c>
      <c r="CG24" s="93">
        <f>ППД5[[#This Row],[Фикс 16.09.2024]]*6%</f>
        <v>6056.5563678077842</v>
      </c>
      <c r="CH24" s="9">
        <f>ППД5[[#This Row],[Фикс 16.09.2024]]+ППД5[[#This Row],[Наценка 01.11.24
СТ: 4%
1К: 34-40м 5%; 40м+ 8%; МГН 1%
2К: 55-70м 6%; 70-73м 7%; 73-76м 8% 
3К: 5%]]</f>
        <v>106999.16249793753</v>
      </c>
      <c r="CI24" s="93">
        <f>ППД5[[#This Row],[Фикс 01.11.24]]*13%</f>
        <v>13909.891124731879</v>
      </c>
      <c r="CJ24" s="9">
        <f>ППД5[[#This Row],[Наценка 06.11 13%]]+ППД5[[#This Row],[Фикс 01.11.24]]</f>
        <v>120909.05362266941</v>
      </c>
      <c r="CK24" s="93">
        <v>35</v>
      </c>
      <c r="CL24" s="9">
        <f>ППД5[[#This Row],[Фикс 06.11.24]]+ППД5[[#This Row],[Наценка 18.12.24 распределение КВ]]</f>
        <v>120944.05362266941</v>
      </c>
      <c r="CM24" s="9"/>
      <c r="CN24" s="9">
        <f>ППД5[[#This Row],[Фикс 18.12.24]]+ППД5[[#This Row],[Наценка 10.02.25 +1%
1К: А3
2К: Б3, В3]]</f>
        <v>120944.05362266941</v>
      </c>
      <c r="CO24" s="93">
        <f>ROUND(ППД5[[#This Row],[Фикс 10.02.25]],2)</f>
        <v>120944.05</v>
      </c>
      <c r="CP2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8284700</v>
      </c>
      <c r="CQ24" s="93">
        <f>ROUNDUP(ППД5[[#This Row],[Стоимость до скидки]]+ППД5[[#This Row],[Сумма доплаты]],-2)</f>
        <v>8212200</v>
      </c>
      <c r="CR24" s="68"/>
      <c r="CS24" s="90"/>
      <c r="CT24" s="68">
        <f>ППД5[[#This Row],[Стоимость до скидки]]*ППД5[[#This Row],[Скидка %]]+ППД5[[#This Row],[Скидка фиксированная]]</f>
        <v>0</v>
      </c>
      <c r="CU24" s="3">
        <f>ППД5[[#This Row],[Стоимость ОН без отделки со скидкой]]/ППД5[[#This Row],[Расчетная проектная площадь]]</f>
        <v>120944.52554744526</v>
      </c>
      <c r="CV24" s="3">
        <f>ROUND(ППД5[[#This Row],[Стоимость до скидки]]-ППД5[[#This Row],[Итоговая сумма скидки]],2)</f>
        <v>8284700</v>
      </c>
      <c r="CW2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4" s="197"/>
      <c r="CY24" s="332">
        <f>ППД5[[#This Row],[Расхождение]]/ППД5[[#This Row],[Расчетная проектная площадь]]</f>
        <v>-8.7591240875913648E-3</v>
      </c>
      <c r="CZ2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-0.44000000000000838</v>
      </c>
      <c r="DA24" s="3">
        <f>ППД5[[#This Row],[Цена м2 без отделки со скидкой]]+ППД5[[#This Row],[Стоимость отделки]]</f>
        <v>120944.52554744526</v>
      </c>
      <c r="DB24" s="3">
        <f>ППД5[[#This Row],[Стоимость квартиры с отделкой]]-ППД5[[#This Row],[Стоимость ОН без отделки со скидкой]]</f>
        <v>0</v>
      </c>
      <c r="DC24" s="3">
        <f>ППД5[[#This Row],[Цена м2 с отделкой]]*ППД5[[#This Row],[Расчетная проектная площадь]]</f>
        <v>8284700</v>
      </c>
      <c r="DD24" s="3"/>
      <c r="DF24" s="155" t="s">
        <v>161</v>
      </c>
      <c r="DG24" s="221" t="s">
        <v>161</v>
      </c>
      <c r="DH24" s="100" t="b">
        <f>EXACT(ППД5[[#This Row],[Статусы CRM]],ППД5[[#This Row],[Статус]])</f>
        <v>1</v>
      </c>
      <c r="DI24" s="213" t="s">
        <v>196</v>
      </c>
      <c r="DJ24" s="204"/>
      <c r="DK24" s="111" t="s">
        <v>763</v>
      </c>
      <c r="DL24" s="216" t="s">
        <v>12</v>
      </c>
      <c r="DM24" s="201" t="b">
        <f>ППД5[[#This Row],[Отделка CRM]]=ППД5[[#This Row],[Отделка]]</f>
        <v>1</v>
      </c>
      <c r="DN24" s="203">
        <v>8284700</v>
      </c>
      <c r="DO2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4" s="207" t="b">
        <f>IF(AND(ППД5[[#This Row],[Статус]]="свободно",ППД5[[#This Row],[Итоговая сумма скидки]]&lt;&gt;0),FALSE,TRUE)</f>
        <v>1</v>
      </c>
      <c r="DQ24" s="240" t="str">
        <f>_xlfn.XLOOKUP(ППД5[[#This Row],[№]],Юрист[№ кв],Юрист[Дата подачи на регистрацию]," ",0,-1)</f>
        <v xml:space="preserve"> </v>
      </c>
      <c r="DR24" s="115" t="str">
        <f>_xlfn.XLOOKUP(ППД5[[#This Row],[№]],Юрист[№ кв],Юрист[МОП],"",0,-1)</f>
        <v/>
      </c>
      <c r="DS24" s="333" t="s">
        <v>2340</v>
      </c>
      <c r="DT24" s="333" t="s">
        <v>2341</v>
      </c>
      <c r="DU24" s="333">
        <v>66.400000000000006</v>
      </c>
      <c r="DV24" s="111"/>
    </row>
    <row r="25" spans="1:126" hidden="1" x14ac:dyDescent="0.25">
      <c r="A25" s="112">
        <v>23</v>
      </c>
      <c r="B25" s="111" t="s">
        <v>5</v>
      </c>
      <c r="C25" s="111">
        <v>4</v>
      </c>
      <c r="D25" s="111">
        <v>3</v>
      </c>
      <c r="E25" s="111">
        <v>1</v>
      </c>
      <c r="F25" s="105">
        <v>13.6</v>
      </c>
      <c r="G25" s="105"/>
      <c r="H25" s="105"/>
      <c r="I25" s="94">
        <f>SUM(ППД5[[#This Row],[Комната 1]:[Комната 3]])</f>
        <v>13.6</v>
      </c>
      <c r="J25" s="105">
        <v>14.97</v>
      </c>
      <c r="K25" s="105">
        <v>4.1100000000000003</v>
      </c>
      <c r="L25" s="105"/>
      <c r="M25" s="105"/>
      <c r="N25" s="105">
        <v>3.7</v>
      </c>
      <c r="O25" s="105">
        <v>2.69</v>
      </c>
      <c r="P25" s="105"/>
      <c r="Q25" s="105"/>
      <c r="R25" s="105">
        <f>SUM(ППД5[[#This Row],[Лоджия 1]:[Лоджия 3]])</f>
        <v>2.69</v>
      </c>
      <c r="S25" s="7">
        <f>ROUND(SUM(ППД5[[#This Row],[Площадь по проекту жилая]:[Лоджия 3]]),2)</f>
        <v>39.07</v>
      </c>
      <c r="T25" s="7">
        <f>ROUND(ППД5[[#This Row],[Площадь по проекту(общая)]]-ППД5[[#This Row],[Летние]],2)</f>
        <v>36.380000000000003</v>
      </c>
      <c r="U25" s="92">
        <f>ROUND(ППД5[[#This Row],[Площадь по проекту(общая)]]-(SUM(ППД5[[#This Row],[Лоджия 1]:[Лоджия 3]])/2),2)</f>
        <v>37.729999999999997</v>
      </c>
      <c r="V25" s="92">
        <f>IF(ППД5[[#This Row],[Статус]]="продажа",ППД5[[#This Row],[Расчетная проектная площадь]],ППД5[[#This Row],[Расчетная ТП площадь]])</f>
        <v>37.729999999999997</v>
      </c>
      <c r="W25" s="92">
        <v>13.4</v>
      </c>
      <c r="X25" s="92"/>
      <c r="Y25" s="92"/>
      <c r="Z25" s="92">
        <f>SUM(ППД5[[#This Row],[ТП Комната 1]:[ТП Комната 3]])</f>
        <v>13.4</v>
      </c>
      <c r="AA25" s="92">
        <v>14.8</v>
      </c>
      <c r="AB25" s="92">
        <v>4.0999999999999996</v>
      </c>
      <c r="AC25" s="92"/>
      <c r="AD25" s="92"/>
      <c r="AE25" s="92">
        <v>3.7</v>
      </c>
      <c r="AF25" s="91">
        <v>1.35</v>
      </c>
      <c r="AG25" s="92"/>
      <c r="AH25" s="92"/>
      <c r="AI25" s="91">
        <f>SUM(ППД5[[#This Row],[ТП Лоджия 1]:[ТП Лоджия 3]])</f>
        <v>1.35</v>
      </c>
      <c r="AJ25" s="95">
        <v>2.7</v>
      </c>
      <c r="AK25" s="92">
        <f>SUM(ППД5[[#This Row],[Площадь по ТП жилая]:[ТП Лоджия 3]])-ППД5[[#This Row],[ТП Летние]]+ППД5[[#This Row],[кроме того прочая
(без коэффициента)]]</f>
        <v>38.70000000000001</v>
      </c>
      <c r="AL25" s="95">
        <f>ППД5[[#This Row],[ТП Площадь без летних]]+(ППД5[[#This Row],[ТП Летние]])</f>
        <v>37.350000000000009</v>
      </c>
      <c r="AM25" s="92">
        <f>ППД5[[#This Row],[ТП общая S]]-ППД5[[#This Row],[кроме того прочая
(без коэффициента)]]</f>
        <v>36.000000000000007</v>
      </c>
      <c r="AN25" s="95">
        <f>SUM(ППД5[[#This Row],[ТП Кухня]:[ТП Коридор]])</f>
        <v>22.599999999999998</v>
      </c>
      <c r="AO25" s="91">
        <f>ППД5[[#This Row],[Расчетная ТП площадь]]-ППД5[[#This Row],[Расчетная проектная площадь]]</f>
        <v>-0.37999999999998835</v>
      </c>
      <c r="AP25" s="335">
        <f>ППД5[[#This Row],[Расчетная ТП площадь]]/ППД5[[#This Row],[Расчетная проектная площадь]]-1</f>
        <v>-1.0071561091968939E-2</v>
      </c>
      <c r="AQ25" s="92">
        <f>ППД5[[#This Row],[% расхождения]]*ППД5[[#This Row],[Стоимость до скидки]]</f>
        <v>-44590.829578583282</v>
      </c>
      <c r="AR25" s="92">
        <f>VLOOKUP(ППД5[[#This Row],[№]],наценкад5[],COLUMN(наценкад5[[#This Row],[Цена м2 с учетом всех K]]),0)</f>
        <v>88412.625</v>
      </c>
      <c r="AS25" s="7">
        <f>ППД5[[#This Row],[м2 после К]]*5%</f>
        <v>4420.6312500000004</v>
      </c>
      <c r="AT25" s="7">
        <f>ППД5[[#This Row],[м2 после К]]+ППД5[[#This Row],[Повышение 16.08.23 - 5%]]</f>
        <v>92833.256250000006</v>
      </c>
      <c r="AU25" s="9">
        <f>ППД5[[#This Row],[Фикс 16.08.23]]*3%</f>
        <v>2784.9976875000002</v>
      </c>
      <c r="AV25" s="9">
        <f>ППД5[[#This Row],[Фикс 16.08.23]]+ППД5[[#This Row],[Повышение 29.08.23 - 3%]]</f>
        <v>95618.253937500005</v>
      </c>
      <c r="AW25" s="93">
        <f>ППД5[[#This Row],[Фикс 29.08.23]]*7%</f>
        <v>6693.2777756250007</v>
      </c>
      <c r="AX25" s="9">
        <f>ППД5[[#This Row],[Фикс 29.08.23]]+ППД5[[#This Row],[Повышение 06.09.23 СТ и 1К]]</f>
        <v>102311.531713125</v>
      </c>
      <c r="AY25" s="9"/>
      <c r="AZ25" s="9">
        <f>ППД5[[#This Row],[Повышение 23.10.23  В4 ]]+ППД5[[#This Row],[Фикс 06.09.23]]</f>
        <v>102311.531713125</v>
      </c>
      <c r="BA25" s="93">
        <f>ППД5[[#This Row],[Фикс 23.10.23]]*5%</f>
        <v>5115.5765856562502</v>
      </c>
      <c r="BB25" s="93">
        <f>ППД5[[#This Row],[Повышение 8.11.23 1К 5%]]+ППД5[[#This Row],[Фикс 23.10.23]]</f>
        <v>107427.10829878126</v>
      </c>
      <c r="BC25" s="93"/>
      <c r="BD25" s="93">
        <f>ППД5[[#This Row],[Корректировка 24.11.23 - 1К В5, 2К А2, №233]]+ППД5[[#This Row],[Фикс 8.11.23]]</f>
        <v>107427.10829878126</v>
      </c>
      <c r="BE25" s="93">
        <f>ППД5[[#This Row],[Фикс 8.11.24]]*1%</f>
        <v>1074.2710829878126</v>
      </c>
      <c r="BF25" s="93">
        <f>ППД5[[#This Row],[Наценка за отделку 29.12.23 1%]]+ППД5[[#This Row],[Фикс 8.11.24]]</f>
        <v>108501.37938176907</v>
      </c>
      <c r="BG25" s="93">
        <f>ППД5[[#This Row],[Фикс 29.12.23]]*5%</f>
        <v>5425.0689690884537</v>
      </c>
      <c r="BH25" s="93">
        <f>ППД5[[#This Row],[Фикс 29.12.23]]+ППД5[[#This Row],[Наценка 10.01.24 5%]]</f>
        <v>113926.44835085754</v>
      </c>
      <c r="BI25" s="93"/>
      <c r="BJ25" s="93">
        <f>ППД5[[#This Row],[Наценка 26.02.24 1 Этаж]]+ППД5[[#This Row],[Фикс 10.01.24]]</f>
        <v>113926.44835085754</v>
      </c>
      <c r="BK25" s="93">
        <f>ППД5[[#This Row],[Фикс 26.02.24]]*3%</f>
        <v>3417.7934505257258</v>
      </c>
      <c r="BL25" s="93">
        <f>ППД5[[#This Row],[Фикс 26.02.24]]+ППД5[[#This Row],[Наценка 06.03.24
СТ, 1К - 3%
2К, 3К - 2%]]</f>
        <v>117344.24180138326</v>
      </c>
      <c r="BM25" s="93"/>
      <c r="BN25" s="93">
        <f>ППД5[[#This Row],[Фикс 06.03.24]]+ППД5[[#This Row],[Наценка Г2+500]]</f>
        <v>117344.24180138326</v>
      </c>
      <c r="BO25" s="93"/>
      <c r="BP25" s="93">
        <f>ППД5[[#This Row],[Фикс 13.03.25]]+ППД5[[#This Row],[Наценка 20.03.24
2К, 3К - 2%]]</f>
        <v>117344.24180138326</v>
      </c>
      <c r="BQ25" s="93"/>
      <c r="BR25" s="93">
        <f>ППД5[[#This Row],[Фикс 20.03.24]]+ППД5[[#This Row],[Наценка 08.04.24 
2К: В3 - 150
3К: Г7 +1000]]</f>
        <v>117344.24180138326</v>
      </c>
      <c r="BS25" s="93"/>
      <c r="BT25" s="93">
        <f>ППД5[[#This Row],[Фикс 08.04.24]]+ППД5[[#This Row],[Наценка 16.05.24 1%
А4,А6,Б3,Б6,Б7,В2,В3,В5,В6,Г1,Г3-Г5]]</f>
        <v>117344.24180138326</v>
      </c>
      <c r="BU25" s="93"/>
      <c r="BV25" s="93">
        <f>ППД5[[#This Row],[Фикс 16.05.24]]+ППД5[[#This Row],[Наценка 24.05.24
1% - Б4, Б5,Г2,Г6
2% - А1,А3,А5,Б2,Г7]]</f>
        <v>117344.24180138326</v>
      </c>
      <c r="BW25" s="93"/>
      <c r="BX25" s="93">
        <f>ППД5[[#This Row],[Наценка 06.06.24
0К: В2,Г3 +0,5%
1К: А7, Б5/4, Г6 +0,5%
3К: В6 +0,5%
1К: А3 +1%]]+ППД5[[#This Row],[Фикс 24.05.24]]</f>
        <v>117344.24180138326</v>
      </c>
      <c r="BY25" s="93"/>
      <c r="BZ25" s="93">
        <f>ППД5[[#This Row],[Фикс 06.06.24]]+ППД5[[#This Row],[13.06.2024
3К - 2%]]</f>
        <v>117344.24180138326</v>
      </c>
      <c r="CA25" s="93"/>
      <c r="CB25" s="93">
        <f>ППД5[[#This Row],[02.07.2024: Г3 А1 А3 Б5 Б7 Г2 Г6 Б3 Б4 В3 Г7 2,5% ост 0,5-1,5%]]+ППД5[[#This Row],[Фикс 13.06.24]]</f>
        <v>117344.24180138326</v>
      </c>
      <c r="CC25" s="93"/>
      <c r="CD25" s="93">
        <f>ППД5[[#This Row],[Фикс 02.07.24]]+ППД5[[#This Row],[04.09.2024 +500
0К - Б2; 1К - А3;
2К - А6, Б4, В3, Г5]]</f>
        <v>117344.24180138326</v>
      </c>
      <c r="CE25" s="93"/>
      <c r="CF25" s="93">
        <f>ППД5[[#This Row],[Наценка 16.09.2024
1К: А1,В7,Г6/7,Г8 - 2%
2К: А4,А5,А6,Б1,Б6,Б3/4,В3,В4,Г4,Г5 - 4%
3К: 4%]]+ППД5[[#This Row],[Фикс 04.09.24]]</f>
        <v>117344.24180138326</v>
      </c>
      <c r="CG25" s="93"/>
      <c r="CH25" s="93">
        <f>ППД5[[#This Row],[Фикс 16.09.2024]]+ППД5[[#This Row],[Наценка 01.11.24
СТ: 4%
1К: 34-40м 5%; 40м+ 8%; МГН 1%
2К: 55-70м 6%; 70-73м 7%; 73-76м 8% 
3К: 5%]]</f>
        <v>117344.24180138326</v>
      </c>
      <c r="CI25" s="93"/>
      <c r="CJ25" s="93">
        <f>ППД5[[#This Row],[Наценка 06.11 13%]]+ППД5[[#This Row],[Фикс 01.11.24]]</f>
        <v>117344.24180138326</v>
      </c>
      <c r="CK25" s="93"/>
      <c r="CL25" s="93">
        <f>ППД5[[#This Row],[Фикс 06.11.24]]+ППД5[[#This Row],[Наценка 18.12.24 распределение КВ]]</f>
        <v>117344.24180138326</v>
      </c>
      <c r="CM25" s="93"/>
      <c r="CN25" s="93">
        <f>ППД5[[#This Row],[Фикс 18.12.24]]+ППД5[[#This Row],[Наценка 10.02.25 +1%
1К: А3
2К: Б3, В3]]</f>
        <v>117344.24180138326</v>
      </c>
      <c r="CO25" s="93">
        <f>ROUND(ППД5[[#This Row],[Фикс 10.02.25]],2)</f>
        <v>117344.24</v>
      </c>
      <c r="CP2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4427400</v>
      </c>
      <c r="CQ25" s="93">
        <f>ROUNDUP(ППД5[[#This Row],[Стоимость до скидки]]+ППД5[[#This Row],[Сумма доплаты]],-2)</f>
        <v>4382900</v>
      </c>
      <c r="CR25" s="68"/>
      <c r="CS25" s="90"/>
      <c r="CT25" s="68">
        <f>ППД5[[#This Row],[Стоимость до скидки]]*ППД5[[#This Row],[Скидка %]]+ППД5[[#This Row],[Скидка фиксированная]]</f>
        <v>0</v>
      </c>
      <c r="CU25" s="3">
        <f>ППД5[[#This Row],[Стоимость ОН без отделки со скидкой]]/ППД5[[#This Row],[Расчетная проектная площадь]]</f>
        <v>117344.28836469653</v>
      </c>
      <c r="CV25" s="3">
        <f>ROUND(ППД5[[#This Row],[Стоимость до скидки]]-ППД5[[#This Row],[Итоговая сумма скидки]],2)</f>
        <v>4427400</v>
      </c>
      <c r="CW2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5" s="197">
        <v>20000</v>
      </c>
      <c r="CY25" s="332">
        <f>ППД5[[#This Row],[Расхождение]]/ППД5[[#This Row],[Расчетная проектная площадь]]</f>
        <v>-1.0071561091968948E-2</v>
      </c>
      <c r="CZ2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-0.18000000000000149</v>
      </c>
      <c r="DA25" s="3">
        <f>ППД5[[#This Row],[Цена м2 без отделки со скидкой]]+ППД5[[#This Row],[Стоимость отделки]]</f>
        <v>137344.28836469655</v>
      </c>
      <c r="DB25" s="3">
        <f>ППД5[[#This Row],[Стоимость квартиры с отделкой]]-ППД5[[#This Row],[Стоимость ОН без отделки со скидкой]]</f>
        <v>754600</v>
      </c>
      <c r="DC25" s="3">
        <f>ППД5[[#This Row],[Цена м2 с отделкой]]*ППД5[[#This Row],[Расчетная проектная площадь]]</f>
        <v>5182000</v>
      </c>
      <c r="DD25" s="3"/>
      <c r="DF25" s="199" t="s">
        <v>172</v>
      </c>
      <c r="DG25" s="245" t="s">
        <v>172</v>
      </c>
      <c r="DH25" s="100" t="b">
        <f>EXACT(ППД5[[#This Row],[Статусы CRM]],ППД5[[#This Row],[Статус]])</f>
        <v>1</v>
      </c>
      <c r="DI25" s="213" t="s">
        <v>197</v>
      </c>
      <c r="DJ25" s="204"/>
      <c r="DK25" s="111" t="s">
        <v>763</v>
      </c>
      <c r="DL25" s="216" t="s">
        <v>14</v>
      </c>
      <c r="DM25" s="201" t="b">
        <f>ППД5[[#This Row],[Отделка CRM]]=ППД5[[#This Row],[Отделка]]</f>
        <v>1</v>
      </c>
      <c r="DN25" s="203">
        <v>5182000</v>
      </c>
      <c r="DO2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5" s="207" t="b">
        <f>IF(AND(ППД5[[#This Row],[Статус]]="свободно",ППД5[[#This Row],[Итоговая сумма скидки]]&lt;&gt;0),FALSE,TRUE)</f>
        <v>1</v>
      </c>
      <c r="DQ25" s="240">
        <f>_xlfn.XLOOKUP(ППД5[[#This Row],[№]],Юрист[№ кв],Юрист[Дата подачи на регистрацию]," ",0,-1)</f>
        <v>45433</v>
      </c>
      <c r="DR25" s="115" t="str">
        <f>_xlfn.XLOOKUP(ППД5[[#This Row],[№]],Юрист[№ кв],Юрист[МОП],"",0,-1)</f>
        <v>Никишов</v>
      </c>
      <c r="DS25" s="333" t="s">
        <v>2342</v>
      </c>
      <c r="DT25" s="333" t="s">
        <v>2343</v>
      </c>
      <c r="DU25" s="333">
        <v>36</v>
      </c>
      <c r="DV25" s="111"/>
    </row>
    <row r="26" spans="1:126" hidden="1" x14ac:dyDescent="0.25">
      <c r="A26" s="112">
        <v>24</v>
      </c>
      <c r="B26" s="111" t="s">
        <v>5</v>
      </c>
      <c r="C26" s="111">
        <v>4</v>
      </c>
      <c r="D26" s="111">
        <v>4</v>
      </c>
      <c r="E26" s="111">
        <v>2</v>
      </c>
      <c r="F26" s="105">
        <v>16.61</v>
      </c>
      <c r="G26" s="105">
        <v>11.38</v>
      </c>
      <c r="H26" s="105"/>
      <c r="I26" s="94">
        <f>SUM(ППД5[[#This Row],[Комната 1]:[Комната 3]])</f>
        <v>27.990000000000002</v>
      </c>
      <c r="J26" s="105">
        <v>14.58</v>
      </c>
      <c r="K26" s="105">
        <v>4.34</v>
      </c>
      <c r="L26" s="105">
        <v>2.08</v>
      </c>
      <c r="M26" s="105"/>
      <c r="N26" s="105">
        <v>8.82</v>
      </c>
      <c r="O26" s="105">
        <v>2.56</v>
      </c>
      <c r="P26" s="105"/>
      <c r="Q26" s="105"/>
      <c r="R26" s="105">
        <f>SUM(ППД5[[#This Row],[Лоджия 1]:[Лоджия 3]])</f>
        <v>2.56</v>
      </c>
      <c r="S26" s="7">
        <f>ROUND(SUM(ППД5[[#This Row],[Площадь по проекту жилая]:[Лоджия 3]]),2)</f>
        <v>60.37</v>
      </c>
      <c r="T26" s="7">
        <f>ROUND(ППД5[[#This Row],[Площадь по проекту(общая)]]-ППД5[[#This Row],[Летние]],2)</f>
        <v>57.81</v>
      </c>
      <c r="U26" s="92">
        <f>ROUND(ППД5[[#This Row],[Площадь по проекту(общая)]]-(SUM(ППД5[[#This Row],[Лоджия 1]:[Лоджия 3]])/2),2)</f>
        <v>59.09</v>
      </c>
      <c r="V26" s="92">
        <f>IF(ППД5[[#This Row],[Статус]]="продажа",ППД5[[#This Row],[Расчетная проектная площадь]],ППД5[[#This Row],[Расчетная ТП площадь]])</f>
        <v>59.09</v>
      </c>
      <c r="W26" s="92">
        <v>16.5</v>
      </c>
      <c r="X26" s="92">
        <v>11.3</v>
      </c>
      <c r="Y26" s="92"/>
      <c r="Z26" s="92">
        <f>SUM(ППД5[[#This Row],[ТП Комната 1]:[ТП Комната 3]])</f>
        <v>27.8</v>
      </c>
      <c r="AA26" s="92">
        <v>14.6</v>
      </c>
      <c r="AB26" s="92">
        <v>4.3</v>
      </c>
      <c r="AC26" s="92">
        <v>2.1</v>
      </c>
      <c r="AD26" s="92"/>
      <c r="AE26" s="92">
        <v>8.8000000000000007</v>
      </c>
      <c r="AF26" s="92">
        <v>1.3</v>
      </c>
      <c r="AG26" s="92"/>
      <c r="AH26" s="92"/>
      <c r="AI26" s="91">
        <f>SUM(ППД5[[#This Row],[ТП Лоджия 1]:[ТП Лоджия 3]])</f>
        <v>1.3</v>
      </c>
      <c r="AJ26" s="95">
        <v>2.6</v>
      </c>
      <c r="AK26" s="92">
        <f>SUM(ППД5[[#This Row],[Площадь по ТП жилая]:[ТП Лоджия 3]])-ППД5[[#This Row],[ТП Летние]]+ППД5[[#This Row],[кроме того прочая
(без коэффициента)]]</f>
        <v>60.199999999999996</v>
      </c>
      <c r="AL26" s="95">
        <f>ППД5[[#This Row],[ТП Площадь без летних]]+(ППД5[[#This Row],[ТП Летние]])</f>
        <v>58.899999999999991</v>
      </c>
      <c r="AM26" s="92">
        <f>ППД5[[#This Row],[ТП общая S]]-ППД5[[#This Row],[кроме того прочая
(без коэффициента)]]</f>
        <v>57.599999999999994</v>
      </c>
      <c r="AN26" s="95">
        <f>SUM(ППД5[[#This Row],[ТП Кухня]:[ТП Коридор]])</f>
        <v>29.8</v>
      </c>
      <c r="AO26" s="91">
        <f>ППД5[[#This Row],[Расчетная ТП площадь]]-ППД5[[#This Row],[Расчетная проектная площадь]]</f>
        <v>-0.19000000000001194</v>
      </c>
      <c r="AP26" s="335">
        <f>ППД5[[#This Row],[Расчетная ТП площадь]]/ППД5[[#This Row],[Расчетная проектная площадь]]-1</f>
        <v>-3.2154340836014761E-3</v>
      </c>
      <c r="AQ26" s="92">
        <f>ППД5[[#This Row],[% расхождения]]*ППД5[[#This Row],[Стоимость до скидки]]</f>
        <v>-23481.993569133221</v>
      </c>
      <c r="AR26" s="92">
        <f>VLOOKUP(ППД5[[#This Row],[№]],наценкад5[],COLUMN(наценкад5[[#This Row],[Цена м2 с учетом всех K]]),0)</f>
        <v>81080.055000000008</v>
      </c>
      <c r="AS26" s="7">
        <f>ППД5[[#This Row],[м2 после К]]*5%</f>
        <v>4054.0027500000006</v>
      </c>
      <c r="AT26" s="7">
        <f>ППД5[[#This Row],[м2 после К]]+ППД5[[#This Row],[Повышение 16.08.23 - 5%]]</f>
        <v>85134.057750000007</v>
      </c>
      <c r="AU26" s="9">
        <f>ППД5[[#This Row],[Фикс 16.08.23]]*3%</f>
        <v>2554.0217325000003</v>
      </c>
      <c r="AV26" s="9">
        <f>ППД5[[#This Row],[Фикс 16.08.23]]+ППД5[[#This Row],[Повышение 29.08.23 - 3%]]</f>
        <v>87688.079482500005</v>
      </c>
      <c r="AW26" s="9"/>
      <c r="AX26" s="9">
        <f>ППД5[[#This Row],[Фикс 29.08.23]]+ППД5[[#This Row],[Повышение 06.09.23 СТ и 1К]]</f>
        <v>87688.079482500005</v>
      </c>
      <c r="AY26" s="9"/>
      <c r="AZ26" s="9">
        <f>ППД5[[#This Row],[Повышение 23.10.23  В4 ]]+ППД5[[#This Row],[Фикс 06.09.23]]</f>
        <v>87688.079482500005</v>
      </c>
      <c r="BA26" s="9"/>
      <c r="BB26" s="9">
        <f>ППД5[[#This Row],[Повышение 8.11.23 1К 5%]]+ППД5[[#This Row],[Фикс 23.10.23]]</f>
        <v>87688.079482500005</v>
      </c>
      <c r="BC26" s="9"/>
      <c r="BD26" s="9">
        <f>ППД5[[#This Row],[Корректировка 24.11.23 - 1К В5, 2К А2, №233]]+ППД5[[#This Row],[Фикс 8.11.23]]</f>
        <v>87688.079482500005</v>
      </c>
      <c r="BE26" s="93">
        <f>ППД5[[#This Row],[Фикс 8.11.24]]*1%</f>
        <v>876.88079482500007</v>
      </c>
      <c r="BF26" s="9">
        <f>ППД5[[#This Row],[Наценка за отделку 29.12.23 1%]]+ППД5[[#This Row],[Фикс 8.11.24]]</f>
        <v>88564.960277325008</v>
      </c>
      <c r="BG26" s="93">
        <f>ППД5[[#This Row],[Фикс 29.12.23]]*5%</f>
        <v>4428.2480138662504</v>
      </c>
      <c r="BH26" s="9">
        <f>ППД5[[#This Row],[Фикс 29.12.23]]+ППД5[[#This Row],[Наценка 10.01.24 5%]]</f>
        <v>92993.208291191258</v>
      </c>
      <c r="BI26" s="9"/>
      <c r="BJ26" s="9">
        <f>ППД5[[#This Row],[Наценка 26.02.24 1 Этаж]]+ППД5[[#This Row],[Фикс 10.01.24]]</f>
        <v>92993.208291191258</v>
      </c>
      <c r="BK26" s="93">
        <f>ППД5[[#This Row],[Фикс 26.02.24]]*2%</f>
        <v>1859.8641658238253</v>
      </c>
      <c r="BL26" s="9">
        <f>ППД5[[#This Row],[Фикс 26.02.24]]+ППД5[[#This Row],[Наценка 06.03.24
СТ, 1К - 3%
2К, 3К - 2%]]</f>
        <v>94853.072457015078</v>
      </c>
      <c r="BM26" s="9"/>
      <c r="BN26" s="9">
        <f>ППД5[[#This Row],[Фикс 06.03.24]]+ППД5[[#This Row],[Наценка Г2+500]]</f>
        <v>94853.072457015078</v>
      </c>
      <c r="BO26" s="9">
        <f>ППД5[[#This Row],[Фикс 13.03.25]]*2%</f>
        <v>1897.0614491403016</v>
      </c>
      <c r="BP26" s="9">
        <f>ППД5[[#This Row],[Фикс 13.03.25]]+ППД5[[#This Row],[Наценка 20.03.24
2К, 3К - 2%]]</f>
        <v>96750.133906155374</v>
      </c>
      <c r="BQ26" s="9"/>
      <c r="BR26" s="9">
        <f>ППД5[[#This Row],[Фикс 20.03.24]]+ППД5[[#This Row],[Наценка 08.04.24 
2К: В3 - 150
3К: Г7 +1000]]</f>
        <v>96750.133906155374</v>
      </c>
      <c r="BS26" s="93">
        <f>ППД5[[#This Row],[Фикс 08.04.24]]*1%</f>
        <v>967.50133906155372</v>
      </c>
      <c r="BT26" s="9">
        <f>ППД5[[#This Row],[Фикс 08.04.24]]+ППД5[[#This Row],[Наценка 16.05.24 1%
А4,А6,Б3,Б6,Б7,В2,В3,В5,В6,Г1,Г3-Г5]]</f>
        <v>97717.635245216923</v>
      </c>
      <c r="BU26" s="9"/>
      <c r="BV26" s="9">
        <f>ППД5[[#This Row],[Фикс 16.05.24]]+ППД5[[#This Row],[Наценка 24.05.24
1% - Б4, Б5,Г2,Г6
2% - А1,А3,А5,Б2,Г7]]</f>
        <v>97717.635245216923</v>
      </c>
      <c r="BW26" s="9"/>
      <c r="BX26" s="9">
        <f>ППД5[[#This Row],[Наценка 06.06.24
0К: В2,Г3 +0,5%
1К: А7, Б5/4, Г6 +0,5%
3К: В6 +0,5%
1К: А3 +1%]]+ППД5[[#This Row],[Фикс 24.05.24]]</f>
        <v>97717.635245216923</v>
      </c>
      <c r="BY26" s="9"/>
      <c r="BZ26" s="9">
        <f>ППД5[[#This Row],[Фикс 06.06.24]]+ППД5[[#This Row],[13.06.2024
3К - 2%]]</f>
        <v>97717.635245216923</v>
      </c>
      <c r="CA26" s="9">
        <f>1.5%*ППД5[[#This Row],[Фикс 13.06.24]]</f>
        <v>1465.7645286782538</v>
      </c>
      <c r="CB26" s="9">
        <f>ППД5[[#This Row],[02.07.2024: Г3 А1 А3 Б5 Б7 Г2 Г6 Б3 Б4 В3 Г7 2,5% ост 0,5-1,5%]]+ППД5[[#This Row],[Фикс 13.06.24]]</f>
        <v>99183.399773895173</v>
      </c>
      <c r="CC26" s="9"/>
      <c r="CD26" s="9">
        <f>ППД5[[#This Row],[Фикс 02.07.24]]+ППД5[[#This Row],[04.09.2024 +500
0К - Б2; 1К - А3;
2К - А6, Б4, В3, Г5]]</f>
        <v>99183.399773895173</v>
      </c>
      <c r="CE26" s="93">
        <f>ППД5[[#This Row],[Фикс 04.09.24]]*4%</f>
        <v>3967.3359909558071</v>
      </c>
      <c r="CF26" s="9">
        <f>ППД5[[#This Row],[Наценка 16.09.2024
1К: А1,В7,Г6/7,Г8 - 2%
2К: А4,А5,А6,Б1,Б6,Б3/4,В3,В4,Г4,Г5 - 4%
3К: 4%]]+ППД5[[#This Row],[Фикс 04.09.24]]</f>
        <v>103150.73576485098</v>
      </c>
      <c r="CG26" s="93">
        <f>ППД5[[#This Row],[Фикс 16.09.2024]]*6%</f>
        <v>6189.0441458910582</v>
      </c>
      <c r="CH26" s="9">
        <f>ППД5[[#This Row],[Фикс 16.09.2024]]+ППД5[[#This Row],[Наценка 01.11.24
СТ: 4%
1К: 34-40м 5%; 40м+ 8%; МГН 1%
2К: 55-70м 6%; 70-73м 7%; 73-76м 8% 
3К: 5%]]</f>
        <v>109339.77991074204</v>
      </c>
      <c r="CI26" s="93">
        <f>ППД5[[#This Row],[Фикс 01.11.24]]*13%</f>
        <v>14214.171388396466</v>
      </c>
      <c r="CJ26" s="9">
        <f>ППД5[[#This Row],[Наценка 06.11 13%]]+ППД5[[#This Row],[Фикс 01.11.24]]</f>
        <v>123553.95129913851</v>
      </c>
      <c r="CK26" s="93">
        <v>35</v>
      </c>
      <c r="CL26" s="9">
        <f>ППД5[[#This Row],[Фикс 06.11.24]]+ППД5[[#This Row],[Наценка 18.12.24 распределение КВ]]</f>
        <v>123588.95129913851</v>
      </c>
      <c r="CM26" s="9"/>
      <c r="CN26" s="9">
        <f>ППД5[[#This Row],[Фикс 18.12.24]]+ППД5[[#This Row],[Наценка 10.02.25 +1%
1К: А3
2К: Б3, В3]]</f>
        <v>123588.95129913851</v>
      </c>
      <c r="CO26" s="93">
        <f>ROUND(ППД5[[#This Row],[Фикс 10.02.25]],2)</f>
        <v>123588.95</v>
      </c>
      <c r="CP2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7302900</v>
      </c>
      <c r="CQ26" s="93">
        <f>ROUNDUP(ППД5[[#This Row],[Стоимость до скидки]]+ППД5[[#This Row],[Сумма доплаты]],-2)</f>
        <v>7279500</v>
      </c>
      <c r="CR26" s="68">
        <v>507550</v>
      </c>
      <c r="CS26" s="90"/>
      <c r="CT26" s="68">
        <f>ППД5[[#This Row],[Стоимость до скидки]]*ППД5[[#This Row],[Скидка %]]+ППД5[[#This Row],[Скидка фиксированная]]</f>
        <v>507550</v>
      </c>
      <c r="CU26" s="3">
        <f>ППД5[[#This Row],[Стоимость ОН без отделки со скидкой]]/ППД5[[#This Row],[Расчетная проектная площадь]]</f>
        <v>115000</v>
      </c>
      <c r="CV26" s="3">
        <f>ROUND(ППД5[[#This Row],[Стоимость до скидки]]-ППД5[[#This Row],[Итоговая сумма скидки]],2)</f>
        <v>6795350</v>
      </c>
      <c r="CW2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6" s="197">
        <v>25000</v>
      </c>
      <c r="CY26" s="332">
        <f>ППД5[[#This Row],[Расхождение]]/ППД5[[#This Row],[Расчетная проектная площадь]]</f>
        <v>-3.2154340836014878E-3</v>
      </c>
      <c r="CZ2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-2.000000000000135E-2</v>
      </c>
      <c r="DA26" s="3">
        <f>ППД5[[#This Row],[Цена м2 без отделки со скидкой]]+ППД5[[#This Row],[Стоимость отделки]]</f>
        <v>140000</v>
      </c>
      <c r="DB26" s="3">
        <f>ППД5[[#This Row],[Стоимость квартиры с отделкой]]-ППД5[[#This Row],[Стоимость ОН без отделки со скидкой]]</f>
        <v>1477250.0000000009</v>
      </c>
      <c r="DC26" s="3">
        <f>ППД5[[#This Row],[Цена м2 с отделкой]]*ППД5[[#This Row],[Расчетная проектная площадь]]</f>
        <v>8272600.0000000009</v>
      </c>
      <c r="DD26" s="3"/>
      <c r="DF26" s="155" t="s">
        <v>172</v>
      </c>
      <c r="DG26" s="221" t="s">
        <v>172</v>
      </c>
      <c r="DH26" s="100" t="b">
        <f>EXACT(ППД5[[#This Row],[Статусы CRM]],ППД5[[#This Row],[Статус]])</f>
        <v>1</v>
      </c>
      <c r="DI26" s="213" t="s">
        <v>198</v>
      </c>
      <c r="DJ26" s="204"/>
      <c r="DK26" s="111" t="s">
        <v>763</v>
      </c>
      <c r="DL26" s="216" t="s">
        <v>14</v>
      </c>
      <c r="DM26" s="201" t="b">
        <f>ППД5[[#This Row],[Отделка CRM]]=ППД5[[#This Row],[Отделка]]</f>
        <v>1</v>
      </c>
      <c r="DN26" s="203">
        <v>8272600</v>
      </c>
      <c r="DO2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-9.3132257461547852E-10</v>
      </c>
      <c r="DP26" s="207" t="b">
        <f>IF(AND(ППД5[[#This Row],[Статус]]="свободно",ППД5[[#This Row],[Итоговая сумма скидки]]&lt;&gt;0),FALSE,TRUE)</f>
        <v>1</v>
      </c>
      <c r="DQ26" s="240" t="str">
        <f>_xlfn.XLOOKUP(ППД5[[#This Row],[№]],Юрист[№ кв],Юрист[Дата подачи на регистрацию]," ",0,-1)</f>
        <v xml:space="preserve"> </v>
      </c>
      <c r="DR26" s="115" t="str">
        <f>_xlfn.XLOOKUP(ППД5[[#This Row],[№]],Юрист[№ кв],Юрист[МОП],"",0,-1)</f>
        <v/>
      </c>
      <c r="DS26" s="333" t="s">
        <v>2344</v>
      </c>
      <c r="DT26" s="333" t="s">
        <v>2345</v>
      </c>
      <c r="DU26" s="333">
        <v>57.6</v>
      </c>
      <c r="DV26" s="111"/>
    </row>
    <row r="27" spans="1:126" hidden="1" x14ac:dyDescent="0.25">
      <c r="A27" s="112">
        <v>25</v>
      </c>
      <c r="B27" s="111" t="s">
        <v>5</v>
      </c>
      <c r="C27" s="111">
        <v>4</v>
      </c>
      <c r="D27" s="111">
        <v>5</v>
      </c>
      <c r="E27" s="111">
        <v>2</v>
      </c>
      <c r="F27" s="105">
        <v>16.46</v>
      </c>
      <c r="G27" s="105">
        <v>12.47</v>
      </c>
      <c r="H27" s="105"/>
      <c r="I27" s="94">
        <f>SUM(ППД5[[#This Row],[Комната 1]:[Комната 3]])</f>
        <v>28.93</v>
      </c>
      <c r="J27" s="105">
        <v>18</v>
      </c>
      <c r="K27" s="105">
        <v>4.3499999999999996</v>
      </c>
      <c r="L27" s="105">
        <v>1.55</v>
      </c>
      <c r="M27" s="105"/>
      <c r="N27" s="105">
        <v>8</v>
      </c>
      <c r="O27" s="105">
        <v>2.67</v>
      </c>
      <c r="P27" s="105"/>
      <c r="Q27" s="105"/>
      <c r="R27" s="105">
        <f>SUM(ППД5[[#This Row],[Лоджия 1]:[Лоджия 3]])</f>
        <v>2.67</v>
      </c>
      <c r="S27" s="8">
        <f>ROUND(SUM(ППД5[[#This Row],[Площадь по проекту жилая]:[Лоджия 3]]),2)</f>
        <v>63.5</v>
      </c>
      <c r="T27" s="8">
        <f>ROUND(ППД5[[#This Row],[Площадь по проекту(общая)]]-ППД5[[#This Row],[Летние]],2)</f>
        <v>60.83</v>
      </c>
      <c r="U27" s="91">
        <f>ROUND(ППД5[[#This Row],[Площадь по проекту(общая)]]-(SUM(ППД5[[#This Row],[Лоджия 1]:[Лоджия 3]])/2),2)</f>
        <v>62.17</v>
      </c>
      <c r="V27" s="91">
        <f>IF(ППД5[[#This Row],[Статус]]="продажа",ППД5[[#This Row],[Расчетная проектная площадь]],ППД5[[#This Row],[Расчетная ТП площадь]])</f>
        <v>62.17</v>
      </c>
      <c r="W27" s="91">
        <v>16.399999999999999</v>
      </c>
      <c r="X27" s="91">
        <v>12.4</v>
      </c>
      <c r="Y27" s="91"/>
      <c r="Z27" s="91">
        <f>SUM(ППД5[[#This Row],[ТП Комната 1]:[ТП Комната 3]])</f>
        <v>28.799999999999997</v>
      </c>
      <c r="AA27" s="91">
        <v>17.899999999999999</v>
      </c>
      <c r="AB27" s="91">
        <v>4.4000000000000004</v>
      </c>
      <c r="AC27" s="91">
        <v>1.5</v>
      </c>
      <c r="AD27" s="91"/>
      <c r="AE27" s="91">
        <v>7.9</v>
      </c>
      <c r="AF27" s="91">
        <v>1.3</v>
      </c>
      <c r="AG27" s="91"/>
      <c r="AH27" s="91"/>
      <c r="AI27" s="91">
        <f>SUM(ППД5[[#This Row],[ТП Лоджия 1]:[ТП Лоджия 3]])</f>
        <v>1.3</v>
      </c>
      <c r="AJ27" s="95">
        <v>2.6</v>
      </c>
      <c r="AK27" s="91">
        <f>SUM(ППД5[[#This Row],[Площадь по ТП жилая]:[ТП Лоджия 3]])-ППД5[[#This Row],[ТП Летние]]+ППД5[[#This Row],[кроме того прочая
(без коэффициента)]]</f>
        <v>63.099999999999994</v>
      </c>
      <c r="AL27" s="95">
        <f>ППД5[[#This Row],[ТП Площадь без летних]]+(ППД5[[#This Row],[ТП Летние]])</f>
        <v>61.79999999999999</v>
      </c>
      <c r="AM27" s="91">
        <f>ППД5[[#This Row],[ТП общая S]]-ППД5[[#This Row],[кроме того прочая
(без коэффициента)]]</f>
        <v>60.499999999999993</v>
      </c>
      <c r="AN27" s="95">
        <f>SUM(ППД5[[#This Row],[ТП Кухня]:[ТП Коридор]])</f>
        <v>31.699999999999996</v>
      </c>
      <c r="AO27" s="91">
        <f>ППД5[[#This Row],[Расчетная ТП площадь]]-ППД5[[#This Row],[Расчетная проектная площадь]]</f>
        <v>-0.37000000000001165</v>
      </c>
      <c r="AP27" s="335">
        <f>ППД5[[#This Row],[Расчетная ТП площадь]]/ППД5[[#This Row],[Расчетная проектная площадь]]-1</f>
        <v>-5.9514235161655105E-3</v>
      </c>
      <c r="AQ27" s="91">
        <f>ППД5[[#This Row],[% расхождения]]*ППД5[[#This Row],[Стоимость до скидки]]</f>
        <v>-29999.62219881051</v>
      </c>
      <c r="AR27" s="91">
        <f>VLOOKUP(ППД5[[#This Row],[№]],наценкад5[],COLUMN(наценкад5[[#This Row],[Цена м2 с учетом всех K]]),0)</f>
        <v>81080.055000000008</v>
      </c>
      <c r="AS27" s="8"/>
      <c r="AT27" s="8">
        <f>ППД5[[#This Row],[м2 после К]]+ППД5[[#This Row],[Повышение 16.08.23 - 5%]]</f>
        <v>81080.055000000008</v>
      </c>
      <c r="AU27" s="93"/>
      <c r="AV27" s="93">
        <f>ППД5[[#This Row],[Фикс 16.08.23]]+ППД5[[#This Row],[Повышение 29.08.23 - 3%]]</f>
        <v>81080.055000000008</v>
      </c>
      <c r="AW27" s="93"/>
      <c r="AX27" s="93">
        <f>ППД5[[#This Row],[Фикс 29.08.23]]+ППД5[[#This Row],[Повышение 06.09.23 СТ и 1К]]</f>
        <v>81080.055000000008</v>
      </c>
      <c r="AY27" s="93"/>
      <c r="AZ27" s="93">
        <f>ППД5[[#This Row],[Повышение 23.10.23  В4 ]]+ППД5[[#This Row],[Фикс 06.09.23]]</f>
        <v>81080.055000000008</v>
      </c>
      <c r="BA27" s="93"/>
      <c r="BB27" s="93">
        <f>ППД5[[#This Row],[Повышение 8.11.23 1К 5%]]+ППД5[[#This Row],[Фикс 23.10.23]]</f>
        <v>81080.055000000008</v>
      </c>
      <c r="BC27" s="93"/>
      <c r="BD27" s="93">
        <f>ППД5[[#This Row],[Корректировка 24.11.23 - 1К В5, 2К А2, №233]]+ППД5[[#This Row],[Фикс 8.11.23]]</f>
        <v>81080.055000000008</v>
      </c>
      <c r="BE27" s="93"/>
      <c r="BF27" s="93">
        <f>ППД5[[#This Row],[Наценка за отделку 29.12.23 1%]]+ППД5[[#This Row],[Фикс 8.11.24]]</f>
        <v>81080.055000000008</v>
      </c>
      <c r="BG27" s="93"/>
      <c r="BH27" s="93">
        <f>ППД5[[#This Row],[Фикс 29.12.23]]+ППД5[[#This Row],[Наценка 10.01.24 5%]]</f>
        <v>81080.055000000008</v>
      </c>
      <c r="BI27" s="93"/>
      <c r="BJ27" s="93">
        <f>ППД5[[#This Row],[Наценка 26.02.24 1 Этаж]]+ППД5[[#This Row],[Фикс 10.01.24]]</f>
        <v>81080.055000000008</v>
      </c>
      <c r="BK27" s="93"/>
      <c r="BL27" s="93">
        <f>ППД5[[#This Row],[Фикс 26.02.24]]+ППД5[[#This Row],[Наценка 06.03.24
СТ, 1К - 3%
2К, 3К - 2%]]</f>
        <v>81080.055000000008</v>
      </c>
      <c r="BM27" s="93"/>
      <c r="BN27" s="93">
        <f>ППД5[[#This Row],[Фикс 06.03.24]]+ППД5[[#This Row],[Наценка Г2+500]]</f>
        <v>81080.055000000008</v>
      </c>
      <c r="BO27" s="93"/>
      <c r="BP27" s="93">
        <f>ППД5[[#This Row],[Фикс 13.03.25]]+ППД5[[#This Row],[Наценка 20.03.24
2К, 3К - 2%]]</f>
        <v>81080.055000000008</v>
      </c>
      <c r="BQ27" s="93"/>
      <c r="BR27" s="93">
        <f>ППД5[[#This Row],[Фикс 20.03.24]]+ППД5[[#This Row],[Наценка 08.04.24 
2К: В3 - 150
3К: Г7 +1000]]</f>
        <v>81080.055000000008</v>
      </c>
      <c r="BS27" s="93"/>
      <c r="BT27" s="93">
        <f>ППД5[[#This Row],[Фикс 08.04.24]]+ППД5[[#This Row],[Наценка 16.05.24 1%
А4,А6,Б3,Б6,Б7,В2,В3,В5,В6,Г1,Г3-Г5]]</f>
        <v>81080.055000000008</v>
      </c>
      <c r="BU27" s="93"/>
      <c r="BV27" s="93">
        <f>ППД5[[#This Row],[Фикс 16.05.24]]+ППД5[[#This Row],[Наценка 24.05.24
1% - Б4, Б5,Г2,Г6
2% - А1,А3,А5,Б2,Г7]]</f>
        <v>81080.055000000008</v>
      </c>
      <c r="BW27" s="93"/>
      <c r="BX27" s="93">
        <f>ППД5[[#This Row],[Наценка 06.06.24
0К: В2,Г3 +0,5%
1К: А7, Б5/4, Г6 +0,5%
3К: В6 +0,5%
1К: А3 +1%]]+ППД5[[#This Row],[Фикс 24.05.24]]</f>
        <v>81080.055000000008</v>
      </c>
      <c r="BY27" s="93"/>
      <c r="BZ27" s="93">
        <f>ППД5[[#This Row],[Фикс 06.06.24]]+ППД5[[#This Row],[13.06.2024
3К - 2%]]</f>
        <v>81080.055000000008</v>
      </c>
      <c r="CA27" s="93"/>
      <c r="CB27" s="93">
        <f>ППД5[[#This Row],[02.07.2024: Г3 А1 А3 Б5 Б7 Г2 Г6 Б3 Б4 В3 Г7 2,5% ост 0,5-1,5%]]+ППД5[[#This Row],[Фикс 13.06.24]]</f>
        <v>81080.055000000008</v>
      </c>
      <c r="CC27" s="93"/>
      <c r="CD27" s="93">
        <f>ППД5[[#This Row],[Фикс 02.07.24]]+ППД5[[#This Row],[04.09.2024 +500
0К - Б2; 1К - А3;
2К - А6, Б4, В3, Г5]]</f>
        <v>81080.055000000008</v>
      </c>
      <c r="CE27" s="93"/>
      <c r="CF27" s="93">
        <f>ППД5[[#This Row],[Наценка 16.09.2024
1К: А1,В7,Г6/7,Г8 - 2%
2К: А4,А5,А6,Б1,Б6,Б3/4,В3,В4,Г4,Г5 - 4%
3К: 4%]]+ППД5[[#This Row],[Фикс 04.09.24]]</f>
        <v>81080.055000000008</v>
      </c>
      <c r="CG27" s="93"/>
      <c r="CH27" s="93">
        <f>ППД5[[#This Row],[Фикс 16.09.2024]]+ППД5[[#This Row],[Наценка 01.11.24
СТ: 4%
1К: 34-40м 5%; 40м+ 8%; МГН 1%
2К: 55-70м 6%; 70-73м 7%; 73-76м 8% 
3К: 5%]]</f>
        <v>81080.055000000008</v>
      </c>
      <c r="CI27" s="93"/>
      <c r="CJ27" s="93">
        <f>ППД5[[#This Row],[Наценка 06.11 13%]]+ППД5[[#This Row],[Фикс 01.11.24]]</f>
        <v>81080.055000000008</v>
      </c>
      <c r="CK27" s="93"/>
      <c r="CL27" s="93">
        <f>ППД5[[#This Row],[Фикс 06.11.24]]+ППД5[[#This Row],[Наценка 18.12.24 распределение КВ]]</f>
        <v>81080.055000000008</v>
      </c>
      <c r="CM27" s="93"/>
      <c r="CN27" s="93">
        <f>ППД5[[#This Row],[Фикс 18.12.24]]+ППД5[[#This Row],[Наценка 10.02.25 +1%
1К: А3
2К: Б3, В3]]</f>
        <v>81080.055000000008</v>
      </c>
      <c r="CO27" s="93">
        <f>ROUND(ППД5[[#This Row],[Фикс 10.02.25]],2)</f>
        <v>81080.06</v>
      </c>
      <c r="CP2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5040747.33</v>
      </c>
      <c r="CQ27" s="93">
        <f>ROUNDUP(ППД5[[#This Row],[Стоимость до скидки]]+ППД5[[#This Row],[Сумма доплаты]],-2)</f>
        <v>5010800</v>
      </c>
      <c r="CR27" s="68"/>
      <c r="CS27" s="90"/>
      <c r="CT27" s="68">
        <f>ППД5[[#This Row],[Стоимость до скидки]]*ППД5[[#This Row],[Скидка %]]+ППД5[[#This Row],[Скидка фиксированная]]</f>
        <v>0</v>
      </c>
      <c r="CU27" s="3">
        <f>ППД5[[#This Row],[Стоимость ОН без отделки со скидкой]]/ППД5[[#This Row],[Расчетная проектная площадь]]</f>
        <v>81080.05999678302</v>
      </c>
      <c r="CV27" s="3">
        <f>ROUND(ППД5[[#This Row],[Стоимость до скидки]]-ППД5[[#This Row],[Итоговая сумма скидки]],2)</f>
        <v>5040747.33</v>
      </c>
      <c r="CW2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7" s="197">
        <v>15500</v>
      </c>
      <c r="CY27" s="332">
        <f>ППД5[[#This Row],[Расхождение]]/ППД5[[#This Row],[Расчетная проектная площадь]]</f>
        <v>-5.95142351616554E-3</v>
      </c>
      <c r="CZ2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-0.20000000000000284</v>
      </c>
      <c r="DA27" s="3">
        <f>ППД5[[#This Row],[Цена м2 без отделки со скидкой]]+ППД5[[#This Row],[Стоимость отделки]]</f>
        <v>96580.05999678302</v>
      </c>
      <c r="DB27" s="3">
        <f>ППД5[[#This Row],[Стоимость квартиры с отделкой]]-ППД5[[#This Row],[Стоимость ОН без отделки со скидкой]]</f>
        <v>963635</v>
      </c>
      <c r="DC27" s="3">
        <f>ППД5[[#This Row],[Цена м2 с отделкой]]*ППД5[[#This Row],[Расчетная проектная площадь]]</f>
        <v>6004382.3300000001</v>
      </c>
      <c r="DD27" s="3"/>
      <c r="DF27" s="199" t="s">
        <v>172</v>
      </c>
      <c r="DG27" s="245" t="s">
        <v>172</v>
      </c>
      <c r="DH27" s="100" t="b">
        <f>EXACT(ППД5[[#This Row],[Статусы CRM]],ППД5[[#This Row],[Статус]])</f>
        <v>1</v>
      </c>
      <c r="DI27" s="213" t="s">
        <v>199</v>
      </c>
      <c r="DJ27" s="204"/>
      <c r="DK27" s="111" t="s">
        <v>76</v>
      </c>
      <c r="DL27" s="216" t="s">
        <v>14</v>
      </c>
      <c r="DM27" s="201" t="b">
        <f>ППД5[[#This Row],[Отделка CRM]]=ППД5[[#This Row],[Отделка]]</f>
        <v>1</v>
      </c>
      <c r="DN27" s="203">
        <v>6004382.3300000001</v>
      </c>
      <c r="DO2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7" s="207" t="b">
        <f>IF(AND(ППД5[[#This Row],[Статус]]="свободно",ППД5[[#This Row],[Итоговая сумма скидки]]&lt;&gt;0),FALSE,TRUE)</f>
        <v>1</v>
      </c>
      <c r="DQ27" s="240">
        <f>_xlfn.XLOOKUP(ППД5[[#This Row],[№]],Юрист[№ кв],Юрист[Дата подачи на регистрацию]," ",0,-1)</f>
        <v>45184</v>
      </c>
      <c r="DR27" s="115" t="str">
        <f>_xlfn.XLOOKUP(ППД5[[#This Row],[№]],Юрист[№ кв],Юрист[МОП],"",0,-1)</f>
        <v>Кофанова</v>
      </c>
      <c r="DS27" s="333" t="s">
        <v>2346</v>
      </c>
      <c r="DT27" s="333" t="s">
        <v>2347</v>
      </c>
      <c r="DU27" s="333">
        <v>60.5</v>
      </c>
      <c r="DV27" s="111"/>
    </row>
    <row r="28" spans="1:126" hidden="1" x14ac:dyDescent="0.25">
      <c r="A28" s="112">
        <v>26</v>
      </c>
      <c r="B28" s="111" t="s">
        <v>5</v>
      </c>
      <c r="C28" s="111">
        <v>4</v>
      </c>
      <c r="D28" s="111">
        <v>6</v>
      </c>
      <c r="E28" s="111">
        <v>2</v>
      </c>
      <c r="F28" s="105">
        <v>14.64</v>
      </c>
      <c r="G28" s="105">
        <v>10.74</v>
      </c>
      <c r="H28" s="105"/>
      <c r="I28" s="94">
        <f>SUM(ППД5[[#This Row],[Комната 1]:[Комната 3]])</f>
        <v>25.380000000000003</v>
      </c>
      <c r="J28" s="105">
        <v>14.35</v>
      </c>
      <c r="K28" s="105">
        <v>4.16</v>
      </c>
      <c r="L28" s="105">
        <v>1.93</v>
      </c>
      <c r="M28" s="105"/>
      <c r="N28" s="105">
        <v>11.03</v>
      </c>
      <c r="O28" s="105">
        <v>2.6219999999999999</v>
      </c>
      <c r="P28" s="105"/>
      <c r="Q28" s="105"/>
      <c r="R28" s="105">
        <f>SUM(ППД5[[#This Row],[Лоджия 1]:[Лоджия 3]])</f>
        <v>2.6219999999999999</v>
      </c>
      <c r="S28" s="8">
        <f>ROUND(SUM(ППД5[[#This Row],[Площадь по проекту жилая]:[Лоджия 3]]),2)</f>
        <v>59.47</v>
      </c>
      <c r="T28" s="8">
        <f>ROUND(ППД5[[#This Row],[Площадь по проекту(общая)]]-ППД5[[#This Row],[Летние]],2)</f>
        <v>56.85</v>
      </c>
      <c r="U28" s="91">
        <f>ROUND(ППД5[[#This Row],[Площадь по проекту(общая)]]-(SUM(ППД5[[#This Row],[Лоджия 1]:[Лоджия 3]])/2),2)</f>
        <v>58.16</v>
      </c>
      <c r="V28" s="91">
        <f>IF(ППД5[[#This Row],[Статус]]="продажа",ППД5[[#This Row],[Расчетная проектная площадь]],ППД5[[#This Row],[Расчетная ТП площадь]])</f>
        <v>58.16</v>
      </c>
      <c r="W28" s="91">
        <v>10.8</v>
      </c>
      <c r="X28" s="91">
        <v>14.7</v>
      </c>
      <c r="Y28" s="91"/>
      <c r="Z28" s="91">
        <f>SUM(ППД5[[#This Row],[ТП Комната 1]:[ТП Комната 3]])</f>
        <v>25.5</v>
      </c>
      <c r="AA28" s="91">
        <v>14.4</v>
      </c>
      <c r="AB28" s="91">
        <v>4.0999999999999996</v>
      </c>
      <c r="AC28" s="91">
        <v>1.9</v>
      </c>
      <c r="AD28" s="91"/>
      <c r="AE28" s="91">
        <v>11</v>
      </c>
      <c r="AF28" s="91">
        <v>1.3</v>
      </c>
      <c r="AG28" s="91"/>
      <c r="AH28" s="91"/>
      <c r="AI28" s="91">
        <f>SUM(ППД5[[#This Row],[ТП Лоджия 1]:[ТП Лоджия 3]])</f>
        <v>1.3</v>
      </c>
      <c r="AJ28" s="95">
        <v>2.6</v>
      </c>
      <c r="AK28" s="91">
        <f>SUM(ППД5[[#This Row],[Площадь по ТП жилая]:[ТП Лоджия 3]])-ППД5[[#This Row],[ТП Летние]]+ППД5[[#This Row],[кроме того прочая
(без коэффициента)]]</f>
        <v>59.5</v>
      </c>
      <c r="AL28" s="95">
        <f>ППД5[[#This Row],[ТП Площадь без летних]]+(ППД5[[#This Row],[ТП Летние]])</f>
        <v>58.199999999999996</v>
      </c>
      <c r="AM28" s="91">
        <f>ППД5[[#This Row],[ТП общая S]]-ППД5[[#This Row],[кроме того прочая
(без коэффициента)]]</f>
        <v>56.9</v>
      </c>
      <c r="AN28" s="95">
        <f>SUM(ППД5[[#This Row],[ТП Кухня]:[ТП Коридор]])</f>
        <v>31.4</v>
      </c>
      <c r="AO28" s="91">
        <f>ППД5[[#This Row],[Расчетная ТП площадь]]-ППД5[[#This Row],[Расчетная проектная площадь]]</f>
        <v>3.9999999999999147E-2</v>
      </c>
      <c r="AP28" s="335">
        <f>ППД5[[#This Row],[Расчетная ТП площадь]]/ППД5[[#This Row],[Расчетная проектная площадь]]-1</f>
        <v>6.8775790921593583E-4</v>
      </c>
      <c r="AQ28" s="91">
        <f>ППД5[[#This Row],[% расхождения]]*ППД5[[#This Row],[Стоимость до скидки]]</f>
        <v>3964.5804676752618</v>
      </c>
      <c r="AR28" s="91">
        <f>VLOOKUP(ППД5[[#This Row],[№]],наценкад5[],COLUMN(наценкад5[[#This Row],[Цена м2 с учетом всех K]]),0)</f>
        <v>82238.34150000001</v>
      </c>
      <c r="AS28" s="8">
        <f>ППД5[[#This Row],[м2 после К]]*5%</f>
        <v>4111.9170750000003</v>
      </c>
      <c r="AT28" s="8">
        <f>ППД5[[#This Row],[м2 после К]]+ППД5[[#This Row],[Повышение 16.08.23 - 5%]]</f>
        <v>86350.258575000014</v>
      </c>
      <c r="AU28" s="93">
        <f>ППД5[[#This Row],[Фикс 16.08.23]]*3%</f>
        <v>2590.5077572500004</v>
      </c>
      <c r="AV28" s="93">
        <f>ППД5[[#This Row],[Фикс 16.08.23]]+ППД5[[#This Row],[Повышение 29.08.23 - 3%]]</f>
        <v>88940.766332250016</v>
      </c>
      <c r="AW28" s="93"/>
      <c r="AX28" s="93">
        <f>ППД5[[#This Row],[Фикс 29.08.23]]+ППД5[[#This Row],[Повышение 06.09.23 СТ и 1К]]</f>
        <v>88940.766332250016</v>
      </c>
      <c r="AY28" s="93"/>
      <c r="AZ28" s="93">
        <f>ППД5[[#This Row],[Повышение 23.10.23  В4 ]]+ППД5[[#This Row],[Фикс 06.09.23]]</f>
        <v>88940.766332250016</v>
      </c>
      <c r="BA28" s="93"/>
      <c r="BB28" s="93">
        <f>ППД5[[#This Row],[Повышение 8.11.23 1К 5%]]+ППД5[[#This Row],[Фикс 23.10.23]]</f>
        <v>88940.766332250016</v>
      </c>
      <c r="BC28" s="93"/>
      <c r="BD28" s="93">
        <f>ППД5[[#This Row],[Корректировка 24.11.23 - 1К В5, 2К А2, №233]]+ППД5[[#This Row],[Фикс 8.11.23]]</f>
        <v>88940.766332250016</v>
      </c>
      <c r="BE28" s="93">
        <f>ППД5[[#This Row],[Фикс 8.11.24]]*1%</f>
        <v>889.40766332250018</v>
      </c>
      <c r="BF28" s="93">
        <f>ППД5[[#This Row],[Наценка за отделку 29.12.23 1%]]+ППД5[[#This Row],[Фикс 8.11.24]]</f>
        <v>89830.173995572521</v>
      </c>
      <c r="BG28" s="93">
        <f>ППД5[[#This Row],[Фикс 29.12.23]]*5%</f>
        <v>4491.5086997786266</v>
      </c>
      <c r="BH28" s="93">
        <f>ППД5[[#This Row],[Фикс 29.12.23]]+ППД5[[#This Row],[Наценка 10.01.24 5%]]</f>
        <v>94321.682695351148</v>
      </c>
      <c r="BI28" s="93"/>
      <c r="BJ28" s="93">
        <f>ППД5[[#This Row],[Наценка 26.02.24 1 Этаж]]+ППД5[[#This Row],[Фикс 10.01.24]]</f>
        <v>94321.682695351148</v>
      </c>
      <c r="BK28" s="93">
        <f>ППД5[[#This Row],[Фикс 26.02.24]]*2%</f>
        <v>1886.433653907023</v>
      </c>
      <c r="BL28" s="93">
        <f>ППД5[[#This Row],[Фикс 26.02.24]]+ППД5[[#This Row],[Наценка 06.03.24
СТ, 1К - 3%
2К, 3К - 2%]]</f>
        <v>96208.116349258169</v>
      </c>
      <c r="BM28" s="93"/>
      <c r="BN28" s="93">
        <f>ППД5[[#This Row],[Фикс 06.03.24]]+ППД5[[#This Row],[Наценка Г2+500]]</f>
        <v>96208.116349258169</v>
      </c>
      <c r="BO28" s="93">
        <f>ППД5[[#This Row],[Фикс 13.03.25]]*2%</f>
        <v>1924.1623269851634</v>
      </c>
      <c r="BP28" s="93">
        <f>ППД5[[#This Row],[Фикс 13.03.25]]+ППД5[[#This Row],[Наценка 20.03.24
2К, 3К - 2%]]</f>
        <v>98132.278676243339</v>
      </c>
      <c r="BQ28" s="93"/>
      <c r="BR28" s="93">
        <f>ППД5[[#This Row],[Фикс 20.03.24]]+ППД5[[#This Row],[Наценка 08.04.24 
2К: В3 - 150
3К: Г7 +1000]]</f>
        <v>98132.278676243339</v>
      </c>
      <c r="BS28" s="93">
        <f>ППД5[[#This Row],[Фикс 08.04.24]]*1%</f>
        <v>981.32278676243345</v>
      </c>
      <c r="BT28" s="93">
        <f>ППД5[[#This Row],[Фикс 08.04.24]]+ППД5[[#This Row],[Наценка 16.05.24 1%
А4,А6,Б3,Б6,Б7,В2,В3,В5,В6,Г1,Г3-Г5]]</f>
        <v>99113.601463005776</v>
      </c>
      <c r="BU28" s="93"/>
      <c r="BV28" s="93">
        <f>ППД5[[#This Row],[Фикс 16.05.24]]+ППД5[[#This Row],[Наценка 24.05.24
1% - Б4, Б5,Г2,Г6
2% - А1,А3,А5,Б2,Г7]]</f>
        <v>99113.601463005776</v>
      </c>
      <c r="BW28" s="93"/>
      <c r="BX28" s="93">
        <f>ППД5[[#This Row],[Наценка 06.06.24
0К: В2,Г3 +0,5%
1К: А7, Б5/4, Г6 +0,5%
3К: В6 +0,5%
1К: А3 +1%]]+ППД5[[#This Row],[Фикс 24.05.24]]</f>
        <v>99113.601463005776</v>
      </c>
      <c r="BY28" s="93"/>
      <c r="BZ28" s="93">
        <f>ППД5[[#This Row],[Фикс 06.06.24]]+ППД5[[#This Row],[13.06.2024
3К - 2%]]</f>
        <v>99113.601463005776</v>
      </c>
      <c r="CA28" s="93"/>
      <c r="CB28" s="93">
        <f>ППД5[[#This Row],[02.07.2024: Г3 А1 А3 Б5 Б7 Г2 Г6 Б3 Б4 В3 Г7 2,5% ост 0,5-1,5%]]+ППД5[[#This Row],[Фикс 13.06.24]]</f>
        <v>99113.601463005776</v>
      </c>
      <c r="CC28" s="93"/>
      <c r="CD28" s="93">
        <f>ППД5[[#This Row],[Фикс 02.07.24]]+ППД5[[#This Row],[04.09.2024 +500
0К - Б2; 1К - А3;
2К - А6, Б4, В3, Г5]]</f>
        <v>99113.601463005776</v>
      </c>
      <c r="CE28" s="93"/>
      <c r="CF28" s="93">
        <f>ППД5[[#This Row],[Наценка 16.09.2024
1К: А1,В7,Г6/7,Г8 - 2%
2К: А4,А5,А6,Б1,Б6,Б3/4,В3,В4,Г4,Г5 - 4%
3К: 4%]]+ППД5[[#This Row],[Фикс 04.09.24]]</f>
        <v>99113.601463005776</v>
      </c>
      <c r="CG28" s="93"/>
      <c r="CH28" s="93">
        <f>ППД5[[#This Row],[Фикс 16.09.2024]]+ППД5[[#This Row],[Наценка 01.11.24
СТ: 4%
1К: 34-40м 5%; 40м+ 8%; МГН 1%
2К: 55-70м 6%; 70-73м 7%; 73-76м 8% 
3К: 5%]]</f>
        <v>99113.601463005776</v>
      </c>
      <c r="CI28" s="93"/>
      <c r="CJ28" s="93">
        <f>ППД5[[#This Row],[Наценка 06.11 13%]]+ППД5[[#This Row],[Фикс 01.11.24]]</f>
        <v>99113.601463005776</v>
      </c>
      <c r="CK28" s="93"/>
      <c r="CL28" s="93">
        <f>ППД5[[#This Row],[Фикс 06.11.24]]+ППД5[[#This Row],[Наценка 18.12.24 распределение КВ]]</f>
        <v>99113.601463005776</v>
      </c>
      <c r="CM28" s="93"/>
      <c r="CN28" s="93">
        <f>ППД5[[#This Row],[Фикс 18.12.24]]+ППД5[[#This Row],[Наценка 10.02.25 +1%
1К: А3
2К: Б3, В3]]</f>
        <v>99113.601463005776</v>
      </c>
      <c r="CO28" s="93">
        <f>ROUND(ППД5[[#This Row],[Фикс 10.02.25]],2)</f>
        <v>99113.600000000006</v>
      </c>
      <c r="CP2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5764500</v>
      </c>
      <c r="CQ28" s="93">
        <f>ROUNDUP(ППД5[[#This Row],[Стоимость до скидки]]+ППД5[[#This Row],[Сумма доплаты]],-2)</f>
        <v>5768500</v>
      </c>
      <c r="CR28" s="68"/>
      <c r="CS28" s="90">
        <v>0.03</v>
      </c>
      <c r="CT28" s="68">
        <f>ППД5[[#This Row],[Стоимость до скидки]]*ППД5[[#This Row],[Скидка %]]+ППД5[[#This Row],[Скидка фиксированная]]</f>
        <v>172935</v>
      </c>
      <c r="CU28" s="3">
        <f>ППД5[[#This Row],[Стоимость ОН без отделки со скидкой]]/ППД5[[#This Row],[Расчетная проектная площадь]]</f>
        <v>96141.076341127933</v>
      </c>
      <c r="CV28" s="3">
        <f>ROUND(ППД5[[#This Row],[Стоимость до скидки]]-ППД5[[#This Row],[Итоговая сумма скидки]],2)</f>
        <v>5591565</v>
      </c>
      <c r="CW2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8" s="197"/>
      <c r="CY28" s="332">
        <f>ППД5[[#This Row],[Расхождение]]/ППД5[[#This Row],[Расчетная проектная площадь]]</f>
        <v>6.8775790921594135E-4</v>
      </c>
      <c r="CZ2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-7.0000000000002061E-2</v>
      </c>
      <c r="DA28" s="3">
        <f>ППД5[[#This Row],[Цена м2 без отделки со скидкой]]+ППД5[[#This Row],[Стоимость отделки]]</f>
        <v>96141.076341127933</v>
      </c>
      <c r="DB28" s="3">
        <f>ППД5[[#This Row],[Стоимость квартиры с отделкой]]-ППД5[[#This Row],[Стоимость ОН без отделки со скидкой]]</f>
        <v>0</v>
      </c>
      <c r="DC28" s="3">
        <f>ППД5[[#This Row],[Цена м2 с отделкой]]*ППД5[[#This Row],[Расчетная проектная площадь]]</f>
        <v>5591565</v>
      </c>
      <c r="DD28" s="3"/>
      <c r="DE28" s="111" t="s">
        <v>167</v>
      </c>
      <c r="DF28" s="199" t="s">
        <v>172</v>
      </c>
      <c r="DG28" s="245" t="s">
        <v>172</v>
      </c>
      <c r="DH28" s="100" t="b">
        <f>EXACT(ППД5[[#This Row],[Статусы CRM]],ППД5[[#This Row],[Статус]])</f>
        <v>1</v>
      </c>
      <c r="DI28" s="213" t="s">
        <v>200</v>
      </c>
      <c r="DJ28" s="204"/>
      <c r="DK28" s="111" t="s">
        <v>763</v>
      </c>
      <c r="DL28" s="216" t="s">
        <v>12</v>
      </c>
      <c r="DM28" s="201" t="b">
        <f>ППД5[[#This Row],[Отделка CRM]]=ППД5[[#This Row],[Отделка]]</f>
        <v>1</v>
      </c>
      <c r="DN28" s="203">
        <v>5591565</v>
      </c>
      <c r="DO2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8" s="207" t="b">
        <f>IF(AND(ППД5[[#This Row],[Статус]]="свободно",ППД5[[#This Row],[Итоговая сумма скидки]]&lt;&gt;0),FALSE,TRUE)</f>
        <v>1</v>
      </c>
      <c r="DQ28" s="240">
        <f>_xlfn.XLOOKUP(ППД5[[#This Row],[№]],Юрист[№ кв],Юрист[Дата подачи на регистрацию]," ",0,-1)</f>
        <v>45469</v>
      </c>
      <c r="DR28" s="115" t="str">
        <f>_xlfn.XLOOKUP(ППД5[[#This Row],[№]],Юрист[№ кв],Юрист[МОП],"",0,-1)</f>
        <v>Полехович</v>
      </c>
      <c r="DS28" s="333" t="s">
        <v>2348</v>
      </c>
      <c r="DT28" s="333" t="s">
        <v>2349</v>
      </c>
      <c r="DU28" s="333">
        <v>56.9</v>
      </c>
      <c r="DV28" s="111"/>
    </row>
    <row r="29" spans="1:126" hidden="1" x14ac:dyDescent="0.25">
      <c r="A29" s="112">
        <v>27</v>
      </c>
      <c r="B29" s="111" t="s">
        <v>5</v>
      </c>
      <c r="C29" s="111">
        <v>4</v>
      </c>
      <c r="D29" s="111">
        <v>7</v>
      </c>
      <c r="E29" s="111">
        <v>1</v>
      </c>
      <c r="F29" s="157">
        <v>18.489999999999998</v>
      </c>
      <c r="G29" s="105"/>
      <c r="H29" s="105"/>
      <c r="I29" s="94">
        <f>SUM(ППД5[[#This Row],[Комната 1]:[Комната 3]])</f>
        <v>18.489999999999998</v>
      </c>
      <c r="J29" s="105">
        <v>13.04</v>
      </c>
      <c r="K29" s="105">
        <v>3.9</v>
      </c>
      <c r="L29" s="105"/>
      <c r="M29" s="105"/>
      <c r="N29" s="105">
        <v>5.99</v>
      </c>
      <c r="O29" s="105">
        <v>2.65</v>
      </c>
      <c r="P29" s="105"/>
      <c r="Q29" s="105"/>
      <c r="R29" s="105">
        <f>SUM(ППД5[[#This Row],[Лоджия 1]:[Лоджия 3]])</f>
        <v>2.65</v>
      </c>
      <c r="S29" s="7">
        <f>ROUND(SUM(ППД5[[#This Row],[Площадь по проекту жилая]:[Лоджия 3]]),2)</f>
        <v>44.07</v>
      </c>
      <c r="T29" s="7">
        <f>ROUND(ППД5[[#This Row],[Площадь по проекту(общая)]]-ППД5[[#This Row],[Летние]],2)</f>
        <v>41.42</v>
      </c>
      <c r="U29" s="92">
        <f>ROUND(ППД5[[#This Row],[Площадь по проекту(общая)]]-(SUM(ППД5[[#This Row],[Лоджия 1]:[Лоджия 3]])/2),2)</f>
        <v>42.75</v>
      </c>
      <c r="V29" s="92">
        <f>IF(ППД5[[#This Row],[Статус]]="продажа",ППД5[[#This Row],[Расчетная проектная площадь]],ППД5[[#This Row],[Расчетная ТП площадь]])</f>
        <v>42.75</v>
      </c>
      <c r="W29" s="92">
        <v>18.399999999999999</v>
      </c>
      <c r="X29" s="92"/>
      <c r="Y29" s="92"/>
      <c r="Z29" s="92">
        <f>SUM(ППД5[[#This Row],[ТП Комната 1]:[ТП Комната 3]])</f>
        <v>18.399999999999999</v>
      </c>
      <c r="AA29" s="92">
        <v>12.8</v>
      </c>
      <c r="AB29" s="92">
        <v>3.8</v>
      </c>
      <c r="AC29" s="92"/>
      <c r="AD29" s="92"/>
      <c r="AE29" s="92">
        <v>6.1</v>
      </c>
      <c r="AF29" s="92">
        <v>1.3</v>
      </c>
      <c r="AG29" s="92"/>
      <c r="AH29" s="92"/>
      <c r="AI29" s="91">
        <f>SUM(ППД5[[#This Row],[ТП Лоджия 1]:[ТП Лоджия 3]])</f>
        <v>1.3</v>
      </c>
      <c r="AJ29" s="95">
        <v>2.6</v>
      </c>
      <c r="AK29" s="92">
        <f>SUM(ППД5[[#This Row],[Площадь по ТП жилая]:[ТП Лоджия 3]])-ППД5[[#This Row],[ТП Летние]]+ППД5[[#This Row],[кроме того прочая
(без коэффициента)]]</f>
        <v>43.7</v>
      </c>
      <c r="AL29" s="95">
        <f>ППД5[[#This Row],[ТП Площадь без летних]]+(ППД5[[#This Row],[ТП Летние]])</f>
        <v>42.4</v>
      </c>
      <c r="AM29" s="92">
        <f>ППД5[[#This Row],[ТП общая S]]-ППД5[[#This Row],[кроме того прочая
(без коэффициента)]]</f>
        <v>41.1</v>
      </c>
      <c r="AN29" s="95">
        <f>SUM(ППД5[[#This Row],[ТП Кухня]:[ТП Коридор]])</f>
        <v>22.700000000000003</v>
      </c>
      <c r="AO29" s="91">
        <f>ППД5[[#This Row],[Расчетная ТП площадь]]-ППД5[[#This Row],[Расчетная проектная площадь]]</f>
        <v>-0.35000000000000142</v>
      </c>
      <c r="AP29" s="335">
        <f>ППД5[[#This Row],[Расчетная ТП площадь]]/ППД5[[#This Row],[Расчетная проектная площадь]]-1</f>
        <v>-8.1871345029239651E-3</v>
      </c>
      <c r="AQ29" s="92">
        <f>ППД5[[#This Row],[% расхождения]]*ППД5[[#This Row],[Стоимость до скидки]]</f>
        <v>-33368.139040935625</v>
      </c>
      <c r="AR29" s="92">
        <f>VLOOKUP(ППД5[[#This Row],[№]],наценкад5[],COLUMN(наценкад5[[#This Row],[Цена м2 с учетом всех K]]),0)</f>
        <v>84762.5625</v>
      </c>
      <c r="AS29" s="7">
        <f>ППД5[[#This Row],[м2 после К]]*5%</f>
        <v>4238.1281250000002</v>
      </c>
      <c r="AT29" s="7">
        <f>ППД5[[#This Row],[м2 после К]]+ППД5[[#This Row],[Повышение 16.08.23 - 5%]]</f>
        <v>89000.690625000003</v>
      </c>
      <c r="AU29" s="9">
        <f>ППД5[[#This Row],[Фикс 16.08.23]]*3%</f>
        <v>2670.02071875</v>
      </c>
      <c r="AV29" s="9">
        <f>ППД5[[#This Row],[Фикс 16.08.23]]+ППД5[[#This Row],[Повышение 29.08.23 - 3%]]</f>
        <v>91670.711343750008</v>
      </c>
      <c r="AW29" s="93">
        <f>ППД5[[#This Row],[Фикс 29.08.23]]*4%</f>
        <v>3666.8284537500003</v>
      </c>
      <c r="AX29" s="9">
        <f>ППД5[[#This Row],[Фикс 29.08.23]]+ППД5[[#This Row],[Повышение 06.09.23 СТ и 1К]]</f>
        <v>95337.539797500009</v>
      </c>
      <c r="AY29" s="9"/>
      <c r="AZ29" s="9">
        <f>ППД5[[#This Row],[Повышение 23.10.23  В4 ]]+ППД5[[#This Row],[Фикс 06.09.23]]</f>
        <v>95337.539797500009</v>
      </c>
      <c r="BA29" s="9"/>
      <c r="BB29" s="9">
        <f>ППД5[[#This Row],[Повышение 8.11.23 1К 5%]]+ППД5[[#This Row],[Фикс 23.10.23]]</f>
        <v>95337.539797500009</v>
      </c>
      <c r="BC29" s="9"/>
      <c r="BD29" s="9">
        <f>ППД5[[#This Row],[Корректировка 24.11.23 - 1К В5, 2К А2, №233]]+ППД5[[#This Row],[Фикс 8.11.23]]</f>
        <v>95337.539797500009</v>
      </c>
      <c r="BE29" s="9"/>
      <c r="BF29" s="9">
        <f>ППД5[[#This Row],[Наценка за отделку 29.12.23 1%]]+ППД5[[#This Row],[Фикс 8.11.24]]</f>
        <v>95337.539797500009</v>
      </c>
      <c r="BG29" s="9"/>
      <c r="BH29" s="9">
        <f>ППД5[[#This Row],[Фикс 29.12.23]]+ППД5[[#This Row],[Наценка 10.01.24 5%]]</f>
        <v>95337.539797500009</v>
      </c>
      <c r="BI29" s="9"/>
      <c r="BJ29" s="9">
        <f>ППД5[[#This Row],[Наценка 26.02.24 1 Этаж]]+ППД5[[#This Row],[Фикс 10.01.24]]</f>
        <v>95337.539797500009</v>
      </c>
      <c r="BK29" s="93"/>
      <c r="BL29" s="9">
        <f>ППД5[[#This Row],[Фикс 26.02.24]]+ППД5[[#This Row],[Наценка 06.03.24
СТ, 1К - 3%
2К, 3К - 2%]]</f>
        <v>95337.539797500009</v>
      </c>
      <c r="BM29" s="9"/>
      <c r="BN29" s="9">
        <f>ППД5[[#This Row],[Фикс 06.03.24]]+ППД5[[#This Row],[Наценка Г2+500]]</f>
        <v>95337.539797500009</v>
      </c>
      <c r="BO29" s="9"/>
      <c r="BP29" s="9">
        <f>ППД5[[#This Row],[Фикс 13.03.25]]+ППД5[[#This Row],[Наценка 20.03.24
2К, 3К - 2%]]</f>
        <v>95337.539797500009</v>
      </c>
      <c r="BQ29" s="9"/>
      <c r="BR29" s="9">
        <f>ППД5[[#This Row],[Фикс 20.03.24]]+ППД5[[#This Row],[Наценка 08.04.24 
2К: В3 - 150
3К: Г7 +1000]]</f>
        <v>95337.539797500009</v>
      </c>
      <c r="BS29" s="9"/>
      <c r="BT29" s="9">
        <f>ППД5[[#This Row],[Фикс 08.04.24]]+ППД5[[#This Row],[Наценка 16.05.24 1%
А4,А6,Б3,Б6,Б7,В2,В3,В5,В6,Г1,Г3-Г5]]</f>
        <v>95337.539797500009</v>
      </c>
      <c r="BU29" s="9"/>
      <c r="BV29" s="9">
        <f>ППД5[[#This Row],[Фикс 16.05.24]]+ППД5[[#This Row],[Наценка 24.05.24
1% - Б4, Б5,Г2,Г6
2% - А1,А3,А5,Б2,Г7]]</f>
        <v>95337.539797500009</v>
      </c>
      <c r="BW29" s="9"/>
      <c r="BX29" s="9">
        <f>ППД5[[#This Row],[Наценка 06.06.24
0К: В2,Г3 +0,5%
1К: А7, Б5/4, Г6 +0,5%
3К: В6 +0,5%
1К: А3 +1%]]+ППД5[[#This Row],[Фикс 24.05.24]]</f>
        <v>95337.539797500009</v>
      </c>
      <c r="BY29" s="9"/>
      <c r="BZ29" s="9">
        <f>ППД5[[#This Row],[Фикс 06.06.24]]+ППД5[[#This Row],[13.06.2024
3К - 2%]]</f>
        <v>95337.539797500009</v>
      </c>
      <c r="CA29" s="9"/>
      <c r="CB29" s="9">
        <f>ППД5[[#This Row],[02.07.2024: Г3 А1 А3 Б5 Б7 Г2 Г6 Б3 Б4 В3 Г7 2,5% ост 0,5-1,5%]]+ППД5[[#This Row],[Фикс 13.06.24]]</f>
        <v>95337.539797500009</v>
      </c>
      <c r="CC29" s="9"/>
      <c r="CD29" s="9">
        <f>ППД5[[#This Row],[Фикс 02.07.24]]+ППД5[[#This Row],[04.09.2024 +500
0К - Б2; 1К - А3;
2К - А6, Б4, В3, Г5]]</f>
        <v>95337.539797500009</v>
      </c>
      <c r="CE29" s="9"/>
      <c r="CF29" s="9">
        <f>ППД5[[#This Row],[Наценка 16.09.2024
1К: А1,В7,Г6/7,Г8 - 2%
2К: А4,А5,А6,Б1,Б6,Б3/4,В3,В4,Г4,Г5 - 4%
3К: 4%]]+ППД5[[#This Row],[Фикс 04.09.24]]</f>
        <v>95337.539797500009</v>
      </c>
      <c r="CG29" s="9"/>
      <c r="CH29" s="9">
        <f>ППД5[[#This Row],[Фикс 16.09.2024]]+ППД5[[#This Row],[Наценка 01.11.24
СТ: 4%
1К: 34-40м 5%; 40м+ 8%; МГН 1%
2К: 55-70м 6%; 70-73м 7%; 73-76м 8% 
3К: 5%]]</f>
        <v>95337.539797500009</v>
      </c>
      <c r="CI29" s="9"/>
      <c r="CJ29" s="9">
        <f>ППД5[[#This Row],[Наценка 06.11 13%]]+ППД5[[#This Row],[Фикс 01.11.24]]</f>
        <v>95337.539797500009</v>
      </c>
      <c r="CK29" s="9"/>
      <c r="CL29" s="9">
        <f>ППД5[[#This Row],[Фикс 06.11.24]]+ППД5[[#This Row],[Наценка 18.12.24 распределение КВ]]</f>
        <v>95337.539797500009</v>
      </c>
      <c r="CM29" s="9"/>
      <c r="CN29" s="9">
        <f>ППД5[[#This Row],[Фикс 18.12.24]]+ППД5[[#This Row],[Наценка 10.02.25 +1%
1К: А3
2К: Б3, В3]]</f>
        <v>95337.539797500009</v>
      </c>
      <c r="CO29" s="93">
        <f>ROUND(ППД5[[#This Row],[Фикс 10.02.25]],2)</f>
        <v>95337.54</v>
      </c>
      <c r="CP2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4075679.84</v>
      </c>
      <c r="CQ29" s="93">
        <f>ROUNDUP(ППД5[[#This Row],[Стоимость до скидки]]+ППД5[[#This Row],[Сумма доплаты]],-2)</f>
        <v>4042400</v>
      </c>
      <c r="CR29" s="68"/>
      <c r="CS29" s="90"/>
      <c r="CT29" s="68">
        <f>ППД5[[#This Row],[Стоимость до скидки]]*ППД5[[#This Row],[Скидка %]]+ППД5[[#This Row],[Скидка фиксированная]]</f>
        <v>0</v>
      </c>
      <c r="CU29" s="3">
        <f>ППД5[[#This Row],[Стоимость ОН без отделки со скидкой]]/ППД5[[#This Row],[Расчетная проектная площадь]]</f>
        <v>95337.540116959062</v>
      </c>
      <c r="CV29" s="3">
        <f>ROUND(ППД5[[#This Row],[Стоимость до скидки]]-ППД5[[#This Row],[Итоговая сумма скидки]],2)</f>
        <v>4075679.84</v>
      </c>
      <c r="CW2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9" s="197"/>
      <c r="CY29" s="332">
        <f>ППД5[[#This Row],[Расхождение]]/ППД5[[#This Row],[Расчетная проектная площадь]]</f>
        <v>-8.1871345029240102E-3</v>
      </c>
      <c r="CZ2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-0.22999999999999865</v>
      </c>
      <c r="DA29" s="3">
        <f>ППД5[[#This Row],[Цена м2 без отделки со скидкой]]+ППД5[[#This Row],[Стоимость отделки]]</f>
        <v>95337.540116959062</v>
      </c>
      <c r="DB29" s="3">
        <f>ППД5[[#This Row],[Стоимость квартиры с отделкой]]-ППД5[[#This Row],[Стоимость ОН без отделки со скидкой]]</f>
        <v>0</v>
      </c>
      <c r="DC29" s="3">
        <f>ППД5[[#This Row],[Цена м2 с отделкой]]*ППД5[[#This Row],[Расчетная проектная площадь]]</f>
        <v>4075679.84</v>
      </c>
      <c r="DD29" s="3"/>
      <c r="DF29" s="199" t="s">
        <v>172</v>
      </c>
      <c r="DG29" s="245" t="s">
        <v>172</v>
      </c>
      <c r="DH29" s="100" t="b">
        <f>EXACT(ППД5[[#This Row],[Статусы CRM]],ППД5[[#This Row],[Статус]])</f>
        <v>1</v>
      </c>
      <c r="DI29" s="213" t="s">
        <v>201</v>
      </c>
      <c r="DJ29" s="204"/>
      <c r="DK29" s="111" t="s">
        <v>76</v>
      </c>
      <c r="DL29" s="216" t="s">
        <v>12</v>
      </c>
      <c r="DM29" s="201" t="b">
        <f>ППД5[[#This Row],[Отделка CRM]]=ППД5[[#This Row],[Отделка]]</f>
        <v>1</v>
      </c>
      <c r="DN29" s="203">
        <v>4075679.84</v>
      </c>
      <c r="DO2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9" s="207" t="b">
        <f>IF(AND(ППД5[[#This Row],[Статус]]="свободно",ППД5[[#This Row],[Итоговая сумма скидки]]&lt;&gt;0),FALSE,TRUE)</f>
        <v>1</v>
      </c>
      <c r="DQ29" s="240">
        <f>_xlfn.XLOOKUP(ППД5[[#This Row],[№]],Юрист[№ кв],Юрист[Дата подачи на регистрацию]," ",0,-1)</f>
        <v>45230</v>
      </c>
      <c r="DR29" s="115" t="str">
        <f>_xlfn.XLOOKUP(ППД5[[#This Row],[№]],Юрист[№ кв],Юрист[МОП],"",0,-1)</f>
        <v>Кофанова</v>
      </c>
      <c r="DS29" s="333" t="s">
        <v>2350</v>
      </c>
      <c r="DT29" s="333" t="s">
        <v>2351</v>
      </c>
      <c r="DU29" s="333">
        <v>41.1</v>
      </c>
      <c r="DV29" s="111"/>
    </row>
    <row r="30" spans="1:126" hidden="1" x14ac:dyDescent="0.25">
      <c r="A30" s="112">
        <v>28</v>
      </c>
      <c r="B30" s="111" t="s">
        <v>5</v>
      </c>
      <c r="C30" s="111">
        <v>5</v>
      </c>
      <c r="D30" s="338">
        <v>1</v>
      </c>
      <c r="E30" s="111">
        <v>1</v>
      </c>
      <c r="F30" s="105">
        <v>14.68</v>
      </c>
      <c r="G30" s="105"/>
      <c r="H30" s="105"/>
      <c r="I30" s="94">
        <f>SUM(ППД5[[#This Row],[Комната 1]:[Комната 3]])</f>
        <v>14.68</v>
      </c>
      <c r="J30" s="1">
        <v>9.84</v>
      </c>
      <c r="K30" s="105">
        <v>3.63</v>
      </c>
      <c r="L30" s="105"/>
      <c r="M30" s="105"/>
      <c r="N30" s="105">
        <v>4.8899999999999997</v>
      </c>
      <c r="O30" s="105">
        <v>2.7</v>
      </c>
      <c r="P30" s="105"/>
      <c r="Q30" s="105"/>
      <c r="R30" s="105">
        <f>SUM(ППД5[[#This Row],[Лоджия 1]:[Лоджия 3]])</f>
        <v>2.7</v>
      </c>
      <c r="S30" s="7">
        <f>ROUND(SUM(ППД5[[#This Row],[Площадь по проекту жилая]:[Лоджия 3]]),2)</f>
        <v>35.74</v>
      </c>
      <c r="T30" s="7">
        <f>ROUND(ППД5[[#This Row],[Площадь по проекту(общая)]]-ППД5[[#This Row],[Летние]],2)</f>
        <v>33.04</v>
      </c>
      <c r="U30" s="92">
        <f>ROUND(ППД5[[#This Row],[Площадь по проекту(общая)]]-(SUM(ППД5[[#This Row],[Лоджия 1]:[Лоджия 3]])/2),2)</f>
        <v>34.39</v>
      </c>
      <c r="V30" s="92">
        <f>IF(ППД5[[#This Row],[Статус]]="продажа",ППД5[[#This Row],[Расчетная проектная площадь]],ППД5[[#This Row],[Расчетная ТП площадь]])</f>
        <v>34.39</v>
      </c>
      <c r="W30" s="92">
        <v>14.2</v>
      </c>
      <c r="X30" s="92"/>
      <c r="Y30" s="92"/>
      <c r="Z30" s="92">
        <f>SUM(ППД5[[#This Row],[ТП Комната 1]:[ТП Комната 3]])</f>
        <v>14.2</v>
      </c>
      <c r="AA30" s="92">
        <v>10.1</v>
      </c>
      <c r="AB30" s="92">
        <v>3.8</v>
      </c>
      <c r="AC30" s="92"/>
      <c r="AD30" s="92"/>
      <c r="AE30" s="92">
        <v>4.7</v>
      </c>
      <c r="AF30" s="91">
        <v>1.35</v>
      </c>
      <c r="AG30" s="92"/>
      <c r="AH30" s="92"/>
      <c r="AI30" s="91">
        <f>SUM(ППД5[[#This Row],[ТП Лоджия 1]:[ТП Лоджия 3]])</f>
        <v>1.35</v>
      </c>
      <c r="AJ30" s="95">
        <v>2.7</v>
      </c>
      <c r="AK30" s="92">
        <f>SUM(ППД5[[#This Row],[Площадь по ТП жилая]:[ТП Лоджия 3]])-ППД5[[#This Row],[ТП Летние]]+ППД5[[#This Row],[кроме того прочая
(без коэффициента)]]</f>
        <v>35.5</v>
      </c>
      <c r="AL30" s="95">
        <f>ППД5[[#This Row],[ТП Площадь без летних]]+(ППД5[[#This Row],[ТП Летние]])</f>
        <v>34.15</v>
      </c>
      <c r="AM30" s="92">
        <f>ППД5[[#This Row],[ТП общая S]]-ППД5[[#This Row],[кроме того прочая
(без коэффициента)]]</f>
        <v>32.799999999999997</v>
      </c>
      <c r="AN30" s="95">
        <f>SUM(ППД5[[#This Row],[ТП Кухня]:[ТП Коридор]])</f>
        <v>18.599999999999998</v>
      </c>
      <c r="AO30" s="91">
        <f>ППД5[[#This Row],[Расчетная ТП площадь]]-ППД5[[#This Row],[Расчетная проектная площадь]]</f>
        <v>-0.24000000000000199</v>
      </c>
      <c r="AP30" s="335">
        <f>ППД5[[#This Row],[Расчетная ТП площадь]]/ППД5[[#This Row],[Расчетная проектная площадь]]-1</f>
        <v>-6.9787728990986508E-3</v>
      </c>
      <c r="AQ30" s="92">
        <f>ППД5[[#This Row],[% расхождения]]*ППД5[[#This Row],[Стоимость до скидки]]</f>
        <v>-29356.208200058474</v>
      </c>
      <c r="AR30" s="92">
        <f>VLOOKUP(ППД5[[#This Row],[№]],наценкад5[],COLUMN(наценкад5[[#This Row],[Цена м2 с учетом всех K]]),0)</f>
        <v>82734.75</v>
      </c>
      <c r="AS30" s="7">
        <f>ППД5[[#This Row],[м2 после К]]*5%</f>
        <v>4136.7375000000002</v>
      </c>
      <c r="AT30" s="7">
        <f>ППД5[[#This Row],[м2 после К]]+ППД5[[#This Row],[Повышение 16.08.23 - 5%]]</f>
        <v>86871.487500000003</v>
      </c>
      <c r="AU30" s="9">
        <f>ППД5[[#This Row],[Фикс 16.08.23]]*3%</f>
        <v>2606.1446249999999</v>
      </c>
      <c r="AV30" s="9">
        <f>ППД5[[#This Row],[Фикс 16.08.23]]+ППД5[[#This Row],[Повышение 29.08.23 - 3%]]</f>
        <v>89477.632125000004</v>
      </c>
      <c r="AW30" s="93">
        <f>ППД5[[#This Row],[Фикс 29.08.23]]*14%</f>
        <v>12526.868497500001</v>
      </c>
      <c r="AX30" s="9">
        <f>ППД5[[#This Row],[Фикс 29.08.23]]+ППД5[[#This Row],[Повышение 06.09.23 СТ и 1К]]</f>
        <v>102004.50062250001</v>
      </c>
      <c r="AY30" s="9"/>
      <c r="AZ30" s="9">
        <f>ППД5[[#This Row],[Повышение 23.10.23  В4 ]]+ППД5[[#This Row],[Фикс 06.09.23]]</f>
        <v>102004.50062250001</v>
      </c>
      <c r="BA30" s="93">
        <f>ППД5[[#This Row],[Фикс 23.10.23]]*5%</f>
        <v>5100.2250311250009</v>
      </c>
      <c r="BB30" s="93">
        <f>ППД5[[#This Row],[Повышение 8.11.23 1К 5%]]+ППД5[[#This Row],[Фикс 23.10.23]]</f>
        <v>107104.72565362501</v>
      </c>
      <c r="BC30" s="93"/>
      <c r="BD30" s="93">
        <f>ППД5[[#This Row],[Корректировка 24.11.23 - 1К В5, 2К А2, №233]]+ППД5[[#This Row],[Фикс 8.11.23]]</f>
        <v>107104.72565362501</v>
      </c>
      <c r="BE30" s="93">
        <f>ППД5[[#This Row],[Фикс 8.11.24]]*1%</f>
        <v>1071.0472565362502</v>
      </c>
      <c r="BF30" s="93">
        <f>ППД5[[#This Row],[Наценка за отделку 29.12.23 1%]]+ППД5[[#This Row],[Фикс 8.11.24]]</f>
        <v>108175.77291016125</v>
      </c>
      <c r="BG30" s="93">
        <f>ППД5[[#This Row],[Фикс 29.12.23]]*5%</f>
        <v>5408.7886455080625</v>
      </c>
      <c r="BH30" s="93">
        <f>ППД5[[#This Row],[Фикс 29.12.23]]+ППД5[[#This Row],[Наценка 10.01.24 5%]]</f>
        <v>113584.56155566931</v>
      </c>
      <c r="BI30" s="93"/>
      <c r="BJ30" s="93">
        <f>ППД5[[#This Row],[Наценка 26.02.24 1 Этаж]]+ППД5[[#This Row],[Фикс 10.01.24]]</f>
        <v>113584.56155566931</v>
      </c>
      <c r="BK30" s="93">
        <f>ППД5[[#This Row],[Фикс 26.02.24]]*3%</f>
        <v>3407.5368466700793</v>
      </c>
      <c r="BL30" s="93">
        <f>ППД5[[#This Row],[Фикс 26.02.24]]+ППД5[[#This Row],[Наценка 06.03.24
СТ, 1К - 3%
2К, 3К - 2%]]</f>
        <v>116992.09840233938</v>
      </c>
      <c r="BM30" s="93"/>
      <c r="BN30" s="93">
        <f>ППД5[[#This Row],[Фикс 06.03.24]]+ППД5[[#This Row],[Наценка Г2+500]]</f>
        <v>116992.09840233938</v>
      </c>
      <c r="BO30" s="93"/>
      <c r="BP30" s="93">
        <f>ППД5[[#This Row],[Фикс 13.03.25]]+ППД5[[#This Row],[Наценка 20.03.24
2К, 3К - 2%]]</f>
        <v>116992.09840233938</v>
      </c>
      <c r="BQ30" s="93"/>
      <c r="BR30" s="93">
        <f>ППД5[[#This Row],[Фикс 20.03.24]]+ППД5[[#This Row],[Наценка 08.04.24 
2К: В3 - 150
3К: Г7 +1000]]</f>
        <v>116992.09840233938</v>
      </c>
      <c r="BS30" s="93"/>
      <c r="BT30" s="93">
        <f>ППД5[[#This Row],[Фикс 08.04.24]]+ППД5[[#This Row],[Наценка 16.05.24 1%
А4,А6,Б3,Б6,Б7,В2,В3,В5,В6,Г1,Г3-Г5]]</f>
        <v>116992.09840233938</v>
      </c>
      <c r="BU30" s="93"/>
      <c r="BV30" s="93">
        <f>ППД5[[#This Row],[Фикс 16.05.24]]+ППД5[[#This Row],[Наценка 24.05.24
1% - Б4, Б5,Г2,Г6
2% - А1,А3,А5,Б2,Г7]]</f>
        <v>116992.09840233938</v>
      </c>
      <c r="BW30" s="93"/>
      <c r="BX30" s="93">
        <f>ППД5[[#This Row],[Наценка 06.06.24
0К: В2,Г3 +0,5%
1К: А7, Б5/4, Г6 +0,5%
3К: В6 +0,5%
1К: А3 +1%]]+ППД5[[#This Row],[Фикс 24.05.24]]</f>
        <v>116992.09840233938</v>
      </c>
      <c r="BY30" s="93"/>
      <c r="BZ30" s="93">
        <f>ППД5[[#This Row],[Фикс 06.06.24]]+ППД5[[#This Row],[13.06.2024
3К - 2%]]</f>
        <v>116992.09840233938</v>
      </c>
      <c r="CA30" s="93">
        <f>2.5%*ППД5[[#This Row],[Фикс 13.06.24]]</f>
        <v>2924.8024600584849</v>
      </c>
      <c r="CB30" s="93">
        <f>ППД5[[#This Row],[02.07.2024: Г3 А1 А3 Б5 Б7 Г2 Г6 Б3 Б4 В3 Г7 2,5% ост 0,5-1,5%]]+ППД5[[#This Row],[Фикс 13.06.24]]</f>
        <v>119916.90086239787</v>
      </c>
      <c r="CC30" s="93"/>
      <c r="CD30" s="93">
        <f>ППД5[[#This Row],[Фикс 02.07.24]]+ППД5[[#This Row],[04.09.2024 +500
0К - Б2; 1К - А3;
2К - А6, Б4, В3, Г5]]</f>
        <v>119916.90086239787</v>
      </c>
      <c r="CE30" s="93">
        <f>ППД5[[#This Row],[Фикс 04.09.24]]*2%</f>
        <v>2398.3380172479574</v>
      </c>
      <c r="CF30" s="93">
        <f>ППД5[[#This Row],[Наценка 16.09.2024
1К: А1,В7,Г6/7,Г8 - 2%
2К: А4,А5,А6,Б1,Б6,Б3/4,В3,В4,Г4,Г5 - 4%
3К: 4%]]+ППД5[[#This Row],[Фикс 04.09.24]]</f>
        <v>122315.23887964583</v>
      </c>
      <c r="CG30" s="93"/>
      <c r="CH30" s="93">
        <f>ППД5[[#This Row],[Фикс 16.09.2024]]+ППД5[[#This Row],[Наценка 01.11.24
СТ: 4%
1К: 34-40м 5%; 40м+ 8%; МГН 1%
2К: 55-70м 6%; 70-73м 7%; 73-76м 8% 
3К: 5%]]</f>
        <v>122315.23887964583</v>
      </c>
      <c r="CI30" s="93"/>
      <c r="CJ30" s="93">
        <f>ППД5[[#This Row],[Наценка 06.11 13%]]+ППД5[[#This Row],[Фикс 01.11.24]]</f>
        <v>122315.23887964583</v>
      </c>
      <c r="CK30" s="93"/>
      <c r="CL30" s="93">
        <f>ППД5[[#This Row],[Фикс 06.11.24]]+ППД5[[#This Row],[Наценка 18.12.24 распределение КВ]]</f>
        <v>122315.23887964583</v>
      </c>
      <c r="CM30" s="93"/>
      <c r="CN30" s="93">
        <f>ППД5[[#This Row],[Фикс 18.12.24]]+ППД5[[#This Row],[Наценка 10.02.25 +1%
1К: А3
2К: Б3, В3]]</f>
        <v>122315.23887964583</v>
      </c>
      <c r="CO30" s="93">
        <f>ROUND(ППД5[[#This Row],[Фикс 10.02.25]],2)</f>
        <v>122315.24</v>
      </c>
      <c r="CP3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4206500</v>
      </c>
      <c r="CQ30" s="93">
        <f>ROUNDUP(ППД5[[#This Row],[Стоимость до скидки]]+ППД5[[#This Row],[Сумма доплаты]],-2)</f>
        <v>4177200</v>
      </c>
      <c r="CR30" s="68"/>
      <c r="CS30" s="90">
        <v>0.02</v>
      </c>
      <c r="CT30" s="68">
        <f>ППД5[[#This Row],[Стоимость до скидки]]*ППД5[[#This Row],[Скидка %]]+ППД5[[#This Row],[Скидка фиксированная]]</f>
        <v>84130</v>
      </c>
      <c r="CU30" s="3">
        <f>ППД5[[#This Row],[Стоимость ОН без отделки со скидкой]]/ППД5[[#This Row],[Расчетная проектная площадь]]</f>
        <v>119871.1834835708</v>
      </c>
      <c r="CV30" s="3">
        <f>ROUND(ППД5[[#This Row],[Стоимость до скидки]]-ППД5[[#This Row],[Итоговая сумма скидки]],2)</f>
        <v>4122370</v>
      </c>
      <c r="CW3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0" s="197"/>
      <c r="CY30" s="332">
        <f>ППД5[[#This Row],[Расхождение]]/ППД5[[#This Row],[Расчетная проектная площадь]]</f>
        <v>-6.9787728990986326E-3</v>
      </c>
      <c r="CZ3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0.23999999999999844</v>
      </c>
      <c r="DA30" s="3">
        <f>ППД5[[#This Row],[Цена м2 без отделки со скидкой]]+ППД5[[#This Row],[Стоимость отделки]]</f>
        <v>119871.1834835708</v>
      </c>
      <c r="DB30" s="3">
        <f>ППД5[[#This Row],[Стоимость квартиры с отделкой]]-ППД5[[#This Row],[Стоимость ОН без отделки со скидкой]]</f>
        <v>0</v>
      </c>
      <c r="DC30" s="3">
        <f>ППД5[[#This Row],[Цена м2 с отделкой]]*ППД5[[#This Row],[Расчетная проектная площадь]]</f>
        <v>4122370</v>
      </c>
      <c r="DD30" s="3" t="s">
        <v>154</v>
      </c>
      <c r="DE30" s="111" t="s">
        <v>820</v>
      </c>
      <c r="DF30" s="199" t="s">
        <v>172</v>
      </c>
      <c r="DG30" s="245" t="s">
        <v>172</v>
      </c>
      <c r="DH30" s="100" t="b">
        <f>EXACT(ППД5[[#This Row],[Статусы CRM]],ППД5[[#This Row],[Статус]])</f>
        <v>1</v>
      </c>
      <c r="DI30" s="213" t="s">
        <v>202</v>
      </c>
      <c r="DJ30" s="204"/>
      <c r="DK30" s="111" t="s">
        <v>763</v>
      </c>
      <c r="DL30" s="216" t="s">
        <v>12</v>
      </c>
      <c r="DM30" s="201" t="b">
        <f>ППД5[[#This Row],[Отделка CRM]]=ППД5[[#This Row],[Отделка]]</f>
        <v>1</v>
      </c>
      <c r="DN30" s="203">
        <v>4122370</v>
      </c>
      <c r="DO3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0" s="207" t="b">
        <f>IF(AND(ППД5[[#This Row],[Статус]]="свободно",ППД5[[#This Row],[Итоговая сумма скидки]]&lt;&gt;0),FALSE,TRUE)</f>
        <v>1</v>
      </c>
      <c r="DQ30" s="240">
        <f>_xlfn.XLOOKUP(ППД5[[#This Row],[№]],Юрист[№ кв],Юрист[Дата подачи на регистрацию]," ",0,-1)</f>
        <v>45582</v>
      </c>
      <c r="DR30" s="115" t="str">
        <f>_xlfn.XLOOKUP(ППД5[[#This Row],[№]],Юрист[№ кв],Юрист[МОП],"",0,-1)</f>
        <v>Полехович</v>
      </c>
      <c r="DS30" s="333" t="s">
        <v>2352</v>
      </c>
      <c r="DT30" s="333" t="s">
        <v>2353</v>
      </c>
      <c r="DU30" s="333">
        <v>32.799999999999997</v>
      </c>
      <c r="DV30" s="111"/>
    </row>
    <row r="31" spans="1:126" hidden="1" x14ac:dyDescent="0.25">
      <c r="A31" s="112">
        <v>29</v>
      </c>
      <c r="B31" s="111" t="s">
        <v>5</v>
      </c>
      <c r="C31" s="111">
        <v>5</v>
      </c>
      <c r="D31" s="111">
        <v>2</v>
      </c>
      <c r="E31" s="111">
        <v>2</v>
      </c>
      <c r="F31" s="105">
        <v>15.82</v>
      </c>
      <c r="G31" s="156">
        <v>15.54</v>
      </c>
      <c r="H31" s="105"/>
      <c r="I31" s="94">
        <f>SUM(ППД5[[#This Row],[Комната 1]:[Комната 3]])</f>
        <v>31.36</v>
      </c>
      <c r="J31" s="105">
        <v>19.440000000000001</v>
      </c>
      <c r="K31" s="105">
        <v>4.42</v>
      </c>
      <c r="L31" s="105"/>
      <c r="M31" s="105">
        <v>3.25</v>
      </c>
      <c r="N31" s="105">
        <v>8.5299999999999994</v>
      </c>
      <c r="O31" s="105">
        <v>3</v>
      </c>
      <c r="P31" s="105"/>
      <c r="Q31" s="105"/>
      <c r="R31" s="105">
        <f>SUM(ППД5[[#This Row],[Лоджия 1]:[Лоджия 3]])</f>
        <v>3</v>
      </c>
      <c r="S31" s="7">
        <f>ROUND(SUM(ППД5[[#This Row],[Площадь по проекту жилая]:[Лоджия 3]]),2)</f>
        <v>70</v>
      </c>
      <c r="T31" s="7">
        <f>ROUND(ППД5[[#This Row],[Площадь по проекту(общая)]]-ППД5[[#This Row],[Летние]],2)</f>
        <v>67</v>
      </c>
      <c r="U31" s="92">
        <f>ROUND(ППД5[[#This Row],[Площадь по проекту(общая)]]-(SUM(ППД5[[#This Row],[Лоджия 1]:[Лоджия 3]])/2),2)</f>
        <v>68.5</v>
      </c>
      <c r="V31" s="92">
        <f>IF(ППД5[[#This Row],[Статус]]="продажа",ППД5[[#This Row],[Расчетная проектная площадь]],ППД5[[#This Row],[Расчетная ТП площадь]])</f>
        <v>68.5</v>
      </c>
      <c r="W31" s="92">
        <v>15.5</v>
      </c>
      <c r="X31" s="92">
        <v>15.8</v>
      </c>
      <c r="Y31" s="92"/>
      <c r="Z31" s="92">
        <f>SUM(ППД5[[#This Row],[ТП Комната 1]:[ТП Комната 3]])</f>
        <v>31.3</v>
      </c>
      <c r="AA31" s="92">
        <v>18.899999999999999</v>
      </c>
      <c r="AB31" s="92">
        <v>4.5</v>
      </c>
      <c r="AC31" s="92"/>
      <c r="AD31" s="92">
        <v>3.5</v>
      </c>
      <c r="AE31" s="92">
        <v>8.8000000000000007</v>
      </c>
      <c r="AF31" s="92">
        <v>1.5</v>
      </c>
      <c r="AG31" s="92"/>
      <c r="AH31" s="92"/>
      <c r="AI31" s="91">
        <f>SUM(ППД5[[#This Row],[ТП Лоджия 1]:[ТП Лоджия 3]])</f>
        <v>1.5</v>
      </c>
      <c r="AJ31" s="95">
        <v>3</v>
      </c>
      <c r="AK31" s="92">
        <f>SUM(ППД5[[#This Row],[Площадь по ТП жилая]:[ТП Лоджия 3]])-ППД5[[#This Row],[ТП Летние]]+ППД5[[#This Row],[кроме того прочая
(без коэффициента)]]</f>
        <v>70</v>
      </c>
      <c r="AL31" s="95">
        <f>ППД5[[#This Row],[ТП Площадь без летних]]+(ППД5[[#This Row],[ТП Летние]])</f>
        <v>68.5</v>
      </c>
      <c r="AM31" s="92">
        <f>ППД5[[#This Row],[ТП общая S]]-ППД5[[#This Row],[кроме того прочая
(без коэффициента)]]</f>
        <v>67</v>
      </c>
      <c r="AN31" s="95">
        <f>SUM(ППД5[[#This Row],[ТП Кухня]:[ТП Коридор]])</f>
        <v>35.700000000000003</v>
      </c>
      <c r="AO31" s="91">
        <f>ППД5[[#This Row],[Расчетная ТП площадь]]-ППД5[[#This Row],[Расчетная проектная площадь]]</f>
        <v>0</v>
      </c>
      <c r="AP31" s="335">
        <f>ППД5[[#This Row],[Расчетная ТП площадь]]/ППД5[[#This Row],[Расчетная проектная площадь]]-1</f>
        <v>0</v>
      </c>
      <c r="AQ31" s="92">
        <f>ППД5[[#This Row],[% расхождения]]*ППД5[[#This Row],[Стоимость до скидки]]</f>
        <v>0</v>
      </c>
      <c r="AR31" s="92">
        <f>VLOOKUP(ППД5[[#This Row],[№]],наценкад5[],COLUMN(наценкад5[[#This Row],[Цена м2 с учетом всех K]]),0)</f>
        <v>84168.819000000003</v>
      </c>
      <c r="AS31" s="7">
        <f>ППД5[[#This Row],[м2 после К]]*5%</f>
        <v>4208.4409500000002</v>
      </c>
      <c r="AT31" s="7">
        <f>ППД5[[#This Row],[м2 после К]]+ППД5[[#This Row],[Повышение 16.08.23 - 5%]]</f>
        <v>88377.259950000007</v>
      </c>
      <c r="AU31" s="9">
        <f>ППД5[[#This Row],[Фикс 16.08.23]]*3%</f>
        <v>2651.3177985000002</v>
      </c>
      <c r="AV31" s="9">
        <f>ППД5[[#This Row],[Фикс 16.08.23]]+ППД5[[#This Row],[Повышение 29.08.23 - 3%]]</f>
        <v>91028.577748500014</v>
      </c>
      <c r="AW31" s="9"/>
      <c r="AX31" s="9">
        <f>ППД5[[#This Row],[Фикс 29.08.23]]+ППД5[[#This Row],[Повышение 06.09.23 СТ и 1К]]</f>
        <v>91028.577748500014</v>
      </c>
      <c r="AY31" s="9"/>
      <c r="AZ31" s="9">
        <f>ППД5[[#This Row],[Повышение 23.10.23  В4 ]]+ППД5[[#This Row],[Фикс 06.09.23]]</f>
        <v>91028.577748500014</v>
      </c>
      <c r="BA31" s="9"/>
      <c r="BB31" s="9">
        <f>ППД5[[#This Row],[Повышение 8.11.23 1К 5%]]+ППД5[[#This Row],[Фикс 23.10.23]]</f>
        <v>91028.577748500014</v>
      </c>
      <c r="BC31" s="9">
        <v>-831</v>
      </c>
      <c r="BD31" s="9">
        <f>ППД5[[#This Row],[Корректировка 24.11.23 - 1К В5, 2К А2, №233]]+ППД5[[#This Row],[Фикс 8.11.23]]</f>
        <v>90197.577748500014</v>
      </c>
      <c r="BE31" s="93">
        <f>ППД5[[#This Row],[Фикс 8.11.24]]*1%</f>
        <v>901.97577748500021</v>
      </c>
      <c r="BF31" s="9">
        <f>ППД5[[#This Row],[Наценка за отделку 29.12.23 1%]]+ППД5[[#This Row],[Фикс 8.11.24]]</f>
        <v>91099.553525985015</v>
      </c>
      <c r="BG31" s="93">
        <f>ППД5[[#This Row],[Фикс 29.12.23]]*5%</f>
        <v>4554.9776762992506</v>
      </c>
      <c r="BH31" s="9">
        <f>ППД5[[#This Row],[Фикс 29.12.23]]+ППД5[[#This Row],[Наценка 10.01.24 5%]]</f>
        <v>95654.53120228427</v>
      </c>
      <c r="BI31" s="9"/>
      <c r="BJ31" s="9">
        <f>ППД5[[#This Row],[Наценка 26.02.24 1 Этаж]]+ППД5[[#This Row],[Фикс 10.01.24]]</f>
        <v>95654.53120228427</v>
      </c>
      <c r="BK31" s="93">
        <f>ППД5[[#This Row],[Фикс 26.02.24]]*2%</f>
        <v>1913.0906240456854</v>
      </c>
      <c r="BL31" s="9">
        <f>ППД5[[#This Row],[Фикс 26.02.24]]+ППД5[[#This Row],[Наценка 06.03.24
СТ, 1К - 3%
2К, 3К - 2%]]</f>
        <v>97567.621826329952</v>
      </c>
      <c r="BM31" s="9"/>
      <c r="BN31" s="9">
        <f>ППД5[[#This Row],[Фикс 06.03.24]]+ППД5[[#This Row],[Наценка Г2+500]]</f>
        <v>97567.621826329952</v>
      </c>
      <c r="BO31" s="9">
        <f>ППД5[[#This Row],[Фикс 13.03.25]]*2%</f>
        <v>1951.3524365265991</v>
      </c>
      <c r="BP31" s="9">
        <f>ППД5[[#This Row],[Фикс 13.03.25]]+ППД5[[#This Row],[Наценка 20.03.24
2К, 3К - 2%]]</f>
        <v>99518.974262856558</v>
      </c>
      <c r="BQ31" s="9"/>
      <c r="BR31" s="9">
        <f>ППД5[[#This Row],[Фикс 20.03.24]]+ППД5[[#This Row],[Наценка 08.04.24 
2К: В3 - 150
3К: Г7 +1000]]</f>
        <v>99518.974262856558</v>
      </c>
      <c r="BS31" s="9"/>
      <c r="BT31" s="9">
        <f>ППД5[[#This Row],[Фикс 08.04.24]]+ППД5[[#This Row],[Наценка 16.05.24 1%
А4,А6,Б3,Б6,Б7,В2,В3,В5,В6,Г1,Г3-Г5]]</f>
        <v>99518.974262856558</v>
      </c>
      <c r="BU31" s="9"/>
      <c r="BV31" s="9">
        <f>ППД5[[#This Row],[Фикс 16.05.24]]+ППД5[[#This Row],[Наценка 24.05.24
1% - Б4, Б5,Г2,Г6
2% - А1,А3,А5,Б2,Г7]]</f>
        <v>99518.974262856558</v>
      </c>
      <c r="BW31" s="9"/>
      <c r="BX31" s="9">
        <f>ППД5[[#This Row],[Наценка 06.06.24
0К: В2,Г3 +0,5%
1К: А7, Б5/4, Г6 +0,5%
3К: В6 +0,5%
1К: А3 +1%]]+ППД5[[#This Row],[Фикс 24.05.24]]</f>
        <v>99518.974262856558</v>
      </c>
      <c r="BY31" s="9"/>
      <c r="BZ31" s="9">
        <f>ППД5[[#This Row],[Фикс 06.06.24]]+ППД5[[#This Row],[13.06.2024
3К - 2%]]</f>
        <v>99518.974262856558</v>
      </c>
      <c r="CA31" s="93">
        <f>0.5%*ППД5[[#This Row],[Фикс 13.06.24]]</f>
        <v>497.59487131428278</v>
      </c>
      <c r="CB31" s="9">
        <f>ППД5[[#This Row],[02.07.2024: Г3 А1 А3 Б5 Б7 Г2 Г6 Б3 Б4 В3 Г7 2,5% ост 0,5-1,5%]]+ППД5[[#This Row],[Фикс 13.06.24]]</f>
        <v>100016.56913417084</v>
      </c>
      <c r="CC31" s="9"/>
      <c r="CD31" s="9">
        <f>ППД5[[#This Row],[Фикс 02.07.24]]+ППД5[[#This Row],[04.09.2024 +500
0К - Б2; 1К - А3;
2К - А6, Б4, В3, Г5]]</f>
        <v>100016.56913417084</v>
      </c>
      <c r="CE31" s="9"/>
      <c r="CF31" s="9">
        <f>ППД5[[#This Row],[Наценка 16.09.2024
1К: А1,В7,Г6/7,Г8 - 2%
2К: А4,А5,А6,Б1,Б6,Б3/4,В3,В4,Г4,Г5 - 4%
3К: 4%]]+ППД5[[#This Row],[Фикс 04.09.24]]</f>
        <v>100016.56913417084</v>
      </c>
      <c r="CG31" s="93">
        <f>ППД5[[#This Row],[Фикс 16.09.2024]]*6%</f>
        <v>6000.9941480502503</v>
      </c>
      <c r="CH31" s="9">
        <f>ППД5[[#This Row],[Фикс 16.09.2024]]+ППД5[[#This Row],[Наценка 01.11.24
СТ: 4%
1К: 34-40м 5%; 40м+ 8%; МГН 1%
2К: 55-70м 6%; 70-73м 7%; 73-76м 8% 
3К: 5%]]</f>
        <v>106017.56328222109</v>
      </c>
      <c r="CI31" s="93">
        <f>ППД5[[#This Row],[Фикс 01.11.24]]*13%</f>
        <v>13782.283226688742</v>
      </c>
      <c r="CJ31" s="9">
        <f>ППД5[[#This Row],[Наценка 06.11 13%]]+ППД5[[#This Row],[Фикс 01.11.24]]</f>
        <v>119799.84650890983</v>
      </c>
      <c r="CK31" s="9"/>
      <c r="CL31" s="9">
        <f>ППД5[[#This Row],[Фикс 06.11.24]]+ППД5[[#This Row],[Наценка 18.12.24 распределение КВ]]</f>
        <v>119799.84650890983</v>
      </c>
      <c r="CM31" s="9"/>
      <c r="CN31" s="9">
        <f>ППД5[[#This Row],[Фикс 18.12.24]]+ППД5[[#This Row],[Наценка 10.02.25 +1%
1К: А3
2К: Б3, В3]]</f>
        <v>119799.84650890983</v>
      </c>
      <c r="CO31" s="93">
        <f>ROUND(ППД5[[#This Row],[Фикс 10.02.25]],2)</f>
        <v>119799.85</v>
      </c>
      <c r="CP3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8206300</v>
      </c>
      <c r="CQ31" s="93">
        <f>ROUNDUP(ППД5[[#This Row],[Стоимость до скидки]]+ППД5[[#This Row],[Сумма доплаты]],-2)</f>
        <v>8206300</v>
      </c>
      <c r="CR31" s="68"/>
      <c r="CS31" s="90">
        <v>0.02</v>
      </c>
      <c r="CT31" s="68">
        <f>ППД5[[#This Row],[Стоимость до скидки]]*ППД5[[#This Row],[Скидка %]]+ППД5[[#This Row],[Скидка фиксированная]]</f>
        <v>164126</v>
      </c>
      <c r="CU31" s="3">
        <f>ППД5[[#This Row],[Стоимость ОН без отделки со скидкой]]/ППД5[[#This Row],[Расчетная проектная площадь]]</f>
        <v>117404</v>
      </c>
      <c r="CV31" s="3">
        <f>ROUND(ППД5[[#This Row],[Стоимость до скидки]]-ППД5[[#This Row],[Итоговая сумма скидки]],2)</f>
        <v>8042174</v>
      </c>
      <c r="CW3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31" s="218">
        <v>10000</v>
      </c>
      <c r="CY31" s="332">
        <f>ППД5[[#This Row],[Расхождение]]/ППД5[[#This Row],[Расчетная проектная площадь]]</f>
        <v>0</v>
      </c>
      <c r="CZ31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5.9999999999998721E-2</v>
      </c>
      <c r="DA31" s="3">
        <f>ППД5[[#This Row],[Цена м2 без отделки со скидкой]]+ППД5[[#This Row],[Стоимость отделки]]</f>
        <v>127404</v>
      </c>
      <c r="DB31" s="3">
        <f>ППД5[[#This Row],[Стоимость квартиры с отделкой]]-ППД5[[#This Row],[Стоимость ОН без отделки со скидкой]]</f>
        <v>685000</v>
      </c>
      <c r="DC31" s="3">
        <f>ППД5[[#This Row],[Цена м2 с отделкой]]*ППД5[[#This Row],[Расчетная проектная площадь]]</f>
        <v>8727174</v>
      </c>
      <c r="DD31" s="3"/>
      <c r="DE31" s="111" t="s">
        <v>757</v>
      </c>
      <c r="DF31" s="199" t="s">
        <v>172</v>
      </c>
      <c r="DG31" s="245" t="s">
        <v>172</v>
      </c>
      <c r="DH31" s="100" t="b">
        <f>EXACT(ППД5[[#This Row],[Статусы CRM]],ППД5[[#This Row],[Статус]])</f>
        <v>1</v>
      </c>
      <c r="DI31" s="213" t="s">
        <v>203</v>
      </c>
      <c r="DJ31" s="204"/>
      <c r="DK31" s="111" t="s">
        <v>763</v>
      </c>
      <c r="DL31" s="216" t="s">
        <v>780</v>
      </c>
      <c r="DM31" s="201" t="b">
        <f>ППД5[[#This Row],[Отделка CRM]]=ППД5[[#This Row],[Отделка]]</f>
        <v>1</v>
      </c>
      <c r="DN31" s="203">
        <v>8727174</v>
      </c>
      <c r="DO3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1" s="207" t="b">
        <f>IF(AND(ППД5[[#This Row],[Статус]]="свободно",ППД5[[#This Row],[Итоговая сумма скидки]]&lt;&gt;0),FALSE,TRUE)</f>
        <v>1</v>
      </c>
      <c r="DQ31" s="240">
        <f>_xlfn.XLOOKUP(ППД5[[#This Row],[№]],Юрист[№ кв],Юрист[Дата подачи на регистрацию]," ",0,-1)</f>
        <v>45654</v>
      </c>
      <c r="DR31" s="115" t="str">
        <f>_xlfn.XLOOKUP(ППД5[[#This Row],[№]],Юрист[№ кв],Юрист[МОП],"",0,-1)</f>
        <v>Нуждина</v>
      </c>
      <c r="DS31" s="333" t="s">
        <v>2354</v>
      </c>
      <c r="DT31" s="333" t="s">
        <v>2355</v>
      </c>
      <c r="DU31" s="333">
        <v>67</v>
      </c>
      <c r="DV31" s="111"/>
    </row>
    <row r="32" spans="1:126" hidden="1" x14ac:dyDescent="0.25">
      <c r="A32" s="112">
        <v>30</v>
      </c>
      <c r="B32" s="111" t="s">
        <v>5</v>
      </c>
      <c r="C32" s="111">
        <v>5</v>
      </c>
      <c r="D32" s="111">
        <v>3</v>
      </c>
      <c r="E32" s="111">
        <v>1</v>
      </c>
      <c r="F32" s="105">
        <v>13.6</v>
      </c>
      <c r="G32" s="105"/>
      <c r="H32" s="105"/>
      <c r="I32" s="94">
        <f>SUM(ППД5[[#This Row],[Комната 1]:[Комната 3]])</f>
        <v>13.6</v>
      </c>
      <c r="J32" s="105">
        <v>14.97</v>
      </c>
      <c r="K32" s="105">
        <v>4.1100000000000003</v>
      </c>
      <c r="L32" s="105"/>
      <c r="M32" s="105"/>
      <c r="N32" s="105">
        <v>3.7</v>
      </c>
      <c r="O32" s="105">
        <v>2.69</v>
      </c>
      <c r="P32" s="105"/>
      <c r="Q32" s="105"/>
      <c r="R32" s="105">
        <f>SUM(ППД5[[#This Row],[Лоджия 1]:[Лоджия 3]])</f>
        <v>2.69</v>
      </c>
      <c r="S32" s="7">
        <f>ROUND(SUM(ППД5[[#This Row],[Площадь по проекту жилая]:[Лоджия 3]]),2)</f>
        <v>39.07</v>
      </c>
      <c r="T32" s="7">
        <f>ROUND(ППД5[[#This Row],[Площадь по проекту(общая)]]-ППД5[[#This Row],[Летние]],2)</f>
        <v>36.380000000000003</v>
      </c>
      <c r="U32" s="92">
        <f>ROUND(ППД5[[#This Row],[Площадь по проекту(общая)]]-(SUM(ППД5[[#This Row],[Лоджия 1]:[Лоджия 3]])/2),2)</f>
        <v>37.729999999999997</v>
      </c>
      <c r="V32" s="92">
        <f>IF(ППД5[[#This Row],[Статус]]="продажа",ППД5[[#This Row],[Расчетная проектная площадь]],ППД5[[#This Row],[Расчетная ТП площадь]])</f>
        <v>37.549999999999997</v>
      </c>
      <c r="W32" s="92">
        <v>13.5</v>
      </c>
      <c r="X32" s="92"/>
      <c r="Y32" s="92"/>
      <c r="Z32" s="92">
        <f>SUM(ППД5[[#This Row],[ТП Комната 1]:[ТП Комната 3]])</f>
        <v>13.5</v>
      </c>
      <c r="AA32" s="92">
        <v>14.9</v>
      </c>
      <c r="AB32" s="92">
        <v>4</v>
      </c>
      <c r="AC32" s="92"/>
      <c r="AD32" s="92"/>
      <c r="AE32" s="92">
        <v>3.8</v>
      </c>
      <c r="AF32" s="91">
        <v>1.35</v>
      </c>
      <c r="AG32" s="92"/>
      <c r="AH32" s="92"/>
      <c r="AI32" s="91">
        <f>SUM(ППД5[[#This Row],[ТП Лоджия 1]:[ТП Лоджия 3]])</f>
        <v>1.35</v>
      </c>
      <c r="AJ32" s="95">
        <v>2.7</v>
      </c>
      <c r="AK32" s="92">
        <f>SUM(ППД5[[#This Row],[Площадь по ТП жилая]:[ТП Лоджия 3]])-ППД5[[#This Row],[ТП Летние]]+ППД5[[#This Row],[кроме того прочая
(без коэффициента)]]</f>
        <v>38.9</v>
      </c>
      <c r="AL32" s="95">
        <f>ППД5[[#This Row],[ТП Площадь без летних]]+(ППД5[[#This Row],[ТП Летние]])</f>
        <v>37.549999999999997</v>
      </c>
      <c r="AM32" s="92">
        <f>ППД5[[#This Row],[ТП общая S]]-ППД5[[#This Row],[кроме того прочая
(без коэффициента)]]</f>
        <v>36.199999999999996</v>
      </c>
      <c r="AN32" s="95">
        <f>SUM(ППД5[[#This Row],[ТП Кухня]:[ТП Коридор]])</f>
        <v>22.7</v>
      </c>
      <c r="AO32" s="91">
        <f>ППД5[[#This Row],[Расчетная ТП площадь]]-ППД5[[#This Row],[Расчетная проектная площадь]]</f>
        <v>-0.17999999999999972</v>
      </c>
      <c r="AP32" s="335">
        <f>ППД5[[#This Row],[Расчетная ТП площадь]]/ППД5[[#This Row],[Расчетная проектная площадь]]-1</f>
        <v>-4.7707394646170354E-3</v>
      </c>
      <c r="AQ32" s="92">
        <f>ППД5[[#This Row],[% расхождения]]*ППД5[[#This Row],[Стоимость до скидки]]</f>
        <v>-26078.293135436099</v>
      </c>
      <c r="AR32" s="92">
        <f>VLOOKUP(ППД5[[#This Row],[№]],наценкад5[],COLUMN(наценкад5[[#This Row],[Цена м2 с учетом всех K]]),0)</f>
        <v>87601.5</v>
      </c>
      <c r="AS32" s="7">
        <f>ППД5[[#This Row],[м2 после К]]*5%</f>
        <v>4380.0749999999998</v>
      </c>
      <c r="AT32" s="7">
        <f>ППД5[[#This Row],[м2 после К]]+ППД5[[#This Row],[Повышение 16.08.23 - 5%]]</f>
        <v>91981.574999999997</v>
      </c>
      <c r="AU32" s="9">
        <f>ППД5[[#This Row],[Фикс 16.08.23]]*3%</f>
        <v>2759.4472499999997</v>
      </c>
      <c r="AV32" s="9">
        <f>ППД5[[#This Row],[Фикс 16.08.23]]+ППД5[[#This Row],[Повышение 29.08.23 - 3%]]</f>
        <v>94741.022249999995</v>
      </c>
      <c r="AW32" s="93">
        <f>ППД5[[#This Row],[Фикс 29.08.23]]*7%</f>
        <v>6631.8715575000006</v>
      </c>
      <c r="AX32" s="9">
        <f>ППД5[[#This Row],[Фикс 29.08.23]]+ППД5[[#This Row],[Повышение 06.09.23 СТ и 1К]]</f>
        <v>101372.89380749999</v>
      </c>
      <c r="AY32" s="9"/>
      <c r="AZ32" s="9">
        <f>ППД5[[#This Row],[Повышение 23.10.23  В4 ]]+ППД5[[#This Row],[Фикс 06.09.23]]</f>
        <v>101372.89380749999</v>
      </c>
      <c r="BA32" s="93">
        <f>ППД5[[#This Row],[Фикс 23.10.23]]*5%</f>
        <v>5068.6446903750002</v>
      </c>
      <c r="BB32" s="93">
        <f>ППД5[[#This Row],[Повышение 8.11.23 1К 5%]]+ППД5[[#This Row],[Фикс 23.10.23]]</f>
        <v>106441.53849787499</v>
      </c>
      <c r="BC32" s="93"/>
      <c r="BD32" s="93">
        <f>ППД5[[#This Row],[Корректировка 24.11.23 - 1К В5, 2К А2, №233]]+ППД5[[#This Row],[Фикс 8.11.23]]</f>
        <v>106441.53849787499</v>
      </c>
      <c r="BE32" s="93">
        <f>ППД5[[#This Row],[Фикс 8.11.24]]*1%</f>
        <v>1064.4153849787499</v>
      </c>
      <c r="BF32" s="93">
        <f>ППД5[[#This Row],[Наценка за отделку 29.12.23 1%]]+ППД5[[#This Row],[Фикс 8.11.24]]</f>
        <v>107505.95388285375</v>
      </c>
      <c r="BG32" s="93">
        <f>ППД5[[#This Row],[Фикс 29.12.23]]*5%</f>
        <v>5375.2976941426878</v>
      </c>
      <c r="BH32" s="93">
        <f>ППД5[[#This Row],[Фикс 29.12.23]]+ППД5[[#This Row],[Наценка 10.01.24 5%]]</f>
        <v>112881.25157699644</v>
      </c>
      <c r="BI32" s="93"/>
      <c r="BJ32" s="93">
        <f>ППД5[[#This Row],[Наценка 26.02.24 1 Этаж]]+ППД5[[#This Row],[Фикс 10.01.24]]</f>
        <v>112881.25157699644</v>
      </c>
      <c r="BK32" s="93">
        <f>ППД5[[#This Row],[Фикс 26.02.24]]*3%</f>
        <v>3386.437547309893</v>
      </c>
      <c r="BL32" s="93">
        <f>ППД5[[#This Row],[Фикс 26.02.24]]+ППД5[[#This Row],[Наценка 06.03.24
СТ, 1К - 3%
2К, 3К - 2%]]</f>
        <v>116267.68912430633</v>
      </c>
      <c r="BM32" s="93"/>
      <c r="BN32" s="93">
        <f>ППД5[[#This Row],[Фикс 06.03.24]]+ППД5[[#This Row],[Наценка Г2+500]]</f>
        <v>116267.68912430633</v>
      </c>
      <c r="BO32" s="93"/>
      <c r="BP32" s="93">
        <f>ППД5[[#This Row],[Фикс 13.03.25]]+ППД5[[#This Row],[Наценка 20.03.24
2К, 3К - 2%]]</f>
        <v>116267.68912430633</v>
      </c>
      <c r="BQ32" s="93"/>
      <c r="BR32" s="93">
        <f>ППД5[[#This Row],[Фикс 20.03.24]]+ППД5[[#This Row],[Наценка 08.04.24 
2К: В3 - 150
3К: Г7 +1000]]</f>
        <v>116267.68912430633</v>
      </c>
      <c r="BS32" s="93"/>
      <c r="BT32" s="93">
        <f>ППД5[[#This Row],[Фикс 08.04.24]]+ППД5[[#This Row],[Наценка 16.05.24 1%
А4,А6,Б3,Б6,Б7,В2,В3,В5,В6,Г1,Г3-Г5]]</f>
        <v>116267.68912430633</v>
      </c>
      <c r="BU32" s="93"/>
      <c r="BV32" s="93">
        <f>ППД5[[#This Row],[Фикс 16.05.24]]+ППД5[[#This Row],[Наценка 24.05.24
1% - Б4, Б5,Г2,Г6
2% - А1,А3,А5,Б2,Г7]]</f>
        <v>116267.68912430633</v>
      </c>
      <c r="BW32" s="93">
        <f>ППД5[[#This Row],[Фикс 24.05.24]]*1%</f>
        <v>1162.6768912430632</v>
      </c>
      <c r="BX32" s="93">
        <f>ППД5[[#This Row],[Наценка 06.06.24
0К: В2,Г3 +0,5%
1К: А7, Б5/4, Г6 +0,5%
3К: В6 +0,5%
1К: А3 +1%]]+ППД5[[#This Row],[Фикс 24.05.24]]</f>
        <v>117430.36601554939</v>
      </c>
      <c r="BY32" s="93"/>
      <c r="BZ32" s="93">
        <f>ППД5[[#This Row],[Фикс 06.06.24]]+ППД5[[#This Row],[13.06.2024
3К - 2%]]</f>
        <v>117430.36601554939</v>
      </c>
      <c r="CA32" s="93">
        <f>2.5%*ППД5[[#This Row],[Фикс 13.06.24]]</f>
        <v>2935.7591503887347</v>
      </c>
      <c r="CB32" s="93">
        <f>ППД5[[#This Row],[02.07.2024: Г3 А1 А3 Б5 Б7 Г2 Г6 Б3 Б4 В3 Г7 2,5% ост 0,5-1,5%]]+ППД5[[#This Row],[Фикс 13.06.24]]</f>
        <v>120366.12516593812</v>
      </c>
      <c r="CC32" s="93">
        <v>500</v>
      </c>
      <c r="CD32" s="93">
        <f>ППД5[[#This Row],[Фикс 02.07.24]]+ППД5[[#This Row],[04.09.2024 +500
0К - Б2; 1К - А3;
2К - А6, Б4, В3, Г5]]</f>
        <v>120866.12516593812</v>
      </c>
      <c r="CE32" s="93"/>
      <c r="CF32" s="93">
        <f>ППД5[[#This Row],[Наценка 16.09.2024
1К: А1,В7,Г6/7,Г8 - 2%
2К: А4,А5,А6,Б1,Б6,Б3/4,В3,В4,Г4,Г5 - 4%
3К: 4%]]+ППД5[[#This Row],[Фикс 04.09.24]]</f>
        <v>120866.12516593812</v>
      </c>
      <c r="CG32" s="93">
        <f>ППД5[[#This Row],[Фикс 16.09.2024]]*5%</f>
        <v>6043.3062582969069</v>
      </c>
      <c r="CH32" s="93">
        <f>ППД5[[#This Row],[Фикс 16.09.2024]]+ППД5[[#This Row],[Наценка 01.11.24
СТ: 4%
1К: 34-40м 5%; 40м+ 8%; МГН 1%
2К: 55-70м 6%; 70-73м 7%; 73-76м 8% 
3К: 5%]]</f>
        <v>126909.43142423502</v>
      </c>
      <c r="CI32" s="93">
        <f>ППД5[[#This Row],[Фикс 01.11.24]]*13%</f>
        <v>16498.226085150553</v>
      </c>
      <c r="CJ32" s="93">
        <f>ППД5[[#This Row],[Наценка 06.11 13%]]+ППД5[[#This Row],[Фикс 01.11.24]]</f>
        <v>143407.65750938558</v>
      </c>
      <c r="CK32" s="93">
        <v>35</v>
      </c>
      <c r="CL32" s="93">
        <f>ППД5[[#This Row],[Фикс 06.11.24]]+ППД5[[#This Row],[Наценка 18.12.24 распределение КВ]]</f>
        <v>143442.65750938558</v>
      </c>
      <c r="CM32" s="93">
        <f>ППД5[[#This Row],[Фикс 18.12.24]]*1%</f>
        <v>1434.4265750938557</v>
      </c>
      <c r="CN32" s="93">
        <f>ППД5[[#This Row],[Фикс 18.12.24]]+ППД5[[#This Row],[Наценка 10.02.25 +1%
1К: А3
2К: Б3, В3]]</f>
        <v>144877.08408447943</v>
      </c>
      <c r="CO32" s="93">
        <f>ROUND(ППД5[[#This Row],[Фикс 10.02.25]],2)</f>
        <v>144877.07999999999</v>
      </c>
      <c r="CP3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5466300</v>
      </c>
      <c r="CQ32" s="93">
        <f>ROUNDUP(ППД5[[#This Row],[Стоимость до скидки]]+ППД5[[#This Row],[Сумма доплаты]],-2)</f>
        <v>5440300</v>
      </c>
      <c r="CR32" s="68"/>
      <c r="CS32" s="90"/>
      <c r="CT32" s="68">
        <f>ППД5[[#This Row],[Стоимость до скидки]]*ППД5[[#This Row],[Скидка %]]+ППД5[[#This Row],[Скидка фиксированная]]</f>
        <v>0</v>
      </c>
      <c r="CU32" s="3">
        <f>ППД5[[#This Row],[Стоимость ОН без отделки со скидкой]]/ППД5[[#This Row],[Расчетная проектная площадь]]</f>
        <v>144879.40630797774</v>
      </c>
      <c r="CV32" s="3">
        <f>ROUND(ППД5[[#This Row],[Стоимость до скидки]]-ППД5[[#This Row],[Итоговая сумма скидки]],2)</f>
        <v>5466300</v>
      </c>
      <c r="CW3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2" s="197"/>
      <c r="CY32" s="332">
        <f>ППД5[[#This Row],[Расхождение]]/ППД5[[#This Row],[Расчетная проектная площадь]]</f>
        <v>-4.7707394646170085E-3</v>
      </c>
      <c r="CZ3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-8.0000000000000071E-2</v>
      </c>
      <c r="DA32" s="3">
        <f>ППД5[[#This Row],[Цена м2 без отделки со скидкой]]+ППД5[[#This Row],[Стоимость отделки]]</f>
        <v>144879.40630797774</v>
      </c>
      <c r="DB32" s="3">
        <f>ППД5[[#This Row],[Стоимость квартиры с отделкой]]-ППД5[[#This Row],[Стоимость ОН без отделки со скидкой]]</f>
        <v>0</v>
      </c>
      <c r="DC32" s="3">
        <f>ППД5[[#This Row],[Цена м2 с отделкой]]*ППД5[[#This Row],[Расчетная проектная площадь]]</f>
        <v>5466300</v>
      </c>
      <c r="DD32" s="3"/>
      <c r="DF32" s="199" t="s">
        <v>157</v>
      </c>
      <c r="DG32" s="245" t="s">
        <v>157</v>
      </c>
      <c r="DH32" s="100" t="b">
        <f>EXACT(ППД5[[#This Row],[Статусы CRM]],ППД5[[#This Row],[Статус]])</f>
        <v>1</v>
      </c>
      <c r="DI32" s="213" t="s">
        <v>204</v>
      </c>
      <c r="DJ32" s="204"/>
      <c r="DK32" s="111" t="s">
        <v>763</v>
      </c>
      <c r="DL32" s="216" t="s">
        <v>12</v>
      </c>
      <c r="DM32" s="201" t="b">
        <f>ППД5[[#This Row],[Отделка CRM]]=ППД5[[#This Row],[Отделка]]</f>
        <v>1</v>
      </c>
      <c r="DN32" s="203">
        <v>5466300</v>
      </c>
      <c r="DO3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2" s="207" t="b">
        <f>IF(AND(ППД5[[#This Row],[Статус]]="свободно",ППД5[[#This Row],[Итоговая сумма скидки]]&lt;&gt;0),FALSE,TRUE)</f>
        <v>1</v>
      </c>
      <c r="DQ32" s="240" t="str">
        <f>_xlfn.XLOOKUP(ППД5[[#This Row],[№]],Юрист[№ кв],Юрист[Дата подачи на регистрацию]," ",0,-1)</f>
        <v xml:space="preserve"> </v>
      </c>
      <c r="DR32" s="115" t="str">
        <f>_xlfn.XLOOKUP(ППД5[[#This Row],[№]],Юрист[№ кв],Юрист[МОП],"",0,-1)</f>
        <v/>
      </c>
      <c r="DS32" s="333" t="s">
        <v>2356</v>
      </c>
      <c r="DT32" s="333" t="s">
        <v>2357</v>
      </c>
      <c r="DU32" s="333">
        <v>36.200000000000003</v>
      </c>
      <c r="DV32" s="111"/>
    </row>
    <row r="33" spans="1:126" hidden="1" x14ac:dyDescent="0.25">
      <c r="A33" s="112">
        <v>31</v>
      </c>
      <c r="B33" s="111" t="s">
        <v>5</v>
      </c>
      <c r="C33" s="111">
        <v>5</v>
      </c>
      <c r="D33" s="111">
        <v>4</v>
      </c>
      <c r="E33" s="111">
        <v>2</v>
      </c>
      <c r="F33" s="105">
        <v>16.61</v>
      </c>
      <c r="G33" s="105">
        <v>11.38</v>
      </c>
      <c r="H33" s="105"/>
      <c r="I33" s="94">
        <f>SUM(ППД5[[#This Row],[Комната 1]:[Комната 3]])</f>
        <v>27.990000000000002</v>
      </c>
      <c r="J33" s="105">
        <v>14.58</v>
      </c>
      <c r="K33" s="105">
        <v>4.34</v>
      </c>
      <c r="L33" s="105">
        <v>2.08</v>
      </c>
      <c r="M33" s="105"/>
      <c r="N33" s="105">
        <v>8.82</v>
      </c>
      <c r="O33" s="105">
        <v>2.56</v>
      </c>
      <c r="P33" s="105"/>
      <c r="Q33" s="105"/>
      <c r="R33" s="105">
        <f>SUM(ППД5[[#This Row],[Лоджия 1]:[Лоджия 3]])</f>
        <v>2.56</v>
      </c>
      <c r="S33" s="7">
        <f>ROUND(SUM(ППД5[[#This Row],[Площадь по проекту жилая]:[Лоджия 3]]),2)</f>
        <v>60.37</v>
      </c>
      <c r="T33" s="7">
        <f>ROUND(ППД5[[#This Row],[Площадь по проекту(общая)]]-ППД5[[#This Row],[Летние]],2)</f>
        <v>57.81</v>
      </c>
      <c r="U33" s="92">
        <f>ROUND(ППД5[[#This Row],[Площадь по проекту(общая)]]-(SUM(ППД5[[#This Row],[Лоджия 1]:[Лоджия 3]])/2),2)</f>
        <v>59.09</v>
      </c>
      <c r="V33" s="92">
        <f>IF(ППД5[[#This Row],[Статус]]="продажа",ППД5[[#This Row],[Расчетная проектная площадь]],ППД5[[#This Row],[Расчетная ТП площадь]])</f>
        <v>59.09</v>
      </c>
      <c r="W33" s="92">
        <v>16.5</v>
      </c>
      <c r="X33" s="92">
        <v>11.4</v>
      </c>
      <c r="Y33" s="92"/>
      <c r="Z33" s="92">
        <f>SUM(ППД5[[#This Row],[ТП Комната 1]:[ТП Комната 3]])</f>
        <v>27.9</v>
      </c>
      <c r="AA33" s="92">
        <v>14.7</v>
      </c>
      <c r="AB33" s="92">
        <v>4.3</v>
      </c>
      <c r="AC33" s="92">
        <v>2.1</v>
      </c>
      <c r="AD33" s="92"/>
      <c r="AE33" s="92">
        <v>8.9</v>
      </c>
      <c r="AF33" s="92">
        <v>1.3</v>
      </c>
      <c r="AG33" s="92"/>
      <c r="AH33" s="92"/>
      <c r="AI33" s="91">
        <f>SUM(ППД5[[#This Row],[ТП Лоджия 1]:[ТП Лоджия 3]])</f>
        <v>1.3</v>
      </c>
      <c r="AJ33" s="95">
        <v>2.6</v>
      </c>
      <c r="AK33" s="92">
        <f>SUM(ППД5[[#This Row],[Площадь по ТП жилая]:[ТП Лоджия 3]])-ППД5[[#This Row],[ТП Летние]]+ППД5[[#This Row],[кроме того прочая
(без коэффициента)]]</f>
        <v>60.499999999999993</v>
      </c>
      <c r="AL33" s="95">
        <f>ППД5[[#This Row],[ТП Площадь без летних]]+(ППД5[[#This Row],[ТП Летние]])</f>
        <v>59.199999999999989</v>
      </c>
      <c r="AM33" s="92">
        <f>ППД5[[#This Row],[ТП общая S]]-ППД5[[#This Row],[кроме того прочая
(без коэффициента)]]</f>
        <v>57.899999999999991</v>
      </c>
      <c r="AN33" s="95">
        <f>SUM(ППД5[[#This Row],[ТП Кухня]:[ТП Коридор]])</f>
        <v>30</v>
      </c>
      <c r="AO33" s="91">
        <f>ППД5[[#This Row],[Расчетная ТП площадь]]-ППД5[[#This Row],[Расчетная проектная площадь]]</f>
        <v>0.10999999999998522</v>
      </c>
      <c r="AP33" s="335">
        <f>ППД5[[#This Row],[Расчетная ТП площадь]]/ППД5[[#This Row],[Расчетная проектная площадь]]-1</f>
        <v>1.8615671010320245E-3</v>
      </c>
      <c r="AQ33" s="92">
        <f>ППД5[[#This Row],[% расхождения]]*ППД5[[#This Row],[Стоимость до скидки]]</f>
        <v>8833.8646048386563</v>
      </c>
      <c r="AR33" s="92">
        <f>VLOOKUP(ППД5[[#This Row],[№]],наценкад5[],COLUMN(наценкад5[[#This Row],[Цена м2 с учетом всех K]]),0)</f>
        <v>80307.864000000001</v>
      </c>
      <c r="AS33" s="7"/>
      <c r="AT33" s="7">
        <f>ППД5[[#This Row],[м2 после К]]+ППД5[[#This Row],[Повышение 16.08.23 - 5%]]</f>
        <v>80307.864000000001</v>
      </c>
      <c r="AU33" s="9"/>
      <c r="AV33" s="9">
        <f>ППД5[[#This Row],[Фикс 16.08.23]]+ППД5[[#This Row],[Повышение 29.08.23 - 3%]]</f>
        <v>80307.864000000001</v>
      </c>
      <c r="AW33" s="9"/>
      <c r="AX33" s="9">
        <f>ППД5[[#This Row],[Фикс 29.08.23]]+ППД5[[#This Row],[Повышение 06.09.23 СТ и 1К]]</f>
        <v>80307.864000000001</v>
      </c>
      <c r="AY33" s="9"/>
      <c r="AZ33" s="9">
        <f>ППД5[[#This Row],[Повышение 23.10.23  В4 ]]+ППД5[[#This Row],[Фикс 06.09.23]]</f>
        <v>80307.864000000001</v>
      </c>
      <c r="BA33" s="9"/>
      <c r="BB33" s="9">
        <f>ППД5[[#This Row],[Повышение 8.11.23 1К 5%]]+ППД5[[#This Row],[Фикс 23.10.23]]</f>
        <v>80307.864000000001</v>
      </c>
      <c r="BC33" s="9"/>
      <c r="BD33" s="9">
        <f>ППД5[[#This Row],[Корректировка 24.11.23 - 1К В5, 2К А2, №233]]+ППД5[[#This Row],[Фикс 8.11.23]]</f>
        <v>80307.864000000001</v>
      </c>
      <c r="BE33" s="9"/>
      <c r="BF33" s="9">
        <f>ППД5[[#This Row],[Наценка за отделку 29.12.23 1%]]+ППД5[[#This Row],[Фикс 8.11.24]]</f>
        <v>80307.864000000001</v>
      </c>
      <c r="BG33" s="9"/>
      <c r="BH33" s="9">
        <f>ППД5[[#This Row],[Фикс 29.12.23]]+ППД5[[#This Row],[Наценка 10.01.24 5%]]</f>
        <v>80307.864000000001</v>
      </c>
      <c r="BI33" s="9"/>
      <c r="BJ33" s="9">
        <f>ППД5[[#This Row],[Наценка 26.02.24 1 Этаж]]+ППД5[[#This Row],[Фикс 10.01.24]]</f>
        <v>80307.864000000001</v>
      </c>
      <c r="BK33" s="93"/>
      <c r="BL33" s="9">
        <f>ППД5[[#This Row],[Фикс 26.02.24]]+ППД5[[#This Row],[Наценка 06.03.24
СТ, 1К - 3%
2К, 3К - 2%]]</f>
        <v>80307.864000000001</v>
      </c>
      <c r="BM33" s="9"/>
      <c r="BN33" s="9">
        <f>ППД5[[#This Row],[Фикс 06.03.24]]+ППД5[[#This Row],[Наценка Г2+500]]</f>
        <v>80307.864000000001</v>
      </c>
      <c r="BO33" s="9"/>
      <c r="BP33" s="9">
        <f>ППД5[[#This Row],[Фикс 13.03.25]]+ППД5[[#This Row],[Наценка 20.03.24
2К, 3К - 2%]]</f>
        <v>80307.864000000001</v>
      </c>
      <c r="BQ33" s="9"/>
      <c r="BR33" s="9">
        <f>ППД5[[#This Row],[Фикс 20.03.24]]+ППД5[[#This Row],[Наценка 08.04.24 
2К: В3 - 150
3К: Г7 +1000]]</f>
        <v>80307.864000000001</v>
      </c>
      <c r="BS33" s="93"/>
      <c r="BT33" s="9">
        <f>ППД5[[#This Row],[Фикс 08.04.24]]+ППД5[[#This Row],[Наценка 16.05.24 1%
А4,А6,Б3,Б6,Б7,В2,В3,В5,В6,Г1,Г3-Г5]]</f>
        <v>80307.864000000001</v>
      </c>
      <c r="BU33" s="9"/>
      <c r="BV33" s="9">
        <f>ППД5[[#This Row],[Фикс 16.05.24]]+ППД5[[#This Row],[Наценка 24.05.24
1% - Б4, Б5,Г2,Г6
2% - А1,А3,А5,Б2,Г7]]</f>
        <v>80307.864000000001</v>
      </c>
      <c r="BW33" s="9"/>
      <c r="BX33" s="9">
        <f>ППД5[[#This Row],[Наценка 06.06.24
0К: В2,Г3 +0,5%
1К: А7, Б5/4, Г6 +0,5%
3К: В6 +0,5%
1К: А3 +1%]]+ППД5[[#This Row],[Фикс 24.05.24]]</f>
        <v>80307.864000000001</v>
      </c>
      <c r="BY33" s="9"/>
      <c r="BZ33" s="9">
        <f>ППД5[[#This Row],[Фикс 06.06.24]]+ППД5[[#This Row],[13.06.2024
3К - 2%]]</f>
        <v>80307.864000000001</v>
      </c>
      <c r="CA33" s="9"/>
      <c r="CB33" s="9">
        <f>ППД5[[#This Row],[02.07.2024: Г3 А1 А3 Б5 Б7 Г2 Г6 Б3 Б4 В3 Г7 2,5% ост 0,5-1,5%]]+ППД5[[#This Row],[Фикс 13.06.24]]</f>
        <v>80307.864000000001</v>
      </c>
      <c r="CC33" s="9"/>
      <c r="CD33" s="9">
        <f>ППД5[[#This Row],[Фикс 02.07.24]]+ППД5[[#This Row],[04.09.2024 +500
0К - Б2; 1К - А3;
2К - А6, Б4, В3, Г5]]</f>
        <v>80307.864000000001</v>
      </c>
      <c r="CE33" s="9"/>
      <c r="CF33" s="9">
        <f>ППД5[[#This Row],[Наценка 16.09.2024
1К: А1,В7,Г6/7,Г8 - 2%
2К: А4,А5,А6,Б1,Б6,Б3/4,В3,В4,Г4,Г5 - 4%
3К: 4%]]+ППД5[[#This Row],[Фикс 04.09.24]]</f>
        <v>80307.864000000001</v>
      </c>
      <c r="CG33" s="9"/>
      <c r="CH33" s="9">
        <f>ППД5[[#This Row],[Фикс 16.09.2024]]+ППД5[[#This Row],[Наценка 01.11.24
СТ: 4%
1К: 34-40м 5%; 40м+ 8%; МГН 1%
2К: 55-70м 6%; 70-73м 7%; 73-76м 8% 
3К: 5%]]</f>
        <v>80307.864000000001</v>
      </c>
      <c r="CI33" s="9"/>
      <c r="CJ33" s="9">
        <f>ППД5[[#This Row],[Наценка 06.11 13%]]+ППД5[[#This Row],[Фикс 01.11.24]]</f>
        <v>80307.864000000001</v>
      </c>
      <c r="CK33" s="9"/>
      <c r="CL33" s="9">
        <f>ППД5[[#This Row],[Фикс 06.11.24]]+ППД5[[#This Row],[Наценка 18.12.24 распределение КВ]]</f>
        <v>80307.864000000001</v>
      </c>
      <c r="CM33" s="9"/>
      <c r="CN33" s="9">
        <f>ППД5[[#This Row],[Фикс 18.12.24]]+ППД5[[#This Row],[Наценка 10.02.25 +1%
1К: А3
2К: Б3, В3]]</f>
        <v>80307.864000000001</v>
      </c>
      <c r="CO33" s="93">
        <f>ROUND(ППД5[[#This Row],[Фикс 10.02.25]],2)</f>
        <v>80307.86</v>
      </c>
      <c r="CP3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4745391.45</v>
      </c>
      <c r="CQ33" s="93">
        <f>ROUNDUP(ППД5[[#This Row],[Стоимость до скидки]]+ППД5[[#This Row],[Сумма доплаты]],-2)</f>
        <v>4754300</v>
      </c>
      <c r="CR33" s="68"/>
      <c r="CS33" s="90"/>
      <c r="CT33" s="68">
        <f>ППД5[[#This Row],[Стоимость до скидки]]*ППД5[[#This Row],[Скидка %]]+ППД5[[#This Row],[Скидка фиксированная]]</f>
        <v>0</v>
      </c>
      <c r="CU33" s="3">
        <f>ППД5[[#This Row],[Стоимость ОН без отделки со скидкой]]/ППД5[[#This Row],[Расчетная проектная площадь]]</f>
        <v>80307.86004400067</v>
      </c>
      <c r="CV33" s="3">
        <f>ROUND(ППД5[[#This Row],[Стоимость до скидки]]-ППД5[[#This Row],[Итоговая сумма скидки]],2)</f>
        <v>4745391.45</v>
      </c>
      <c r="CW3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33" s="197">
        <v>4500</v>
      </c>
      <c r="CY33" s="332">
        <f>ППД5[[#This Row],[Расхождение]]/ППД5[[#This Row],[Расчетная проектная площадь]]</f>
        <v>1.8615671010320733E-3</v>
      </c>
      <c r="CZ3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0.18000000000000149</v>
      </c>
      <c r="DA33" s="3">
        <f>ППД5[[#This Row],[Цена м2 без отделки со скидкой]]+ППД5[[#This Row],[Стоимость отделки]]</f>
        <v>84807.86004400067</v>
      </c>
      <c r="DB33" s="3">
        <f>ППД5[[#This Row],[Стоимость квартиры с отделкой]]-ППД5[[#This Row],[Стоимость ОН без отделки со скидкой]]</f>
        <v>265905</v>
      </c>
      <c r="DC33" s="3">
        <f>ППД5[[#This Row],[Цена м2 с отделкой]]*ППД5[[#This Row],[Расчетная проектная площадь]]</f>
        <v>5011296.45</v>
      </c>
      <c r="DD33" s="3"/>
      <c r="DF33" s="199" t="s">
        <v>172</v>
      </c>
      <c r="DG33" s="245" t="s">
        <v>172</v>
      </c>
      <c r="DH33" s="100" t="b">
        <f>EXACT(ППД5[[#This Row],[Статусы CRM]],ППД5[[#This Row],[Статус]])</f>
        <v>1</v>
      </c>
      <c r="DI33" s="213" t="s">
        <v>205</v>
      </c>
      <c r="DJ33" s="204"/>
      <c r="DK33" s="111" t="s">
        <v>76</v>
      </c>
      <c r="DL33" s="216" t="s">
        <v>13</v>
      </c>
      <c r="DM33" s="201" t="b">
        <f>ППД5[[#This Row],[Отделка CRM]]=ППД5[[#This Row],[Отделка]]</f>
        <v>1</v>
      </c>
      <c r="DN33" s="203">
        <v>5011296.45</v>
      </c>
      <c r="DO3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3" s="207" t="b">
        <f>IF(AND(ППД5[[#This Row],[Статус]]="свободно",ППД5[[#This Row],[Итоговая сумма скидки]]&lt;&gt;0),FALSE,TRUE)</f>
        <v>1</v>
      </c>
      <c r="DQ33" s="240">
        <f>_xlfn.XLOOKUP(ППД5[[#This Row],[№]],Юрист[№ кв],Юрист[Дата подачи на регистрацию]," ",0,-1)</f>
        <v>45187</v>
      </c>
      <c r="DR33" s="115" t="str">
        <f>_xlfn.XLOOKUP(ППД5[[#This Row],[№]],Юрист[№ кв],Юрист[МОП],"",0,-1)</f>
        <v>Дик</v>
      </c>
      <c r="DS33" s="333" t="s">
        <v>2358</v>
      </c>
      <c r="DT33" s="333" t="s">
        <v>2359</v>
      </c>
      <c r="DU33" s="333">
        <v>57.9</v>
      </c>
      <c r="DV33" s="111"/>
    </row>
    <row r="34" spans="1:126" hidden="1" x14ac:dyDescent="0.25">
      <c r="A34" s="112">
        <v>32</v>
      </c>
      <c r="B34" s="111" t="s">
        <v>5</v>
      </c>
      <c r="C34" s="111">
        <v>5</v>
      </c>
      <c r="D34" s="111">
        <v>5</v>
      </c>
      <c r="E34" s="111">
        <v>2</v>
      </c>
      <c r="F34" s="105">
        <v>16.46</v>
      </c>
      <c r="G34" s="105">
        <v>12.47</v>
      </c>
      <c r="H34" s="105"/>
      <c r="I34" s="94">
        <f>SUM(ППД5[[#This Row],[Комната 1]:[Комната 3]])</f>
        <v>28.93</v>
      </c>
      <c r="J34" s="105">
        <v>18</v>
      </c>
      <c r="K34" s="105">
        <v>4.3499999999999996</v>
      </c>
      <c r="L34" s="105">
        <v>1.55</v>
      </c>
      <c r="M34" s="105"/>
      <c r="N34" s="105">
        <v>8</v>
      </c>
      <c r="O34" s="105">
        <v>2.67</v>
      </c>
      <c r="P34" s="105"/>
      <c r="Q34" s="105"/>
      <c r="R34" s="105">
        <f>SUM(ППД5[[#This Row],[Лоджия 1]:[Лоджия 3]])</f>
        <v>2.67</v>
      </c>
      <c r="S34" s="8">
        <f>ROUND(SUM(ППД5[[#This Row],[Площадь по проекту жилая]:[Лоджия 3]]),2)</f>
        <v>63.5</v>
      </c>
      <c r="T34" s="8">
        <f>ROUND(ППД5[[#This Row],[Площадь по проекту(общая)]]-ППД5[[#This Row],[Летние]],2)</f>
        <v>60.83</v>
      </c>
      <c r="U34" s="91">
        <f>ROUND(ППД5[[#This Row],[Площадь по проекту(общая)]]-(SUM(ППД5[[#This Row],[Лоджия 1]:[Лоджия 3]])/2),2)</f>
        <v>62.17</v>
      </c>
      <c r="V34" s="91">
        <f>IF(ППД5[[#This Row],[Статус]]="продажа",ППД5[[#This Row],[Расчетная проектная площадь]],ППД5[[#This Row],[Расчетная ТП площадь]])</f>
        <v>62.17</v>
      </c>
      <c r="W34" s="91">
        <v>16.399999999999999</v>
      </c>
      <c r="X34" s="91">
        <v>12.4</v>
      </c>
      <c r="Y34" s="91"/>
      <c r="Z34" s="91">
        <f>SUM(ППД5[[#This Row],[ТП Комната 1]:[ТП Комната 3]])</f>
        <v>28.799999999999997</v>
      </c>
      <c r="AA34" s="91">
        <v>17.8</v>
      </c>
      <c r="AB34" s="91">
        <v>4.3</v>
      </c>
      <c r="AC34" s="91">
        <v>1.5</v>
      </c>
      <c r="AD34" s="91"/>
      <c r="AE34" s="91">
        <v>7.8</v>
      </c>
      <c r="AF34" s="91">
        <v>1.35</v>
      </c>
      <c r="AG34" s="91"/>
      <c r="AH34" s="91"/>
      <c r="AI34" s="91">
        <f>SUM(ППД5[[#This Row],[ТП Лоджия 1]:[ТП Лоджия 3]])</f>
        <v>1.35</v>
      </c>
      <c r="AJ34" s="95">
        <v>2.7</v>
      </c>
      <c r="AK34" s="91">
        <f>SUM(ППД5[[#This Row],[Площадь по ТП жилая]:[ТП Лоджия 3]])-ППД5[[#This Row],[ТП Летние]]+ППД5[[#This Row],[кроме того прочая
(без коэффициента)]]</f>
        <v>62.899999999999991</v>
      </c>
      <c r="AL34" s="95">
        <f>ППД5[[#This Row],[ТП Площадь без летних]]+(ППД5[[#This Row],[ТП Летние]])</f>
        <v>61.54999999999999</v>
      </c>
      <c r="AM34" s="91">
        <f>ППД5[[#This Row],[ТП общая S]]-ППД5[[#This Row],[кроме того прочая
(без коэффициента)]]</f>
        <v>60.199999999999989</v>
      </c>
      <c r="AN34" s="95">
        <f>SUM(ППД5[[#This Row],[ТП Кухня]:[ТП Коридор]])</f>
        <v>31.400000000000002</v>
      </c>
      <c r="AO34" s="91">
        <f>ППД5[[#This Row],[Расчетная ТП площадь]]-ППД5[[#This Row],[Расчетная проектная площадь]]</f>
        <v>-0.62000000000001165</v>
      </c>
      <c r="AP34" s="335">
        <f>ППД5[[#This Row],[Расчетная ТП площадь]]/ППД5[[#This Row],[Расчетная проектная площадь]]-1</f>
        <v>-9.9726556216827023E-3</v>
      </c>
      <c r="AQ34" s="91">
        <f>ППД5[[#This Row],[% расхождения]]*ППД5[[#This Row],[Стоимость до скидки]]</f>
        <v>-63031.17259128335</v>
      </c>
      <c r="AR34" s="91">
        <f>VLOOKUP(ППД5[[#This Row],[№]],наценкад5[],COLUMN(наценкад5[[#This Row],[Цена м2 с учетом всех K]]),0)</f>
        <v>80307.864000000001</v>
      </c>
      <c r="AS34" s="8">
        <f>ППД5[[#This Row],[м2 после К]]*5%</f>
        <v>4015.3932000000004</v>
      </c>
      <c r="AT34" s="8">
        <f>ППД5[[#This Row],[м2 после К]]+ППД5[[#This Row],[Повышение 16.08.23 - 5%]]</f>
        <v>84323.257200000007</v>
      </c>
      <c r="AU34" s="93">
        <f>ППД5[[#This Row],[Фикс 16.08.23]]*3%</f>
        <v>2529.6977160000001</v>
      </c>
      <c r="AV34" s="93">
        <f>ППД5[[#This Row],[Фикс 16.08.23]]+ППД5[[#This Row],[Повышение 29.08.23 - 3%]]</f>
        <v>86852.954916000002</v>
      </c>
      <c r="AW34" s="93"/>
      <c r="AX34" s="93">
        <f>ППД5[[#This Row],[Фикс 29.08.23]]+ППД5[[#This Row],[Повышение 06.09.23 СТ и 1К]]</f>
        <v>86852.954916000002</v>
      </c>
      <c r="AY34" s="93"/>
      <c r="AZ34" s="93">
        <f>ППД5[[#This Row],[Повышение 23.10.23  В4 ]]+ППД5[[#This Row],[Фикс 06.09.23]]</f>
        <v>86852.954916000002</v>
      </c>
      <c r="BA34" s="93"/>
      <c r="BB34" s="93">
        <f>ППД5[[#This Row],[Повышение 8.11.23 1К 5%]]+ППД5[[#This Row],[Фикс 23.10.23]]</f>
        <v>86852.954916000002</v>
      </c>
      <c r="BC34" s="93"/>
      <c r="BD34" s="93">
        <f>ППД5[[#This Row],[Корректировка 24.11.23 - 1К В5, 2К А2, №233]]+ППД5[[#This Row],[Фикс 8.11.23]]</f>
        <v>86852.954916000002</v>
      </c>
      <c r="BE34" s="93">
        <f>ППД5[[#This Row],[Фикс 8.11.24]]*1%</f>
        <v>868.52954915999999</v>
      </c>
      <c r="BF34" s="93">
        <f>ППД5[[#This Row],[Наценка за отделку 29.12.23 1%]]+ППД5[[#This Row],[Фикс 8.11.24]]</f>
        <v>87721.48446516</v>
      </c>
      <c r="BG34" s="93">
        <f>ППД5[[#This Row],[Фикс 29.12.23]]*5%</f>
        <v>4386.0742232580005</v>
      </c>
      <c r="BH34" s="93">
        <f>ППД5[[#This Row],[Фикс 29.12.23]]+ППД5[[#This Row],[Наценка 10.01.24 5%]]</f>
        <v>92107.558688417994</v>
      </c>
      <c r="BI34" s="93"/>
      <c r="BJ34" s="93">
        <f>ППД5[[#This Row],[Наценка 26.02.24 1 Этаж]]+ППД5[[#This Row],[Фикс 10.01.24]]</f>
        <v>92107.558688417994</v>
      </c>
      <c r="BK34" s="93">
        <f>ППД5[[#This Row],[Фикс 26.02.24]]*2%</f>
        <v>1842.15117376836</v>
      </c>
      <c r="BL34" s="93">
        <f>ППД5[[#This Row],[Фикс 26.02.24]]+ППД5[[#This Row],[Наценка 06.03.24
СТ, 1К - 3%
2К, 3К - 2%]]</f>
        <v>93949.709862186355</v>
      </c>
      <c r="BM34" s="93"/>
      <c r="BN34" s="93">
        <f>ППД5[[#This Row],[Фикс 06.03.24]]+ППД5[[#This Row],[Наценка Г2+500]]</f>
        <v>93949.709862186355</v>
      </c>
      <c r="BO34" s="93">
        <f>ППД5[[#This Row],[Фикс 13.03.25]]*2%</f>
        <v>1878.9941972437271</v>
      </c>
      <c r="BP34" s="93">
        <f>ППД5[[#This Row],[Фикс 13.03.25]]+ППД5[[#This Row],[Наценка 20.03.24
2К, 3К - 2%]]</f>
        <v>95828.704059430078</v>
      </c>
      <c r="BQ34" s="93"/>
      <c r="BR34" s="93">
        <f>ППД5[[#This Row],[Фикс 20.03.24]]+ППД5[[#This Row],[Наценка 08.04.24 
2К: В3 - 150
3К: Г7 +1000]]</f>
        <v>95828.704059430078</v>
      </c>
      <c r="BS34" s="93"/>
      <c r="BT34" s="93">
        <f>ППД5[[#This Row],[Фикс 08.04.24]]+ППД5[[#This Row],[Наценка 16.05.24 1%
А4,А6,Б3,Б6,Б7,В2,В3,В5,В6,Г1,Г3-Г5]]</f>
        <v>95828.704059430078</v>
      </c>
      <c r="BU34" s="93"/>
      <c r="BV34" s="93">
        <f>ППД5[[#This Row],[Фикс 16.05.24]]+ППД5[[#This Row],[Наценка 24.05.24
1% - Б4, Б5,Г2,Г6
2% - А1,А3,А5,Б2,Г7]]</f>
        <v>95828.704059430078</v>
      </c>
      <c r="BW34" s="93">
        <f>ППД5[[#This Row],[Фикс 24.05.24]]*0.5%</f>
        <v>479.14352029715042</v>
      </c>
      <c r="BX34" s="93">
        <f>ППД5[[#This Row],[Наценка 06.06.24
0К: В2,Г3 +0,5%
1К: А7, Б5/4, Г6 +0,5%
3К: В6 +0,5%
1К: А3 +1%]]+ППД5[[#This Row],[Фикс 24.05.24]]</f>
        <v>96307.847579727226</v>
      </c>
      <c r="BY34" s="93"/>
      <c r="BZ34" s="93">
        <f>ППД5[[#This Row],[Фикс 06.06.24]]+ППД5[[#This Row],[13.06.2024
3К - 2%]]</f>
        <v>96307.847579727226</v>
      </c>
      <c r="CA34" s="9">
        <f>1.5%*ППД5[[#This Row],[Фикс 13.06.24]]</f>
        <v>1444.6177136959084</v>
      </c>
      <c r="CB34" s="93">
        <f>ППД5[[#This Row],[02.07.2024: Г3 А1 А3 Б5 Б7 Г2 Г6 Б3 Б4 В3 Г7 2,5% ост 0,5-1,5%]]+ППД5[[#This Row],[Фикс 13.06.24]]</f>
        <v>97752.465293423127</v>
      </c>
      <c r="CC34" s="93"/>
      <c r="CD34" s="93">
        <f>ППД5[[#This Row],[Фикс 02.07.24]]+ППД5[[#This Row],[04.09.2024 +500
0К - Б2; 1К - А3;
2К - А6, Б4, В3, Г5]]</f>
        <v>97752.465293423127</v>
      </c>
      <c r="CE34" s="93">
        <f>ППД5[[#This Row],[Фикс 04.09.24]]*4%</f>
        <v>3910.0986117369252</v>
      </c>
      <c r="CF34" s="93">
        <f>ППД5[[#This Row],[Наценка 16.09.2024
1К: А1,В7,Г6/7,Г8 - 2%
2К: А4,А5,А6,Б1,Б6,Б3/4,В3,В4,Г4,Г5 - 4%
3К: 4%]]+ППД5[[#This Row],[Фикс 04.09.24]]</f>
        <v>101662.56390516006</v>
      </c>
      <c r="CG34" s="93"/>
      <c r="CH34" s="93">
        <f>ППД5[[#This Row],[Фикс 16.09.2024]]+ППД5[[#This Row],[Наценка 01.11.24
СТ: 4%
1К: 34-40м 5%; 40м+ 8%; МГН 1%
2К: 55-70м 6%; 70-73м 7%; 73-76м 8% 
3К: 5%]]</f>
        <v>101662.56390516006</v>
      </c>
      <c r="CI34" s="93"/>
      <c r="CJ34" s="93">
        <f>ППД5[[#This Row],[Наценка 06.11 13%]]+ППД5[[#This Row],[Фикс 01.11.24]]</f>
        <v>101662.56390516006</v>
      </c>
      <c r="CK34" s="93"/>
      <c r="CL34" s="93">
        <f>ППД5[[#This Row],[Фикс 06.11.24]]+ППД5[[#This Row],[Наценка 18.12.24 распределение КВ]]</f>
        <v>101662.56390516006</v>
      </c>
      <c r="CM34" s="93"/>
      <c r="CN34" s="93">
        <f>ППД5[[#This Row],[Фикс 18.12.24]]+ППД5[[#This Row],[Наценка 10.02.25 +1%
1К: А3
2К: Б3, В3]]</f>
        <v>101662.56390516006</v>
      </c>
      <c r="CO34" s="93">
        <f>ROUND(ППД5[[#This Row],[Фикс 10.02.25]],2)</f>
        <v>101662.56</v>
      </c>
      <c r="CP3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6320400</v>
      </c>
      <c r="CQ34" s="93">
        <f>ROUNDUP(ППД5[[#This Row],[Стоимость до скидки]]+ППД5[[#This Row],[Сумма доплаты]],-2)</f>
        <v>6257400</v>
      </c>
      <c r="CR34" s="68"/>
      <c r="CS34" s="90"/>
      <c r="CT34" s="68">
        <f>ППД5[[#This Row],[Стоимость до скидки]]*ППД5[[#This Row],[Скидка %]]+ППД5[[#This Row],[Скидка фиксированная]]</f>
        <v>0</v>
      </c>
      <c r="CU34" s="3">
        <f>ППД5[[#This Row],[Стоимость ОН без отделки со скидкой]]/ППД5[[#This Row],[Расчетная проектная площадь]]</f>
        <v>101663.18159884188</v>
      </c>
      <c r="CV34" s="3">
        <f>ROUND(ППД5[[#This Row],[Стоимость до скидки]]-ППД5[[#This Row],[Итоговая сумма скидки]],2)</f>
        <v>6320400</v>
      </c>
      <c r="CW3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34" s="197">
        <v>7000</v>
      </c>
      <c r="CY34" s="332">
        <f>ППД5[[#This Row],[Расхождение]]/ППД5[[#This Row],[Расчетная проектная площадь]]</f>
        <v>-9.972655621682671E-3</v>
      </c>
      <c r="CZ3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-0.5</v>
      </c>
      <c r="DA34" s="3">
        <f>ППД5[[#This Row],[Цена м2 без отделки со скидкой]]+ППД5[[#This Row],[Стоимость отделки]]</f>
        <v>108663.18159884188</v>
      </c>
      <c r="DB34" s="3">
        <f>ППД5[[#This Row],[Стоимость квартиры с отделкой]]-ППД5[[#This Row],[Стоимость ОН без отделки со скидкой]]</f>
        <v>435190</v>
      </c>
      <c r="DC34" s="3">
        <f>ППД5[[#This Row],[Цена м2 с отделкой]]*ППД5[[#This Row],[Расчетная проектная площадь]]</f>
        <v>6755590</v>
      </c>
      <c r="DD34" s="3"/>
      <c r="DF34" s="199" t="s">
        <v>172</v>
      </c>
      <c r="DG34" s="245" t="s">
        <v>172</v>
      </c>
      <c r="DH34" s="100" t="b">
        <f>EXACT(ППД5[[#This Row],[Статусы CRM]],ППД5[[#This Row],[Статус]])</f>
        <v>1</v>
      </c>
      <c r="DI34" s="213" t="s">
        <v>206</v>
      </c>
      <c r="DJ34" s="204"/>
      <c r="DK34" s="111" t="s">
        <v>763</v>
      </c>
      <c r="DL34" s="216" t="s">
        <v>780</v>
      </c>
      <c r="DM34" s="201" t="b">
        <f>ППД5[[#This Row],[Отделка CRM]]=ППД5[[#This Row],[Отделка]]</f>
        <v>1</v>
      </c>
      <c r="DN34" s="203">
        <v>6755590</v>
      </c>
      <c r="DO3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4" s="207" t="b">
        <f>IF(AND(ППД5[[#This Row],[Статус]]="свободно",ППД5[[#This Row],[Итоговая сумма скидки]]&lt;&gt;0),FALSE,TRUE)</f>
        <v>1</v>
      </c>
      <c r="DQ34" s="240">
        <f>_xlfn.XLOOKUP(ППД5[[#This Row],[№]],Юрист[№ кв],Юрист[Дата подачи на регистрацию]," ",0,-1)</f>
        <v>45565</v>
      </c>
      <c r="DR34" s="115" t="str">
        <f>_xlfn.XLOOKUP(ППД5[[#This Row],[№]],Юрист[№ кв],Юрист[МОП],"",0,-1)</f>
        <v>Дик</v>
      </c>
      <c r="DS34" s="333" t="s">
        <v>2360</v>
      </c>
      <c r="DT34" s="333" t="s">
        <v>2361</v>
      </c>
      <c r="DU34" s="333">
        <v>60.2</v>
      </c>
      <c r="DV34" s="111"/>
    </row>
    <row r="35" spans="1:126" hidden="1" x14ac:dyDescent="0.25">
      <c r="A35" s="112">
        <v>33</v>
      </c>
      <c r="B35" s="111" t="s">
        <v>5</v>
      </c>
      <c r="C35" s="111">
        <v>5</v>
      </c>
      <c r="D35" s="111">
        <v>6</v>
      </c>
      <c r="E35" s="111">
        <v>2</v>
      </c>
      <c r="F35" s="105">
        <v>14.64</v>
      </c>
      <c r="G35" s="105">
        <v>10.74</v>
      </c>
      <c r="H35" s="105"/>
      <c r="I35" s="94">
        <f>SUM(ППД5[[#This Row],[Комната 1]:[Комната 3]])</f>
        <v>25.380000000000003</v>
      </c>
      <c r="J35" s="105">
        <v>14.35</v>
      </c>
      <c r="K35" s="105">
        <v>4.16</v>
      </c>
      <c r="L35" s="105">
        <v>1.93</v>
      </c>
      <c r="M35" s="105"/>
      <c r="N35" s="105">
        <v>11.03</v>
      </c>
      <c r="O35" s="105">
        <v>2.6219999999999999</v>
      </c>
      <c r="P35" s="105"/>
      <c r="Q35" s="105"/>
      <c r="R35" s="105">
        <f>SUM(ППД5[[#This Row],[Лоджия 1]:[Лоджия 3]])</f>
        <v>2.6219999999999999</v>
      </c>
      <c r="S35" s="8">
        <f>ROUND(SUM(ППД5[[#This Row],[Площадь по проекту жилая]:[Лоджия 3]]),2)</f>
        <v>59.47</v>
      </c>
      <c r="T35" s="8">
        <f>ROUND(ППД5[[#This Row],[Площадь по проекту(общая)]]-ППД5[[#This Row],[Летние]],2)</f>
        <v>56.85</v>
      </c>
      <c r="U35" s="91">
        <f>ROUND(ППД5[[#This Row],[Площадь по проекту(общая)]]-(SUM(ППД5[[#This Row],[Лоджия 1]:[Лоджия 3]])/2),2)</f>
        <v>58.16</v>
      </c>
      <c r="V35" s="91">
        <f>IF(ППД5[[#This Row],[Статус]]="продажа",ППД5[[#This Row],[Расчетная проектная площадь]],ППД5[[#This Row],[Расчетная ТП площадь]])</f>
        <v>58.16</v>
      </c>
      <c r="W35" s="91">
        <v>10.6</v>
      </c>
      <c r="X35" s="91">
        <v>14.5</v>
      </c>
      <c r="Y35" s="91"/>
      <c r="Z35" s="91">
        <f>SUM(ППД5[[#This Row],[ТП Комната 1]:[ТП Комната 3]])</f>
        <v>25.1</v>
      </c>
      <c r="AA35" s="91">
        <v>14.3</v>
      </c>
      <c r="AB35" s="91">
        <v>4.2</v>
      </c>
      <c r="AC35" s="91">
        <v>2</v>
      </c>
      <c r="AD35" s="91"/>
      <c r="AE35" s="91">
        <v>10.9</v>
      </c>
      <c r="AF35" s="91">
        <v>1.3</v>
      </c>
      <c r="AG35" s="91"/>
      <c r="AH35" s="91"/>
      <c r="AI35" s="91">
        <f>SUM(ППД5[[#This Row],[ТП Лоджия 1]:[ТП Лоджия 3]])</f>
        <v>1.3</v>
      </c>
      <c r="AJ35" s="95">
        <v>2.6</v>
      </c>
      <c r="AK35" s="91">
        <f>SUM(ППД5[[#This Row],[Площадь по ТП жилая]:[ТП Лоджия 3]])-ППД5[[#This Row],[ТП Летние]]+ППД5[[#This Row],[кроме того прочая
(без коэффициента)]]</f>
        <v>59.100000000000009</v>
      </c>
      <c r="AL35" s="95">
        <f>ППД5[[#This Row],[ТП Площадь без летних]]+(ППД5[[#This Row],[ТП Летние]])</f>
        <v>57.800000000000004</v>
      </c>
      <c r="AM35" s="91">
        <f>ППД5[[#This Row],[ТП общая S]]-ППД5[[#This Row],[кроме того прочая
(без коэффициента)]]</f>
        <v>56.500000000000007</v>
      </c>
      <c r="AN35" s="95">
        <f>SUM(ППД5[[#This Row],[ТП Кухня]:[ТП Коридор]])</f>
        <v>31.4</v>
      </c>
      <c r="AO35" s="91">
        <f>ППД5[[#This Row],[Расчетная ТП площадь]]-ППД5[[#This Row],[Расчетная проектная площадь]]</f>
        <v>-0.35999999999999233</v>
      </c>
      <c r="AP35" s="335">
        <f>ППД5[[#This Row],[Расчетная ТП площадь]]/ППД5[[#This Row],[Расчетная проектная площадь]]-1</f>
        <v>-6.1898211829434224E-3</v>
      </c>
      <c r="AQ35" s="91">
        <f>ППД5[[#This Row],[% расхождения]]*ППД5[[#This Row],[Стоимость до скидки]]</f>
        <v>-34996.011004125525</v>
      </c>
      <c r="AR35" s="91">
        <f>VLOOKUP(ППД5[[#This Row],[№]],наценкад5[],COLUMN(наценкад5[[#This Row],[Цена м2 с учетом всех K]]),0)</f>
        <v>81466.150500000003</v>
      </c>
      <c r="AS35" s="8">
        <f>ППД5[[#This Row],[м2 после К]]*5%</f>
        <v>4073.3075250000002</v>
      </c>
      <c r="AT35" s="8">
        <f>ППД5[[#This Row],[м2 после К]]+ППД5[[#This Row],[Повышение 16.08.23 - 5%]]</f>
        <v>85539.458025</v>
      </c>
      <c r="AU35" s="93">
        <f>ППД5[[#This Row],[Фикс 16.08.23]]*3%</f>
        <v>2566.1837407499997</v>
      </c>
      <c r="AV35" s="93">
        <f>ППД5[[#This Row],[Фикс 16.08.23]]+ППД5[[#This Row],[Повышение 29.08.23 - 3%]]</f>
        <v>88105.641765749999</v>
      </c>
      <c r="AW35" s="93"/>
      <c r="AX35" s="93">
        <f>ППД5[[#This Row],[Фикс 29.08.23]]+ППД5[[#This Row],[Повышение 06.09.23 СТ и 1К]]</f>
        <v>88105.641765749999</v>
      </c>
      <c r="AY35" s="93"/>
      <c r="AZ35" s="93">
        <f>ППД5[[#This Row],[Повышение 23.10.23  В4 ]]+ППД5[[#This Row],[Фикс 06.09.23]]</f>
        <v>88105.641765749999</v>
      </c>
      <c r="BA35" s="93"/>
      <c r="BB35" s="93">
        <f>ППД5[[#This Row],[Повышение 8.11.23 1К 5%]]+ППД5[[#This Row],[Фикс 23.10.23]]</f>
        <v>88105.641765749999</v>
      </c>
      <c r="BC35" s="93"/>
      <c r="BD35" s="93">
        <f>ППД5[[#This Row],[Корректировка 24.11.23 - 1К В5, 2К А2, №233]]+ППД5[[#This Row],[Фикс 8.11.23]]</f>
        <v>88105.641765749999</v>
      </c>
      <c r="BE35" s="93">
        <f>ППД5[[#This Row],[Фикс 8.11.24]]*1%</f>
        <v>881.05641765749999</v>
      </c>
      <c r="BF35" s="93">
        <f>ППД5[[#This Row],[Наценка за отделку 29.12.23 1%]]+ППД5[[#This Row],[Фикс 8.11.24]]</f>
        <v>88986.698183407498</v>
      </c>
      <c r="BG35" s="93">
        <f>ППД5[[#This Row],[Фикс 29.12.23]]*5%</f>
        <v>4449.3349091703749</v>
      </c>
      <c r="BH35" s="93">
        <f>ППД5[[#This Row],[Фикс 29.12.23]]+ППД5[[#This Row],[Наценка 10.01.24 5%]]</f>
        <v>93436.033092577869</v>
      </c>
      <c r="BI35" s="93"/>
      <c r="BJ35" s="93">
        <f>ППД5[[#This Row],[Наценка 26.02.24 1 Этаж]]+ППД5[[#This Row],[Фикс 10.01.24]]</f>
        <v>93436.033092577869</v>
      </c>
      <c r="BK35" s="93">
        <f>ППД5[[#This Row],[Фикс 26.02.24]]*2%</f>
        <v>1868.7206618515575</v>
      </c>
      <c r="BL35" s="93">
        <f>ППД5[[#This Row],[Фикс 26.02.24]]+ППД5[[#This Row],[Наценка 06.03.24
СТ, 1К - 3%
2К, 3К - 2%]]</f>
        <v>95304.753754429432</v>
      </c>
      <c r="BM35" s="93"/>
      <c r="BN35" s="93">
        <f>ППД5[[#This Row],[Фикс 06.03.24]]+ППД5[[#This Row],[Наценка Г2+500]]</f>
        <v>95304.753754429432</v>
      </c>
      <c r="BO35" s="93">
        <f>ППД5[[#This Row],[Фикс 13.03.25]]*2%</f>
        <v>1906.0950750885886</v>
      </c>
      <c r="BP35" s="93">
        <f>ППД5[[#This Row],[Фикс 13.03.25]]+ППД5[[#This Row],[Наценка 20.03.24
2К, 3К - 2%]]</f>
        <v>97210.848829518014</v>
      </c>
      <c r="BQ35" s="93"/>
      <c r="BR35" s="93">
        <f>ППД5[[#This Row],[Фикс 20.03.24]]+ППД5[[#This Row],[Наценка 08.04.24 
2К: В3 - 150
3К: Г7 +1000]]</f>
        <v>97210.848829518014</v>
      </c>
      <c r="BS35" s="93"/>
      <c r="BT35" s="93">
        <f>ППД5[[#This Row],[Фикс 08.04.24]]+ППД5[[#This Row],[Наценка 16.05.24 1%
А4,А6,Б3,Б6,Б7,В2,В3,В5,В6,Г1,Г3-Г5]]</f>
        <v>97210.848829518014</v>
      </c>
      <c r="BU35" s="93"/>
      <c r="BV35" s="93">
        <f>ППД5[[#This Row],[Фикс 16.05.24]]+ППД5[[#This Row],[Наценка 24.05.24
1% - Б4, Б5,Г2,Г6
2% - А1,А3,А5,Б2,Г7]]</f>
        <v>97210.848829518014</v>
      </c>
      <c r="BW35" s="93"/>
      <c r="BX35" s="93">
        <f>ППД5[[#This Row],[Наценка 06.06.24
0К: В2,Г3 +0,5%
1К: А7, Б5/4, Г6 +0,5%
3К: В6 +0,5%
1К: А3 +1%]]+ППД5[[#This Row],[Фикс 24.05.24]]</f>
        <v>97210.848829518014</v>
      </c>
      <c r="BY35" s="93"/>
      <c r="BZ35" s="93">
        <f>ППД5[[#This Row],[Фикс 06.06.24]]+ППД5[[#This Row],[13.06.2024
3К - 2%]]</f>
        <v>97210.848829518014</v>
      </c>
      <c r="CA35" s="93"/>
      <c r="CB35" s="93">
        <f>ППД5[[#This Row],[02.07.2024: Г3 А1 А3 Б5 Б7 Г2 Г6 Б3 Б4 В3 Г7 2,5% ост 0,5-1,5%]]+ППД5[[#This Row],[Фикс 13.06.24]]</f>
        <v>97210.848829518014</v>
      </c>
      <c r="CC35" s="93"/>
      <c r="CD35" s="93">
        <f>ППД5[[#This Row],[Фикс 02.07.24]]+ППД5[[#This Row],[04.09.2024 +500
0К - Б2; 1К - А3;
2К - А6, Б4, В3, Г5]]</f>
        <v>97210.848829518014</v>
      </c>
      <c r="CE35" s="93"/>
      <c r="CF35" s="93">
        <f>ППД5[[#This Row],[Наценка 16.09.2024
1К: А1,В7,Г6/7,Г8 - 2%
2К: А4,А5,А6,Б1,Б6,Б3/4,В3,В4,Г4,Г5 - 4%
3К: 4%]]+ППД5[[#This Row],[Фикс 04.09.24]]</f>
        <v>97210.848829518014</v>
      </c>
      <c r="CG35" s="93"/>
      <c r="CH35" s="93">
        <f>ППД5[[#This Row],[Фикс 16.09.2024]]+ППД5[[#This Row],[Наценка 01.11.24
СТ: 4%
1К: 34-40м 5%; 40м+ 8%; МГН 1%
2К: 55-70м 6%; 70-73м 7%; 73-76м 8% 
3К: 5%]]</f>
        <v>97210.848829518014</v>
      </c>
      <c r="CI35" s="93"/>
      <c r="CJ35" s="93">
        <f>ППД5[[#This Row],[Наценка 06.11 13%]]+ППД5[[#This Row],[Фикс 01.11.24]]</f>
        <v>97210.848829518014</v>
      </c>
      <c r="CK35" s="93"/>
      <c r="CL35" s="93">
        <f>ППД5[[#This Row],[Фикс 06.11.24]]+ППД5[[#This Row],[Наценка 18.12.24 распределение КВ]]</f>
        <v>97210.848829518014</v>
      </c>
      <c r="CM35" s="93"/>
      <c r="CN35" s="93">
        <f>ППД5[[#This Row],[Фикс 18.12.24]]+ППД5[[#This Row],[Наценка 10.02.25 +1%
1К: А3
2К: Б3, В3]]</f>
        <v>97210.848829518014</v>
      </c>
      <c r="CO35" s="93">
        <f>ROUND(ППД5[[#This Row],[Фикс 10.02.25]],2)</f>
        <v>97210.85</v>
      </c>
      <c r="CP3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5653800</v>
      </c>
      <c r="CQ35" s="93">
        <f>ROUNDUP(ППД5[[#This Row],[Стоимость до скидки]]+ППД5[[#This Row],[Сумма доплаты]],-2)</f>
        <v>5618900</v>
      </c>
      <c r="CR35" s="68">
        <v>88000</v>
      </c>
      <c r="CS35" s="90"/>
      <c r="CT35" s="68">
        <f>ППД5[[#This Row],[Стоимость до скидки]]*ППД5[[#This Row],[Скидка %]]+ППД5[[#This Row],[Скидка фиксированная]]</f>
        <v>88000</v>
      </c>
      <c r="CU35" s="3">
        <f>ППД5[[#This Row],[Стоимость ОН без отделки со скидкой]]/ППД5[[#This Row],[Расчетная проектная площадь]]</f>
        <v>95698.074277854204</v>
      </c>
      <c r="CV35" s="3">
        <f>ROUND(ППД5[[#This Row],[Стоимость до скидки]]-ППД5[[#This Row],[Итоговая сумма скидки]],2)</f>
        <v>5565800</v>
      </c>
      <c r="CW3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5" s="197">
        <v>20000</v>
      </c>
      <c r="CY35" s="332">
        <f>ППД5[[#This Row],[Расхождение]]/ППД5[[#This Row],[Расчетная проектная площадь]]</f>
        <v>-6.1898211829434719E-3</v>
      </c>
      <c r="CZ3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-7.0000000000002061E-2</v>
      </c>
      <c r="DA35" s="3">
        <f>ППД5[[#This Row],[Цена м2 без отделки со скидкой]]+ППД5[[#This Row],[Стоимость отделки]]</f>
        <v>115698.0742778542</v>
      </c>
      <c r="DB35" s="3">
        <f>ППД5[[#This Row],[Стоимость квартиры с отделкой]]-ППД5[[#This Row],[Стоимость ОН без отделки со скидкой]]</f>
        <v>1163200</v>
      </c>
      <c r="DC35" s="3">
        <f>ППД5[[#This Row],[Цена м2 с отделкой]]*ППД5[[#This Row],[Расчетная проектная площадь]]</f>
        <v>6729000</v>
      </c>
      <c r="DD35" s="3"/>
      <c r="DE35" s="111" t="s">
        <v>781</v>
      </c>
      <c r="DF35" s="199" t="s">
        <v>172</v>
      </c>
      <c r="DG35" s="245" t="s">
        <v>172</v>
      </c>
      <c r="DH35" s="100" t="b">
        <f>EXACT(ППД5[[#This Row],[Статусы CRM]],ППД5[[#This Row],[Статус]])</f>
        <v>1</v>
      </c>
      <c r="DI35" s="213" t="s">
        <v>207</v>
      </c>
      <c r="DJ35" s="204"/>
      <c r="DK35" s="111" t="s">
        <v>763</v>
      </c>
      <c r="DL35" s="216" t="s">
        <v>14</v>
      </c>
      <c r="DM35" s="201" t="b">
        <f>ППД5[[#This Row],[Отделка CRM]]=ППД5[[#This Row],[Отделка]]</f>
        <v>1</v>
      </c>
      <c r="DN35" s="203">
        <v>6729000</v>
      </c>
      <c r="DO3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5" s="207" t="b">
        <f>IF(AND(ППД5[[#This Row],[Статус]]="свободно",ППД5[[#This Row],[Итоговая сумма скидки]]&lt;&gt;0),FALSE,TRUE)</f>
        <v>1</v>
      </c>
      <c r="DQ35" s="240">
        <f>_xlfn.XLOOKUP(ППД5[[#This Row],[№]],Юрист[№ кв],Юрист[Дата подачи на регистрацию]," ",0,-1)</f>
        <v>45409</v>
      </c>
      <c r="DR35" s="115" t="str">
        <f>_xlfn.XLOOKUP(ППД5[[#This Row],[№]],Юрист[№ кв],Юрист[МОП],"",0,-1)</f>
        <v>Полехович</v>
      </c>
      <c r="DS35" s="333" t="s">
        <v>2362</v>
      </c>
      <c r="DT35" s="333" t="s">
        <v>2363</v>
      </c>
      <c r="DU35" s="333">
        <v>56.5</v>
      </c>
      <c r="DV35" s="111"/>
    </row>
    <row r="36" spans="1:126" hidden="1" x14ac:dyDescent="0.25">
      <c r="A36" s="112">
        <v>34</v>
      </c>
      <c r="B36" s="111" t="s">
        <v>5</v>
      </c>
      <c r="C36" s="111">
        <v>5</v>
      </c>
      <c r="D36" s="111">
        <v>7</v>
      </c>
      <c r="E36" s="111">
        <v>1</v>
      </c>
      <c r="F36" s="157">
        <v>18.489999999999998</v>
      </c>
      <c r="G36" s="105"/>
      <c r="H36" s="105"/>
      <c r="I36" s="94">
        <f>SUM(ППД5[[#This Row],[Комната 1]:[Комната 3]])</f>
        <v>18.489999999999998</v>
      </c>
      <c r="J36" s="105">
        <v>13.04</v>
      </c>
      <c r="K36" s="105">
        <v>3.9</v>
      </c>
      <c r="L36" s="105"/>
      <c r="M36" s="105"/>
      <c r="N36" s="105">
        <v>5.99</v>
      </c>
      <c r="O36" s="105">
        <v>2.65</v>
      </c>
      <c r="P36" s="105"/>
      <c r="Q36" s="105"/>
      <c r="R36" s="105">
        <f>SUM(ППД5[[#This Row],[Лоджия 1]:[Лоджия 3]])</f>
        <v>2.65</v>
      </c>
      <c r="S36" s="7">
        <f>ROUND(SUM(ППД5[[#This Row],[Площадь по проекту жилая]:[Лоджия 3]]),2)</f>
        <v>44.07</v>
      </c>
      <c r="T36" s="7">
        <f>ROUND(ППД5[[#This Row],[Площадь по проекту(общая)]]-ППД5[[#This Row],[Летние]],2)</f>
        <v>41.42</v>
      </c>
      <c r="U36" s="92">
        <f>ROUND(ППД5[[#This Row],[Площадь по проекту(общая)]]-(SUM(ППД5[[#This Row],[Лоджия 1]:[Лоджия 3]])/2),2)</f>
        <v>42.75</v>
      </c>
      <c r="V36" s="92">
        <f>IF(ППД5[[#This Row],[Статус]]="продажа",ППД5[[#This Row],[Расчетная проектная площадь]],ППД5[[#This Row],[Расчетная ТП площадь]])</f>
        <v>42.75</v>
      </c>
      <c r="W36" s="92">
        <v>18.600000000000001</v>
      </c>
      <c r="X36" s="92"/>
      <c r="Y36" s="92"/>
      <c r="Z36" s="92">
        <f>SUM(ППД5[[#This Row],[ТП Комната 1]:[ТП Комната 3]])</f>
        <v>18.600000000000001</v>
      </c>
      <c r="AA36" s="92">
        <v>12.8</v>
      </c>
      <c r="AB36" s="92">
        <v>3.9</v>
      </c>
      <c r="AC36" s="92"/>
      <c r="AD36" s="92"/>
      <c r="AE36" s="92">
        <v>6</v>
      </c>
      <c r="AF36" s="92">
        <v>1.3</v>
      </c>
      <c r="AG36" s="92"/>
      <c r="AH36" s="92"/>
      <c r="AI36" s="91">
        <f>SUM(ППД5[[#This Row],[ТП Лоджия 1]:[ТП Лоджия 3]])</f>
        <v>1.3</v>
      </c>
      <c r="AJ36" s="95">
        <v>2.6</v>
      </c>
      <c r="AK36" s="92">
        <f>SUM(ППД5[[#This Row],[Площадь по ТП жилая]:[ТП Лоджия 3]])-ППД5[[#This Row],[ТП Летние]]+ППД5[[#This Row],[кроме того прочая
(без коэффициента)]]</f>
        <v>43.900000000000006</v>
      </c>
      <c r="AL36" s="95">
        <f>ППД5[[#This Row],[ТП Площадь без летних]]+(ППД5[[#This Row],[ТП Летние]])</f>
        <v>42.6</v>
      </c>
      <c r="AM36" s="92">
        <f>ППД5[[#This Row],[ТП общая S]]-ППД5[[#This Row],[кроме того прочая
(без коэффициента)]]</f>
        <v>41.300000000000004</v>
      </c>
      <c r="AN36" s="95">
        <f>SUM(ППД5[[#This Row],[ТП Кухня]:[ТП Коридор]])</f>
        <v>22.7</v>
      </c>
      <c r="AO36" s="91">
        <f>ППД5[[#This Row],[Расчетная ТП площадь]]-ППД5[[#This Row],[Расчетная проектная площадь]]</f>
        <v>-0.14999999999999858</v>
      </c>
      <c r="AP36" s="335">
        <f>ППД5[[#This Row],[Расчетная ТП площадь]]/ППД5[[#This Row],[Расчетная проектная площадь]]-1</f>
        <v>-3.5087719298245723E-3</v>
      </c>
      <c r="AQ36" s="92">
        <f>ППД5[[#This Row],[% расхождения]]*ППД5[[#This Row],[Стоимость до скидки]]</f>
        <v>-16244.912280701805</v>
      </c>
      <c r="AR36" s="92">
        <f>VLOOKUP(ППД5[[#This Row],[№]],наценкад5[],COLUMN(наценкад5[[#This Row],[Цена м2 с учетом всех K]]),0)</f>
        <v>83951.4375</v>
      </c>
      <c r="AS36" s="7">
        <f>ППД5[[#This Row],[м2 после К]]*5%</f>
        <v>4197.5718750000005</v>
      </c>
      <c r="AT36" s="7">
        <f>ППД5[[#This Row],[м2 после К]]+ППД5[[#This Row],[Повышение 16.08.23 - 5%]]</f>
        <v>88149.009374999994</v>
      </c>
      <c r="AU36" s="9">
        <f>ППД5[[#This Row],[Фикс 16.08.23]]*3%</f>
        <v>2644.4702812499995</v>
      </c>
      <c r="AV36" s="9">
        <f>ППД5[[#This Row],[Фикс 16.08.23]]+ППД5[[#This Row],[Повышение 29.08.23 - 3%]]</f>
        <v>90793.479656249998</v>
      </c>
      <c r="AW36" s="93">
        <f>ППД5[[#This Row],[Фикс 29.08.23]]*4%</f>
        <v>3631.7391862499999</v>
      </c>
      <c r="AX36" s="9">
        <f>ППД5[[#This Row],[Фикс 29.08.23]]+ППД5[[#This Row],[Повышение 06.09.23 СТ и 1К]]</f>
        <v>94425.218842499991</v>
      </c>
      <c r="AY36" s="9"/>
      <c r="AZ36" s="9">
        <f>ППД5[[#This Row],[Повышение 23.10.23  В4 ]]+ППД5[[#This Row],[Фикс 06.09.23]]</f>
        <v>94425.218842499991</v>
      </c>
      <c r="BA36" s="93">
        <f>ППД5[[#This Row],[Фикс 23.10.23]]*5%</f>
        <v>4721.2609421249999</v>
      </c>
      <c r="BB36" s="93">
        <f>ППД5[[#This Row],[Повышение 8.11.23 1К 5%]]+ППД5[[#This Row],[Фикс 23.10.23]]</f>
        <v>99146.479784624986</v>
      </c>
      <c r="BC36" s="93"/>
      <c r="BD36" s="93">
        <f>ППД5[[#This Row],[Корректировка 24.11.23 - 1К В5, 2К А2, №233]]+ППД5[[#This Row],[Фикс 8.11.23]]</f>
        <v>99146.479784624986</v>
      </c>
      <c r="BE36" s="93">
        <f>ППД5[[#This Row],[Фикс 8.11.24]]*1%</f>
        <v>991.46479784624989</v>
      </c>
      <c r="BF36" s="93">
        <f>ППД5[[#This Row],[Наценка за отделку 29.12.23 1%]]+ППД5[[#This Row],[Фикс 8.11.24]]</f>
        <v>100137.94458247123</v>
      </c>
      <c r="BG36" s="93">
        <f>ППД5[[#This Row],[Фикс 29.12.23]]*5%</f>
        <v>5006.8972291235623</v>
      </c>
      <c r="BH36" s="93">
        <f>ППД5[[#This Row],[Фикс 29.12.23]]+ППД5[[#This Row],[Наценка 10.01.24 5%]]</f>
        <v>105144.84181159479</v>
      </c>
      <c r="BI36" s="93"/>
      <c r="BJ36" s="93">
        <f>ППД5[[#This Row],[Наценка 26.02.24 1 Этаж]]+ППД5[[#This Row],[Фикс 10.01.24]]</f>
        <v>105144.84181159479</v>
      </c>
      <c r="BK36" s="93">
        <f>ППД5[[#This Row],[Фикс 26.02.24]]*3%</f>
        <v>3154.3452543478434</v>
      </c>
      <c r="BL36" s="93">
        <f>ППД5[[#This Row],[Фикс 26.02.24]]+ППД5[[#This Row],[Наценка 06.03.24
СТ, 1К - 3%
2К, 3К - 2%]]</f>
        <v>108299.18706594263</v>
      </c>
      <c r="BM36" s="93"/>
      <c r="BN36" s="93">
        <f>ППД5[[#This Row],[Фикс 06.03.24]]+ППД5[[#This Row],[Наценка Г2+500]]</f>
        <v>108299.18706594263</v>
      </c>
      <c r="BO36" s="93"/>
      <c r="BP36" s="93">
        <f>ППД5[[#This Row],[Фикс 13.03.25]]+ППД5[[#This Row],[Наценка 20.03.24
2К, 3К - 2%]]</f>
        <v>108299.18706594263</v>
      </c>
      <c r="BQ36" s="93"/>
      <c r="BR36" s="93">
        <f>ППД5[[#This Row],[Фикс 20.03.24]]+ППД5[[#This Row],[Наценка 08.04.24 
2К: В3 - 150
3К: Г7 +1000]]</f>
        <v>108299.18706594263</v>
      </c>
      <c r="BS36" s="93"/>
      <c r="BT36" s="93">
        <f>ППД5[[#This Row],[Фикс 08.04.24]]+ППД5[[#This Row],[Наценка 16.05.24 1%
А4,А6,Б3,Б6,Б7,В2,В3,В5,В6,Г1,Г3-Г5]]</f>
        <v>108299.18706594263</v>
      </c>
      <c r="BU36" s="93"/>
      <c r="BV36" s="93">
        <f>ППД5[[#This Row],[Фикс 16.05.24]]+ППД5[[#This Row],[Наценка 24.05.24
1% - Б4, Б5,Г2,Г6
2% - А1,А3,А5,Б2,Г7]]</f>
        <v>108299.18706594263</v>
      </c>
      <c r="BW36" s="9"/>
      <c r="BX36" s="93">
        <f>ППД5[[#This Row],[Наценка 06.06.24
0К: В2,Г3 +0,5%
1К: А7, Б5/4, Г6 +0,5%
3К: В6 +0,5%
1К: А3 +1%]]+ППД5[[#This Row],[Фикс 24.05.24]]</f>
        <v>108299.18706594263</v>
      </c>
      <c r="BY36" s="93"/>
      <c r="BZ36" s="93">
        <f>ППД5[[#This Row],[Фикс 06.06.24]]+ППД5[[#This Row],[13.06.2024
3К - 2%]]</f>
        <v>108299.18706594263</v>
      </c>
      <c r="CA36" s="93"/>
      <c r="CB36" s="93">
        <f>ППД5[[#This Row],[02.07.2024: Г3 А1 А3 Б5 Б7 Г2 Г6 Б3 Б4 В3 Г7 2,5% ост 0,5-1,5%]]+ППД5[[#This Row],[Фикс 13.06.24]]</f>
        <v>108299.18706594263</v>
      </c>
      <c r="CC36" s="93"/>
      <c r="CD36" s="93">
        <f>ППД5[[#This Row],[Фикс 02.07.24]]+ППД5[[#This Row],[04.09.2024 +500
0К - Б2; 1К - А3;
2К - А6, Б4, В3, Г5]]</f>
        <v>108299.18706594263</v>
      </c>
      <c r="CE36" s="93"/>
      <c r="CF36" s="93">
        <f>ППД5[[#This Row],[Наценка 16.09.2024
1К: А1,В7,Г6/7,Г8 - 2%
2К: А4,А5,А6,Б1,Б6,Б3/4,В3,В4,Г4,Г5 - 4%
3К: 4%]]+ППД5[[#This Row],[Фикс 04.09.24]]</f>
        <v>108299.18706594263</v>
      </c>
      <c r="CG36" s="93"/>
      <c r="CH36" s="93">
        <f>ППД5[[#This Row],[Фикс 16.09.2024]]+ППД5[[#This Row],[Наценка 01.11.24
СТ: 4%
1К: 34-40м 5%; 40м+ 8%; МГН 1%
2К: 55-70м 6%; 70-73м 7%; 73-76м 8% 
3К: 5%]]</f>
        <v>108299.18706594263</v>
      </c>
      <c r="CI36" s="93"/>
      <c r="CJ36" s="93">
        <f>ППД5[[#This Row],[Наценка 06.11 13%]]+ППД5[[#This Row],[Фикс 01.11.24]]</f>
        <v>108299.18706594263</v>
      </c>
      <c r="CK36" s="93"/>
      <c r="CL36" s="93">
        <f>ППД5[[#This Row],[Фикс 06.11.24]]+ППД5[[#This Row],[Наценка 18.12.24 распределение КВ]]</f>
        <v>108299.18706594263</v>
      </c>
      <c r="CM36" s="93"/>
      <c r="CN36" s="93">
        <f>ППД5[[#This Row],[Фикс 18.12.24]]+ППД5[[#This Row],[Наценка 10.02.25 +1%
1К: А3
2К: Б3, В3]]</f>
        <v>108299.18706594263</v>
      </c>
      <c r="CO36" s="93">
        <f>ROUND(ППД5[[#This Row],[Фикс 10.02.25]],2)</f>
        <v>108299.19</v>
      </c>
      <c r="CP3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4629800</v>
      </c>
      <c r="CQ36" s="93">
        <f>ROUNDUP(ППД5[[#This Row],[Стоимость до скидки]]+ППД5[[#This Row],[Сумма доплаты]],-2)</f>
        <v>4613600</v>
      </c>
      <c r="CR36" s="68"/>
      <c r="CS36" s="90"/>
      <c r="CT36" s="68">
        <f>ППД5[[#This Row],[Стоимость до скидки]]*ППД5[[#This Row],[Скидка %]]+ППД5[[#This Row],[Скидка фиксированная]]</f>
        <v>0</v>
      </c>
      <c r="CU36" s="3">
        <f>ППД5[[#This Row],[Стоимость ОН без отделки со скидкой]]/ППД5[[#This Row],[Расчетная проектная площадь]]</f>
        <v>108299.41520467836</v>
      </c>
      <c r="CV36" s="3">
        <f>ROUND(ППД5[[#This Row],[Стоимость до скидки]]-ППД5[[#This Row],[Итоговая сумма скидки]],2)</f>
        <v>4629800</v>
      </c>
      <c r="CW3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6" s="197"/>
      <c r="CY36" s="332">
        <f>ППД5[[#This Row],[Расхождение]]/ППД5[[#This Row],[Расчетная проектная площадь]]</f>
        <v>-3.5087719298245281E-3</v>
      </c>
      <c r="CZ3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-0.22999999999999865</v>
      </c>
      <c r="DA36" s="3">
        <f>ППД5[[#This Row],[Цена м2 без отделки со скидкой]]+ППД5[[#This Row],[Стоимость отделки]]</f>
        <v>108299.41520467836</v>
      </c>
      <c r="DB36" s="3">
        <f>ППД5[[#This Row],[Стоимость квартиры с отделкой]]-ППД5[[#This Row],[Стоимость ОН без отделки со скидкой]]</f>
        <v>0</v>
      </c>
      <c r="DC36" s="3">
        <f>ППД5[[#This Row],[Цена м2 с отделкой]]*ППД5[[#This Row],[Расчетная проектная площадь]]</f>
        <v>4629800</v>
      </c>
      <c r="DD36" s="3"/>
      <c r="DF36" s="199" t="s">
        <v>172</v>
      </c>
      <c r="DG36" s="245" t="s">
        <v>172</v>
      </c>
      <c r="DH36" s="100" t="b">
        <f>EXACT(ППД5[[#This Row],[Статусы CRM]],ППД5[[#This Row],[Статус]])</f>
        <v>1</v>
      </c>
      <c r="DI36" s="213" t="s">
        <v>208</v>
      </c>
      <c r="DJ36" s="204"/>
      <c r="DK36" s="111" t="s">
        <v>763</v>
      </c>
      <c r="DL36" s="216" t="s">
        <v>12</v>
      </c>
      <c r="DM36" s="201" t="b">
        <f>ППД5[[#This Row],[Отделка CRM]]=ППД5[[#This Row],[Отделка]]</f>
        <v>1</v>
      </c>
      <c r="DN36" s="203">
        <v>4629800</v>
      </c>
      <c r="DO3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6" s="207" t="b">
        <f>IF(AND(ППД5[[#This Row],[Статус]]="свободно",ППД5[[#This Row],[Итоговая сумма скидки]]&lt;&gt;0),FALSE,TRUE)</f>
        <v>1</v>
      </c>
      <c r="DQ36" s="240">
        <f>_xlfn.XLOOKUP(ППД5[[#This Row],[№]],Юрист[№ кв],Юрист[Дата подачи на регистрацию]," ",0,-1)</f>
        <v>45435</v>
      </c>
      <c r="DR36" s="115" t="str">
        <f>_xlfn.XLOOKUP(ППД5[[#This Row],[№]],Юрист[№ кв],Юрист[МОП],"",0,-1)</f>
        <v>Калачева</v>
      </c>
      <c r="DS36" s="333" t="s">
        <v>2364</v>
      </c>
      <c r="DT36" s="333" t="s">
        <v>2365</v>
      </c>
      <c r="DU36" s="333">
        <v>41.3</v>
      </c>
      <c r="DV36" s="111"/>
    </row>
    <row r="37" spans="1:126" hidden="1" x14ac:dyDescent="0.25">
      <c r="A37" s="112">
        <v>35</v>
      </c>
      <c r="B37" s="111" t="s">
        <v>5</v>
      </c>
      <c r="C37" s="111">
        <v>6</v>
      </c>
      <c r="D37" s="338">
        <v>1</v>
      </c>
      <c r="E37" s="111">
        <v>1</v>
      </c>
      <c r="F37" s="105">
        <v>14.68</v>
      </c>
      <c r="G37" s="105"/>
      <c r="H37" s="105"/>
      <c r="I37" s="94">
        <f>SUM(ППД5[[#This Row],[Комната 1]:[Комната 3]])</f>
        <v>14.68</v>
      </c>
      <c r="J37" s="153">
        <v>9.84</v>
      </c>
      <c r="K37" s="105">
        <v>3.63</v>
      </c>
      <c r="L37" s="105"/>
      <c r="M37" s="105"/>
      <c r="N37" s="105">
        <v>4.8899999999999997</v>
      </c>
      <c r="O37" s="105">
        <v>2.7</v>
      </c>
      <c r="P37" s="105"/>
      <c r="Q37" s="105"/>
      <c r="R37" s="105">
        <f>SUM(ППД5[[#This Row],[Лоджия 1]:[Лоджия 3]])</f>
        <v>2.7</v>
      </c>
      <c r="S37" s="7">
        <f>ROUND(SUM(ППД5[[#This Row],[Площадь по проекту жилая]:[Лоджия 3]]),2)</f>
        <v>35.74</v>
      </c>
      <c r="T37" s="7">
        <f>ROUND(ППД5[[#This Row],[Площадь по проекту(общая)]]-ППД5[[#This Row],[Летние]],2)</f>
        <v>33.04</v>
      </c>
      <c r="U37" s="92">
        <f>ROUND(ППД5[[#This Row],[Площадь по проекту(общая)]]-(SUM(ППД5[[#This Row],[Лоджия 1]:[Лоджия 3]])/2),2)</f>
        <v>34.39</v>
      </c>
      <c r="V37" s="92">
        <f>IF(ППД5[[#This Row],[Статус]]="продажа",ППД5[[#This Row],[Расчетная проектная площадь]],ППД5[[#This Row],[Расчетная ТП площадь]])</f>
        <v>34.39</v>
      </c>
      <c r="W37" s="92">
        <v>14.7</v>
      </c>
      <c r="X37" s="92"/>
      <c r="Y37" s="92"/>
      <c r="Z37" s="92">
        <f>SUM(ППД5[[#This Row],[ТП Комната 1]:[ТП Комната 3]])</f>
        <v>14.7</v>
      </c>
      <c r="AA37" s="92">
        <v>9.6999999999999993</v>
      </c>
      <c r="AB37" s="92">
        <v>3.7</v>
      </c>
      <c r="AC37" s="92"/>
      <c r="AD37" s="92"/>
      <c r="AE37" s="92">
        <v>4.9000000000000004</v>
      </c>
      <c r="AF37" s="91">
        <v>1.35</v>
      </c>
      <c r="AG37" s="92"/>
      <c r="AH37" s="92"/>
      <c r="AI37" s="91">
        <f>SUM(ППД5[[#This Row],[ТП Лоджия 1]:[ТП Лоджия 3]])</f>
        <v>1.35</v>
      </c>
      <c r="AJ37" s="95">
        <v>2.7</v>
      </c>
      <c r="AK37" s="92">
        <f>SUM(ППД5[[#This Row],[Площадь по ТП жилая]:[ТП Лоджия 3]])-ППД5[[#This Row],[ТП Летние]]+ППД5[[#This Row],[кроме того прочая
(без коэффициента)]]</f>
        <v>35.700000000000003</v>
      </c>
      <c r="AL37" s="95">
        <f>ППД5[[#This Row],[ТП Площадь без летних]]+(ППД5[[#This Row],[ТП Летние]])</f>
        <v>34.35</v>
      </c>
      <c r="AM37" s="92">
        <f>ППД5[[#This Row],[ТП общая S]]-ППД5[[#This Row],[кроме того прочая
(без коэффициента)]]</f>
        <v>33</v>
      </c>
      <c r="AN37" s="95">
        <f>SUM(ППД5[[#This Row],[ТП Кухня]:[ТП Коридор]])</f>
        <v>18.299999999999997</v>
      </c>
      <c r="AO37" s="91">
        <f>ППД5[[#This Row],[Расчетная ТП площадь]]-ППД5[[#This Row],[Расчетная проектная площадь]]</f>
        <v>-3.9999999999999147E-2</v>
      </c>
      <c r="AP37" s="335">
        <f>ППД5[[#This Row],[Расчетная ТП площадь]]/ППД5[[#This Row],[Расчетная проектная площадь]]-1</f>
        <v>-1.1631288165163678E-3</v>
      </c>
      <c r="AQ37" s="92">
        <f>ППД5[[#This Row],[% расхождения]]*ППД5[[#This Row],[Стоимость до скидки]]</f>
        <v>-5922.6519337013451</v>
      </c>
      <c r="AR37" s="92">
        <f>VLOOKUP(ППД5[[#This Row],[№]],наценкад5[],COLUMN(наценкад5[[#This Row],[Цена м2 с учетом всех K]]),0)</f>
        <v>82734.75</v>
      </c>
      <c r="AS37" s="7">
        <f>ППД5[[#This Row],[м2 после К]]*5%</f>
        <v>4136.7375000000002</v>
      </c>
      <c r="AT37" s="7">
        <f>ППД5[[#This Row],[м2 после К]]+ППД5[[#This Row],[Повышение 16.08.23 - 5%]]</f>
        <v>86871.487500000003</v>
      </c>
      <c r="AU37" s="9">
        <f>ППД5[[#This Row],[Фикс 16.08.23]]*3%</f>
        <v>2606.1446249999999</v>
      </c>
      <c r="AV37" s="9">
        <f>ППД5[[#This Row],[Фикс 16.08.23]]+ППД5[[#This Row],[Повышение 29.08.23 - 3%]]</f>
        <v>89477.632125000004</v>
      </c>
      <c r="AW37" s="93">
        <f>ППД5[[#This Row],[Фикс 29.08.23]]*14%</f>
        <v>12526.868497500001</v>
      </c>
      <c r="AX37" s="9">
        <f>ППД5[[#This Row],[Фикс 29.08.23]]+ППД5[[#This Row],[Повышение 06.09.23 СТ и 1К]]</f>
        <v>102004.50062250001</v>
      </c>
      <c r="AY37" s="9"/>
      <c r="AZ37" s="9">
        <f>ППД5[[#This Row],[Повышение 23.10.23  В4 ]]+ППД5[[#This Row],[Фикс 06.09.23]]</f>
        <v>102004.50062250001</v>
      </c>
      <c r="BA37" s="93">
        <f>ППД5[[#This Row],[Фикс 23.10.23]]*5%</f>
        <v>5100.2250311250009</v>
      </c>
      <c r="BB37" s="93">
        <f>ППД5[[#This Row],[Повышение 8.11.23 1К 5%]]+ППД5[[#This Row],[Фикс 23.10.23]]</f>
        <v>107104.72565362501</v>
      </c>
      <c r="BC37" s="93"/>
      <c r="BD37" s="93">
        <f>ППД5[[#This Row],[Корректировка 24.11.23 - 1К В5, 2К А2, №233]]+ППД5[[#This Row],[Фикс 8.11.23]]</f>
        <v>107104.72565362501</v>
      </c>
      <c r="BE37" s="93">
        <f>ППД5[[#This Row],[Фикс 8.11.24]]*1%</f>
        <v>1071.0472565362502</v>
      </c>
      <c r="BF37" s="93">
        <f>ППД5[[#This Row],[Наценка за отделку 29.12.23 1%]]+ППД5[[#This Row],[Фикс 8.11.24]]</f>
        <v>108175.77291016125</v>
      </c>
      <c r="BG37" s="93">
        <f>ППД5[[#This Row],[Фикс 29.12.23]]*5%</f>
        <v>5408.7886455080625</v>
      </c>
      <c r="BH37" s="93">
        <f>ППД5[[#This Row],[Фикс 29.12.23]]+ППД5[[#This Row],[Наценка 10.01.24 5%]]</f>
        <v>113584.56155566931</v>
      </c>
      <c r="BI37" s="93"/>
      <c r="BJ37" s="93">
        <f>ППД5[[#This Row],[Наценка 26.02.24 1 Этаж]]+ППД5[[#This Row],[Фикс 10.01.24]]</f>
        <v>113584.56155566931</v>
      </c>
      <c r="BK37" s="93">
        <f>ППД5[[#This Row],[Фикс 26.02.24]]*3%</f>
        <v>3407.5368466700793</v>
      </c>
      <c r="BL37" s="93">
        <f>ППД5[[#This Row],[Фикс 26.02.24]]+ППД5[[#This Row],[Наценка 06.03.24
СТ, 1К - 3%
2К, 3К - 2%]]</f>
        <v>116992.09840233938</v>
      </c>
      <c r="BM37" s="93"/>
      <c r="BN37" s="93">
        <f>ППД5[[#This Row],[Фикс 06.03.24]]+ППД5[[#This Row],[Наценка Г2+500]]</f>
        <v>116992.09840233938</v>
      </c>
      <c r="BO37" s="93"/>
      <c r="BP37" s="93">
        <f>ППД5[[#This Row],[Фикс 13.03.25]]+ППД5[[#This Row],[Наценка 20.03.24
2К, 3К - 2%]]</f>
        <v>116992.09840233938</v>
      </c>
      <c r="BQ37" s="93"/>
      <c r="BR37" s="93">
        <f>ППД5[[#This Row],[Фикс 20.03.24]]+ППД5[[#This Row],[Наценка 08.04.24 
2К: В3 - 150
3К: Г7 +1000]]</f>
        <v>116992.09840233938</v>
      </c>
      <c r="BS37" s="93"/>
      <c r="BT37" s="93">
        <f>ППД5[[#This Row],[Фикс 08.04.24]]+ППД5[[#This Row],[Наценка 16.05.24 1%
А4,А6,Б3,Б6,Б7,В2,В3,В5,В6,Г1,Г3-Г5]]</f>
        <v>116992.09840233938</v>
      </c>
      <c r="BU37" s="93">
        <f>ППД5[[#This Row],[Фикс 16.05.24]]*2%</f>
        <v>2339.8419680467878</v>
      </c>
      <c r="BV37" s="93">
        <f>ППД5[[#This Row],[Фикс 16.05.24]]+ППД5[[#This Row],[Наценка 24.05.24
1% - Б4, Б5,Г2,Г6
2% - А1,А3,А5,Б2,Г7]]</f>
        <v>119331.94037038618</v>
      </c>
      <c r="BW37" s="93"/>
      <c r="BX37" s="93">
        <f>ППД5[[#This Row],[Наценка 06.06.24
0К: В2,Г3 +0,5%
1К: А7, Б5/4, Г6 +0,5%
3К: В6 +0,5%
1К: А3 +1%]]+ППД5[[#This Row],[Фикс 24.05.24]]</f>
        <v>119331.94037038618</v>
      </c>
      <c r="BY37" s="93"/>
      <c r="BZ37" s="93">
        <f>ППД5[[#This Row],[Фикс 06.06.24]]+ППД5[[#This Row],[13.06.2024
3К - 2%]]</f>
        <v>119331.94037038618</v>
      </c>
      <c r="CA37" s="93">
        <f>2.5%*ППД5[[#This Row],[Фикс 13.06.24]]</f>
        <v>2983.2985092596546</v>
      </c>
      <c r="CB37" s="93">
        <f>ППД5[[#This Row],[02.07.2024: Г3 А1 А3 Б5 Б7 Г2 Г6 Б3 Б4 В3 Г7 2,5% ост 0,5-1,5%]]+ППД5[[#This Row],[Фикс 13.06.24]]</f>
        <v>122315.23887964583</v>
      </c>
      <c r="CC37" s="93"/>
      <c r="CD37" s="93">
        <f>ППД5[[#This Row],[Фикс 02.07.24]]+ППД5[[#This Row],[04.09.2024 +500
0К - Б2; 1К - А3;
2К - А6, Б4, В3, Г5]]</f>
        <v>122315.23887964583</v>
      </c>
      <c r="CE37" s="93">
        <f>ППД5[[#This Row],[Фикс 04.09.24]]*2%</f>
        <v>2446.3047775929167</v>
      </c>
      <c r="CF37" s="93">
        <f>ППД5[[#This Row],[Наценка 16.09.2024
1К: А1,В7,Г6/7,Г8 - 2%
2К: А4,А5,А6,Б1,Б6,Б3/4,В3,В4,Г4,Г5 - 4%
3К: 4%]]+ППД5[[#This Row],[Фикс 04.09.24]]</f>
        <v>124761.54365723874</v>
      </c>
      <c r="CG37" s="93">
        <f>ППД5[[#This Row],[Фикс 16.09.2024]]*5%</f>
        <v>6238.0771828619372</v>
      </c>
      <c r="CH37" s="93">
        <f>ППД5[[#This Row],[Фикс 16.09.2024]]+ППД5[[#This Row],[Наценка 01.11.24
СТ: 4%
1К: 34-40м 5%; 40м+ 8%; МГН 1%
2К: 55-70м 6%; 70-73м 7%; 73-76м 8% 
3К: 5%]]</f>
        <v>130999.62084010067</v>
      </c>
      <c r="CI37" s="93">
        <f>ППД5[[#This Row],[Фикс 01.11.24]]*13%</f>
        <v>17029.950709213088</v>
      </c>
      <c r="CJ37" s="93">
        <f>ППД5[[#This Row],[Наценка 06.11 13%]]+ППД5[[#This Row],[Фикс 01.11.24]]</f>
        <v>148029.57154931375</v>
      </c>
      <c r="CK37" s="93">
        <v>35</v>
      </c>
      <c r="CL37" s="93">
        <f>ППД5[[#This Row],[Фикс 06.11.24]]+ППД5[[#This Row],[Наценка 18.12.24 распределение КВ]]</f>
        <v>148064.57154931375</v>
      </c>
      <c r="CM37" s="93"/>
      <c r="CN37" s="93">
        <f>ППД5[[#This Row],[Фикс 18.12.24]]+ППД5[[#This Row],[Наценка 10.02.25 +1%
1К: А3
2К: Б3, В3]]</f>
        <v>148064.57154931375</v>
      </c>
      <c r="CO37" s="93">
        <f>ROUND(ППД5[[#This Row],[Фикс 10.02.25]],2)</f>
        <v>148064.57</v>
      </c>
      <c r="CP3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5092000</v>
      </c>
      <c r="CQ37" s="93">
        <f>ROUNDUP(ППД5[[#This Row],[Стоимость до скидки]]+ППД5[[#This Row],[Сумма доплаты]],-2)</f>
        <v>5086100</v>
      </c>
      <c r="CR37" s="68"/>
      <c r="CS37" s="90">
        <v>0.02</v>
      </c>
      <c r="CT37" s="68">
        <f>ППД5[[#This Row],[Стоимость до скидки]]*ППД5[[#This Row],[Скидка %]]+ППД5[[#This Row],[Скидка фиксированная]]</f>
        <v>101840</v>
      </c>
      <c r="CU37" s="3">
        <f>ППД5[[#This Row],[Стоимость ОН без отделки со скидкой]]/ППД5[[#This Row],[Расчетная проектная площадь]]</f>
        <v>145104.97237569062</v>
      </c>
      <c r="CV37" s="3">
        <f>ROUND(ППД5[[#This Row],[Стоимость до скидки]]-ППД5[[#This Row],[Итоговая сумма скидки]],2)</f>
        <v>4990160</v>
      </c>
      <c r="CW3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7" s="197">
        <v>25000</v>
      </c>
      <c r="CY37" s="332">
        <f>ППД5[[#This Row],[Расхождение]]/ППД5[[#This Row],[Расчетная проектная площадь]]</f>
        <v>-1.1631288165164044E-3</v>
      </c>
      <c r="CZ3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-6.0000000000002274E-2</v>
      </c>
      <c r="DA37" s="3">
        <f>ППД5[[#This Row],[Цена м2 без отделки со скидкой]]+ППД5[[#This Row],[Стоимость отделки]]</f>
        <v>170104.97237569062</v>
      </c>
      <c r="DB37" s="3">
        <f>ППД5[[#This Row],[Стоимость квартиры с отделкой]]-ППД5[[#This Row],[Стоимость ОН без отделки со скидкой]]</f>
        <v>859750</v>
      </c>
      <c r="DC37" s="3">
        <f>ППД5[[#This Row],[Цена м2 с отделкой]]*ППД5[[#This Row],[Расчетная проектная площадь]]</f>
        <v>5849910</v>
      </c>
      <c r="DD37" s="3" t="s">
        <v>154</v>
      </c>
      <c r="DE37" s="111" t="s">
        <v>757</v>
      </c>
      <c r="DF37" s="199" t="s">
        <v>172</v>
      </c>
      <c r="DG37" s="221" t="s">
        <v>172</v>
      </c>
      <c r="DH37" s="100" t="b">
        <f>EXACT(ППД5[[#This Row],[Статусы CRM]],ППД5[[#This Row],[Статус]])</f>
        <v>1</v>
      </c>
      <c r="DI37" s="213" t="s">
        <v>209</v>
      </c>
      <c r="DJ37" s="204"/>
      <c r="DK37" s="111" t="s">
        <v>763</v>
      </c>
      <c r="DL37" s="216" t="s">
        <v>14</v>
      </c>
      <c r="DM37" s="201" t="b">
        <f>ППД5[[#This Row],[Отделка CRM]]=ППД5[[#This Row],[Отделка]]</f>
        <v>1</v>
      </c>
      <c r="DN37" s="203">
        <v>5849910</v>
      </c>
      <c r="DO3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7" s="207" t="b">
        <f>IF(AND(ППД5[[#This Row],[Статус]]="свободно",ППД5[[#This Row],[Итоговая сумма скидки]]&lt;&gt;0),FALSE,TRUE)</f>
        <v>1</v>
      </c>
      <c r="DQ37" s="240">
        <f>_xlfn.XLOOKUP(ППД5[[#This Row],[№]],Юрист[№ кв],Юрист[Дата подачи на регистрацию]," ",0,-1)</f>
        <v>45712</v>
      </c>
      <c r="DR37" s="115" t="str">
        <f>_xlfn.XLOOKUP(ППД5[[#This Row],[№]],Юрист[№ кв],Юрист[МОП],"",0,-1)</f>
        <v>Полехович</v>
      </c>
      <c r="DS37" s="333" t="s">
        <v>2366</v>
      </c>
      <c r="DT37" s="333" t="s">
        <v>2367</v>
      </c>
      <c r="DU37" s="333">
        <v>33</v>
      </c>
      <c r="DV37" s="111"/>
    </row>
    <row r="38" spans="1:126" hidden="1" x14ac:dyDescent="0.25">
      <c r="A38" s="112">
        <v>36</v>
      </c>
      <c r="B38" s="111" t="s">
        <v>5</v>
      </c>
      <c r="C38" s="111">
        <v>6</v>
      </c>
      <c r="D38" s="111">
        <v>2</v>
      </c>
      <c r="E38" s="111">
        <v>2</v>
      </c>
      <c r="F38" s="105">
        <v>15.82</v>
      </c>
      <c r="G38" s="156">
        <v>15.54</v>
      </c>
      <c r="H38" s="105"/>
      <c r="I38" s="94">
        <f>SUM(ППД5[[#This Row],[Комната 1]:[Комната 3]])</f>
        <v>31.36</v>
      </c>
      <c r="J38" s="105">
        <v>19.440000000000001</v>
      </c>
      <c r="K38" s="105">
        <v>4.42</v>
      </c>
      <c r="L38" s="105"/>
      <c r="M38" s="105">
        <v>3.25</v>
      </c>
      <c r="N38" s="105">
        <v>8.5299999999999994</v>
      </c>
      <c r="O38" s="105">
        <v>3</v>
      </c>
      <c r="P38" s="105"/>
      <c r="Q38" s="105"/>
      <c r="R38" s="105">
        <f>SUM(ППД5[[#This Row],[Лоджия 1]:[Лоджия 3]])</f>
        <v>3</v>
      </c>
      <c r="S38" s="7">
        <f>ROUND(SUM(ППД5[[#This Row],[Площадь по проекту жилая]:[Лоджия 3]]),2)</f>
        <v>70</v>
      </c>
      <c r="T38" s="7">
        <f>ROUND(ППД5[[#This Row],[Площадь по проекту(общая)]]-ППД5[[#This Row],[Летние]],2)</f>
        <v>67</v>
      </c>
      <c r="U38" s="92">
        <f>ROUND(ППД5[[#This Row],[Площадь по проекту(общая)]]-(SUM(ППД5[[#This Row],[Лоджия 1]:[Лоджия 3]])/2),2)</f>
        <v>68.5</v>
      </c>
      <c r="V38" s="92">
        <f>IF(ППД5[[#This Row],[Статус]]="продажа",ППД5[[#This Row],[Расчетная проектная площадь]],ППД5[[#This Row],[Расчетная ТП площадь]])</f>
        <v>68.5</v>
      </c>
      <c r="W38" s="92">
        <v>15.5</v>
      </c>
      <c r="X38" s="92">
        <v>15.8</v>
      </c>
      <c r="Y38" s="92"/>
      <c r="Z38" s="92">
        <f>SUM(ППД5[[#This Row],[ТП Комната 1]:[ТП Комната 3]])</f>
        <v>31.3</v>
      </c>
      <c r="AA38" s="92">
        <v>18.899999999999999</v>
      </c>
      <c r="AB38" s="92">
        <v>4.5</v>
      </c>
      <c r="AC38" s="92"/>
      <c r="AD38" s="92">
        <v>3.3</v>
      </c>
      <c r="AE38" s="92">
        <v>8.6999999999999993</v>
      </c>
      <c r="AF38" s="92">
        <v>1.5</v>
      </c>
      <c r="AG38" s="92"/>
      <c r="AH38" s="92"/>
      <c r="AI38" s="91">
        <f>SUM(ППД5[[#This Row],[ТП Лоджия 1]:[ТП Лоджия 3]])</f>
        <v>1.5</v>
      </c>
      <c r="AJ38" s="95">
        <v>3</v>
      </c>
      <c r="AK38" s="92">
        <f>SUM(ППД5[[#This Row],[Площадь по ТП жилая]:[ТП Лоджия 3]])-ППД5[[#This Row],[ТП Летние]]+ППД5[[#This Row],[кроме того прочая
(без коэффициента)]]</f>
        <v>69.7</v>
      </c>
      <c r="AL38" s="95">
        <f>ППД5[[#This Row],[ТП Площадь без летних]]+(ППД5[[#This Row],[ТП Летние]])</f>
        <v>68.2</v>
      </c>
      <c r="AM38" s="92">
        <f>ППД5[[#This Row],[ТП общая S]]-ППД5[[#This Row],[кроме того прочая
(без коэффициента)]]</f>
        <v>66.7</v>
      </c>
      <c r="AN38" s="95">
        <f>SUM(ППД5[[#This Row],[ТП Кухня]:[ТП Коридор]])</f>
        <v>35.4</v>
      </c>
      <c r="AO38" s="91">
        <f>ППД5[[#This Row],[Расчетная ТП площадь]]-ППД5[[#This Row],[Расчетная проектная площадь]]</f>
        <v>-0.29999999999999716</v>
      </c>
      <c r="AP38" s="335">
        <f>ППД5[[#This Row],[Расчетная ТП площадь]]/ППД5[[#This Row],[Расчетная проектная площадь]]-1</f>
        <v>-4.3795620437955263E-3</v>
      </c>
      <c r="AQ38" s="92">
        <f>ППД5[[#This Row],[% расхождения]]*ППД5[[#This Row],[Стоимость до скидки]]</f>
        <v>-30005.255474451911</v>
      </c>
      <c r="AR38" s="92">
        <f>VLOOKUP(ППД5[[#This Row],[№]],наценкад5[],COLUMN(наценкад5[[#This Row],[Цена м2 с учетом всех K]]),0)</f>
        <v>84168.819000000003</v>
      </c>
      <c r="AS38" s="7">
        <f>ППД5[[#This Row],[м2 после К]]*5%</f>
        <v>4208.4409500000002</v>
      </c>
      <c r="AT38" s="7">
        <f>ППД5[[#This Row],[м2 после К]]+ППД5[[#This Row],[Повышение 16.08.23 - 5%]]</f>
        <v>88377.259950000007</v>
      </c>
      <c r="AU38" s="9">
        <f>ППД5[[#This Row],[Фикс 16.08.23]]*3%</f>
        <v>2651.3177985000002</v>
      </c>
      <c r="AV38" s="9">
        <f>ППД5[[#This Row],[Фикс 16.08.23]]+ППД5[[#This Row],[Повышение 29.08.23 - 3%]]</f>
        <v>91028.577748500014</v>
      </c>
      <c r="AW38" s="9"/>
      <c r="AX38" s="9">
        <f>ППД5[[#This Row],[Фикс 29.08.23]]+ППД5[[#This Row],[Повышение 06.09.23 СТ и 1К]]</f>
        <v>91028.577748500014</v>
      </c>
      <c r="AY38" s="9"/>
      <c r="AZ38" s="9">
        <f>ППД5[[#This Row],[Повышение 23.10.23  В4 ]]+ППД5[[#This Row],[Фикс 06.09.23]]</f>
        <v>91028.577748500014</v>
      </c>
      <c r="BA38" s="9"/>
      <c r="BB38" s="9">
        <f>ППД5[[#This Row],[Повышение 8.11.23 1К 5%]]+ППД5[[#This Row],[Фикс 23.10.23]]</f>
        <v>91028.577748500014</v>
      </c>
      <c r="BC38" s="9">
        <v>-831</v>
      </c>
      <c r="BD38" s="9">
        <f>ППД5[[#This Row],[Корректировка 24.11.23 - 1К В5, 2К А2, №233]]+ППД5[[#This Row],[Фикс 8.11.23]]</f>
        <v>90197.577748500014</v>
      </c>
      <c r="BE38" s="93">
        <f>ППД5[[#This Row],[Фикс 8.11.24]]*1%</f>
        <v>901.97577748500021</v>
      </c>
      <c r="BF38" s="9">
        <f>ППД5[[#This Row],[Наценка за отделку 29.12.23 1%]]+ППД5[[#This Row],[Фикс 8.11.24]]</f>
        <v>91099.553525985015</v>
      </c>
      <c r="BG38" s="93">
        <f>ППД5[[#This Row],[Фикс 29.12.23]]*5%</f>
        <v>4554.9776762992506</v>
      </c>
      <c r="BH38" s="9">
        <f>ППД5[[#This Row],[Фикс 29.12.23]]+ППД5[[#This Row],[Наценка 10.01.24 5%]]</f>
        <v>95654.53120228427</v>
      </c>
      <c r="BI38" s="9"/>
      <c r="BJ38" s="9">
        <f>ППД5[[#This Row],[Наценка 26.02.24 1 Этаж]]+ППД5[[#This Row],[Фикс 10.01.24]]</f>
        <v>95654.53120228427</v>
      </c>
      <c r="BK38" s="93">
        <f>ППД5[[#This Row],[Фикс 26.02.24]]*2%</f>
        <v>1913.0906240456854</v>
      </c>
      <c r="BL38" s="9">
        <f>ППД5[[#This Row],[Фикс 26.02.24]]+ППД5[[#This Row],[Наценка 06.03.24
СТ, 1К - 3%
2К, 3К - 2%]]</f>
        <v>97567.621826329952</v>
      </c>
      <c r="BM38" s="9"/>
      <c r="BN38" s="9">
        <f>ППД5[[#This Row],[Фикс 06.03.24]]+ППД5[[#This Row],[Наценка Г2+500]]</f>
        <v>97567.621826329952</v>
      </c>
      <c r="BO38" s="9">
        <f>ППД5[[#This Row],[Фикс 13.03.25]]*2%</f>
        <v>1951.3524365265991</v>
      </c>
      <c r="BP38" s="9">
        <f>ППД5[[#This Row],[Фикс 13.03.25]]+ППД5[[#This Row],[Наценка 20.03.24
2К, 3К - 2%]]</f>
        <v>99518.974262856558</v>
      </c>
      <c r="BQ38" s="9"/>
      <c r="BR38" s="9">
        <f>ППД5[[#This Row],[Фикс 20.03.24]]+ППД5[[#This Row],[Наценка 08.04.24 
2К: В3 - 150
3К: Г7 +1000]]</f>
        <v>99518.974262856558</v>
      </c>
      <c r="BS38" s="9"/>
      <c r="BT38" s="9">
        <f>ППД5[[#This Row],[Фикс 08.04.24]]+ППД5[[#This Row],[Наценка 16.05.24 1%
А4,А6,Б3,Б6,Б7,В2,В3,В5,В6,Г1,Г3-Г5]]</f>
        <v>99518.974262856558</v>
      </c>
      <c r="BU38" s="9"/>
      <c r="BV38" s="9">
        <f>ППД5[[#This Row],[Фикс 16.05.24]]+ППД5[[#This Row],[Наценка 24.05.24
1% - Б4, Б5,Г2,Г6
2% - А1,А3,А5,Б2,Г7]]</f>
        <v>99518.974262856558</v>
      </c>
      <c r="BW38" s="9"/>
      <c r="BX38" s="9">
        <f>ППД5[[#This Row],[Наценка 06.06.24
0К: В2,Г3 +0,5%
1К: А7, Б5/4, Г6 +0,5%
3К: В6 +0,5%
1К: А3 +1%]]+ППД5[[#This Row],[Фикс 24.05.24]]</f>
        <v>99518.974262856558</v>
      </c>
      <c r="BY38" s="9"/>
      <c r="BZ38" s="9">
        <f>ППД5[[#This Row],[Фикс 06.06.24]]+ППД5[[#This Row],[13.06.2024
3К - 2%]]</f>
        <v>99518.974262856558</v>
      </c>
      <c r="CA38" s="93">
        <f>0.5%*ППД5[[#This Row],[Фикс 13.06.24]]</f>
        <v>497.59487131428278</v>
      </c>
      <c r="CB38" s="9">
        <f>ППД5[[#This Row],[02.07.2024: Г3 А1 А3 Б5 Б7 Г2 Г6 Б3 Б4 В3 Г7 2,5% ост 0,5-1,5%]]+ППД5[[#This Row],[Фикс 13.06.24]]</f>
        <v>100016.56913417084</v>
      </c>
      <c r="CC38" s="9"/>
      <c r="CD38" s="9">
        <f>ППД5[[#This Row],[Фикс 02.07.24]]+ППД5[[#This Row],[04.09.2024 +500
0К - Б2; 1К - А3;
2К - А6, Б4, В3, Г5]]</f>
        <v>100016.56913417084</v>
      </c>
      <c r="CE38" s="9"/>
      <c r="CF38" s="9">
        <f>ППД5[[#This Row],[Наценка 16.09.2024
1К: А1,В7,Г6/7,Г8 - 2%
2К: А4,А5,А6,Б1,Б6,Б3/4,В3,В4,Г4,Г5 - 4%
3К: 4%]]+ППД5[[#This Row],[Фикс 04.09.24]]</f>
        <v>100016.56913417084</v>
      </c>
      <c r="CG38" s="9"/>
      <c r="CH38" s="9">
        <f>ППД5[[#This Row],[Фикс 16.09.2024]]+ППД5[[#This Row],[Наценка 01.11.24
СТ: 4%
1К: 34-40м 5%; 40м+ 8%; МГН 1%
2К: 55-70м 6%; 70-73м 7%; 73-76м 8% 
3К: 5%]]</f>
        <v>100016.56913417084</v>
      </c>
      <c r="CI38" s="9"/>
      <c r="CJ38" s="9">
        <f>ППД5[[#This Row],[Наценка 06.11 13%]]+ППД5[[#This Row],[Фикс 01.11.24]]</f>
        <v>100016.56913417084</v>
      </c>
      <c r="CK38" s="9"/>
      <c r="CL38" s="9">
        <f>ППД5[[#This Row],[Фикс 06.11.24]]+ППД5[[#This Row],[Наценка 18.12.24 распределение КВ]]</f>
        <v>100016.56913417084</v>
      </c>
      <c r="CM38" s="9"/>
      <c r="CN38" s="9">
        <f>ППД5[[#This Row],[Фикс 18.12.24]]+ППД5[[#This Row],[Наценка 10.02.25 +1%
1К: А3
2К: Б3, В3]]</f>
        <v>100016.56913417084</v>
      </c>
      <c r="CO38" s="93">
        <f>ROUND(ППД5[[#This Row],[Фикс 10.02.25]],2)</f>
        <v>100016.57</v>
      </c>
      <c r="CP3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6851200</v>
      </c>
      <c r="CQ38" s="93">
        <f>ROUNDUP(ППД5[[#This Row],[Стоимость до скидки]]+ППД5[[#This Row],[Сумма доплаты]],-2)</f>
        <v>6821200</v>
      </c>
      <c r="CR38" s="68"/>
      <c r="CS38" s="90"/>
      <c r="CT38" s="68">
        <f>ППД5[[#This Row],[Стоимость до скидки]]*ППД5[[#This Row],[Скидка %]]+ППД5[[#This Row],[Скидка фиксированная]]</f>
        <v>0</v>
      </c>
      <c r="CU38" s="3">
        <f>ППД5[[#This Row],[Стоимость ОН без отделки со скидкой]]/ППД5[[#This Row],[Расчетная проектная площадь]]</f>
        <v>100017.51824817518</v>
      </c>
      <c r="CV38" s="3">
        <f>ROUND(ППД5[[#This Row],[Стоимость до скидки]]-ППД5[[#This Row],[Итоговая сумма скидки]],2)</f>
        <v>6851200</v>
      </c>
      <c r="CW3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38" s="197">
        <v>7000</v>
      </c>
      <c r="CY38" s="332">
        <f>ППД5[[#This Row],[Расхождение]]/ППД5[[#This Row],[Расчетная проектная площадь]]</f>
        <v>-4.3795620437955792E-3</v>
      </c>
      <c r="CZ3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-0.24000000000000554</v>
      </c>
      <c r="DA38" s="3">
        <f>ППД5[[#This Row],[Цена м2 без отделки со скидкой]]+ППД5[[#This Row],[Стоимость отделки]]</f>
        <v>107017.51824817518</v>
      </c>
      <c r="DB38" s="3">
        <f>ППД5[[#This Row],[Стоимость квартиры с отделкой]]-ППД5[[#This Row],[Стоимость ОН без отделки со скидкой]]</f>
        <v>479500</v>
      </c>
      <c r="DC38" s="3">
        <f>ППД5[[#This Row],[Цена м2 с отделкой]]*ППД5[[#This Row],[Расчетная проектная площадь]]</f>
        <v>7330700</v>
      </c>
      <c r="DD38" s="3"/>
      <c r="DF38" s="199" t="s">
        <v>172</v>
      </c>
      <c r="DG38" s="245" t="s">
        <v>172</v>
      </c>
      <c r="DH38" s="100" t="b">
        <f>EXACT(ППД5[[#This Row],[Статусы CRM]],ППД5[[#This Row],[Статус]])</f>
        <v>1</v>
      </c>
      <c r="DI38" s="213" t="s">
        <v>210</v>
      </c>
      <c r="DJ38" s="204"/>
      <c r="DK38" s="111" t="s">
        <v>763</v>
      </c>
      <c r="DL38" s="216" t="s">
        <v>780</v>
      </c>
      <c r="DM38" s="201" t="b">
        <f>ППД5[[#This Row],[Отделка CRM]]=ППД5[[#This Row],[Отделка]]</f>
        <v>1</v>
      </c>
      <c r="DN38" s="203">
        <v>7330700</v>
      </c>
      <c r="DO3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8" s="207" t="b">
        <f>IF(AND(ППД5[[#This Row],[Статус]]="свободно",ППД5[[#This Row],[Итоговая сумма скидки]]&lt;&gt;0),FALSE,TRUE)</f>
        <v>1</v>
      </c>
      <c r="DQ38" s="240">
        <f>_xlfn.XLOOKUP(ППД5[[#This Row],[№]],Юрист[№ кв],Юрист[Дата подачи на регистрацию]," ",0,-1)</f>
        <v>45516</v>
      </c>
      <c r="DR38" s="115" t="str">
        <f>_xlfn.XLOOKUP(ППД5[[#This Row],[№]],Юрист[№ кв],Юрист[МОП],"",0,-1)</f>
        <v>Дик</v>
      </c>
      <c r="DS38" s="333" t="s">
        <v>2368</v>
      </c>
      <c r="DT38" s="333" t="s">
        <v>2369</v>
      </c>
      <c r="DU38" s="333">
        <v>66.7</v>
      </c>
      <c r="DV38" s="111"/>
    </row>
    <row r="39" spans="1:126" hidden="1" x14ac:dyDescent="0.25">
      <c r="A39" s="112">
        <v>37</v>
      </c>
      <c r="B39" s="111" t="s">
        <v>5</v>
      </c>
      <c r="C39" s="111">
        <v>6</v>
      </c>
      <c r="D39" s="111">
        <v>3</v>
      </c>
      <c r="E39" s="111">
        <v>1</v>
      </c>
      <c r="F39" s="105">
        <v>13.6</v>
      </c>
      <c r="G39" s="105"/>
      <c r="H39" s="105"/>
      <c r="I39" s="94">
        <f>SUM(ППД5[[#This Row],[Комната 1]:[Комната 3]])</f>
        <v>13.6</v>
      </c>
      <c r="J39" s="105">
        <v>14.97</v>
      </c>
      <c r="K39" s="105">
        <v>4.1100000000000003</v>
      </c>
      <c r="L39" s="105"/>
      <c r="M39" s="105"/>
      <c r="N39" s="105">
        <v>3.7</v>
      </c>
      <c r="O39" s="105">
        <v>2.69</v>
      </c>
      <c r="P39" s="105"/>
      <c r="Q39" s="105"/>
      <c r="R39" s="105">
        <f>SUM(ППД5[[#This Row],[Лоджия 1]:[Лоджия 3]])</f>
        <v>2.69</v>
      </c>
      <c r="S39" s="7">
        <f>ROUND(SUM(ППД5[[#This Row],[Площадь по проекту жилая]:[Лоджия 3]]),2)</f>
        <v>39.07</v>
      </c>
      <c r="T39" s="7">
        <f>ROUND(ППД5[[#This Row],[Площадь по проекту(общая)]]-ППД5[[#This Row],[Летние]],2)</f>
        <v>36.380000000000003</v>
      </c>
      <c r="U39" s="92">
        <f>ROUND(ППД5[[#This Row],[Площадь по проекту(общая)]]-(SUM(ППД5[[#This Row],[Лоджия 1]:[Лоджия 3]])/2),2)</f>
        <v>37.729999999999997</v>
      </c>
      <c r="V39" s="92">
        <f>IF(ППД5[[#This Row],[Статус]]="продажа",ППД5[[#This Row],[Расчетная проектная площадь]],ППД5[[#This Row],[Расчетная ТП площадь]])</f>
        <v>37.729999999999997</v>
      </c>
      <c r="W39" s="92">
        <v>13.5</v>
      </c>
      <c r="X39" s="92"/>
      <c r="Y39" s="92"/>
      <c r="Z39" s="92">
        <f>SUM(ППД5[[#This Row],[ТП Комната 1]:[ТП Комната 3]])</f>
        <v>13.5</v>
      </c>
      <c r="AA39" s="92">
        <v>14.7</v>
      </c>
      <c r="AB39" s="92">
        <v>4.0999999999999996</v>
      </c>
      <c r="AC39" s="92"/>
      <c r="AD39" s="92"/>
      <c r="AE39" s="92">
        <v>3.7</v>
      </c>
      <c r="AF39" s="91">
        <v>1.35</v>
      </c>
      <c r="AG39" s="92"/>
      <c r="AH39" s="92"/>
      <c r="AI39" s="91">
        <f>SUM(ППД5[[#This Row],[ТП Лоджия 1]:[ТП Лоджия 3]])</f>
        <v>1.35</v>
      </c>
      <c r="AJ39" s="95">
        <v>2.7</v>
      </c>
      <c r="AK39" s="92">
        <f>SUM(ППД5[[#This Row],[Площадь по ТП жилая]:[ТП Лоджия 3]])-ППД5[[#This Row],[ТП Летние]]+ППД5[[#This Row],[кроме того прочая
(без коэффициента)]]</f>
        <v>38.700000000000003</v>
      </c>
      <c r="AL39" s="95">
        <f>ППД5[[#This Row],[ТП Площадь без летних]]+(ППД5[[#This Row],[ТП Летние]])</f>
        <v>37.35</v>
      </c>
      <c r="AM39" s="92">
        <f>ППД5[[#This Row],[ТП общая S]]-ППД5[[#This Row],[кроме того прочая
(без коэффициента)]]</f>
        <v>36</v>
      </c>
      <c r="AN39" s="95">
        <f>SUM(ППД5[[#This Row],[ТП Кухня]:[ТП Коридор]])</f>
        <v>22.499999999999996</v>
      </c>
      <c r="AO39" s="91">
        <f>ППД5[[#This Row],[Расчетная ТП площадь]]-ППД5[[#This Row],[Расчетная проектная площадь]]</f>
        <v>-0.37999999999999545</v>
      </c>
      <c r="AP39" s="335">
        <f>ППД5[[#This Row],[Расчетная ТП площадь]]/ППД5[[#This Row],[Расчетная проектная площадь]]-1</f>
        <v>-1.0071561091969161E-2</v>
      </c>
      <c r="AQ39" s="92">
        <f>ППД5[[#This Row],[% расхождения]]*ППД5[[#This Row],[Стоимость до скидки]]</f>
        <v>-33288.570050357499</v>
      </c>
      <c r="AR39" s="92">
        <f>VLOOKUP(ППД5[[#This Row],[№]],наценкад5[],COLUMN(наценкад5[[#This Row],[Цена м2 с учетом всех K]]),0)</f>
        <v>87601.5</v>
      </c>
      <c r="AS39" s="7"/>
      <c r="AT39" s="7">
        <f>ППД5[[#This Row],[м2 после К]]+ППД5[[#This Row],[Повышение 16.08.23 - 5%]]</f>
        <v>87601.5</v>
      </c>
      <c r="AU39" s="9"/>
      <c r="AV39" s="9">
        <f>ППД5[[#This Row],[Фикс 16.08.23]]+ППД5[[#This Row],[Повышение 29.08.23 - 3%]]</f>
        <v>87601.5</v>
      </c>
      <c r="AW39" s="9"/>
      <c r="AX39" s="9">
        <f>ППД5[[#This Row],[Фикс 29.08.23]]+ППД5[[#This Row],[Повышение 06.09.23 СТ и 1К]]</f>
        <v>87601.5</v>
      </c>
      <c r="AY39" s="9"/>
      <c r="AZ39" s="9">
        <f>ППД5[[#This Row],[Повышение 23.10.23  В4 ]]+ППД5[[#This Row],[Фикс 06.09.23]]</f>
        <v>87601.5</v>
      </c>
      <c r="BA39" s="9"/>
      <c r="BB39" s="9">
        <f>ППД5[[#This Row],[Повышение 8.11.23 1К 5%]]+ППД5[[#This Row],[Фикс 23.10.23]]</f>
        <v>87601.5</v>
      </c>
      <c r="BC39" s="9"/>
      <c r="BD39" s="9">
        <f>ППД5[[#This Row],[Корректировка 24.11.23 - 1К В5, 2К А2, №233]]+ППД5[[#This Row],[Фикс 8.11.23]]</f>
        <v>87601.5</v>
      </c>
      <c r="BE39" s="9"/>
      <c r="BF39" s="9">
        <f>ППД5[[#This Row],[Наценка за отделку 29.12.23 1%]]+ППД5[[#This Row],[Фикс 8.11.24]]</f>
        <v>87601.5</v>
      </c>
      <c r="BG39" s="9"/>
      <c r="BH39" s="9">
        <f>ППД5[[#This Row],[Фикс 29.12.23]]+ППД5[[#This Row],[Наценка 10.01.24 5%]]</f>
        <v>87601.5</v>
      </c>
      <c r="BI39" s="9"/>
      <c r="BJ39" s="9">
        <f>ППД5[[#This Row],[Наценка 26.02.24 1 Этаж]]+ППД5[[#This Row],[Фикс 10.01.24]]</f>
        <v>87601.5</v>
      </c>
      <c r="BK39" s="93"/>
      <c r="BL39" s="9">
        <f>ППД5[[#This Row],[Фикс 26.02.24]]+ППД5[[#This Row],[Наценка 06.03.24
СТ, 1К - 3%
2К, 3К - 2%]]</f>
        <v>87601.5</v>
      </c>
      <c r="BM39" s="9"/>
      <c r="BN39" s="9">
        <f>ППД5[[#This Row],[Фикс 06.03.24]]+ППД5[[#This Row],[Наценка Г2+500]]</f>
        <v>87601.5</v>
      </c>
      <c r="BO39" s="9"/>
      <c r="BP39" s="9">
        <f>ППД5[[#This Row],[Фикс 13.03.25]]+ППД5[[#This Row],[Наценка 20.03.24
2К, 3К - 2%]]</f>
        <v>87601.5</v>
      </c>
      <c r="BQ39" s="9"/>
      <c r="BR39" s="9">
        <f>ППД5[[#This Row],[Фикс 20.03.24]]+ППД5[[#This Row],[Наценка 08.04.24 
2К: В3 - 150
3К: Г7 +1000]]</f>
        <v>87601.5</v>
      </c>
      <c r="BS39" s="9"/>
      <c r="BT39" s="9">
        <f>ППД5[[#This Row],[Фикс 08.04.24]]+ППД5[[#This Row],[Наценка 16.05.24 1%
А4,А6,Б3,Б6,Б7,В2,В3,В5,В6,Г1,Г3-Г5]]</f>
        <v>87601.5</v>
      </c>
      <c r="BU39" s="9"/>
      <c r="BV39" s="9">
        <f>ППД5[[#This Row],[Фикс 16.05.24]]+ППД5[[#This Row],[Наценка 24.05.24
1% - Б4, Б5,Г2,Г6
2% - А1,А3,А5,Б2,Г7]]</f>
        <v>87601.5</v>
      </c>
      <c r="BW39" s="93"/>
      <c r="BX39" s="9">
        <f>ППД5[[#This Row],[Наценка 06.06.24
0К: В2,Г3 +0,5%
1К: А7, Б5/4, Г6 +0,5%
3К: В6 +0,5%
1К: А3 +1%]]+ППД5[[#This Row],[Фикс 24.05.24]]</f>
        <v>87601.5</v>
      </c>
      <c r="BY39" s="9"/>
      <c r="BZ39" s="9">
        <f>ППД5[[#This Row],[Фикс 06.06.24]]+ППД5[[#This Row],[13.06.2024
3К - 2%]]</f>
        <v>87601.5</v>
      </c>
      <c r="CA39" s="9"/>
      <c r="CB39" s="9">
        <f>ППД5[[#This Row],[02.07.2024: Г3 А1 А3 Б5 Б7 Г2 Г6 Б3 Б4 В3 Г7 2,5% ост 0,5-1,5%]]+ППД5[[#This Row],[Фикс 13.06.24]]</f>
        <v>87601.5</v>
      </c>
      <c r="CC39" s="9"/>
      <c r="CD39" s="9">
        <f>ППД5[[#This Row],[Фикс 02.07.24]]+ППД5[[#This Row],[04.09.2024 +500
0К - Б2; 1К - А3;
2К - А6, Б4, В3, Г5]]</f>
        <v>87601.5</v>
      </c>
      <c r="CE39" s="9"/>
      <c r="CF39" s="9">
        <f>ППД5[[#This Row],[Наценка 16.09.2024
1К: А1,В7,Г6/7,Г8 - 2%
2К: А4,А5,А6,Б1,Б6,Б3/4,В3,В4,Г4,Г5 - 4%
3К: 4%]]+ППД5[[#This Row],[Фикс 04.09.24]]</f>
        <v>87601.5</v>
      </c>
      <c r="CG39" s="9"/>
      <c r="CH39" s="9">
        <f>ППД5[[#This Row],[Фикс 16.09.2024]]+ППД5[[#This Row],[Наценка 01.11.24
СТ: 4%
1К: 34-40м 5%; 40м+ 8%; МГН 1%
2К: 55-70м 6%; 70-73м 7%; 73-76м 8% 
3К: 5%]]</f>
        <v>87601.5</v>
      </c>
      <c r="CI39" s="9"/>
      <c r="CJ39" s="9">
        <f>ППД5[[#This Row],[Наценка 06.11 13%]]+ППД5[[#This Row],[Фикс 01.11.24]]</f>
        <v>87601.5</v>
      </c>
      <c r="CK39" s="9"/>
      <c r="CL39" s="9">
        <f>ППД5[[#This Row],[Фикс 06.11.24]]+ППД5[[#This Row],[Наценка 18.12.24 распределение КВ]]</f>
        <v>87601.5</v>
      </c>
      <c r="CM39" s="93"/>
      <c r="CN39" s="9">
        <f>ППД5[[#This Row],[Фикс 18.12.24]]+ППД5[[#This Row],[Наценка 10.02.25 +1%
1К: А3
2К: Б3, В3]]</f>
        <v>87601.5</v>
      </c>
      <c r="CO39" s="93">
        <f>ROUND(ППД5[[#This Row],[Фикс 10.02.25]],2)</f>
        <v>87601.5</v>
      </c>
      <c r="CP3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3305204.6</v>
      </c>
      <c r="CQ39" s="93">
        <f>ROUNDUP(ППД5[[#This Row],[Стоимость до скидки]]+ППД5[[#This Row],[Сумма доплаты]],-2)</f>
        <v>3272000</v>
      </c>
      <c r="CR39" s="68"/>
      <c r="CS39" s="90"/>
      <c r="CT39" s="68">
        <f>ППД5[[#This Row],[Стоимость до скидки]]*ППД5[[#This Row],[Скидка %]]+ППД5[[#This Row],[Скидка фиксированная]]</f>
        <v>0</v>
      </c>
      <c r="CU39" s="3">
        <f>ППД5[[#This Row],[Стоимость ОН без отделки со скидкой]]/ППД5[[#This Row],[Расчетная проектная площадь]]</f>
        <v>87601.500132520552</v>
      </c>
      <c r="CV39" s="3">
        <f>ROUND(ППД5[[#This Row],[Стоимость до скидки]]-ППД5[[#This Row],[Итоговая сумма скидки]],2)</f>
        <v>3305204.6</v>
      </c>
      <c r="CW3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9" s="197">
        <v>15000</v>
      </c>
      <c r="CY39" s="332">
        <f>ППД5[[#This Row],[Расхождение]]/ППД5[[#This Row],[Расчетная проектная площадь]]</f>
        <v>-1.0071561091969135E-2</v>
      </c>
      <c r="CZ3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-0.28000000000000291</v>
      </c>
      <c r="DA39" s="3">
        <f>ППД5[[#This Row],[Цена м2 без отделки со скидкой]]+ППД5[[#This Row],[Стоимость отделки]]</f>
        <v>102601.50013252055</v>
      </c>
      <c r="DB39" s="3">
        <f>ППД5[[#This Row],[Стоимость квартиры с отделкой]]-ППД5[[#This Row],[Стоимость ОН без отделки со скидкой]]</f>
        <v>565950</v>
      </c>
      <c r="DC39" s="3">
        <f>ППД5[[#This Row],[Цена м2 с отделкой]]*ППД5[[#This Row],[Расчетная проектная площадь]]</f>
        <v>3871154.6</v>
      </c>
      <c r="DD39" s="3"/>
      <c r="DF39" s="199" t="s">
        <v>172</v>
      </c>
      <c r="DG39" s="245" t="s">
        <v>172</v>
      </c>
      <c r="DH39" s="100" t="b">
        <f>EXACT(ППД5[[#This Row],[Статусы CRM]],ППД5[[#This Row],[Статус]])</f>
        <v>1</v>
      </c>
      <c r="DI39" s="213" t="s">
        <v>211</v>
      </c>
      <c r="DJ39" s="204"/>
      <c r="DK39" s="111" t="s">
        <v>76</v>
      </c>
      <c r="DL39" s="216" t="s">
        <v>14</v>
      </c>
      <c r="DM39" s="201" t="b">
        <f>ППД5[[#This Row],[Отделка CRM]]=ППД5[[#This Row],[Отделка]]</f>
        <v>1</v>
      </c>
      <c r="DN39" s="203">
        <v>3871154.6</v>
      </c>
      <c r="DO3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9" s="207" t="b">
        <f>IF(AND(ППД5[[#This Row],[Статус]]="свободно",ППД5[[#This Row],[Итоговая сумма скидки]]&lt;&gt;0),FALSE,TRUE)</f>
        <v>1</v>
      </c>
      <c r="DQ39" s="240">
        <f>_xlfn.XLOOKUP(ППД5[[#This Row],[№]],Юрист[№ кв],Юрист[Дата подачи на регистрацию]," ",0,-1)</f>
        <v>45188</v>
      </c>
      <c r="DR39" s="115" t="str">
        <f>_xlfn.XLOOKUP(ППД5[[#This Row],[№]],Юрист[№ кв],Юрист[МОП],"",0,-1)</f>
        <v>Калачева</v>
      </c>
      <c r="DS39" s="333" t="s">
        <v>2370</v>
      </c>
      <c r="DT39" s="333" t="s">
        <v>2371</v>
      </c>
      <c r="DU39" s="333">
        <v>36</v>
      </c>
      <c r="DV39" s="111"/>
    </row>
    <row r="40" spans="1:126" hidden="1" x14ac:dyDescent="0.25">
      <c r="A40" s="112">
        <v>38</v>
      </c>
      <c r="B40" s="111" t="s">
        <v>5</v>
      </c>
      <c r="C40" s="111">
        <v>6</v>
      </c>
      <c r="D40" s="111">
        <v>4</v>
      </c>
      <c r="E40" s="111">
        <v>2</v>
      </c>
      <c r="F40" s="105">
        <v>16.61</v>
      </c>
      <c r="G40" s="105">
        <v>11.38</v>
      </c>
      <c r="H40" s="105"/>
      <c r="I40" s="94">
        <f>SUM(ППД5[[#This Row],[Комната 1]:[Комната 3]])</f>
        <v>27.990000000000002</v>
      </c>
      <c r="J40" s="105">
        <v>14.58</v>
      </c>
      <c r="K40" s="105">
        <v>4.34</v>
      </c>
      <c r="L40" s="105">
        <v>2.08</v>
      </c>
      <c r="M40" s="105"/>
      <c r="N40" s="105">
        <v>8.82</v>
      </c>
      <c r="O40" s="105">
        <v>2.56</v>
      </c>
      <c r="P40" s="105"/>
      <c r="Q40" s="105"/>
      <c r="R40" s="105">
        <f>SUM(ППД5[[#This Row],[Лоджия 1]:[Лоджия 3]])</f>
        <v>2.56</v>
      </c>
      <c r="S40" s="7">
        <f>ROUND(SUM(ППД5[[#This Row],[Площадь по проекту жилая]:[Лоджия 3]]),2)</f>
        <v>60.37</v>
      </c>
      <c r="T40" s="7">
        <f>ROUND(ППД5[[#This Row],[Площадь по проекту(общая)]]-ППД5[[#This Row],[Летние]],2)</f>
        <v>57.81</v>
      </c>
      <c r="U40" s="92">
        <f>ROUND(ППД5[[#This Row],[Площадь по проекту(общая)]]-(SUM(ППД5[[#This Row],[Лоджия 1]:[Лоджия 3]])/2),2)</f>
        <v>59.09</v>
      </c>
      <c r="V40" s="92">
        <f>IF(ППД5[[#This Row],[Статус]]="продажа",ППД5[[#This Row],[Расчетная проектная площадь]],ППД5[[#This Row],[Расчетная ТП площадь]])</f>
        <v>59.09</v>
      </c>
      <c r="W40" s="92">
        <v>16.5</v>
      </c>
      <c r="X40" s="92">
        <v>11.3</v>
      </c>
      <c r="Y40" s="92"/>
      <c r="Z40" s="92">
        <f>SUM(ППД5[[#This Row],[ТП Комната 1]:[ТП Комната 3]])</f>
        <v>27.8</v>
      </c>
      <c r="AA40" s="92">
        <v>14.5</v>
      </c>
      <c r="AB40" s="92">
        <v>4.3</v>
      </c>
      <c r="AC40" s="92">
        <v>2.1</v>
      </c>
      <c r="AD40" s="92"/>
      <c r="AE40" s="92">
        <v>8.6999999999999993</v>
      </c>
      <c r="AF40" s="92">
        <v>1.3</v>
      </c>
      <c r="AG40" s="92"/>
      <c r="AH40" s="92"/>
      <c r="AI40" s="91">
        <f>SUM(ППД5[[#This Row],[ТП Лоджия 1]:[ТП Лоджия 3]])</f>
        <v>1.3</v>
      </c>
      <c r="AJ40" s="95">
        <v>2.6</v>
      </c>
      <c r="AK40" s="92">
        <f>SUM(ППД5[[#This Row],[Площадь по ТП жилая]:[ТП Лоджия 3]])-ППД5[[#This Row],[ТП Летние]]+ППД5[[#This Row],[кроме того прочая
(без коэффициента)]]</f>
        <v>59.999999999999993</v>
      </c>
      <c r="AL40" s="95">
        <f>ППД5[[#This Row],[ТП Площадь без летних]]+(ППД5[[#This Row],[ТП Летние]])</f>
        <v>58.699999999999989</v>
      </c>
      <c r="AM40" s="92">
        <f>ППД5[[#This Row],[ТП общая S]]-ППД5[[#This Row],[кроме того прочая
(без коэффициента)]]</f>
        <v>57.399999999999991</v>
      </c>
      <c r="AN40" s="95">
        <f>SUM(ППД5[[#This Row],[ТП Кухня]:[ТП Коридор]])</f>
        <v>29.6</v>
      </c>
      <c r="AO40" s="91">
        <f>ППД5[[#This Row],[Расчетная ТП площадь]]-ППД5[[#This Row],[Расчетная проектная площадь]]</f>
        <v>-0.39000000000001478</v>
      </c>
      <c r="AP40" s="335">
        <f>ППД5[[#This Row],[Расчетная ТП площадь]]/ППД5[[#This Row],[Расчетная проектная площадь]]-1</f>
        <v>-6.6001015400239949E-3</v>
      </c>
      <c r="AQ40" s="92">
        <f>ППД5[[#This Row],[% расхождения]]*ППД5[[#This Row],[Стоимость до скидки]]</f>
        <v>-47741.174479609566</v>
      </c>
      <c r="AR40" s="92">
        <f>VLOOKUP(ППД5[[#This Row],[№]],наценкад5[],COLUMN(наценкад5[[#This Row],[Цена м2 с учетом всех K]]),0)</f>
        <v>80307.864000000001</v>
      </c>
      <c r="AS40" s="7">
        <f>ППД5[[#This Row],[м2 после К]]*5%</f>
        <v>4015.3932000000004</v>
      </c>
      <c r="AT40" s="7">
        <f>ППД5[[#This Row],[м2 после К]]+ППД5[[#This Row],[Повышение 16.08.23 - 5%]]</f>
        <v>84323.257200000007</v>
      </c>
      <c r="AU40" s="9">
        <f>ППД5[[#This Row],[Фикс 16.08.23]]*3%</f>
        <v>2529.6977160000001</v>
      </c>
      <c r="AV40" s="9">
        <f>ППД5[[#This Row],[Фикс 16.08.23]]+ППД5[[#This Row],[Повышение 29.08.23 - 3%]]</f>
        <v>86852.954916000002</v>
      </c>
      <c r="AW40" s="9"/>
      <c r="AX40" s="9">
        <f>ППД5[[#This Row],[Фикс 29.08.23]]+ППД5[[#This Row],[Повышение 06.09.23 СТ и 1К]]</f>
        <v>86852.954916000002</v>
      </c>
      <c r="AY40" s="9"/>
      <c r="AZ40" s="9">
        <f>ППД5[[#This Row],[Повышение 23.10.23  В4 ]]+ППД5[[#This Row],[Фикс 06.09.23]]</f>
        <v>86852.954916000002</v>
      </c>
      <c r="BA40" s="9"/>
      <c r="BB40" s="9">
        <f>ППД5[[#This Row],[Повышение 8.11.23 1К 5%]]+ППД5[[#This Row],[Фикс 23.10.23]]</f>
        <v>86852.954916000002</v>
      </c>
      <c r="BC40" s="9"/>
      <c r="BD40" s="9">
        <f>ППД5[[#This Row],[Корректировка 24.11.23 - 1К В5, 2К А2, №233]]+ППД5[[#This Row],[Фикс 8.11.23]]</f>
        <v>86852.954916000002</v>
      </c>
      <c r="BE40" s="93">
        <f>ППД5[[#This Row],[Фикс 8.11.24]]*1%</f>
        <v>868.52954915999999</v>
      </c>
      <c r="BF40" s="9">
        <f>ППД5[[#This Row],[Наценка за отделку 29.12.23 1%]]+ППД5[[#This Row],[Фикс 8.11.24]]</f>
        <v>87721.48446516</v>
      </c>
      <c r="BG40" s="93">
        <f>ППД5[[#This Row],[Фикс 29.12.23]]*5%</f>
        <v>4386.0742232580005</v>
      </c>
      <c r="BH40" s="9">
        <f>ППД5[[#This Row],[Фикс 29.12.23]]+ППД5[[#This Row],[Наценка 10.01.24 5%]]</f>
        <v>92107.558688417994</v>
      </c>
      <c r="BI40" s="9"/>
      <c r="BJ40" s="9">
        <f>ППД5[[#This Row],[Наценка 26.02.24 1 Этаж]]+ППД5[[#This Row],[Фикс 10.01.24]]</f>
        <v>92107.558688417994</v>
      </c>
      <c r="BK40" s="93">
        <f>ППД5[[#This Row],[Фикс 26.02.24]]*2%</f>
        <v>1842.15117376836</v>
      </c>
      <c r="BL40" s="9">
        <f>ППД5[[#This Row],[Фикс 26.02.24]]+ППД5[[#This Row],[Наценка 06.03.24
СТ, 1К - 3%
2К, 3К - 2%]]</f>
        <v>93949.709862186355</v>
      </c>
      <c r="BM40" s="9"/>
      <c r="BN40" s="9">
        <f>ППД5[[#This Row],[Фикс 06.03.24]]+ППД5[[#This Row],[Наценка Г2+500]]</f>
        <v>93949.709862186355</v>
      </c>
      <c r="BO40" s="9">
        <f>ППД5[[#This Row],[Фикс 13.03.25]]*2%</f>
        <v>1878.9941972437271</v>
      </c>
      <c r="BP40" s="9">
        <f>ППД5[[#This Row],[Фикс 13.03.25]]+ППД5[[#This Row],[Наценка 20.03.24
2К, 3К - 2%]]</f>
        <v>95828.704059430078</v>
      </c>
      <c r="BQ40" s="9"/>
      <c r="BR40" s="9">
        <f>ППД5[[#This Row],[Фикс 20.03.24]]+ППД5[[#This Row],[Наценка 08.04.24 
2К: В3 - 150
3К: Г7 +1000]]</f>
        <v>95828.704059430078</v>
      </c>
      <c r="BS40" s="93">
        <f>ППД5[[#This Row],[Фикс 08.04.24]]*1%</f>
        <v>958.28704059430083</v>
      </c>
      <c r="BT40" s="9">
        <f>ППД5[[#This Row],[Фикс 08.04.24]]+ППД5[[#This Row],[Наценка 16.05.24 1%
А4,А6,Б3,Б6,Б7,В2,В3,В5,В6,Г1,Г3-Г5]]</f>
        <v>96786.991100024374</v>
      </c>
      <c r="BU40" s="9"/>
      <c r="BV40" s="9">
        <f>ППД5[[#This Row],[Фикс 16.05.24]]+ППД5[[#This Row],[Наценка 24.05.24
1% - Б4, Б5,Г2,Г6
2% - А1,А3,А5,Б2,Г7]]</f>
        <v>96786.991100024374</v>
      </c>
      <c r="BW40" s="9"/>
      <c r="BX40" s="9">
        <f>ППД5[[#This Row],[Наценка 06.06.24
0К: В2,Г3 +0,5%
1К: А7, Б5/4, Г6 +0,5%
3К: В6 +0,5%
1К: А3 +1%]]+ППД5[[#This Row],[Фикс 24.05.24]]</f>
        <v>96786.991100024374</v>
      </c>
      <c r="BY40" s="9"/>
      <c r="BZ40" s="9">
        <f>ППД5[[#This Row],[Фикс 06.06.24]]+ППД5[[#This Row],[13.06.2024
3К - 2%]]</f>
        <v>96786.991100024374</v>
      </c>
      <c r="CA40" s="9">
        <f>1.5%*ППД5[[#This Row],[Фикс 13.06.24]]</f>
        <v>1451.8048665003655</v>
      </c>
      <c r="CB40" s="9">
        <f>ППД5[[#This Row],[02.07.2024: Г3 А1 А3 Б5 Б7 Г2 Г6 Б3 Б4 В3 Г7 2,5% ост 0,5-1,5%]]+ППД5[[#This Row],[Фикс 13.06.24]]</f>
        <v>98238.795966524733</v>
      </c>
      <c r="CC40" s="9"/>
      <c r="CD40" s="9">
        <f>ППД5[[#This Row],[Фикс 02.07.24]]+ППД5[[#This Row],[04.09.2024 +500
0К - Б2; 1К - А3;
2К - А6, Б4, В3, Г5]]</f>
        <v>98238.795966524733</v>
      </c>
      <c r="CE40" s="93">
        <f>ППД5[[#This Row],[Фикс 04.09.24]]*4%</f>
        <v>3929.5518386609892</v>
      </c>
      <c r="CF40" s="9">
        <f>ППД5[[#This Row],[Наценка 16.09.2024
1К: А1,В7,Г6/7,Г8 - 2%
2К: А4,А5,А6,Б1,Б6,Б3/4,В3,В4,Г4,Г5 - 4%
3К: 4%]]+ППД5[[#This Row],[Фикс 04.09.24]]</f>
        <v>102168.34780518572</v>
      </c>
      <c r="CG40" s="219">
        <f>6%*ППД5[[#This Row],[Фикс 16.09.2024]]</f>
        <v>6130.1008683111431</v>
      </c>
      <c r="CH40" s="9">
        <f>ППД5[[#This Row],[Фикс 16.09.2024]]+ППД5[[#This Row],[Наценка 01.11.24
СТ: 4%
1К: 34-40м 5%; 40м+ 8%; МГН 1%
2К: 55-70м 6%; 70-73м 7%; 73-76м 8% 
3К: 5%]]</f>
        <v>108298.44867349687</v>
      </c>
      <c r="CI40" s="93">
        <f>ППД5[[#This Row],[Фикс 01.11.24]]*13%</f>
        <v>14078.798327554594</v>
      </c>
      <c r="CJ40" s="9">
        <f>ППД5[[#This Row],[Наценка 06.11 13%]]+ППД5[[#This Row],[Фикс 01.11.24]]</f>
        <v>122377.24700105147</v>
      </c>
      <c r="CK40" s="93">
        <v>35</v>
      </c>
      <c r="CL40" s="9">
        <f>ППД5[[#This Row],[Фикс 06.11.24]]+ППД5[[#This Row],[Наценка 18.12.24 распределение КВ]]</f>
        <v>122412.24700105147</v>
      </c>
      <c r="CM40" s="9"/>
      <c r="CN40" s="9">
        <f>ППД5[[#This Row],[Фикс 18.12.24]]+ППД5[[#This Row],[Наценка 10.02.25 +1%
1К: А3
2К: Б3, В3]]</f>
        <v>122412.24700105147</v>
      </c>
      <c r="CO40" s="93">
        <f>ROUND(ППД5[[#This Row],[Фикс 10.02.25]],2)</f>
        <v>122412.25</v>
      </c>
      <c r="CP4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7233400</v>
      </c>
      <c r="CQ40" s="93">
        <f>ROUNDUP(ППД5[[#This Row],[Стоимость до скидки]]+ППД5[[#This Row],[Сумма доплаты]],-2)</f>
        <v>7185700</v>
      </c>
      <c r="CR40" s="68"/>
      <c r="CS40" s="90">
        <v>0.02</v>
      </c>
      <c r="CT40" s="68">
        <f>ППД5[[#This Row],[Стоимость до скидки]]*ППД5[[#This Row],[Скидка %]]+ППД5[[#This Row],[Скидка фиксированная]]</f>
        <v>144668</v>
      </c>
      <c r="CU40" s="3">
        <f>ППД5[[#This Row],[Стоимость ОН без отделки со скидкой]]/ППД5[[#This Row],[Расчетная проектная площадь]]</f>
        <v>119965.00253850059</v>
      </c>
      <c r="CV40" s="3">
        <f>ROUND(ППД5[[#This Row],[Стоимость до скидки]]-ППД5[[#This Row],[Итоговая сумма скидки]],2)</f>
        <v>7088732</v>
      </c>
      <c r="CW4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0" s="197">
        <v>25000</v>
      </c>
      <c r="CY40" s="332">
        <f>ППД5[[#This Row],[Расхождение]]/ППД5[[#This Row],[Расчетная проектная площадь]]</f>
        <v>-6.6001015400239428E-3</v>
      </c>
      <c r="CZ4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-0.21999999999999709</v>
      </c>
      <c r="DA40" s="3">
        <f>ППД5[[#This Row],[Цена м2 без отделки со скидкой]]+ППД5[[#This Row],[Стоимость отделки]]</f>
        <v>144965.00253850059</v>
      </c>
      <c r="DB40" s="3">
        <f>ППД5[[#This Row],[Стоимость квартиры с отделкой]]-ППД5[[#This Row],[Стоимость ОН без отделки со скидкой]]</f>
        <v>1477250</v>
      </c>
      <c r="DC40" s="3">
        <f>ППД5[[#This Row],[Цена м2 с отделкой]]*ППД5[[#This Row],[Расчетная проектная площадь]]</f>
        <v>8565982</v>
      </c>
      <c r="DD40" s="3"/>
      <c r="DE40" s="111" t="s">
        <v>757</v>
      </c>
      <c r="DF40" s="199" t="s">
        <v>172</v>
      </c>
      <c r="DG40" s="245" t="s">
        <v>172</v>
      </c>
      <c r="DH40" s="100" t="b">
        <f>EXACT(ППД5[[#This Row],[Статусы CRM]],ППД5[[#This Row],[Статус]])</f>
        <v>1</v>
      </c>
      <c r="DI40" s="213" t="s">
        <v>212</v>
      </c>
      <c r="DJ40" s="204"/>
      <c r="DK40" s="111" t="s">
        <v>763</v>
      </c>
      <c r="DL40" s="216" t="s">
        <v>14</v>
      </c>
      <c r="DM40" s="201" t="b">
        <f>ППД5[[#This Row],[Отделка CRM]]=ППД5[[#This Row],[Отделка]]</f>
        <v>1</v>
      </c>
      <c r="DN40" s="203">
        <v>8565982</v>
      </c>
      <c r="DO4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0" s="207" t="b">
        <f>IF(AND(ППД5[[#This Row],[Статус]]="свободно",ППД5[[#This Row],[Итоговая сумма скидки]]&lt;&gt;0),FALSE,TRUE)</f>
        <v>1</v>
      </c>
      <c r="DQ40" s="240">
        <f>_xlfn.XLOOKUP(ППД5[[#This Row],[№]],Юрист[№ кв],Юрист[Дата подачи на регистрацию]," ",0,-1)</f>
        <v>45652</v>
      </c>
      <c r="DR40" s="115" t="str">
        <f>_xlfn.XLOOKUP(ППД5[[#This Row],[№]],Юрист[№ кв],Юрист[МОП],"",0,-1)</f>
        <v>Никишов</v>
      </c>
      <c r="DS40" s="333" t="s">
        <v>2372</v>
      </c>
      <c r="DT40" s="333" t="s">
        <v>2373</v>
      </c>
      <c r="DU40" s="333">
        <v>57.4</v>
      </c>
      <c r="DV40" s="111"/>
    </row>
    <row r="41" spans="1:126" hidden="1" x14ac:dyDescent="0.25">
      <c r="A41" s="112">
        <v>39</v>
      </c>
      <c r="B41" s="111" t="s">
        <v>5</v>
      </c>
      <c r="C41" s="111">
        <v>6</v>
      </c>
      <c r="D41" s="111">
        <v>5</v>
      </c>
      <c r="E41" s="111">
        <v>2</v>
      </c>
      <c r="F41" s="105">
        <v>16.46</v>
      </c>
      <c r="G41" s="105">
        <v>12.47</v>
      </c>
      <c r="H41" s="105"/>
      <c r="I41" s="94">
        <f>SUM(ППД5[[#This Row],[Комната 1]:[Комната 3]])</f>
        <v>28.93</v>
      </c>
      <c r="J41" s="105">
        <v>18</v>
      </c>
      <c r="K41" s="105">
        <v>4.3499999999999996</v>
      </c>
      <c r="L41" s="105">
        <v>1.55</v>
      </c>
      <c r="M41" s="105"/>
      <c r="N41" s="105">
        <v>8</v>
      </c>
      <c r="O41" s="105">
        <v>2.67</v>
      </c>
      <c r="P41" s="105"/>
      <c r="Q41" s="105"/>
      <c r="R41" s="105">
        <f>SUM(ППД5[[#This Row],[Лоджия 1]:[Лоджия 3]])</f>
        <v>2.67</v>
      </c>
      <c r="S41" s="8">
        <f>ROUND(SUM(ППД5[[#This Row],[Площадь по проекту жилая]:[Лоджия 3]]),2)</f>
        <v>63.5</v>
      </c>
      <c r="T41" s="8">
        <f>ROUND(ППД5[[#This Row],[Площадь по проекту(общая)]]-ППД5[[#This Row],[Летние]],2)</f>
        <v>60.83</v>
      </c>
      <c r="U41" s="91">
        <f>ROUND(ППД5[[#This Row],[Площадь по проекту(общая)]]-(SUM(ППД5[[#This Row],[Лоджия 1]:[Лоджия 3]])/2),2)</f>
        <v>62.17</v>
      </c>
      <c r="V41" s="91">
        <f>IF(ППД5[[#This Row],[Статус]]="продажа",ППД5[[#This Row],[Расчетная проектная площадь]],ППД5[[#This Row],[Расчетная ТП площадь]])</f>
        <v>61.749999999999993</v>
      </c>
      <c r="W41" s="91">
        <v>16.5</v>
      </c>
      <c r="X41" s="91">
        <v>12.4</v>
      </c>
      <c r="Y41" s="91"/>
      <c r="Z41" s="91">
        <f>SUM(ППД5[[#This Row],[ТП Комната 1]:[ТП Комната 3]])</f>
        <v>28.9</v>
      </c>
      <c r="AA41" s="91">
        <v>17.7</v>
      </c>
      <c r="AB41" s="91">
        <v>4.3</v>
      </c>
      <c r="AC41" s="91">
        <v>1.6</v>
      </c>
      <c r="AD41" s="91"/>
      <c r="AE41" s="91">
        <v>7.9</v>
      </c>
      <c r="AF41" s="91">
        <v>1.35</v>
      </c>
      <c r="AG41" s="91"/>
      <c r="AH41" s="91"/>
      <c r="AI41" s="91">
        <f>SUM(ППД5[[#This Row],[ТП Лоджия 1]:[ТП Лоджия 3]])</f>
        <v>1.35</v>
      </c>
      <c r="AJ41" s="95">
        <v>2.7</v>
      </c>
      <c r="AK41" s="91">
        <f>SUM(ППД5[[#This Row],[Площадь по ТП жилая]:[ТП Лоджия 3]])-ППД5[[#This Row],[ТП Летние]]+ППД5[[#This Row],[кроме того прочая
(без коэффициента)]]</f>
        <v>63.099999999999994</v>
      </c>
      <c r="AL41" s="95">
        <f>ППД5[[#This Row],[ТП Площадь без летних]]+(ППД5[[#This Row],[ТП Летние]])</f>
        <v>61.749999999999993</v>
      </c>
      <c r="AM41" s="91">
        <f>ППД5[[#This Row],[ТП общая S]]-ППД5[[#This Row],[кроме того прочая
(без коэффициента)]]</f>
        <v>60.399999999999991</v>
      </c>
      <c r="AN41" s="95">
        <f>SUM(ППД5[[#This Row],[ТП Кухня]:[ТП Коридор]])</f>
        <v>31.5</v>
      </c>
      <c r="AO41" s="91">
        <f>ППД5[[#This Row],[Расчетная ТП площадь]]-ППД5[[#This Row],[Расчетная проектная площадь]]</f>
        <v>-0.42000000000000881</v>
      </c>
      <c r="AP41" s="335">
        <f>ППД5[[#This Row],[Расчетная ТП площадь]]/ППД5[[#This Row],[Расчетная проектная площадь]]-1</f>
        <v>-6.7556699372689488E-3</v>
      </c>
      <c r="AQ41" s="91">
        <f>ППД5[[#This Row],[% расхождения]]*ППД5[[#This Row],[Стоимость до скидки]]</f>
        <v>-51922.052436867962</v>
      </c>
      <c r="AR41" s="91">
        <f>VLOOKUP(ППД5[[#This Row],[№]],наценкад5[],COLUMN(наценкад5[[#This Row],[Цена м2 с учетом всех K]]),0)</f>
        <v>80307.864000000001</v>
      </c>
      <c r="AS41" s="8">
        <f>ППД5[[#This Row],[м2 после К]]*5%</f>
        <v>4015.3932000000004</v>
      </c>
      <c r="AT41" s="8">
        <f>ППД5[[#This Row],[м2 после К]]+ППД5[[#This Row],[Повышение 16.08.23 - 5%]]</f>
        <v>84323.257200000007</v>
      </c>
      <c r="AU41" s="93">
        <f>ППД5[[#This Row],[Фикс 16.08.23]]*3%</f>
        <v>2529.6977160000001</v>
      </c>
      <c r="AV41" s="93">
        <f>ППД5[[#This Row],[Фикс 16.08.23]]+ППД5[[#This Row],[Повышение 29.08.23 - 3%]]</f>
        <v>86852.954916000002</v>
      </c>
      <c r="AW41" s="93"/>
      <c r="AX41" s="93">
        <f>ППД5[[#This Row],[Фикс 29.08.23]]+ППД5[[#This Row],[Повышение 06.09.23 СТ и 1К]]</f>
        <v>86852.954916000002</v>
      </c>
      <c r="AY41" s="93"/>
      <c r="AZ41" s="93">
        <f>ППД5[[#This Row],[Повышение 23.10.23  В4 ]]+ППД5[[#This Row],[Фикс 06.09.23]]</f>
        <v>86852.954916000002</v>
      </c>
      <c r="BA41" s="93"/>
      <c r="BB41" s="93">
        <f>ППД5[[#This Row],[Повышение 8.11.23 1К 5%]]+ППД5[[#This Row],[Фикс 23.10.23]]</f>
        <v>86852.954916000002</v>
      </c>
      <c r="BC41" s="93"/>
      <c r="BD41" s="93">
        <f>ППД5[[#This Row],[Корректировка 24.11.23 - 1К В5, 2К А2, №233]]+ППД5[[#This Row],[Фикс 8.11.23]]</f>
        <v>86852.954916000002</v>
      </c>
      <c r="BE41" s="93">
        <f>ППД5[[#This Row],[Фикс 8.11.24]]*1%</f>
        <v>868.52954915999999</v>
      </c>
      <c r="BF41" s="93">
        <f>ППД5[[#This Row],[Наценка за отделку 29.12.23 1%]]+ППД5[[#This Row],[Фикс 8.11.24]]</f>
        <v>87721.48446516</v>
      </c>
      <c r="BG41" s="93">
        <f>ППД5[[#This Row],[Фикс 29.12.23]]*5%</f>
        <v>4386.0742232580005</v>
      </c>
      <c r="BH41" s="93">
        <f>ППД5[[#This Row],[Фикс 29.12.23]]+ППД5[[#This Row],[Наценка 10.01.24 5%]]</f>
        <v>92107.558688417994</v>
      </c>
      <c r="BI41" s="93"/>
      <c r="BJ41" s="93">
        <f>ППД5[[#This Row],[Наценка 26.02.24 1 Этаж]]+ППД5[[#This Row],[Фикс 10.01.24]]</f>
        <v>92107.558688417994</v>
      </c>
      <c r="BK41" s="93">
        <f>ППД5[[#This Row],[Фикс 26.02.24]]*2%</f>
        <v>1842.15117376836</v>
      </c>
      <c r="BL41" s="93">
        <f>ППД5[[#This Row],[Фикс 26.02.24]]+ППД5[[#This Row],[Наценка 06.03.24
СТ, 1К - 3%
2К, 3К - 2%]]</f>
        <v>93949.709862186355</v>
      </c>
      <c r="BM41" s="93"/>
      <c r="BN41" s="93">
        <f>ППД5[[#This Row],[Фикс 06.03.24]]+ППД5[[#This Row],[Наценка Г2+500]]</f>
        <v>93949.709862186355</v>
      </c>
      <c r="BO41" s="93">
        <f>ППД5[[#This Row],[Фикс 13.03.25]]*2%</f>
        <v>1878.9941972437271</v>
      </c>
      <c r="BP41" s="93">
        <f>ППД5[[#This Row],[Фикс 13.03.25]]+ППД5[[#This Row],[Наценка 20.03.24
2К, 3К - 2%]]</f>
        <v>95828.704059430078</v>
      </c>
      <c r="BQ41" s="93"/>
      <c r="BR41" s="93">
        <f>ППД5[[#This Row],[Фикс 20.03.24]]+ППД5[[#This Row],[Наценка 08.04.24 
2К: В3 - 150
3К: Г7 +1000]]</f>
        <v>95828.704059430078</v>
      </c>
      <c r="BS41" s="93"/>
      <c r="BT41" s="93">
        <f>ППД5[[#This Row],[Фикс 08.04.24]]+ППД5[[#This Row],[Наценка 16.05.24 1%
А4,А6,Б3,Б6,Б7,В2,В3,В5,В6,Г1,Г3-Г5]]</f>
        <v>95828.704059430078</v>
      </c>
      <c r="BU41" s="93">
        <f>ППД5[[#This Row],[Фикс 16.05.24]]*2%</f>
        <v>1916.5740811886017</v>
      </c>
      <c r="BV41" s="93">
        <f>ППД5[[#This Row],[Фикс 16.05.24]]+ППД5[[#This Row],[Наценка 24.05.24
1% - Б4, Б5,Г2,Г6
2% - А1,А3,А5,Б2,Г7]]</f>
        <v>97745.278140618684</v>
      </c>
      <c r="BW41" s="93"/>
      <c r="BX41" s="93">
        <f>ППД5[[#This Row],[Наценка 06.06.24
0К: В2,Г3 +0,5%
1К: А7, Б5/4, Г6 +0,5%
3К: В6 +0,5%
1К: А3 +1%]]+ППД5[[#This Row],[Фикс 24.05.24]]</f>
        <v>97745.278140618684</v>
      </c>
      <c r="BY41" s="93"/>
      <c r="BZ41" s="93">
        <f>ППД5[[#This Row],[Фикс 06.06.24]]+ППД5[[#This Row],[13.06.2024
3К - 2%]]</f>
        <v>97745.278140618684</v>
      </c>
      <c r="CA41" s="9">
        <f>1.5%*ППД5[[#This Row],[Фикс 13.06.24]]</f>
        <v>1466.1791721092802</v>
      </c>
      <c r="CB41" s="93">
        <f>ППД5[[#This Row],[02.07.2024: Г3 А1 А3 Б5 Б7 Г2 Г6 Б3 Б4 В3 Г7 2,5% ост 0,5-1,5%]]+ППД5[[#This Row],[Фикс 13.06.24]]</f>
        <v>99211.457312727958</v>
      </c>
      <c r="CC41" s="93"/>
      <c r="CD41" s="93">
        <f>ППД5[[#This Row],[Фикс 02.07.24]]+ППД5[[#This Row],[04.09.2024 +500
0К - Б2; 1К - А3;
2К - А6, Б4, В3, Г5]]</f>
        <v>99211.457312727958</v>
      </c>
      <c r="CE41" s="93">
        <f>ППД5[[#This Row],[Фикс 04.09.24]]*4%</f>
        <v>3968.4582925091186</v>
      </c>
      <c r="CF41" s="93">
        <f>ППД5[[#This Row],[Наценка 16.09.2024
1К: А1,В7,Г6/7,Г8 - 2%
2К: А4,А5,А6,Б1,Б6,Б3/4,В3,В4,Г4,Г5 - 4%
3К: 4%]]+ППД5[[#This Row],[Фикс 04.09.24]]</f>
        <v>103179.91560523708</v>
      </c>
      <c r="CG41" s="93">
        <f>ППД5[[#This Row],[Фикс 16.09.2024]]*6%</f>
        <v>6190.7949363142243</v>
      </c>
      <c r="CH41" s="93">
        <f>ППД5[[#This Row],[Фикс 16.09.2024]]+ППД5[[#This Row],[Наценка 01.11.24
СТ: 4%
1К: 34-40м 5%; 40м+ 8%; МГН 1%
2К: 55-70м 6%; 70-73м 7%; 73-76м 8% 
3К: 5%]]</f>
        <v>109370.71054155131</v>
      </c>
      <c r="CI41" s="93">
        <f>ППД5[[#This Row],[Фикс 01.11.24]]*13%</f>
        <v>14218.19237040167</v>
      </c>
      <c r="CJ41" s="93">
        <f>ППД5[[#This Row],[Наценка 06.11 13%]]+ППД5[[#This Row],[Фикс 01.11.24]]</f>
        <v>123588.90291195297</v>
      </c>
      <c r="CK41" s="93">
        <v>35</v>
      </c>
      <c r="CL41" s="93">
        <f>ППД5[[#This Row],[Фикс 06.11.24]]+ППД5[[#This Row],[Наценка 18.12.24 распределение КВ]]</f>
        <v>123623.90291195297</v>
      </c>
      <c r="CM41" s="93"/>
      <c r="CN41" s="93">
        <f>ППД5[[#This Row],[Фикс 18.12.24]]+ППД5[[#This Row],[Наценка 10.02.25 +1%
1К: А3
2К: Б3, В3]]</f>
        <v>123623.90291195297</v>
      </c>
      <c r="CO41" s="93">
        <f>ROUND(ППД5[[#This Row],[Фикс 10.02.25]],2)</f>
        <v>123623.9</v>
      </c>
      <c r="CP4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7685700</v>
      </c>
      <c r="CQ41" s="93">
        <f>ROUNDUP(ППД5[[#This Row],[Стоимость до скидки]]+ППД5[[#This Row],[Сумма доплаты]],-2)</f>
        <v>7633800</v>
      </c>
      <c r="CR41" s="68"/>
      <c r="CS41" s="90"/>
      <c r="CT41" s="68">
        <f>ППД5[[#This Row],[Стоимость до скидки]]*ППД5[[#This Row],[Скидка %]]+ППД5[[#This Row],[Скидка фиксированная]]</f>
        <v>0</v>
      </c>
      <c r="CU41" s="3">
        <f>ППД5[[#This Row],[Стоимость ОН без отделки со скидкой]]/ППД5[[#This Row],[Расчетная проектная площадь]]</f>
        <v>123623.93437349204</v>
      </c>
      <c r="CV41" s="3">
        <f>ROUND(ППД5[[#This Row],[Стоимость до скидки]]-ППД5[[#This Row],[Итоговая сумма скидки]],2)</f>
        <v>7685700</v>
      </c>
      <c r="CW4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41" s="218">
        <v>10000</v>
      </c>
      <c r="CY41" s="332">
        <f>ППД5[[#This Row],[Расхождение]]/ППД5[[#This Row],[Расчетная проектная площадь]]</f>
        <v>-6.7556699372689211E-3</v>
      </c>
      <c r="CZ41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-0.39999999999999858</v>
      </c>
      <c r="DA41" s="3">
        <f>ППД5[[#This Row],[Цена м2 без отделки со скидкой]]+ППД5[[#This Row],[Стоимость отделки]]</f>
        <v>133623.93437349203</v>
      </c>
      <c r="DB41" s="3">
        <f>ППД5[[#This Row],[Стоимость квартиры с отделкой]]-ППД5[[#This Row],[Стоимость ОН без отделки со скидкой]]</f>
        <v>621699.99999999907</v>
      </c>
      <c r="DC41" s="3">
        <f>ППД5[[#This Row],[Цена м2 с отделкой]]*ППД5[[#This Row],[Расчетная проектная площадь]]</f>
        <v>8307399.9999999991</v>
      </c>
      <c r="DD41" s="3"/>
      <c r="DF41" s="199" t="s">
        <v>157</v>
      </c>
      <c r="DG41" s="221" t="s">
        <v>157</v>
      </c>
      <c r="DH41" s="100" t="b">
        <f>EXACT(ППД5[[#This Row],[Статусы CRM]],ППД5[[#This Row],[Статус]])</f>
        <v>1</v>
      </c>
      <c r="DI41" s="213" t="s">
        <v>213</v>
      </c>
      <c r="DJ41" s="204"/>
      <c r="DK41" s="111" t="s">
        <v>763</v>
      </c>
      <c r="DL41" s="216" t="s">
        <v>780</v>
      </c>
      <c r="DM41" s="201" t="b">
        <f>ППД5[[#This Row],[Отделка CRM]]=ППД5[[#This Row],[Отделка]]</f>
        <v>1</v>
      </c>
      <c r="DN41" s="203">
        <v>8307400</v>
      </c>
      <c r="DO4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9.3132257461547852E-10</v>
      </c>
      <c r="DP41" s="207" t="b">
        <f>IF(AND(ППД5[[#This Row],[Статус]]="свободно",ППД5[[#This Row],[Итоговая сумма скидки]]&lt;&gt;0),FALSE,TRUE)</f>
        <v>1</v>
      </c>
      <c r="DQ41" s="240" t="str">
        <f>_xlfn.XLOOKUP(ППД5[[#This Row],[№]],Юрист[№ кв],Юрист[Дата подачи на регистрацию]," ",0,-1)</f>
        <v xml:space="preserve"> </v>
      </c>
      <c r="DR41" s="115" t="str">
        <f>_xlfn.XLOOKUP(ППД5[[#This Row],[№]],Юрист[№ кв],Юрист[МОП],"",0,-1)</f>
        <v/>
      </c>
      <c r="DS41" s="333" t="s">
        <v>2374</v>
      </c>
      <c r="DT41" s="333" t="s">
        <v>2375</v>
      </c>
      <c r="DU41" s="333">
        <v>60.4</v>
      </c>
      <c r="DV41" s="111"/>
    </row>
    <row r="42" spans="1:126" hidden="1" x14ac:dyDescent="0.25">
      <c r="A42" s="112">
        <v>40</v>
      </c>
      <c r="B42" s="111" t="s">
        <v>5</v>
      </c>
      <c r="C42" s="111">
        <v>6</v>
      </c>
      <c r="D42" s="111">
        <v>6</v>
      </c>
      <c r="E42" s="111">
        <v>2</v>
      </c>
      <c r="F42" s="105">
        <v>14.64</v>
      </c>
      <c r="G42" s="105">
        <v>10.74</v>
      </c>
      <c r="H42" s="105"/>
      <c r="I42" s="94">
        <f>SUM(ППД5[[#This Row],[Комната 1]:[Комната 3]])</f>
        <v>25.380000000000003</v>
      </c>
      <c r="J42" s="105">
        <v>14.35</v>
      </c>
      <c r="K42" s="105">
        <v>4.16</v>
      </c>
      <c r="L42" s="105">
        <v>1.93</v>
      </c>
      <c r="M42" s="105"/>
      <c r="N42" s="105">
        <v>11.03</v>
      </c>
      <c r="O42" s="105">
        <v>2.6219999999999999</v>
      </c>
      <c r="P42" s="105"/>
      <c r="Q42" s="105"/>
      <c r="R42" s="105">
        <f>SUM(ППД5[[#This Row],[Лоджия 1]:[Лоджия 3]])</f>
        <v>2.6219999999999999</v>
      </c>
      <c r="S42" s="8">
        <f>ROUND(SUM(ППД5[[#This Row],[Площадь по проекту жилая]:[Лоджия 3]]),2)</f>
        <v>59.47</v>
      </c>
      <c r="T42" s="8">
        <f>ROUND(ППД5[[#This Row],[Площадь по проекту(общая)]]-ППД5[[#This Row],[Летние]],2)</f>
        <v>56.85</v>
      </c>
      <c r="U42" s="91">
        <f>ROUND(ППД5[[#This Row],[Площадь по проекту(общая)]]-(SUM(ППД5[[#This Row],[Лоджия 1]:[Лоджия 3]])/2),2)</f>
        <v>58.16</v>
      </c>
      <c r="V42" s="91">
        <f>IF(ППД5[[#This Row],[Статус]]="продажа",ППД5[[#This Row],[Расчетная проектная площадь]],ППД5[[#This Row],[Расчетная ТП площадь]])</f>
        <v>58.16</v>
      </c>
      <c r="W42" s="91">
        <v>10.7</v>
      </c>
      <c r="X42" s="91">
        <v>14.7</v>
      </c>
      <c r="Y42" s="91"/>
      <c r="Z42" s="91">
        <f>SUM(ППД5[[#This Row],[ТП Комната 1]:[ТП Комната 3]])</f>
        <v>25.4</v>
      </c>
      <c r="AA42" s="91">
        <v>14.2</v>
      </c>
      <c r="AB42" s="91">
        <v>4.2</v>
      </c>
      <c r="AC42" s="91">
        <v>1.9</v>
      </c>
      <c r="AD42" s="91"/>
      <c r="AE42" s="91">
        <v>10.9</v>
      </c>
      <c r="AF42" s="91">
        <v>1.3</v>
      </c>
      <c r="AG42" s="91"/>
      <c r="AH42" s="91"/>
      <c r="AI42" s="91">
        <f>SUM(ППД5[[#This Row],[ТП Лоджия 1]:[ТП Лоджия 3]])</f>
        <v>1.3</v>
      </c>
      <c r="AJ42" s="95">
        <v>2.6</v>
      </c>
      <c r="AK42" s="91">
        <f>SUM(ППД5[[#This Row],[Площадь по ТП жилая]:[ТП Лоджия 3]])-ППД5[[#This Row],[ТП Летние]]+ППД5[[#This Row],[кроме того прочая
(без коэффициента)]]</f>
        <v>59.199999999999996</v>
      </c>
      <c r="AL42" s="95">
        <f>ППД5[[#This Row],[ТП Площадь без летних]]+(ППД5[[#This Row],[ТП Летние]])</f>
        <v>57.899999999999991</v>
      </c>
      <c r="AM42" s="91">
        <f>ППД5[[#This Row],[ТП общая S]]-ППД5[[#This Row],[кроме того прочая
(без коэффициента)]]</f>
        <v>56.599999999999994</v>
      </c>
      <c r="AN42" s="95">
        <f>SUM(ППД5[[#This Row],[ТП Кухня]:[ТП Коридор]])</f>
        <v>31.199999999999996</v>
      </c>
      <c r="AO42" s="91">
        <f>ППД5[[#This Row],[Расчетная ТП площадь]]-ППД5[[#This Row],[Расчетная проектная площадь]]</f>
        <v>-0.26000000000000512</v>
      </c>
      <c r="AP42" s="335">
        <f>ППД5[[#This Row],[Расчетная ТП площадь]]/ППД5[[#This Row],[Расчетная проектная площадь]]-1</f>
        <v>-4.4704264099038049E-3</v>
      </c>
      <c r="AQ42" s="91">
        <f>ППД5[[#This Row],[% расхождения]]*ППД5[[#This Row],[Стоимость до скидки]]</f>
        <v>-32439.20220082597</v>
      </c>
      <c r="AR42" s="91">
        <f>VLOOKUP(ППД5[[#This Row],[№]],наценкад5[],COLUMN(наценкад5[[#This Row],[Цена м2 с учетом всех K]]),0)</f>
        <v>81466.150500000003</v>
      </c>
      <c r="AS42" s="8">
        <f>ППД5[[#This Row],[м2 после К]]*5%</f>
        <v>4073.3075250000002</v>
      </c>
      <c r="AT42" s="8">
        <f>ППД5[[#This Row],[м2 после К]]+ППД5[[#This Row],[Повышение 16.08.23 - 5%]]</f>
        <v>85539.458025</v>
      </c>
      <c r="AU42" s="93">
        <f>ППД5[[#This Row],[Фикс 16.08.23]]*3%</f>
        <v>2566.1837407499997</v>
      </c>
      <c r="AV42" s="93">
        <f>ППД5[[#This Row],[Фикс 16.08.23]]+ППД5[[#This Row],[Повышение 29.08.23 - 3%]]</f>
        <v>88105.641765749999</v>
      </c>
      <c r="AW42" s="93"/>
      <c r="AX42" s="93">
        <f>ППД5[[#This Row],[Фикс 29.08.23]]+ППД5[[#This Row],[Повышение 06.09.23 СТ и 1К]]</f>
        <v>88105.641765749999</v>
      </c>
      <c r="AY42" s="93"/>
      <c r="AZ42" s="93">
        <f>ППД5[[#This Row],[Повышение 23.10.23  В4 ]]+ППД5[[#This Row],[Фикс 06.09.23]]</f>
        <v>88105.641765749999</v>
      </c>
      <c r="BA42" s="93"/>
      <c r="BB42" s="93">
        <f>ППД5[[#This Row],[Повышение 8.11.23 1К 5%]]+ППД5[[#This Row],[Фикс 23.10.23]]</f>
        <v>88105.641765749999</v>
      </c>
      <c r="BC42" s="93"/>
      <c r="BD42" s="93">
        <f>ППД5[[#This Row],[Корректировка 24.11.23 - 1К В5, 2К А2, №233]]+ППД5[[#This Row],[Фикс 8.11.23]]</f>
        <v>88105.641765749999</v>
      </c>
      <c r="BE42" s="93">
        <f>ППД5[[#This Row],[Фикс 8.11.24]]*1%</f>
        <v>881.05641765749999</v>
      </c>
      <c r="BF42" s="93">
        <f>ППД5[[#This Row],[Наценка за отделку 29.12.23 1%]]+ППД5[[#This Row],[Фикс 8.11.24]]</f>
        <v>88986.698183407498</v>
      </c>
      <c r="BG42" s="93">
        <f>ППД5[[#This Row],[Фикс 29.12.23]]*5%</f>
        <v>4449.3349091703749</v>
      </c>
      <c r="BH42" s="93">
        <f>ППД5[[#This Row],[Фикс 29.12.23]]+ППД5[[#This Row],[Наценка 10.01.24 5%]]</f>
        <v>93436.033092577869</v>
      </c>
      <c r="BI42" s="93"/>
      <c r="BJ42" s="93">
        <f>ППД5[[#This Row],[Наценка 26.02.24 1 Этаж]]+ППД5[[#This Row],[Фикс 10.01.24]]</f>
        <v>93436.033092577869</v>
      </c>
      <c r="BK42" s="93">
        <f>ППД5[[#This Row],[Фикс 26.02.24]]*2%</f>
        <v>1868.7206618515575</v>
      </c>
      <c r="BL42" s="93">
        <f>ППД5[[#This Row],[Фикс 26.02.24]]+ППД5[[#This Row],[Наценка 06.03.24
СТ, 1К - 3%
2К, 3К - 2%]]</f>
        <v>95304.753754429432</v>
      </c>
      <c r="BM42" s="93"/>
      <c r="BN42" s="93">
        <f>ППД5[[#This Row],[Фикс 06.03.24]]+ППД5[[#This Row],[Наценка Г2+500]]</f>
        <v>95304.753754429432</v>
      </c>
      <c r="BO42" s="93">
        <f>ППД5[[#This Row],[Фикс 13.03.25]]*2%</f>
        <v>1906.0950750885886</v>
      </c>
      <c r="BP42" s="93">
        <f>ППД5[[#This Row],[Фикс 13.03.25]]+ППД5[[#This Row],[Наценка 20.03.24
2К, 3К - 2%]]</f>
        <v>97210.848829518014</v>
      </c>
      <c r="BQ42" s="93"/>
      <c r="BR42" s="93">
        <f>ППД5[[#This Row],[Фикс 20.03.24]]+ППД5[[#This Row],[Наценка 08.04.24 
2К: В3 - 150
3К: Г7 +1000]]</f>
        <v>97210.848829518014</v>
      </c>
      <c r="BS42" s="93">
        <f>ППД5[[#This Row],[Фикс 08.04.24]]*1%</f>
        <v>972.10848829518011</v>
      </c>
      <c r="BT42" s="93">
        <f>ППД5[[#This Row],[Фикс 08.04.24]]+ППД5[[#This Row],[Наценка 16.05.24 1%
А4,А6,Б3,Б6,Б7,В2,В3,В5,В6,Г1,Г3-Г5]]</f>
        <v>98182.957317813198</v>
      </c>
      <c r="BU42" s="93"/>
      <c r="BV42" s="93">
        <f>ППД5[[#This Row],[Фикс 16.05.24]]+ППД5[[#This Row],[Наценка 24.05.24
1% - Б4, Б5,Г2,Г6
2% - А1,А3,А5,Б2,Г7]]</f>
        <v>98182.957317813198</v>
      </c>
      <c r="BW42" s="93"/>
      <c r="BX42" s="93">
        <f>ППД5[[#This Row],[Наценка 06.06.24
0К: В2,Г3 +0,5%
1К: А7, Б5/4, Г6 +0,5%
3К: В6 +0,5%
1К: А3 +1%]]+ППД5[[#This Row],[Фикс 24.05.24]]</f>
        <v>98182.957317813198</v>
      </c>
      <c r="BY42" s="93"/>
      <c r="BZ42" s="93">
        <f>ППД5[[#This Row],[Фикс 06.06.24]]+ППД5[[#This Row],[13.06.2024
3К - 2%]]</f>
        <v>98182.957317813198</v>
      </c>
      <c r="CA42" s="9">
        <f>1.5%*ППД5[[#This Row],[Фикс 13.06.24]]</f>
        <v>1472.7443597671979</v>
      </c>
      <c r="CB42" s="93">
        <f>ППД5[[#This Row],[02.07.2024: Г3 А1 А3 Б5 Б7 Г2 Г6 Б3 Б4 В3 Г7 2,5% ост 0,5-1,5%]]+ППД5[[#This Row],[Фикс 13.06.24]]</f>
        <v>99655.701677580393</v>
      </c>
      <c r="CC42" s="93">
        <v>500</v>
      </c>
      <c r="CD42" s="93">
        <f>ППД5[[#This Row],[Фикс 02.07.24]]+ППД5[[#This Row],[04.09.2024 +500
0К - Б2; 1К - А3;
2К - А6, Б4, В3, Г5]]</f>
        <v>100155.70167758039</v>
      </c>
      <c r="CE42" s="93">
        <f>ППД5[[#This Row],[Фикс 04.09.24]]*4%</f>
        <v>4006.2280671032158</v>
      </c>
      <c r="CF42" s="93">
        <f>ППД5[[#This Row],[Наценка 16.09.2024
1К: А1,В7,Г6/7,Г8 - 2%
2К: А4,А5,А6,Б1,Б6,Б3/4,В3,В4,Г4,Г5 - 4%
3К: 4%]]+ППД5[[#This Row],[Фикс 04.09.24]]</f>
        <v>104161.92974468361</v>
      </c>
      <c r="CG42" s="93">
        <f>ППД5[[#This Row],[Фикс 16.09.2024]]*6%</f>
        <v>6249.7157846810169</v>
      </c>
      <c r="CH42" s="93">
        <f>ППД5[[#This Row],[Фикс 16.09.2024]]+ППД5[[#This Row],[Наценка 01.11.24
СТ: 4%
1К: 34-40м 5%; 40м+ 8%; МГН 1%
2К: 55-70м 6%; 70-73м 7%; 73-76м 8% 
3К: 5%]]</f>
        <v>110411.64552936463</v>
      </c>
      <c r="CI42" s="93">
        <f>ППД5[[#This Row],[Фикс 01.11.24]]*13%</f>
        <v>14353.513918817402</v>
      </c>
      <c r="CJ42" s="93">
        <f>ППД5[[#This Row],[Наценка 06.11 13%]]+ППД5[[#This Row],[Фикс 01.11.24]]</f>
        <v>124765.15944818204</v>
      </c>
      <c r="CK42" s="93"/>
      <c r="CL42" s="93">
        <f>ППД5[[#This Row],[Фикс 06.11.24]]+ППД5[[#This Row],[Наценка 18.12.24 распределение КВ]]</f>
        <v>124765.15944818204</v>
      </c>
      <c r="CM42" s="93"/>
      <c r="CN42" s="93">
        <f>ППД5[[#This Row],[Фикс 18.12.24]]+ППД5[[#This Row],[Наценка 10.02.25 +1%
1К: А3
2К: Б3, В3]]</f>
        <v>124765.15944818204</v>
      </c>
      <c r="CO42" s="93">
        <f>ROUND(ППД5[[#This Row],[Фикс 10.02.25]],2)</f>
        <v>124765.16</v>
      </c>
      <c r="CP4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7256400</v>
      </c>
      <c r="CQ42" s="93">
        <f>ROUNDUP(ППД5[[#This Row],[Стоимость до скидки]]+ППД5[[#This Row],[Сумма доплаты]],-2)</f>
        <v>7224000</v>
      </c>
      <c r="CR42" s="68"/>
      <c r="CS42" s="90">
        <v>0.02</v>
      </c>
      <c r="CT42" s="68">
        <f>ППД5[[#This Row],[Стоимость до скидки]]*ППД5[[#This Row],[Скидка %]]+ППД5[[#This Row],[Скидка фиксированная]]</f>
        <v>145128</v>
      </c>
      <c r="CU42" s="3">
        <f>ППД5[[#This Row],[Стоимость ОН без отделки со скидкой]]/ППД5[[#This Row],[Расчетная проектная площадь]]</f>
        <v>122270.83906464925</v>
      </c>
      <c r="CV42" s="3">
        <f>ROUND(ППД5[[#This Row],[Стоимость до скидки]]-ППД5[[#This Row],[Итоговая сумма скидки]],2)</f>
        <v>7111272</v>
      </c>
      <c r="CW4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42" s="197">
        <v>8000</v>
      </c>
      <c r="CY42" s="332">
        <f>ППД5[[#This Row],[Расхождение]]/ППД5[[#This Row],[Расчетная проектная площадь]]</f>
        <v>-4.4704264099038023E-3</v>
      </c>
      <c r="CZ4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-0.2700000000000049</v>
      </c>
      <c r="DA42" s="3">
        <f>ППД5[[#This Row],[Цена м2 без отделки со скидкой]]+ППД5[[#This Row],[Стоимость отделки]]</f>
        <v>130270.83906464925</v>
      </c>
      <c r="DB42" s="3">
        <f>ППД5[[#This Row],[Стоимость квартиры с отделкой]]-ППД5[[#This Row],[Стоимость ОН без отделки со скидкой]]</f>
        <v>465280</v>
      </c>
      <c r="DC42" s="3">
        <f>ППД5[[#This Row],[Цена м2 с отделкой]]*ППД5[[#This Row],[Расчетная проектная площадь]]</f>
        <v>7576552</v>
      </c>
      <c r="DD42" s="3"/>
      <c r="DE42" s="111" t="s">
        <v>757</v>
      </c>
      <c r="DF42" s="215" t="s">
        <v>172</v>
      </c>
      <c r="DG42" s="245" t="s">
        <v>172</v>
      </c>
      <c r="DH42" s="100" t="b">
        <f>EXACT(ППД5[[#This Row],[Статусы CRM]],ППД5[[#This Row],[Статус]])</f>
        <v>1</v>
      </c>
      <c r="DI42" s="213" t="s">
        <v>214</v>
      </c>
      <c r="DJ42" s="204"/>
      <c r="DK42" s="111" t="s">
        <v>763</v>
      </c>
      <c r="DL42" s="216" t="s">
        <v>780</v>
      </c>
      <c r="DM42" s="201" t="b">
        <f>ППД5[[#This Row],[Отделка CRM]]=ППД5[[#This Row],[Отделка]]</f>
        <v>1</v>
      </c>
      <c r="DN42" s="203">
        <v>7576552</v>
      </c>
      <c r="DO4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2" s="207" t="b">
        <f>IF(AND(ППД5[[#This Row],[Статус]]="свободно",ППД5[[#This Row],[Итоговая сумма скидки]]&lt;&gt;0),FALSE,TRUE)</f>
        <v>1</v>
      </c>
      <c r="DQ42" s="240">
        <f>_xlfn.XLOOKUP(ППД5[[#This Row],[№]],Юрист[№ кв],Юрист[Дата подачи на регистрацию]," ",0,-1)</f>
        <v>45631</v>
      </c>
      <c r="DR42" s="115" t="str">
        <f>_xlfn.XLOOKUP(ППД5[[#This Row],[№]],Юрист[№ кв],Юрист[МОП],"",0,-1)</f>
        <v>Никишов</v>
      </c>
      <c r="DS42" s="333" t="s">
        <v>2376</v>
      </c>
      <c r="DT42" s="333" t="s">
        <v>2377</v>
      </c>
      <c r="DU42" s="333">
        <v>56.6</v>
      </c>
      <c r="DV42" s="111"/>
    </row>
    <row r="43" spans="1:126" hidden="1" x14ac:dyDescent="0.25">
      <c r="A43" s="112">
        <v>41</v>
      </c>
      <c r="B43" s="111" t="s">
        <v>5</v>
      </c>
      <c r="C43" s="111">
        <v>6</v>
      </c>
      <c r="D43" s="111">
        <v>7</v>
      </c>
      <c r="E43" s="111">
        <v>1</v>
      </c>
      <c r="F43" s="157">
        <v>18.489999999999998</v>
      </c>
      <c r="G43" s="105"/>
      <c r="H43" s="105"/>
      <c r="I43" s="94">
        <f>SUM(ППД5[[#This Row],[Комната 1]:[Комната 3]])</f>
        <v>18.489999999999998</v>
      </c>
      <c r="J43" s="105">
        <v>13.04</v>
      </c>
      <c r="K43" s="105">
        <v>3.9</v>
      </c>
      <c r="L43" s="105"/>
      <c r="M43" s="105"/>
      <c r="N43" s="105">
        <v>5.99</v>
      </c>
      <c r="O43" s="105">
        <v>2.65</v>
      </c>
      <c r="P43" s="105"/>
      <c r="Q43" s="105"/>
      <c r="R43" s="105">
        <f>SUM(ППД5[[#This Row],[Лоджия 1]:[Лоджия 3]])</f>
        <v>2.65</v>
      </c>
      <c r="S43" s="7">
        <f>ROUND(SUM(ППД5[[#This Row],[Площадь по проекту жилая]:[Лоджия 3]]),2)</f>
        <v>44.07</v>
      </c>
      <c r="T43" s="7">
        <f>ROUND(ППД5[[#This Row],[Площадь по проекту(общая)]]-ППД5[[#This Row],[Летние]],2)</f>
        <v>41.42</v>
      </c>
      <c r="U43" s="92">
        <f>ROUND(ППД5[[#This Row],[Площадь по проекту(общая)]]-(SUM(ППД5[[#This Row],[Лоджия 1]:[Лоджия 3]])/2),2)</f>
        <v>42.75</v>
      </c>
      <c r="V43" s="92">
        <f>IF(ППД5[[#This Row],[Статус]]="продажа",ППД5[[#This Row],[Расчетная проектная площадь]],ППД5[[#This Row],[Расчетная ТП площадь]])</f>
        <v>42.75</v>
      </c>
      <c r="W43" s="92">
        <v>18.5</v>
      </c>
      <c r="X43" s="92"/>
      <c r="Y43" s="92"/>
      <c r="Z43" s="92">
        <f>SUM(ППД5[[#This Row],[ТП Комната 1]:[ТП Комната 3]])</f>
        <v>18.5</v>
      </c>
      <c r="AA43" s="92">
        <v>13</v>
      </c>
      <c r="AB43" s="92">
        <v>3.9</v>
      </c>
      <c r="AC43" s="92"/>
      <c r="AD43" s="92"/>
      <c r="AE43" s="92">
        <v>6</v>
      </c>
      <c r="AF43" s="92">
        <v>1.3</v>
      </c>
      <c r="AG43" s="92"/>
      <c r="AH43" s="92"/>
      <c r="AI43" s="91">
        <f>SUM(ППД5[[#This Row],[ТП Лоджия 1]:[ТП Лоджия 3]])</f>
        <v>1.3</v>
      </c>
      <c r="AJ43" s="95">
        <v>2.6</v>
      </c>
      <c r="AK43" s="92">
        <f>SUM(ППД5[[#This Row],[Площадь по ТП жилая]:[ТП Лоджия 3]])-ППД5[[#This Row],[ТП Летние]]+ППД5[[#This Row],[кроме того прочая
(без коэффициента)]]</f>
        <v>44</v>
      </c>
      <c r="AL43" s="95">
        <f>ППД5[[#This Row],[ТП Площадь без летних]]+(ППД5[[#This Row],[ТП Летние]])</f>
        <v>42.699999999999996</v>
      </c>
      <c r="AM43" s="92">
        <f>ППД5[[#This Row],[ТП общая S]]-ППД5[[#This Row],[кроме того прочая
(без коэффициента)]]</f>
        <v>41.4</v>
      </c>
      <c r="AN43" s="95">
        <f>SUM(ППД5[[#This Row],[ТП Кухня]:[ТП Коридор]])</f>
        <v>22.9</v>
      </c>
      <c r="AO43" s="91">
        <f>ППД5[[#This Row],[Расчетная ТП площадь]]-ППД5[[#This Row],[Расчетная проектная площадь]]</f>
        <v>-5.0000000000004263E-2</v>
      </c>
      <c r="AP43" s="335">
        <f>ППД5[[#This Row],[Расчетная ТП площадь]]/ППД5[[#This Row],[Расчетная проектная площадь]]-1</f>
        <v>-1.1695906432749315E-3</v>
      </c>
      <c r="AQ43" s="92">
        <f>ППД5[[#This Row],[% расхождения]]*ППД5[[#This Row],[Стоимость до скидки]]</f>
        <v>-5414.9707602342778</v>
      </c>
      <c r="AR43" s="92">
        <f>VLOOKUP(ППД5[[#This Row],[№]],наценкад5[],COLUMN(наценкад5[[#This Row],[Цена м2 с учетом всех K]]),0)</f>
        <v>83951.4375</v>
      </c>
      <c r="AS43" s="7">
        <f>ППД5[[#This Row],[м2 после К]]*5%</f>
        <v>4197.5718750000005</v>
      </c>
      <c r="AT43" s="7">
        <f>ППД5[[#This Row],[м2 после К]]+ППД5[[#This Row],[Повышение 16.08.23 - 5%]]</f>
        <v>88149.009374999994</v>
      </c>
      <c r="AU43" s="9">
        <f>ППД5[[#This Row],[Фикс 16.08.23]]*3%</f>
        <v>2644.4702812499995</v>
      </c>
      <c r="AV43" s="9">
        <f>ППД5[[#This Row],[Фикс 16.08.23]]+ППД5[[#This Row],[Повышение 29.08.23 - 3%]]</f>
        <v>90793.479656249998</v>
      </c>
      <c r="AW43" s="93">
        <f>ППД5[[#This Row],[Фикс 29.08.23]]*4%</f>
        <v>3631.7391862499999</v>
      </c>
      <c r="AX43" s="9">
        <f>ППД5[[#This Row],[Фикс 29.08.23]]+ППД5[[#This Row],[Повышение 06.09.23 СТ и 1К]]</f>
        <v>94425.218842499991</v>
      </c>
      <c r="AY43" s="9"/>
      <c r="AZ43" s="9">
        <f>ППД5[[#This Row],[Повышение 23.10.23  В4 ]]+ППД5[[#This Row],[Фикс 06.09.23]]</f>
        <v>94425.218842499991</v>
      </c>
      <c r="BA43" s="93">
        <f>ППД5[[#This Row],[Фикс 23.10.23]]*5%</f>
        <v>4721.2609421249999</v>
      </c>
      <c r="BB43" s="93">
        <f>ППД5[[#This Row],[Повышение 8.11.23 1К 5%]]+ППД5[[#This Row],[Фикс 23.10.23]]</f>
        <v>99146.479784624986</v>
      </c>
      <c r="BC43" s="93"/>
      <c r="BD43" s="93">
        <f>ППД5[[#This Row],[Корректировка 24.11.23 - 1К В5, 2К А2, №233]]+ППД5[[#This Row],[Фикс 8.11.23]]</f>
        <v>99146.479784624986</v>
      </c>
      <c r="BE43" s="93">
        <f>ППД5[[#This Row],[Фикс 8.11.24]]*1%</f>
        <v>991.46479784624989</v>
      </c>
      <c r="BF43" s="93">
        <f>ППД5[[#This Row],[Наценка за отделку 29.12.23 1%]]+ППД5[[#This Row],[Фикс 8.11.24]]</f>
        <v>100137.94458247123</v>
      </c>
      <c r="BG43" s="93">
        <f>ППД5[[#This Row],[Фикс 29.12.23]]*5%</f>
        <v>5006.8972291235623</v>
      </c>
      <c r="BH43" s="93">
        <f>ППД5[[#This Row],[Фикс 29.12.23]]+ППД5[[#This Row],[Наценка 10.01.24 5%]]</f>
        <v>105144.84181159479</v>
      </c>
      <c r="BI43" s="93"/>
      <c r="BJ43" s="93">
        <f>ППД5[[#This Row],[Наценка 26.02.24 1 Этаж]]+ППД5[[#This Row],[Фикс 10.01.24]]</f>
        <v>105144.84181159479</v>
      </c>
      <c r="BK43" s="93">
        <f>ППД5[[#This Row],[Фикс 26.02.24]]*3%</f>
        <v>3154.3452543478434</v>
      </c>
      <c r="BL43" s="93">
        <f>ППД5[[#This Row],[Фикс 26.02.24]]+ППД5[[#This Row],[Наценка 06.03.24
СТ, 1К - 3%
2К, 3К - 2%]]</f>
        <v>108299.18706594263</v>
      </c>
      <c r="BM43" s="93"/>
      <c r="BN43" s="93">
        <f>ППД5[[#This Row],[Фикс 06.03.24]]+ППД5[[#This Row],[Наценка Г2+500]]</f>
        <v>108299.18706594263</v>
      </c>
      <c r="BO43" s="93"/>
      <c r="BP43" s="93">
        <f>ППД5[[#This Row],[Фикс 13.03.25]]+ППД5[[#This Row],[Наценка 20.03.24
2К, 3К - 2%]]</f>
        <v>108299.18706594263</v>
      </c>
      <c r="BQ43" s="93"/>
      <c r="BR43" s="93">
        <f>ППД5[[#This Row],[Фикс 20.03.24]]+ППД5[[#This Row],[Наценка 08.04.24 
2К: В3 - 150
3К: Г7 +1000]]</f>
        <v>108299.18706594263</v>
      </c>
      <c r="BS43" s="93"/>
      <c r="BT43" s="93">
        <f>ППД5[[#This Row],[Фикс 08.04.24]]+ППД5[[#This Row],[Наценка 16.05.24 1%
А4,А6,Б3,Б6,Б7,В2,В3,В5,В6,Г1,Г3-Г5]]</f>
        <v>108299.18706594263</v>
      </c>
      <c r="BU43" s="93"/>
      <c r="BV43" s="93">
        <f>ППД5[[#This Row],[Фикс 16.05.24]]+ППД5[[#This Row],[Наценка 24.05.24
1% - Б4, Б5,Г2,Г6
2% - А1,А3,А5,Б2,Г7]]</f>
        <v>108299.18706594263</v>
      </c>
      <c r="BW43" s="9"/>
      <c r="BX43" s="93">
        <f>ППД5[[#This Row],[Наценка 06.06.24
0К: В2,Г3 +0,5%
1К: А7, Б5/4, Г6 +0,5%
3К: В6 +0,5%
1К: А3 +1%]]+ППД5[[#This Row],[Фикс 24.05.24]]</f>
        <v>108299.18706594263</v>
      </c>
      <c r="BY43" s="93"/>
      <c r="BZ43" s="93">
        <f>ППД5[[#This Row],[Фикс 06.06.24]]+ППД5[[#This Row],[13.06.2024
3К - 2%]]</f>
        <v>108299.18706594263</v>
      </c>
      <c r="CA43" s="93"/>
      <c r="CB43" s="93">
        <f>ППД5[[#This Row],[02.07.2024: Г3 А1 А3 Б5 Б7 Г2 Г6 Б3 Б4 В3 Г7 2,5% ост 0,5-1,5%]]+ППД5[[#This Row],[Фикс 13.06.24]]</f>
        <v>108299.18706594263</v>
      </c>
      <c r="CC43" s="93"/>
      <c r="CD43" s="93">
        <f>ППД5[[#This Row],[Фикс 02.07.24]]+ППД5[[#This Row],[04.09.2024 +500
0К - Б2; 1К - А3;
2К - А6, Б4, В3, Г5]]</f>
        <v>108299.18706594263</v>
      </c>
      <c r="CE43" s="93"/>
      <c r="CF43" s="93">
        <f>ППД5[[#This Row],[Наценка 16.09.2024
1К: А1,В7,Г6/7,Г8 - 2%
2К: А4,А5,А6,Б1,Б6,Б3/4,В3,В4,Г4,Г5 - 4%
3К: 4%]]+ППД5[[#This Row],[Фикс 04.09.24]]</f>
        <v>108299.18706594263</v>
      </c>
      <c r="CG43" s="93"/>
      <c r="CH43" s="93">
        <f>ППД5[[#This Row],[Фикс 16.09.2024]]+ППД5[[#This Row],[Наценка 01.11.24
СТ: 4%
1К: 34-40м 5%; 40м+ 8%; МГН 1%
2К: 55-70м 6%; 70-73м 7%; 73-76м 8% 
3К: 5%]]</f>
        <v>108299.18706594263</v>
      </c>
      <c r="CI43" s="93"/>
      <c r="CJ43" s="93">
        <f>ППД5[[#This Row],[Наценка 06.11 13%]]+ППД5[[#This Row],[Фикс 01.11.24]]</f>
        <v>108299.18706594263</v>
      </c>
      <c r="CK43" s="93"/>
      <c r="CL43" s="93">
        <f>ППД5[[#This Row],[Фикс 06.11.24]]+ППД5[[#This Row],[Наценка 18.12.24 распределение КВ]]</f>
        <v>108299.18706594263</v>
      </c>
      <c r="CM43" s="93"/>
      <c r="CN43" s="93">
        <f>ППД5[[#This Row],[Фикс 18.12.24]]+ППД5[[#This Row],[Наценка 10.02.25 +1%
1К: А3
2К: Б3, В3]]</f>
        <v>108299.18706594263</v>
      </c>
      <c r="CO43" s="93">
        <f>ROUND(ППД5[[#This Row],[Фикс 10.02.25]],2)</f>
        <v>108299.19</v>
      </c>
      <c r="CP4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4629800</v>
      </c>
      <c r="CQ43" s="93">
        <f>ROUNDUP(ППД5[[#This Row],[Стоимость до скидки]]+ППД5[[#This Row],[Сумма доплаты]],-2)</f>
        <v>4624400</v>
      </c>
      <c r="CR43" s="68"/>
      <c r="CS43" s="90"/>
      <c r="CT43" s="68">
        <f>ППД5[[#This Row],[Стоимость до скидки]]*ППД5[[#This Row],[Скидка %]]+ППД5[[#This Row],[Скидка фиксированная]]</f>
        <v>0</v>
      </c>
      <c r="CU43" s="3">
        <f>ППД5[[#This Row],[Стоимость ОН без отделки со скидкой]]/ППД5[[#This Row],[Расчетная проектная площадь]]</f>
        <v>108299.41520467836</v>
      </c>
      <c r="CV43" s="3">
        <f>ROUND(ППД5[[#This Row],[Стоимость до скидки]]-ППД5[[#This Row],[Итоговая сумма скидки]],2)</f>
        <v>4629800</v>
      </c>
      <c r="CW4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43" s="197">
        <v>7000</v>
      </c>
      <c r="CY43" s="332">
        <f>ППД5[[#This Row],[Расхождение]]/ППД5[[#This Row],[Расчетная проектная площадь]]</f>
        <v>-1.1695906432749536E-3</v>
      </c>
      <c r="CZ4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-3.0000000000002913E-2</v>
      </c>
      <c r="DA43" s="3">
        <f>ППД5[[#This Row],[Цена м2 без отделки со скидкой]]+ППД5[[#This Row],[Стоимость отделки]]</f>
        <v>115299.41520467836</v>
      </c>
      <c r="DB43" s="3">
        <f>ППД5[[#This Row],[Стоимость квартиры с отделкой]]-ППД5[[#This Row],[Стоимость ОН без отделки со скидкой]]</f>
        <v>299250</v>
      </c>
      <c r="DC43" s="3">
        <f>ППД5[[#This Row],[Цена м2 с отделкой]]*ППД5[[#This Row],[Расчетная проектная площадь]]</f>
        <v>4929050</v>
      </c>
      <c r="DD43" s="3"/>
      <c r="DF43" s="199" t="s">
        <v>172</v>
      </c>
      <c r="DG43" s="245" t="s">
        <v>172</v>
      </c>
      <c r="DH43" s="100" t="b">
        <f>EXACT(ППД5[[#This Row],[Статусы CRM]],ППД5[[#This Row],[Статус]])</f>
        <v>1</v>
      </c>
      <c r="DI43" s="213" t="s">
        <v>215</v>
      </c>
      <c r="DJ43" s="204"/>
      <c r="DK43" s="111" t="s">
        <v>763</v>
      </c>
      <c r="DL43" s="216" t="s">
        <v>780</v>
      </c>
      <c r="DM43" s="201" t="b">
        <f>ППД5[[#This Row],[Отделка CRM]]=ППД5[[#This Row],[Отделка]]</f>
        <v>1</v>
      </c>
      <c r="DN43" s="203">
        <v>4929050</v>
      </c>
      <c r="DO4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3" s="207" t="b">
        <f>IF(AND(ППД5[[#This Row],[Статус]]="свободно",ППД5[[#This Row],[Итоговая сумма скидки]]&lt;&gt;0),FALSE,TRUE)</f>
        <v>1</v>
      </c>
      <c r="DQ43" s="240">
        <f>_xlfn.XLOOKUP(ППД5[[#This Row],[№]],Юрист[№ кв],Юрист[Дата подачи на регистрацию]," ",0,-1)</f>
        <v>45439</v>
      </c>
      <c r="DR43" s="115" t="str">
        <f>_xlfn.XLOOKUP(ППД5[[#This Row],[№]],Юрист[№ кв],Юрист[МОП],"",0,-1)</f>
        <v>Голенко</v>
      </c>
      <c r="DS43" s="333" t="s">
        <v>2378</v>
      </c>
      <c r="DT43" s="333" t="s">
        <v>2379</v>
      </c>
      <c r="DU43" s="333">
        <v>41.4</v>
      </c>
      <c r="DV43" s="111"/>
    </row>
    <row r="44" spans="1:126" hidden="1" x14ac:dyDescent="0.25">
      <c r="A44" s="112">
        <v>42</v>
      </c>
      <c r="B44" s="111" t="s">
        <v>5</v>
      </c>
      <c r="C44" s="111">
        <v>7</v>
      </c>
      <c r="D44" s="338">
        <v>1</v>
      </c>
      <c r="E44" s="111">
        <v>1</v>
      </c>
      <c r="F44" s="105">
        <v>14.68</v>
      </c>
      <c r="G44" s="105"/>
      <c r="H44" s="105"/>
      <c r="I44" s="94">
        <f>SUM(ППД5[[#This Row],[Комната 1]:[Комната 3]])</f>
        <v>14.68</v>
      </c>
      <c r="J44" s="1">
        <v>9.84</v>
      </c>
      <c r="K44" s="105">
        <v>3.63</v>
      </c>
      <c r="L44" s="105"/>
      <c r="M44" s="105"/>
      <c r="N44" s="105">
        <v>4.8899999999999997</v>
      </c>
      <c r="O44" s="105">
        <v>2.7</v>
      </c>
      <c r="P44" s="105"/>
      <c r="Q44" s="105"/>
      <c r="R44" s="105">
        <f>SUM(ППД5[[#This Row],[Лоджия 1]:[Лоджия 3]])</f>
        <v>2.7</v>
      </c>
      <c r="S44" s="7">
        <f>ROUND(SUM(ППД5[[#This Row],[Площадь по проекту жилая]:[Лоджия 3]]),2)</f>
        <v>35.74</v>
      </c>
      <c r="T44" s="7">
        <f>ROUND(ППД5[[#This Row],[Площадь по проекту(общая)]]-ППД5[[#This Row],[Летние]],2)</f>
        <v>33.04</v>
      </c>
      <c r="U44" s="92">
        <f>ROUND(ППД5[[#This Row],[Площадь по проекту(общая)]]-(SUM(ППД5[[#This Row],[Лоджия 1]:[Лоджия 3]])/2),2)</f>
        <v>34.39</v>
      </c>
      <c r="V44" s="92">
        <f>IF(ППД5[[#This Row],[Статус]]="продажа",ППД5[[#This Row],[Расчетная проектная площадь]],ППД5[[#This Row],[Расчетная ТП площадь]])</f>
        <v>34.39</v>
      </c>
      <c r="W44" s="92">
        <v>14.9</v>
      </c>
      <c r="X44" s="92"/>
      <c r="Y44" s="92"/>
      <c r="Z44" s="92">
        <f>SUM(ППД5[[#This Row],[ТП Комната 1]:[ТП Комната 3]])</f>
        <v>14.9</v>
      </c>
      <c r="AA44" s="92">
        <v>9.6</v>
      </c>
      <c r="AB44" s="92">
        <v>3.8</v>
      </c>
      <c r="AC44" s="92"/>
      <c r="AD44" s="92"/>
      <c r="AE44" s="92">
        <v>4.9000000000000004</v>
      </c>
      <c r="AF44" s="91">
        <v>1.35</v>
      </c>
      <c r="AG44" s="92"/>
      <c r="AH44" s="92"/>
      <c r="AI44" s="91">
        <f>SUM(ППД5[[#This Row],[ТП Лоджия 1]:[ТП Лоджия 3]])</f>
        <v>1.35</v>
      </c>
      <c r="AJ44" s="95">
        <v>2.7</v>
      </c>
      <c r="AK44" s="92">
        <f>SUM(ППД5[[#This Row],[Площадь по ТП жилая]:[ТП Лоджия 3]])-ППД5[[#This Row],[ТП Летние]]+ППД5[[#This Row],[кроме того прочая
(без коэффициента)]]</f>
        <v>35.900000000000006</v>
      </c>
      <c r="AL44" s="95">
        <f>ППД5[[#This Row],[ТП Площадь без летних]]+(ППД5[[#This Row],[ТП Летние]])</f>
        <v>34.550000000000004</v>
      </c>
      <c r="AM44" s="92">
        <f>ППД5[[#This Row],[ТП общая S]]-ППД5[[#This Row],[кроме того прочая
(без коэффициента)]]</f>
        <v>33.200000000000003</v>
      </c>
      <c r="AN44" s="95">
        <f>SUM(ППД5[[#This Row],[ТП Кухня]:[ТП Коридор]])</f>
        <v>18.299999999999997</v>
      </c>
      <c r="AO44" s="91">
        <f>ППД5[[#This Row],[Расчетная ТП площадь]]-ППД5[[#This Row],[Расчетная проектная площадь]]</f>
        <v>0.16000000000000369</v>
      </c>
      <c r="AP44" s="335">
        <f>ППД5[[#This Row],[Расчетная ТП площадь]]/ППД5[[#This Row],[Расчетная проектная площадь]]-1</f>
        <v>4.6525152660659153E-3</v>
      </c>
      <c r="AQ44" s="92">
        <f>ППД5[[#This Row],[% расхождения]]*ППД5[[#This Row],[Стоимость до скидки]]</f>
        <v>18173.655132306678</v>
      </c>
      <c r="AR44" s="92">
        <f>VLOOKUP(ППД5[[#This Row],[№]],наценкад5[],COLUMN(наценкад5[[#This Row],[Цена м2 с учетом всех K]]),0)</f>
        <v>82734.75</v>
      </c>
      <c r="AS44" s="7">
        <f>ППД5[[#This Row],[м2 после К]]*5%</f>
        <v>4136.7375000000002</v>
      </c>
      <c r="AT44" s="7">
        <f>ППД5[[#This Row],[м2 после К]]+ППД5[[#This Row],[Повышение 16.08.23 - 5%]]</f>
        <v>86871.487500000003</v>
      </c>
      <c r="AU44" s="9">
        <f>ППД5[[#This Row],[Фикс 16.08.23]]*3%</f>
        <v>2606.1446249999999</v>
      </c>
      <c r="AV44" s="9">
        <f>ППД5[[#This Row],[Фикс 16.08.23]]+ППД5[[#This Row],[Повышение 29.08.23 - 3%]]</f>
        <v>89477.632125000004</v>
      </c>
      <c r="AW44" s="93">
        <f>ППД5[[#This Row],[Фикс 29.08.23]]*14%</f>
        <v>12526.868497500001</v>
      </c>
      <c r="AX44" s="9">
        <f>ППД5[[#This Row],[Фикс 29.08.23]]+ППД5[[#This Row],[Повышение 06.09.23 СТ и 1К]]</f>
        <v>102004.50062250001</v>
      </c>
      <c r="AY44" s="9"/>
      <c r="AZ44" s="9">
        <f>ППД5[[#This Row],[Повышение 23.10.23  В4 ]]+ППД5[[#This Row],[Фикс 06.09.23]]</f>
        <v>102004.50062250001</v>
      </c>
      <c r="BA44" s="93">
        <f>ППД5[[#This Row],[Фикс 23.10.23]]*5%</f>
        <v>5100.2250311250009</v>
      </c>
      <c r="BB44" s="93">
        <f>ППД5[[#This Row],[Повышение 8.11.23 1К 5%]]+ППД5[[#This Row],[Фикс 23.10.23]]</f>
        <v>107104.72565362501</v>
      </c>
      <c r="BC44" s="93"/>
      <c r="BD44" s="93">
        <f>ППД5[[#This Row],[Корректировка 24.11.23 - 1К В5, 2К А2, №233]]+ППД5[[#This Row],[Фикс 8.11.23]]</f>
        <v>107104.72565362501</v>
      </c>
      <c r="BE44" s="93">
        <f>ППД5[[#This Row],[Фикс 8.11.24]]*1%</f>
        <v>1071.0472565362502</v>
      </c>
      <c r="BF44" s="93">
        <f>ППД5[[#This Row],[Наценка за отделку 29.12.23 1%]]+ППД5[[#This Row],[Фикс 8.11.24]]</f>
        <v>108175.77291016125</v>
      </c>
      <c r="BG44" s="93">
        <f>ППД5[[#This Row],[Фикс 29.12.23]]*5%</f>
        <v>5408.7886455080625</v>
      </c>
      <c r="BH44" s="93">
        <f>ППД5[[#This Row],[Фикс 29.12.23]]+ППД5[[#This Row],[Наценка 10.01.24 5%]]</f>
        <v>113584.56155566931</v>
      </c>
      <c r="BI44" s="93"/>
      <c r="BJ44" s="93">
        <f>ППД5[[#This Row],[Наценка 26.02.24 1 Этаж]]+ППД5[[#This Row],[Фикс 10.01.24]]</f>
        <v>113584.56155566931</v>
      </c>
      <c r="BK44" s="93"/>
      <c r="BL44" s="93">
        <f>ППД5[[#This Row],[Фикс 26.02.24]]+ППД5[[#This Row],[Наценка 06.03.24
СТ, 1К - 3%
2К, 3К - 2%]]</f>
        <v>113584.56155566931</v>
      </c>
      <c r="BM44" s="93"/>
      <c r="BN44" s="93">
        <f>ППД5[[#This Row],[Фикс 06.03.24]]+ППД5[[#This Row],[Наценка Г2+500]]</f>
        <v>113584.56155566931</v>
      </c>
      <c r="BO44" s="93"/>
      <c r="BP44" s="93">
        <f>ППД5[[#This Row],[Фикс 13.03.25]]+ППД5[[#This Row],[Наценка 20.03.24
2К, 3К - 2%]]</f>
        <v>113584.56155566931</v>
      </c>
      <c r="BQ44" s="93"/>
      <c r="BR44" s="93">
        <f>ППД5[[#This Row],[Фикс 20.03.24]]+ППД5[[#This Row],[Наценка 08.04.24 
2К: В3 - 150
3К: Г7 +1000]]</f>
        <v>113584.56155566931</v>
      </c>
      <c r="BS44" s="93"/>
      <c r="BT44" s="93">
        <f>ППД5[[#This Row],[Фикс 08.04.24]]+ППД5[[#This Row],[Наценка 16.05.24 1%
А4,А6,Б3,Б6,Б7,В2,В3,В5,В6,Г1,Г3-Г5]]</f>
        <v>113584.56155566931</v>
      </c>
      <c r="BU44" s="93"/>
      <c r="BV44" s="93">
        <f>ППД5[[#This Row],[Фикс 16.05.24]]+ППД5[[#This Row],[Наценка 24.05.24
1% - Б4, Б5,Г2,Г6
2% - А1,А3,А5,Б2,Г7]]</f>
        <v>113584.56155566931</v>
      </c>
      <c r="BW44" s="93"/>
      <c r="BX44" s="93">
        <f>ППД5[[#This Row],[Наценка 06.06.24
0К: В2,Г3 +0,5%
1К: А7, Б5/4, Г6 +0,5%
3К: В6 +0,5%
1К: А3 +1%]]+ППД5[[#This Row],[Фикс 24.05.24]]</f>
        <v>113584.56155566931</v>
      </c>
      <c r="BY44" s="93"/>
      <c r="BZ44" s="93">
        <f>ППД5[[#This Row],[Фикс 06.06.24]]+ППД5[[#This Row],[13.06.2024
3К - 2%]]</f>
        <v>113584.56155566931</v>
      </c>
      <c r="CA44" s="93"/>
      <c r="CB44" s="93">
        <f>ППД5[[#This Row],[02.07.2024: Г3 А1 А3 Б5 Б7 Г2 Г6 Б3 Б4 В3 Г7 2,5% ост 0,5-1,5%]]+ППД5[[#This Row],[Фикс 13.06.24]]</f>
        <v>113584.56155566931</v>
      </c>
      <c r="CC44" s="93"/>
      <c r="CD44" s="93">
        <f>ППД5[[#This Row],[Фикс 02.07.24]]+ППД5[[#This Row],[04.09.2024 +500
0К - Б2; 1К - А3;
2К - А6, Б4, В3, Г5]]</f>
        <v>113584.56155566931</v>
      </c>
      <c r="CE44" s="93"/>
      <c r="CF44" s="93">
        <f>ППД5[[#This Row],[Наценка 16.09.2024
1К: А1,В7,Г6/7,Г8 - 2%
2К: А4,А5,А6,Б1,Б6,Б3/4,В3,В4,Г4,Г5 - 4%
3К: 4%]]+ППД5[[#This Row],[Фикс 04.09.24]]</f>
        <v>113584.56155566931</v>
      </c>
      <c r="CG44" s="93"/>
      <c r="CH44" s="93">
        <f>ППД5[[#This Row],[Фикс 16.09.2024]]+ППД5[[#This Row],[Наценка 01.11.24
СТ: 4%
1К: 34-40м 5%; 40м+ 8%; МГН 1%
2К: 55-70м 6%; 70-73м 7%; 73-76м 8% 
3К: 5%]]</f>
        <v>113584.56155566931</v>
      </c>
      <c r="CI44" s="93"/>
      <c r="CJ44" s="93">
        <f>ППД5[[#This Row],[Наценка 06.11 13%]]+ППД5[[#This Row],[Фикс 01.11.24]]</f>
        <v>113584.56155566931</v>
      </c>
      <c r="CK44" s="93"/>
      <c r="CL44" s="93">
        <f>ППД5[[#This Row],[Фикс 06.11.24]]+ППД5[[#This Row],[Наценка 18.12.24 распределение КВ]]</f>
        <v>113584.56155566931</v>
      </c>
      <c r="CM44" s="93"/>
      <c r="CN44" s="93">
        <f>ППД5[[#This Row],[Фикс 18.12.24]]+ППД5[[#This Row],[Наценка 10.02.25 +1%
1К: А3
2К: Б3, В3]]</f>
        <v>113584.56155566931</v>
      </c>
      <c r="CO44" s="93">
        <f>ROUND(ППД5[[#This Row],[Фикс 10.02.25]],2)</f>
        <v>113584.56</v>
      </c>
      <c r="CP4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3906200</v>
      </c>
      <c r="CQ44" s="93">
        <f>ROUNDUP(ППД5[[#This Row],[Стоимость до скидки]]+ППД5[[#This Row],[Сумма доплаты]],-2)</f>
        <v>3924400</v>
      </c>
      <c r="CR44" s="68"/>
      <c r="CS44" s="90">
        <v>0.03</v>
      </c>
      <c r="CT44" s="68">
        <f>ППД5[[#This Row],[Стоимость до скидки]]*ППД5[[#This Row],[Скидка %]]+ППД5[[#This Row],[Скидка фиксированная]]</f>
        <v>117186</v>
      </c>
      <c r="CU44" s="3">
        <f>ППД5[[#This Row],[Стоимость ОН без отделки со скидкой]]/ППД5[[#This Row],[Расчетная проектная площадь]]</f>
        <v>110177.78423960453</v>
      </c>
      <c r="CV44" s="3">
        <f>ROUND(ППД5[[#This Row],[Стоимость до скидки]]-ППД5[[#This Row],[Итоговая сумма скидки]],2)</f>
        <v>3789014</v>
      </c>
      <c r="CW4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4" s="197">
        <v>20000</v>
      </c>
      <c r="CY44" s="332">
        <f>ППД5[[#This Row],[Расхождение]]/ППД5[[#This Row],[Расчетная проектная площадь]]</f>
        <v>4.6525152660658242E-3</v>
      </c>
      <c r="CZ4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-6.0000000000002274E-2</v>
      </c>
      <c r="DA44" s="3">
        <f>ППД5[[#This Row],[Цена м2 без отделки со скидкой]]+ППД5[[#This Row],[Стоимость отделки]]</f>
        <v>130177.78423960453</v>
      </c>
      <c r="DB44" s="3">
        <f>ППД5[[#This Row],[Стоимость квартиры с отделкой]]-ППД5[[#This Row],[Стоимость ОН без отделки со скидкой]]</f>
        <v>687800</v>
      </c>
      <c r="DC44" s="3">
        <f>ППД5[[#This Row],[Цена м2 с отделкой]]*ППД5[[#This Row],[Расчетная проектная площадь]]</f>
        <v>4476814</v>
      </c>
      <c r="DD44" s="3" t="s">
        <v>154</v>
      </c>
      <c r="DE44" s="111" t="s">
        <v>162</v>
      </c>
      <c r="DF44" s="199" t="s">
        <v>172</v>
      </c>
      <c r="DG44" s="245" t="s">
        <v>172</v>
      </c>
      <c r="DH44" s="100" t="b">
        <f>EXACT(ППД5[[#This Row],[Статусы CRM]],ППД5[[#This Row],[Статус]])</f>
        <v>1</v>
      </c>
      <c r="DI44" s="213" t="s">
        <v>216</v>
      </c>
      <c r="DJ44" s="204"/>
      <c r="DK44" s="111" t="s">
        <v>763</v>
      </c>
      <c r="DL44" s="216" t="s">
        <v>14</v>
      </c>
      <c r="DM44" s="201" t="b">
        <f>ППД5[[#This Row],[Отделка CRM]]=ППД5[[#This Row],[Отделка]]</f>
        <v>1</v>
      </c>
      <c r="DN44" s="203">
        <v>4476814</v>
      </c>
      <c r="DO4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4" s="207" t="b">
        <f>IF(AND(ППД5[[#This Row],[Статус]]="свободно",ППД5[[#This Row],[Итоговая сумма скидки]]&lt;&gt;0),FALSE,TRUE)</f>
        <v>1</v>
      </c>
      <c r="DQ44" s="240">
        <f>_xlfn.XLOOKUP(ППД5[[#This Row],[№]],Юрист[№ кв],Юрист[Дата подачи на регистрацию]," ",0,-1)</f>
        <v>45349</v>
      </c>
      <c r="DR44" s="115" t="str">
        <f>_xlfn.XLOOKUP(ППД5[[#This Row],[№]],Юрист[№ кв],Юрист[МОП],"",0,-1)</f>
        <v>Полехович</v>
      </c>
      <c r="DS44" s="333" t="s">
        <v>2380</v>
      </c>
      <c r="DT44" s="333" t="s">
        <v>2381</v>
      </c>
      <c r="DU44" s="333">
        <v>33.200000000000003</v>
      </c>
      <c r="DV44" s="111"/>
    </row>
    <row r="45" spans="1:126" hidden="1" x14ac:dyDescent="0.25">
      <c r="A45" s="112">
        <v>43</v>
      </c>
      <c r="B45" s="111" t="s">
        <v>5</v>
      </c>
      <c r="C45" s="111">
        <v>7</v>
      </c>
      <c r="D45" s="111">
        <v>2</v>
      </c>
      <c r="E45" s="111">
        <v>2</v>
      </c>
      <c r="F45" s="105">
        <v>15.82</v>
      </c>
      <c r="G45" s="156">
        <v>15.54</v>
      </c>
      <c r="H45" s="105"/>
      <c r="I45" s="94">
        <f>SUM(ППД5[[#This Row],[Комната 1]:[Комната 3]])</f>
        <v>31.36</v>
      </c>
      <c r="J45" s="105">
        <v>19.440000000000001</v>
      </c>
      <c r="K45" s="105">
        <v>4.42</v>
      </c>
      <c r="L45" s="105"/>
      <c r="M45" s="105">
        <v>3.25</v>
      </c>
      <c r="N45" s="105">
        <v>8.5299999999999994</v>
      </c>
      <c r="O45" s="105">
        <v>3</v>
      </c>
      <c r="P45" s="105"/>
      <c r="Q45" s="105"/>
      <c r="R45" s="105">
        <f>SUM(ППД5[[#This Row],[Лоджия 1]:[Лоджия 3]])</f>
        <v>3</v>
      </c>
      <c r="S45" s="7">
        <f>ROUND(SUM(ППД5[[#This Row],[Площадь по проекту жилая]:[Лоджия 3]]),2)</f>
        <v>70</v>
      </c>
      <c r="T45" s="7">
        <f>ROUND(ППД5[[#This Row],[Площадь по проекту(общая)]]-ППД5[[#This Row],[Летние]],2)</f>
        <v>67</v>
      </c>
      <c r="U45" s="92">
        <f>ROUND(ППД5[[#This Row],[Площадь по проекту(общая)]]-(SUM(ППД5[[#This Row],[Лоджия 1]:[Лоджия 3]])/2),2)</f>
        <v>68.5</v>
      </c>
      <c r="V45" s="92">
        <f>IF(ППД5[[#This Row],[Статус]]="продажа",ППД5[[#This Row],[Расчетная проектная площадь]],ППД5[[#This Row],[Расчетная ТП площадь]])</f>
        <v>67.600000000000009</v>
      </c>
      <c r="W45" s="92">
        <v>15.2</v>
      </c>
      <c r="X45" s="92">
        <v>15.9</v>
      </c>
      <c r="Y45" s="92"/>
      <c r="Z45" s="92">
        <f>SUM(ППД5[[#This Row],[ТП Комната 1]:[ТП Комната 3]])</f>
        <v>31.1</v>
      </c>
      <c r="AA45" s="92">
        <v>18.8</v>
      </c>
      <c r="AB45" s="92">
        <v>4.5</v>
      </c>
      <c r="AC45" s="92"/>
      <c r="AD45" s="92">
        <v>3.2</v>
      </c>
      <c r="AE45" s="92">
        <v>8.5</v>
      </c>
      <c r="AF45" s="92">
        <v>1.5</v>
      </c>
      <c r="AG45" s="92"/>
      <c r="AH45" s="92"/>
      <c r="AI45" s="91">
        <f>SUM(ППД5[[#This Row],[ТП Лоджия 1]:[ТП Лоджия 3]])</f>
        <v>1.5</v>
      </c>
      <c r="AJ45" s="95">
        <v>3</v>
      </c>
      <c r="AK45" s="92">
        <f>SUM(ППД5[[#This Row],[Площадь по ТП жилая]:[ТП Лоджия 3]])-ППД5[[#This Row],[ТП Летние]]+ППД5[[#This Row],[кроме того прочая
(без коэффициента)]]</f>
        <v>69.100000000000009</v>
      </c>
      <c r="AL45" s="95">
        <f>ППД5[[#This Row],[ТП Площадь без летних]]+(ППД5[[#This Row],[ТП Летние]])</f>
        <v>67.600000000000009</v>
      </c>
      <c r="AM45" s="92">
        <f>ППД5[[#This Row],[ТП общая S]]-ППД5[[#This Row],[кроме того прочая
(без коэффициента)]]</f>
        <v>66.100000000000009</v>
      </c>
      <c r="AN45" s="95">
        <f>SUM(ППД5[[#This Row],[ТП Кухня]:[ТП Коридор]])</f>
        <v>35</v>
      </c>
      <c r="AO45" s="91">
        <f>ППД5[[#This Row],[Расчетная ТП площадь]]-ППД5[[#This Row],[Расчетная проектная площадь]]</f>
        <v>-0.89999999999999147</v>
      </c>
      <c r="AP45" s="335">
        <f>ППД5[[#This Row],[Расчетная ТП площадь]]/ППД5[[#This Row],[Расчетная проектная площадь]]-1</f>
        <v>-1.313868613138669E-2</v>
      </c>
      <c r="AQ45" s="92">
        <f>ППД5[[#This Row],[% расхождения]]*ППД5[[#This Row],[Стоимость до скидки]]</f>
        <v>-107851.53284671392</v>
      </c>
      <c r="AR45" s="92">
        <f>VLOOKUP(ППД5[[#This Row],[№]],наценкад5[],COLUMN(наценкад5[[#This Row],[Цена м2 с учетом всех K]]),0)</f>
        <v>84168.819000000003</v>
      </c>
      <c r="AS45" s="7">
        <f>ППД5[[#This Row],[м2 после К]]*5%</f>
        <v>4208.4409500000002</v>
      </c>
      <c r="AT45" s="7">
        <f>ППД5[[#This Row],[м2 после К]]+ППД5[[#This Row],[Повышение 16.08.23 - 5%]]</f>
        <v>88377.259950000007</v>
      </c>
      <c r="AU45" s="9">
        <f>ППД5[[#This Row],[Фикс 16.08.23]]*3%</f>
        <v>2651.3177985000002</v>
      </c>
      <c r="AV45" s="9">
        <f>ППД5[[#This Row],[Фикс 16.08.23]]+ППД5[[#This Row],[Повышение 29.08.23 - 3%]]</f>
        <v>91028.577748500014</v>
      </c>
      <c r="AW45" s="9"/>
      <c r="AX45" s="9">
        <f>ППД5[[#This Row],[Фикс 29.08.23]]+ППД5[[#This Row],[Повышение 06.09.23 СТ и 1К]]</f>
        <v>91028.577748500014</v>
      </c>
      <c r="AY45" s="9"/>
      <c r="AZ45" s="9">
        <f>ППД5[[#This Row],[Повышение 23.10.23  В4 ]]+ППД5[[#This Row],[Фикс 06.09.23]]</f>
        <v>91028.577748500014</v>
      </c>
      <c r="BA45" s="9"/>
      <c r="BB45" s="9">
        <f>ППД5[[#This Row],[Повышение 8.11.23 1К 5%]]+ППД5[[#This Row],[Фикс 23.10.23]]</f>
        <v>91028.577748500014</v>
      </c>
      <c r="BC45" s="9">
        <v>-831</v>
      </c>
      <c r="BD45" s="9">
        <f>ППД5[[#This Row],[Корректировка 24.11.23 - 1К В5, 2К А2, №233]]+ППД5[[#This Row],[Фикс 8.11.23]]</f>
        <v>90197.577748500014</v>
      </c>
      <c r="BE45" s="93">
        <f>ППД5[[#This Row],[Фикс 8.11.24]]*1%</f>
        <v>901.97577748500021</v>
      </c>
      <c r="BF45" s="9">
        <f>ППД5[[#This Row],[Наценка за отделку 29.12.23 1%]]+ППД5[[#This Row],[Фикс 8.11.24]]</f>
        <v>91099.553525985015</v>
      </c>
      <c r="BG45" s="93">
        <f>ППД5[[#This Row],[Фикс 29.12.23]]*5%</f>
        <v>4554.9776762992506</v>
      </c>
      <c r="BH45" s="9">
        <f>ППД5[[#This Row],[Фикс 29.12.23]]+ППД5[[#This Row],[Наценка 10.01.24 5%]]</f>
        <v>95654.53120228427</v>
      </c>
      <c r="BI45" s="9"/>
      <c r="BJ45" s="9">
        <f>ППД5[[#This Row],[Наценка 26.02.24 1 Этаж]]+ППД5[[#This Row],[Фикс 10.01.24]]</f>
        <v>95654.53120228427</v>
      </c>
      <c r="BK45" s="93">
        <f>ППД5[[#This Row],[Фикс 26.02.24]]*2%</f>
        <v>1913.0906240456854</v>
      </c>
      <c r="BL45" s="9">
        <f>ППД5[[#This Row],[Фикс 26.02.24]]+ППД5[[#This Row],[Наценка 06.03.24
СТ, 1К - 3%
2К, 3К - 2%]]</f>
        <v>97567.621826329952</v>
      </c>
      <c r="BM45" s="9"/>
      <c r="BN45" s="9">
        <f>ППД5[[#This Row],[Фикс 06.03.24]]+ППД5[[#This Row],[Наценка Г2+500]]</f>
        <v>97567.621826329952</v>
      </c>
      <c r="BO45" s="9">
        <f>ППД5[[#This Row],[Фикс 13.03.25]]*2%</f>
        <v>1951.3524365265991</v>
      </c>
      <c r="BP45" s="9">
        <f>ППД5[[#This Row],[Фикс 13.03.25]]+ППД5[[#This Row],[Наценка 20.03.24
2К, 3К - 2%]]</f>
        <v>99518.974262856558</v>
      </c>
      <c r="BQ45" s="9"/>
      <c r="BR45" s="9">
        <f>ППД5[[#This Row],[Фикс 20.03.24]]+ППД5[[#This Row],[Наценка 08.04.24 
2К: В3 - 150
3К: Г7 +1000]]</f>
        <v>99518.974262856558</v>
      </c>
      <c r="BS45" s="9"/>
      <c r="BT45" s="9">
        <f>ППД5[[#This Row],[Фикс 08.04.24]]+ППД5[[#This Row],[Наценка 16.05.24 1%
А4,А6,Б3,Б6,Б7,В2,В3,В5,В6,Г1,Г3-Г5]]</f>
        <v>99518.974262856558</v>
      </c>
      <c r="BU45" s="9"/>
      <c r="BV45" s="9">
        <f>ППД5[[#This Row],[Фикс 16.05.24]]+ППД5[[#This Row],[Наценка 24.05.24
1% - Б4, Б5,Г2,Г6
2% - А1,А3,А5,Б2,Г7]]</f>
        <v>99518.974262856558</v>
      </c>
      <c r="BW45" s="9"/>
      <c r="BX45" s="9">
        <f>ППД5[[#This Row],[Наценка 06.06.24
0К: В2,Г3 +0,5%
1К: А7, Б5/4, Г6 +0,5%
3К: В6 +0,5%
1К: А3 +1%]]+ППД5[[#This Row],[Фикс 24.05.24]]</f>
        <v>99518.974262856558</v>
      </c>
      <c r="BY45" s="9"/>
      <c r="BZ45" s="9">
        <f>ППД5[[#This Row],[Фикс 06.06.24]]+ППД5[[#This Row],[13.06.2024
3К - 2%]]</f>
        <v>99518.974262856558</v>
      </c>
      <c r="CA45" s="93">
        <f>0.5%*ППД5[[#This Row],[Фикс 13.06.24]]</f>
        <v>497.59487131428278</v>
      </c>
      <c r="CB45" s="9">
        <f>ППД5[[#This Row],[02.07.2024: Г3 А1 А3 Б5 Б7 Г2 Г6 Б3 Б4 В3 Г7 2,5% ост 0,5-1,5%]]+ППД5[[#This Row],[Фикс 13.06.24]]</f>
        <v>100016.56913417084</v>
      </c>
      <c r="CC45" s="9"/>
      <c r="CD45" s="9">
        <f>ППД5[[#This Row],[Фикс 02.07.24]]+ППД5[[#This Row],[04.09.2024 +500
0К - Б2; 1К - А3;
2К - А6, Б4, В3, Г5]]</f>
        <v>100016.56913417084</v>
      </c>
      <c r="CE45" s="9"/>
      <c r="CF45" s="9">
        <f>ППД5[[#This Row],[Наценка 16.09.2024
1К: А1,В7,Г6/7,Г8 - 2%
2К: А4,А5,А6,Б1,Б6,Б3/4,В3,В4,Г4,Г5 - 4%
3К: 4%]]+ППД5[[#This Row],[Фикс 04.09.24]]</f>
        <v>100016.56913417084</v>
      </c>
      <c r="CG45" s="93">
        <f>ППД5[[#This Row],[Фикс 16.09.2024]]*6%</f>
        <v>6000.9941480502503</v>
      </c>
      <c r="CH45" s="9">
        <f>ППД5[[#This Row],[Фикс 16.09.2024]]+ППД5[[#This Row],[Наценка 01.11.24
СТ: 4%
1К: 34-40м 5%; 40м+ 8%; МГН 1%
2К: 55-70м 6%; 70-73м 7%; 73-76м 8% 
3К: 5%]]</f>
        <v>106017.56328222109</v>
      </c>
      <c r="CI45" s="93">
        <f>ППД5[[#This Row],[Фикс 01.11.24]]*13%</f>
        <v>13782.283226688742</v>
      </c>
      <c r="CJ45" s="9">
        <f>ППД5[[#This Row],[Наценка 06.11 13%]]+ППД5[[#This Row],[Фикс 01.11.24]]</f>
        <v>119799.84650890983</v>
      </c>
      <c r="CK45" s="93">
        <v>35</v>
      </c>
      <c r="CL45" s="9">
        <f>ППД5[[#This Row],[Фикс 06.11.24]]+ППД5[[#This Row],[Наценка 18.12.24 распределение КВ]]</f>
        <v>119834.84650890983</v>
      </c>
      <c r="CM45" s="9"/>
      <c r="CN45" s="9">
        <f>ППД5[[#This Row],[Фикс 18.12.24]]+ППД5[[#This Row],[Наценка 10.02.25 +1%
1К: А3
2К: Б3, В3]]</f>
        <v>119834.84650890983</v>
      </c>
      <c r="CO45" s="93">
        <f>ROUND(ППД5[[#This Row],[Фикс 10.02.25]],2)</f>
        <v>119834.85</v>
      </c>
      <c r="CP4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8208700</v>
      </c>
      <c r="CQ45" s="93">
        <f>ROUNDUP(ППД5[[#This Row],[Стоимость до скидки]]+ППД5[[#This Row],[Сумма доплаты]],-2)</f>
        <v>8100900</v>
      </c>
      <c r="CR45" s="68"/>
      <c r="CS45" s="90"/>
      <c r="CT45" s="68">
        <f>ППД5[[#This Row],[Стоимость до скидки]]*ППД5[[#This Row],[Скидка %]]+ППД5[[#This Row],[Скидка фиксированная]]</f>
        <v>0</v>
      </c>
      <c r="CU45" s="3">
        <f>ППД5[[#This Row],[Стоимость ОН без отделки со скидкой]]/ППД5[[#This Row],[Расчетная проектная площадь]]</f>
        <v>119835.03649635037</v>
      </c>
      <c r="CV45" s="3">
        <f>ROUND(ППД5[[#This Row],[Стоимость до скидки]]-ППД5[[#This Row],[Итоговая сумма скидки]],2)</f>
        <v>8208700</v>
      </c>
      <c r="CW4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45" s="218">
        <v>10000</v>
      </c>
      <c r="CY45" s="332">
        <f>ППД5[[#This Row],[Расхождение]]/ППД5[[#This Row],[Расчетная проектная площадь]]</f>
        <v>-1.3138686131386737E-2</v>
      </c>
      <c r="CZ45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-0.64000000000000412</v>
      </c>
      <c r="DA45" s="3">
        <f>ППД5[[#This Row],[Цена м2 без отделки со скидкой]]+ППД5[[#This Row],[Стоимость отделки]]</f>
        <v>129835.03649635037</v>
      </c>
      <c r="DB45" s="3">
        <f>ППД5[[#This Row],[Стоимость квартиры с отделкой]]-ППД5[[#This Row],[Стоимость ОН без отделки со скидкой]]</f>
        <v>685000</v>
      </c>
      <c r="DC45" s="3">
        <f>ППД5[[#This Row],[Цена м2 с отделкой]]*ППД5[[#This Row],[Расчетная проектная площадь]]</f>
        <v>8893700</v>
      </c>
      <c r="DD45" s="3"/>
      <c r="DF45" s="155" t="s">
        <v>157</v>
      </c>
      <c r="DG45" s="221" t="s">
        <v>157</v>
      </c>
      <c r="DH45" s="100" t="b">
        <f>EXACT(ППД5[[#This Row],[Статусы CRM]],ППД5[[#This Row],[Статус]])</f>
        <v>1</v>
      </c>
      <c r="DI45" s="213" t="s">
        <v>217</v>
      </c>
      <c r="DJ45" s="204"/>
      <c r="DK45" s="111" t="s">
        <v>763</v>
      </c>
      <c r="DL45" s="216" t="s">
        <v>780</v>
      </c>
      <c r="DM45" s="201" t="b">
        <f>ППД5[[#This Row],[Отделка CRM]]=ППД5[[#This Row],[Отделка]]</f>
        <v>1</v>
      </c>
      <c r="DN45" s="203">
        <v>8893700</v>
      </c>
      <c r="DO4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5" s="207" t="b">
        <f>IF(AND(ППД5[[#This Row],[Статус]]="свободно",ППД5[[#This Row],[Итоговая сумма скидки]]&lt;&gt;0),FALSE,TRUE)</f>
        <v>1</v>
      </c>
      <c r="DQ45" s="240" t="str">
        <f>_xlfn.XLOOKUP(ППД5[[#This Row],[№]],Юрист[№ кв],Юрист[Дата подачи на регистрацию]," ",0,-1)</f>
        <v xml:space="preserve"> </v>
      </c>
      <c r="DR45" s="115" t="str">
        <f>_xlfn.XLOOKUP(ППД5[[#This Row],[№]],Юрист[№ кв],Юрист[МОП],"",0,-1)</f>
        <v/>
      </c>
      <c r="DS45" s="333" t="s">
        <v>2382</v>
      </c>
      <c r="DT45" s="333" t="s">
        <v>2383</v>
      </c>
      <c r="DU45" s="333">
        <v>66.099999999999994</v>
      </c>
      <c r="DV45" s="111"/>
    </row>
    <row r="46" spans="1:126" hidden="1" x14ac:dyDescent="0.25">
      <c r="A46" s="112">
        <v>44</v>
      </c>
      <c r="B46" s="111" t="s">
        <v>5</v>
      </c>
      <c r="C46" s="111">
        <v>7</v>
      </c>
      <c r="D46" s="111">
        <v>3</v>
      </c>
      <c r="E46" s="111">
        <v>1</v>
      </c>
      <c r="F46" s="105">
        <v>13.6</v>
      </c>
      <c r="G46" s="105"/>
      <c r="H46" s="105"/>
      <c r="I46" s="94">
        <f>SUM(ППД5[[#This Row],[Комната 1]:[Комната 3]])</f>
        <v>13.6</v>
      </c>
      <c r="J46" s="105">
        <v>14.97</v>
      </c>
      <c r="K46" s="105">
        <v>4.1100000000000003</v>
      </c>
      <c r="L46" s="105"/>
      <c r="M46" s="105"/>
      <c r="N46" s="105">
        <v>3.7</v>
      </c>
      <c r="O46" s="105">
        <v>2.69</v>
      </c>
      <c r="P46" s="105"/>
      <c r="Q46" s="105"/>
      <c r="R46" s="105">
        <f>SUM(ППД5[[#This Row],[Лоджия 1]:[Лоджия 3]])</f>
        <v>2.69</v>
      </c>
      <c r="S46" s="7">
        <f>ROUND(SUM(ППД5[[#This Row],[Площадь по проекту жилая]:[Лоджия 3]]),2)</f>
        <v>39.07</v>
      </c>
      <c r="T46" s="7">
        <f>ROUND(ППД5[[#This Row],[Площадь по проекту(общая)]]-ППД5[[#This Row],[Летние]],2)</f>
        <v>36.380000000000003</v>
      </c>
      <c r="U46" s="92">
        <f>ROUND(ППД5[[#This Row],[Площадь по проекту(общая)]]-(SUM(ППД5[[#This Row],[Лоджия 1]:[Лоджия 3]])/2),2)</f>
        <v>37.729999999999997</v>
      </c>
      <c r="V46" s="92">
        <f>IF(ППД5[[#This Row],[Статус]]="продажа",ППД5[[#This Row],[Расчетная проектная площадь]],ППД5[[#This Row],[Расчетная ТП площадь]])</f>
        <v>37.729999999999997</v>
      </c>
      <c r="W46" s="92">
        <v>13.4</v>
      </c>
      <c r="X46" s="92"/>
      <c r="Y46" s="92"/>
      <c r="Z46" s="92">
        <f>SUM(ППД5[[#This Row],[ТП Комната 1]:[ТП Комната 3]])</f>
        <v>13.4</v>
      </c>
      <c r="AA46" s="92">
        <v>14.7</v>
      </c>
      <c r="AB46" s="92">
        <v>4.2</v>
      </c>
      <c r="AC46" s="92"/>
      <c r="AD46" s="92"/>
      <c r="AE46" s="92">
        <v>3.7</v>
      </c>
      <c r="AF46" s="91">
        <v>1.35</v>
      </c>
      <c r="AG46" s="92"/>
      <c r="AH46" s="92"/>
      <c r="AI46" s="91">
        <f>SUM(ППД5[[#This Row],[ТП Лоджия 1]:[ТП Лоджия 3]])</f>
        <v>1.35</v>
      </c>
      <c r="AJ46" s="95">
        <v>2.7</v>
      </c>
      <c r="AK46" s="92">
        <f>SUM(ППД5[[#This Row],[Площадь по ТП жилая]:[ТП Лоджия 3]])-ППД5[[#This Row],[ТП Летние]]+ППД5[[#This Row],[кроме того прочая
(без коэффициента)]]</f>
        <v>38.70000000000001</v>
      </c>
      <c r="AL46" s="95">
        <f>ППД5[[#This Row],[ТП Площадь без летних]]+(ППД5[[#This Row],[ТП Летние]])</f>
        <v>37.350000000000009</v>
      </c>
      <c r="AM46" s="92">
        <f>ППД5[[#This Row],[ТП общая S]]-ППД5[[#This Row],[кроме того прочая
(без коэффициента)]]</f>
        <v>36.000000000000007</v>
      </c>
      <c r="AN46" s="95">
        <f>SUM(ППД5[[#This Row],[ТП Кухня]:[ТП Коридор]])</f>
        <v>22.599999999999998</v>
      </c>
      <c r="AO46" s="91">
        <f>ППД5[[#This Row],[Расчетная ТП площадь]]-ППД5[[#This Row],[Расчетная проектная площадь]]</f>
        <v>-0.37999999999998835</v>
      </c>
      <c r="AP46" s="335">
        <f>ППД5[[#This Row],[Расчетная ТП площадь]]/ППД5[[#This Row],[Расчетная проектная площадь]]-1</f>
        <v>-1.0071561091968939E-2</v>
      </c>
      <c r="AQ46" s="92">
        <f>ППД5[[#This Row],[% расхождения]]*ППД5[[#This Row],[Стоимость до скидки]]</f>
        <v>-42895.785846804909</v>
      </c>
      <c r="AR46" s="92">
        <f>VLOOKUP(ППД5[[#This Row],[№]],наценкад5[],COLUMN(наценкад5[[#This Row],[Цена м2 с учетом всех K]]),0)</f>
        <v>87601.5</v>
      </c>
      <c r="AS46" s="7">
        <f>ППД5[[#This Row],[м2 после К]]*5%</f>
        <v>4380.0749999999998</v>
      </c>
      <c r="AT46" s="7">
        <f>ППД5[[#This Row],[м2 после К]]+ППД5[[#This Row],[Повышение 16.08.23 - 5%]]</f>
        <v>91981.574999999997</v>
      </c>
      <c r="AU46" s="9">
        <f>ППД5[[#This Row],[Фикс 16.08.23]]*3%</f>
        <v>2759.4472499999997</v>
      </c>
      <c r="AV46" s="9">
        <f>ППД5[[#This Row],[Фикс 16.08.23]]+ППД5[[#This Row],[Повышение 29.08.23 - 3%]]</f>
        <v>94741.022249999995</v>
      </c>
      <c r="AW46" s="93">
        <f>ППД5[[#This Row],[Фикс 29.08.23]]*7%</f>
        <v>6631.8715575000006</v>
      </c>
      <c r="AX46" s="9">
        <f>ППД5[[#This Row],[Фикс 29.08.23]]+ППД5[[#This Row],[Повышение 06.09.23 СТ и 1К]]</f>
        <v>101372.89380749999</v>
      </c>
      <c r="AY46" s="9"/>
      <c r="AZ46" s="9">
        <f>ППД5[[#This Row],[Повышение 23.10.23  В4 ]]+ППД5[[#This Row],[Фикс 06.09.23]]</f>
        <v>101372.89380749999</v>
      </c>
      <c r="BA46" s="93">
        <f>ППД5[[#This Row],[Фикс 23.10.23]]*5%</f>
        <v>5068.6446903750002</v>
      </c>
      <c r="BB46" s="93">
        <f>ППД5[[#This Row],[Повышение 8.11.23 1К 5%]]+ППД5[[#This Row],[Фикс 23.10.23]]</f>
        <v>106441.53849787499</v>
      </c>
      <c r="BC46" s="93"/>
      <c r="BD46" s="93">
        <f>ППД5[[#This Row],[Корректировка 24.11.23 - 1К В5, 2К А2, №233]]+ППД5[[#This Row],[Фикс 8.11.23]]</f>
        <v>106441.53849787499</v>
      </c>
      <c r="BE46" s="93">
        <f>ППД5[[#This Row],[Фикс 8.11.24]]*1%</f>
        <v>1064.4153849787499</v>
      </c>
      <c r="BF46" s="93">
        <f>ППД5[[#This Row],[Наценка за отделку 29.12.23 1%]]+ППД5[[#This Row],[Фикс 8.11.24]]</f>
        <v>107505.95388285375</v>
      </c>
      <c r="BG46" s="93">
        <f>ППД5[[#This Row],[Фикс 29.12.23]]*5%</f>
        <v>5375.2976941426878</v>
      </c>
      <c r="BH46" s="93">
        <f>ППД5[[#This Row],[Фикс 29.12.23]]+ППД5[[#This Row],[Наценка 10.01.24 5%]]</f>
        <v>112881.25157699644</v>
      </c>
      <c r="BI46" s="93"/>
      <c r="BJ46" s="93">
        <f>ППД5[[#This Row],[Наценка 26.02.24 1 Этаж]]+ППД5[[#This Row],[Фикс 10.01.24]]</f>
        <v>112881.25157699644</v>
      </c>
      <c r="BK46" s="93"/>
      <c r="BL46" s="93">
        <f>ППД5[[#This Row],[Фикс 26.02.24]]+ППД5[[#This Row],[Наценка 06.03.24
СТ, 1К - 3%
2К, 3К - 2%]]</f>
        <v>112881.25157699644</v>
      </c>
      <c r="BM46" s="93"/>
      <c r="BN46" s="93">
        <f>ППД5[[#This Row],[Фикс 06.03.24]]+ППД5[[#This Row],[Наценка Г2+500]]</f>
        <v>112881.25157699644</v>
      </c>
      <c r="BO46" s="93"/>
      <c r="BP46" s="93">
        <f>ППД5[[#This Row],[Фикс 13.03.25]]+ППД5[[#This Row],[Наценка 20.03.24
2К, 3К - 2%]]</f>
        <v>112881.25157699644</v>
      </c>
      <c r="BQ46" s="93"/>
      <c r="BR46" s="93">
        <f>ППД5[[#This Row],[Фикс 20.03.24]]+ППД5[[#This Row],[Наценка 08.04.24 
2К: В3 - 150
3К: Г7 +1000]]</f>
        <v>112881.25157699644</v>
      </c>
      <c r="BS46" s="93"/>
      <c r="BT46" s="93">
        <f>ППД5[[#This Row],[Фикс 08.04.24]]+ППД5[[#This Row],[Наценка 16.05.24 1%
А4,А6,Б3,Б6,Б7,В2,В3,В5,В6,Г1,Г3-Г5]]</f>
        <v>112881.25157699644</v>
      </c>
      <c r="BU46" s="93"/>
      <c r="BV46" s="93">
        <f>ППД5[[#This Row],[Фикс 16.05.24]]+ППД5[[#This Row],[Наценка 24.05.24
1% - Б4, Б5,Г2,Г6
2% - А1,А3,А5,Б2,Г7]]</f>
        <v>112881.25157699644</v>
      </c>
      <c r="BW46" s="93"/>
      <c r="BX46" s="93">
        <f>ППД5[[#This Row],[Наценка 06.06.24
0К: В2,Г3 +0,5%
1К: А7, Б5/4, Г6 +0,5%
3К: В6 +0,5%
1К: А3 +1%]]+ППД5[[#This Row],[Фикс 24.05.24]]</f>
        <v>112881.25157699644</v>
      </c>
      <c r="BY46" s="93"/>
      <c r="BZ46" s="93">
        <f>ППД5[[#This Row],[Фикс 06.06.24]]+ППД5[[#This Row],[13.06.2024
3К - 2%]]</f>
        <v>112881.25157699644</v>
      </c>
      <c r="CA46" s="93"/>
      <c r="CB46" s="93">
        <f>ППД5[[#This Row],[02.07.2024: Г3 А1 А3 Б5 Б7 Г2 Г6 Б3 Б4 В3 Г7 2,5% ост 0,5-1,5%]]+ППД5[[#This Row],[Фикс 13.06.24]]</f>
        <v>112881.25157699644</v>
      </c>
      <c r="CC46" s="93"/>
      <c r="CD46" s="93">
        <f>ППД5[[#This Row],[Фикс 02.07.24]]+ППД5[[#This Row],[04.09.2024 +500
0К - Б2; 1К - А3;
2К - А6, Б4, В3, Г5]]</f>
        <v>112881.25157699644</v>
      </c>
      <c r="CE46" s="93"/>
      <c r="CF46" s="93">
        <f>ППД5[[#This Row],[Наценка 16.09.2024
1К: А1,В7,Г6/7,Г8 - 2%
2К: А4,А5,А6,Б1,Б6,Б3/4,В3,В4,Г4,Г5 - 4%
3К: 4%]]+ППД5[[#This Row],[Фикс 04.09.24]]</f>
        <v>112881.25157699644</v>
      </c>
      <c r="CG46" s="93"/>
      <c r="CH46" s="93">
        <f>ППД5[[#This Row],[Фикс 16.09.2024]]+ППД5[[#This Row],[Наценка 01.11.24
СТ: 4%
1К: 34-40м 5%; 40м+ 8%; МГН 1%
2К: 55-70м 6%; 70-73м 7%; 73-76м 8% 
3К: 5%]]</f>
        <v>112881.25157699644</v>
      </c>
      <c r="CI46" s="93"/>
      <c r="CJ46" s="93">
        <f>ППД5[[#This Row],[Наценка 06.11 13%]]+ППД5[[#This Row],[Фикс 01.11.24]]</f>
        <v>112881.25157699644</v>
      </c>
      <c r="CK46" s="93"/>
      <c r="CL46" s="93">
        <f>ППД5[[#This Row],[Фикс 06.11.24]]+ППД5[[#This Row],[Наценка 18.12.24 распределение КВ]]</f>
        <v>112881.25157699644</v>
      </c>
      <c r="CM46" s="93"/>
      <c r="CN46" s="93">
        <f>ППД5[[#This Row],[Фикс 18.12.24]]+ППД5[[#This Row],[Наценка 10.02.25 +1%
1К: А3
2К: Б3, В3]]</f>
        <v>112881.25157699644</v>
      </c>
      <c r="CO46" s="93">
        <f>ROUND(ППД5[[#This Row],[Фикс 10.02.25]],2)</f>
        <v>112881.25</v>
      </c>
      <c r="CP4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4259100</v>
      </c>
      <c r="CQ46" s="93">
        <f>ROUNDUP(ППД5[[#This Row],[Стоимость до скидки]]+ППД5[[#This Row],[Сумма доплаты]],-2)</f>
        <v>4216300</v>
      </c>
      <c r="CR46" s="68">
        <v>88888</v>
      </c>
      <c r="CS46" s="90"/>
      <c r="CT46" s="68">
        <f>ППД5[[#This Row],[Стоимость до скидки]]*ППД5[[#This Row],[Скидка %]]+ППД5[[#This Row],[Скидка фиксированная]]</f>
        <v>88888</v>
      </c>
      <c r="CU46" s="3">
        <f>ППД5[[#This Row],[Стоимость ОН без отделки со скидкой]]/ППД5[[#This Row],[Расчетная проектная площадь]]</f>
        <v>110527.74980121919</v>
      </c>
      <c r="CV46" s="3">
        <f>ROUND(ППД5[[#This Row],[Стоимость до скидки]]-ППД5[[#This Row],[Итоговая сумма скидки]],2)</f>
        <v>4170212</v>
      </c>
      <c r="CW4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6" s="197"/>
      <c r="CY46" s="332">
        <f>ППД5[[#This Row],[Расхождение]]/ППД5[[#This Row],[Расчетная проектная площадь]]</f>
        <v>-1.0071561091968948E-2</v>
      </c>
      <c r="CZ4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-0.18000000000000149</v>
      </c>
      <c r="DA46" s="3">
        <f>ППД5[[#This Row],[Цена м2 без отделки со скидкой]]+ППД5[[#This Row],[Стоимость отделки]]</f>
        <v>110527.74980121919</v>
      </c>
      <c r="DB46" s="3">
        <f>ППД5[[#This Row],[Стоимость квартиры с отделкой]]-ППД5[[#This Row],[Стоимость ОН без отделки со скидкой]]</f>
        <v>0</v>
      </c>
      <c r="DC46" s="3">
        <f>ППД5[[#This Row],[Цена м2 с отделкой]]*ППД5[[#This Row],[Расчетная проектная площадь]]</f>
        <v>4170212</v>
      </c>
      <c r="DD46" s="3"/>
      <c r="DE46" s="111" t="s">
        <v>781</v>
      </c>
      <c r="DF46" s="199" t="s">
        <v>172</v>
      </c>
      <c r="DG46" s="245" t="s">
        <v>172</v>
      </c>
      <c r="DH46" s="100" t="b">
        <f>EXACT(ППД5[[#This Row],[Статусы CRM]],ППД5[[#This Row],[Статус]])</f>
        <v>1</v>
      </c>
      <c r="DI46" s="213" t="s">
        <v>218</v>
      </c>
      <c r="DJ46" s="204"/>
      <c r="DK46" s="111" t="s">
        <v>763</v>
      </c>
      <c r="DL46" s="216" t="s">
        <v>12</v>
      </c>
      <c r="DM46" s="201" t="b">
        <f>ППД5[[#This Row],[Отделка CRM]]=ППД5[[#This Row],[Отделка]]</f>
        <v>1</v>
      </c>
      <c r="DN46" s="203">
        <v>4170212</v>
      </c>
      <c r="DO4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6" s="207" t="b">
        <f>IF(AND(ППД5[[#This Row],[Статус]]="свободно",ППД5[[#This Row],[Итоговая сумма скидки]]&lt;&gt;0),FALSE,TRUE)</f>
        <v>1</v>
      </c>
      <c r="DQ46" s="240">
        <f>_xlfn.XLOOKUP(ППД5[[#This Row],[№]],Юрист[№ кв],Юрист[Дата подачи на регистрацию]," ",0,-1)</f>
        <v>45367</v>
      </c>
      <c r="DR46" s="115" t="str">
        <f>_xlfn.XLOOKUP(ППД5[[#This Row],[№]],Юрист[№ кв],Юрист[МОП],"",0,-1)</f>
        <v>Дик</v>
      </c>
      <c r="DS46" s="333" t="s">
        <v>2384</v>
      </c>
      <c r="DT46" s="333" t="s">
        <v>2385</v>
      </c>
      <c r="DU46" s="333">
        <v>36</v>
      </c>
      <c r="DV46" s="111"/>
    </row>
    <row r="47" spans="1:126" hidden="1" x14ac:dyDescent="0.25">
      <c r="A47" s="112">
        <v>45</v>
      </c>
      <c r="B47" s="111" t="s">
        <v>5</v>
      </c>
      <c r="C47" s="111">
        <v>7</v>
      </c>
      <c r="D47" s="111">
        <v>4</v>
      </c>
      <c r="E47" s="111">
        <v>2</v>
      </c>
      <c r="F47" s="105">
        <v>16.61</v>
      </c>
      <c r="G47" s="105">
        <v>11.38</v>
      </c>
      <c r="H47" s="105"/>
      <c r="I47" s="94">
        <f>SUM(ППД5[[#This Row],[Комната 1]:[Комната 3]])</f>
        <v>27.990000000000002</v>
      </c>
      <c r="J47" s="105">
        <v>14.58</v>
      </c>
      <c r="K47" s="105">
        <v>4.34</v>
      </c>
      <c r="L47" s="105">
        <v>2.08</v>
      </c>
      <c r="M47" s="105"/>
      <c r="N47" s="105">
        <v>8.82</v>
      </c>
      <c r="O47" s="105">
        <v>2.56</v>
      </c>
      <c r="P47" s="105"/>
      <c r="Q47" s="105"/>
      <c r="R47" s="105">
        <f>SUM(ППД5[[#This Row],[Лоджия 1]:[Лоджия 3]])</f>
        <v>2.56</v>
      </c>
      <c r="S47" s="7">
        <f>ROUND(SUM(ППД5[[#This Row],[Площадь по проекту жилая]:[Лоджия 3]]),2)</f>
        <v>60.37</v>
      </c>
      <c r="T47" s="7">
        <f>ROUND(ППД5[[#This Row],[Площадь по проекту(общая)]]-ППД5[[#This Row],[Летние]],2)</f>
        <v>57.81</v>
      </c>
      <c r="U47" s="92">
        <f>ROUND(ППД5[[#This Row],[Площадь по проекту(общая)]]-(SUM(ППД5[[#This Row],[Лоджия 1]:[Лоджия 3]])/2),2)</f>
        <v>59.09</v>
      </c>
      <c r="V47" s="92">
        <f>IF(ППД5[[#This Row],[Статус]]="продажа",ППД5[[#This Row],[Расчетная проектная площадь]],ППД5[[#This Row],[Расчетная ТП площадь]])</f>
        <v>59.09</v>
      </c>
      <c r="W47" s="92">
        <v>16.600000000000001</v>
      </c>
      <c r="X47" s="92">
        <v>11.2</v>
      </c>
      <c r="Y47" s="92"/>
      <c r="Z47" s="92">
        <f>SUM(ППД5[[#This Row],[ТП Комната 1]:[ТП Комната 3]])</f>
        <v>27.8</v>
      </c>
      <c r="AA47" s="92">
        <v>14.4</v>
      </c>
      <c r="AB47" s="92">
        <v>4.2</v>
      </c>
      <c r="AC47" s="92">
        <v>2.1</v>
      </c>
      <c r="AD47" s="92"/>
      <c r="AE47" s="92">
        <v>8.9</v>
      </c>
      <c r="AF47" s="92">
        <v>1.3</v>
      </c>
      <c r="AG47" s="92"/>
      <c r="AH47" s="92"/>
      <c r="AI47" s="91">
        <f>SUM(ППД5[[#This Row],[ТП Лоджия 1]:[ТП Лоджия 3]])</f>
        <v>1.3</v>
      </c>
      <c r="AJ47" s="95">
        <v>2.6</v>
      </c>
      <c r="AK47" s="92">
        <f>SUM(ППД5[[#This Row],[Площадь по ТП жилая]:[ТП Лоджия 3]])-ППД5[[#This Row],[ТП Летние]]+ППД5[[#This Row],[кроме того прочая
(без коэффициента)]]</f>
        <v>60.000000000000007</v>
      </c>
      <c r="AL47" s="95">
        <f>ППД5[[#This Row],[ТП Площадь без летних]]+(ППД5[[#This Row],[ТП Летние]])</f>
        <v>58.7</v>
      </c>
      <c r="AM47" s="92">
        <f>ППД5[[#This Row],[ТП общая S]]-ППД5[[#This Row],[кроме того прочая
(без коэффициента)]]</f>
        <v>57.400000000000006</v>
      </c>
      <c r="AN47" s="95">
        <f>SUM(ППД5[[#This Row],[ТП Кухня]:[ТП Коридор]])</f>
        <v>29.6</v>
      </c>
      <c r="AO47" s="91">
        <f>ППД5[[#This Row],[Расчетная ТП площадь]]-ППД5[[#This Row],[Расчетная проектная площадь]]</f>
        <v>-0.39000000000000057</v>
      </c>
      <c r="AP47" s="335">
        <f>ППД5[[#This Row],[Расчетная ТП площадь]]/ППД5[[#This Row],[Расчетная проектная площадь]]-1</f>
        <v>-6.6001015400236618E-3</v>
      </c>
      <c r="AQ47" s="92">
        <f>ППД5[[#This Row],[% расхождения]]*ППД5[[#This Row],[Стоимость до скидки]]</f>
        <v>-36640.463699441359</v>
      </c>
      <c r="AR47" s="92">
        <f>VLOOKUP(ППД5[[#This Row],[№]],наценкад5[],COLUMN(наценкад5[[#This Row],[Цена м2 с учетом всех K]]),0)</f>
        <v>80307.864000000001</v>
      </c>
      <c r="AS47" s="7">
        <f>ППД5[[#This Row],[м2 после К]]*5%</f>
        <v>4015.3932000000004</v>
      </c>
      <c r="AT47" s="7">
        <f>ППД5[[#This Row],[м2 после К]]+ППД5[[#This Row],[Повышение 16.08.23 - 5%]]</f>
        <v>84323.257200000007</v>
      </c>
      <c r="AU47" s="9">
        <f>ППД5[[#This Row],[Фикс 16.08.23]]*3%</f>
        <v>2529.6977160000001</v>
      </c>
      <c r="AV47" s="9">
        <f>ППД5[[#This Row],[Фикс 16.08.23]]+ППД5[[#This Row],[Повышение 29.08.23 - 3%]]</f>
        <v>86852.954916000002</v>
      </c>
      <c r="AW47" s="9"/>
      <c r="AX47" s="9">
        <f>ППД5[[#This Row],[Фикс 29.08.23]]+ППД5[[#This Row],[Повышение 06.09.23 СТ и 1К]]</f>
        <v>86852.954916000002</v>
      </c>
      <c r="AY47" s="9"/>
      <c r="AZ47" s="9">
        <f>ППД5[[#This Row],[Повышение 23.10.23  В4 ]]+ППД5[[#This Row],[Фикс 06.09.23]]</f>
        <v>86852.954916000002</v>
      </c>
      <c r="BA47" s="9"/>
      <c r="BB47" s="9">
        <f>ППД5[[#This Row],[Повышение 8.11.23 1К 5%]]+ППД5[[#This Row],[Фикс 23.10.23]]</f>
        <v>86852.954916000002</v>
      </c>
      <c r="BC47" s="9"/>
      <c r="BD47" s="9">
        <f>ППД5[[#This Row],[Корректировка 24.11.23 - 1К В5, 2К А2, №233]]+ППД5[[#This Row],[Фикс 8.11.23]]</f>
        <v>86852.954916000002</v>
      </c>
      <c r="BE47" s="93">
        <f>ППД5[[#This Row],[Фикс 8.11.24]]*1%</f>
        <v>868.52954915999999</v>
      </c>
      <c r="BF47" s="9">
        <f>ППД5[[#This Row],[Наценка за отделку 29.12.23 1%]]+ППД5[[#This Row],[Фикс 8.11.24]]</f>
        <v>87721.48446516</v>
      </c>
      <c r="BG47" s="93">
        <f>ППД5[[#This Row],[Фикс 29.12.23]]*5%</f>
        <v>4386.0742232580005</v>
      </c>
      <c r="BH47" s="9">
        <f>ППД5[[#This Row],[Фикс 29.12.23]]+ППД5[[#This Row],[Наценка 10.01.24 5%]]</f>
        <v>92107.558688417994</v>
      </c>
      <c r="BI47" s="9"/>
      <c r="BJ47" s="9">
        <f>ППД5[[#This Row],[Наценка 26.02.24 1 Этаж]]+ППД5[[#This Row],[Фикс 10.01.24]]</f>
        <v>92107.558688417994</v>
      </c>
      <c r="BK47" s="93">
        <f>ППД5[[#This Row],[Фикс 26.02.24]]*2%</f>
        <v>1842.15117376836</v>
      </c>
      <c r="BL47" s="9">
        <f>ППД5[[#This Row],[Фикс 26.02.24]]+ППД5[[#This Row],[Наценка 06.03.24
СТ, 1К - 3%
2К, 3К - 2%]]</f>
        <v>93949.709862186355</v>
      </c>
      <c r="BM47" s="9"/>
      <c r="BN47" s="9">
        <f>ППД5[[#This Row],[Фикс 06.03.24]]+ППД5[[#This Row],[Наценка Г2+500]]</f>
        <v>93949.709862186355</v>
      </c>
      <c r="BO47" s="9"/>
      <c r="BP47" s="9">
        <f>ППД5[[#This Row],[Фикс 13.03.25]]+ППД5[[#This Row],[Наценка 20.03.24
2К, 3К - 2%]]</f>
        <v>93949.709862186355</v>
      </c>
      <c r="BQ47" s="9"/>
      <c r="BR47" s="9">
        <f>ППД5[[#This Row],[Фикс 20.03.24]]+ППД5[[#This Row],[Наценка 08.04.24 
2К: В3 - 150
3К: Г7 +1000]]</f>
        <v>93949.709862186355</v>
      </c>
      <c r="BS47" s="93"/>
      <c r="BT47" s="9">
        <f>ППД5[[#This Row],[Фикс 08.04.24]]+ППД5[[#This Row],[Наценка 16.05.24 1%
А4,А6,Б3,Б6,Б7,В2,В3,В5,В6,Г1,Г3-Г5]]</f>
        <v>93949.709862186355</v>
      </c>
      <c r="BU47" s="9"/>
      <c r="BV47" s="9">
        <f>ППД5[[#This Row],[Фикс 16.05.24]]+ППД5[[#This Row],[Наценка 24.05.24
1% - Б4, Б5,Г2,Г6
2% - А1,А3,А5,Б2,Г7]]</f>
        <v>93949.709862186355</v>
      </c>
      <c r="BW47" s="9"/>
      <c r="BX47" s="9">
        <f>ППД5[[#This Row],[Наценка 06.06.24
0К: В2,Г3 +0,5%
1К: А7, Б5/4, Г6 +0,5%
3К: В6 +0,5%
1К: А3 +1%]]+ППД5[[#This Row],[Фикс 24.05.24]]</f>
        <v>93949.709862186355</v>
      </c>
      <c r="BY47" s="9"/>
      <c r="BZ47" s="9">
        <f>ППД5[[#This Row],[Фикс 06.06.24]]+ППД5[[#This Row],[13.06.2024
3К - 2%]]</f>
        <v>93949.709862186355</v>
      </c>
      <c r="CA47" s="9"/>
      <c r="CB47" s="9">
        <f>ППД5[[#This Row],[02.07.2024: Г3 А1 А3 Б5 Б7 Г2 Г6 Б3 Б4 В3 Г7 2,5% ост 0,5-1,5%]]+ППД5[[#This Row],[Фикс 13.06.24]]</f>
        <v>93949.709862186355</v>
      </c>
      <c r="CC47" s="9"/>
      <c r="CD47" s="9">
        <f>ППД5[[#This Row],[Фикс 02.07.24]]+ППД5[[#This Row],[04.09.2024 +500
0К - Б2; 1К - А3;
2К - А6, Б4, В3, Г5]]</f>
        <v>93949.709862186355</v>
      </c>
      <c r="CE47" s="9"/>
      <c r="CF47" s="9">
        <f>ППД5[[#This Row],[Наценка 16.09.2024
1К: А1,В7,Г6/7,Г8 - 2%
2К: А4,А5,А6,Б1,Б6,Б3/4,В3,В4,Г4,Г5 - 4%
3К: 4%]]+ППД5[[#This Row],[Фикс 04.09.24]]</f>
        <v>93949.709862186355</v>
      </c>
      <c r="CG47" s="9"/>
      <c r="CH47" s="9">
        <f>ППД5[[#This Row],[Фикс 16.09.2024]]+ППД5[[#This Row],[Наценка 01.11.24
СТ: 4%
1К: 34-40м 5%; 40м+ 8%; МГН 1%
2К: 55-70м 6%; 70-73м 7%; 73-76м 8% 
3К: 5%]]</f>
        <v>93949.709862186355</v>
      </c>
      <c r="CI47" s="9"/>
      <c r="CJ47" s="9">
        <f>ППД5[[#This Row],[Наценка 06.11 13%]]+ППД5[[#This Row],[Фикс 01.11.24]]</f>
        <v>93949.709862186355</v>
      </c>
      <c r="CK47" s="9"/>
      <c r="CL47" s="9">
        <f>ППД5[[#This Row],[Фикс 06.11.24]]+ППД5[[#This Row],[Наценка 18.12.24 распределение КВ]]</f>
        <v>93949.709862186355</v>
      </c>
      <c r="CM47" s="9"/>
      <c r="CN47" s="9">
        <f>ППД5[[#This Row],[Фикс 18.12.24]]+ППД5[[#This Row],[Наценка 10.02.25 +1%
1К: А3
2К: Б3, В3]]</f>
        <v>93949.709862186355</v>
      </c>
      <c r="CO47" s="93">
        <f>ROUND(ППД5[[#This Row],[Фикс 10.02.25]],2)</f>
        <v>93949.71</v>
      </c>
      <c r="CP4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5551500</v>
      </c>
      <c r="CQ47" s="93">
        <f>ROUNDUP(ППД5[[#This Row],[Стоимость до скидки]]+ППД5[[#This Row],[Сумма доплаты]],-2)</f>
        <v>5514900</v>
      </c>
      <c r="CR47" s="68"/>
      <c r="CS47" s="90">
        <v>0.03</v>
      </c>
      <c r="CT47" s="68">
        <f>ППД5[[#This Row],[Стоимость до скидки]]*ППД5[[#This Row],[Скидка %]]+ППД5[[#This Row],[Скидка фиксированная]]</f>
        <v>166545</v>
      </c>
      <c r="CU47" s="3">
        <f>ППД5[[#This Row],[Стоимость ОН без отделки со скидкой]]/ППД5[[#This Row],[Расчетная проектная площадь]]</f>
        <v>91131.409713995599</v>
      </c>
      <c r="CV47" s="3">
        <f>ROUND(ППД5[[#This Row],[Стоимость до скидки]]-ППД5[[#This Row],[Итоговая сумма скидки]],2)</f>
        <v>5384955</v>
      </c>
      <c r="CW4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47" s="197">
        <v>7000</v>
      </c>
      <c r="CY47" s="332">
        <f>ППД5[[#This Row],[Расхождение]]/ППД5[[#This Row],[Расчетная проектная площадь]]</f>
        <v>-6.6001015400237017E-3</v>
      </c>
      <c r="CZ4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-0.21999999999999709</v>
      </c>
      <c r="DA47" s="3">
        <f>ППД5[[#This Row],[Цена м2 без отделки со скидкой]]+ППД5[[#This Row],[Стоимость отделки]]</f>
        <v>98131.409713995599</v>
      </c>
      <c r="DB47" s="3">
        <f>ППД5[[#This Row],[Стоимость квартиры с отделкой]]-ППД5[[#This Row],[Стоимость ОН без отделки со скидкой]]</f>
        <v>413630</v>
      </c>
      <c r="DC47" s="3">
        <f>ППД5[[#This Row],[Цена м2 с отделкой]]*ППД5[[#This Row],[Расчетная проектная площадь]]</f>
        <v>5798585</v>
      </c>
      <c r="DD47" s="3"/>
      <c r="DE47" s="111" t="s">
        <v>788</v>
      </c>
      <c r="DF47" s="199" t="s">
        <v>172</v>
      </c>
      <c r="DG47" s="245" t="s">
        <v>172</v>
      </c>
      <c r="DH47" s="100" t="b">
        <f>EXACT(ППД5[[#This Row],[Статусы CRM]],ППД5[[#This Row],[Статус]])</f>
        <v>1</v>
      </c>
      <c r="DI47" s="213" t="s">
        <v>219</v>
      </c>
      <c r="DJ47" s="204"/>
      <c r="DK47" s="111" t="s">
        <v>763</v>
      </c>
      <c r="DL47" s="216" t="s">
        <v>780</v>
      </c>
      <c r="DM47" s="201" t="b">
        <f>ППД5[[#This Row],[Отделка CRM]]=ППД5[[#This Row],[Отделка]]</f>
        <v>1</v>
      </c>
      <c r="DN47" s="203">
        <v>5798585</v>
      </c>
      <c r="DO4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7" s="207" t="b">
        <f>IF(AND(ППД5[[#This Row],[Статус]]="свободно",ППД5[[#This Row],[Итоговая сумма скидки]]&lt;&gt;0),FALSE,TRUE)</f>
        <v>1</v>
      </c>
      <c r="DQ47" s="240">
        <f>_xlfn.XLOOKUP(ППД5[[#This Row],[№]],Юрист[№ кв],Юрист[Дата подачи на регистрацию]," ",0,-1)</f>
        <v>45377</v>
      </c>
      <c r="DR47" s="115" t="str">
        <f>_xlfn.XLOOKUP(ППД5[[#This Row],[№]],Юрист[№ кв],Юрист[МОП],"",0,-1)</f>
        <v>Никишов</v>
      </c>
      <c r="DS47" s="333" t="s">
        <v>2386</v>
      </c>
      <c r="DT47" s="333" t="s">
        <v>2387</v>
      </c>
      <c r="DU47" s="333">
        <v>57.4</v>
      </c>
      <c r="DV47" s="111"/>
    </row>
    <row r="48" spans="1:126" hidden="1" x14ac:dyDescent="0.25">
      <c r="A48" s="112">
        <v>46</v>
      </c>
      <c r="B48" s="111" t="s">
        <v>5</v>
      </c>
      <c r="C48" s="111">
        <v>7</v>
      </c>
      <c r="D48" s="111">
        <v>5</v>
      </c>
      <c r="E48" s="111">
        <v>2</v>
      </c>
      <c r="F48" s="105">
        <v>16.46</v>
      </c>
      <c r="G48" s="105">
        <v>12.47</v>
      </c>
      <c r="H48" s="105"/>
      <c r="I48" s="94">
        <f>SUM(ППД5[[#This Row],[Комната 1]:[Комната 3]])</f>
        <v>28.93</v>
      </c>
      <c r="J48" s="105">
        <v>18</v>
      </c>
      <c r="K48" s="105">
        <v>4.3499999999999996</v>
      </c>
      <c r="L48" s="105">
        <v>1.55</v>
      </c>
      <c r="M48" s="105"/>
      <c r="N48" s="105">
        <v>8</v>
      </c>
      <c r="O48" s="105">
        <v>2.67</v>
      </c>
      <c r="P48" s="105"/>
      <c r="Q48" s="105"/>
      <c r="R48" s="105">
        <f>SUM(ППД5[[#This Row],[Лоджия 1]:[Лоджия 3]])</f>
        <v>2.67</v>
      </c>
      <c r="S48" s="8">
        <f>ROUND(SUM(ППД5[[#This Row],[Площадь по проекту жилая]:[Лоджия 3]]),2)</f>
        <v>63.5</v>
      </c>
      <c r="T48" s="8">
        <f>ROUND(ППД5[[#This Row],[Площадь по проекту(общая)]]-ППД5[[#This Row],[Летние]],2)</f>
        <v>60.83</v>
      </c>
      <c r="U48" s="91">
        <f>ROUND(ППД5[[#This Row],[Площадь по проекту(общая)]]-(SUM(ППД5[[#This Row],[Лоджия 1]:[Лоджия 3]])/2),2)</f>
        <v>62.17</v>
      </c>
      <c r="V48" s="91">
        <f>IF(ППД5[[#This Row],[Статус]]="продажа",ППД5[[#This Row],[Расчетная проектная площадь]],ППД5[[#This Row],[Расчетная ТП площадь]])</f>
        <v>62.17</v>
      </c>
      <c r="W48" s="91">
        <v>16.399999999999999</v>
      </c>
      <c r="X48" s="91">
        <v>12.4</v>
      </c>
      <c r="Y48" s="91"/>
      <c r="Z48" s="91">
        <f>SUM(ППД5[[#This Row],[ТП Комната 1]:[ТП Комната 3]])</f>
        <v>28.799999999999997</v>
      </c>
      <c r="AA48" s="91">
        <v>17.8</v>
      </c>
      <c r="AB48" s="91">
        <v>4.3</v>
      </c>
      <c r="AC48" s="91">
        <v>1.5</v>
      </c>
      <c r="AD48" s="91"/>
      <c r="AE48" s="91">
        <v>8</v>
      </c>
      <c r="AF48" s="91">
        <v>1.35</v>
      </c>
      <c r="AG48" s="91"/>
      <c r="AH48" s="91"/>
      <c r="AI48" s="91">
        <f>SUM(ППД5[[#This Row],[ТП Лоджия 1]:[ТП Лоджия 3]])</f>
        <v>1.35</v>
      </c>
      <c r="AJ48" s="95">
        <v>2.7</v>
      </c>
      <c r="AK48" s="91">
        <f>SUM(ППД5[[#This Row],[Площадь по ТП жилая]:[ТП Лоджия 3]])-ППД5[[#This Row],[ТП Летние]]+ППД5[[#This Row],[кроме того прочая
(без коэффициента)]]</f>
        <v>63.099999999999994</v>
      </c>
      <c r="AL48" s="95">
        <f>ППД5[[#This Row],[ТП Площадь без летних]]+(ППД5[[#This Row],[ТП Летние]])</f>
        <v>61.749999999999993</v>
      </c>
      <c r="AM48" s="91">
        <f>ППД5[[#This Row],[ТП общая S]]-ППД5[[#This Row],[кроме того прочая
(без коэффициента)]]</f>
        <v>60.399999999999991</v>
      </c>
      <c r="AN48" s="95">
        <f>SUM(ППД5[[#This Row],[ТП Кухня]:[ТП Коридор]])</f>
        <v>31.6</v>
      </c>
      <c r="AO48" s="91">
        <f>ППД5[[#This Row],[Расчетная ТП площадь]]-ППД5[[#This Row],[Расчетная проектная площадь]]</f>
        <v>-0.42000000000000881</v>
      </c>
      <c r="AP48" s="335">
        <f>ППД5[[#This Row],[Расчетная ТП площадь]]/ППД5[[#This Row],[Расчетная проектная площадь]]-1</f>
        <v>-6.7556699372689488E-3</v>
      </c>
      <c r="AQ48" s="91">
        <f>ППД5[[#This Row],[% расхождения]]*ППД5[[#This Row],[Стоимость до скидки]]</f>
        <v>-36478.59096027114</v>
      </c>
      <c r="AR48" s="91">
        <f>VLOOKUP(ППД5[[#This Row],[№]],наценкад5[],COLUMN(наценкад5[[#This Row],[Цена м2 с учетом всех K]]),0)</f>
        <v>80307.864000000001</v>
      </c>
      <c r="AS48" s="8">
        <f>ППД5[[#This Row],[м2 после К]]*5%</f>
        <v>4015.3932000000004</v>
      </c>
      <c r="AT48" s="8">
        <f>ППД5[[#This Row],[м2 после К]]+ППД5[[#This Row],[Повышение 16.08.23 - 5%]]</f>
        <v>84323.257200000007</v>
      </c>
      <c r="AU48" s="93">
        <f>ППД5[[#This Row],[Фикс 16.08.23]]*3%</f>
        <v>2529.6977160000001</v>
      </c>
      <c r="AV48" s="93">
        <f>ППД5[[#This Row],[Фикс 16.08.23]]+ППД5[[#This Row],[Повышение 29.08.23 - 3%]]</f>
        <v>86852.954916000002</v>
      </c>
      <c r="AW48" s="93"/>
      <c r="AX48" s="93">
        <f>ППД5[[#This Row],[Фикс 29.08.23]]+ППД5[[#This Row],[Повышение 06.09.23 СТ и 1К]]</f>
        <v>86852.954916000002</v>
      </c>
      <c r="AY48" s="93"/>
      <c r="AZ48" s="93">
        <f>ППД5[[#This Row],[Повышение 23.10.23  В4 ]]+ППД5[[#This Row],[Фикс 06.09.23]]</f>
        <v>86852.954916000002</v>
      </c>
      <c r="BA48" s="93"/>
      <c r="BB48" s="93">
        <f>ППД5[[#This Row],[Повышение 8.11.23 1К 5%]]+ППД5[[#This Row],[Фикс 23.10.23]]</f>
        <v>86852.954916000002</v>
      </c>
      <c r="BC48" s="93"/>
      <c r="BD48" s="93">
        <f>ППД5[[#This Row],[Корректировка 24.11.23 - 1К В5, 2К А2, №233]]+ППД5[[#This Row],[Фикс 8.11.23]]</f>
        <v>86852.954916000002</v>
      </c>
      <c r="BE48" s="93"/>
      <c r="BF48" s="93">
        <f>ППД5[[#This Row],[Наценка за отделку 29.12.23 1%]]+ППД5[[#This Row],[Фикс 8.11.24]]</f>
        <v>86852.954916000002</v>
      </c>
      <c r="BG48" s="93"/>
      <c r="BH48" s="93">
        <f>ППД5[[#This Row],[Фикс 29.12.23]]+ППД5[[#This Row],[Наценка 10.01.24 5%]]</f>
        <v>86852.954916000002</v>
      </c>
      <c r="BI48" s="93"/>
      <c r="BJ48" s="93">
        <f>ППД5[[#This Row],[Наценка 26.02.24 1 Этаж]]+ППД5[[#This Row],[Фикс 10.01.24]]</f>
        <v>86852.954916000002</v>
      </c>
      <c r="BK48" s="93"/>
      <c r="BL48" s="93">
        <f>ППД5[[#This Row],[Фикс 26.02.24]]+ППД5[[#This Row],[Наценка 06.03.24
СТ, 1К - 3%
2К, 3К - 2%]]</f>
        <v>86852.954916000002</v>
      </c>
      <c r="BM48" s="93"/>
      <c r="BN48" s="93">
        <f>ППД5[[#This Row],[Фикс 06.03.24]]+ППД5[[#This Row],[Наценка Г2+500]]</f>
        <v>86852.954916000002</v>
      </c>
      <c r="BO48" s="93"/>
      <c r="BP48" s="93">
        <f>ППД5[[#This Row],[Фикс 13.03.25]]+ППД5[[#This Row],[Наценка 20.03.24
2К, 3К - 2%]]</f>
        <v>86852.954916000002</v>
      </c>
      <c r="BQ48" s="93"/>
      <c r="BR48" s="93">
        <f>ППД5[[#This Row],[Фикс 20.03.24]]+ППД5[[#This Row],[Наценка 08.04.24 
2К: В3 - 150
3К: Г7 +1000]]</f>
        <v>86852.954916000002</v>
      </c>
      <c r="BS48" s="93"/>
      <c r="BT48" s="93">
        <f>ППД5[[#This Row],[Фикс 08.04.24]]+ППД5[[#This Row],[Наценка 16.05.24 1%
А4,А6,Б3,Б6,Б7,В2,В3,В5,В6,Г1,Г3-Г5]]</f>
        <v>86852.954916000002</v>
      </c>
      <c r="BU48" s="93"/>
      <c r="BV48" s="93">
        <f>ППД5[[#This Row],[Фикс 16.05.24]]+ППД5[[#This Row],[Наценка 24.05.24
1% - Б4, Б5,Г2,Г6
2% - А1,А3,А5,Б2,Г7]]</f>
        <v>86852.954916000002</v>
      </c>
      <c r="BW48" s="93"/>
      <c r="BX48" s="93">
        <f>ППД5[[#This Row],[Наценка 06.06.24
0К: В2,Г3 +0,5%
1К: А7, Б5/4, Г6 +0,5%
3К: В6 +0,5%
1К: А3 +1%]]+ППД5[[#This Row],[Фикс 24.05.24]]</f>
        <v>86852.954916000002</v>
      </c>
      <c r="BY48" s="93"/>
      <c r="BZ48" s="93">
        <f>ППД5[[#This Row],[Фикс 06.06.24]]+ППД5[[#This Row],[13.06.2024
3К - 2%]]</f>
        <v>86852.954916000002</v>
      </c>
      <c r="CA48" s="93"/>
      <c r="CB48" s="93">
        <f>ППД5[[#This Row],[02.07.2024: Г3 А1 А3 Б5 Б7 Г2 Г6 Б3 Б4 В3 Г7 2,5% ост 0,5-1,5%]]+ППД5[[#This Row],[Фикс 13.06.24]]</f>
        <v>86852.954916000002</v>
      </c>
      <c r="CC48" s="93"/>
      <c r="CD48" s="93">
        <f>ППД5[[#This Row],[Фикс 02.07.24]]+ППД5[[#This Row],[04.09.2024 +500
0К - Б2; 1К - А3;
2К - А6, Б4, В3, Г5]]</f>
        <v>86852.954916000002</v>
      </c>
      <c r="CE48" s="93"/>
      <c r="CF48" s="93">
        <f>ППД5[[#This Row],[Наценка 16.09.2024
1К: А1,В7,Г6/7,Г8 - 2%
2К: А4,А5,А6,Б1,Б6,Б3/4,В3,В4,Г4,Г5 - 4%
3К: 4%]]+ППД5[[#This Row],[Фикс 04.09.24]]</f>
        <v>86852.954916000002</v>
      </c>
      <c r="CG48" s="93"/>
      <c r="CH48" s="93">
        <f>ППД5[[#This Row],[Фикс 16.09.2024]]+ППД5[[#This Row],[Наценка 01.11.24
СТ: 4%
1К: 34-40м 5%; 40м+ 8%; МГН 1%
2К: 55-70м 6%; 70-73м 7%; 73-76м 8% 
3К: 5%]]</f>
        <v>86852.954916000002</v>
      </c>
      <c r="CI48" s="93"/>
      <c r="CJ48" s="93">
        <f>ППД5[[#This Row],[Наценка 06.11 13%]]+ППД5[[#This Row],[Фикс 01.11.24]]</f>
        <v>86852.954916000002</v>
      </c>
      <c r="CK48" s="93"/>
      <c r="CL48" s="93">
        <f>ППД5[[#This Row],[Фикс 06.11.24]]+ППД5[[#This Row],[Наценка 18.12.24 распределение КВ]]</f>
        <v>86852.954916000002</v>
      </c>
      <c r="CM48" s="93"/>
      <c r="CN48" s="93">
        <f>ППД5[[#This Row],[Фикс 18.12.24]]+ППД5[[#This Row],[Наценка 10.02.25 +1%
1К: А3
2К: Б3, В3]]</f>
        <v>86852.954916000002</v>
      </c>
      <c r="CO48" s="93">
        <f>ROUND(ППД5[[#This Row],[Фикс 10.02.25]],2)</f>
        <v>86852.95</v>
      </c>
      <c r="CP4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5399700</v>
      </c>
      <c r="CQ48" s="93">
        <f>ROUNDUP(ППД5[[#This Row],[Стоимость до скидки]]+ППД5[[#This Row],[Сумма доплаты]],-2)</f>
        <v>5363300</v>
      </c>
      <c r="CR48" s="68">
        <v>30000</v>
      </c>
      <c r="CS48" s="90"/>
      <c r="CT48" s="68">
        <f>ППД5[[#This Row],[Стоимость до скидки]]*ППД5[[#This Row],[Скидка %]]+ППД5[[#This Row],[Скидка фиксированная]]</f>
        <v>30000</v>
      </c>
      <c r="CU48" s="3">
        <f>ППД5[[#This Row],[Стоимость ОН без отделки со скидкой]]/ППД5[[#This Row],[Расчетная проектная площадь]]</f>
        <v>86371.240147981342</v>
      </c>
      <c r="CV48" s="3">
        <f>ROUND(ППД5[[#This Row],[Стоимость до скидки]]-ППД5[[#This Row],[Итоговая сумма скидки]],2)</f>
        <v>5369700</v>
      </c>
      <c r="CW4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8" s="197">
        <v>22000</v>
      </c>
      <c r="CY48" s="332">
        <f>ППД5[[#This Row],[Расхождение]]/ППД5[[#This Row],[Расчетная проектная площадь]]</f>
        <v>-6.7556699372689211E-3</v>
      </c>
      <c r="CZ4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-0.29999999999999716</v>
      </c>
      <c r="DA48" s="3">
        <f>ППД5[[#This Row],[Цена м2 без отделки со скидкой]]+ППД5[[#This Row],[Стоимость отделки]]</f>
        <v>108371.24014798134</v>
      </c>
      <c r="DB48" s="3">
        <f>ППД5[[#This Row],[Стоимость квартиры с отделкой]]-ППД5[[#This Row],[Стоимость ОН без отделки со скидкой]]</f>
        <v>1367740</v>
      </c>
      <c r="DC48" s="3">
        <f>ППД5[[#This Row],[Цена м2 с отделкой]]*ППД5[[#This Row],[Расчетная проектная площадь]]</f>
        <v>6737440</v>
      </c>
      <c r="DD48" s="3"/>
      <c r="DE48" s="111" t="s">
        <v>766</v>
      </c>
      <c r="DF48" s="199" t="s">
        <v>172</v>
      </c>
      <c r="DG48" s="245" t="s">
        <v>172</v>
      </c>
      <c r="DH48" s="100" t="b">
        <f>EXACT(ППД5[[#This Row],[Статусы CRM]],ППД5[[#This Row],[Статус]])</f>
        <v>1</v>
      </c>
      <c r="DI48" s="213" t="s">
        <v>220</v>
      </c>
      <c r="DJ48" s="204"/>
      <c r="DK48" s="111" t="s">
        <v>763</v>
      </c>
      <c r="DL48" s="216" t="s">
        <v>14</v>
      </c>
      <c r="DM48" s="201" t="b">
        <f>ППД5[[#This Row],[Отделка CRM]]=ППД5[[#This Row],[Отделка]]</f>
        <v>1</v>
      </c>
      <c r="DN48" s="203">
        <v>6737440</v>
      </c>
      <c r="DO4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8" s="207" t="b">
        <f>IF(AND(ППД5[[#This Row],[Статус]]="свободно",ППД5[[#This Row],[Итоговая сумма скидки]]&lt;&gt;0),FALSE,TRUE)</f>
        <v>1</v>
      </c>
      <c r="DQ48" s="240">
        <f>_xlfn.XLOOKUP(ППД5[[#This Row],[№]],Юрист[№ кв],Юрист[Дата подачи на регистрацию]," ",0,-1)</f>
        <v>45272</v>
      </c>
      <c r="DR48" s="115" t="str">
        <f>_xlfn.XLOOKUP(ППД5[[#This Row],[№]],Юрист[№ кв],Юрист[МОП],"",0,-1)</f>
        <v>Никишов</v>
      </c>
      <c r="DS48" s="333" t="s">
        <v>2388</v>
      </c>
      <c r="DT48" s="333" t="s">
        <v>2389</v>
      </c>
      <c r="DU48" s="333">
        <v>60.4</v>
      </c>
      <c r="DV48" s="111"/>
    </row>
    <row r="49" spans="1:129" hidden="1" x14ac:dyDescent="0.25">
      <c r="A49" s="112">
        <v>47</v>
      </c>
      <c r="B49" s="111" t="s">
        <v>5</v>
      </c>
      <c r="C49" s="111">
        <v>7</v>
      </c>
      <c r="D49" s="111">
        <v>6</v>
      </c>
      <c r="E49" s="111">
        <v>2</v>
      </c>
      <c r="F49" s="105">
        <v>14.64</v>
      </c>
      <c r="G49" s="105">
        <v>10.74</v>
      </c>
      <c r="H49" s="105"/>
      <c r="I49" s="94">
        <f>SUM(ППД5[[#This Row],[Комната 1]:[Комната 3]])</f>
        <v>25.380000000000003</v>
      </c>
      <c r="J49" s="105">
        <v>14.35</v>
      </c>
      <c r="K49" s="105">
        <v>4.16</v>
      </c>
      <c r="L49" s="105">
        <v>1.93</v>
      </c>
      <c r="M49" s="105"/>
      <c r="N49" s="105">
        <v>11.03</v>
      </c>
      <c r="O49" s="105">
        <v>2.6219999999999999</v>
      </c>
      <c r="P49" s="105"/>
      <c r="Q49" s="105"/>
      <c r="R49" s="105">
        <f>SUM(ППД5[[#This Row],[Лоджия 1]:[Лоджия 3]])</f>
        <v>2.6219999999999999</v>
      </c>
      <c r="S49" s="8">
        <f>ROUND(SUM(ППД5[[#This Row],[Площадь по проекту жилая]:[Лоджия 3]]),2)</f>
        <v>59.47</v>
      </c>
      <c r="T49" s="8">
        <f>ROUND(ППД5[[#This Row],[Площадь по проекту(общая)]]-ППД5[[#This Row],[Летние]],2)</f>
        <v>56.85</v>
      </c>
      <c r="U49" s="91">
        <f>ROUND(ППД5[[#This Row],[Площадь по проекту(общая)]]-(SUM(ППД5[[#This Row],[Лоджия 1]:[Лоджия 3]])/2),2)</f>
        <v>58.16</v>
      </c>
      <c r="V49" s="91">
        <f>IF(ППД5[[#This Row],[Статус]]="продажа",ППД5[[#This Row],[Расчетная проектная площадь]],ППД5[[#This Row],[Расчетная ТП площадь]])</f>
        <v>58.16</v>
      </c>
      <c r="W49" s="91">
        <v>10.6</v>
      </c>
      <c r="X49" s="91">
        <v>14.7</v>
      </c>
      <c r="Y49" s="91"/>
      <c r="Z49" s="91">
        <f>SUM(ППД5[[#This Row],[ТП Комната 1]:[ТП Комната 3]])</f>
        <v>25.299999999999997</v>
      </c>
      <c r="AA49" s="91">
        <v>14.3</v>
      </c>
      <c r="AB49" s="91">
        <v>4.0999999999999996</v>
      </c>
      <c r="AC49" s="91">
        <v>1.9</v>
      </c>
      <c r="AD49" s="91"/>
      <c r="AE49" s="91">
        <v>11</v>
      </c>
      <c r="AF49" s="91">
        <v>1.3</v>
      </c>
      <c r="AG49" s="91"/>
      <c r="AH49" s="91"/>
      <c r="AI49" s="91">
        <f>SUM(ППД5[[#This Row],[ТП Лоджия 1]:[ТП Лоджия 3]])</f>
        <v>1.3</v>
      </c>
      <c r="AJ49" s="95">
        <v>2.6</v>
      </c>
      <c r="AK49" s="91">
        <f>SUM(ППД5[[#This Row],[Площадь по ТП жилая]:[ТП Лоджия 3]])-ППД5[[#This Row],[ТП Летние]]+ППД5[[#This Row],[кроме того прочая
(без коэффициента)]]</f>
        <v>59.199999999999996</v>
      </c>
      <c r="AL49" s="95">
        <f>ППД5[[#This Row],[ТП Площадь без летних]]+(ППД5[[#This Row],[ТП Летние]])</f>
        <v>57.899999999999991</v>
      </c>
      <c r="AM49" s="91">
        <f>ППД5[[#This Row],[ТП общая S]]-ППД5[[#This Row],[кроме того прочая
(без коэффициента)]]</f>
        <v>56.599999999999994</v>
      </c>
      <c r="AN49" s="95">
        <f>SUM(ППД5[[#This Row],[ТП Кухня]:[ТП Коридор]])</f>
        <v>31.299999999999997</v>
      </c>
      <c r="AO49" s="91">
        <f>ППД5[[#This Row],[Расчетная ТП площадь]]-ППД5[[#This Row],[Расчетная проектная площадь]]</f>
        <v>-0.26000000000000512</v>
      </c>
      <c r="AP49" s="335">
        <f>ППД5[[#This Row],[Расчетная ТП площадь]]/ППД5[[#This Row],[Расчетная проектная площадь]]-1</f>
        <v>-4.4704264099038049E-3</v>
      </c>
      <c r="AQ49" s="91">
        <f>ППД5[[#This Row],[% расхождения]]*ППД5[[#This Row],[Стоимость до скидки]]</f>
        <v>-25910.591471802454</v>
      </c>
      <c r="AR49" s="91">
        <f>VLOOKUP(ППД5[[#This Row],[№]],наценкад5[],COLUMN(наценкад5[[#This Row],[Цена м2 с учетом всех K]]),0)</f>
        <v>81466.150500000003</v>
      </c>
      <c r="AS49" s="8">
        <f>ППД5[[#This Row],[м2 после К]]*5%</f>
        <v>4073.3075250000002</v>
      </c>
      <c r="AT49" s="8">
        <f>ППД5[[#This Row],[м2 после К]]+ППД5[[#This Row],[Повышение 16.08.23 - 5%]]</f>
        <v>85539.458025</v>
      </c>
      <c r="AU49" s="93">
        <f>ППД5[[#This Row],[Фикс 16.08.23]]*3%</f>
        <v>2566.1837407499997</v>
      </c>
      <c r="AV49" s="93">
        <f>ППД5[[#This Row],[Фикс 16.08.23]]+ППД5[[#This Row],[Повышение 29.08.23 - 3%]]</f>
        <v>88105.641765749999</v>
      </c>
      <c r="AW49" s="93"/>
      <c r="AX49" s="93">
        <f>ППД5[[#This Row],[Фикс 29.08.23]]+ППД5[[#This Row],[Повышение 06.09.23 СТ и 1К]]</f>
        <v>88105.641765749999</v>
      </c>
      <c r="AY49" s="93"/>
      <c r="AZ49" s="93">
        <f>ППД5[[#This Row],[Повышение 23.10.23  В4 ]]+ППД5[[#This Row],[Фикс 06.09.23]]</f>
        <v>88105.641765749999</v>
      </c>
      <c r="BA49" s="93"/>
      <c r="BB49" s="93">
        <f>ППД5[[#This Row],[Повышение 8.11.23 1К 5%]]+ППД5[[#This Row],[Фикс 23.10.23]]</f>
        <v>88105.641765749999</v>
      </c>
      <c r="BC49" s="93"/>
      <c r="BD49" s="93">
        <f>ППД5[[#This Row],[Корректировка 24.11.23 - 1К В5, 2К А2, №233]]+ППД5[[#This Row],[Фикс 8.11.23]]</f>
        <v>88105.641765749999</v>
      </c>
      <c r="BE49" s="93">
        <f>ППД5[[#This Row],[Фикс 8.11.24]]*1%</f>
        <v>881.05641765749999</v>
      </c>
      <c r="BF49" s="93">
        <f>ППД5[[#This Row],[Наценка за отделку 29.12.23 1%]]+ППД5[[#This Row],[Фикс 8.11.24]]</f>
        <v>88986.698183407498</v>
      </c>
      <c r="BG49" s="93">
        <f>ППД5[[#This Row],[Фикс 29.12.23]]*5%</f>
        <v>4449.3349091703749</v>
      </c>
      <c r="BH49" s="93">
        <f>ППД5[[#This Row],[Фикс 29.12.23]]+ППД5[[#This Row],[Наценка 10.01.24 5%]]</f>
        <v>93436.033092577869</v>
      </c>
      <c r="BI49" s="93"/>
      <c r="BJ49" s="93">
        <f>ППД5[[#This Row],[Наценка 26.02.24 1 Этаж]]+ППД5[[#This Row],[Фикс 10.01.24]]</f>
        <v>93436.033092577869</v>
      </c>
      <c r="BK49" s="93">
        <f>ППД5[[#This Row],[Фикс 26.02.24]]*2%</f>
        <v>1868.7206618515575</v>
      </c>
      <c r="BL49" s="93">
        <f>ППД5[[#This Row],[Фикс 26.02.24]]+ППД5[[#This Row],[Наценка 06.03.24
СТ, 1К - 3%
2К, 3К - 2%]]</f>
        <v>95304.753754429432</v>
      </c>
      <c r="BM49" s="93"/>
      <c r="BN49" s="93">
        <f>ППД5[[#This Row],[Фикс 06.03.24]]+ППД5[[#This Row],[Наценка Г2+500]]</f>
        <v>95304.753754429432</v>
      </c>
      <c r="BO49" s="93">
        <f>ППД5[[#This Row],[Фикс 13.03.25]]*2%</f>
        <v>1906.0950750885886</v>
      </c>
      <c r="BP49" s="93">
        <f>ППД5[[#This Row],[Фикс 13.03.25]]+ППД5[[#This Row],[Наценка 20.03.24
2К, 3К - 2%]]</f>
        <v>97210.848829518014</v>
      </c>
      <c r="BQ49" s="93"/>
      <c r="BR49" s="93">
        <f>ППД5[[#This Row],[Фикс 20.03.24]]+ППД5[[#This Row],[Наценка 08.04.24 
2К: В3 - 150
3К: Г7 +1000]]</f>
        <v>97210.848829518014</v>
      </c>
      <c r="BS49" s="93">
        <f>ППД5[[#This Row],[Фикс 08.04.24]]*1%</f>
        <v>972.10848829518011</v>
      </c>
      <c r="BT49" s="93">
        <f>ППД5[[#This Row],[Фикс 08.04.24]]+ППД5[[#This Row],[Наценка 16.05.24 1%
А4,А6,Б3,Б6,Б7,В2,В3,В5,В6,Г1,Г3-Г5]]</f>
        <v>98182.957317813198</v>
      </c>
      <c r="BU49" s="93"/>
      <c r="BV49" s="93">
        <f>ППД5[[#This Row],[Фикс 16.05.24]]+ППД5[[#This Row],[Наценка 24.05.24
1% - Б4, Б5,Г2,Г6
2% - А1,А3,А5,Б2,Г7]]</f>
        <v>98182.957317813198</v>
      </c>
      <c r="BW49" s="93"/>
      <c r="BX49" s="93">
        <f>ППД5[[#This Row],[Наценка 06.06.24
0К: В2,Г3 +0,5%
1К: А7, Б5/4, Г6 +0,5%
3К: В6 +0,5%
1К: А3 +1%]]+ППД5[[#This Row],[Фикс 24.05.24]]</f>
        <v>98182.957317813198</v>
      </c>
      <c r="BY49" s="93"/>
      <c r="BZ49" s="93">
        <f>ППД5[[#This Row],[Фикс 06.06.24]]+ППД5[[#This Row],[13.06.2024
3К - 2%]]</f>
        <v>98182.957317813198</v>
      </c>
      <c r="CA49" s="9">
        <f>1.5%*ППД5[[#This Row],[Фикс 13.06.24]]</f>
        <v>1472.7443597671979</v>
      </c>
      <c r="CB49" s="93">
        <f>ППД5[[#This Row],[02.07.2024: Г3 А1 А3 Б5 Б7 Г2 Г6 Б3 Б4 В3 Г7 2,5% ост 0,5-1,5%]]+ППД5[[#This Row],[Фикс 13.06.24]]</f>
        <v>99655.701677580393</v>
      </c>
      <c r="CC49" s="93"/>
      <c r="CD49" s="93">
        <f>ППД5[[#This Row],[Фикс 02.07.24]]+ППД5[[#This Row],[04.09.2024 +500
0К - Б2; 1К - А3;
2К - А6, Б4, В3, Г5]]</f>
        <v>99655.701677580393</v>
      </c>
      <c r="CE49" s="93"/>
      <c r="CF49" s="93">
        <f>ППД5[[#This Row],[Наценка 16.09.2024
1К: А1,В7,Г6/7,Г8 - 2%
2К: А4,А5,А6,Б1,Б6,Б3/4,В3,В4,Г4,Г5 - 4%
3К: 4%]]+ППД5[[#This Row],[Фикс 04.09.24]]</f>
        <v>99655.701677580393</v>
      </c>
      <c r="CG49" s="93"/>
      <c r="CH49" s="93">
        <f>ППД5[[#This Row],[Фикс 16.09.2024]]+ППД5[[#This Row],[Наценка 01.11.24
СТ: 4%
1К: 34-40м 5%; 40м+ 8%; МГН 1%
2К: 55-70м 6%; 70-73м 7%; 73-76м 8% 
3К: 5%]]</f>
        <v>99655.701677580393</v>
      </c>
      <c r="CI49" s="93"/>
      <c r="CJ49" s="93">
        <f>ППД5[[#This Row],[Наценка 06.11 13%]]+ППД5[[#This Row],[Фикс 01.11.24]]</f>
        <v>99655.701677580393</v>
      </c>
      <c r="CK49" s="93"/>
      <c r="CL49" s="93">
        <f>ППД5[[#This Row],[Фикс 06.11.24]]+ППД5[[#This Row],[Наценка 18.12.24 распределение КВ]]</f>
        <v>99655.701677580393</v>
      </c>
      <c r="CM49" s="93"/>
      <c r="CN49" s="93">
        <f>ППД5[[#This Row],[Фикс 18.12.24]]+ППД5[[#This Row],[Наценка 10.02.25 +1%
1К: А3
2К: Б3, В3]]</f>
        <v>99655.701677580393</v>
      </c>
      <c r="CO49" s="93">
        <f>ROUND(ППД5[[#This Row],[Фикс 10.02.25]],2)</f>
        <v>99655.7</v>
      </c>
      <c r="CP4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5796000</v>
      </c>
      <c r="CQ49" s="93">
        <f>ROUNDUP(ППД5[[#This Row],[Стоимость до скидки]]+ППД5[[#This Row],[Сумма доплаты]],-2)</f>
        <v>5770100</v>
      </c>
      <c r="CR49" s="68"/>
      <c r="CS49" s="90"/>
      <c r="CT49" s="68">
        <f>ППД5[[#This Row],[Стоимость до скидки]]*ППД5[[#This Row],[Скидка %]]+ППД5[[#This Row],[Скидка фиксированная]]</f>
        <v>0</v>
      </c>
      <c r="CU49" s="3">
        <f>ППД5[[#This Row],[Стоимость ОН без отделки со скидкой]]/ППД5[[#This Row],[Расчетная проектная площадь]]</f>
        <v>99656.121045392021</v>
      </c>
      <c r="CV49" s="3">
        <f>ROUND(ППД5[[#This Row],[Стоимость до скидки]]-ППД5[[#This Row],[Итоговая сумма скидки]],2)</f>
        <v>5796000</v>
      </c>
      <c r="CW4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49" s="197">
        <v>7000</v>
      </c>
      <c r="CY49" s="332">
        <f>ППД5[[#This Row],[Расхождение]]/ППД5[[#This Row],[Расчетная проектная площадь]]</f>
        <v>-4.4704264099038023E-3</v>
      </c>
      <c r="CZ4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-0.17000000000000348</v>
      </c>
      <c r="DA49" s="3">
        <f>ППД5[[#This Row],[Цена м2 без отделки со скидкой]]+ППД5[[#This Row],[Стоимость отделки]]</f>
        <v>106656.12104539202</v>
      </c>
      <c r="DB49" s="3">
        <f>ППД5[[#This Row],[Стоимость квартиры с отделкой]]-ППД5[[#This Row],[Стоимость ОН без отделки со скидкой]]</f>
        <v>407120</v>
      </c>
      <c r="DC49" s="3">
        <f>ППД5[[#This Row],[Цена м2 с отделкой]]*ППД5[[#This Row],[Расчетная проектная площадь]]</f>
        <v>6203120</v>
      </c>
      <c r="DD49" s="3"/>
      <c r="DF49" s="199" t="s">
        <v>172</v>
      </c>
      <c r="DG49" s="245" t="s">
        <v>172</v>
      </c>
      <c r="DH49" s="100" t="b">
        <f>EXACT(ППД5[[#This Row],[Статусы CRM]],ППД5[[#This Row],[Статус]])</f>
        <v>1</v>
      </c>
      <c r="DI49" s="213" t="s">
        <v>221</v>
      </c>
      <c r="DJ49" s="204"/>
      <c r="DK49" s="111" t="s">
        <v>763</v>
      </c>
      <c r="DL49" s="216" t="s">
        <v>780</v>
      </c>
      <c r="DM49" s="201" t="b">
        <f>ППД5[[#This Row],[Отделка CRM]]=ППД5[[#This Row],[Отделка]]</f>
        <v>1</v>
      </c>
      <c r="DN49" s="203">
        <v>6203120</v>
      </c>
      <c r="DO4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9" s="207" t="b">
        <f>IF(AND(ППД5[[#This Row],[Статус]]="свободно",ППД5[[#This Row],[Итоговая сумма скидки]]&lt;&gt;0),FALSE,TRUE)</f>
        <v>1</v>
      </c>
      <c r="DQ49" s="240">
        <f>_xlfn.XLOOKUP(ППД5[[#This Row],[№]],Юрист[№ кв],Юрист[Дата подачи на регистрацию]," ",0,-1)</f>
        <v>45502</v>
      </c>
      <c r="DR49" s="115" t="str">
        <f>_xlfn.XLOOKUP(ППД5[[#This Row],[№]],Юрист[№ кв],Юрист[МОП],"",0,-1)</f>
        <v>Полехович</v>
      </c>
      <c r="DS49" s="333" t="s">
        <v>2390</v>
      </c>
      <c r="DT49" s="333" t="s">
        <v>2391</v>
      </c>
      <c r="DU49" s="333">
        <v>56.6</v>
      </c>
      <c r="DV49" s="111"/>
    </row>
    <row r="50" spans="1:129" hidden="1" x14ac:dyDescent="0.25">
      <c r="A50" s="112">
        <v>48</v>
      </c>
      <c r="B50" s="111" t="s">
        <v>5</v>
      </c>
      <c r="C50" s="111">
        <v>7</v>
      </c>
      <c r="D50" s="111">
        <v>7</v>
      </c>
      <c r="E50" s="111">
        <v>1</v>
      </c>
      <c r="F50" s="157">
        <v>18.489999999999998</v>
      </c>
      <c r="G50" s="105"/>
      <c r="H50" s="105"/>
      <c r="I50" s="94">
        <f>SUM(ППД5[[#This Row],[Комната 1]:[Комната 3]])</f>
        <v>18.489999999999998</v>
      </c>
      <c r="J50" s="105">
        <v>13.04</v>
      </c>
      <c r="K50" s="105">
        <v>3.9</v>
      </c>
      <c r="L50" s="105"/>
      <c r="M50" s="105"/>
      <c r="N50" s="105">
        <v>5.99</v>
      </c>
      <c r="O50" s="105">
        <v>2.65</v>
      </c>
      <c r="P50" s="105"/>
      <c r="Q50" s="105"/>
      <c r="R50" s="105">
        <f>SUM(ППД5[[#This Row],[Лоджия 1]:[Лоджия 3]])</f>
        <v>2.65</v>
      </c>
      <c r="S50" s="7">
        <f>ROUND(SUM(ППД5[[#This Row],[Площадь по проекту жилая]:[Лоджия 3]]),2)</f>
        <v>44.07</v>
      </c>
      <c r="T50" s="7">
        <f>ROUND(ППД5[[#This Row],[Площадь по проекту(общая)]]-ППД5[[#This Row],[Летние]],2)</f>
        <v>41.42</v>
      </c>
      <c r="U50" s="92">
        <f>ROUND(ППД5[[#This Row],[Площадь по проекту(общая)]]-(SUM(ППД5[[#This Row],[Лоджия 1]:[Лоджия 3]])/2),2)</f>
        <v>42.75</v>
      </c>
      <c r="V50" s="92">
        <f>IF(ППД5[[#This Row],[Статус]]="продажа",ППД5[[#This Row],[Расчетная проектная площадь]],ППД5[[#This Row],[Расчетная ТП площадь]])</f>
        <v>42.75</v>
      </c>
      <c r="W50" s="92">
        <v>18.5</v>
      </c>
      <c r="X50" s="92"/>
      <c r="Y50" s="92"/>
      <c r="Z50" s="92">
        <f>SUM(ППД5[[#This Row],[ТП Комната 1]:[ТП Комната 3]])</f>
        <v>18.5</v>
      </c>
      <c r="AA50" s="92">
        <v>12.9</v>
      </c>
      <c r="AB50" s="92">
        <v>3.9</v>
      </c>
      <c r="AC50" s="92"/>
      <c r="AD50" s="92"/>
      <c r="AE50" s="92">
        <v>6</v>
      </c>
      <c r="AF50" s="91">
        <v>1.35</v>
      </c>
      <c r="AG50" s="92"/>
      <c r="AH50" s="92"/>
      <c r="AI50" s="91">
        <f>SUM(ППД5[[#This Row],[ТП Лоджия 1]:[ТП Лоджия 3]])</f>
        <v>1.35</v>
      </c>
      <c r="AJ50" s="95">
        <v>2.7</v>
      </c>
      <c r="AK50" s="92">
        <f>SUM(ППД5[[#This Row],[Площадь по ТП жилая]:[ТП Лоджия 3]])-ППД5[[#This Row],[ТП Летние]]+ППД5[[#This Row],[кроме того прочая
(без коэффициента)]]</f>
        <v>44</v>
      </c>
      <c r="AL50" s="95">
        <f>ППД5[[#This Row],[ТП Площадь без летних]]+(ППД5[[#This Row],[ТП Летние]])</f>
        <v>42.65</v>
      </c>
      <c r="AM50" s="92">
        <f>ППД5[[#This Row],[ТП общая S]]-ППД5[[#This Row],[кроме того прочая
(без коэффициента)]]</f>
        <v>41.3</v>
      </c>
      <c r="AN50" s="95">
        <f>SUM(ППД5[[#This Row],[ТП Кухня]:[ТП Коридор]])</f>
        <v>22.8</v>
      </c>
      <c r="AO50" s="91">
        <f>ППД5[[#This Row],[Расчетная ТП площадь]]-ППД5[[#This Row],[Расчетная проектная площадь]]</f>
        <v>-0.10000000000000142</v>
      </c>
      <c r="AP50" s="335">
        <f>ППД5[[#This Row],[Расчетная ТП площадь]]/ППД5[[#This Row],[Расчетная проектная площадь]]-1</f>
        <v>-2.3391812865497519E-3</v>
      </c>
      <c r="AQ50" s="92">
        <f>ППД5[[#This Row],[% расхождения]]*ППД5[[#This Row],[Стоимость до скидки]]</f>
        <v>-11047.485380117168</v>
      </c>
      <c r="AR50" s="92">
        <f>VLOOKUP(ППД5[[#This Row],[№]],наценкад5[],COLUMN(наценкад5[[#This Row],[Цена м2 с учетом всех K]]),0)</f>
        <v>83951.4375</v>
      </c>
      <c r="AS50" s="7">
        <f>ППД5[[#This Row],[м2 после К]]*5%</f>
        <v>4197.5718750000005</v>
      </c>
      <c r="AT50" s="7">
        <f>ППД5[[#This Row],[м2 после К]]+ППД5[[#This Row],[Повышение 16.08.23 - 5%]]</f>
        <v>88149.009374999994</v>
      </c>
      <c r="AU50" s="9">
        <f>ППД5[[#This Row],[Фикс 16.08.23]]*3%</f>
        <v>2644.4702812499995</v>
      </c>
      <c r="AV50" s="9">
        <f>ППД5[[#This Row],[Фикс 16.08.23]]+ППД5[[#This Row],[Повышение 29.08.23 - 3%]]</f>
        <v>90793.479656249998</v>
      </c>
      <c r="AW50" s="93">
        <f>ППД5[[#This Row],[Фикс 29.08.23]]*4%</f>
        <v>3631.7391862499999</v>
      </c>
      <c r="AX50" s="9">
        <f>ППД5[[#This Row],[Фикс 29.08.23]]+ППД5[[#This Row],[Повышение 06.09.23 СТ и 1К]]</f>
        <v>94425.218842499991</v>
      </c>
      <c r="AY50" s="9"/>
      <c r="AZ50" s="9">
        <f>ППД5[[#This Row],[Повышение 23.10.23  В4 ]]+ППД5[[#This Row],[Фикс 06.09.23]]</f>
        <v>94425.218842499991</v>
      </c>
      <c r="BA50" s="93">
        <f>ППД5[[#This Row],[Фикс 23.10.23]]*5%</f>
        <v>4721.2609421249999</v>
      </c>
      <c r="BB50" s="93">
        <f>ППД5[[#This Row],[Повышение 8.11.23 1К 5%]]+ППД5[[#This Row],[Фикс 23.10.23]]</f>
        <v>99146.479784624986</v>
      </c>
      <c r="BC50" s="93"/>
      <c r="BD50" s="93">
        <f>ППД5[[#This Row],[Корректировка 24.11.23 - 1К В5, 2К А2, №233]]+ППД5[[#This Row],[Фикс 8.11.23]]</f>
        <v>99146.479784624986</v>
      </c>
      <c r="BE50" s="93">
        <f>ППД5[[#This Row],[Фикс 8.11.24]]*1%</f>
        <v>991.46479784624989</v>
      </c>
      <c r="BF50" s="93">
        <f>ППД5[[#This Row],[Наценка за отделку 29.12.23 1%]]+ППД5[[#This Row],[Фикс 8.11.24]]</f>
        <v>100137.94458247123</v>
      </c>
      <c r="BG50" s="93">
        <f>ППД5[[#This Row],[Фикс 29.12.23]]*5%</f>
        <v>5006.8972291235623</v>
      </c>
      <c r="BH50" s="93">
        <f>ППД5[[#This Row],[Фикс 29.12.23]]+ППД5[[#This Row],[Наценка 10.01.24 5%]]</f>
        <v>105144.84181159479</v>
      </c>
      <c r="BI50" s="93"/>
      <c r="BJ50" s="93">
        <f>ППД5[[#This Row],[Наценка 26.02.24 1 Этаж]]+ППД5[[#This Row],[Фикс 10.01.24]]</f>
        <v>105144.84181159479</v>
      </c>
      <c r="BK50" s="93">
        <f>ППД5[[#This Row],[Фикс 26.02.24]]*3%</f>
        <v>3154.3452543478434</v>
      </c>
      <c r="BL50" s="93">
        <f>ППД5[[#This Row],[Фикс 26.02.24]]+ППД5[[#This Row],[Наценка 06.03.24
СТ, 1К - 3%
2К, 3К - 2%]]</f>
        <v>108299.18706594263</v>
      </c>
      <c r="BM50" s="93"/>
      <c r="BN50" s="93">
        <f>ППД5[[#This Row],[Фикс 06.03.24]]+ППД5[[#This Row],[Наценка Г2+500]]</f>
        <v>108299.18706594263</v>
      </c>
      <c r="BO50" s="93"/>
      <c r="BP50" s="93">
        <f>ППД5[[#This Row],[Фикс 13.03.25]]+ППД5[[#This Row],[Наценка 20.03.24
2К, 3К - 2%]]</f>
        <v>108299.18706594263</v>
      </c>
      <c r="BQ50" s="93"/>
      <c r="BR50" s="93">
        <f>ППД5[[#This Row],[Фикс 20.03.24]]+ППД5[[#This Row],[Наценка 08.04.24 
2К: В3 - 150
3К: Г7 +1000]]</f>
        <v>108299.18706594263</v>
      </c>
      <c r="BS50" s="93"/>
      <c r="BT50" s="93">
        <f>ППД5[[#This Row],[Фикс 08.04.24]]+ППД5[[#This Row],[Наценка 16.05.24 1%
А4,А6,Б3,Б6,Б7,В2,В3,В5,В6,Г1,Г3-Г5]]</f>
        <v>108299.18706594263</v>
      </c>
      <c r="BU50" s="93"/>
      <c r="BV50" s="93">
        <f>ППД5[[#This Row],[Фикс 16.05.24]]+ППД5[[#This Row],[Наценка 24.05.24
1% - Б4, Б5,Г2,Г6
2% - А1,А3,А5,Б2,Г7]]</f>
        <v>108299.18706594263</v>
      </c>
      <c r="BW50" s="9">
        <f>ППД5[[#This Row],[Фикс 24.05.24]]*0.5%</f>
        <v>541.49593532971323</v>
      </c>
      <c r="BX50" s="93">
        <f>ППД5[[#This Row],[Наценка 06.06.24
0К: В2,Г3 +0,5%
1К: А7, Б5/4, Г6 +0,5%
3К: В6 +0,5%
1К: А3 +1%]]+ППД5[[#This Row],[Фикс 24.05.24]]</f>
        <v>108840.68300127235</v>
      </c>
      <c r="BY50" s="93"/>
      <c r="BZ50" s="93">
        <f>ППД5[[#This Row],[Фикс 06.06.24]]+ППД5[[#This Row],[13.06.2024
3К - 2%]]</f>
        <v>108840.68300127235</v>
      </c>
      <c r="CA50" s="93">
        <f>1.5%*ППД5[[#This Row],[Фикс 13.06.24]]</f>
        <v>1632.6102450190851</v>
      </c>
      <c r="CB50" s="93">
        <f>ППД5[[#This Row],[02.07.2024: Г3 А1 А3 Б5 Б7 Г2 Г6 Б3 Б4 В3 Г7 2,5% ост 0,5-1,5%]]+ППД5[[#This Row],[Фикс 13.06.24]]</f>
        <v>110473.29324629143</v>
      </c>
      <c r="CC50" s="93"/>
      <c r="CD50" s="93">
        <f>ППД5[[#This Row],[Фикс 02.07.24]]+ППД5[[#This Row],[04.09.2024 +500
0К - Б2; 1К - А3;
2К - А6, Б4, В3, Г5]]</f>
        <v>110473.29324629143</v>
      </c>
      <c r="CE50" s="93"/>
      <c r="CF50" s="93">
        <f>ППД5[[#This Row],[Наценка 16.09.2024
1К: А1,В7,Г6/7,Г8 - 2%
2К: А4,А5,А6,Б1,Б6,Б3/4,В3,В4,Г4,Г5 - 4%
3К: 4%]]+ППД5[[#This Row],[Фикс 04.09.24]]</f>
        <v>110473.29324629143</v>
      </c>
      <c r="CG50" s="93"/>
      <c r="CH50" s="93">
        <f>ППД5[[#This Row],[Фикс 16.09.2024]]+ППД5[[#This Row],[Наценка 01.11.24
СТ: 4%
1К: 34-40м 5%; 40м+ 8%; МГН 1%
2К: 55-70м 6%; 70-73м 7%; 73-76м 8% 
3К: 5%]]</f>
        <v>110473.29324629143</v>
      </c>
      <c r="CI50" s="93"/>
      <c r="CJ50" s="93">
        <f>ППД5[[#This Row],[Наценка 06.11 13%]]+ППД5[[#This Row],[Фикс 01.11.24]]</f>
        <v>110473.29324629143</v>
      </c>
      <c r="CK50" s="93"/>
      <c r="CL50" s="93">
        <f>ППД5[[#This Row],[Фикс 06.11.24]]+ППД5[[#This Row],[Наценка 18.12.24 распределение КВ]]</f>
        <v>110473.29324629143</v>
      </c>
      <c r="CM50" s="93"/>
      <c r="CN50" s="93">
        <f>ППД5[[#This Row],[Фикс 18.12.24]]+ППД5[[#This Row],[Наценка 10.02.25 +1%
1К: А3
2К: Б3, В3]]</f>
        <v>110473.29324629143</v>
      </c>
      <c r="CO50" s="93">
        <f>ROUND(ППД5[[#This Row],[Фикс 10.02.25]],2)</f>
        <v>110473.29</v>
      </c>
      <c r="CP5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4722800</v>
      </c>
      <c r="CQ50" s="93">
        <f>ROUNDUP(ППД5[[#This Row],[Стоимость до скидки]]+ППД5[[#This Row],[Сумма доплаты]],-2)</f>
        <v>4711800</v>
      </c>
      <c r="CR50" s="68"/>
      <c r="CS50" s="90">
        <v>0.02</v>
      </c>
      <c r="CT50" s="68">
        <f>ППД5[[#This Row],[Стоимость до скидки]]*ППД5[[#This Row],[Скидка %]]+ППД5[[#This Row],[Скидка фиксированная]]</f>
        <v>94456</v>
      </c>
      <c r="CU50" s="3">
        <f>ППД5[[#This Row],[Стоимость ОН без отделки со скидкой]]/ППД5[[#This Row],[Расчетная проектная площадь]]</f>
        <v>108265.35672514619</v>
      </c>
      <c r="CV50" s="3">
        <f>ROUND(ППД5[[#This Row],[Стоимость до скидки]]-ППД5[[#This Row],[Итоговая сумма скидки]],2)</f>
        <v>4628344</v>
      </c>
      <c r="CW5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0" s="197"/>
      <c r="CY50" s="332">
        <f>ППД5[[#This Row],[Расхождение]]/ППД5[[#This Row],[Расчетная проектная площадь]]</f>
        <v>-2.339181286549741E-3</v>
      </c>
      <c r="CZ5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-0.12999999999999723</v>
      </c>
      <c r="DA50" s="3">
        <f>ППД5[[#This Row],[Цена м2 без отделки со скидкой]]+ППД5[[#This Row],[Стоимость отделки]]</f>
        <v>108265.35672514619</v>
      </c>
      <c r="DB50" s="3">
        <f>ППД5[[#This Row],[Стоимость квартиры с отделкой]]-ППД5[[#This Row],[Стоимость ОН без отделки со скидкой]]</f>
        <v>0</v>
      </c>
      <c r="DC50" s="3">
        <f>ППД5[[#This Row],[Цена м2 с отделкой]]*ППД5[[#This Row],[Расчетная проектная площадь]]</f>
        <v>4628344</v>
      </c>
      <c r="DD50" s="3"/>
      <c r="DE50" s="111" t="s">
        <v>757</v>
      </c>
      <c r="DF50" s="199" t="s">
        <v>172</v>
      </c>
      <c r="DG50" s="245" t="s">
        <v>172</v>
      </c>
      <c r="DH50" s="100" t="b">
        <f>EXACT(ППД5[[#This Row],[Статусы CRM]],ППД5[[#This Row],[Статус]])</f>
        <v>1</v>
      </c>
      <c r="DI50" s="213" t="s">
        <v>222</v>
      </c>
      <c r="DJ50" s="204"/>
      <c r="DK50" s="111" t="s">
        <v>763</v>
      </c>
      <c r="DL50" s="216" t="s">
        <v>12</v>
      </c>
      <c r="DM50" s="201" t="b">
        <f>ППД5[[#This Row],[Отделка CRM]]=ППД5[[#This Row],[Отделка]]</f>
        <v>1</v>
      </c>
      <c r="DN50" s="203">
        <v>4628344</v>
      </c>
      <c r="DO5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0" s="207" t="b">
        <f>IF(AND(ППД5[[#This Row],[Статус]]="свободно",ППД5[[#This Row],[Итоговая сумма скидки]]&lt;&gt;0),FALSE,TRUE)</f>
        <v>1</v>
      </c>
      <c r="DQ50" s="240">
        <f>_xlfn.XLOOKUP(ППД5[[#This Row],[№]],Юрист[№ кв],Юрист[Дата подачи на регистрацию]," ",0,-1)</f>
        <v>45590</v>
      </c>
      <c r="DR50" s="115" t="str">
        <f>_xlfn.XLOOKUP(ППД5[[#This Row],[№]],Юрист[№ кв],Юрист[МОП],"",0,-1)</f>
        <v>Никишов</v>
      </c>
      <c r="DS50" s="333" t="s">
        <v>2392</v>
      </c>
      <c r="DT50" s="333" t="s">
        <v>2393</v>
      </c>
      <c r="DU50" s="333">
        <v>41.3</v>
      </c>
      <c r="DV50" s="111"/>
    </row>
    <row r="51" spans="1:129" hidden="1" x14ac:dyDescent="0.25">
      <c r="A51" s="112">
        <v>49</v>
      </c>
      <c r="B51" s="111" t="s">
        <v>5</v>
      </c>
      <c r="C51" s="111">
        <v>8</v>
      </c>
      <c r="D51" s="338">
        <v>1</v>
      </c>
      <c r="E51" s="111">
        <v>1</v>
      </c>
      <c r="F51" s="105">
        <v>14.68</v>
      </c>
      <c r="G51" s="105"/>
      <c r="H51" s="105"/>
      <c r="I51" s="94">
        <f>SUM(ППД5[[#This Row],[Комната 1]:[Комната 3]])</f>
        <v>14.68</v>
      </c>
      <c r="J51" s="1">
        <v>9.84</v>
      </c>
      <c r="K51" s="105">
        <v>3.63</v>
      </c>
      <c r="L51" s="105"/>
      <c r="M51" s="105"/>
      <c r="N51" s="105">
        <v>4.8899999999999997</v>
      </c>
      <c r="O51" s="105">
        <v>2.7</v>
      </c>
      <c r="P51" s="105"/>
      <c r="Q51" s="105"/>
      <c r="R51" s="105">
        <f>SUM(ППД5[[#This Row],[Лоджия 1]:[Лоджия 3]])</f>
        <v>2.7</v>
      </c>
      <c r="S51" s="7">
        <f>ROUND(SUM(ППД5[[#This Row],[Площадь по проекту жилая]:[Лоджия 3]]),2)</f>
        <v>35.74</v>
      </c>
      <c r="T51" s="7">
        <f>ROUND(ППД5[[#This Row],[Площадь по проекту(общая)]]-ППД5[[#This Row],[Летние]],2)</f>
        <v>33.04</v>
      </c>
      <c r="U51" s="92">
        <f>ROUND(ППД5[[#This Row],[Площадь по проекту(общая)]]-(SUM(ППД5[[#This Row],[Лоджия 1]:[Лоджия 3]])/2),2)</f>
        <v>34.39</v>
      </c>
      <c r="V51" s="92">
        <f>IF(ППД5[[#This Row],[Статус]]="продажа",ППД5[[#This Row],[Расчетная проектная площадь]],ППД5[[#This Row],[Расчетная ТП площадь]])</f>
        <v>34.39</v>
      </c>
      <c r="W51" s="92">
        <v>14.8</v>
      </c>
      <c r="X51" s="92"/>
      <c r="Y51" s="92"/>
      <c r="Z51" s="92">
        <f>SUM(ППД5[[#This Row],[ТП Комната 1]:[ТП Комната 3]])</f>
        <v>14.8</v>
      </c>
      <c r="AA51" s="92">
        <v>9.6999999999999993</v>
      </c>
      <c r="AB51" s="92">
        <v>3.8</v>
      </c>
      <c r="AC51" s="92"/>
      <c r="AD51" s="92"/>
      <c r="AE51" s="92">
        <v>4.5999999999999996</v>
      </c>
      <c r="AF51" s="91">
        <v>1.35</v>
      </c>
      <c r="AG51" s="92"/>
      <c r="AH51" s="92"/>
      <c r="AI51" s="91">
        <f>SUM(ППД5[[#This Row],[ТП Лоджия 1]:[ТП Лоджия 3]])</f>
        <v>1.35</v>
      </c>
      <c r="AJ51" s="95">
        <v>2.7</v>
      </c>
      <c r="AK51" s="92">
        <f>SUM(ППД5[[#This Row],[Площадь по ТП жилая]:[ТП Лоджия 3]])-ППД5[[#This Row],[ТП Летние]]+ППД5[[#This Row],[кроме того прочая
(без коэффициента)]]</f>
        <v>35.6</v>
      </c>
      <c r="AL51" s="95">
        <f>ППД5[[#This Row],[ТП Площадь без летних]]+(ППД5[[#This Row],[ТП Летние]])</f>
        <v>34.25</v>
      </c>
      <c r="AM51" s="92">
        <f>ППД5[[#This Row],[ТП общая S]]-ППД5[[#This Row],[кроме того прочая
(без коэффициента)]]</f>
        <v>32.9</v>
      </c>
      <c r="AN51" s="95">
        <f>SUM(ППД5[[#This Row],[ТП Кухня]:[ТП Коридор]])</f>
        <v>18.100000000000001</v>
      </c>
      <c r="AO51" s="91">
        <f>ППД5[[#This Row],[Расчетная ТП площадь]]-ППД5[[#This Row],[Расчетная проектная площадь]]</f>
        <v>-0.14000000000000057</v>
      </c>
      <c r="AP51" s="335">
        <f>ППД5[[#This Row],[Расчетная ТП площадь]]/ППД5[[#This Row],[Расчетная проектная площадь]]-1</f>
        <v>-4.0709508578075093E-3</v>
      </c>
      <c r="AQ51" s="92">
        <f>ППД5[[#This Row],[% расхождения]]*ППД5[[#This Row],[Стоимость до скидки]]</f>
        <v>-17124.454783367288</v>
      </c>
      <c r="AR51" s="92">
        <f>VLOOKUP(ППД5[[#This Row],[№]],наценкад5[],COLUMN(наценкад5[[#This Row],[Цена м2 с учетом всех K]]),0)</f>
        <v>82734.75</v>
      </c>
      <c r="AS51" s="7">
        <f>ППД5[[#This Row],[м2 после К]]*5%</f>
        <v>4136.7375000000002</v>
      </c>
      <c r="AT51" s="7">
        <f>ППД5[[#This Row],[м2 после К]]+ППД5[[#This Row],[Повышение 16.08.23 - 5%]]</f>
        <v>86871.487500000003</v>
      </c>
      <c r="AU51" s="9">
        <f>ППД5[[#This Row],[Фикс 16.08.23]]*3%</f>
        <v>2606.1446249999999</v>
      </c>
      <c r="AV51" s="9">
        <f>ППД5[[#This Row],[Фикс 16.08.23]]+ППД5[[#This Row],[Повышение 29.08.23 - 3%]]</f>
        <v>89477.632125000004</v>
      </c>
      <c r="AW51" s="93">
        <f>ППД5[[#This Row],[Фикс 29.08.23]]*14%</f>
        <v>12526.868497500001</v>
      </c>
      <c r="AX51" s="9">
        <f>ППД5[[#This Row],[Фикс 29.08.23]]+ППД5[[#This Row],[Повышение 06.09.23 СТ и 1К]]</f>
        <v>102004.50062250001</v>
      </c>
      <c r="AY51" s="9"/>
      <c r="AZ51" s="9">
        <f>ППД5[[#This Row],[Повышение 23.10.23  В4 ]]+ППД5[[#This Row],[Фикс 06.09.23]]</f>
        <v>102004.50062250001</v>
      </c>
      <c r="BA51" s="93">
        <f>ППД5[[#This Row],[Фикс 23.10.23]]*5%</f>
        <v>5100.2250311250009</v>
      </c>
      <c r="BB51" s="93">
        <f>ППД5[[#This Row],[Повышение 8.11.23 1К 5%]]+ППД5[[#This Row],[Фикс 23.10.23]]</f>
        <v>107104.72565362501</v>
      </c>
      <c r="BC51" s="93"/>
      <c r="BD51" s="93">
        <f>ППД5[[#This Row],[Корректировка 24.11.23 - 1К В5, 2К А2, №233]]+ППД5[[#This Row],[Фикс 8.11.23]]</f>
        <v>107104.72565362501</v>
      </c>
      <c r="BE51" s="93">
        <f>ППД5[[#This Row],[Фикс 8.11.24]]*1%</f>
        <v>1071.0472565362502</v>
      </c>
      <c r="BF51" s="93">
        <f>ППД5[[#This Row],[Наценка за отделку 29.12.23 1%]]+ППД5[[#This Row],[Фикс 8.11.24]]</f>
        <v>108175.77291016125</v>
      </c>
      <c r="BG51" s="93">
        <f>ППД5[[#This Row],[Фикс 29.12.23]]*5%</f>
        <v>5408.7886455080625</v>
      </c>
      <c r="BH51" s="93">
        <f>ППД5[[#This Row],[Фикс 29.12.23]]+ППД5[[#This Row],[Наценка 10.01.24 5%]]</f>
        <v>113584.56155566931</v>
      </c>
      <c r="BI51" s="93"/>
      <c r="BJ51" s="93">
        <f>ППД5[[#This Row],[Наценка 26.02.24 1 Этаж]]+ППД5[[#This Row],[Фикс 10.01.24]]</f>
        <v>113584.56155566931</v>
      </c>
      <c r="BK51" s="93">
        <f>ППД5[[#This Row],[Фикс 26.02.24]]*3%</f>
        <v>3407.5368466700793</v>
      </c>
      <c r="BL51" s="93">
        <f>ППД5[[#This Row],[Фикс 26.02.24]]+ППД5[[#This Row],[Наценка 06.03.24
СТ, 1К - 3%
2К, 3К - 2%]]</f>
        <v>116992.09840233938</v>
      </c>
      <c r="BM51" s="93"/>
      <c r="BN51" s="93">
        <f>ППД5[[#This Row],[Фикс 06.03.24]]+ППД5[[#This Row],[Наценка Г2+500]]</f>
        <v>116992.09840233938</v>
      </c>
      <c r="BO51" s="93"/>
      <c r="BP51" s="93">
        <f>ППД5[[#This Row],[Фикс 13.03.25]]+ППД5[[#This Row],[Наценка 20.03.24
2К, 3К - 2%]]</f>
        <v>116992.09840233938</v>
      </c>
      <c r="BQ51" s="93"/>
      <c r="BR51" s="93">
        <f>ППД5[[#This Row],[Фикс 20.03.24]]+ППД5[[#This Row],[Наценка 08.04.24 
2К: В3 - 150
3К: Г7 +1000]]</f>
        <v>116992.09840233938</v>
      </c>
      <c r="BS51" s="93"/>
      <c r="BT51" s="93">
        <f>ППД5[[#This Row],[Фикс 08.04.24]]+ППД5[[#This Row],[Наценка 16.05.24 1%
А4,А6,Б3,Б6,Б7,В2,В3,В5,В6,Г1,Г3-Г5]]</f>
        <v>116992.09840233938</v>
      </c>
      <c r="BU51" s="93">
        <f>ППД5[[#This Row],[Фикс 16.05.24]]*2%</f>
        <v>2339.8419680467878</v>
      </c>
      <c r="BV51" s="93">
        <f>ППД5[[#This Row],[Фикс 16.05.24]]+ППД5[[#This Row],[Наценка 24.05.24
1% - Б4, Б5,Г2,Г6
2% - А1,А3,А5,Б2,Г7]]</f>
        <v>119331.94037038618</v>
      </c>
      <c r="BW51" s="93"/>
      <c r="BX51" s="93">
        <f>ППД5[[#This Row],[Наценка 06.06.24
0К: В2,Г3 +0,5%
1К: А7, Б5/4, Г6 +0,5%
3К: В6 +0,5%
1К: А3 +1%]]+ППД5[[#This Row],[Фикс 24.05.24]]</f>
        <v>119331.94037038618</v>
      </c>
      <c r="BY51" s="93"/>
      <c r="BZ51" s="93">
        <f>ППД5[[#This Row],[Фикс 06.06.24]]+ППД5[[#This Row],[13.06.2024
3К - 2%]]</f>
        <v>119331.94037038618</v>
      </c>
      <c r="CA51" s="93">
        <f>2.5%*ППД5[[#This Row],[Фикс 13.06.24]]</f>
        <v>2983.2985092596546</v>
      </c>
      <c r="CB51" s="93">
        <f>ППД5[[#This Row],[02.07.2024: Г3 А1 А3 Б5 Б7 Г2 Г6 Б3 Б4 В3 Г7 2,5% ост 0,5-1,5%]]+ППД5[[#This Row],[Фикс 13.06.24]]</f>
        <v>122315.23887964583</v>
      </c>
      <c r="CC51" s="93"/>
      <c r="CD51" s="93">
        <f>ППД5[[#This Row],[Фикс 02.07.24]]+ППД5[[#This Row],[04.09.2024 +500
0К - Б2; 1К - А3;
2К - А6, Б4, В3, Г5]]</f>
        <v>122315.23887964583</v>
      </c>
      <c r="CE51" s="93"/>
      <c r="CF51" s="93">
        <f>ППД5[[#This Row],[Наценка 16.09.2024
1К: А1,В7,Г6/7,Г8 - 2%
2К: А4,А5,А6,Б1,Б6,Б3/4,В3,В4,Г4,Г5 - 4%
3К: 4%]]+ППД5[[#This Row],[Фикс 04.09.24]]</f>
        <v>122315.23887964583</v>
      </c>
      <c r="CG51" s="93"/>
      <c r="CH51" s="93">
        <f>ППД5[[#This Row],[Фикс 16.09.2024]]+ППД5[[#This Row],[Наценка 01.11.24
СТ: 4%
1К: 34-40м 5%; 40м+ 8%; МГН 1%
2К: 55-70м 6%; 70-73м 7%; 73-76м 8% 
3К: 5%]]</f>
        <v>122315.23887964583</v>
      </c>
      <c r="CI51" s="93"/>
      <c r="CJ51" s="93">
        <f>ППД5[[#This Row],[Наценка 06.11 13%]]+ППД5[[#This Row],[Фикс 01.11.24]]</f>
        <v>122315.23887964583</v>
      </c>
      <c r="CK51" s="93"/>
      <c r="CL51" s="93">
        <f>ППД5[[#This Row],[Фикс 06.11.24]]+ППД5[[#This Row],[Наценка 18.12.24 распределение КВ]]</f>
        <v>122315.23887964583</v>
      </c>
      <c r="CM51" s="93"/>
      <c r="CN51" s="93">
        <f>ППД5[[#This Row],[Фикс 18.12.24]]+ППД5[[#This Row],[Наценка 10.02.25 +1%
1К: А3
2К: Б3, В3]]</f>
        <v>122315.23887964583</v>
      </c>
      <c r="CO51" s="93">
        <f>ROUND(ППД5[[#This Row],[Фикс 10.02.25]],2)</f>
        <v>122315.24</v>
      </c>
      <c r="CP5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4206500</v>
      </c>
      <c r="CQ51" s="93">
        <f>ROUNDUP(ППД5[[#This Row],[Стоимость до скидки]]+ППД5[[#This Row],[Сумма доплаты]],-2)</f>
        <v>4189400</v>
      </c>
      <c r="CR51" s="68"/>
      <c r="CS51" s="90"/>
      <c r="CT51" s="68">
        <f>ППД5[[#This Row],[Стоимость до скидки]]*ППД5[[#This Row],[Скидка %]]+ППД5[[#This Row],[Скидка фиксированная]]</f>
        <v>0</v>
      </c>
      <c r="CU51" s="3">
        <f>ППД5[[#This Row],[Стоимость ОН без отделки со скидкой]]/ППД5[[#This Row],[Расчетная проектная площадь]]</f>
        <v>122317.53416690898</v>
      </c>
      <c r="CV51" s="3">
        <f>ROUND(ППД5[[#This Row],[Стоимость до скидки]]-ППД5[[#This Row],[Итоговая сумма скидки]],2)</f>
        <v>4206500</v>
      </c>
      <c r="CW5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51" s="197">
        <v>7000</v>
      </c>
      <c r="CY51" s="332">
        <f>ППД5[[#This Row],[Расхождение]]/ППД5[[#This Row],[Расчетная проектная площадь]]</f>
        <v>-4.0709508578075189E-3</v>
      </c>
      <c r="CZ5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-0.25999999999999801</v>
      </c>
      <c r="DA51" s="3">
        <f>ППД5[[#This Row],[Цена м2 без отделки со скидкой]]+ППД5[[#This Row],[Стоимость отделки]]</f>
        <v>129317.53416690898</v>
      </c>
      <c r="DB51" s="3">
        <f>ППД5[[#This Row],[Стоимость квартиры с отделкой]]-ППД5[[#This Row],[Стоимость ОН без отделки со скидкой]]</f>
        <v>240730</v>
      </c>
      <c r="DC51" s="3">
        <f>ППД5[[#This Row],[Цена м2 с отделкой]]*ППД5[[#This Row],[Расчетная проектная площадь]]</f>
        <v>4447230</v>
      </c>
      <c r="DD51" s="3" t="s">
        <v>154</v>
      </c>
      <c r="DF51" s="155" t="s">
        <v>172</v>
      </c>
      <c r="DG51" s="245" t="s">
        <v>172</v>
      </c>
      <c r="DH51" s="100" t="b">
        <f>EXACT(ППД5[[#This Row],[Статусы CRM]],ППД5[[#This Row],[Статус]])</f>
        <v>1</v>
      </c>
      <c r="DI51" s="213" t="s">
        <v>223</v>
      </c>
      <c r="DJ51" s="204"/>
      <c r="DK51" s="111" t="s">
        <v>763</v>
      </c>
      <c r="DL51" s="216" t="s">
        <v>780</v>
      </c>
      <c r="DM51" s="201" t="b">
        <f>ППД5[[#This Row],[Отделка CRM]]=ППД5[[#This Row],[Отделка]]</f>
        <v>1</v>
      </c>
      <c r="DN51" s="203">
        <v>4447230</v>
      </c>
      <c r="DO5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1" s="207" t="b">
        <f>IF(AND(ППД5[[#This Row],[Статус]]="свободно",ППД5[[#This Row],[Итоговая сумма скидки]]&lt;&gt;0),FALSE,TRUE)</f>
        <v>1</v>
      </c>
      <c r="DQ51" s="240">
        <f>_xlfn.XLOOKUP(ППД5[[#This Row],[№]],Юрист[№ кв],Юрист[Дата подачи на регистрацию]," ",0,-1)</f>
        <v>45559</v>
      </c>
      <c r="DR51" s="115" t="str">
        <f>_xlfn.XLOOKUP(ППД5[[#This Row],[№]],Юрист[№ кв],Юрист[МОП],"",0,-1)</f>
        <v>Дик</v>
      </c>
      <c r="DS51" s="333" t="s">
        <v>2394</v>
      </c>
      <c r="DT51" s="333" t="s">
        <v>2395</v>
      </c>
      <c r="DU51" s="333">
        <v>32.9</v>
      </c>
      <c r="DV51" s="111"/>
    </row>
    <row r="52" spans="1:129" hidden="1" x14ac:dyDescent="0.25">
      <c r="A52" s="112">
        <v>50</v>
      </c>
      <c r="B52" s="111" t="s">
        <v>5</v>
      </c>
      <c r="C52" s="111">
        <v>8</v>
      </c>
      <c r="D52" s="111">
        <v>2</v>
      </c>
      <c r="E52" s="111">
        <v>2</v>
      </c>
      <c r="F52" s="105">
        <v>15.82</v>
      </c>
      <c r="G52" s="156">
        <v>15.54</v>
      </c>
      <c r="H52" s="105"/>
      <c r="I52" s="94">
        <f>SUM(ППД5[[#This Row],[Комната 1]:[Комната 3]])</f>
        <v>31.36</v>
      </c>
      <c r="J52" s="105">
        <v>19.440000000000001</v>
      </c>
      <c r="K52" s="105">
        <v>4.42</v>
      </c>
      <c r="L52" s="105"/>
      <c r="M52" s="105">
        <v>3.25</v>
      </c>
      <c r="N52" s="105">
        <v>8.5299999999999994</v>
      </c>
      <c r="O52" s="105">
        <v>3</v>
      </c>
      <c r="P52" s="105"/>
      <c r="Q52" s="105"/>
      <c r="R52" s="105">
        <f>SUM(ППД5[[#This Row],[Лоджия 1]:[Лоджия 3]])</f>
        <v>3</v>
      </c>
      <c r="S52" s="7">
        <f>ROUND(SUM(ППД5[[#This Row],[Площадь по проекту жилая]:[Лоджия 3]]),2)</f>
        <v>70</v>
      </c>
      <c r="T52" s="7">
        <f>ROUND(ППД5[[#This Row],[Площадь по проекту(общая)]]-ППД5[[#This Row],[Летние]],2)</f>
        <v>67</v>
      </c>
      <c r="U52" s="92">
        <f>ROUND(ППД5[[#This Row],[Площадь по проекту(общая)]]-(SUM(ППД5[[#This Row],[Лоджия 1]:[Лоджия 3]])/2),2)</f>
        <v>68.5</v>
      </c>
      <c r="V52" s="92">
        <f>IF(ППД5[[#This Row],[Статус]]="продажа",ППД5[[#This Row],[Расчетная проектная площадь]],ППД5[[#This Row],[Расчетная ТП площадь]])</f>
        <v>68.5</v>
      </c>
      <c r="W52" s="92">
        <v>15.5</v>
      </c>
      <c r="X52" s="92">
        <v>15.9</v>
      </c>
      <c r="Y52" s="92"/>
      <c r="Z52" s="92">
        <f>SUM(ППД5[[#This Row],[ТП Комната 1]:[ТП Комната 3]])</f>
        <v>31.4</v>
      </c>
      <c r="AA52" s="92">
        <v>19</v>
      </c>
      <c r="AB52" s="92">
        <v>4.5999999999999996</v>
      </c>
      <c r="AC52" s="92"/>
      <c r="AD52" s="92">
        <v>3.5</v>
      </c>
      <c r="AE52" s="92">
        <v>8.6</v>
      </c>
      <c r="AF52" s="92">
        <v>1.5</v>
      </c>
      <c r="AG52" s="92"/>
      <c r="AH52" s="92"/>
      <c r="AI52" s="91">
        <f>SUM(ППД5[[#This Row],[ТП Лоджия 1]:[ТП Лоджия 3]])</f>
        <v>1.5</v>
      </c>
      <c r="AJ52" s="95">
        <v>3</v>
      </c>
      <c r="AK52" s="92">
        <f>SUM(ППД5[[#This Row],[Площадь по ТП жилая]:[ТП Лоджия 3]])-ППД5[[#This Row],[ТП Летние]]+ППД5[[#This Row],[кроме того прочая
(без коэффициента)]]</f>
        <v>70.099999999999994</v>
      </c>
      <c r="AL52" s="95">
        <f>ППД5[[#This Row],[ТП Площадь без летних]]+(ППД5[[#This Row],[ТП Летние]])</f>
        <v>68.599999999999994</v>
      </c>
      <c r="AM52" s="92">
        <f>ППД5[[#This Row],[ТП общая S]]-ППД5[[#This Row],[кроме того прочая
(без коэффициента)]]</f>
        <v>67.099999999999994</v>
      </c>
      <c r="AN52" s="95">
        <f>SUM(ППД5[[#This Row],[ТП Кухня]:[ТП Коридор]])</f>
        <v>35.700000000000003</v>
      </c>
      <c r="AO52" s="91">
        <f>ППД5[[#This Row],[Расчетная ТП площадь]]-ППД5[[#This Row],[Расчетная проектная площадь]]</f>
        <v>9.9999999999994316E-2</v>
      </c>
      <c r="AP52" s="335">
        <f>ППД5[[#This Row],[Расчетная ТП площадь]]/ППД5[[#This Row],[Расчетная проектная площадь]]-1</f>
        <v>1.4598540145984717E-3</v>
      </c>
      <c r="AQ52" s="92">
        <f>ППД5[[#This Row],[% расхождения]]*ППД5[[#This Row],[Стоимость до скидки]]</f>
        <v>9951.9708029192425</v>
      </c>
      <c r="AR52" s="92">
        <f>VLOOKUP(ППД5[[#This Row],[№]],наценкад5[],COLUMN(наценкад5[[#This Row],[Цена м2 с учетом всех K]]),0)</f>
        <v>84168.819000000003</v>
      </c>
      <c r="AS52" s="7">
        <f>ППД5[[#This Row],[м2 после К]]*5%</f>
        <v>4208.4409500000002</v>
      </c>
      <c r="AT52" s="7">
        <f>ППД5[[#This Row],[м2 после К]]+ППД5[[#This Row],[Повышение 16.08.23 - 5%]]</f>
        <v>88377.259950000007</v>
      </c>
      <c r="AU52" s="9">
        <f>ППД5[[#This Row],[Фикс 16.08.23]]*3%</f>
        <v>2651.3177985000002</v>
      </c>
      <c r="AV52" s="9">
        <f>ППД5[[#This Row],[Фикс 16.08.23]]+ППД5[[#This Row],[Повышение 29.08.23 - 3%]]</f>
        <v>91028.577748500014</v>
      </c>
      <c r="AW52" s="9"/>
      <c r="AX52" s="9">
        <f>ППД5[[#This Row],[Фикс 29.08.23]]+ППД5[[#This Row],[Повышение 06.09.23 СТ и 1К]]</f>
        <v>91028.577748500014</v>
      </c>
      <c r="AY52" s="9"/>
      <c r="AZ52" s="9">
        <f>ППД5[[#This Row],[Повышение 23.10.23  В4 ]]+ППД5[[#This Row],[Фикс 06.09.23]]</f>
        <v>91028.577748500014</v>
      </c>
      <c r="BA52" s="9"/>
      <c r="BB52" s="9">
        <f>ППД5[[#This Row],[Повышение 8.11.23 1К 5%]]+ППД5[[#This Row],[Фикс 23.10.23]]</f>
        <v>91028.577748500014</v>
      </c>
      <c r="BC52" s="9">
        <v>-831</v>
      </c>
      <c r="BD52" s="9">
        <f>ППД5[[#This Row],[Корректировка 24.11.23 - 1К В5, 2К А2, №233]]+ППД5[[#This Row],[Фикс 8.11.23]]</f>
        <v>90197.577748500014</v>
      </c>
      <c r="BE52" s="93">
        <f>ППД5[[#This Row],[Фикс 8.11.24]]*1%</f>
        <v>901.97577748500021</v>
      </c>
      <c r="BF52" s="9">
        <f>ППД5[[#This Row],[Наценка за отделку 29.12.23 1%]]+ППД5[[#This Row],[Фикс 8.11.24]]</f>
        <v>91099.553525985015</v>
      </c>
      <c r="BG52" s="93">
        <f>ППД5[[#This Row],[Фикс 29.12.23]]*5%</f>
        <v>4554.9776762992506</v>
      </c>
      <c r="BH52" s="9">
        <f>ППД5[[#This Row],[Фикс 29.12.23]]+ППД5[[#This Row],[Наценка 10.01.24 5%]]</f>
        <v>95654.53120228427</v>
      </c>
      <c r="BI52" s="9"/>
      <c r="BJ52" s="9">
        <f>ППД5[[#This Row],[Наценка 26.02.24 1 Этаж]]+ППД5[[#This Row],[Фикс 10.01.24]]</f>
        <v>95654.53120228427</v>
      </c>
      <c r="BK52" s="93">
        <f>ППД5[[#This Row],[Фикс 26.02.24]]*2%</f>
        <v>1913.0906240456854</v>
      </c>
      <c r="BL52" s="9">
        <f>ППД5[[#This Row],[Фикс 26.02.24]]+ППД5[[#This Row],[Наценка 06.03.24
СТ, 1К - 3%
2К, 3К - 2%]]</f>
        <v>97567.621826329952</v>
      </c>
      <c r="BM52" s="9"/>
      <c r="BN52" s="9">
        <f>ППД5[[#This Row],[Фикс 06.03.24]]+ППД5[[#This Row],[Наценка Г2+500]]</f>
        <v>97567.621826329952</v>
      </c>
      <c r="BO52" s="9">
        <f>ППД5[[#This Row],[Фикс 13.03.25]]*2%</f>
        <v>1951.3524365265991</v>
      </c>
      <c r="BP52" s="9">
        <f>ППД5[[#This Row],[Фикс 13.03.25]]+ППД5[[#This Row],[Наценка 20.03.24
2К, 3К - 2%]]</f>
        <v>99518.974262856558</v>
      </c>
      <c r="BQ52" s="9"/>
      <c r="BR52" s="9">
        <f>ППД5[[#This Row],[Фикс 20.03.24]]+ППД5[[#This Row],[Наценка 08.04.24 
2К: В3 - 150
3К: Г7 +1000]]</f>
        <v>99518.974262856558</v>
      </c>
      <c r="BS52" s="9"/>
      <c r="BT52" s="9">
        <f>ППД5[[#This Row],[Фикс 08.04.24]]+ППД5[[#This Row],[Наценка 16.05.24 1%
А4,А6,Б3,Б6,Б7,В2,В3,В5,В6,Г1,Г3-Г5]]</f>
        <v>99518.974262856558</v>
      </c>
      <c r="BU52" s="9"/>
      <c r="BV52" s="9">
        <f>ППД5[[#This Row],[Фикс 16.05.24]]+ППД5[[#This Row],[Наценка 24.05.24
1% - Б4, Б5,Г2,Г6
2% - А1,А3,А5,Б2,Г7]]</f>
        <v>99518.974262856558</v>
      </c>
      <c r="BW52" s="9"/>
      <c r="BX52" s="9">
        <f>ППД5[[#This Row],[Наценка 06.06.24
0К: В2,Г3 +0,5%
1К: А7, Б5/4, Г6 +0,5%
3К: В6 +0,5%
1К: А3 +1%]]+ППД5[[#This Row],[Фикс 24.05.24]]</f>
        <v>99518.974262856558</v>
      </c>
      <c r="BY52" s="9"/>
      <c r="BZ52" s="9">
        <f>ППД5[[#This Row],[Фикс 06.06.24]]+ППД5[[#This Row],[13.06.2024
3К - 2%]]</f>
        <v>99518.974262856558</v>
      </c>
      <c r="CA52" s="9"/>
      <c r="CB52" s="9">
        <f>ППД5[[#This Row],[02.07.2024: Г3 А1 А3 Б5 Б7 Г2 Г6 Б3 Б4 В3 Г7 2,5% ост 0,5-1,5%]]+ППД5[[#This Row],[Фикс 13.06.24]]</f>
        <v>99518.974262856558</v>
      </c>
      <c r="CC52" s="9"/>
      <c r="CD52" s="9">
        <f>ППД5[[#This Row],[Фикс 02.07.24]]+ППД5[[#This Row],[04.09.2024 +500
0К - Б2; 1К - А3;
2К - А6, Б4, В3, Г5]]</f>
        <v>99518.974262856558</v>
      </c>
      <c r="CE52" s="9"/>
      <c r="CF52" s="9">
        <f>ППД5[[#This Row],[Наценка 16.09.2024
1К: А1,В7,Г6/7,Г8 - 2%
2К: А4,А5,А6,Б1,Б6,Б3/4,В3,В4,Г4,Г5 - 4%
3К: 4%]]+ППД5[[#This Row],[Фикс 04.09.24]]</f>
        <v>99518.974262856558</v>
      </c>
      <c r="CG52" s="9"/>
      <c r="CH52" s="9">
        <f>ППД5[[#This Row],[Фикс 16.09.2024]]+ППД5[[#This Row],[Наценка 01.11.24
СТ: 4%
1К: 34-40м 5%; 40м+ 8%; МГН 1%
2К: 55-70м 6%; 70-73м 7%; 73-76м 8% 
3К: 5%]]</f>
        <v>99518.974262856558</v>
      </c>
      <c r="CI52" s="9"/>
      <c r="CJ52" s="9">
        <f>ППД5[[#This Row],[Наценка 06.11 13%]]+ППД5[[#This Row],[Фикс 01.11.24]]</f>
        <v>99518.974262856558</v>
      </c>
      <c r="CK52" s="9"/>
      <c r="CL52" s="9">
        <f>ППД5[[#This Row],[Фикс 06.11.24]]+ППД5[[#This Row],[Наценка 18.12.24 распределение КВ]]</f>
        <v>99518.974262856558</v>
      </c>
      <c r="CM52" s="9"/>
      <c r="CN52" s="9">
        <f>ППД5[[#This Row],[Фикс 18.12.24]]+ППД5[[#This Row],[Наценка 10.02.25 +1%
1К: А3
2К: Б3, В3]]</f>
        <v>99518.974262856558</v>
      </c>
      <c r="CO52" s="93">
        <f>ROUND(ППД5[[#This Row],[Фикс 10.02.25]],2)</f>
        <v>99518.97</v>
      </c>
      <c r="CP5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6817100</v>
      </c>
      <c r="CQ52" s="93">
        <f>ROUNDUP(ППД5[[#This Row],[Стоимость до скидки]]+ППД5[[#This Row],[Сумма доплаты]],-2)</f>
        <v>6827100</v>
      </c>
      <c r="CR52" s="68">
        <v>100000</v>
      </c>
      <c r="CS52" s="90"/>
      <c r="CT52" s="68">
        <f>ППД5[[#This Row],[Стоимость до скидки]]*ППД5[[#This Row],[Скидка %]]+ППД5[[#This Row],[Скидка фиксированная]]</f>
        <v>100000</v>
      </c>
      <c r="CU52" s="3">
        <f>ППД5[[#This Row],[Стоимость ОН без отделки со скидкой]]/ППД5[[#This Row],[Расчетная проектная площадь]]</f>
        <v>98059.854014598546</v>
      </c>
      <c r="CV52" s="3">
        <f>ROUND(ППД5[[#This Row],[Стоимость до скидки]]-ППД5[[#This Row],[Итоговая сумма скидки]],2)</f>
        <v>6717100</v>
      </c>
      <c r="CW5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2" s="197"/>
      <c r="CY52" s="332">
        <f>ППД5[[#This Row],[Расхождение]]/ППД5[[#This Row],[Расчетная проектная площадь]]</f>
        <v>1.4598540145984572E-3</v>
      </c>
      <c r="CZ5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5.9999999999998721E-2</v>
      </c>
      <c r="DA52" s="3">
        <f>ППД5[[#This Row],[Цена м2 без отделки со скидкой]]+ППД5[[#This Row],[Стоимость отделки]]</f>
        <v>98059.854014598546</v>
      </c>
      <c r="DB52" s="3">
        <f>ППД5[[#This Row],[Стоимость квартиры с отделкой]]-ППД5[[#This Row],[Стоимость ОН без отделки со скидкой]]</f>
        <v>0</v>
      </c>
      <c r="DC52" s="3">
        <f>ППД5[[#This Row],[Цена м2 с отделкой]]*ППД5[[#This Row],[Расчетная проектная площадь]]</f>
        <v>6717100</v>
      </c>
      <c r="DD52" s="3"/>
      <c r="DE52" s="111" t="s">
        <v>171</v>
      </c>
      <c r="DF52" s="199" t="s">
        <v>172</v>
      </c>
      <c r="DG52" s="245" t="s">
        <v>172</v>
      </c>
      <c r="DH52" s="100" t="b">
        <f>EXACT(ППД5[[#This Row],[Статусы CRM]],ППД5[[#This Row],[Статус]])</f>
        <v>1</v>
      </c>
      <c r="DI52" s="213" t="s">
        <v>224</v>
      </c>
      <c r="DJ52" s="204"/>
      <c r="DK52" s="111" t="s">
        <v>763</v>
      </c>
      <c r="DL52" s="216" t="s">
        <v>12</v>
      </c>
      <c r="DM52" s="201" t="b">
        <f>ППД5[[#This Row],[Отделка CRM]]=ППД5[[#This Row],[Отделка]]</f>
        <v>1</v>
      </c>
      <c r="DN52" s="203">
        <v>6717100</v>
      </c>
      <c r="DO5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2" s="207" t="b">
        <f>IF(AND(ППД5[[#This Row],[Статус]]="свободно",ППД5[[#This Row],[Итоговая сумма скидки]]&lt;&gt;0),FALSE,TRUE)</f>
        <v>1</v>
      </c>
      <c r="DQ52" s="240">
        <f>_xlfn.XLOOKUP(ППД5[[#This Row],[№]],Юрист[№ кв],Юрист[Дата подачи на регистрацию]," ",0,-1)</f>
        <v>45474</v>
      </c>
      <c r="DR52" s="115" t="str">
        <f>_xlfn.XLOOKUP(ППД5[[#This Row],[№]],Юрист[№ кв],Юрист[МОП],"",0,-1)</f>
        <v>Дик</v>
      </c>
      <c r="DS52" s="333" t="s">
        <v>2396</v>
      </c>
      <c r="DT52" s="333" t="s">
        <v>2397</v>
      </c>
      <c r="DU52" s="333">
        <v>67.099999999999994</v>
      </c>
      <c r="DV52" s="111"/>
    </row>
    <row r="53" spans="1:129" hidden="1" x14ac:dyDescent="0.25">
      <c r="A53" s="112">
        <v>51</v>
      </c>
      <c r="B53" s="111" t="s">
        <v>5</v>
      </c>
      <c r="C53" s="111">
        <v>8</v>
      </c>
      <c r="D53" s="111">
        <v>3</v>
      </c>
      <c r="E53" s="111">
        <v>1</v>
      </c>
      <c r="F53" s="105">
        <v>13.6</v>
      </c>
      <c r="G53" s="105"/>
      <c r="H53" s="105"/>
      <c r="I53" s="94">
        <f>SUM(ППД5[[#This Row],[Комната 1]:[Комната 3]])</f>
        <v>13.6</v>
      </c>
      <c r="J53" s="105">
        <v>14.97</v>
      </c>
      <c r="K53" s="105">
        <v>4.1100000000000003</v>
      </c>
      <c r="L53" s="105"/>
      <c r="M53" s="105"/>
      <c r="N53" s="105">
        <v>3.7</v>
      </c>
      <c r="O53" s="105">
        <v>2.69</v>
      </c>
      <c r="P53" s="105"/>
      <c r="Q53" s="105"/>
      <c r="R53" s="105">
        <f>SUM(ППД5[[#This Row],[Лоджия 1]:[Лоджия 3]])</f>
        <v>2.69</v>
      </c>
      <c r="S53" s="7">
        <f>ROUND(SUM(ППД5[[#This Row],[Площадь по проекту жилая]:[Лоджия 3]]),2)</f>
        <v>39.07</v>
      </c>
      <c r="T53" s="7">
        <f>ROUND(ППД5[[#This Row],[Площадь по проекту(общая)]]-ППД5[[#This Row],[Летние]],2)</f>
        <v>36.380000000000003</v>
      </c>
      <c r="U53" s="92">
        <f>ROUND(ППД5[[#This Row],[Площадь по проекту(общая)]]-(SUM(ППД5[[#This Row],[Лоджия 1]:[Лоджия 3]])/2),2)</f>
        <v>37.729999999999997</v>
      </c>
      <c r="V53" s="92">
        <f>IF(ППД5[[#This Row],[Статус]]="продажа",ППД5[[#This Row],[Расчетная проектная площадь]],ППД5[[#This Row],[Расчетная ТП площадь]])</f>
        <v>37.729999999999997</v>
      </c>
      <c r="W53" s="92">
        <v>13.5</v>
      </c>
      <c r="X53" s="92"/>
      <c r="Y53" s="92"/>
      <c r="Z53" s="92">
        <f>SUM(ППД5[[#This Row],[ТП Комната 1]:[ТП Комната 3]])</f>
        <v>13.5</v>
      </c>
      <c r="AA53" s="92">
        <v>14.9</v>
      </c>
      <c r="AB53" s="92">
        <v>4.0999999999999996</v>
      </c>
      <c r="AC53" s="92"/>
      <c r="AD53" s="92"/>
      <c r="AE53" s="92">
        <v>3.8</v>
      </c>
      <c r="AF53" s="91">
        <v>1.35</v>
      </c>
      <c r="AG53" s="92"/>
      <c r="AH53" s="92"/>
      <c r="AI53" s="91">
        <f>SUM(ППД5[[#This Row],[ТП Лоджия 1]:[ТП Лоджия 3]])</f>
        <v>1.35</v>
      </c>
      <c r="AJ53" s="95">
        <v>2.7</v>
      </c>
      <c r="AK53" s="92">
        <f>SUM(ППД5[[#This Row],[Площадь по ТП жилая]:[ТП Лоджия 3]])-ППД5[[#This Row],[ТП Летние]]+ППД5[[#This Row],[кроме того прочая
(без коэффициента)]]</f>
        <v>39</v>
      </c>
      <c r="AL53" s="95">
        <f>ППД5[[#This Row],[ТП Площадь без летних]]+(ППД5[[#This Row],[ТП Летние]])</f>
        <v>37.65</v>
      </c>
      <c r="AM53" s="92">
        <f>ППД5[[#This Row],[ТП общая S]]-ППД5[[#This Row],[кроме того прочая
(без коэффициента)]]</f>
        <v>36.299999999999997</v>
      </c>
      <c r="AN53" s="95">
        <f>SUM(ППД5[[#This Row],[ТП Кухня]:[ТП Коридор]])</f>
        <v>22.8</v>
      </c>
      <c r="AO53" s="91">
        <f>ППД5[[#This Row],[Расчетная ТП площадь]]-ППД5[[#This Row],[Расчетная проектная площадь]]</f>
        <v>-7.9999999999998295E-2</v>
      </c>
      <c r="AP53" s="335">
        <f>ППД5[[#This Row],[Расчетная ТП площадь]]/ППД5[[#This Row],[Расчетная проектная площадь]]-1</f>
        <v>-2.1203286509408059E-3</v>
      </c>
      <c r="AQ53" s="92">
        <f>ППД5[[#This Row],[% расхождения]]*ППД5[[#This Row],[Стоимость до скидки]]</f>
        <v>-9301.457725947128</v>
      </c>
      <c r="AR53" s="92">
        <f>VLOOKUP(ППД5[[#This Row],[№]],наценкад5[],COLUMN(наценкад5[[#This Row],[Цена м2 с учетом всех K]]),0)</f>
        <v>87601.5</v>
      </c>
      <c r="AS53" s="7">
        <f>ППД5[[#This Row],[м2 после К]]*5%</f>
        <v>4380.0749999999998</v>
      </c>
      <c r="AT53" s="7">
        <f>ППД5[[#This Row],[м2 после К]]+ППД5[[#This Row],[Повышение 16.08.23 - 5%]]</f>
        <v>91981.574999999997</v>
      </c>
      <c r="AU53" s="9">
        <f>ППД5[[#This Row],[Фикс 16.08.23]]*3%</f>
        <v>2759.4472499999997</v>
      </c>
      <c r="AV53" s="9">
        <f>ППД5[[#This Row],[Фикс 16.08.23]]+ППД5[[#This Row],[Повышение 29.08.23 - 3%]]</f>
        <v>94741.022249999995</v>
      </c>
      <c r="AW53" s="93">
        <f>ППД5[[#This Row],[Фикс 29.08.23]]*7%</f>
        <v>6631.8715575000006</v>
      </c>
      <c r="AX53" s="9">
        <f>ППД5[[#This Row],[Фикс 29.08.23]]+ППД5[[#This Row],[Повышение 06.09.23 СТ и 1К]]</f>
        <v>101372.89380749999</v>
      </c>
      <c r="AY53" s="9"/>
      <c r="AZ53" s="9">
        <f>ППД5[[#This Row],[Повышение 23.10.23  В4 ]]+ППД5[[#This Row],[Фикс 06.09.23]]</f>
        <v>101372.89380749999</v>
      </c>
      <c r="BA53" s="93">
        <f>ППД5[[#This Row],[Фикс 23.10.23]]*5%</f>
        <v>5068.6446903750002</v>
      </c>
      <c r="BB53" s="93">
        <f>ППД5[[#This Row],[Повышение 8.11.23 1К 5%]]+ППД5[[#This Row],[Фикс 23.10.23]]</f>
        <v>106441.53849787499</v>
      </c>
      <c r="BC53" s="93"/>
      <c r="BD53" s="93">
        <f>ППД5[[#This Row],[Корректировка 24.11.23 - 1К В5, 2К А2, №233]]+ППД5[[#This Row],[Фикс 8.11.23]]</f>
        <v>106441.53849787499</v>
      </c>
      <c r="BE53" s="93">
        <f>ППД5[[#This Row],[Фикс 8.11.24]]*1%</f>
        <v>1064.4153849787499</v>
      </c>
      <c r="BF53" s="93">
        <f>ППД5[[#This Row],[Наценка за отделку 29.12.23 1%]]+ППД5[[#This Row],[Фикс 8.11.24]]</f>
        <v>107505.95388285375</v>
      </c>
      <c r="BG53" s="93">
        <f>ППД5[[#This Row],[Фикс 29.12.23]]*5%</f>
        <v>5375.2976941426878</v>
      </c>
      <c r="BH53" s="93">
        <f>ППД5[[#This Row],[Фикс 29.12.23]]+ППД5[[#This Row],[Наценка 10.01.24 5%]]</f>
        <v>112881.25157699644</v>
      </c>
      <c r="BI53" s="93"/>
      <c r="BJ53" s="93">
        <f>ППД5[[#This Row],[Наценка 26.02.24 1 Этаж]]+ППД5[[#This Row],[Фикс 10.01.24]]</f>
        <v>112881.25157699644</v>
      </c>
      <c r="BK53" s="93">
        <f>ППД5[[#This Row],[Фикс 26.02.24]]*3%</f>
        <v>3386.437547309893</v>
      </c>
      <c r="BL53" s="93">
        <f>ППД5[[#This Row],[Фикс 26.02.24]]+ППД5[[#This Row],[Наценка 06.03.24
СТ, 1К - 3%
2К, 3К - 2%]]</f>
        <v>116267.68912430633</v>
      </c>
      <c r="BM53" s="93"/>
      <c r="BN53" s="93">
        <f>ППД5[[#This Row],[Фикс 06.03.24]]+ППД5[[#This Row],[Наценка Г2+500]]</f>
        <v>116267.68912430633</v>
      </c>
      <c r="BO53" s="93"/>
      <c r="BP53" s="93">
        <f>ППД5[[#This Row],[Фикс 13.03.25]]+ППД5[[#This Row],[Наценка 20.03.24
2К, 3К - 2%]]</f>
        <v>116267.68912430633</v>
      </c>
      <c r="BQ53" s="93"/>
      <c r="BR53" s="93">
        <f>ППД5[[#This Row],[Фикс 20.03.24]]+ППД5[[#This Row],[Наценка 08.04.24 
2К: В3 - 150
3К: Г7 +1000]]</f>
        <v>116267.68912430633</v>
      </c>
      <c r="BS53" s="93"/>
      <c r="BT53" s="93">
        <f>ППД5[[#This Row],[Фикс 08.04.24]]+ППД5[[#This Row],[Наценка 16.05.24 1%
А4,А6,Б3,Б6,Б7,В2,В3,В5,В6,Г1,Г3-Г5]]</f>
        <v>116267.68912430633</v>
      </c>
      <c r="BU53" s="93"/>
      <c r="BV53" s="93">
        <f>ППД5[[#This Row],[Фикс 16.05.24]]+ППД5[[#This Row],[Наценка 24.05.24
1% - Б4, Б5,Г2,Г6
2% - А1,А3,А5,Б2,Г7]]</f>
        <v>116267.68912430633</v>
      </c>
      <c r="BW53" s="93"/>
      <c r="BX53" s="93">
        <f>ППД5[[#This Row],[Наценка 06.06.24
0К: В2,Г3 +0,5%
1К: А7, Б5/4, Г6 +0,5%
3К: В6 +0,5%
1К: А3 +1%]]+ППД5[[#This Row],[Фикс 24.05.24]]</f>
        <v>116267.68912430633</v>
      </c>
      <c r="BY53" s="93"/>
      <c r="BZ53" s="93">
        <f>ППД5[[#This Row],[Фикс 06.06.24]]+ППД5[[#This Row],[13.06.2024
3К - 2%]]</f>
        <v>116267.68912430633</v>
      </c>
      <c r="CA53" s="93"/>
      <c r="CB53" s="93">
        <f>ППД5[[#This Row],[02.07.2024: Г3 А1 А3 Б5 Б7 Г2 Г6 Б3 Б4 В3 Г7 2,5% ост 0,5-1,5%]]+ППД5[[#This Row],[Фикс 13.06.24]]</f>
        <v>116267.68912430633</v>
      </c>
      <c r="CC53" s="93"/>
      <c r="CD53" s="93">
        <f>ППД5[[#This Row],[Фикс 02.07.24]]+ППД5[[#This Row],[04.09.2024 +500
0К - Б2; 1К - А3;
2К - А6, Б4, В3, Г5]]</f>
        <v>116267.68912430633</v>
      </c>
      <c r="CE53" s="93"/>
      <c r="CF53" s="93">
        <f>ППД5[[#This Row],[Наценка 16.09.2024
1К: А1,В7,Г6/7,Г8 - 2%
2К: А4,А5,А6,Б1,Б6,Б3/4,В3,В4,Г4,Г5 - 4%
3К: 4%]]+ППД5[[#This Row],[Фикс 04.09.24]]</f>
        <v>116267.68912430633</v>
      </c>
      <c r="CG53" s="93"/>
      <c r="CH53" s="93">
        <f>ППД5[[#This Row],[Фикс 16.09.2024]]+ППД5[[#This Row],[Наценка 01.11.24
СТ: 4%
1К: 34-40м 5%; 40м+ 8%; МГН 1%
2К: 55-70м 6%; 70-73м 7%; 73-76м 8% 
3К: 5%]]</f>
        <v>116267.68912430633</v>
      </c>
      <c r="CI53" s="93"/>
      <c r="CJ53" s="93">
        <f>ППД5[[#This Row],[Наценка 06.11 13%]]+ППД5[[#This Row],[Фикс 01.11.24]]</f>
        <v>116267.68912430633</v>
      </c>
      <c r="CK53" s="93"/>
      <c r="CL53" s="93">
        <f>ППД5[[#This Row],[Фикс 06.11.24]]+ППД5[[#This Row],[Наценка 18.12.24 распределение КВ]]</f>
        <v>116267.68912430633</v>
      </c>
      <c r="CM53" s="93"/>
      <c r="CN53" s="93">
        <f>ППД5[[#This Row],[Фикс 18.12.24]]+ППД5[[#This Row],[Наценка 10.02.25 +1%
1К: А3
2К: Б3, В3]]</f>
        <v>116267.68912430633</v>
      </c>
      <c r="CO53" s="93">
        <f>ROUND(ППД5[[#This Row],[Фикс 10.02.25]],2)</f>
        <v>116267.69</v>
      </c>
      <c r="CP5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4386800</v>
      </c>
      <c r="CQ53" s="93">
        <f>ROUNDUP(ППД5[[#This Row],[Стоимость до скидки]]+ППД5[[#This Row],[Сумма доплаты]],-2)</f>
        <v>4377500</v>
      </c>
      <c r="CR53" s="68"/>
      <c r="CS53" s="90"/>
      <c r="CT53" s="68">
        <f>ППД5[[#This Row],[Стоимость до скидки]]*ППД5[[#This Row],[Скидка %]]+ППД5[[#This Row],[Скидка фиксированная]]</f>
        <v>0</v>
      </c>
      <c r="CU53" s="3">
        <f>ППД5[[#This Row],[Стоимость ОН без отделки со скидкой]]/ППД5[[#This Row],[Расчетная проектная площадь]]</f>
        <v>116268.22157434403</v>
      </c>
      <c r="CV53" s="3">
        <f>ROUND(ППД5[[#This Row],[Стоимость до скидки]]-ППД5[[#This Row],[Итоговая сумма скидки]],2)</f>
        <v>4386800</v>
      </c>
      <c r="CW5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53" s="197">
        <v>20000</v>
      </c>
      <c r="CY53" s="332">
        <f>ППД5[[#This Row],[Расхождение]]/ППД5[[#This Row],[Расчетная проектная площадь]]</f>
        <v>-2.120328650940851E-3</v>
      </c>
      <c r="CZ5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2.000000000000135E-2</v>
      </c>
      <c r="DA53" s="3">
        <f>ППД5[[#This Row],[Цена м2 без отделки со скидкой]]+ППД5[[#This Row],[Стоимость отделки]]</f>
        <v>136268.22157434403</v>
      </c>
      <c r="DB53" s="3">
        <f>ППД5[[#This Row],[Стоимость квартиры с отделкой]]-ППД5[[#This Row],[Стоимость ОН без отделки со скидкой]]</f>
        <v>754600</v>
      </c>
      <c r="DC53" s="3">
        <f>ППД5[[#This Row],[Цена м2 с отделкой]]*ППД5[[#This Row],[Расчетная проектная площадь]]</f>
        <v>5141400</v>
      </c>
      <c r="DD53" s="3"/>
      <c r="DF53" s="199" t="s">
        <v>172</v>
      </c>
      <c r="DG53" s="245" t="s">
        <v>172</v>
      </c>
      <c r="DH53" s="100" t="b">
        <f>EXACT(ППД5[[#This Row],[Статусы CRM]],ППД5[[#This Row],[Статус]])</f>
        <v>1</v>
      </c>
      <c r="DI53" s="213" t="s">
        <v>225</v>
      </c>
      <c r="DJ53" s="204"/>
      <c r="DK53" s="111" t="s">
        <v>763</v>
      </c>
      <c r="DL53" s="216" t="s">
        <v>14</v>
      </c>
      <c r="DM53" s="201" t="b">
        <f>ППД5[[#This Row],[Отделка CRM]]=ППД5[[#This Row],[Отделка]]</f>
        <v>1</v>
      </c>
      <c r="DN53" s="203">
        <v>5141400</v>
      </c>
      <c r="DO5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3" s="207" t="b">
        <f>IF(AND(ППД5[[#This Row],[Статус]]="свободно",ППД5[[#This Row],[Итоговая сумма скидки]]&lt;&gt;0),FALSE,TRUE)</f>
        <v>1</v>
      </c>
      <c r="DQ53" s="240">
        <f>_xlfn.XLOOKUP(ППД5[[#This Row],[№]],Юрист[№ кв],Юрист[Дата подачи на регистрацию]," ",0,-1)</f>
        <v>45442</v>
      </c>
      <c r="DR53" s="115" t="str">
        <f>_xlfn.XLOOKUP(ППД5[[#This Row],[№]],Юрист[№ кв],Юрист[МОП],"",0,-1)</f>
        <v>Голенко</v>
      </c>
      <c r="DS53" s="333" t="s">
        <v>2398</v>
      </c>
      <c r="DT53" s="333" t="s">
        <v>2399</v>
      </c>
      <c r="DU53" s="333">
        <v>36.299999999999997</v>
      </c>
      <c r="DV53" s="111"/>
    </row>
    <row r="54" spans="1:129" hidden="1" x14ac:dyDescent="0.25">
      <c r="A54" s="112">
        <v>52</v>
      </c>
      <c r="B54" s="111" t="s">
        <v>5</v>
      </c>
      <c r="C54" s="111">
        <v>8</v>
      </c>
      <c r="D54" s="111">
        <v>4</v>
      </c>
      <c r="E54" s="111">
        <v>2</v>
      </c>
      <c r="F54" s="105">
        <v>16.61</v>
      </c>
      <c r="G54" s="105">
        <v>11.38</v>
      </c>
      <c r="H54" s="105"/>
      <c r="I54" s="94">
        <f>SUM(ППД5[[#This Row],[Комната 1]:[Комната 3]])</f>
        <v>27.990000000000002</v>
      </c>
      <c r="J54" s="105">
        <v>14.58</v>
      </c>
      <c r="K54" s="105">
        <v>4.34</v>
      </c>
      <c r="L54" s="105">
        <v>2.08</v>
      </c>
      <c r="M54" s="105"/>
      <c r="N54" s="105">
        <v>8.82</v>
      </c>
      <c r="O54" s="105">
        <v>2.56</v>
      </c>
      <c r="P54" s="105"/>
      <c r="Q54" s="105"/>
      <c r="R54" s="105">
        <f>SUM(ППД5[[#This Row],[Лоджия 1]:[Лоджия 3]])</f>
        <v>2.56</v>
      </c>
      <c r="S54" s="7">
        <f>ROUND(SUM(ППД5[[#This Row],[Площадь по проекту жилая]:[Лоджия 3]]),2)</f>
        <v>60.37</v>
      </c>
      <c r="T54" s="7">
        <f>ROUND(ППД5[[#This Row],[Площадь по проекту(общая)]]-ППД5[[#This Row],[Летние]],2)</f>
        <v>57.81</v>
      </c>
      <c r="U54" s="92">
        <f>ROUND(ППД5[[#This Row],[Площадь по проекту(общая)]]-(SUM(ППД5[[#This Row],[Лоджия 1]:[Лоджия 3]])/2),2)</f>
        <v>59.09</v>
      </c>
      <c r="V54" s="92">
        <f>IF(ППД5[[#This Row],[Статус]]="продажа",ППД5[[#This Row],[Расчетная проектная площадь]],ППД5[[#This Row],[Расчетная ТП площадь]])</f>
        <v>58.849999999999994</v>
      </c>
      <c r="W54" s="92">
        <v>16.5</v>
      </c>
      <c r="X54" s="92">
        <v>11.4</v>
      </c>
      <c r="Y54" s="92"/>
      <c r="Z54" s="92">
        <f>SUM(ППД5[[#This Row],[ТП Комната 1]:[ТП Комната 3]])</f>
        <v>27.9</v>
      </c>
      <c r="AA54" s="92">
        <v>14.5</v>
      </c>
      <c r="AB54" s="92">
        <v>4.4000000000000004</v>
      </c>
      <c r="AC54" s="92">
        <v>2.1</v>
      </c>
      <c r="AD54" s="92"/>
      <c r="AE54" s="92">
        <v>8.6999999999999993</v>
      </c>
      <c r="AF54" s="92">
        <v>1.25</v>
      </c>
      <c r="AG54" s="92"/>
      <c r="AH54" s="92"/>
      <c r="AI54" s="91">
        <f>SUM(ППД5[[#This Row],[ТП Лоджия 1]:[ТП Лоджия 3]])</f>
        <v>1.25</v>
      </c>
      <c r="AJ54" s="95">
        <v>2.5</v>
      </c>
      <c r="AK54" s="92">
        <f>SUM(ППД5[[#This Row],[Площадь по ТП жилая]:[ТП Лоджия 3]])-ППД5[[#This Row],[ТП Летние]]+ППД5[[#This Row],[кроме того прочая
(без коэффициента)]]</f>
        <v>60.099999999999994</v>
      </c>
      <c r="AL54" s="95">
        <f>ППД5[[#This Row],[ТП Площадь без летних]]+(ППД5[[#This Row],[ТП Летние]])</f>
        <v>58.849999999999994</v>
      </c>
      <c r="AM54" s="92">
        <f>ППД5[[#This Row],[ТП общая S]]-ППД5[[#This Row],[кроме того прочая
(без коэффициента)]]</f>
        <v>57.599999999999994</v>
      </c>
      <c r="AN54" s="95">
        <f>SUM(ППД5[[#This Row],[ТП Кухня]:[ТП Коридор]])</f>
        <v>29.7</v>
      </c>
      <c r="AO54" s="91">
        <f>ППД5[[#This Row],[Расчетная ТП площадь]]-ППД5[[#This Row],[Расчетная проектная площадь]]</f>
        <v>-0.24000000000000909</v>
      </c>
      <c r="AP54" s="335">
        <f>ППД5[[#This Row],[Расчетная ТП площадь]]/ППД5[[#This Row],[Расчетная проектная площадь]]-1</f>
        <v>-4.0616009477070225E-3</v>
      </c>
      <c r="AQ54" s="92">
        <f>ППД5[[#This Row],[% расхождения]]*ППД5[[#This Row],[Стоимость до скидки]]</f>
        <v>-29379.184295143976</v>
      </c>
      <c r="AR54" s="92">
        <f>VLOOKUP(ППД5[[#This Row],[№]],наценкад5[],COLUMN(наценкад5[[#This Row],[Цена м2 с учетом всех K]]),0)</f>
        <v>80307.864000000001</v>
      </c>
      <c r="AS54" s="7">
        <f>ППД5[[#This Row],[м2 после К]]*5%</f>
        <v>4015.3932000000004</v>
      </c>
      <c r="AT54" s="7">
        <f>ППД5[[#This Row],[м2 после К]]+ППД5[[#This Row],[Повышение 16.08.23 - 5%]]</f>
        <v>84323.257200000007</v>
      </c>
      <c r="AU54" s="9">
        <f>ППД5[[#This Row],[Фикс 16.08.23]]*3%</f>
        <v>2529.6977160000001</v>
      </c>
      <c r="AV54" s="9">
        <f>ППД5[[#This Row],[Фикс 16.08.23]]+ППД5[[#This Row],[Повышение 29.08.23 - 3%]]</f>
        <v>86852.954916000002</v>
      </c>
      <c r="AW54" s="9"/>
      <c r="AX54" s="9">
        <f>ППД5[[#This Row],[Фикс 29.08.23]]+ППД5[[#This Row],[Повышение 06.09.23 СТ и 1К]]</f>
        <v>86852.954916000002</v>
      </c>
      <c r="AY54" s="9"/>
      <c r="AZ54" s="9">
        <f>ППД5[[#This Row],[Повышение 23.10.23  В4 ]]+ППД5[[#This Row],[Фикс 06.09.23]]</f>
        <v>86852.954916000002</v>
      </c>
      <c r="BA54" s="9"/>
      <c r="BB54" s="9">
        <f>ППД5[[#This Row],[Повышение 8.11.23 1К 5%]]+ППД5[[#This Row],[Фикс 23.10.23]]</f>
        <v>86852.954916000002</v>
      </c>
      <c r="BC54" s="9"/>
      <c r="BD54" s="9">
        <f>ППД5[[#This Row],[Корректировка 24.11.23 - 1К В5, 2К А2, №233]]+ППД5[[#This Row],[Фикс 8.11.23]]</f>
        <v>86852.954916000002</v>
      </c>
      <c r="BE54" s="93">
        <f>ППД5[[#This Row],[Фикс 8.11.24]]*1%</f>
        <v>868.52954915999999</v>
      </c>
      <c r="BF54" s="9">
        <f>ППД5[[#This Row],[Наценка за отделку 29.12.23 1%]]+ППД5[[#This Row],[Фикс 8.11.24]]</f>
        <v>87721.48446516</v>
      </c>
      <c r="BG54" s="93">
        <f>ППД5[[#This Row],[Фикс 29.12.23]]*5%</f>
        <v>4386.0742232580005</v>
      </c>
      <c r="BH54" s="9">
        <f>ППД5[[#This Row],[Фикс 29.12.23]]+ППД5[[#This Row],[Наценка 10.01.24 5%]]</f>
        <v>92107.558688417994</v>
      </c>
      <c r="BI54" s="9"/>
      <c r="BJ54" s="9">
        <f>ППД5[[#This Row],[Наценка 26.02.24 1 Этаж]]+ППД5[[#This Row],[Фикс 10.01.24]]</f>
        <v>92107.558688417994</v>
      </c>
      <c r="BK54" s="93">
        <f>ППД5[[#This Row],[Фикс 26.02.24]]*2%</f>
        <v>1842.15117376836</v>
      </c>
      <c r="BL54" s="9">
        <f>ППД5[[#This Row],[Фикс 26.02.24]]+ППД5[[#This Row],[Наценка 06.03.24
СТ, 1К - 3%
2К, 3К - 2%]]</f>
        <v>93949.709862186355</v>
      </c>
      <c r="BM54" s="9"/>
      <c r="BN54" s="9">
        <f>ППД5[[#This Row],[Фикс 06.03.24]]+ППД5[[#This Row],[Наценка Г2+500]]</f>
        <v>93949.709862186355</v>
      </c>
      <c r="BO54" s="9">
        <f>ППД5[[#This Row],[Фикс 13.03.25]]*2%</f>
        <v>1878.9941972437271</v>
      </c>
      <c r="BP54" s="9">
        <f>ППД5[[#This Row],[Фикс 13.03.25]]+ППД5[[#This Row],[Наценка 20.03.24
2К, 3К - 2%]]</f>
        <v>95828.704059430078</v>
      </c>
      <c r="BQ54" s="9"/>
      <c r="BR54" s="9">
        <f>ППД5[[#This Row],[Фикс 20.03.24]]+ППД5[[#This Row],[Наценка 08.04.24 
2К: В3 - 150
3К: Г7 +1000]]</f>
        <v>95828.704059430078</v>
      </c>
      <c r="BS54" s="93">
        <f>ППД5[[#This Row],[Фикс 08.04.24]]*1%</f>
        <v>958.28704059430083</v>
      </c>
      <c r="BT54" s="9">
        <f>ППД5[[#This Row],[Фикс 08.04.24]]+ППД5[[#This Row],[Наценка 16.05.24 1%
А4,А6,Б3,Б6,Б7,В2,В3,В5,В6,Г1,Г3-Г5]]</f>
        <v>96786.991100024374</v>
      </c>
      <c r="BU54" s="9"/>
      <c r="BV54" s="9">
        <f>ППД5[[#This Row],[Фикс 16.05.24]]+ППД5[[#This Row],[Наценка 24.05.24
1% - Б4, Б5,Г2,Г6
2% - А1,А3,А5,Б2,Г7]]</f>
        <v>96786.991100024374</v>
      </c>
      <c r="BW54" s="9"/>
      <c r="BX54" s="9">
        <f>ППД5[[#This Row],[Наценка 06.06.24
0К: В2,Г3 +0,5%
1К: А7, Б5/4, Г6 +0,5%
3К: В6 +0,5%
1К: А3 +1%]]+ППД5[[#This Row],[Фикс 24.05.24]]</f>
        <v>96786.991100024374</v>
      </c>
      <c r="BY54" s="9"/>
      <c r="BZ54" s="9">
        <f>ППД5[[#This Row],[Фикс 06.06.24]]+ППД5[[#This Row],[13.06.2024
3К - 2%]]</f>
        <v>96786.991100024374</v>
      </c>
      <c r="CA54" s="9">
        <f>1.5%*ППД5[[#This Row],[Фикс 13.06.24]]</f>
        <v>1451.8048665003655</v>
      </c>
      <c r="CB54" s="9">
        <f>ППД5[[#This Row],[02.07.2024: Г3 А1 А3 Б5 Б7 Г2 Г6 Б3 Б4 В3 Г7 2,5% ост 0,5-1,5%]]+ППД5[[#This Row],[Фикс 13.06.24]]</f>
        <v>98238.795966524733</v>
      </c>
      <c r="CC54" s="9"/>
      <c r="CD54" s="9">
        <f>ППД5[[#This Row],[Фикс 02.07.24]]+ППД5[[#This Row],[04.09.2024 +500
0К - Б2; 1К - А3;
2К - А6, Б4, В3, Г5]]</f>
        <v>98238.795966524733</v>
      </c>
      <c r="CE54" s="93">
        <f>ППД5[[#This Row],[Фикс 04.09.24]]*4%</f>
        <v>3929.5518386609892</v>
      </c>
      <c r="CF54" s="9">
        <f>ППД5[[#This Row],[Наценка 16.09.2024
1К: А1,В7,Г6/7,Г8 - 2%
2К: А4,А5,А6,Б1,Б6,Б3/4,В3,В4,Г4,Г5 - 4%
3К: 4%]]+ППД5[[#This Row],[Фикс 04.09.24]]</f>
        <v>102168.34780518572</v>
      </c>
      <c r="CG54" s="93">
        <f>ППД5[[#This Row],[Фикс 16.09.2024]]*6%</f>
        <v>6130.1008683111431</v>
      </c>
      <c r="CH54" s="9">
        <f>ППД5[[#This Row],[Фикс 16.09.2024]]+ППД5[[#This Row],[Наценка 01.11.24
СТ: 4%
1К: 34-40м 5%; 40м+ 8%; МГН 1%
2К: 55-70м 6%; 70-73м 7%; 73-76м 8% 
3К: 5%]]</f>
        <v>108298.44867349687</v>
      </c>
      <c r="CI54" s="93">
        <f>ППД5[[#This Row],[Фикс 01.11.24]]*13%</f>
        <v>14078.798327554594</v>
      </c>
      <c r="CJ54" s="9">
        <f>ППД5[[#This Row],[Наценка 06.11 13%]]+ППД5[[#This Row],[Фикс 01.11.24]]</f>
        <v>122377.24700105147</v>
      </c>
      <c r="CK54" s="93">
        <v>35</v>
      </c>
      <c r="CL54" s="9">
        <f>ППД5[[#This Row],[Фикс 06.11.24]]+ППД5[[#This Row],[Наценка 18.12.24 распределение КВ]]</f>
        <v>122412.24700105147</v>
      </c>
      <c r="CM54" s="9"/>
      <c r="CN54" s="9">
        <f>ППД5[[#This Row],[Фикс 18.12.24]]+ППД5[[#This Row],[Наценка 10.02.25 +1%
1К: А3
2К: Б3, В3]]</f>
        <v>122412.24700105147</v>
      </c>
      <c r="CO54" s="93">
        <f>ROUND(ППД5[[#This Row],[Фикс 10.02.25]],2)</f>
        <v>122412.25</v>
      </c>
      <c r="CP5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7233400</v>
      </c>
      <c r="CQ54" s="93">
        <f>ROUNDUP(ППД5[[#This Row],[Стоимость до скидки]]+ППД5[[#This Row],[Сумма доплаты]],-2)</f>
        <v>7204100</v>
      </c>
      <c r="CR54" s="68"/>
      <c r="CS54" s="90"/>
      <c r="CT54" s="68">
        <f>ППД5[[#This Row],[Стоимость до скидки]]*ППД5[[#This Row],[Скидка %]]+ППД5[[#This Row],[Скидка фиксированная]]</f>
        <v>0</v>
      </c>
      <c r="CU54" s="3">
        <f>ППД5[[#This Row],[Стоимость ОН без отделки со скидкой]]/ППД5[[#This Row],[Расчетная проектная площадь]]</f>
        <v>122413.26789642917</v>
      </c>
      <c r="CV54" s="3">
        <f>ROUND(ППД5[[#This Row],[Стоимость до скидки]]-ППД5[[#This Row],[Итоговая сумма скидки]],2)</f>
        <v>7233400</v>
      </c>
      <c r="CW5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54" s="218">
        <v>10000</v>
      </c>
      <c r="CY54" s="332">
        <f>ППД5[[#This Row],[Расхождение]]/ППД5[[#This Row],[Расчетная проектная площадь]]</f>
        <v>-4.0616009477070416E-3</v>
      </c>
      <c r="CZ54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-0.12000000000000277</v>
      </c>
      <c r="DA54" s="3">
        <f>ППД5[[#This Row],[Цена м2 без отделки со скидкой]]+ППД5[[#This Row],[Стоимость отделки]]</f>
        <v>132413.26789642917</v>
      </c>
      <c r="DB54" s="3">
        <f>ППД5[[#This Row],[Стоимость квартиры с отделкой]]-ППД5[[#This Row],[Стоимость ОН без отделки со скидкой]]</f>
        <v>590900</v>
      </c>
      <c r="DC54" s="3">
        <f>ППД5[[#This Row],[Цена м2 с отделкой]]*ППД5[[#This Row],[Расчетная проектная площадь]]</f>
        <v>7824300</v>
      </c>
      <c r="DD54" s="3"/>
      <c r="DF54" s="221" t="s">
        <v>157</v>
      </c>
      <c r="DG54" s="221" t="s">
        <v>157</v>
      </c>
      <c r="DH54" s="100" t="b">
        <f>EXACT(ППД5[[#This Row],[Статусы CRM]],ППД5[[#This Row],[Статус]])</f>
        <v>1</v>
      </c>
      <c r="DI54" s="213" t="s">
        <v>226</v>
      </c>
      <c r="DJ54" s="204"/>
      <c r="DK54" s="111" t="s">
        <v>763</v>
      </c>
      <c r="DL54" s="216" t="s">
        <v>780</v>
      </c>
      <c r="DM54" s="201" t="b">
        <f>ППД5[[#This Row],[Отделка CRM]]=ППД5[[#This Row],[Отделка]]</f>
        <v>1</v>
      </c>
      <c r="DN54" s="203">
        <v>7824300</v>
      </c>
      <c r="DO5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4" s="207" t="b">
        <f>IF(AND(ППД5[[#This Row],[Статус]]="свободно",ППД5[[#This Row],[Итоговая сумма скидки]]&lt;&gt;0),FALSE,TRUE)</f>
        <v>1</v>
      </c>
      <c r="DQ54" s="240" t="str">
        <f>_xlfn.XLOOKUP(ППД5[[#This Row],[№]],Юрист[№ кв],Юрист[Дата подачи на регистрацию]," ",0,-1)</f>
        <v xml:space="preserve"> </v>
      </c>
      <c r="DR54" s="115" t="str">
        <f>_xlfn.XLOOKUP(ППД5[[#This Row],[№]],Юрист[№ кв],Юрист[МОП],"",0,-1)</f>
        <v/>
      </c>
      <c r="DS54" s="333" t="s">
        <v>2400</v>
      </c>
      <c r="DT54" s="333" t="s">
        <v>2401</v>
      </c>
      <c r="DU54" s="333">
        <v>57.6</v>
      </c>
      <c r="DV54" s="111"/>
    </row>
    <row r="55" spans="1:129" hidden="1" x14ac:dyDescent="0.25">
      <c r="A55" s="112">
        <v>53</v>
      </c>
      <c r="B55" s="111" t="s">
        <v>5</v>
      </c>
      <c r="C55" s="111">
        <v>8</v>
      </c>
      <c r="D55" s="111">
        <v>5</v>
      </c>
      <c r="E55" s="111">
        <v>2</v>
      </c>
      <c r="F55" s="105">
        <v>16.46</v>
      </c>
      <c r="G55" s="105">
        <v>12.47</v>
      </c>
      <c r="H55" s="105"/>
      <c r="I55" s="94">
        <f>SUM(ППД5[[#This Row],[Комната 1]:[Комната 3]])</f>
        <v>28.93</v>
      </c>
      <c r="J55" s="105">
        <v>18</v>
      </c>
      <c r="K55" s="105">
        <v>4.3499999999999996</v>
      </c>
      <c r="L55" s="105">
        <v>1.55</v>
      </c>
      <c r="M55" s="105"/>
      <c r="N55" s="105">
        <v>8</v>
      </c>
      <c r="O55" s="105">
        <v>2.67</v>
      </c>
      <c r="P55" s="105"/>
      <c r="Q55" s="105"/>
      <c r="R55" s="105">
        <f>SUM(ППД5[[#This Row],[Лоджия 1]:[Лоджия 3]])</f>
        <v>2.67</v>
      </c>
      <c r="S55" s="8">
        <f>ROUND(SUM(ППД5[[#This Row],[Площадь по проекту жилая]:[Лоджия 3]]),2)</f>
        <v>63.5</v>
      </c>
      <c r="T55" s="8">
        <f>ROUND(ППД5[[#This Row],[Площадь по проекту(общая)]]-ППД5[[#This Row],[Летние]],2)</f>
        <v>60.83</v>
      </c>
      <c r="U55" s="91">
        <f>ROUND(ППД5[[#This Row],[Площадь по проекту(общая)]]-(SUM(ППД5[[#This Row],[Лоджия 1]:[Лоджия 3]])/2),2)</f>
        <v>62.17</v>
      </c>
      <c r="V55" s="91">
        <f>IF(ППД5[[#This Row],[Статус]]="продажа",ППД5[[#This Row],[Расчетная проектная площадь]],ППД5[[#This Row],[Расчетная ТП площадь]])</f>
        <v>61.45</v>
      </c>
      <c r="W55" s="91">
        <v>16.399999999999999</v>
      </c>
      <c r="X55" s="91">
        <v>12.3</v>
      </c>
      <c r="Y55" s="91"/>
      <c r="Z55" s="91">
        <f>SUM(ППД5[[#This Row],[ТП Комната 1]:[ТП Комната 3]])</f>
        <v>28.7</v>
      </c>
      <c r="AA55" s="91">
        <v>17.8</v>
      </c>
      <c r="AB55" s="91">
        <v>4.2</v>
      </c>
      <c r="AC55" s="91">
        <v>1.5</v>
      </c>
      <c r="AD55" s="91"/>
      <c r="AE55" s="91">
        <v>7.9</v>
      </c>
      <c r="AF55" s="91">
        <v>1.35</v>
      </c>
      <c r="AG55" s="91"/>
      <c r="AH55" s="91"/>
      <c r="AI55" s="91">
        <f>SUM(ППД5[[#This Row],[ТП Лоджия 1]:[ТП Лоджия 3]])</f>
        <v>1.35</v>
      </c>
      <c r="AJ55" s="95">
        <v>2.7</v>
      </c>
      <c r="AK55" s="91">
        <f>SUM(ППД5[[#This Row],[Площадь по ТП жилая]:[ТП Лоджия 3]])-ППД5[[#This Row],[ТП Летние]]+ППД5[[#This Row],[кроме того прочая
(без коэффициента)]]</f>
        <v>62.800000000000004</v>
      </c>
      <c r="AL55" s="95">
        <f>ППД5[[#This Row],[ТП Площадь без летних]]+(ППД5[[#This Row],[ТП Летние]])</f>
        <v>61.45</v>
      </c>
      <c r="AM55" s="91">
        <f>ППД5[[#This Row],[ТП общая S]]-ППД5[[#This Row],[кроме того прочая
(без коэффициента)]]</f>
        <v>60.1</v>
      </c>
      <c r="AN55" s="95">
        <f>SUM(ППД5[[#This Row],[ТП Кухня]:[ТП Коридор]])</f>
        <v>31.4</v>
      </c>
      <c r="AO55" s="91">
        <f>ППД5[[#This Row],[Расчетная ТП площадь]]-ППД5[[#This Row],[Расчетная проектная площадь]]</f>
        <v>-0.71999999999999886</v>
      </c>
      <c r="AP55" s="335">
        <f>ППД5[[#This Row],[Расчетная ТП площадь]]/ППД5[[#This Row],[Расчетная проектная площадь]]-1</f>
        <v>-1.1581148463889357E-2</v>
      </c>
      <c r="AQ55" s="91">
        <f>ППД5[[#This Row],[% расхождения]]*ППД5[[#This Row],[Стоимость до скидки]]</f>
        <v>-89455.106964774168</v>
      </c>
      <c r="AR55" s="91">
        <f>VLOOKUP(ППД5[[#This Row],[№]],наценкад5[],COLUMN(наценкад5[[#This Row],[Цена м2 с учетом всех K]]),0)</f>
        <v>80307.864000000001</v>
      </c>
      <c r="AS55" s="8">
        <f>ППД5[[#This Row],[м2 после К]]*5%</f>
        <v>4015.3932000000004</v>
      </c>
      <c r="AT55" s="8">
        <f>ППД5[[#This Row],[м2 после К]]+ППД5[[#This Row],[Повышение 16.08.23 - 5%]]</f>
        <v>84323.257200000007</v>
      </c>
      <c r="AU55" s="93">
        <f>ППД5[[#This Row],[Фикс 16.08.23]]*3%</f>
        <v>2529.6977160000001</v>
      </c>
      <c r="AV55" s="93">
        <f>ППД5[[#This Row],[Фикс 16.08.23]]+ППД5[[#This Row],[Повышение 29.08.23 - 3%]]</f>
        <v>86852.954916000002</v>
      </c>
      <c r="AW55" s="93"/>
      <c r="AX55" s="93">
        <f>ППД5[[#This Row],[Фикс 29.08.23]]+ППД5[[#This Row],[Повышение 06.09.23 СТ и 1К]]</f>
        <v>86852.954916000002</v>
      </c>
      <c r="AY55" s="93"/>
      <c r="AZ55" s="93">
        <f>ППД5[[#This Row],[Повышение 23.10.23  В4 ]]+ППД5[[#This Row],[Фикс 06.09.23]]</f>
        <v>86852.954916000002</v>
      </c>
      <c r="BA55" s="93"/>
      <c r="BB55" s="93">
        <f>ППД5[[#This Row],[Повышение 8.11.23 1К 5%]]+ППД5[[#This Row],[Фикс 23.10.23]]</f>
        <v>86852.954916000002</v>
      </c>
      <c r="BC55" s="93"/>
      <c r="BD55" s="93">
        <f>ППД5[[#This Row],[Корректировка 24.11.23 - 1К В5, 2К А2, №233]]+ППД5[[#This Row],[Фикс 8.11.23]]</f>
        <v>86852.954916000002</v>
      </c>
      <c r="BE55" s="93">
        <f>ППД5[[#This Row],[Фикс 8.11.24]]*1%</f>
        <v>868.52954915999999</v>
      </c>
      <c r="BF55" s="93">
        <f>ППД5[[#This Row],[Наценка за отделку 29.12.23 1%]]+ППД5[[#This Row],[Фикс 8.11.24]]</f>
        <v>87721.48446516</v>
      </c>
      <c r="BG55" s="93">
        <f>ППД5[[#This Row],[Фикс 29.12.23]]*5%</f>
        <v>4386.0742232580005</v>
      </c>
      <c r="BH55" s="93">
        <f>ППД5[[#This Row],[Фикс 29.12.23]]+ППД5[[#This Row],[Наценка 10.01.24 5%]]</f>
        <v>92107.558688417994</v>
      </c>
      <c r="BI55" s="93"/>
      <c r="BJ55" s="93">
        <f>ППД5[[#This Row],[Наценка 26.02.24 1 Этаж]]+ППД5[[#This Row],[Фикс 10.01.24]]</f>
        <v>92107.558688417994</v>
      </c>
      <c r="BK55" s="93">
        <f>ППД5[[#This Row],[Фикс 26.02.24]]*2%</f>
        <v>1842.15117376836</v>
      </c>
      <c r="BL55" s="93">
        <f>ППД5[[#This Row],[Фикс 26.02.24]]+ППД5[[#This Row],[Наценка 06.03.24
СТ, 1К - 3%
2К, 3К - 2%]]</f>
        <v>93949.709862186355</v>
      </c>
      <c r="BM55" s="93"/>
      <c r="BN55" s="93">
        <f>ППД5[[#This Row],[Фикс 06.03.24]]+ППД5[[#This Row],[Наценка Г2+500]]</f>
        <v>93949.709862186355</v>
      </c>
      <c r="BO55" s="93">
        <f>ППД5[[#This Row],[Фикс 13.03.25]]*2%</f>
        <v>1878.9941972437271</v>
      </c>
      <c r="BP55" s="93">
        <f>ППД5[[#This Row],[Фикс 13.03.25]]+ППД5[[#This Row],[Наценка 20.03.24
2К, 3К - 2%]]</f>
        <v>95828.704059430078</v>
      </c>
      <c r="BQ55" s="93"/>
      <c r="BR55" s="93">
        <f>ППД5[[#This Row],[Фикс 20.03.24]]+ППД5[[#This Row],[Наценка 08.04.24 
2К: В3 - 150
3К: Г7 +1000]]</f>
        <v>95828.704059430078</v>
      </c>
      <c r="BS55" s="93"/>
      <c r="BT55" s="93">
        <f>ППД5[[#This Row],[Фикс 08.04.24]]+ППД5[[#This Row],[Наценка 16.05.24 1%
А4,А6,Б3,Б6,Б7,В2,В3,В5,В6,Г1,Г3-Г5]]</f>
        <v>95828.704059430078</v>
      </c>
      <c r="BU55" s="93">
        <f>ППД5[[#This Row],[Фикс 16.05.24]]*2%</f>
        <v>1916.5740811886017</v>
      </c>
      <c r="BV55" s="93">
        <f>ППД5[[#This Row],[Фикс 16.05.24]]+ППД5[[#This Row],[Наценка 24.05.24
1% - Б4, Б5,Г2,Г6
2% - А1,А3,А5,Б2,Г7]]</f>
        <v>97745.278140618684</v>
      </c>
      <c r="BW55" s="93">
        <f>ППД5[[#This Row],[Фикс 24.05.24]]*0.5%</f>
        <v>488.72639070309344</v>
      </c>
      <c r="BX55" s="93">
        <f>ППД5[[#This Row],[Наценка 06.06.24
0К: В2,Г3 +0,5%
1К: А7, Б5/4, Г6 +0,5%
3К: В6 +0,5%
1К: А3 +1%]]+ППД5[[#This Row],[Фикс 24.05.24]]</f>
        <v>98234.004531321771</v>
      </c>
      <c r="BY55" s="93"/>
      <c r="BZ55" s="93">
        <f>ППД5[[#This Row],[Фикс 06.06.24]]+ППД5[[#This Row],[13.06.2024
3К - 2%]]</f>
        <v>98234.004531321771</v>
      </c>
      <c r="CA55" s="9">
        <f>1.5%*ППД5[[#This Row],[Фикс 13.06.24]]</f>
        <v>1473.5100679698264</v>
      </c>
      <c r="CB55" s="93">
        <f>ППД5[[#This Row],[02.07.2024: Г3 А1 А3 Б5 Б7 Г2 Г6 Б3 Б4 В3 Г7 2,5% ост 0,5-1,5%]]+ППД5[[#This Row],[Фикс 13.06.24]]</f>
        <v>99707.514599291593</v>
      </c>
      <c r="CC55" s="93"/>
      <c r="CD55" s="93">
        <f>ППД5[[#This Row],[Фикс 02.07.24]]+ППД5[[#This Row],[04.09.2024 +500
0К - Б2; 1К - А3;
2К - А6, Б4, В3, Г5]]</f>
        <v>99707.514599291593</v>
      </c>
      <c r="CE55" s="93">
        <f>ППД5[[#This Row],[Фикс 04.09.24]]*4%</f>
        <v>3988.3005839716639</v>
      </c>
      <c r="CF55" s="93">
        <f>ППД5[[#This Row],[Наценка 16.09.2024
1К: А1,В7,Г6/7,Г8 - 2%
2К: А4,А5,А6,Б1,Б6,Б3/4,В3,В4,Г4,Г5 - 4%
3К: 4%]]+ППД5[[#This Row],[Фикс 04.09.24]]</f>
        <v>103695.81518326326</v>
      </c>
      <c r="CG55" s="93">
        <f>ППД5[[#This Row],[Фикс 16.09.2024]]*6%</f>
        <v>6221.7489109957951</v>
      </c>
      <c r="CH55" s="93">
        <f>ППД5[[#This Row],[Фикс 16.09.2024]]+ППД5[[#This Row],[Наценка 01.11.24
СТ: 4%
1К: 34-40м 5%; 40м+ 8%; МГН 1%
2К: 55-70м 6%; 70-73м 7%; 73-76м 8% 
3К: 5%]]</f>
        <v>109917.56409425905</v>
      </c>
      <c r="CI55" s="93">
        <f>ППД5[[#This Row],[Фикс 01.11.24]]*13%</f>
        <v>14289.283332253677</v>
      </c>
      <c r="CJ55" s="93">
        <f>ППД5[[#This Row],[Наценка 06.11 13%]]+ППД5[[#This Row],[Фикс 01.11.24]]</f>
        <v>124206.84742651273</v>
      </c>
      <c r="CK55" s="93">
        <v>35</v>
      </c>
      <c r="CL55" s="93">
        <f>ППД5[[#This Row],[Фикс 06.11.24]]+ППД5[[#This Row],[Наценка 18.12.24 распределение КВ]]</f>
        <v>124241.84742651273</v>
      </c>
      <c r="CM55" s="93"/>
      <c r="CN55" s="93">
        <f>ППД5[[#This Row],[Фикс 18.12.24]]+ППД5[[#This Row],[Наценка 10.02.25 +1%
1К: А3
2К: Б3, В3]]</f>
        <v>124241.84742651273</v>
      </c>
      <c r="CO55" s="93">
        <f>ROUND(ППД5[[#This Row],[Фикс 10.02.25]],2)</f>
        <v>124241.85</v>
      </c>
      <c r="CP5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7724200</v>
      </c>
      <c r="CQ55" s="93">
        <f>ROUNDUP(ППД5[[#This Row],[Стоимость до скидки]]+ППД5[[#This Row],[Сумма доплаты]],-2)</f>
        <v>7634800</v>
      </c>
      <c r="CR55" s="68"/>
      <c r="CS55" s="90"/>
      <c r="CT55" s="68">
        <f>ППД5[[#This Row],[Стоимость до скидки]]*ППД5[[#This Row],[Скидка %]]+ППД5[[#This Row],[Скидка фиксированная]]</f>
        <v>0</v>
      </c>
      <c r="CU55" s="3">
        <f>ППД5[[#This Row],[Стоимость ОН без отделки со скидкой]]/ППД5[[#This Row],[Расчетная проектная площадь]]</f>
        <v>124243.20411774167</v>
      </c>
      <c r="CV55" s="3">
        <f>ROUND(ППД5[[#This Row],[Стоимость до скидки]]-ППД5[[#This Row],[Итоговая сумма скидки]],2)</f>
        <v>7724200</v>
      </c>
      <c r="CW5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55" s="197">
        <v>10000</v>
      </c>
      <c r="CY55" s="332">
        <f>ППД5[[#This Row],[Расхождение]]/ППД5[[#This Row],[Расчетная проектная площадь]]</f>
        <v>-1.1581148463889317E-2</v>
      </c>
      <c r="CZ5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-0.5</v>
      </c>
      <c r="DA55" s="3">
        <f>ППД5[[#This Row],[Цена м2 без отделки со скидкой]]+ППД5[[#This Row],[Стоимость отделки]]</f>
        <v>134243.20411774167</v>
      </c>
      <c r="DB55" s="3">
        <f>ППД5[[#This Row],[Стоимость квартиры с отделкой]]-ППД5[[#This Row],[Стоимость ОН без отделки со скидкой]]</f>
        <v>621700</v>
      </c>
      <c r="DC55" s="3">
        <f>ППД5[[#This Row],[Цена м2 с отделкой]]*ППД5[[#This Row],[Расчетная проектная площадь]]</f>
        <v>8345900</v>
      </c>
      <c r="DD55" s="3"/>
      <c r="DF55" s="155" t="s">
        <v>157</v>
      </c>
      <c r="DG55" s="221" t="s">
        <v>157</v>
      </c>
      <c r="DH55" s="100" t="b">
        <f>EXACT(ППД5[[#This Row],[Статусы CRM]],ППД5[[#This Row],[Статус]])</f>
        <v>1</v>
      </c>
      <c r="DI55" s="213" t="s">
        <v>227</v>
      </c>
      <c r="DJ55" s="204"/>
      <c r="DK55" s="111" t="s">
        <v>763</v>
      </c>
      <c r="DL55" s="216" t="s">
        <v>780</v>
      </c>
      <c r="DM55" s="201" t="b">
        <f>ППД5[[#This Row],[Отделка CRM]]=ППД5[[#This Row],[Отделка]]</f>
        <v>1</v>
      </c>
      <c r="DN55" s="203">
        <v>8345900</v>
      </c>
      <c r="DO5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5" s="207" t="b">
        <f>IF(AND(ППД5[[#This Row],[Статус]]="свободно",ППД5[[#This Row],[Итоговая сумма скидки]]&lt;&gt;0),FALSE,TRUE)</f>
        <v>1</v>
      </c>
      <c r="DQ55" s="240" t="str">
        <f>_xlfn.XLOOKUP(ППД5[[#This Row],[№]],Юрист[№ кв],Юрист[Дата подачи на регистрацию]," ",0,-1)</f>
        <v xml:space="preserve"> </v>
      </c>
      <c r="DR55" s="115" t="str">
        <f>_xlfn.XLOOKUP(ППД5[[#This Row],[№]],Юрист[№ кв],Юрист[МОП],"",0,-1)</f>
        <v/>
      </c>
      <c r="DS55" s="333" t="s">
        <v>2402</v>
      </c>
      <c r="DT55" s="333" t="s">
        <v>2403</v>
      </c>
      <c r="DU55" s="333">
        <v>60.1</v>
      </c>
      <c r="DV55" s="111"/>
    </row>
    <row r="56" spans="1:129" hidden="1" x14ac:dyDescent="0.25">
      <c r="A56" s="112">
        <v>54</v>
      </c>
      <c r="B56" s="111" t="s">
        <v>5</v>
      </c>
      <c r="C56" s="111">
        <v>8</v>
      </c>
      <c r="D56" s="111">
        <v>6</v>
      </c>
      <c r="E56" s="111">
        <v>2</v>
      </c>
      <c r="F56" s="105">
        <v>14.64</v>
      </c>
      <c r="G56" s="105">
        <v>10.74</v>
      </c>
      <c r="H56" s="105"/>
      <c r="I56" s="94">
        <f>SUM(ППД5[[#This Row],[Комната 1]:[Комната 3]])</f>
        <v>25.380000000000003</v>
      </c>
      <c r="J56" s="105">
        <v>14.35</v>
      </c>
      <c r="K56" s="105">
        <v>4.16</v>
      </c>
      <c r="L56" s="105">
        <v>1.93</v>
      </c>
      <c r="M56" s="105"/>
      <c r="N56" s="105">
        <v>11.03</v>
      </c>
      <c r="O56" s="105">
        <v>2.6219999999999999</v>
      </c>
      <c r="P56" s="105"/>
      <c r="Q56" s="105"/>
      <c r="R56" s="105">
        <f>SUM(ППД5[[#This Row],[Лоджия 1]:[Лоджия 3]])</f>
        <v>2.6219999999999999</v>
      </c>
      <c r="S56" s="8">
        <f>ROUND(SUM(ППД5[[#This Row],[Площадь по проекту жилая]:[Лоджия 3]]),2)</f>
        <v>59.47</v>
      </c>
      <c r="T56" s="8">
        <f>ROUND(ППД5[[#This Row],[Площадь по проекту(общая)]]-ППД5[[#This Row],[Летние]],2)</f>
        <v>56.85</v>
      </c>
      <c r="U56" s="91">
        <f>ROUND(ППД5[[#This Row],[Площадь по проекту(общая)]]-(SUM(ППД5[[#This Row],[Лоджия 1]:[Лоджия 3]])/2),2)</f>
        <v>58.16</v>
      </c>
      <c r="V56" s="91">
        <f>IF(ППД5[[#This Row],[Статус]]="продажа",ППД5[[#This Row],[Расчетная проектная площадь]],ППД5[[#This Row],[Расчетная ТП площадь]])</f>
        <v>58.16</v>
      </c>
      <c r="W56" s="91">
        <v>10.7</v>
      </c>
      <c r="X56" s="91">
        <v>14.5</v>
      </c>
      <c r="Y56" s="91"/>
      <c r="Z56" s="91">
        <f>SUM(ППД5[[#This Row],[ТП Комната 1]:[ТП Комната 3]])</f>
        <v>25.2</v>
      </c>
      <c r="AA56" s="91">
        <v>14.5</v>
      </c>
      <c r="AB56" s="91">
        <v>4.0999999999999996</v>
      </c>
      <c r="AC56" s="91">
        <v>2</v>
      </c>
      <c r="AD56" s="91"/>
      <c r="AE56" s="91">
        <v>11.1</v>
      </c>
      <c r="AF56" s="91">
        <v>1.3</v>
      </c>
      <c r="AG56" s="91"/>
      <c r="AH56" s="91"/>
      <c r="AI56" s="91">
        <f>SUM(ППД5[[#This Row],[ТП Лоджия 1]:[ТП Лоджия 3]])</f>
        <v>1.3</v>
      </c>
      <c r="AJ56" s="95">
        <v>2.6</v>
      </c>
      <c r="AK56" s="91">
        <f>SUM(ППД5[[#This Row],[Площадь по ТП жилая]:[ТП Лоджия 3]])-ППД5[[#This Row],[ТП Летние]]+ППД5[[#This Row],[кроме того прочая
(без коэффициента)]]</f>
        <v>59.500000000000007</v>
      </c>
      <c r="AL56" s="95">
        <f>ППД5[[#This Row],[ТП Площадь без летних]]+(ППД5[[#This Row],[ТП Летние]])</f>
        <v>58.2</v>
      </c>
      <c r="AM56" s="91">
        <f>ППД5[[#This Row],[ТП общая S]]-ППД5[[#This Row],[кроме того прочая
(без коэффициента)]]</f>
        <v>56.900000000000006</v>
      </c>
      <c r="AN56" s="95">
        <f>SUM(ППД5[[#This Row],[ТП Кухня]:[ТП Коридор]])</f>
        <v>31.700000000000003</v>
      </c>
      <c r="AO56" s="91">
        <f>ППД5[[#This Row],[Расчетная ТП площадь]]-ППД5[[#This Row],[Расчетная проектная площадь]]</f>
        <v>4.0000000000006253E-2</v>
      </c>
      <c r="AP56" s="335">
        <f>ППД5[[#This Row],[Расчетная ТП площадь]]/ППД5[[#This Row],[Расчетная проектная площадь]]-1</f>
        <v>6.8775790921615787E-4</v>
      </c>
      <c r="AQ56" s="91">
        <f>ППД5[[#This Row],[% расхождения]]*ППД5[[#This Row],[Стоимость до скидки]]</f>
        <v>3524.2778541963576</v>
      </c>
      <c r="AR56" s="91">
        <f>VLOOKUP(ППД5[[#This Row],[№]],наценкад5[],COLUMN(наценкад5[[#This Row],[Цена м2 с учетом всех K]]),0)</f>
        <v>81466.150500000003</v>
      </c>
      <c r="AS56" s="8">
        <f>ППД5[[#This Row],[м2 после К]]*5%</f>
        <v>4073.3075250000002</v>
      </c>
      <c r="AT56" s="8">
        <f>ППД5[[#This Row],[м2 после К]]+ППД5[[#This Row],[Повышение 16.08.23 - 5%]]</f>
        <v>85539.458025</v>
      </c>
      <c r="AU56" s="93">
        <f>ППД5[[#This Row],[Фикс 16.08.23]]*3%</f>
        <v>2566.1837407499997</v>
      </c>
      <c r="AV56" s="93">
        <f>ППД5[[#This Row],[Фикс 16.08.23]]+ППД5[[#This Row],[Повышение 29.08.23 - 3%]]</f>
        <v>88105.641765749999</v>
      </c>
      <c r="AW56" s="93"/>
      <c r="AX56" s="93">
        <f>ППД5[[#This Row],[Фикс 29.08.23]]+ППД5[[#This Row],[Повышение 06.09.23 СТ и 1К]]</f>
        <v>88105.641765749999</v>
      </c>
      <c r="AY56" s="93"/>
      <c r="AZ56" s="93">
        <f>ППД5[[#This Row],[Повышение 23.10.23  В4 ]]+ППД5[[#This Row],[Фикс 06.09.23]]</f>
        <v>88105.641765749999</v>
      </c>
      <c r="BA56" s="93"/>
      <c r="BB56" s="93">
        <f>ППД5[[#This Row],[Повышение 8.11.23 1К 5%]]+ППД5[[#This Row],[Фикс 23.10.23]]</f>
        <v>88105.641765749999</v>
      </c>
      <c r="BC56" s="93"/>
      <c r="BD56" s="93">
        <f>ППД5[[#This Row],[Корректировка 24.11.23 - 1К В5, 2К А2, №233]]+ППД5[[#This Row],[Фикс 8.11.23]]</f>
        <v>88105.641765749999</v>
      </c>
      <c r="BE56" s="93"/>
      <c r="BF56" s="93">
        <f>ППД5[[#This Row],[Наценка за отделку 29.12.23 1%]]+ППД5[[#This Row],[Фикс 8.11.24]]</f>
        <v>88105.641765749999</v>
      </c>
      <c r="BG56" s="93"/>
      <c r="BH56" s="93">
        <f>ППД5[[#This Row],[Фикс 29.12.23]]+ППД5[[#This Row],[Наценка 10.01.24 5%]]</f>
        <v>88105.641765749999</v>
      </c>
      <c r="BI56" s="93"/>
      <c r="BJ56" s="93">
        <f>ППД5[[#This Row],[Наценка 26.02.24 1 Этаж]]+ППД5[[#This Row],[Фикс 10.01.24]]</f>
        <v>88105.641765749999</v>
      </c>
      <c r="BK56" s="93"/>
      <c r="BL56" s="93">
        <f>ППД5[[#This Row],[Фикс 26.02.24]]+ППД5[[#This Row],[Наценка 06.03.24
СТ, 1К - 3%
2К, 3К - 2%]]</f>
        <v>88105.641765749999</v>
      </c>
      <c r="BM56" s="93"/>
      <c r="BN56" s="93">
        <f>ППД5[[#This Row],[Фикс 06.03.24]]+ППД5[[#This Row],[Наценка Г2+500]]</f>
        <v>88105.641765749999</v>
      </c>
      <c r="BO56" s="93"/>
      <c r="BP56" s="93">
        <f>ППД5[[#This Row],[Фикс 13.03.25]]+ППД5[[#This Row],[Наценка 20.03.24
2К, 3К - 2%]]</f>
        <v>88105.641765749999</v>
      </c>
      <c r="BQ56" s="93"/>
      <c r="BR56" s="93">
        <f>ППД5[[#This Row],[Фикс 20.03.24]]+ППД5[[#This Row],[Наценка 08.04.24 
2К: В3 - 150
3К: Г7 +1000]]</f>
        <v>88105.641765749999</v>
      </c>
      <c r="BS56" s="93"/>
      <c r="BT56" s="93">
        <f>ППД5[[#This Row],[Фикс 08.04.24]]+ППД5[[#This Row],[Наценка 16.05.24 1%
А4,А6,Б3,Б6,Б7,В2,В3,В5,В6,Г1,Г3-Г5]]</f>
        <v>88105.641765749999</v>
      </c>
      <c r="BU56" s="93"/>
      <c r="BV56" s="93">
        <f>ППД5[[#This Row],[Фикс 16.05.24]]+ППД5[[#This Row],[Наценка 24.05.24
1% - Б4, Б5,Г2,Г6
2% - А1,А3,А5,Б2,Г7]]</f>
        <v>88105.641765749999</v>
      </c>
      <c r="BW56" s="93"/>
      <c r="BX56" s="93">
        <f>ППД5[[#This Row],[Наценка 06.06.24
0К: В2,Г3 +0,5%
1К: А7, Б5/4, Г6 +0,5%
3К: В6 +0,5%
1К: А3 +1%]]+ППД5[[#This Row],[Фикс 24.05.24]]</f>
        <v>88105.641765749999</v>
      </c>
      <c r="BY56" s="93"/>
      <c r="BZ56" s="93">
        <f>ППД5[[#This Row],[Фикс 06.06.24]]+ППД5[[#This Row],[13.06.2024
3К - 2%]]</f>
        <v>88105.641765749999</v>
      </c>
      <c r="CA56" s="93"/>
      <c r="CB56" s="93">
        <f>ППД5[[#This Row],[02.07.2024: Г3 А1 А3 Б5 Б7 Г2 Г6 Б3 Б4 В3 Г7 2,5% ост 0,5-1,5%]]+ППД5[[#This Row],[Фикс 13.06.24]]</f>
        <v>88105.641765749999</v>
      </c>
      <c r="CC56" s="93"/>
      <c r="CD56" s="93">
        <f>ППД5[[#This Row],[Фикс 02.07.24]]+ППД5[[#This Row],[04.09.2024 +500
0К - Б2; 1К - А3;
2К - А6, Б4, В3, Г5]]</f>
        <v>88105.641765749999</v>
      </c>
      <c r="CE56" s="93"/>
      <c r="CF56" s="93">
        <f>ППД5[[#This Row],[Наценка 16.09.2024
1К: А1,В7,Г6/7,Г8 - 2%
2К: А4,А5,А6,Б1,Б6,Б3/4,В3,В4,Г4,Г5 - 4%
3К: 4%]]+ППД5[[#This Row],[Фикс 04.09.24]]</f>
        <v>88105.641765749999</v>
      </c>
      <c r="CG56" s="93"/>
      <c r="CH56" s="93">
        <f>ППД5[[#This Row],[Фикс 16.09.2024]]+ППД5[[#This Row],[Наценка 01.11.24
СТ: 4%
1К: 34-40м 5%; 40м+ 8%; МГН 1%
2К: 55-70м 6%; 70-73м 7%; 73-76м 8% 
3К: 5%]]</f>
        <v>88105.641765749999</v>
      </c>
      <c r="CI56" s="93"/>
      <c r="CJ56" s="93">
        <f>ППД5[[#This Row],[Наценка 06.11 13%]]+ППД5[[#This Row],[Фикс 01.11.24]]</f>
        <v>88105.641765749999</v>
      </c>
      <c r="CK56" s="93"/>
      <c r="CL56" s="93">
        <f>ППД5[[#This Row],[Фикс 06.11.24]]+ППД5[[#This Row],[Наценка 18.12.24 распределение КВ]]</f>
        <v>88105.641765749999</v>
      </c>
      <c r="CM56" s="93"/>
      <c r="CN56" s="93">
        <f>ППД5[[#This Row],[Фикс 18.12.24]]+ППД5[[#This Row],[Наценка 10.02.25 +1%
1К: А3
2К: Б3, В3]]</f>
        <v>88105.641765749999</v>
      </c>
      <c r="CO56" s="93">
        <f>ROUND(ППД5[[#This Row],[Фикс 10.02.25]],2)</f>
        <v>88105.64</v>
      </c>
      <c r="CP5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5124300</v>
      </c>
      <c r="CQ56" s="93">
        <f>ROUNDUP(ППД5[[#This Row],[Стоимость до скидки]]+ППД5[[#This Row],[Сумма доплаты]],-2)</f>
        <v>5127900</v>
      </c>
      <c r="CR56" s="68"/>
      <c r="CS56" s="90">
        <v>0.02</v>
      </c>
      <c r="CT56" s="68">
        <f>ППД5[[#This Row],[Стоимость до скидки]]*ППД5[[#This Row],[Скидка %]]+ППД5[[#This Row],[Скидка фиксированная]]</f>
        <v>102486</v>
      </c>
      <c r="CU56" s="3">
        <f>ППД5[[#This Row],[Стоимость ОН без отделки со скидкой]]/ППД5[[#This Row],[Расчетная проектная площадь]]</f>
        <v>86344.807427785418</v>
      </c>
      <c r="CV56" s="3">
        <f>ROUND(ППД5[[#This Row],[Стоимость до скидки]]-ППД5[[#This Row],[Итоговая сумма скидки]],2)</f>
        <v>5021814</v>
      </c>
      <c r="CW5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56" s="197">
        <v>22000</v>
      </c>
      <c r="CY56" s="332">
        <f>ППД5[[#This Row],[Расхождение]]/ППД5[[#This Row],[Расчетная проектная площадь]]</f>
        <v>6.8775790921606354E-4</v>
      </c>
      <c r="CZ5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0.2300000000000022</v>
      </c>
      <c r="DA56" s="3">
        <f>ППД5[[#This Row],[Цена м2 без отделки со скидкой]]+ППД5[[#This Row],[Стоимость отделки]]</f>
        <v>108344.80742778542</v>
      </c>
      <c r="DB56" s="3">
        <f>ППД5[[#This Row],[Стоимость квартиры с отделкой]]-ППД5[[#This Row],[Стоимость ОН без отделки со скидкой]]</f>
        <v>1279519.9999999991</v>
      </c>
      <c r="DC56" s="3">
        <f>ППД5[[#This Row],[Цена м2 с отделкой]]*ППД5[[#This Row],[Расчетная проектная площадь]]</f>
        <v>6301333.9999999991</v>
      </c>
      <c r="DD56" s="3"/>
      <c r="DE56" s="111" t="s">
        <v>757</v>
      </c>
      <c r="DF56" s="199" t="s">
        <v>172</v>
      </c>
      <c r="DG56" s="245" t="s">
        <v>172</v>
      </c>
      <c r="DH56" s="100" t="b">
        <f>EXACT(ППД5[[#This Row],[Статусы CRM]],ППД5[[#This Row],[Статус]])</f>
        <v>1</v>
      </c>
      <c r="DI56" s="213" t="s">
        <v>228</v>
      </c>
      <c r="DJ56" s="204"/>
      <c r="DK56" s="111" t="s">
        <v>763</v>
      </c>
      <c r="DL56" s="216" t="s">
        <v>14</v>
      </c>
      <c r="DM56" s="201" t="b">
        <f>ППД5[[#This Row],[Отделка CRM]]=ППД5[[#This Row],[Отделка]]</f>
        <v>1</v>
      </c>
      <c r="DN56" s="203">
        <v>6301334</v>
      </c>
      <c r="DO5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9.3132257461547852E-10</v>
      </c>
      <c r="DP56" s="207" t="b">
        <f>IF(AND(ППД5[[#This Row],[Статус]]="свободно",ППД5[[#This Row],[Итоговая сумма скидки]]&lt;&gt;0),FALSE,TRUE)</f>
        <v>1</v>
      </c>
      <c r="DQ56" s="240">
        <f>_xlfn.XLOOKUP(ППД5[[#This Row],[№]],Юрист[№ кв],Юрист[Дата подачи на регистрацию]," ",0,-1)</f>
        <v>45285</v>
      </c>
      <c r="DR56" s="115" t="str">
        <f>_xlfn.XLOOKUP(ППД5[[#This Row],[№]],Юрист[№ кв],Юрист[МОП],"",0,-1)</f>
        <v>Дик</v>
      </c>
      <c r="DS56" s="333" t="s">
        <v>2404</v>
      </c>
      <c r="DT56" s="333" t="s">
        <v>2405</v>
      </c>
      <c r="DU56" s="333">
        <v>56.9</v>
      </c>
      <c r="DV56" s="111"/>
    </row>
    <row r="57" spans="1:129" hidden="1" x14ac:dyDescent="0.25">
      <c r="A57" s="112">
        <v>55</v>
      </c>
      <c r="B57" s="111" t="s">
        <v>5</v>
      </c>
      <c r="C57" s="111">
        <v>8</v>
      </c>
      <c r="D57" s="111">
        <v>7</v>
      </c>
      <c r="E57" s="111">
        <v>1</v>
      </c>
      <c r="F57" s="157">
        <v>18.489999999999998</v>
      </c>
      <c r="G57" s="105"/>
      <c r="H57" s="105"/>
      <c r="I57" s="94">
        <f>SUM(ППД5[[#This Row],[Комната 1]:[Комната 3]])</f>
        <v>18.489999999999998</v>
      </c>
      <c r="J57" s="105">
        <v>13.04</v>
      </c>
      <c r="K57" s="105">
        <v>3.9</v>
      </c>
      <c r="L57" s="105"/>
      <c r="M57" s="105"/>
      <c r="N57" s="105">
        <v>5.99</v>
      </c>
      <c r="O57" s="105">
        <v>2.65</v>
      </c>
      <c r="P57" s="105"/>
      <c r="Q57" s="105"/>
      <c r="R57" s="105">
        <f>SUM(ППД5[[#This Row],[Лоджия 1]:[Лоджия 3]])</f>
        <v>2.65</v>
      </c>
      <c r="S57" s="7">
        <f>ROUND(SUM(ППД5[[#This Row],[Площадь по проекту жилая]:[Лоджия 3]]),2)</f>
        <v>44.07</v>
      </c>
      <c r="T57" s="7">
        <f>ROUND(ППД5[[#This Row],[Площадь по проекту(общая)]]-ППД5[[#This Row],[Летние]],2)</f>
        <v>41.42</v>
      </c>
      <c r="U57" s="92">
        <f>ROUND(ППД5[[#This Row],[Площадь по проекту(общая)]]-(SUM(ППД5[[#This Row],[Лоджия 1]:[Лоджия 3]])/2),2)</f>
        <v>42.75</v>
      </c>
      <c r="V57" s="92">
        <f>IF(ППД5[[#This Row],[Статус]]="продажа",ППД5[[#This Row],[Расчетная проектная площадь]],ППД5[[#This Row],[Расчетная ТП площадь]])</f>
        <v>42.75</v>
      </c>
      <c r="W57" s="92">
        <v>18.5</v>
      </c>
      <c r="X57" s="92"/>
      <c r="Y57" s="92"/>
      <c r="Z57" s="92">
        <f>SUM(ППД5[[#This Row],[ТП Комната 1]:[ТП Комната 3]])</f>
        <v>18.5</v>
      </c>
      <c r="AA57" s="92">
        <v>13</v>
      </c>
      <c r="AB57" s="92">
        <v>3.8</v>
      </c>
      <c r="AC57" s="92"/>
      <c r="AD57" s="92"/>
      <c r="AE57" s="92">
        <v>6</v>
      </c>
      <c r="AF57" s="92">
        <v>1.3</v>
      </c>
      <c r="AG57" s="92"/>
      <c r="AH57" s="92"/>
      <c r="AI57" s="91">
        <f>SUM(ППД5[[#This Row],[ТП Лоджия 1]:[ТП Лоджия 3]])</f>
        <v>1.3</v>
      </c>
      <c r="AJ57" s="95">
        <v>2.6</v>
      </c>
      <c r="AK57" s="92">
        <f>SUM(ППД5[[#This Row],[Площадь по ТП жилая]:[ТП Лоджия 3]])-ППД5[[#This Row],[ТП Летние]]+ППД5[[#This Row],[кроме того прочая
(без коэффициента)]]</f>
        <v>43.9</v>
      </c>
      <c r="AL57" s="95">
        <f>ППД5[[#This Row],[ТП Площадь без летних]]+(ППД5[[#This Row],[ТП Летние]])</f>
        <v>42.599999999999994</v>
      </c>
      <c r="AM57" s="92">
        <f>ППД5[[#This Row],[ТП общая S]]-ППД5[[#This Row],[кроме того прочая
(без коэффициента)]]</f>
        <v>41.3</v>
      </c>
      <c r="AN57" s="95">
        <f>SUM(ППД5[[#This Row],[ТП Кухня]:[ТП Коридор]])</f>
        <v>22.8</v>
      </c>
      <c r="AO57" s="91">
        <f>ППД5[[#This Row],[Расчетная ТП площадь]]-ППД5[[#This Row],[Расчетная проектная площадь]]</f>
        <v>-0.15000000000000568</v>
      </c>
      <c r="AP57" s="335">
        <f>ППД5[[#This Row],[Расчетная ТП площадь]]/ППД5[[#This Row],[Расчетная проектная площадь]]-1</f>
        <v>-3.5087719298246833E-3</v>
      </c>
      <c r="AQ57" s="92">
        <f>ППД5[[#This Row],[% расхождения]]*ППД5[[#This Row],[Стоимость до скидки]]</f>
        <v>-20228.771929825263</v>
      </c>
      <c r="AR57" s="92">
        <f>VLOOKUP(ППД5[[#This Row],[№]],наценкад5[],COLUMN(наценкад5[[#This Row],[Цена м2 с учетом всех K]]),0)</f>
        <v>83951.4375</v>
      </c>
      <c r="AS57" s="7">
        <f>ППД5[[#This Row],[м2 после К]]*5%</f>
        <v>4197.5718750000005</v>
      </c>
      <c r="AT57" s="7">
        <f>ППД5[[#This Row],[м2 после К]]+ППД5[[#This Row],[Повышение 16.08.23 - 5%]]</f>
        <v>88149.009374999994</v>
      </c>
      <c r="AU57" s="9">
        <f>ППД5[[#This Row],[Фикс 16.08.23]]*3%</f>
        <v>2644.4702812499995</v>
      </c>
      <c r="AV57" s="9">
        <f>ППД5[[#This Row],[Фикс 16.08.23]]+ППД5[[#This Row],[Повышение 29.08.23 - 3%]]</f>
        <v>90793.479656249998</v>
      </c>
      <c r="AW57" s="93">
        <f>ППД5[[#This Row],[Фикс 29.08.23]]*4%</f>
        <v>3631.7391862499999</v>
      </c>
      <c r="AX57" s="9">
        <f>ППД5[[#This Row],[Фикс 29.08.23]]+ППД5[[#This Row],[Повышение 06.09.23 СТ и 1К]]</f>
        <v>94425.218842499991</v>
      </c>
      <c r="AY57" s="9"/>
      <c r="AZ57" s="9">
        <f>ППД5[[#This Row],[Повышение 23.10.23  В4 ]]+ППД5[[#This Row],[Фикс 06.09.23]]</f>
        <v>94425.218842499991</v>
      </c>
      <c r="BA57" s="93">
        <f>ППД5[[#This Row],[Фикс 23.10.23]]*5%</f>
        <v>4721.2609421249999</v>
      </c>
      <c r="BB57" s="93">
        <f>ППД5[[#This Row],[Повышение 8.11.23 1К 5%]]+ППД5[[#This Row],[Фикс 23.10.23]]</f>
        <v>99146.479784624986</v>
      </c>
      <c r="BC57" s="93"/>
      <c r="BD57" s="93">
        <f>ППД5[[#This Row],[Корректировка 24.11.23 - 1К В5, 2К А2, №233]]+ППД5[[#This Row],[Фикс 8.11.23]]</f>
        <v>99146.479784624986</v>
      </c>
      <c r="BE57" s="93">
        <f>ППД5[[#This Row],[Фикс 8.11.24]]*1%</f>
        <v>991.46479784624989</v>
      </c>
      <c r="BF57" s="93">
        <f>ППД5[[#This Row],[Наценка за отделку 29.12.23 1%]]+ППД5[[#This Row],[Фикс 8.11.24]]</f>
        <v>100137.94458247123</v>
      </c>
      <c r="BG57" s="93">
        <f>ППД5[[#This Row],[Фикс 29.12.23]]*5%</f>
        <v>5006.8972291235623</v>
      </c>
      <c r="BH57" s="93">
        <f>ППД5[[#This Row],[Фикс 29.12.23]]+ППД5[[#This Row],[Наценка 10.01.24 5%]]</f>
        <v>105144.84181159479</v>
      </c>
      <c r="BI57" s="93"/>
      <c r="BJ57" s="93">
        <f>ППД5[[#This Row],[Наценка 26.02.24 1 Этаж]]+ППД5[[#This Row],[Фикс 10.01.24]]</f>
        <v>105144.84181159479</v>
      </c>
      <c r="BK57" s="93">
        <f>ППД5[[#This Row],[Фикс 26.02.24]]*3%</f>
        <v>3154.3452543478434</v>
      </c>
      <c r="BL57" s="93">
        <f>ППД5[[#This Row],[Фикс 26.02.24]]+ППД5[[#This Row],[Наценка 06.03.24
СТ, 1К - 3%
2К, 3К - 2%]]</f>
        <v>108299.18706594263</v>
      </c>
      <c r="BM57" s="93"/>
      <c r="BN57" s="93">
        <f>ППД5[[#This Row],[Фикс 06.03.24]]+ППД5[[#This Row],[Наценка Г2+500]]</f>
        <v>108299.18706594263</v>
      </c>
      <c r="BO57" s="93"/>
      <c r="BP57" s="93">
        <f>ППД5[[#This Row],[Фикс 13.03.25]]+ППД5[[#This Row],[Наценка 20.03.24
2К, 3К - 2%]]</f>
        <v>108299.18706594263</v>
      </c>
      <c r="BQ57" s="93"/>
      <c r="BR57" s="93">
        <f>ППД5[[#This Row],[Фикс 20.03.24]]+ППД5[[#This Row],[Наценка 08.04.24 
2К: В3 - 150
3К: Г7 +1000]]</f>
        <v>108299.18706594263</v>
      </c>
      <c r="BS57" s="93"/>
      <c r="BT57" s="93">
        <f>ППД5[[#This Row],[Фикс 08.04.24]]+ППД5[[#This Row],[Наценка 16.05.24 1%
А4,А6,Б3,Б6,Б7,В2,В3,В5,В6,Г1,Г3-Г5]]</f>
        <v>108299.18706594263</v>
      </c>
      <c r="BU57" s="93"/>
      <c r="BV57" s="93">
        <f>ППД5[[#This Row],[Фикс 16.05.24]]+ППД5[[#This Row],[Наценка 24.05.24
1% - Б4, Б5,Г2,Г6
2% - А1,А3,А5,Б2,Г7]]</f>
        <v>108299.18706594263</v>
      </c>
      <c r="BW57" s="9">
        <f>ППД5[[#This Row],[Фикс 24.05.24]]*0.5%</f>
        <v>541.49593532971323</v>
      </c>
      <c r="BX57" s="93">
        <f>ППД5[[#This Row],[Наценка 06.06.24
0К: В2,Г3 +0,5%
1К: А7, Б5/4, Г6 +0,5%
3К: В6 +0,5%
1К: А3 +1%]]+ППД5[[#This Row],[Фикс 24.05.24]]</f>
        <v>108840.68300127235</v>
      </c>
      <c r="BY57" s="93"/>
      <c r="BZ57" s="93">
        <f>ППД5[[#This Row],[Фикс 06.06.24]]+ППД5[[#This Row],[13.06.2024
3К - 2%]]</f>
        <v>108840.68300127235</v>
      </c>
      <c r="CA57" s="93">
        <f>1.5%*ППД5[[#This Row],[Фикс 13.06.24]]</f>
        <v>1632.6102450190851</v>
      </c>
      <c r="CB57" s="93">
        <f>ППД5[[#This Row],[02.07.2024: Г3 А1 А3 Б5 Б7 Г2 Г6 Б3 Б4 В3 Г7 2,5% ост 0,5-1,5%]]+ППД5[[#This Row],[Фикс 13.06.24]]</f>
        <v>110473.29324629143</v>
      </c>
      <c r="CC57" s="93"/>
      <c r="CD57" s="93">
        <f>ППД5[[#This Row],[Фикс 02.07.24]]+ППД5[[#This Row],[04.09.2024 +500
0К - Б2; 1К - А3;
2К - А6, Б4, В3, Г5]]</f>
        <v>110473.29324629143</v>
      </c>
      <c r="CE57" s="93"/>
      <c r="CF57" s="93">
        <f>ППД5[[#This Row],[Наценка 16.09.2024
1К: А1,В7,Г6/7,Г8 - 2%
2К: А4,А5,А6,Б1,Б6,Б3/4,В3,В4,Г4,Г5 - 4%
3К: 4%]]+ППД5[[#This Row],[Фикс 04.09.24]]</f>
        <v>110473.29324629143</v>
      </c>
      <c r="CG57" s="93">
        <f>ППД5[[#This Row],[Фикс 16.09.2024]]*8%</f>
        <v>8837.8634597033142</v>
      </c>
      <c r="CH57" s="93">
        <f>ППД5[[#This Row],[Фикс 16.09.2024]]+ППД5[[#This Row],[Наценка 01.11.24
СТ: 4%
1К: 34-40м 5%; 40м+ 8%; МГН 1%
2К: 55-70м 6%; 70-73м 7%; 73-76м 8% 
3К: 5%]]</f>
        <v>119311.15670599474</v>
      </c>
      <c r="CI57" s="93">
        <f>ППД5[[#This Row],[Фикс 01.11.24]]*13%</f>
        <v>15510.450371779318</v>
      </c>
      <c r="CJ57" s="93">
        <f>ППД5[[#This Row],[Наценка 06.11 13%]]+ППД5[[#This Row],[Фикс 01.11.24]]</f>
        <v>134821.60707777407</v>
      </c>
      <c r="CK57" s="93">
        <v>35</v>
      </c>
      <c r="CL57" s="93">
        <f>ППД5[[#This Row],[Фикс 06.11.24]]+ППД5[[#This Row],[Наценка 18.12.24 распределение КВ]]</f>
        <v>134856.60707777407</v>
      </c>
      <c r="CM57" s="93"/>
      <c r="CN57" s="93">
        <f>ППД5[[#This Row],[Фикс 18.12.24]]+ППД5[[#This Row],[Наценка 10.02.25 +1%
1К: А3
2К: Б3, В3]]</f>
        <v>134856.60707777407</v>
      </c>
      <c r="CO57" s="93">
        <f>ROUND(ППД5[[#This Row],[Фикс 10.02.25]],2)</f>
        <v>134856.60999999999</v>
      </c>
      <c r="CP5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5765200</v>
      </c>
      <c r="CQ57" s="93">
        <f>ROUNDUP(ППД5[[#This Row],[Стоимость до скидки]]+ППД5[[#This Row],[Сумма доплаты]],-2)</f>
        <v>5745000</v>
      </c>
      <c r="CR57" s="68">
        <f>ППД5[[#This Row],[Расчетная проектная площадь]]*8000</f>
        <v>342000</v>
      </c>
      <c r="CS57" s="90"/>
      <c r="CT57" s="68">
        <f>ППД5[[#This Row],[Стоимость до скидки]]*ППД5[[#This Row],[Скидка %]]+ППД5[[#This Row],[Скидка фиксированная]]</f>
        <v>342000</v>
      </c>
      <c r="CU57" s="3">
        <f>ППД5[[#This Row],[Стоимость ОН без отделки со скидкой]]/ППД5[[#This Row],[Расчетная проектная площадь]]</f>
        <v>126858.47953216374</v>
      </c>
      <c r="CV57" s="3">
        <f>ROUND(ППД5[[#This Row],[Стоимость до скидки]]-ППД5[[#This Row],[Итоговая сумма скидки]],2)</f>
        <v>5423200</v>
      </c>
      <c r="CW5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7" s="197"/>
      <c r="CY57" s="332">
        <f>ППД5[[#This Row],[Расхождение]]/ППД5[[#This Row],[Расчетная проектная площадь]]</f>
        <v>-3.5087719298246942E-3</v>
      </c>
      <c r="CZ5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-0.12999999999999723</v>
      </c>
      <c r="DA57" s="3">
        <f>ППД5[[#This Row],[Цена м2 без отделки со скидкой]]+ППД5[[#This Row],[Стоимость отделки]]</f>
        <v>126858.47953216374</v>
      </c>
      <c r="DB57" s="3">
        <f>ППД5[[#This Row],[Стоимость квартиры с отделкой]]-ППД5[[#This Row],[Стоимость ОН без отделки со скидкой]]</f>
        <v>0</v>
      </c>
      <c r="DC57" s="3">
        <f>ППД5[[#This Row],[Цена м2 с отделкой]]*ППД5[[#This Row],[Расчетная проектная площадь]]</f>
        <v>5423200</v>
      </c>
      <c r="DD57" s="3"/>
      <c r="DE57" s="111" t="s">
        <v>2122</v>
      </c>
      <c r="DF57" s="155" t="s">
        <v>172</v>
      </c>
      <c r="DG57" s="221" t="s">
        <v>172</v>
      </c>
      <c r="DH57" s="100" t="b">
        <f>EXACT(ППД5[[#This Row],[Статусы CRM]],ППД5[[#This Row],[Статус]])</f>
        <v>1</v>
      </c>
      <c r="DI57" s="213" t="s">
        <v>229</v>
      </c>
      <c r="DJ57" s="204"/>
      <c r="DK57" s="111" t="s">
        <v>763</v>
      </c>
      <c r="DL57" s="216" t="s">
        <v>12</v>
      </c>
      <c r="DM57" s="201" t="b">
        <f>ППД5[[#This Row],[Отделка CRM]]=ППД5[[#This Row],[Отделка]]</f>
        <v>1</v>
      </c>
      <c r="DN57" s="203">
        <v>5423200</v>
      </c>
      <c r="DO5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7" s="207" t="b">
        <f>IF(AND(ППД5[[#This Row],[Статус]]="свободно",ППД5[[#This Row],[Итоговая сумма скидки]]&lt;&gt;0),FALSE,TRUE)</f>
        <v>1</v>
      </c>
      <c r="DQ57" s="240">
        <f>_xlfn.XLOOKUP(ППД5[[#This Row],[№]],Юрист[№ кв],Юрист[Дата подачи на регистрацию]," ",0,-1)</f>
        <v>45814</v>
      </c>
      <c r="DR57" s="115" t="str">
        <f>_xlfn.XLOOKUP(ППД5[[#This Row],[№]],Юрист[№ кв],Юрист[МОП],"",0,-1)</f>
        <v>Нуждина</v>
      </c>
      <c r="DS57" s="333" t="s">
        <v>2406</v>
      </c>
      <c r="DT57" s="333" t="s">
        <v>2407</v>
      </c>
      <c r="DU57" s="333">
        <v>41.3</v>
      </c>
      <c r="DV57" s="111"/>
    </row>
    <row r="58" spans="1:129" hidden="1" x14ac:dyDescent="0.25">
      <c r="A58" s="112">
        <v>56</v>
      </c>
      <c r="B58" s="111" t="s">
        <v>5</v>
      </c>
      <c r="C58" s="111">
        <v>9</v>
      </c>
      <c r="D58" s="338">
        <v>1</v>
      </c>
      <c r="E58" s="111">
        <v>1</v>
      </c>
      <c r="F58" s="105">
        <v>14.68</v>
      </c>
      <c r="G58" s="105"/>
      <c r="H58" s="105"/>
      <c r="I58" s="94">
        <f>SUM(ППД5[[#This Row],[Комната 1]:[Комната 3]])</f>
        <v>14.68</v>
      </c>
      <c r="J58" s="1">
        <v>9.84</v>
      </c>
      <c r="K58" s="105">
        <v>3.63</v>
      </c>
      <c r="L58" s="105"/>
      <c r="M58" s="105"/>
      <c r="N58" s="105">
        <v>4.8899999999999997</v>
      </c>
      <c r="O58" s="105">
        <v>2.7</v>
      </c>
      <c r="P58" s="105"/>
      <c r="Q58" s="105"/>
      <c r="R58" s="105">
        <f>SUM(ППД5[[#This Row],[Лоджия 1]:[Лоджия 3]])</f>
        <v>2.7</v>
      </c>
      <c r="S58" s="7">
        <f>ROUND(SUM(ППД5[[#This Row],[Площадь по проекту жилая]:[Лоджия 3]]),2)</f>
        <v>35.74</v>
      </c>
      <c r="T58" s="7">
        <f>ROUND(ППД5[[#This Row],[Площадь по проекту(общая)]]-ППД5[[#This Row],[Летние]],2)</f>
        <v>33.04</v>
      </c>
      <c r="U58" s="92">
        <f>ROUND(ППД5[[#This Row],[Площадь по проекту(общая)]]-(SUM(ППД5[[#This Row],[Лоджия 1]:[Лоджия 3]])/2),2)</f>
        <v>34.39</v>
      </c>
      <c r="V58" s="92">
        <f>IF(ППД5[[#This Row],[Статус]]="продажа",ППД5[[#This Row],[Расчетная проектная площадь]],ППД5[[#This Row],[Расчетная ТП площадь]])</f>
        <v>34.450000000000003</v>
      </c>
      <c r="W58" s="92">
        <v>14.8</v>
      </c>
      <c r="X58" s="92"/>
      <c r="Y58" s="92"/>
      <c r="Z58" s="92">
        <f>SUM(ППД5[[#This Row],[ТП Комната 1]:[ТП Комната 3]])</f>
        <v>14.8</v>
      </c>
      <c r="AA58" s="92">
        <v>9.6999999999999993</v>
      </c>
      <c r="AB58" s="92">
        <v>3.8</v>
      </c>
      <c r="AC58" s="92"/>
      <c r="AD58" s="92"/>
      <c r="AE58" s="92">
        <v>4.8</v>
      </c>
      <c r="AF58" s="91">
        <v>1.35</v>
      </c>
      <c r="AG58" s="92"/>
      <c r="AH58" s="92"/>
      <c r="AI58" s="91">
        <f>SUM(ППД5[[#This Row],[ТП Лоджия 1]:[ТП Лоджия 3]])</f>
        <v>1.35</v>
      </c>
      <c r="AJ58" s="95">
        <v>2.7</v>
      </c>
      <c r="AK58" s="92">
        <f>SUM(ППД5[[#This Row],[Площадь по ТП жилая]:[ТП Лоджия 3]])-ППД5[[#This Row],[ТП Летние]]+ППД5[[#This Row],[кроме того прочая
(без коэффициента)]]</f>
        <v>35.800000000000004</v>
      </c>
      <c r="AL58" s="95">
        <f>ППД5[[#This Row],[ТП Площадь без летних]]+(ППД5[[#This Row],[ТП Летние]])</f>
        <v>34.450000000000003</v>
      </c>
      <c r="AM58" s="92">
        <f>ППД5[[#This Row],[ТП общая S]]-ППД5[[#This Row],[кроме того прочая
(без коэффициента)]]</f>
        <v>33.1</v>
      </c>
      <c r="AN58" s="95">
        <f>SUM(ППД5[[#This Row],[ТП Кухня]:[ТП Коридор]])</f>
        <v>18.3</v>
      </c>
      <c r="AO58" s="91">
        <f>ППД5[[#This Row],[Расчетная ТП площадь]]-ППД5[[#This Row],[Расчетная проектная площадь]]</f>
        <v>6.0000000000002274E-2</v>
      </c>
      <c r="AP58" s="335">
        <f>ППД5[[#This Row],[Расчетная ТП площадь]]/ППД5[[#This Row],[Расчетная проектная площадь]]-1</f>
        <v>1.7446932247746627E-3</v>
      </c>
      <c r="AQ58" s="92">
        <f>ППД5[[#This Row],[% расхождения]]*ППД5[[#This Row],[Стоимость до скидки]]</f>
        <v>8883.9779005525834</v>
      </c>
      <c r="AR58" s="92">
        <f>VLOOKUP(ППД5[[#This Row],[№]],наценкад5[],COLUMN(наценкад5[[#This Row],[Цена м2 с учетом всех K]]),0)</f>
        <v>82734.75</v>
      </c>
      <c r="AS58" s="7">
        <f>ППД5[[#This Row],[м2 после К]]*5%</f>
        <v>4136.7375000000002</v>
      </c>
      <c r="AT58" s="7">
        <f>ППД5[[#This Row],[м2 после К]]+ППД5[[#This Row],[Повышение 16.08.23 - 5%]]</f>
        <v>86871.487500000003</v>
      </c>
      <c r="AU58" s="9">
        <f>ППД5[[#This Row],[Фикс 16.08.23]]*3%</f>
        <v>2606.1446249999999</v>
      </c>
      <c r="AV58" s="9">
        <f>ППД5[[#This Row],[Фикс 16.08.23]]+ППД5[[#This Row],[Повышение 29.08.23 - 3%]]</f>
        <v>89477.632125000004</v>
      </c>
      <c r="AW58" s="93">
        <f>ППД5[[#This Row],[Фикс 29.08.23]]*14%</f>
        <v>12526.868497500001</v>
      </c>
      <c r="AX58" s="9">
        <f>ППД5[[#This Row],[Фикс 29.08.23]]+ППД5[[#This Row],[Повышение 06.09.23 СТ и 1К]]</f>
        <v>102004.50062250001</v>
      </c>
      <c r="AY58" s="9"/>
      <c r="AZ58" s="9">
        <f>ППД5[[#This Row],[Повышение 23.10.23  В4 ]]+ППД5[[#This Row],[Фикс 06.09.23]]</f>
        <v>102004.50062250001</v>
      </c>
      <c r="BA58" s="93">
        <f>ППД5[[#This Row],[Фикс 23.10.23]]*5%</f>
        <v>5100.2250311250009</v>
      </c>
      <c r="BB58" s="93">
        <f>ППД5[[#This Row],[Повышение 8.11.23 1К 5%]]+ППД5[[#This Row],[Фикс 23.10.23]]</f>
        <v>107104.72565362501</v>
      </c>
      <c r="BC58" s="93"/>
      <c r="BD58" s="93">
        <f>ППД5[[#This Row],[Корректировка 24.11.23 - 1К В5, 2К А2, №233]]+ППД5[[#This Row],[Фикс 8.11.23]]</f>
        <v>107104.72565362501</v>
      </c>
      <c r="BE58" s="93">
        <f>ППД5[[#This Row],[Фикс 8.11.24]]*1%</f>
        <v>1071.0472565362502</v>
      </c>
      <c r="BF58" s="93">
        <f>ППД5[[#This Row],[Наценка за отделку 29.12.23 1%]]+ППД5[[#This Row],[Фикс 8.11.24]]</f>
        <v>108175.77291016125</v>
      </c>
      <c r="BG58" s="93">
        <f>ППД5[[#This Row],[Фикс 29.12.23]]*5%</f>
        <v>5408.7886455080625</v>
      </c>
      <c r="BH58" s="93">
        <f>ППД5[[#This Row],[Фикс 29.12.23]]+ППД5[[#This Row],[Наценка 10.01.24 5%]]</f>
        <v>113584.56155566931</v>
      </c>
      <c r="BI58" s="93"/>
      <c r="BJ58" s="93">
        <f>ППД5[[#This Row],[Наценка 26.02.24 1 Этаж]]+ППД5[[#This Row],[Фикс 10.01.24]]</f>
        <v>113584.56155566931</v>
      </c>
      <c r="BK58" s="93">
        <f>ППД5[[#This Row],[Фикс 26.02.24]]*3%</f>
        <v>3407.5368466700793</v>
      </c>
      <c r="BL58" s="93">
        <f>ППД5[[#This Row],[Фикс 26.02.24]]+ППД5[[#This Row],[Наценка 06.03.24
СТ, 1К - 3%
2К, 3К - 2%]]</f>
        <v>116992.09840233938</v>
      </c>
      <c r="BM58" s="93"/>
      <c r="BN58" s="93">
        <f>ППД5[[#This Row],[Фикс 06.03.24]]+ППД5[[#This Row],[Наценка Г2+500]]</f>
        <v>116992.09840233938</v>
      </c>
      <c r="BO58" s="93"/>
      <c r="BP58" s="93">
        <f>ППД5[[#This Row],[Фикс 13.03.25]]+ППД5[[#This Row],[Наценка 20.03.24
2К, 3К - 2%]]</f>
        <v>116992.09840233938</v>
      </c>
      <c r="BQ58" s="93"/>
      <c r="BR58" s="93">
        <f>ППД5[[#This Row],[Фикс 20.03.24]]+ППД5[[#This Row],[Наценка 08.04.24 
2К: В3 - 150
3К: Г7 +1000]]</f>
        <v>116992.09840233938</v>
      </c>
      <c r="BS58" s="93"/>
      <c r="BT58" s="93">
        <f>ППД5[[#This Row],[Фикс 08.04.24]]+ППД5[[#This Row],[Наценка 16.05.24 1%
А4,А6,Б3,Б6,Б7,В2,В3,В5,В6,Г1,Г3-Г5]]</f>
        <v>116992.09840233938</v>
      </c>
      <c r="BU58" s="93">
        <f>ППД5[[#This Row],[Фикс 16.05.24]]*2%</f>
        <v>2339.8419680467878</v>
      </c>
      <c r="BV58" s="93">
        <f>ППД5[[#This Row],[Фикс 16.05.24]]+ППД5[[#This Row],[Наценка 24.05.24
1% - Б4, Б5,Г2,Г6
2% - А1,А3,А5,Б2,Г7]]</f>
        <v>119331.94037038618</v>
      </c>
      <c r="BW58" s="93"/>
      <c r="BX58" s="93">
        <f>ППД5[[#This Row],[Наценка 06.06.24
0К: В2,Г3 +0,5%
1К: А7, Б5/4, Г6 +0,5%
3К: В6 +0,5%
1К: А3 +1%]]+ППД5[[#This Row],[Фикс 24.05.24]]</f>
        <v>119331.94037038618</v>
      </c>
      <c r="BY58" s="93"/>
      <c r="BZ58" s="93">
        <f>ППД5[[#This Row],[Фикс 06.06.24]]+ППД5[[#This Row],[13.06.2024
3К - 2%]]</f>
        <v>119331.94037038618</v>
      </c>
      <c r="CA58" s="93">
        <f>2.5%*ППД5[[#This Row],[Фикс 13.06.24]]</f>
        <v>2983.2985092596546</v>
      </c>
      <c r="CB58" s="93">
        <f>ППД5[[#This Row],[02.07.2024: Г3 А1 А3 Б5 Б7 Г2 Г6 Б3 Б4 В3 Г7 2,5% ост 0,5-1,5%]]+ППД5[[#This Row],[Фикс 13.06.24]]</f>
        <v>122315.23887964583</v>
      </c>
      <c r="CC58" s="93"/>
      <c r="CD58" s="93">
        <f>ППД5[[#This Row],[Фикс 02.07.24]]+ППД5[[#This Row],[04.09.2024 +500
0К - Б2; 1К - А3;
2К - А6, Б4, В3, Г5]]</f>
        <v>122315.23887964583</v>
      </c>
      <c r="CE58" s="93">
        <f>ППД5[[#This Row],[Фикс 04.09.24]]*2%</f>
        <v>2446.3047775929167</v>
      </c>
      <c r="CF58" s="93">
        <f>ППД5[[#This Row],[Наценка 16.09.2024
1К: А1,В7,Г6/7,Г8 - 2%
2К: А4,А5,А6,Б1,Б6,Б3/4,В3,В4,Г4,Г5 - 4%
3К: 4%]]+ППД5[[#This Row],[Фикс 04.09.24]]</f>
        <v>124761.54365723874</v>
      </c>
      <c r="CG58" s="93">
        <f>ППД5[[#This Row],[Фикс 16.09.2024]]*5%</f>
        <v>6238.0771828619372</v>
      </c>
      <c r="CH58" s="93">
        <f>ППД5[[#This Row],[Фикс 16.09.2024]]+ППД5[[#This Row],[Наценка 01.11.24
СТ: 4%
1К: 34-40м 5%; 40м+ 8%; МГН 1%
2К: 55-70м 6%; 70-73м 7%; 73-76м 8% 
3К: 5%]]</f>
        <v>130999.62084010067</v>
      </c>
      <c r="CI58" s="93">
        <f>ППД5[[#This Row],[Фикс 01.11.24]]*13%</f>
        <v>17029.950709213088</v>
      </c>
      <c r="CJ58" s="93">
        <f>ППД5[[#This Row],[Наценка 06.11 13%]]+ППД5[[#This Row],[Фикс 01.11.24]]</f>
        <v>148029.57154931375</v>
      </c>
      <c r="CK58" s="93">
        <v>35</v>
      </c>
      <c r="CL58" s="93">
        <f>ППД5[[#This Row],[Фикс 06.11.24]]+ППД5[[#This Row],[Наценка 18.12.24 распределение КВ]]</f>
        <v>148064.57154931375</v>
      </c>
      <c r="CM58" s="93"/>
      <c r="CN58" s="93">
        <f>ППД5[[#This Row],[Фикс 18.12.24]]+ППД5[[#This Row],[Наценка 10.02.25 +1%
1К: А3
2К: Б3, В3]]</f>
        <v>148064.57154931375</v>
      </c>
      <c r="CO58" s="93">
        <f>ROUND(ППД5[[#This Row],[Фикс 10.02.25]],2)</f>
        <v>148064.57</v>
      </c>
      <c r="CP5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5092000</v>
      </c>
      <c r="CQ58" s="93">
        <f>ROUNDUP(ППД5[[#This Row],[Стоимость до скидки]]+ППД5[[#This Row],[Сумма доплаты]],-2)</f>
        <v>5100900</v>
      </c>
      <c r="CR58" s="68"/>
      <c r="CS58" s="90"/>
      <c r="CT58" s="68">
        <f>ППД5[[#This Row],[Стоимость до скидки]]*ППД5[[#This Row],[Скидка %]]+ППД5[[#This Row],[Скидка фиксированная]]</f>
        <v>0</v>
      </c>
      <c r="CU58" s="3">
        <f>ППД5[[#This Row],[Стоимость ОН без отделки со скидкой]]/ППД5[[#This Row],[Расчетная проектная площадь]]</f>
        <v>148066.29834254144</v>
      </c>
      <c r="CV58" s="3">
        <f>ROUND(ППД5[[#This Row],[Стоимость до скидки]]-ППД5[[#This Row],[Итоговая сумма скидки]],2)</f>
        <v>5092000</v>
      </c>
      <c r="CW5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58" s="218">
        <v>10000</v>
      </c>
      <c r="CY58" s="332">
        <f>ППД5[[#This Row],[Расхождение]]/ППД5[[#This Row],[Расчетная проектная площадь]]</f>
        <v>1.74469322477471E-3</v>
      </c>
      <c r="CZ58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-5.9999999999998721E-2</v>
      </c>
      <c r="DA58" s="3">
        <f>ППД5[[#This Row],[Цена м2 без отделки со скидкой]]+ППД5[[#This Row],[Стоимость отделки]]</f>
        <v>158066.29834254144</v>
      </c>
      <c r="DB58" s="3">
        <f>ППД5[[#This Row],[Стоимость квартиры с отделкой]]-ППД5[[#This Row],[Стоимость ОН без отделки со скидкой]]</f>
        <v>343900</v>
      </c>
      <c r="DC58" s="3">
        <f>ППД5[[#This Row],[Цена м2 с отделкой]]*ППД5[[#This Row],[Расчетная проектная площадь]]</f>
        <v>5435900</v>
      </c>
      <c r="DD58" s="3" t="s">
        <v>154</v>
      </c>
      <c r="DF58" s="155" t="s">
        <v>157</v>
      </c>
      <c r="DG58" s="221" t="s">
        <v>157</v>
      </c>
      <c r="DH58" s="100" t="b">
        <f>EXACT(ППД5[[#This Row],[Статусы CRM]],ППД5[[#This Row],[Статус]])</f>
        <v>1</v>
      </c>
      <c r="DI58" s="213" t="s">
        <v>230</v>
      </c>
      <c r="DJ58" s="204"/>
      <c r="DK58" s="111" t="s">
        <v>763</v>
      </c>
      <c r="DL58" s="216" t="s">
        <v>780</v>
      </c>
      <c r="DM58" s="201" t="b">
        <f>ППД5[[#This Row],[Отделка CRM]]=ППД5[[#This Row],[Отделка]]</f>
        <v>1</v>
      </c>
      <c r="DN58" s="203">
        <v>5435900</v>
      </c>
      <c r="DO5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8" s="207" t="b">
        <f>IF(AND(ППД5[[#This Row],[Статус]]="свободно",ППД5[[#This Row],[Итоговая сумма скидки]]&lt;&gt;0),FALSE,TRUE)</f>
        <v>1</v>
      </c>
      <c r="DQ58" s="240" t="str">
        <f>_xlfn.XLOOKUP(ППД5[[#This Row],[№]],Юрист[№ кв],Юрист[Дата подачи на регистрацию]," ",0,-1)</f>
        <v xml:space="preserve"> </v>
      </c>
      <c r="DR58" s="115" t="str">
        <f>_xlfn.XLOOKUP(ППД5[[#This Row],[№]],Юрист[№ кв],Юрист[МОП],"",0,-1)</f>
        <v/>
      </c>
      <c r="DS58" s="333" t="s">
        <v>2408</v>
      </c>
      <c r="DT58" s="333" t="s">
        <v>2409</v>
      </c>
      <c r="DU58" s="333">
        <v>33.1</v>
      </c>
      <c r="DV58" s="111"/>
      <c r="DX58" s="108">
        <v>61.45</v>
      </c>
      <c r="DY58" s="108">
        <v>7724200</v>
      </c>
    </row>
    <row r="59" spans="1:129" hidden="1" x14ac:dyDescent="0.25">
      <c r="A59" s="112">
        <v>57</v>
      </c>
      <c r="B59" s="111" t="s">
        <v>5</v>
      </c>
      <c r="C59" s="111">
        <v>9</v>
      </c>
      <c r="D59" s="111">
        <v>2</v>
      </c>
      <c r="E59" s="111">
        <v>2</v>
      </c>
      <c r="F59" s="105">
        <v>15.82</v>
      </c>
      <c r="G59" s="156">
        <v>15.54</v>
      </c>
      <c r="H59" s="105"/>
      <c r="I59" s="94">
        <f>SUM(ППД5[[#This Row],[Комната 1]:[Комната 3]])</f>
        <v>31.36</v>
      </c>
      <c r="J59" s="105">
        <v>19.440000000000001</v>
      </c>
      <c r="K59" s="105">
        <v>4.42</v>
      </c>
      <c r="L59" s="105"/>
      <c r="M59" s="105">
        <v>3.25</v>
      </c>
      <c r="N59" s="105">
        <v>8.5299999999999994</v>
      </c>
      <c r="O59" s="105">
        <v>3</v>
      </c>
      <c r="P59" s="105"/>
      <c r="Q59" s="105"/>
      <c r="R59" s="105">
        <f>SUM(ППД5[[#This Row],[Лоджия 1]:[Лоджия 3]])</f>
        <v>3</v>
      </c>
      <c r="S59" s="7">
        <f>ROUND(SUM(ППД5[[#This Row],[Площадь по проекту жилая]:[Лоджия 3]]),2)</f>
        <v>70</v>
      </c>
      <c r="T59" s="7">
        <f>ROUND(ППД5[[#This Row],[Площадь по проекту(общая)]]-ППД5[[#This Row],[Летние]],2)</f>
        <v>67</v>
      </c>
      <c r="U59" s="92">
        <f>ROUND(ППД5[[#This Row],[Площадь по проекту(общая)]]-(SUM(ППД5[[#This Row],[Лоджия 1]:[Лоджия 3]])/2),2)</f>
        <v>68.5</v>
      </c>
      <c r="V59" s="92">
        <f>IF(ППД5[[#This Row],[Статус]]="продажа",ППД5[[#This Row],[Расчетная проектная площадь]],ППД5[[#This Row],[Расчетная ТП площадь]])</f>
        <v>68.5</v>
      </c>
      <c r="W59" s="92">
        <v>15.4</v>
      </c>
      <c r="X59" s="92">
        <v>15.7</v>
      </c>
      <c r="Y59" s="92"/>
      <c r="Z59" s="92">
        <f>SUM(ППД5[[#This Row],[ТП Комната 1]:[ТП Комната 3]])</f>
        <v>31.1</v>
      </c>
      <c r="AA59" s="92">
        <v>18.899999999999999</v>
      </c>
      <c r="AB59" s="92">
        <v>4.7</v>
      </c>
      <c r="AC59" s="92"/>
      <c r="AD59" s="92">
        <v>3.3</v>
      </c>
      <c r="AE59" s="92">
        <v>8.6</v>
      </c>
      <c r="AF59" s="92">
        <v>1.5</v>
      </c>
      <c r="AG59" s="92"/>
      <c r="AH59" s="92"/>
      <c r="AI59" s="91">
        <f>SUM(ППД5[[#This Row],[ТП Лоджия 1]:[ТП Лоджия 3]])</f>
        <v>1.5</v>
      </c>
      <c r="AJ59" s="95">
        <v>3</v>
      </c>
      <c r="AK59" s="92">
        <f>SUM(ППД5[[#This Row],[Площадь по ТП жилая]:[ТП Лоджия 3]])-ППД5[[#This Row],[ТП Летние]]+ППД5[[#This Row],[кроме того прочая
(без коэффициента)]]</f>
        <v>69.599999999999994</v>
      </c>
      <c r="AL59" s="95">
        <f>ППД5[[#This Row],[ТП Площадь без летних]]+(ППД5[[#This Row],[ТП Летние]])</f>
        <v>68.099999999999994</v>
      </c>
      <c r="AM59" s="92">
        <f>ППД5[[#This Row],[ТП общая S]]-ППД5[[#This Row],[кроме того прочая
(без коэффициента)]]</f>
        <v>66.599999999999994</v>
      </c>
      <c r="AN59" s="95">
        <f>SUM(ППД5[[#This Row],[ТП Кухня]:[ТП Коридор]])</f>
        <v>35.5</v>
      </c>
      <c r="AO59" s="91">
        <f>ППД5[[#This Row],[Расчетная ТП площадь]]-ППД5[[#This Row],[Расчетная проектная площадь]]</f>
        <v>-0.40000000000000568</v>
      </c>
      <c r="AP59" s="335">
        <f>ППД5[[#This Row],[Расчетная ТП площадь]]/ППД5[[#This Row],[Расчетная проектная площадь]]-1</f>
        <v>-5.8394160583942201E-3</v>
      </c>
      <c r="AQ59" s="92">
        <f>ППД5[[#This Row],[% расхождения]]*ППД5[[#This Row],[Стоимость до скидки]]</f>
        <v>-40007.007299270481</v>
      </c>
      <c r="AR59" s="92">
        <f>VLOOKUP(ППД5[[#This Row],[№]],наценкад5[],COLUMN(наценкад5[[#This Row],[Цена м2 с учетом всех K]]),0)</f>
        <v>84168.819000000003</v>
      </c>
      <c r="AS59" s="7">
        <f>ППД5[[#This Row],[м2 после К]]*5%</f>
        <v>4208.4409500000002</v>
      </c>
      <c r="AT59" s="7">
        <f>ППД5[[#This Row],[м2 после К]]+ППД5[[#This Row],[Повышение 16.08.23 - 5%]]</f>
        <v>88377.259950000007</v>
      </c>
      <c r="AU59" s="9">
        <f>ППД5[[#This Row],[Фикс 16.08.23]]*3%</f>
        <v>2651.3177985000002</v>
      </c>
      <c r="AV59" s="9">
        <f>ППД5[[#This Row],[Фикс 16.08.23]]+ППД5[[#This Row],[Повышение 29.08.23 - 3%]]</f>
        <v>91028.577748500014</v>
      </c>
      <c r="AW59" s="9"/>
      <c r="AX59" s="9">
        <f>ППД5[[#This Row],[Фикс 29.08.23]]+ППД5[[#This Row],[Повышение 06.09.23 СТ и 1К]]</f>
        <v>91028.577748500014</v>
      </c>
      <c r="AY59" s="9"/>
      <c r="AZ59" s="9">
        <f>ППД5[[#This Row],[Повышение 23.10.23  В4 ]]+ППД5[[#This Row],[Фикс 06.09.23]]</f>
        <v>91028.577748500014</v>
      </c>
      <c r="BA59" s="9"/>
      <c r="BB59" s="9">
        <f>ППД5[[#This Row],[Повышение 8.11.23 1К 5%]]+ППД5[[#This Row],[Фикс 23.10.23]]</f>
        <v>91028.577748500014</v>
      </c>
      <c r="BC59" s="9">
        <v>-831</v>
      </c>
      <c r="BD59" s="9">
        <f>ППД5[[#This Row],[Корректировка 24.11.23 - 1К В5, 2К А2, №233]]+ППД5[[#This Row],[Фикс 8.11.23]]</f>
        <v>90197.577748500014</v>
      </c>
      <c r="BE59" s="93">
        <f>ППД5[[#This Row],[Фикс 8.11.24]]*1%</f>
        <v>901.97577748500021</v>
      </c>
      <c r="BF59" s="9">
        <f>ППД5[[#This Row],[Наценка за отделку 29.12.23 1%]]+ППД5[[#This Row],[Фикс 8.11.24]]</f>
        <v>91099.553525985015</v>
      </c>
      <c r="BG59" s="93">
        <f>ППД5[[#This Row],[Фикс 29.12.23]]*5%</f>
        <v>4554.9776762992506</v>
      </c>
      <c r="BH59" s="9">
        <f>ППД5[[#This Row],[Фикс 29.12.23]]+ППД5[[#This Row],[Наценка 10.01.24 5%]]</f>
        <v>95654.53120228427</v>
      </c>
      <c r="BI59" s="9"/>
      <c r="BJ59" s="9">
        <f>ППД5[[#This Row],[Наценка 26.02.24 1 Этаж]]+ППД5[[#This Row],[Фикс 10.01.24]]</f>
        <v>95654.53120228427</v>
      </c>
      <c r="BK59" s="93">
        <f>ППД5[[#This Row],[Фикс 26.02.24]]*2%</f>
        <v>1913.0906240456854</v>
      </c>
      <c r="BL59" s="9">
        <f>ППД5[[#This Row],[Фикс 26.02.24]]+ППД5[[#This Row],[Наценка 06.03.24
СТ, 1К - 3%
2К, 3К - 2%]]</f>
        <v>97567.621826329952</v>
      </c>
      <c r="BM59" s="9"/>
      <c r="BN59" s="9">
        <f>ППД5[[#This Row],[Фикс 06.03.24]]+ППД5[[#This Row],[Наценка Г2+500]]</f>
        <v>97567.621826329952</v>
      </c>
      <c r="BO59" s="9">
        <f>ППД5[[#This Row],[Фикс 13.03.25]]*2%</f>
        <v>1951.3524365265991</v>
      </c>
      <c r="BP59" s="9">
        <f>ППД5[[#This Row],[Фикс 13.03.25]]+ППД5[[#This Row],[Наценка 20.03.24
2К, 3К - 2%]]</f>
        <v>99518.974262856558</v>
      </c>
      <c r="BQ59" s="9"/>
      <c r="BR59" s="9">
        <f>ППД5[[#This Row],[Фикс 20.03.24]]+ППД5[[#This Row],[Наценка 08.04.24 
2К: В3 - 150
3К: Г7 +1000]]</f>
        <v>99518.974262856558</v>
      </c>
      <c r="BS59" s="9"/>
      <c r="BT59" s="9">
        <f>ППД5[[#This Row],[Фикс 08.04.24]]+ППД5[[#This Row],[Наценка 16.05.24 1%
А4,А6,Б3,Б6,Б7,В2,В3,В5,В6,Г1,Г3-Г5]]</f>
        <v>99518.974262856558</v>
      </c>
      <c r="BU59" s="9"/>
      <c r="BV59" s="9">
        <f>ППД5[[#This Row],[Фикс 16.05.24]]+ППД5[[#This Row],[Наценка 24.05.24
1% - Б4, Б5,Г2,Г6
2% - А1,А3,А5,Б2,Г7]]</f>
        <v>99518.974262856558</v>
      </c>
      <c r="BW59" s="9"/>
      <c r="BX59" s="9">
        <f>ППД5[[#This Row],[Наценка 06.06.24
0К: В2,Г3 +0,5%
1К: А7, Б5/4, Г6 +0,5%
3К: В6 +0,5%
1К: А3 +1%]]+ППД5[[#This Row],[Фикс 24.05.24]]</f>
        <v>99518.974262856558</v>
      </c>
      <c r="BY59" s="9"/>
      <c r="BZ59" s="9">
        <f>ППД5[[#This Row],[Фикс 06.06.24]]+ППД5[[#This Row],[13.06.2024
3К - 2%]]</f>
        <v>99518.974262856558</v>
      </c>
      <c r="CA59" s="93">
        <f>0.5%*ППД5[[#This Row],[Фикс 13.06.24]]</f>
        <v>497.59487131428278</v>
      </c>
      <c r="CB59" s="9">
        <f>ППД5[[#This Row],[02.07.2024: Г3 А1 А3 Б5 Б7 Г2 Г6 Б3 Б4 В3 Г7 2,5% ост 0,5-1,5%]]+ППД5[[#This Row],[Фикс 13.06.24]]</f>
        <v>100016.56913417084</v>
      </c>
      <c r="CC59" s="9"/>
      <c r="CD59" s="9">
        <f>ППД5[[#This Row],[Фикс 02.07.24]]+ППД5[[#This Row],[04.09.2024 +500
0К - Б2; 1К - А3;
2К - А6, Б4, В3, Г5]]</f>
        <v>100016.56913417084</v>
      </c>
      <c r="CE59" s="9"/>
      <c r="CF59" s="9">
        <f>ППД5[[#This Row],[Наценка 16.09.2024
1К: А1,В7,Г6/7,Г8 - 2%
2К: А4,А5,А6,Б1,Б6,Б3/4,В3,В4,Г4,Г5 - 4%
3К: 4%]]+ППД5[[#This Row],[Фикс 04.09.24]]</f>
        <v>100016.56913417084</v>
      </c>
      <c r="CG59" s="9"/>
      <c r="CH59" s="9">
        <f>ППД5[[#This Row],[Фикс 16.09.2024]]+ППД5[[#This Row],[Наценка 01.11.24
СТ: 4%
1К: 34-40м 5%; 40м+ 8%; МГН 1%
2К: 55-70м 6%; 70-73м 7%; 73-76м 8% 
3К: 5%]]</f>
        <v>100016.56913417084</v>
      </c>
      <c r="CI59" s="9"/>
      <c r="CJ59" s="9">
        <f>ППД5[[#This Row],[Наценка 06.11 13%]]+ППД5[[#This Row],[Фикс 01.11.24]]</f>
        <v>100016.56913417084</v>
      </c>
      <c r="CK59" s="9"/>
      <c r="CL59" s="9">
        <f>ППД5[[#This Row],[Фикс 06.11.24]]+ППД5[[#This Row],[Наценка 18.12.24 распределение КВ]]</f>
        <v>100016.56913417084</v>
      </c>
      <c r="CM59" s="9"/>
      <c r="CN59" s="9">
        <f>ППД5[[#This Row],[Фикс 18.12.24]]+ППД5[[#This Row],[Наценка 10.02.25 +1%
1К: А3
2К: Б3, В3]]</f>
        <v>100016.56913417084</v>
      </c>
      <c r="CO59" s="93">
        <f>ROUND(ППД5[[#This Row],[Фикс 10.02.25]],2)</f>
        <v>100016.57</v>
      </c>
      <c r="CP5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6851200</v>
      </c>
      <c r="CQ59" s="93">
        <f>ROUNDUP(ППД5[[#This Row],[Стоимость до скидки]]+ППД5[[#This Row],[Сумма доплаты]],-2)</f>
        <v>6811200</v>
      </c>
      <c r="CR59" s="68"/>
      <c r="CS59" s="90">
        <v>0.03</v>
      </c>
      <c r="CT59" s="68">
        <f>ППД5[[#This Row],[Стоимость до скидки]]*ППД5[[#This Row],[Скидка %]]+ППД5[[#This Row],[Скидка фиксированная]]</f>
        <v>205536</v>
      </c>
      <c r="CU59" s="3">
        <f>ППД5[[#This Row],[Стоимость ОН без отделки со скидкой]]/ППД5[[#This Row],[Расчетная проектная площадь]]</f>
        <v>97016.992700729927</v>
      </c>
      <c r="CV59" s="3">
        <f>ROUND(ППД5[[#This Row],[Стоимость до скидки]]-ППД5[[#This Row],[Итоговая сумма скидки]],2)</f>
        <v>6645664</v>
      </c>
      <c r="CW5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59" s="197">
        <v>8000</v>
      </c>
      <c r="CY59" s="332">
        <f>ППД5[[#This Row],[Расхождение]]/ППД5[[#This Row],[Расчетная проектная площадь]]</f>
        <v>-5.8394160583942435E-3</v>
      </c>
      <c r="CZ5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-0.14000000000000412</v>
      </c>
      <c r="DA59" s="3">
        <f>ППД5[[#This Row],[Цена м2 без отделки со скидкой]]+ППД5[[#This Row],[Стоимость отделки]]</f>
        <v>105016.99270072993</v>
      </c>
      <c r="DB59" s="3">
        <f>ППД5[[#This Row],[Стоимость квартиры с отделкой]]-ППД5[[#This Row],[Стоимость ОН без отделки со скидкой]]</f>
        <v>548000</v>
      </c>
      <c r="DC59" s="3">
        <f>ППД5[[#This Row],[Цена м2 с отделкой]]*ППД5[[#This Row],[Расчетная проектная площадь]]</f>
        <v>7193664</v>
      </c>
      <c r="DD59" s="3"/>
      <c r="DE59" s="111" t="s">
        <v>162</v>
      </c>
      <c r="DF59" s="199" t="s">
        <v>172</v>
      </c>
      <c r="DG59" s="245" t="s">
        <v>172</v>
      </c>
      <c r="DH59" s="100" t="b">
        <f>EXACT(ППД5[[#This Row],[Статусы CRM]],ППД5[[#This Row],[Статус]])</f>
        <v>1</v>
      </c>
      <c r="DI59" s="213" t="s">
        <v>231</v>
      </c>
      <c r="DJ59" s="204"/>
      <c r="DK59" s="111" t="s">
        <v>763</v>
      </c>
      <c r="DL59" s="216" t="s">
        <v>780</v>
      </c>
      <c r="DM59" s="201" t="b">
        <f>ППД5[[#This Row],[Отделка CRM]]=ППД5[[#This Row],[Отделка]]</f>
        <v>1</v>
      </c>
      <c r="DN59" s="203">
        <v>7193664</v>
      </c>
      <c r="DO5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9" s="207" t="b">
        <f>IF(AND(ППД5[[#This Row],[Статус]]="свободно",ППД5[[#This Row],[Итоговая сумма скидки]]&lt;&gt;0),FALSE,TRUE)</f>
        <v>1</v>
      </c>
      <c r="DQ59" s="240">
        <f>_xlfn.XLOOKUP(ППД5[[#This Row],[№]],Юрист[№ кв],Юрист[Дата подачи на регистрацию]," ",0,-1)</f>
        <v>45642</v>
      </c>
      <c r="DR59" s="115" t="str">
        <f>_xlfn.XLOOKUP(ППД5[[#This Row],[№]],Юрист[№ кв],Юрист[МОП],"",0,-1)</f>
        <v>Полехович</v>
      </c>
      <c r="DS59" s="333" t="s">
        <v>2410</v>
      </c>
      <c r="DT59" s="333" t="s">
        <v>2411</v>
      </c>
      <c r="DU59" s="333">
        <v>66.599999999999994</v>
      </c>
      <c r="DV59" s="111" t="s">
        <v>844</v>
      </c>
    </row>
    <row r="60" spans="1:129" hidden="1" x14ac:dyDescent="0.25">
      <c r="A60" s="112">
        <v>58</v>
      </c>
      <c r="B60" s="111" t="s">
        <v>5</v>
      </c>
      <c r="C60" s="111">
        <v>9</v>
      </c>
      <c r="D60" s="111">
        <v>3</v>
      </c>
      <c r="E60" s="111">
        <v>1</v>
      </c>
      <c r="F60" s="105">
        <v>13.6</v>
      </c>
      <c r="G60" s="105"/>
      <c r="H60" s="105"/>
      <c r="I60" s="94">
        <f>SUM(ППД5[[#This Row],[Комната 1]:[Комната 3]])</f>
        <v>13.6</v>
      </c>
      <c r="J60" s="105">
        <v>14.97</v>
      </c>
      <c r="K60" s="105">
        <v>4.1100000000000003</v>
      </c>
      <c r="L60" s="105"/>
      <c r="M60" s="105"/>
      <c r="N60" s="105">
        <v>3.7</v>
      </c>
      <c r="O60" s="105">
        <v>2.69</v>
      </c>
      <c r="P60" s="105"/>
      <c r="Q60" s="105"/>
      <c r="R60" s="105">
        <f>SUM(ППД5[[#This Row],[Лоджия 1]:[Лоджия 3]])</f>
        <v>2.69</v>
      </c>
      <c r="S60" s="7">
        <f>ROUND(SUM(ППД5[[#This Row],[Площадь по проекту жилая]:[Лоджия 3]]),2)</f>
        <v>39.07</v>
      </c>
      <c r="T60" s="7">
        <f>ROUND(ППД5[[#This Row],[Площадь по проекту(общая)]]-ППД5[[#This Row],[Летние]],2)</f>
        <v>36.380000000000003</v>
      </c>
      <c r="U60" s="92">
        <f>ROUND(ППД5[[#This Row],[Площадь по проекту(общая)]]-(SUM(ППД5[[#This Row],[Лоджия 1]:[Лоджия 3]])/2),2)</f>
        <v>37.729999999999997</v>
      </c>
      <c r="V60" s="92">
        <f>IF(ППД5[[#This Row],[Статус]]="продажа",ППД5[[#This Row],[Расчетная проектная площадь]],ППД5[[#This Row],[Расчетная ТП площадь]])</f>
        <v>37.729999999999997</v>
      </c>
      <c r="W60" s="92">
        <v>13.7</v>
      </c>
      <c r="X60" s="92"/>
      <c r="Y60" s="92"/>
      <c r="Z60" s="92">
        <f>SUM(ППД5[[#This Row],[ТП Комната 1]:[ТП Комната 3]])</f>
        <v>13.7</v>
      </c>
      <c r="AA60" s="92">
        <v>14.9</v>
      </c>
      <c r="AB60" s="92">
        <v>4.2</v>
      </c>
      <c r="AC60" s="92"/>
      <c r="AD60" s="92"/>
      <c r="AE60" s="92">
        <v>3.7</v>
      </c>
      <c r="AF60" s="91">
        <v>1.35</v>
      </c>
      <c r="AG60" s="92"/>
      <c r="AH60" s="92"/>
      <c r="AI60" s="91">
        <f>SUM(ППД5[[#This Row],[ТП Лоджия 1]:[ТП Лоджия 3]])</f>
        <v>1.35</v>
      </c>
      <c r="AJ60" s="95">
        <v>2.7</v>
      </c>
      <c r="AK60" s="92">
        <f>SUM(ППД5[[#This Row],[Площадь по ТП жилая]:[ТП Лоджия 3]])-ППД5[[#This Row],[ТП Летние]]+ППД5[[#This Row],[кроме того прочая
(без коэффициента)]]</f>
        <v>39.20000000000001</v>
      </c>
      <c r="AL60" s="95">
        <f>ППД5[[#This Row],[ТП Площадь без летних]]+(ППД5[[#This Row],[ТП Летние]])</f>
        <v>37.850000000000009</v>
      </c>
      <c r="AM60" s="92">
        <f>ППД5[[#This Row],[ТП общая S]]-ППД5[[#This Row],[кроме того прочая
(без коэффициента)]]</f>
        <v>36.500000000000007</v>
      </c>
      <c r="AN60" s="95">
        <f>SUM(ППД5[[#This Row],[ТП Кухня]:[ТП Коридор]])</f>
        <v>22.8</v>
      </c>
      <c r="AO60" s="91">
        <f>ППД5[[#This Row],[Расчетная ТП площадь]]-ППД5[[#This Row],[Расчетная проектная площадь]]</f>
        <v>0.12000000000001165</v>
      </c>
      <c r="AP60" s="335">
        <f>ППД5[[#This Row],[Расчетная ТП площадь]]/ППД5[[#This Row],[Расчетная проектная площадь]]-1</f>
        <v>3.180492976411653E-3</v>
      </c>
      <c r="AQ60" s="92">
        <f>ППД5[[#This Row],[% расхождения]]*ППД5[[#This Row],[Стоимость до скидки]]</f>
        <v>14231.433872251582</v>
      </c>
      <c r="AR60" s="92">
        <f>VLOOKUP(ППД5[[#This Row],[№]],наценкад5[],COLUMN(наценкад5[[#This Row],[Цена м2 с учетом всех K]]),0)</f>
        <v>87601.5</v>
      </c>
      <c r="AS60" s="7">
        <f>ППД5[[#This Row],[м2 после К]]*5%</f>
        <v>4380.0749999999998</v>
      </c>
      <c r="AT60" s="7">
        <f>ППД5[[#This Row],[м2 после К]]+ППД5[[#This Row],[Повышение 16.08.23 - 5%]]</f>
        <v>91981.574999999997</v>
      </c>
      <c r="AU60" s="9">
        <f>ППД5[[#This Row],[Фикс 16.08.23]]*3%</f>
        <v>2759.4472499999997</v>
      </c>
      <c r="AV60" s="9">
        <f>ППД5[[#This Row],[Фикс 16.08.23]]+ППД5[[#This Row],[Повышение 29.08.23 - 3%]]</f>
        <v>94741.022249999995</v>
      </c>
      <c r="AW60" s="93">
        <f>ППД5[[#This Row],[Фикс 29.08.23]]*7%</f>
        <v>6631.8715575000006</v>
      </c>
      <c r="AX60" s="9">
        <f>ППД5[[#This Row],[Фикс 29.08.23]]+ППД5[[#This Row],[Повышение 06.09.23 СТ и 1К]]</f>
        <v>101372.89380749999</v>
      </c>
      <c r="AY60" s="9"/>
      <c r="AZ60" s="9">
        <f>ППД5[[#This Row],[Повышение 23.10.23  В4 ]]+ППД5[[#This Row],[Фикс 06.09.23]]</f>
        <v>101372.89380749999</v>
      </c>
      <c r="BA60" s="93">
        <f>ППД5[[#This Row],[Фикс 23.10.23]]*5%</f>
        <v>5068.6446903750002</v>
      </c>
      <c r="BB60" s="93">
        <f>ППД5[[#This Row],[Повышение 8.11.23 1К 5%]]+ППД5[[#This Row],[Фикс 23.10.23]]</f>
        <v>106441.53849787499</v>
      </c>
      <c r="BC60" s="93"/>
      <c r="BD60" s="93">
        <f>ППД5[[#This Row],[Корректировка 24.11.23 - 1К В5, 2К А2, №233]]+ППД5[[#This Row],[Фикс 8.11.23]]</f>
        <v>106441.53849787499</v>
      </c>
      <c r="BE60" s="93">
        <f>ППД5[[#This Row],[Фикс 8.11.24]]*1%</f>
        <v>1064.4153849787499</v>
      </c>
      <c r="BF60" s="93">
        <f>ППД5[[#This Row],[Наценка за отделку 29.12.23 1%]]+ППД5[[#This Row],[Фикс 8.11.24]]</f>
        <v>107505.95388285375</v>
      </c>
      <c r="BG60" s="93">
        <f>ППД5[[#This Row],[Фикс 29.12.23]]*5%</f>
        <v>5375.2976941426878</v>
      </c>
      <c r="BH60" s="93">
        <f>ППД5[[#This Row],[Фикс 29.12.23]]+ППД5[[#This Row],[Наценка 10.01.24 5%]]</f>
        <v>112881.25157699644</v>
      </c>
      <c r="BI60" s="93"/>
      <c r="BJ60" s="93">
        <f>ППД5[[#This Row],[Наценка 26.02.24 1 Этаж]]+ППД5[[#This Row],[Фикс 10.01.24]]</f>
        <v>112881.25157699644</v>
      </c>
      <c r="BK60" s="93">
        <f>ППД5[[#This Row],[Фикс 26.02.24]]*3%</f>
        <v>3386.437547309893</v>
      </c>
      <c r="BL60" s="93">
        <f>ППД5[[#This Row],[Фикс 26.02.24]]+ППД5[[#This Row],[Наценка 06.03.24
СТ, 1К - 3%
2К, 3К - 2%]]</f>
        <v>116267.68912430633</v>
      </c>
      <c r="BM60" s="93"/>
      <c r="BN60" s="93">
        <f>ППД5[[#This Row],[Фикс 06.03.24]]+ППД5[[#This Row],[Наценка Г2+500]]</f>
        <v>116267.68912430633</v>
      </c>
      <c r="BO60" s="93"/>
      <c r="BP60" s="93">
        <f>ППД5[[#This Row],[Фикс 13.03.25]]+ППД5[[#This Row],[Наценка 20.03.24
2К, 3К - 2%]]</f>
        <v>116267.68912430633</v>
      </c>
      <c r="BQ60" s="93"/>
      <c r="BR60" s="93">
        <f>ППД5[[#This Row],[Фикс 20.03.24]]+ППД5[[#This Row],[Наценка 08.04.24 
2К: В3 - 150
3К: Г7 +1000]]</f>
        <v>116267.68912430633</v>
      </c>
      <c r="BS60" s="93"/>
      <c r="BT60" s="93">
        <f>ППД5[[#This Row],[Фикс 08.04.24]]+ППД5[[#This Row],[Наценка 16.05.24 1%
А4,А6,Б3,Б6,Б7,В2,В3,В5,В6,Г1,Г3-Г5]]</f>
        <v>116267.68912430633</v>
      </c>
      <c r="BU60" s="93">
        <f>ППД5[[#This Row],[Фикс 16.05.24]]*2%</f>
        <v>2325.3537824861264</v>
      </c>
      <c r="BV60" s="93">
        <f>ППД5[[#This Row],[Фикс 16.05.24]]+ППД5[[#This Row],[Наценка 24.05.24
1% - Б4, Б5,Г2,Г6
2% - А1,А3,А5,Б2,Г7]]</f>
        <v>118593.04290679246</v>
      </c>
      <c r="BW60" s="93"/>
      <c r="BX60" s="93">
        <f>ППД5[[#This Row],[Наценка 06.06.24
0К: В2,Г3 +0,5%
1К: А7, Б5/4, Г6 +0,5%
3К: В6 +0,5%
1К: А3 +1%]]+ППД5[[#This Row],[Фикс 24.05.24]]</f>
        <v>118593.04290679246</v>
      </c>
      <c r="BY60" s="93"/>
      <c r="BZ60" s="93">
        <f>ППД5[[#This Row],[Фикс 06.06.24]]+ППД5[[#This Row],[13.06.2024
3К - 2%]]</f>
        <v>118593.04290679246</v>
      </c>
      <c r="CA60" s="93"/>
      <c r="CB60" s="93">
        <f>ППД5[[#This Row],[02.07.2024: Г3 А1 А3 Б5 Б7 Г2 Г6 Б3 Б4 В3 Г7 2,5% ост 0,5-1,5%]]+ППД5[[#This Row],[Фикс 13.06.24]]</f>
        <v>118593.04290679246</v>
      </c>
      <c r="CC60" s="93"/>
      <c r="CD60" s="93">
        <f>ППД5[[#This Row],[Фикс 02.07.24]]+ППД5[[#This Row],[04.09.2024 +500
0К - Б2; 1К - А3;
2К - А6, Б4, В3, Г5]]</f>
        <v>118593.04290679246</v>
      </c>
      <c r="CE60" s="93"/>
      <c r="CF60" s="93">
        <f>ППД5[[#This Row],[Наценка 16.09.2024
1К: А1,В7,Г6/7,Г8 - 2%
2К: А4,А5,А6,Б1,Б6,Б3/4,В3,В4,Г4,Г5 - 4%
3К: 4%]]+ППД5[[#This Row],[Фикс 04.09.24]]</f>
        <v>118593.04290679246</v>
      </c>
      <c r="CG60" s="93"/>
      <c r="CH60" s="93">
        <f>ППД5[[#This Row],[Фикс 16.09.2024]]+ППД5[[#This Row],[Наценка 01.11.24
СТ: 4%
1К: 34-40м 5%; 40м+ 8%; МГН 1%
2К: 55-70м 6%; 70-73м 7%; 73-76м 8% 
3К: 5%]]</f>
        <v>118593.04290679246</v>
      </c>
      <c r="CI60" s="93"/>
      <c r="CJ60" s="93">
        <f>ППД5[[#This Row],[Наценка 06.11 13%]]+ППД5[[#This Row],[Фикс 01.11.24]]</f>
        <v>118593.04290679246</v>
      </c>
      <c r="CK60" s="93"/>
      <c r="CL60" s="93">
        <f>ППД5[[#This Row],[Фикс 06.11.24]]+ППД5[[#This Row],[Наценка 18.12.24 распределение КВ]]</f>
        <v>118593.04290679246</v>
      </c>
      <c r="CM60" s="93"/>
      <c r="CN60" s="93">
        <f>ППД5[[#This Row],[Фикс 18.12.24]]+ППД5[[#This Row],[Наценка 10.02.25 +1%
1К: А3
2К: Б3, В3]]</f>
        <v>118593.04290679246</v>
      </c>
      <c r="CO60" s="93">
        <f>ROUND(ППД5[[#This Row],[Фикс 10.02.25]],2)</f>
        <v>118593.04</v>
      </c>
      <c r="CP6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4474600</v>
      </c>
      <c r="CQ60" s="93">
        <f>ROUNDUP(ППД5[[#This Row],[Стоимость до скидки]]+ППД5[[#This Row],[Сумма доплаты]],-2)</f>
        <v>4488900</v>
      </c>
      <c r="CR60" s="68"/>
      <c r="CS60" s="90"/>
      <c r="CT60" s="68">
        <f>ППД5[[#This Row],[Стоимость до скидки]]*ППД5[[#This Row],[Скидка %]]+ППД5[[#This Row],[Скидка фиксированная]]</f>
        <v>0</v>
      </c>
      <c r="CU60" s="3">
        <f>ППД5[[#This Row],[Стоимость ОН без отделки со скидкой]]/ППД5[[#This Row],[Расчетная проектная площадь]]</f>
        <v>118595.28226875166</v>
      </c>
      <c r="CV60" s="3">
        <f>ROUND(ППД5[[#This Row],[Стоимость до скидки]]-ППД5[[#This Row],[Итоговая сумма скидки]],2)</f>
        <v>4474600</v>
      </c>
      <c r="CW6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60" s="197">
        <v>20000</v>
      </c>
      <c r="CY60" s="332">
        <f>ППД5[[#This Row],[Расхождение]]/ППД5[[#This Row],[Расчетная проектная площадь]]</f>
        <v>3.180492976411653E-3</v>
      </c>
      <c r="CZ6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2.000000000000135E-2</v>
      </c>
      <c r="DA60" s="3">
        <f>ППД5[[#This Row],[Цена м2 без отделки со скидкой]]+ППД5[[#This Row],[Стоимость отделки]]</f>
        <v>138595.28226875165</v>
      </c>
      <c r="DB60" s="3">
        <f>ППД5[[#This Row],[Стоимость квартиры с отделкой]]-ППД5[[#This Row],[Стоимость ОН без отделки со скидкой]]</f>
        <v>754599.99999999907</v>
      </c>
      <c r="DC60" s="3">
        <f>ППД5[[#This Row],[Цена м2 с отделкой]]*ППД5[[#This Row],[Расчетная проектная площадь]]</f>
        <v>5229199.9999999991</v>
      </c>
      <c r="DD60" s="3"/>
      <c r="DF60" s="199" t="s">
        <v>172</v>
      </c>
      <c r="DG60" s="245" t="s">
        <v>172</v>
      </c>
      <c r="DH60" s="100" t="b">
        <f>EXACT(ППД5[[#This Row],[Статусы CRM]],ППД5[[#This Row],[Статус]])</f>
        <v>1</v>
      </c>
      <c r="DI60" s="213" t="s">
        <v>232</v>
      </c>
      <c r="DJ60" s="204"/>
      <c r="DK60" s="111" t="s">
        <v>763</v>
      </c>
      <c r="DL60" s="216" t="s">
        <v>14</v>
      </c>
      <c r="DM60" s="201" t="b">
        <f>ППД5[[#This Row],[Отделка CRM]]=ППД5[[#This Row],[Отделка]]</f>
        <v>1</v>
      </c>
      <c r="DN60" s="203">
        <v>5229200</v>
      </c>
      <c r="DO6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9.3132257461547852E-10</v>
      </c>
      <c r="DP60" s="207" t="b">
        <f>IF(AND(ППД5[[#This Row],[Статус]]="свободно",ППД5[[#This Row],[Итоговая сумма скидки]]&lt;&gt;0),FALSE,TRUE)</f>
        <v>1</v>
      </c>
      <c r="DQ60" s="240">
        <f>_xlfn.XLOOKUP(ППД5[[#This Row],[№]],Юрист[№ кв],Юрист[Дата подачи на регистрацию]," ",0,-1)</f>
        <v>45443</v>
      </c>
      <c r="DR60" s="115" t="str">
        <f>_xlfn.XLOOKUP(ППД5[[#This Row],[№]],Юрист[№ кв],Юрист[МОП],"",0,-1)</f>
        <v>Калачева</v>
      </c>
      <c r="DS60" s="333" t="s">
        <v>2412</v>
      </c>
      <c r="DT60" s="333" t="s">
        <v>2413</v>
      </c>
      <c r="DU60" s="333">
        <v>36.5</v>
      </c>
      <c r="DV60" s="111"/>
    </row>
    <row r="61" spans="1:129" hidden="1" x14ac:dyDescent="0.25">
      <c r="A61" s="112">
        <v>59</v>
      </c>
      <c r="B61" s="111" t="s">
        <v>5</v>
      </c>
      <c r="C61" s="111">
        <v>9</v>
      </c>
      <c r="D61" s="111">
        <v>4</v>
      </c>
      <c r="E61" s="111">
        <v>2</v>
      </c>
      <c r="F61" s="105">
        <v>16.61</v>
      </c>
      <c r="G61" s="105">
        <v>11.38</v>
      </c>
      <c r="H61" s="105"/>
      <c r="I61" s="94">
        <f>SUM(ППД5[[#This Row],[Комната 1]:[Комната 3]])</f>
        <v>27.990000000000002</v>
      </c>
      <c r="J61" s="105">
        <v>14.58</v>
      </c>
      <c r="K61" s="105">
        <v>4.34</v>
      </c>
      <c r="L61" s="105">
        <v>2.08</v>
      </c>
      <c r="M61" s="105"/>
      <c r="N61" s="105">
        <v>8.82</v>
      </c>
      <c r="O61" s="105">
        <v>2.56</v>
      </c>
      <c r="P61" s="105"/>
      <c r="Q61" s="105"/>
      <c r="R61" s="105">
        <f>SUM(ППД5[[#This Row],[Лоджия 1]:[Лоджия 3]])</f>
        <v>2.56</v>
      </c>
      <c r="S61" s="7">
        <f>ROUND(SUM(ППД5[[#This Row],[Площадь по проекту жилая]:[Лоджия 3]]),2)</f>
        <v>60.37</v>
      </c>
      <c r="T61" s="7">
        <f>ROUND(ППД5[[#This Row],[Площадь по проекту(общая)]]-ППД5[[#This Row],[Летние]],2)</f>
        <v>57.81</v>
      </c>
      <c r="U61" s="92">
        <f>ROUND(ППД5[[#This Row],[Площадь по проекту(общая)]]-(SUM(ППД5[[#This Row],[Лоджия 1]:[Лоджия 3]])/2),2)</f>
        <v>59.09</v>
      </c>
      <c r="V61" s="92">
        <f>IF(ППД5[[#This Row],[Статус]]="продажа",ППД5[[#This Row],[Расчетная проектная площадь]],ППД5[[#This Row],[Расчетная ТП площадь]])</f>
        <v>59.09</v>
      </c>
      <c r="W61" s="92">
        <v>16.600000000000001</v>
      </c>
      <c r="X61" s="92">
        <v>11.4</v>
      </c>
      <c r="Y61" s="92"/>
      <c r="Z61" s="92">
        <f>SUM(ППД5[[#This Row],[ТП Комната 1]:[ТП Комната 3]])</f>
        <v>28</v>
      </c>
      <c r="AA61" s="92">
        <v>14.5</v>
      </c>
      <c r="AB61" s="92">
        <v>4.4000000000000004</v>
      </c>
      <c r="AC61" s="92">
        <v>2.1</v>
      </c>
      <c r="AD61" s="92"/>
      <c r="AE61" s="92">
        <v>8.9</v>
      </c>
      <c r="AF61" s="92">
        <v>1.3</v>
      </c>
      <c r="AG61" s="92"/>
      <c r="AH61" s="92"/>
      <c r="AI61" s="91">
        <f>SUM(ППД5[[#This Row],[ТП Лоджия 1]:[ТП Лоджия 3]])</f>
        <v>1.3</v>
      </c>
      <c r="AJ61" s="95">
        <v>2.6</v>
      </c>
      <c r="AK61" s="92">
        <f>SUM(ППД5[[#This Row],[Площадь по ТП жилая]:[ТП Лоджия 3]])-ППД5[[#This Row],[ТП Летние]]+ППД5[[#This Row],[кроме того прочая
(без коэффициента)]]</f>
        <v>60.5</v>
      </c>
      <c r="AL61" s="95">
        <f>ППД5[[#This Row],[ТП Площадь без летних]]+(ППД5[[#This Row],[ТП Летние]])</f>
        <v>59.199999999999996</v>
      </c>
      <c r="AM61" s="92">
        <f>ППД5[[#This Row],[ТП общая S]]-ППД5[[#This Row],[кроме того прочая
(без коэффициента)]]</f>
        <v>57.9</v>
      </c>
      <c r="AN61" s="95">
        <f>SUM(ППД5[[#This Row],[ТП Кухня]:[ТП Коридор]])</f>
        <v>29.9</v>
      </c>
      <c r="AO61" s="91">
        <f>ППД5[[#This Row],[Расчетная ТП площадь]]-ППД5[[#This Row],[Расчетная проектная площадь]]</f>
        <v>0.10999999999999233</v>
      </c>
      <c r="AP61" s="335">
        <f>ППД5[[#This Row],[Расчетная ТП площадь]]/ППД5[[#This Row],[Расчетная проектная площадь]]-1</f>
        <v>1.8615671010322465E-3</v>
      </c>
      <c r="AQ61" s="92">
        <f>ППД5[[#This Row],[% расхождения]]*ППД5[[#This Row],[Стоимость до скидки]]</f>
        <v>9553.9346759176951</v>
      </c>
      <c r="AR61" s="92">
        <f>VLOOKUP(ППД5[[#This Row],[№]],наценкад5[],COLUMN(наценкад5[[#This Row],[Цена м2 с учетом всех K]]),0)</f>
        <v>80307.864000000001</v>
      </c>
      <c r="AS61" s="7">
        <f>ППД5[[#This Row],[м2 после К]]*5%</f>
        <v>4015.3932000000004</v>
      </c>
      <c r="AT61" s="7">
        <f>ППД5[[#This Row],[м2 после К]]+ППД5[[#This Row],[Повышение 16.08.23 - 5%]]</f>
        <v>84323.257200000007</v>
      </c>
      <c r="AU61" s="9">
        <f>ППД5[[#This Row],[Фикс 16.08.23]]*3%</f>
        <v>2529.6977160000001</v>
      </c>
      <c r="AV61" s="9">
        <f>ППД5[[#This Row],[Фикс 16.08.23]]+ППД5[[#This Row],[Повышение 29.08.23 - 3%]]</f>
        <v>86852.954916000002</v>
      </c>
      <c r="AW61" s="9"/>
      <c r="AX61" s="9">
        <f>ППД5[[#This Row],[Фикс 29.08.23]]+ППД5[[#This Row],[Повышение 06.09.23 СТ и 1К]]</f>
        <v>86852.954916000002</v>
      </c>
      <c r="AY61" s="9"/>
      <c r="AZ61" s="9">
        <f>ППД5[[#This Row],[Повышение 23.10.23  В4 ]]+ППД5[[#This Row],[Фикс 06.09.23]]</f>
        <v>86852.954916000002</v>
      </c>
      <c r="BA61" s="9"/>
      <c r="BB61" s="9">
        <f>ППД5[[#This Row],[Повышение 8.11.23 1К 5%]]+ППД5[[#This Row],[Фикс 23.10.23]]</f>
        <v>86852.954916000002</v>
      </c>
      <c r="BC61" s="9"/>
      <c r="BD61" s="9">
        <f>ППД5[[#This Row],[Корректировка 24.11.23 - 1К В5, 2К А2, №233]]+ППД5[[#This Row],[Фикс 8.11.23]]</f>
        <v>86852.954916000002</v>
      </c>
      <c r="BE61" s="9"/>
      <c r="BF61" s="9">
        <f>ППД5[[#This Row],[Наценка за отделку 29.12.23 1%]]+ППД5[[#This Row],[Фикс 8.11.24]]</f>
        <v>86852.954916000002</v>
      </c>
      <c r="BG61" s="9"/>
      <c r="BH61" s="9">
        <f>ППД5[[#This Row],[Фикс 29.12.23]]+ППД5[[#This Row],[Наценка 10.01.24 5%]]</f>
        <v>86852.954916000002</v>
      </c>
      <c r="BI61" s="9"/>
      <c r="BJ61" s="9">
        <f>ППД5[[#This Row],[Наценка 26.02.24 1 Этаж]]+ППД5[[#This Row],[Фикс 10.01.24]]</f>
        <v>86852.954916000002</v>
      </c>
      <c r="BK61" s="93"/>
      <c r="BL61" s="9">
        <f>ППД5[[#This Row],[Фикс 26.02.24]]+ППД5[[#This Row],[Наценка 06.03.24
СТ, 1К - 3%
2К, 3К - 2%]]</f>
        <v>86852.954916000002</v>
      </c>
      <c r="BM61" s="9"/>
      <c r="BN61" s="9">
        <f>ППД5[[#This Row],[Фикс 06.03.24]]+ППД5[[#This Row],[Наценка Г2+500]]</f>
        <v>86852.954916000002</v>
      </c>
      <c r="BO61" s="9"/>
      <c r="BP61" s="9">
        <f>ППД5[[#This Row],[Фикс 13.03.25]]+ППД5[[#This Row],[Наценка 20.03.24
2К, 3К - 2%]]</f>
        <v>86852.954916000002</v>
      </c>
      <c r="BQ61" s="9"/>
      <c r="BR61" s="9">
        <f>ППД5[[#This Row],[Фикс 20.03.24]]+ППД5[[#This Row],[Наценка 08.04.24 
2К: В3 - 150
3К: Г7 +1000]]</f>
        <v>86852.954916000002</v>
      </c>
      <c r="BS61" s="93"/>
      <c r="BT61" s="9">
        <f>ППД5[[#This Row],[Фикс 08.04.24]]+ППД5[[#This Row],[Наценка 16.05.24 1%
А4,А6,Б3,Б6,Б7,В2,В3,В5,В6,Г1,Г3-Г5]]</f>
        <v>86852.954916000002</v>
      </c>
      <c r="BU61" s="9"/>
      <c r="BV61" s="9">
        <f>ППД5[[#This Row],[Фикс 16.05.24]]+ППД5[[#This Row],[Наценка 24.05.24
1% - Б4, Б5,Г2,Г6
2% - А1,А3,А5,Б2,Г7]]</f>
        <v>86852.954916000002</v>
      </c>
      <c r="BW61" s="9"/>
      <c r="BX61" s="9">
        <f>ППД5[[#This Row],[Наценка 06.06.24
0К: В2,Г3 +0,5%
1К: А7, Б5/4, Г6 +0,5%
3К: В6 +0,5%
1К: А3 +1%]]+ППД5[[#This Row],[Фикс 24.05.24]]</f>
        <v>86852.954916000002</v>
      </c>
      <c r="BY61" s="9"/>
      <c r="BZ61" s="9">
        <f>ППД5[[#This Row],[Фикс 06.06.24]]+ППД5[[#This Row],[13.06.2024
3К - 2%]]</f>
        <v>86852.954916000002</v>
      </c>
      <c r="CA61" s="9"/>
      <c r="CB61" s="9">
        <f>ППД5[[#This Row],[02.07.2024: Г3 А1 А3 Б5 Б7 Г2 Г6 Б3 Б4 В3 Г7 2,5% ост 0,5-1,5%]]+ППД5[[#This Row],[Фикс 13.06.24]]</f>
        <v>86852.954916000002</v>
      </c>
      <c r="CC61" s="9"/>
      <c r="CD61" s="9">
        <f>ППД5[[#This Row],[Фикс 02.07.24]]+ППД5[[#This Row],[04.09.2024 +500
0К - Б2; 1К - А3;
2К - А6, Б4, В3, Г5]]</f>
        <v>86852.954916000002</v>
      </c>
      <c r="CE61" s="9"/>
      <c r="CF61" s="9">
        <f>ППД5[[#This Row],[Наценка 16.09.2024
1К: А1,В7,Г6/7,Г8 - 2%
2К: А4,А5,А6,Б1,Б6,Б3/4,В3,В4,Г4,Г5 - 4%
3К: 4%]]+ППД5[[#This Row],[Фикс 04.09.24]]</f>
        <v>86852.954916000002</v>
      </c>
      <c r="CG61" s="9"/>
      <c r="CH61" s="9">
        <f>ППД5[[#This Row],[Фикс 16.09.2024]]+ППД5[[#This Row],[Наценка 01.11.24
СТ: 4%
1К: 34-40м 5%; 40м+ 8%; МГН 1%
2К: 55-70м 6%; 70-73м 7%; 73-76м 8% 
3К: 5%]]</f>
        <v>86852.954916000002</v>
      </c>
      <c r="CI61" s="9"/>
      <c r="CJ61" s="9">
        <f>ППД5[[#This Row],[Наценка 06.11 13%]]+ППД5[[#This Row],[Фикс 01.11.24]]</f>
        <v>86852.954916000002</v>
      </c>
      <c r="CK61" s="9"/>
      <c r="CL61" s="9">
        <f>ППД5[[#This Row],[Фикс 06.11.24]]+ППД5[[#This Row],[Наценка 18.12.24 распределение КВ]]</f>
        <v>86852.954916000002</v>
      </c>
      <c r="CM61" s="9"/>
      <c r="CN61" s="9">
        <f>ППД5[[#This Row],[Фикс 18.12.24]]+ППД5[[#This Row],[Наценка 10.02.25 +1%
1К: А3
2К: Б3, В3]]</f>
        <v>86852.954916000002</v>
      </c>
      <c r="CO61" s="93">
        <f>ROUND(ППД5[[#This Row],[Фикс 10.02.25]],2)</f>
        <v>86852.95</v>
      </c>
      <c r="CP6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5132200</v>
      </c>
      <c r="CQ61" s="93">
        <f>ROUNDUP(ППД5[[#This Row],[Стоимость до скидки]]+ППД5[[#This Row],[Сумма доплаты]],-2)</f>
        <v>5141800</v>
      </c>
      <c r="CR61" s="68"/>
      <c r="CS61" s="90"/>
      <c r="CT61" s="68">
        <f>ППД5[[#This Row],[Стоимость до скидки]]*ППД5[[#This Row],[Скидка %]]+ППД5[[#This Row],[Скидка фиксированная]]</f>
        <v>0</v>
      </c>
      <c r="CU61" s="3">
        <f>ППД5[[#This Row],[Стоимость ОН без отделки со скидкой]]/ППД5[[#This Row],[Расчетная проектная площадь]]</f>
        <v>86853.951599255364</v>
      </c>
      <c r="CV61" s="3">
        <f>ROUND(ППД5[[#This Row],[Стоимость до скидки]]-ППД5[[#This Row],[Итоговая сумма скидки]],2)</f>
        <v>5132200</v>
      </c>
      <c r="CW6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61" s="197"/>
      <c r="CY61" s="332">
        <f>ППД5[[#This Row],[Расхождение]]/ППД5[[#This Row],[Расчетная проектная площадь]]</f>
        <v>1.8615671010321936E-3</v>
      </c>
      <c r="CZ6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8.0000000000000071E-2</v>
      </c>
      <c r="DA61" s="3">
        <f>ППД5[[#This Row],[Цена м2 без отделки со скидкой]]+ППД5[[#This Row],[Стоимость отделки]]</f>
        <v>86853.951599255364</v>
      </c>
      <c r="DB61" s="3">
        <f>ППД5[[#This Row],[Стоимость квартиры с отделкой]]-ППД5[[#This Row],[Стоимость ОН без отделки со скидкой]]</f>
        <v>0</v>
      </c>
      <c r="DC61" s="3">
        <f>ППД5[[#This Row],[Цена м2 с отделкой]]*ППД5[[#This Row],[Расчетная проектная площадь]]</f>
        <v>5132200</v>
      </c>
      <c r="DD61" s="3"/>
      <c r="DF61" s="199" t="s">
        <v>172</v>
      </c>
      <c r="DG61" s="245" t="s">
        <v>172</v>
      </c>
      <c r="DH61" s="100" t="b">
        <f>EXACT(ППД5[[#This Row],[Статусы CRM]],ППД5[[#This Row],[Статус]])</f>
        <v>1</v>
      </c>
      <c r="DI61" s="213" t="s">
        <v>233</v>
      </c>
      <c r="DJ61" s="204"/>
      <c r="DK61" s="111" t="s">
        <v>763</v>
      </c>
      <c r="DL61" s="216" t="s">
        <v>12</v>
      </c>
      <c r="DM61" s="201" t="b">
        <f>ППД5[[#This Row],[Отделка CRM]]=ППД5[[#This Row],[Отделка]]</f>
        <v>1</v>
      </c>
      <c r="DN61" s="203">
        <v>5132200</v>
      </c>
      <c r="DO6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61" s="207" t="b">
        <f>IF(AND(ППД5[[#This Row],[Статус]]="свободно",ППД5[[#This Row],[Итоговая сумма скидки]]&lt;&gt;0),FALSE,TRUE)</f>
        <v>1</v>
      </c>
      <c r="DQ61" s="240">
        <f>_xlfn.XLOOKUP(ППД5[[#This Row],[№]],Юрист[№ кв],Юрист[Дата подачи на регистрацию]," ",0,-1)</f>
        <v>45273</v>
      </c>
      <c r="DR61" s="115" t="str">
        <f>_xlfn.XLOOKUP(ППД5[[#This Row],[№]],Юрист[№ кв],Юрист[МОП],"",0,-1)</f>
        <v>Полехович</v>
      </c>
      <c r="DS61" s="333" t="s">
        <v>2414</v>
      </c>
      <c r="DT61" s="333" t="s">
        <v>2415</v>
      </c>
      <c r="DU61" s="333">
        <v>57.9</v>
      </c>
      <c r="DV61" s="111"/>
    </row>
    <row r="62" spans="1:129" hidden="1" x14ac:dyDescent="0.25">
      <c r="A62" s="112">
        <v>60</v>
      </c>
      <c r="B62" s="111" t="s">
        <v>5</v>
      </c>
      <c r="C62" s="111">
        <v>9</v>
      </c>
      <c r="D62" s="111">
        <v>5</v>
      </c>
      <c r="E62" s="111">
        <v>2</v>
      </c>
      <c r="F62" s="105">
        <v>16.46</v>
      </c>
      <c r="G62" s="105">
        <v>12.47</v>
      </c>
      <c r="H62" s="105"/>
      <c r="I62" s="94">
        <f>SUM(ППД5[[#This Row],[Комната 1]:[Комната 3]])</f>
        <v>28.93</v>
      </c>
      <c r="J62" s="105">
        <v>18</v>
      </c>
      <c r="K62" s="105">
        <v>4.3499999999999996</v>
      </c>
      <c r="L62" s="105">
        <v>1.55</v>
      </c>
      <c r="M62" s="105"/>
      <c r="N62" s="105">
        <v>8</v>
      </c>
      <c r="O62" s="105">
        <v>2.67</v>
      </c>
      <c r="P62" s="105"/>
      <c r="Q62" s="105"/>
      <c r="R62" s="105">
        <f>SUM(ППД5[[#This Row],[Лоджия 1]:[Лоджия 3]])</f>
        <v>2.67</v>
      </c>
      <c r="S62" s="8">
        <f>ROUND(SUM(ППД5[[#This Row],[Площадь по проекту жилая]:[Лоджия 3]]),2)</f>
        <v>63.5</v>
      </c>
      <c r="T62" s="8">
        <f>ROUND(ППД5[[#This Row],[Площадь по проекту(общая)]]-ППД5[[#This Row],[Летние]],2)</f>
        <v>60.83</v>
      </c>
      <c r="U62" s="91">
        <f>ROUND(ППД5[[#This Row],[Площадь по проекту(общая)]]-(SUM(ППД5[[#This Row],[Лоджия 1]:[Лоджия 3]])/2),2)</f>
        <v>62.17</v>
      </c>
      <c r="V62" s="91">
        <f>IF(ППД5[[#This Row],[Статус]]="продажа",ППД5[[#This Row],[Расчетная проектная площадь]],ППД5[[#This Row],[Расчетная ТП площадь]])</f>
        <v>62.17</v>
      </c>
      <c r="W62" s="91">
        <v>16.3</v>
      </c>
      <c r="X62" s="91">
        <v>12.4</v>
      </c>
      <c r="Y62" s="91"/>
      <c r="Z62" s="91">
        <f>SUM(ППД5[[#This Row],[ТП Комната 1]:[ТП Комната 3]])</f>
        <v>28.700000000000003</v>
      </c>
      <c r="AA62" s="91">
        <v>17.8</v>
      </c>
      <c r="AB62" s="91">
        <v>4.3</v>
      </c>
      <c r="AC62" s="91">
        <v>1.5</v>
      </c>
      <c r="AD62" s="91"/>
      <c r="AE62" s="91">
        <v>8</v>
      </c>
      <c r="AF62" s="91">
        <v>1.35</v>
      </c>
      <c r="AG62" s="91"/>
      <c r="AH62" s="91"/>
      <c r="AI62" s="91">
        <f>SUM(ППД5[[#This Row],[ТП Лоджия 1]:[ТП Лоджия 3]])</f>
        <v>1.35</v>
      </c>
      <c r="AJ62" s="95">
        <v>2.7</v>
      </c>
      <c r="AK62" s="91">
        <f>SUM(ППД5[[#This Row],[Площадь по ТП жилая]:[ТП Лоджия 3]])-ППД5[[#This Row],[ТП Летние]]+ППД5[[#This Row],[кроме того прочая
(без коэффициента)]]</f>
        <v>63</v>
      </c>
      <c r="AL62" s="95">
        <f>ППД5[[#This Row],[ТП Площадь без летних]]+(ППД5[[#This Row],[ТП Летние]])</f>
        <v>61.65</v>
      </c>
      <c r="AM62" s="91">
        <f>ППД5[[#This Row],[ТП общая S]]-ППД5[[#This Row],[кроме того прочая
(без коэффициента)]]</f>
        <v>60.3</v>
      </c>
      <c r="AN62" s="95">
        <f>SUM(ППД5[[#This Row],[ТП Кухня]:[ТП Коридор]])</f>
        <v>31.6</v>
      </c>
      <c r="AO62" s="91">
        <f>ППД5[[#This Row],[Расчетная ТП площадь]]-ППД5[[#This Row],[Расчетная проектная площадь]]</f>
        <v>-0.52000000000000313</v>
      </c>
      <c r="AP62" s="335">
        <f>ППД5[[#This Row],[Расчетная ТП площадь]]/ППД5[[#This Row],[Расчетная проектная площадь]]-1</f>
        <v>-8.3641627794757145E-3</v>
      </c>
      <c r="AQ62" s="91">
        <f>ППД5[[#This Row],[% расхождения]]*ППД5[[#This Row],[Стоимость до скидки]]</f>
        <v>-64606.466141226316</v>
      </c>
      <c r="AR62" s="91">
        <f>VLOOKUP(ППД5[[#This Row],[№]],наценкад5[],COLUMN(наценкад5[[#This Row],[Цена м2 с учетом всех K]]),0)</f>
        <v>80307.864000000001</v>
      </c>
      <c r="AS62" s="8">
        <f>ППД5[[#This Row],[м2 после К]]*5%</f>
        <v>4015.3932000000004</v>
      </c>
      <c r="AT62" s="8">
        <f>ППД5[[#This Row],[м2 после К]]+ППД5[[#This Row],[Повышение 16.08.23 - 5%]]</f>
        <v>84323.257200000007</v>
      </c>
      <c r="AU62" s="93">
        <f>ППД5[[#This Row],[Фикс 16.08.23]]*3%</f>
        <v>2529.6977160000001</v>
      </c>
      <c r="AV62" s="93">
        <f>ППД5[[#This Row],[Фикс 16.08.23]]+ППД5[[#This Row],[Повышение 29.08.23 - 3%]]</f>
        <v>86852.954916000002</v>
      </c>
      <c r="AW62" s="93"/>
      <c r="AX62" s="93">
        <f>ППД5[[#This Row],[Фикс 29.08.23]]+ППД5[[#This Row],[Повышение 06.09.23 СТ и 1К]]</f>
        <v>86852.954916000002</v>
      </c>
      <c r="AY62" s="93"/>
      <c r="AZ62" s="93">
        <f>ППД5[[#This Row],[Повышение 23.10.23  В4 ]]+ППД5[[#This Row],[Фикс 06.09.23]]</f>
        <v>86852.954916000002</v>
      </c>
      <c r="BA62" s="93"/>
      <c r="BB62" s="93">
        <f>ППД5[[#This Row],[Повышение 8.11.23 1К 5%]]+ППД5[[#This Row],[Фикс 23.10.23]]</f>
        <v>86852.954916000002</v>
      </c>
      <c r="BC62" s="93"/>
      <c r="BD62" s="93">
        <f>ППД5[[#This Row],[Корректировка 24.11.23 - 1К В5, 2К А2, №233]]+ППД5[[#This Row],[Фикс 8.11.23]]</f>
        <v>86852.954916000002</v>
      </c>
      <c r="BE62" s="93">
        <f>ППД5[[#This Row],[Фикс 8.11.24]]*1%</f>
        <v>868.52954915999999</v>
      </c>
      <c r="BF62" s="93">
        <f>ППД5[[#This Row],[Наценка за отделку 29.12.23 1%]]+ППД5[[#This Row],[Фикс 8.11.24]]</f>
        <v>87721.48446516</v>
      </c>
      <c r="BG62" s="93">
        <f>ППД5[[#This Row],[Фикс 29.12.23]]*5%</f>
        <v>4386.0742232580005</v>
      </c>
      <c r="BH62" s="93">
        <f>ППД5[[#This Row],[Фикс 29.12.23]]+ППД5[[#This Row],[Наценка 10.01.24 5%]]</f>
        <v>92107.558688417994</v>
      </c>
      <c r="BI62" s="93"/>
      <c r="BJ62" s="93">
        <f>ППД5[[#This Row],[Наценка 26.02.24 1 Этаж]]+ППД5[[#This Row],[Фикс 10.01.24]]</f>
        <v>92107.558688417994</v>
      </c>
      <c r="BK62" s="93">
        <f>ППД5[[#This Row],[Фикс 26.02.24]]*2%</f>
        <v>1842.15117376836</v>
      </c>
      <c r="BL62" s="93">
        <f>ППД5[[#This Row],[Фикс 26.02.24]]+ППД5[[#This Row],[Наценка 06.03.24
СТ, 1К - 3%
2К, 3К - 2%]]</f>
        <v>93949.709862186355</v>
      </c>
      <c r="BM62" s="93"/>
      <c r="BN62" s="93">
        <f>ППД5[[#This Row],[Фикс 06.03.24]]+ППД5[[#This Row],[Наценка Г2+500]]</f>
        <v>93949.709862186355</v>
      </c>
      <c r="BO62" s="93">
        <f>ППД5[[#This Row],[Фикс 13.03.25]]*2%</f>
        <v>1878.9941972437271</v>
      </c>
      <c r="BP62" s="93">
        <f>ППД5[[#This Row],[Фикс 13.03.25]]+ППД5[[#This Row],[Наценка 20.03.24
2К, 3К - 2%]]</f>
        <v>95828.704059430078</v>
      </c>
      <c r="BQ62" s="93"/>
      <c r="BR62" s="93">
        <f>ППД5[[#This Row],[Фикс 20.03.24]]+ППД5[[#This Row],[Наценка 08.04.24 
2К: В3 - 150
3К: Г7 +1000]]</f>
        <v>95828.704059430078</v>
      </c>
      <c r="BS62" s="93"/>
      <c r="BT62" s="93">
        <f>ППД5[[#This Row],[Фикс 08.04.24]]+ППД5[[#This Row],[Наценка 16.05.24 1%
А4,А6,Б3,Б6,Б7,В2,В3,В5,В6,Г1,Г3-Г5]]</f>
        <v>95828.704059430078</v>
      </c>
      <c r="BU62" s="93">
        <f>ППД5[[#This Row],[Фикс 16.05.24]]*2%</f>
        <v>1916.5740811886017</v>
      </c>
      <c r="BV62" s="93">
        <f>ППД5[[#This Row],[Фикс 16.05.24]]+ППД5[[#This Row],[Наценка 24.05.24
1% - Б4, Б5,Г2,Г6
2% - А1,А3,А5,Б2,Г7]]</f>
        <v>97745.278140618684</v>
      </c>
      <c r="BW62" s="93">
        <f>ППД5[[#This Row],[Фикс 24.05.24]]*0.5%</f>
        <v>488.72639070309344</v>
      </c>
      <c r="BX62" s="93">
        <f>ППД5[[#This Row],[Наценка 06.06.24
0К: В2,Г3 +0,5%
1К: А7, Б5/4, Г6 +0,5%
3К: В6 +0,5%
1К: А3 +1%]]+ППД5[[#This Row],[Фикс 24.05.24]]</f>
        <v>98234.004531321771</v>
      </c>
      <c r="BY62" s="93"/>
      <c r="BZ62" s="93">
        <f>ППД5[[#This Row],[Фикс 06.06.24]]+ППД5[[#This Row],[13.06.2024
3К - 2%]]</f>
        <v>98234.004531321771</v>
      </c>
      <c r="CA62" s="9">
        <f>1.5%*ППД5[[#This Row],[Фикс 13.06.24]]</f>
        <v>1473.5100679698264</v>
      </c>
      <c r="CB62" s="93">
        <f>ППД5[[#This Row],[02.07.2024: Г3 А1 А3 Б5 Б7 Г2 Г6 Б3 Б4 В3 Г7 2,5% ост 0,5-1,5%]]+ППД5[[#This Row],[Фикс 13.06.24]]</f>
        <v>99707.514599291593</v>
      </c>
      <c r="CC62" s="93"/>
      <c r="CD62" s="93">
        <f>ППД5[[#This Row],[Фикс 02.07.24]]+ППД5[[#This Row],[04.09.2024 +500
0К - Б2; 1К - А3;
2К - А6, Б4, В3, Г5]]</f>
        <v>99707.514599291593</v>
      </c>
      <c r="CE62" s="93">
        <f>ППД5[[#This Row],[Фикс 04.09.24]]*4%</f>
        <v>3988.3005839716639</v>
      </c>
      <c r="CF62" s="93">
        <f>ППД5[[#This Row],[Наценка 16.09.2024
1К: А1,В7,Г6/7,Г8 - 2%
2К: А4,А5,А6,Б1,Б6,Б3/4,В3,В4,Г4,Г5 - 4%
3К: 4%]]+ППД5[[#This Row],[Фикс 04.09.24]]</f>
        <v>103695.81518326326</v>
      </c>
      <c r="CG62" s="93">
        <f>ППД5[[#This Row],[Фикс 16.09.2024]]*6%</f>
        <v>6221.7489109957951</v>
      </c>
      <c r="CH62" s="93">
        <f>ППД5[[#This Row],[Фикс 16.09.2024]]+ППД5[[#This Row],[Наценка 01.11.24
СТ: 4%
1К: 34-40м 5%; 40м+ 8%; МГН 1%
2К: 55-70м 6%; 70-73м 7%; 73-76м 8% 
3К: 5%]]</f>
        <v>109917.56409425905</v>
      </c>
      <c r="CI62" s="93">
        <f>ППД5[[#This Row],[Фикс 01.11.24]]*13%</f>
        <v>14289.283332253677</v>
      </c>
      <c r="CJ62" s="93">
        <f>ППД5[[#This Row],[Наценка 06.11 13%]]+ППД5[[#This Row],[Фикс 01.11.24]]</f>
        <v>124206.84742651273</v>
      </c>
      <c r="CK62" s="93">
        <v>35</v>
      </c>
      <c r="CL62" s="93">
        <f>ППД5[[#This Row],[Фикс 06.11.24]]+ППД5[[#This Row],[Наценка 18.12.24 распределение КВ]]</f>
        <v>124241.84742651273</v>
      </c>
      <c r="CM62" s="93"/>
      <c r="CN62" s="93">
        <f>ППД5[[#This Row],[Фикс 18.12.24]]+ППД5[[#This Row],[Наценка 10.02.25 +1%
1К: А3
2К: Б3, В3]]</f>
        <v>124241.84742651273</v>
      </c>
      <c r="CO62" s="93">
        <f>ROUND(ППД5[[#This Row],[Фикс 10.02.25]],2)</f>
        <v>124241.85</v>
      </c>
      <c r="CP6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7724200</v>
      </c>
      <c r="CQ62" s="93">
        <f>ROUNDUP(ППД5[[#This Row],[Стоимость до скидки]]+ППД5[[#This Row],[Сумма доплаты]],-2)</f>
        <v>7659600</v>
      </c>
      <c r="CR62" s="68">
        <v>300000</v>
      </c>
      <c r="CS62" s="90">
        <v>0.03</v>
      </c>
      <c r="CT62" s="68">
        <f>ППД5[[#This Row],[Стоимость до скидки]]*ППД5[[#This Row],[Скидка %]]+ППД5[[#This Row],[Скидка фиксированная]]</f>
        <v>531726</v>
      </c>
      <c r="CU62" s="3">
        <f>ППД5[[#This Row],[Стоимость ОН без отделки со скидкой]]/ППД5[[#This Row],[Расчетная проектная площадь]]</f>
        <v>115690.42946758887</v>
      </c>
      <c r="CV62" s="3">
        <f>ROUND(ППД5[[#This Row],[Стоимость до скидки]]-ППД5[[#This Row],[Итоговая сумма скидки]],2)</f>
        <v>7192474</v>
      </c>
      <c r="CW6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62" s="197">
        <v>10000</v>
      </c>
      <c r="CY62" s="332">
        <f>ППД5[[#This Row],[Расхождение]]/ППД5[[#This Row],[Расчетная проектная площадь]]</f>
        <v>-8.3641627794756816E-3</v>
      </c>
      <c r="CZ6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-0.29999999999999716</v>
      </c>
      <c r="DA62" s="3">
        <f>ППД5[[#This Row],[Цена м2 без отделки со скидкой]]+ППД5[[#This Row],[Стоимость отделки]]</f>
        <v>125690.42946758887</v>
      </c>
      <c r="DB62" s="3">
        <f>ППД5[[#This Row],[Стоимость квартиры с отделкой]]-ППД5[[#This Row],[Стоимость ОН без отделки со скидкой]]</f>
        <v>621700</v>
      </c>
      <c r="DC62" s="3">
        <f>ППД5[[#This Row],[Цена м2 с отделкой]]*ППД5[[#This Row],[Расчетная проектная площадь]]</f>
        <v>7814174</v>
      </c>
      <c r="DD62" s="3"/>
      <c r="DE62" s="111" t="s">
        <v>2145</v>
      </c>
      <c r="DF62" s="211" t="s">
        <v>172</v>
      </c>
      <c r="DG62" s="221" t="s">
        <v>172</v>
      </c>
      <c r="DH62" s="100" t="b">
        <f>EXACT(ППД5[[#This Row],[Статусы CRM]],ППД5[[#This Row],[Статус]])</f>
        <v>1</v>
      </c>
      <c r="DI62" s="213" t="s">
        <v>234</v>
      </c>
      <c r="DJ62" s="204"/>
      <c r="DK62" s="111" t="s">
        <v>763</v>
      </c>
      <c r="DL62" s="216" t="s">
        <v>780</v>
      </c>
      <c r="DM62" s="201" t="b">
        <f>ППД5[[#This Row],[Отделка CRM]]=ППД5[[#This Row],[Отделка]]</f>
        <v>1</v>
      </c>
      <c r="DN62" s="203">
        <v>7814174</v>
      </c>
      <c r="DO6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62" s="207" t="b">
        <f>IF(AND(ППД5[[#This Row],[Статус]]="свободно",ППД5[[#This Row],[Итоговая сумма скидки]]&lt;&gt;0),FALSE,TRUE)</f>
        <v>1</v>
      </c>
      <c r="DQ62" s="240">
        <f>_xlfn.XLOOKUP(ППД5[[#This Row],[№]],Юрист[№ кв],Юрист[Дата подачи на регистрацию]," ",0,-1)</f>
        <v>45765</v>
      </c>
      <c r="DR62" s="115" t="str">
        <f>_xlfn.XLOOKUP(ППД5[[#This Row],[№]],Юрист[№ кв],Юрист[МОП],"",0,-1)</f>
        <v>Полехович</v>
      </c>
      <c r="DS62" s="333" t="s">
        <v>2416</v>
      </c>
      <c r="DT62" s="333" t="s">
        <v>2417</v>
      </c>
      <c r="DU62" s="333">
        <v>60.3</v>
      </c>
      <c r="DV62" s="111"/>
    </row>
    <row r="63" spans="1:129" hidden="1" x14ac:dyDescent="0.25">
      <c r="A63" s="112">
        <v>61</v>
      </c>
      <c r="B63" s="111" t="s">
        <v>5</v>
      </c>
      <c r="C63" s="111">
        <v>9</v>
      </c>
      <c r="D63" s="111">
        <v>6</v>
      </c>
      <c r="E63" s="111">
        <v>2</v>
      </c>
      <c r="F63" s="105">
        <v>14.64</v>
      </c>
      <c r="G63" s="105">
        <v>10.74</v>
      </c>
      <c r="H63" s="105"/>
      <c r="I63" s="94">
        <f>SUM(ППД5[[#This Row],[Комната 1]:[Комната 3]])</f>
        <v>25.380000000000003</v>
      </c>
      <c r="J63" s="105">
        <v>14.35</v>
      </c>
      <c r="K63" s="105">
        <v>4.16</v>
      </c>
      <c r="L63" s="105">
        <v>1.93</v>
      </c>
      <c r="M63" s="105"/>
      <c r="N63" s="105">
        <v>11.03</v>
      </c>
      <c r="O63" s="105">
        <v>2.6219999999999999</v>
      </c>
      <c r="P63" s="105"/>
      <c r="Q63" s="105"/>
      <c r="R63" s="105">
        <f>SUM(ППД5[[#This Row],[Лоджия 1]:[Лоджия 3]])</f>
        <v>2.6219999999999999</v>
      </c>
      <c r="S63" s="8">
        <f>ROUND(SUM(ППД5[[#This Row],[Площадь по проекту жилая]:[Лоджия 3]]),2)</f>
        <v>59.47</v>
      </c>
      <c r="T63" s="8">
        <f>ROUND(ППД5[[#This Row],[Площадь по проекту(общая)]]-ППД5[[#This Row],[Летние]],2)</f>
        <v>56.85</v>
      </c>
      <c r="U63" s="91">
        <f>ROUND(ППД5[[#This Row],[Площадь по проекту(общая)]]-(SUM(ППД5[[#This Row],[Лоджия 1]:[Лоджия 3]])/2),2)</f>
        <v>58.16</v>
      </c>
      <c r="V63" s="91">
        <f>IF(ППД5[[#This Row],[Статус]]="продажа",ППД5[[#This Row],[Расчетная проектная площадь]],ППД5[[#This Row],[Расчетная ТП площадь]])</f>
        <v>58.16</v>
      </c>
      <c r="W63" s="91">
        <v>10.7</v>
      </c>
      <c r="X63" s="91">
        <v>14.6</v>
      </c>
      <c r="Y63" s="91"/>
      <c r="Z63" s="91">
        <f>SUM(ППД5[[#This Row],[ТП Комната 1]:[ТП Комната 3]])</f>
        <v>25.299999999999997</v>
      </c>
      <c r="AA63" s="91">
        <v>14.4</v>
      </c>
      <c r="AB63" s="91">
        <v>4.0999999999999996</v>
      </c>
      <c r="AC63" s="91">
        <v>1.9</v>
      </c>
      <c r="AD63" s="91"/>
      <c r="AE63" s="91">
        <v>10.9</v>
      </c>
      <c r="AF63" s="91">
        <v>1.3</v>
      </c>
      <c r="AG63" s="91"/>
      <c r="AH63" s="91"/>
      <c r="AI63" s="91">
        <f>SUM(ППД5[[#This Row],[ТП Лоджия 1]:[ТП Лоджия 3]])</f>
        <v>1.3</v>
      </c>
      <c r="AJ63" s="95">
        <v>2.6</v>
      </c>
      <c r="AK63" s="91">
        <f>SUM(ППД5[[#This Row],[Площадь по ТП жилая]:[ТП Лоджия 3]])-ППД5[[#This Row],[ТП Летние]]+ППД5[[#This Row],[кроме того прочая
(без коэффициента)]]</f>
        <v>59.199999999999996</v>
      </c>
      <c r="AL63" s="95">
        <f>ППД5[[#This Row],[ТП Площадь без летних]]+(ППД5[[#This Row],[ТП Летние]])</f>
        <v>57.899999999999991</v>
      </c>
      <c r="AM63" s="91">
        <f>ППД5[[#This Row],[ТП общая S]]-ППД5[[#This Row],[кроме того прочая
(без коэффициента)]]</f>
        <v>56.599999999999994</v>
      </c>
      <c r="AN63" s="95">
        <f>SUM(ППД5[[#This Row],[ТП Кухня]:[ТП Коридор]])</f>
        <v>31.299999999999997</v>
      </c>
      <c r="AO63" s="91">
        <f>ППД5[[#This Row],[Расчетная ТП площадь]]-ППД5[[#This Row],[Расчетная проектная площадь]]</f>
        <v>-0.26000000000000512</v>
      </c>
      <c r="AP63" s="335">
        <f>ППД5[[#This Row],[Расчетная ТП площадь]]/ППД5[[#This Row],[Расчетная проектная площадь]]-1</f>
        <v>-4.4704264099038049E-3</v>
      </c>
      <c r="AQ63" s="91">
        <f>ППД5[[#This Row],[% расхождения]]*ППД5[[#This Row],[Стоимость до скидки]]</f>
        <v>-32448.143053645777</v>
      </c>
      <c r="AR63" s="91">
        <f>VLOOKUP(ППД5[[#This Row],[№]],наценкад5[],COLUMN(наценкад5[[#This Row],[Цена м2 с учетом всех K]]),0)</f>
        <v>81466.150500000003</v>
      </c>
      <c r="AS63" s="8">
        <f>ППД5[[#This Row],[м2 после К]]*5%</f>
        <v>4073.3075250000002</v>
      </c>
      <c r="AT63" s="8">
        <f>ППД5[[#This Row],[м2 после К]]+ППД5[[#This Row],[Повышение 16.08.23 - 5%]]</f>
        <v>85539.458025</v>
      </c>
      <c r="AU63" s="93">
        <f>ППД5[[#This Row],[Фикс 16.08.23]]*3%</f>
        <v>2566.1837407499997</v>
      </c>
      <c r="AV63" s="93">
        <f>ППД5[[#This Row],[Фикс 16.08.23]]+ППД5[[#This Row],[Повышение 29.08.23 - 3%]]</f>
        <v>88105.641765749999</v>
      </c>
      <c r="AW63" s="93"/>
      <c r="AX63" s="93">
        <f>ППД5[[#This Row],[Фикс 29.08.23]]+ППД5[[#This Row],[Повышение 06.09.23 СТ и 1К]]</f>
        <v>88105.641765749999</v>
      </c>
      <c r="AY63" s="93"/>
      <c r="AZ63" s="93">
        <f>ППД5[[#This Row],[Повышение 23.10.23  В4 ]]+ППД5[[#This Row],[Фикс 06.09.23]]</f>
        <v>88105.641765749999</v>
      </c>
      <c r="BA63" s="93"/>
      <c r="BB63" s="93">
        <f>ППД5[[#This Row],[Повышение 8.11.23 1К 5%]]+ППД5[[#This Row],[Фикс 23.10.23]]</f>
        <v>88105.641765749999</v>
      </c>
      <c r="BC63" s="93"/>
      <c r="BD63" s="93">
        <f>ППД5[[#This Row],[Корректировка 24.11.23 - 1К В5, 2К А2, №233]]+ППД5[[#This Row],[Фикс 8.11.23]]</f>
        <v>88105.641765749999</v>
      </c>
      <c r="BE63" s="93">
        <f>ППД5[[#This Row],[Фикс 8.11.24]]*1%</f>
        <v>881.05641765749999</v>
      </c>
      <c r="BF63" s="93">
        <f>ППД5[[#This Row],[Наценка за отделку 29.12.23 1%]]+ППД5[[#This Row],[Фикс 8.11.24]]</f>
        <v>88986.698183407498</v>
      </c>
      <c r="BG63" s="93">
        <f>ППД5[[#This Row],[Фикс 29.12.23]]*5%</f>
        <v>4449.3349091703749</v>
      </c>
      <c r="BH63" s="93">
        <f>ППД5[[#This Row],[Фикс 29.12.23]]+ППД5[[#This Row],[Наценка 10.01.24 5%]]</f>
        <v>93436.033092577869</v>
      </c>
      <c r="BI63" s="93"/>
      <c r="BJ63" s="93">
        <f>ППД5[[#This Row],[Наценка 26.02.24 1 Этаж]]+ППД5[[#This Row],[Фикс 10.01.24]]</f>
        <v>93436.033092577869</v>
      </c>
      <c r="BK63" s="93">
        <f>ППД5[[#This Row],[Фикс 26.02.24]]*2%</f>
        <v>1868.7206618515575</v>
      </c>
      <c r="BL63" s="93">
        <f>ППД5[[#This Row],[Фикс 26.02.24]]+ППД5[[#This Row],[Наценка 06.03.24
СТ, 1К - 3%
2К, 3К - 2%]]</f>
        <v>95304.753754429432</v>
      </c>
      <c r="BM63" s="93"/>
      <c r="BN63" s="93">
        <f>ППД5[[#This Row],[Фикс 06.03.24]]+ППД5[[#This Row],[Наценка Г2+500]]</f>
        <v>95304.753754429432</v>
      </c>
      <c r="BO63" s="93">
        <f>ППД5[[#This Row],[Фикс 13.03.25]]*2%</f>
        <v>1906.0950750885886</v>
      </c>
      <c r="BP63" s="93">
        <f>ППД5[[#This Row],[Фикс 13.03.25]]+ППД5[[#This Row],[Наценка 20.03.24
2К, 3К - 2%]]</f>
        <v>97210.848829518014</v>
      </c>
      <c r="BQ63" s="93"/>
      <c r="BR63" s="93">
        <f>ППД5[[#This Row],[Фикс 20.03.24]]+ППД5[[#This Row],[Наценка 08.04.24 
2К: В3 - 150
3К: Г7 +1000]]</f>
        <v>97210.848829518014</v>
      </c>
      <c r="BS63" s="93">
        <f>ППД5[[#This Row],[Фикс 08.04.24]]*1%</f>
        <v>972.10848829518011</v>
      </c>
      <c r="BT63" s="93">
        <f>ППД5[[#This Row],[Фикс 08.04.24]]+ППД5[[#This Row],[Наценка 16.05.24 1%
А4,А6,Б3,Б6,Б7,В2,В3,В5,В6,Г1,Г3-Г5]]</f>
        <v>98182.957317813198</v>
      </c>
      <c r="BU63" s="93"/>
      <c r="BV63" s="93">
        <f>ППД5[[#This Row],[Фикс 16.05.24]]+ППД5[[#This Row],[Наценка 24.05.24
1% - Б4, Б5,Г2,Г6
2% - А1,А3,А5,Б2,Г7]]</f>
        <v>98182.957317813198</v>
      </c>
      <c r="BW63" s="93"/>
      <c r="BX63" s="93">
        <f>ППД5[[#This Row],[Наценка 06.06.24
0К: В2,Г3 +0,5%
1К: А7, Б5/4, Г6 +0,5%
3К: В6 +0,5%
1К: А3 +1%]]+ППД5[[#This Row],[Фикс 24.05.24]]</f>
        <v>98182.957317813198</v>
      </c>
      <c r="BY63" s="93"/>
      <c r="BZ63" s="93">
        <f>ППД5[[#This Row],[Фикс 06.06.24]]+ППД5[[#This Row],[13.06.2024
3К - 2%]]</f>
        <v>98182.957317813198</v>
      </c>
      <c r="CA63" s="9">
        <f>1.5%*ППД5[[#This Row],[Фикс 13.06.24]]</f>
        <v>1472.7443597671979</v>
      </c>
      <c r="CB63" s="93">
        <f>ППД5[[#This Row],[02.07.2024: Г3 А1 А3 Б5 Б7 Г2 Г6 Б3 Б4 В3 Г7 2,5% ост 0,5-1,5%]]+ППД5[[#This Row],[Фикс 13.06.24]]</f>
        <v>99655.701677580393</v>
      </c>
      <c r="CC63" s="93">
        <v>500</v>
      </c>
      <c r="CD63" s="93">
        <f>ППД5[[#This Row],[Фикс 02.07.24]]+ППД5[[#This Row],[04.09.2024 +500
0К - Б2; 1К - А3;
2К - А6, Б4, В3, Г5]]</f>
        <v>100155.70167758039</v>
      </c>
      <c r="CE63" s="93">
        <f>ППД5[[#This Row],[Фикс 04.09.24]]*4%</f>
        <v>4006.2280671032158</v>
      </c>
      <c r="CF63" s="93">
        <f>ППД5[[#This Row],[Наценка 16.09.2024
1К: А1,В7,Г6/7,Г8 - 2%
2К: А4,А5,А6,Б1,Б6,Б3/4,В3,В4,Г4,Г5 - 4%
3К: 4%]]+ППД5[[#This Row],[Фикс 04.09.24]]</f>
        <v>104161.92974468361</v>
      </c>
      <c r="CG63" s="93">
        <f>ППД5[[#This Row],[Фикс 16.09.2024]]*6%</f>
        <v>6249.7157846810169</v>
      </c>
      <c r="CH63" s="93">
        <f>ППД5[[#This Row],[Фикс 16.09.2024]]+ППД5[[#This Row],[Наценка 01.11.24
СТ: 4%
1К: 34-40м 5%; 40м+ 8%; МГН 1%
2К: 55-70м 6%; 70-73м 7%; 73-76м 8% 
3К: 5%]]</f>
        <v>110411.64552936463</v>
      </c>
      <c r="CI63" s="93">
        <f>ППД5[[#This Row],[Фикс 01.11.24]]*13%</f>
        <v>14353.513918817402</v>
      </c>
      <c r="CJ63" s="93">
        <f>ППД5[[#This Row],[Наценка 06.11 13%]]+ППД5[[#This Row],[Фикс 01.11.24]]</f>
        <v>124765.15944818204</v>
      </c>
      <c r="CK63" s="93">
        <v>35</v>
      </c>
      <c r="CL63" s="93">
        <f>ППД5[[#This Row],[Фикс 06.11.24]]+ППД5[[#This Row],[Наценка 18.12.24 распределение КВ]]</f>
        <v>124800.15944818204</v>
      </c>
      <c r="CM63" s="93"/>
      <c r="CN63" s="93">
        <f>ППД5[[#This Row],[Фикс 18.12.24]]+ППД5[[#This Row],[Наценка 10.02.25 +1%
1К: А3
2К: Б3, В3]]</f>
        <v>124800.15944818204</v>
      </c>
      <c r="CO63" s="93">
        <f>ROUND(ППД5[[#This Row],[Фикс 10.02.25]],2)</f>
        <v>124800.16</v>
      </c>
      <c r="CP6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7258400</v>
      </c>
      <c r="CQ63" s="93">
        <f>ROUNDUP(ППД5[[#This Row],[Стоимость до скидки]]+ППД5[[#This Row],[Сумма доплаты]],-2)</f>
        <v>7226000</v>
      </c>
      <c r="CR63" s="68">
        <v>300000</v>
      </c>
      <c r="CS63" s="90"/>
      <c r="CT63" s="68">
        <f>ППД5[[#This Row],[Стоимость до скидки]]*ППД5[[#This Row],[Скидка %]]+ППД5[[#This Row],[Скидка фиксированная]]</f>
        <v>300000</v>
      </c>
      <c r="CU63" s="3">
        <f>ППД5[[#This Row],[Стоимость ОН без отделки со скидкой]]/ППД5[[#This Row],[Расчетная проектная площадь]]</f>
        <v>119642.36588720771</v>
      </c>
      <c r="CV63" s="3">
        <f>ROUND(ППД5[[#This Row],[Стоимость до скидки]]-ППД5[[#This Row],[Итоговая сумма скидки]],2)</f>
        <v>6958400</v>
      </c>
      <c r="CW6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63" s="197">
        <v>25000</v>
      </c>
      <c r="CY63" s="332">
        <f>ППД5[[#This Row],[Расхождение]]/ППД5[[#This Row],[Расчетная проектная площадь]]</f>
        <v>-4.4704264099038023E-3</v>
      </c>
      <c r="CZ6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-0.17000000000000348</v>
      </c>
      <c r="DA63" s="3">
        <f>ППД5[[#This Row],[Цена м2 без отделки со скидкой]]+ППД5[[#This Row],[Стоимость отделки]]</f>
        <v>144642.36588720771</v>
      </c>
      <c r="DB63" s="3">
        <f>ППД5[[#This Row],[Стоимость квартиры с отделкой]]-ППД5[[#This Row],[Стоимость ОН без отделки со скидкой]]</f>
        <v>1454000</v>
      </c>
      <c r="DC63" s="3">
        <f>ППД5[[#This Row],[Цена м2 с отделкой]]*ППД5[[#This Row],[Расчетная проектная площадь]]</f>
        <v>8412400</v>
      </c>
      <c r="DD63" s="3"/>
      <c r="DE63" s="111" t="s">
        <v>2114</v>
      </c>
      <c r="DF63" s="155" t="s">
        <v>172</v>
      </c>
      <c r="DG63" s="221" t="s">
        <v>172</v>
      </c>
      <c r="DH63" s="100" t="b">
        <f>EXACT(ППД5[[#This Row],[Статусы CRM]],ППД5[[#This Row],[Статус]])</f>
        <v>1</v>
      </c>
      <c r="DI63" s="213" t="s">
        <v>235</v>
      </c>
      <c r="DJ63" s="204"/>
      <c r="DK63" s="111" t="s">
        <v>763</v>
      </c>
      <c r="DL63" s="216" t="s">
        <v>14</v>
      </c>
      <c r="DM63" s="201" t="b">
        <f>ППД5[[#This Row],[Отделка CRM]]=ППД5[[#This Row],[Отделка]]</f>
        <v>1</v>
      </c>
      <c r="DN63" s="209">
        <v>8412400</v>
      </c>
      <c r="DO6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63" s="207" t="b">
        <f>IF(AND(ППД5[[#This Row],[Статус]]="свободно",ППД5[[#This Row],[Итоговая сумма скидки]]&lt;&gt;0),FALSE,TRUE)</f>
        <v>1</v>
      </c>
      <c r="DQ63" s="240">
        <f>_xlfn.XLOOKUP(ППД5[[#This Row],[№]],Юрист[№ кв],Юрист[Дата подачи на регистрацию]," ",0,-1)</f>
        <v>45749</v>
      </c>
      <c r="DR63" s="115" t="str">
        <f>_xlfn.XLOOKUP(ППД5[[#This Row],[№]],Юрист[№ кв],Юрист[МОП],"",0,-1)</f>
        <v>Дик</v>
      </c>
      <c r="DS63" s="333" t="s">
        <v>2418</v>
      </c>
      <c r="DT63" s="333" t="s">
        <v>2419</v>
      </c>
      <c r="DU63" s="333">
        <v>56.6</v>
      </c>
      <c r="DV63" s="111"/>
    </row>
    <row r="64" spans="1:129" hidden="1" x14ac:dyDescent="0.25">
      <c r="A64" s="112">
        <v>62</v>
      </c>
      <c r="B64" s="111" t="s">
        <v>5</v>
      </c>
      <c r="C64" s="111">
        <v>9</v>
      </c>
      <c r="D64" s="111">
        <v>7</v>
      </c>
      <c r="E64" s="111">
        <v>1</v>
      </c>
      <c r="F64" s="157">
        <v>18.489999999999998</v>
      </c>
      <c r="G64" s="105"/>
      <c r="H64" s="105"/>
      <c r="I64" s="94">
        <f>SUM(ППД5[[#This Row],[Комната 1]:[Комната 3]])</f>
        <v>18.489999999999998</v>
      </c>
      <c r="J64" s="105">
        <v>13.04</v>
      </c>
      <c r="K64" s="105">
        <v>3.9</v>
      </c>
      <c r="L64" s="105"/>
      <c r="M64" s="105"/>
      <c r="N64" s="105">
        <v>5.99</v>
      </c>
      <c r="O64" s="105">
        <v>2.65</v>
      </c>
      <c r="P64" s="105"/>
      <c r="Q64" s="105"/>
      <c r="R64" s="105">
        <f>SUM(ППД5[[#This Row],[Лоджия 1]:[Лоджия 3]])</f>
        <v>2.65</v>
      </c>
      <c r="S64" s="7">
        <f>ROUND(SUM(ППД5[[#This Row],[Площадь по проекту жилая]:[Лоджия 3]]),2)</f>
        <v>44.07</v>
      </c>
      <c r="T64" s="7">
        <f>ROUND(ППД5[[#This Row],[Площадь по проекту(общая)]]-ППД5[[#This Row],[Летние]],2)</f>
        <v>41.42</v>
      </c>
      <c r="U64" s="92">
        <f>ROUND(ППД5[[#This Row],[Площадь по проекту(общая)]]-(SUM(ППД5[[#This Row],[Лоджия 1]:[Лоджия 3]])/2),2)</f>
        <v>42.75</v>
      </c>
      <c r="V64" s="92">
        <f>IF(ППД5[[#This Row],[Статус]]="продажа",ППД5[[#This Row],[Расчетная проектная площадь]],ППД5[[#This Row],[Расчетная ТП площадь]])</f>
        <v>42.75</v>
      </c>
      <c r="W64" s="92">
        <v>18.399999999999999</v>
      </c>
      <c r="X64" s="92"/>
      <c r="Y64" s="92"/>
      <c r="Z64" s="92">
        <f>SUM(ППД5[[#This Row],[ТП Комната 1]:[ТП Комната 3]])</f>
        <v>18.399999999999999</v>
      </c>
      <c r="AA64" s="92">
        <v>13.1</v>
      </c>
      <c r="AB64" s="92">
        <v>3.9</v>
      </c>
      <c r="AC64" s="92"/>
      <c r="AD64" s="92"/>
      <c r="AE64" s="92">
        <v>6</v>
      </c>
      <c r="AF64" s="92">
        <v>1.3</v>
      </c>
      <c r="AG64" s="92"/>
      <c r="AH64" s="92"/>
      <c r="AI64" s="91">
        <f>SUM(ППД5[[#This Row],[ТП Лоджия 1]:[ТП Лоджия 3]])</f>
        <v>1.3</v>
      </c>
      <c r="AJ64" s="95">
        <v>2.6</v>
      </c>
      <c r="AK64" s="92">
        <f>SUM(ППД5[[#This Row],[Площадь по ТП жилая]:[ТП Лоджия 3]])-ППД5[[#This Row],[ТП Летние]]+ППД5[[#This Row],[кроме того прочая
(без коэффициента)]]</f>
        <v>44</v>
      </c>
      <c r="AL64" s="95">
        <f>ППД5[[#This Row],[ТП Площадь без летних]]+(ППД5[[#This Row],[ТП Летние]])</f>
        <v>42.699999999999996</v>
      </c>
      <c r="AM64" s="92">
        <f>ППД5[[#This Row],[ТП общая S]]-ППД5[[#This Row],[кроме того прочая
(без коэффициента)]]</f>
        <v>41.4</v>
      </c>
      <c r="AN64" s="95">
        <f>SUM(ППД5[[#This Row],[ТП Кухня]:[ТП Коридор]])</f>
        <v>23</v>
      </c>
      <c r="AO64" s="91">
        <f>ППД5[[#This Row],[Расчетная ТП площадь]]-ППД5[[#This Row],[Расчетная проектная площадь]]</f>
        <v>-5.0000000000004263E-2</v>
      </c>
      <c r="AP64" s="335">
        <f>ППД5[[#This Row],[Расчетная ТП площадь]]/ППД5[[#This Row],[Расчетная проектная площадь]]-1</f>
        <v>-1.1695906432749315E-3</v>
      </c>
      <c r="AQ64" s="92">
        <f>ППД5[[#This Row],[% расхождения]]*ППД5[[#This Row],[Стоимость до скидки]]</f>
        <v>-5414.9707602342778</v>
      </c>
      <c r="AR64" s="92">
        <f>VLOOKUP(ППД5[[#This Row],[№]],наценкад5[],COLUMN(наценкад5[[#This Row],[Цена м2 с учетом всех K]]),0)</f>
        <v>83951.4375</v>
      </c>
      <c r="AS64" s="7">
        <f>ППД5[[#This Row],[м2 после К]]*5%</f>
        <v>4197.5718750000005</v>
      </c>
      <c r="AT64" s="7">
        <f>ППД5[[#This Row],[м2 после К]]+ППД5[[#This Row],[Повышение 16.08.23 - 5%]]</f>
        <v>88149.009374999994</v>
      </c>
      <c r="AU64" s="9">
        <f>ППД5[[#This Row],[Фикс 16.08.23]]*3%</f>
        <v>2644.4702812499995</v>
      </c>
      <c r="AV64" s="9">
        <f>ППД5[[#This Row],[Фикс 16.08.23]]+ППД5[[#This Row],[Повышение 29.08.23 - 3%]]</f>
        <v>90793.479656249998</v>
      </c>
      <c r="AW64" s="93">
        <f>ППД5[[#This Row],[Фикс 29.08.23]]*4%</f>
        <v>3631.7391862499999</v>
      </c>
      <c r="AX64" s="9">
        <f>ППД5[[#This Row],[Фикс 29.08.23]]+ППД5[[#This Row],[Повышение 06.09.23 СТ и 1К]]</f>
        <v>94425.218842499991</v>
      </c>
      <c r="AY64" s="9"/>
      <c r="AZ64" s="9">
        <f>ППД5[[#This Row],[Повышение 23.10.23  В4 ]]+ППД5[[#This Row],[Фикс 06.09.23]]</f>
        <v>94425.218842499991</v>
      </c>
      <c r="BA64" s="93">
        <f>ППД5[[#This Row],[Фикс 23.10.23]]*5%</f>
        <v>4721.2609421249999</v>
      </c>
      <c r="BB64" s="93">
        <f>ППД5[[#This Row],[Повышение 8.11.23 1К 5%]]+ППД5[[#This Row],[Фикс 23.10.23]]</f>
        <v>99146.479784624986</v>
      </c>
      <c r="BC64" s="93"/>
      <c r="BD64" s="93">
        <f>ППД5[[#This Row],[Корректировка 24.11.23 - 1К В5, 2К А2, №233]]+ППД5[[#This Row],[Фикс 8.11.23]]</f>
        <v>99146.479784624986</v>
      </c>
      <c r="BE64" s="93">
        <f>ППД5[[#This Row],[Фикс 8.11.24]]*1%</f>
        <v>991.46479784624989</v>
      </c>
      <c r="BF64" s="93">
        <f>ППД5[[#This Row],[Наценка за отделку 29.12.23 1%]]+ППД5[[#This Row],[Фикс 8.11.24]]</f>
        <v>100137.94458247123</v>
      </c>
      <c r="BG64" s="93">
        <f>ППД5[[#This Row],[Фикс 29.12.23]]*5%</f>
        <v>5006.8972291235623</v>
      </c>
      <c r="BH64" s="93">
        <f>ППД5[[#This Row],[Фикс 29.12.23]]+ППД5[[#This Row],[Наценка 10.01.24 5%]]</f>
        <v>105144.84181159479</v>
      </c>
      <c r="BI64" s="93"/>
      <c r="BJ64" s="93">
        <f>ППД5[[#This Row],[Наценка 26.02.24 1 Этаж]]+ППД5[[#This Row],[Фикс 10.01.24]]</f>
        <v>105144.84181159479</v>
      </c>
      <c r="BK64" s="93">
        <f>ППД5[[#This Row],[Фикс 26.02.24]]*3%</f>
        <v>3154.3452543478434</v>
      </c>
      <c r="BL64" s="93">
        <f>ППД5[[#This Row],[Фикс 26.02.24]]+ППД5[[#This Row],[Наценка 06.03.24
СТ, 1К - 3%
2К, 3К - 2%]]</f>
        <v>108299.18706594263</v>
      </c>
      <c r="BM64" s="93"/>
      <c r="BN64" s="93">
        <f>ППД5[[#This Row],[Фикс 06.03.24]]+ППД5[[#This Row],[Наценка Г2+500]]</f>
        <v>108299.18706594263</v>
      </c>
      <c r="BO64" s="93"/>
      <c r="BP64" s="93">
        <f>ППД5[[#This Row],[Фикс 13.03.25]]+ППД5[[#This Row],[Наценка 20.03.24
2К, 3К - 2%]]</f>
        <v>108299.18706594263</v>
      </c>
      <c r="BQ64" s="93"/>
      <c r="BR64" s="93">
        <f>ППД5[[#This Row],[Фикс 20.03.24]]+ППД5[[#This Row],[Наценка 08.04.24 
2К: В3 - 150
3К: Г7 +1000]]</f>
        <v>108299.18706594263</v>
      </c>
      <c r="BS64" s="93"/>
      <c r="BT64" s="93">
        <f>ППД5[[#This Row],[Фикс 08.04.24]]+ППД5[[#This Row],[Наценка 16.05.24 1%
А4,А6,Б3,Б6,Б7,В2,В3,В5,В6,Г1,Г3-Г5]]</f>
        <v>108299.18706594263</v>
      </c>
      <c r="BU64" s="93"/>
      <c r="BV64" s="93">
        <f>ППД5[[#This Row],[Фикс 16.05.24]]+ППД5[[#This Row],[Наценка 24.05.24
1% - Б4, Б5,Г2,Г6
2% - А1,А3,А5,Б2,Г7]]</f>
        <v>108299.18706594263</v>
      </c>
      <c r="BW64" s="9"/>
      <c r="BX64" s="93">
        <f>ППД5[[#This Row],[Наценка 06.06.24
0К: В2,Г3 +0,5%
1К: А7, Б5/4, Г6 +0,5%
3К: В6 +0,5%
1К: А3 +1%]]+ППД5[[#This Row],[Фикс 24.05.24]]</f>
        <v>108299.18706594263</v>
      </c>
      <c r="BY64" s="93"/>
      <c r="BZ64" s="93">
        <f>ППД5[[#This Row],[Фикс 06.06.24]]+ППД5[[#This Row],[13.06.2024
3К - 2%]]</f>
        <v>108299.18706594263</v>
      </c>
      <c r="CA64" s="93"/>
      <c r="CB64" s="93">
        <f>ППД5[[#This Row],[02.07.2024: Г3 А1 А3 Б5 Б7 Г2 Г6 Б3 Б4 В3 Г7 2,5% ост 0,5-1,5%]]+ППД5[[#This Row],[Фикс 13.06.24]]</f>
        <v>108299.18706594263</v>
      </c>
      <c r="CC64" s="93"/>
      <c r="CD64" s="93">
        <f>ППД5[[#This Row],[Фикс 02.07.24]]+ППД5[[#This Row],[04.09.2024 +500
0К - Б2; 1К - А3;
2К - А6, Б4, В3, Г5]]</f>
        <v>108299.18706594263</v>
      </c>
      <c r="CE64" s="93"/>
      <c r="CF64" s="93">
        <f>ППД5[[#This Row],[Наценка 16.09.2024
1К: А1,В7,Г6/7,Г8 - 2%
2К: А4,А5,А6,Б1,Б6,Б3/4,В3,В4,Г4,Г5 - 4%
3К: 4%]]+ППД5[[#This Row],[Фикс 04.09.24]]</f>
        <v>108299.18706594263</v>
      </c>
      <c r="CG64" s="93"/>
      <c r="CH64" s="93">
        <f>ППД5[[#This Row],[Фикс 16.09.2024]]+ППД5[[#This Row],[Наценка 01.11.24
СТ: 4%
1К: 34-40м 5%; 40м+ 8%; МГН 1%
2К: 55-70м 6%; 70-73м 7%; 73-76м 8% 
3К: 5%]]</f>
        <v>108299.18706594263</v>
      </c>
      <c r="CI64" s="93"/>
      <c r="CJ64" s="93">
        <f>ППД5[[#This Row],[Наценка 06.11 13%]]+ППД5[[#This Row],[Фикс 01.11.24]]</f>
        <v>108299.18706594263</v>
      </c>
      <c r="CK64" s="93"/>
      <c r="CL64" s="93">
        <f>ППД5[[#This Row],[Фикс 06.11.24]]+ППД5[[#This Row],[Наценка 18.12.24 распределение КВ]]</f>
        <v>108299.18706594263</v>
      </c>
      <c r="CM64" s="93"/>
      <c r="CN64" s="93">
        <f>ППД5[[#This Row],[Фикс 18.12.24]]+ППД5[[#This Row],[Наценка 10.02.25 +1%
1К: А3
2К: Б3, В3]]</f>
        <v>108299.18706594263</v>
      </c>
      <c r="CO64" s="93">
        <f>ROUND(ППД5[[#This Row],[Фикс 10.02.25]],2)</f>
        <v>108299.19</v>
      </c>
      <c r="CP6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4629800</v>
      </c>
      <c r="CQ64" s="93">
        <f>ROUNDUP(ППД5[[#This Row],[Стоимость до скидки]]+ППД5[[#This Row],[Сумма доплаты]],-2)</f>
        <v>4624400</v>
      </c>
      <c r="CR64" s="68"/>
      <c r="CS64" s="90">
        <v>0.03</v>
      </c>
      <c r="CT64" s="68">
        <f>ППД5[[#This Row],[Стоимость до скидки]]*ППД5[[#This Row],[Скидка %]]+ППД5[[#This Row],[Скидка фиксированная]]</f>
        <v>138894</v>
      </c>
      <c r="CU64" s="3">
        <f>ППД5[[#This Row],[Стоимость ОН без отделки со скидкой]]/ППД5[[#This Row],[Расчетная проектная площадь]]</f>
        <v>105050.43274853801</v>
      </c>
      <c r="CV64" s="3">
        <f>ROUND(ППД5[[#This Row],[Стоимость до скидки]]-ППД5[[#This Row],[Итоговая сумма скидки]],2)</f>
        <v>4490906</v>
      </c>
      <c r="CW6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64" s="197">
        <v>20000</v>
      </c>
      <c r="CY64" s="332">
        <f>ППД5[[#This Row],[Расхождение]]/ППД5[[#This Row],[Расчетная проектная площадь]]</f>
        <v>-1.1695906432749536E-3</v>
      </c>
      <c r="CZ6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6.9999999999998508E-2</v>
      </c>
      <c r="DA64" s="3">
        <f>ППД5[[#This Row],[Цена м2 без отделки со скидкой]]+ППД5[[#This Row],[Стоимость отделки]]</f>
        <v>125050.43274853801</v>
      </c>
      <c r="DB64" s="3">
        <f>ППД5[[#This Row],[Стоимость квартиры с отделкой]]-ППД5[[#This Row],[Стоимость ОН без отделки со скидкой]]</f>
        <v>855000</v>
      </c>
      <c r="DC64" s="3">
        <f>ППД5[[#This Row],[Цена м2 с отделкой]]*ППД5[[#This Row],[Расчетная проектная площадь]]</f>
        <v>5345906</v>
      </c>
      <c r="DD64" s="3"/>
      <c r="DE64" s="111" t="s">
        <v>162</v>
      </c>
      <c r="DF64" s="199" t="s">
        <v>172</v>
      </c>
      <c r="DG64" s="245" t="s">
        <v>172</v>
      </c>
      <c r="DH64" s="100" t="b">
        <f>EXACT(ППД5[[#This Row],[Статусы CRM]],ППД5[[#This Row],[Статус]])</f>
        <v>1</v>
      </c>
      <c r="DI64" s="213" t="s">
        <v>236</v>
      </c>
      <c r="DJ64" s="204"/>
      <c r="DK64" s="111" t="s">
        <v>763</v>
      </c>
      <c r="DL64" s="216" t="s">
        <v>14</v>
      </c>
      <c r="DM64" s="201" t="b">
        <f>ППД5[[#This Row],[Отделка CRM]]=ППД5[[#This Row],[Отделка]]</f>
        <v>1</v>
      </c>
      <c r="DN64" s="203">
        <v>5345906</v>
      </c>
      <c r="DO6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64" s="207" t="b">
        <f>IF(AND(ППД5[[#This Row],[Статус]]="свободно",ППД5[[#This Row],[Итоговая сумма скидки]]&lt;&gt;0),FALSE,TRUE)</f>
        <v>1</v>
      </c>
      <c r="DQ64" s="240">
        <f>_xlfn.XLOOKUP(ППД5[[#This Row],[№]],Юрист[№ кв],Юрист[Дата подачи на регистрацию]," ",0,-1)</f>
        <v>45412</v>
      </c>
      <c r="DR64" s="115" t="str">
        <f>_xlfn.XLOOKUP(ППД5[[#This Row],[№]],Юрист[№ кв],Юрист[МОП],"",0,-1)</f>
        <v>Дик</v>
      </c>
      <c r="DS64" s="333" t="s">
        <v>2420</v>
      </c>
      <c r="DT64" s="333" t="s">
        <v>2421</v>
      </c>
      <c r="DU64" s="333">
        <v>41.4</v>
      </c>
      <c r="DV64" s="111"/>
    </row>
    <row r="65" spans="1:126" hidden="1" x14ac:dyDescent="0.25">
      <c r="A65" s="112">
        <v>63</v>
      </c>
      <c r="B65" s="111" t="s">
        <v>5</v>
      </c>
      <c r="C65" s="111">
        <v>10</v>
      </c>
      <c r="D65" s="338">
        <v>1</v>
      </c>
      <c r="E65" s="111">
        <v>1</v>
      </c>
      <c r="F65" s="105">
        <v>14.68</v>
      </c>
      <c r="G65" s="105"/>
      <c r="H65" s="105"/>
      <c r="I65" s="94">
        <f>SUM(ППД5[[#This Row],[Комната 1]:[Комната 3]])</f>
        <v>14.68</v>
      </c>
      <c r="J65" s="1">
        <v>9.84</v>
      </c>
      <c r="K65" s="105">
        <v>3.63</v>
      </c>
      <c r="L65" s="105"/>
      <c r="M65" s="105"/>
      <c r="N65" s="105">
        <v>4.8899999999999997</v>
      </c>
      <c r="O65" s="105">
        <v>2.7</v>
      </c>
      <c r="P65" s="105"/>
      <c r="Q65" s="105"/>
      <c r="R65" s="105">
        <f>SUM(ППД5[[#This Row],[Лоджия 1]:[Лоджия 3]])</f>
        <v>2.7</v>
      </c>
      <c r="S65" s="7">
        <f>ROUND(SUM(ППД5[[#This Row],[Площадь по проекту жилая]:[Лоджия 3]]),2)</f>
        <v>35.74</v>
      </c>
      <c r="T65" s="7">
        <f>ROUND(ППД5[[#This Row],[Площадь по проекту(общая)]]-ППД5[[#This Row],[Летние]],2)</f>
        <v>33.04</v>
      </c>
      <c r="U65" s="92">
        <f>ROUND(ППД5[[#This Row],[Площадь по проекту(общая)]]-(SUM(ППД5[[#This Row],[Лоджия 1]:[Лоджия 3]])/2),2)</f>
        <v>34.39</v>
      </c>
      <c r="V65" s="92">
        <f>IF(ППД5[[#This Row],[Статус]]="продажа",ППД5[[#This Row],[Расчетная проектная площадь]],ППД5[[#This Row],[Расчетная ТП площадь]])</f>
        <v>34.39</v>
      </c>
      <c r="W65" s="92">
        <v>14.7</v>
      </c>
      <c r="X65" s="92"/>
      <c r="Y65" s="92"/>
      <c r="Z65" s="92">
        <f>SUM(ППД5[[#This Row],[ТП Комната 1]:[ТП Комната 3]])</f>
        <v>14.7</v>
      </c>
      <c r="AA65" s="92">
        <v>9.6999999999999993</v>
      </c>
      <c r="AB65" s="92">
        <v>3.8</v>
      </c>
      <c r="AC65" s="92"/>
      <c r="AD65" s="92"/>
      <c r="AE65" s="92">
        <v>4.8</v>
      </c>
      <c r="AF65" s="91">
        <v>1.35</v>
      </c>
      <c r="AG65" s="92"/>
      <c r="AH65" s="92"/>
      <c r="AI65" s="91">
        <f>SUM(ППД5[[#This Row],[ТП Лоджия 1]:[ТП Лоджия 3]])</f>
        <v>1.35</v>
      </c>
      <c r="AJ65" s="95">
        <v>2.7</v>
      </c>
      <c r="AK65" s="92">
        <f>SUM(ППД5[[#This Row],[Площадь по ТП жилая]:[ТП Лоджия 3]])-ППД5[[#This Row],[ТП Летние]]+ППД5[[#This Row],[кроме того прочая
(без коэффициента)]]</f>
        <v>35.700000000000003</v>
      </c>
      <c r="AL65" s="95">
        <f>ППД5[[#This Row],[ТП Площадь без летних]]+(ППД5[[#This Row],[ТП Летние]])</f>
        <v>34.35</v>
      </c>
      <c r="AM65" s="92">
        <f>ППД5[[#This Row],[ТП общая S]]-ППД5[[#This Row],[кроме того прочая
(без коэффициента)]]</f>
        <v>33</v>
      </c>
      <c r="AN65" s="95">
        <f>SUM(ППД5[[#This Row],[ТП Кухня]:[ТП Коридор]])</f>
        <v>18.3</v>
      </c>
      <c r="AO65" s="91">
        <f>ППД5[[#This Row],[Расчетная ТП площадь]]-ППД5[[#This Row],[Расчетная проектная площадь]]</f>
        <v>-3.9999999999999147E-2</v>
      </c>
      <c r="AP65" s="335">
        <f>ППД5[[#This Row],[Расчетная ТП площадь]]/ППД5[[#This Row],[Расчетная проектная площадь]]-1</f>
        <v>-1.1631288165163678E-3</v>
      </c>
      <c r="AQ65" s="92">
        <f>ППД5[[#This Row],[% расхождения]]*ППД5[[#This Row],[Стоимость до скидки]]</f>
        <v>-3309.3899970920029</v>
      </c>
      <c r="AR65" s="92">
        <f>VLOOKUP(ППД5[[#This Row],[№]],наценкад5[],COLUMN(наценкад5[[#This Row],[Цена м2 с учетом всех K]]),0)</f>
        <v>82734.75</v>
      </c>
      <c r="AS65" s="7"/>
      <c r="AT65" s="7">
        <f>ППД5[[#This Row],[м2 после К]]+ППД5[[#This Row],[Повышение 16.08.23 - 5%]]</f>
        <v>82734.75</v>
      </c>
      <c r="AU65" s="9"/>
      <c r="AV65" s="9">
        <f>ППД5[[#This Row],[Фикс 16.08.23]]+ППД5[[#This Row],[Повышение 29.08.23 - 3%]]</f>
        <v>82734.75</v>
      </c>
      <c r="AW65" s="9"/>
      <c r="AX65" s="9">
        <f>ППД5[[#This Row],[Фикс 29.08.23]]+ППД5[[#This Row],[Повышение 06.09.23 СТ и 1К]]</f>
        <v>82734.75</v>
      </c>
      <c r="AY65" s="9"/>
      <c r="AZ65" s="9">
        <f>ППД5[[#This Row],[Повышение 23.10.23  В4 ]]+ППД5[[#This Row],[Фикс 06.09.23]]</f>
        <v>82734.75</v>
      </c>
      <c r="BA65" s="9"/>
      <c r="BB65" s="9">
        <f>ППД5[[#This Row],[Повышение 8.11.23 1К 5%]]+ППД5[[#This Row],[Фикс 23.10.23]]</f>
        <v>82734.75</v>
      </c>
      <c r="BC65" s="9"/>
      <c r="BD65" s="9">
        <f>ППД5[[#This Row],[Корректировка 24.11.23 - 1К В5, 2К А2, №233]]+ППД5[[#This Row],[Фикс 8.11.23]]</f>
        <v>82734.75</v>
      </c>
      <c r="BE65" s="9"/>
      <c r="BF65" s="9">
        <f>ППД5[[#This Row],[Наценка за отделку 29.12.23 1%]]+ППД5[[#This Row],[Фикс 8.11.24]]</f>
        <v>82734.75</v>
      </c>
      <c r="BG65" s="9"/>
      <c r="BH65" s="9">
        <f>ППД5[[#This Row],[Фикс 29.12.23]]+ППД5[[#This Row],[Наценка 10.01.24 5%]]</f>
        <v>82734.75</v>
      </c>
      <c r="BI65" s="9"/>
      <c r="BJ65" s="9">
        <f>ППД5[[#This Row],[Наценка 26.02.24 1 Этаж]]+ППД5[[#This Row],[Фикс 10.01.24]]</f>
        <v>82734.75</v>
      </c>
      <c r="BK65" s="93"/>
      <c r="BL65" s="9">
        <f>ППД5[[#This Row],[Фикс 26.02.24]]+ППД5[[#This Row],[Наценка 06.03.24
СТ, 1К - 3%
2К, 3К - 2%]]</f>
        <v>82734.75</v>
      </c>
      <c r="BM65" s="9"/>
      <c r="BN65" s="9">
        <f>ППД5[[#This Row],[Фикс 06.03.24]]+ППД5[[#This Row],[Наценка Г2+500]]</f>
        <v>82734.75</v>
      </c>
      <c r="BO65" s="9"/>
      <c r="BP65" s="9">
        <f>ППД5[[#This Row],[Фикс 13.03.25]]+ППД5[[#This Row],[Наценка 20.03.24
2К, 3К - 2%]]</f>
        <v>82734.75</v>
      </c>
      <c r="BQ65" s="9"/>
      <c r="BR65" s="9">
        <f>ППД5[[#This Row],[Фикс 20.03.24]]+ППД5[[#This Row],[Наценка 08.04.24 
2К: В3 - 150
3К: Г7 +1000]]</f>
        <v>82734.75</v>
      </c>
      <c r="BS65" s="9"/>
      <c r="BT65" s="9">
        <f>ППД5[[#This Row],[Фикс 08.04.24]]+ППД5[[#This Row],[Наценка 16.05.24 1%
А4,А6,Б3,Б6,Б7,В2,В3,В5,В6,Г1,Г3-Г5]]</f>
        <v>82734.75</v>
      </c>
      <c r="BU65" s="9"/>
      <c r="BV65" s="9">
        <f>ППД5[[#This Row],[Фикс 16.05.24]]+ППД5[[#This Row],[Наценка 24.05.24
1% - Б4, Б5,Г2,Г6
2% - А1,А3,А5,Б2,Г7]]</f>
        <v>82734.75</v>
      </c>
      <c r="BW65" s="9"/>
      <c r="BX65" s="9">
        <f>ППД5[[#This Row],[Наценка 06.06.24
0К: В2,Г3 +0,5%
1К: А7, Б5/4, Г6 +0,5%
3К: В6 +0,5%
1К: А3 +1%]]+ППД5[[#This Row],[Фикс 24.05.24]]</f>
        <v>82734.75</v>
      </c>
      <c r="BY65" s="9"/>
      <c r="BZ65" s="9">
        <f>ППД5[[#This Row],[Фикс 06.06.24]]+ППД5[[#This Row],[13.06.2024
3К - 2%]]</f>
        <v>82734.75</v>
      </c>
      <c r="CA65" s="9"/>
      <c r="CB65" s="9">
        <f>ППД5[[#This Row],[02.07.2024: Г3 А1 А3 Б5 Б7 Г2 Г6 Б3 Б4 В3 Г7 2,5% ост 0,5-1,5%]]+ППД5[[#This Row],[Фикс 13.06.24]]</f>
        <v>82734.75</v>
      </c>
      <c r="CC65" s="9"/>
      <c r="CD65" s="9">
        <f>ППД5[[#This Row],[Фикс 02.07.24]]+ППД5[[#This Row],[04.09.2024 +500
0К - Б2; 1К - А3;
2К - А6, Б4, В3, Г5]]</f>
        <v>82734.75</v>
      </c>
      <c r="CE65" s="9"/>
      <c r="CF65" s="9">
        <f>ППД5[[#This Row],[Наценка 16.09.2024
1К: А1,В7,Г6/7,Г8 - 2%
2К: А4,А5,А6,Б1,Б6,Б3/4,В3,В4,Г4,Г5 - 4%
3К: 4%]]+ППД5[[#This Row],[Фикс 04.09.24]]</f>
        <v>82734.75</v>
      </c>
      <c r="CG65" s="9"/>
      <c r="CH65" s="9">
        <f>ППД5[[#This Row],[Фикс 16.09.2024]]+ППД5[[#This Row],[Наценка 01.11.24
СТ: 4%
1К: 34-40м 5%; 40м+ 8%; МГН 1%
2К: 55-70м 6%; 70-73м 7%; 73-76м 8% 
3К: 5%]]</f>
        <v>82734.75</v>
      </c>
      <c r="CI65" s="9"/>
      <c r="CJ65" s="9">
        <f>ППД5[[#This Row],[Наценка 06.11 13%]]+ППД5[[#This Row],[Фикс 01.11.24]]</f>
        <v>82734.75</v>
      </c>
      <c r="CK65" s="9"/>
      <c r="CL65" s="9">
        <f>ППД5[[#This Row],[Фикс 06.11.24]]+ППД5[[#This Row],[Наценка 18.12.24 распределение КВ]]</f>
        <v>82734.75</v>
      </c>
      <c r="CM65" s="9"/>
      <c r="CN65" s="9">
        <f>ППД5[[#This Row],[Фикс 18.12.24]]+ППД5[[#This Row],[Наценка 10.02.25 +1%
1К: А3
2К: Б3, В3]]</f>
        <v>82734.75</v>
      </c>
      <c r="CO65" s="93">
        <f>ROUND(ППД5[[#This Row],[Фикс 10.02.25]],2)</f>
        <v>82734.75</v>
      </c>
      <c r="CP6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2845248.05</v>
      </c>
      <c r="CQ65" s="93">
        <f>ROUNDUP(ППД5[[#This Row],[Стоимость до скидки]]+ППД5[[#This Row],[Сумма доплаты]],-2)</f>
        <v>2842000</v>
      </c>
      <c r="CR65" s="68"/>
      <c r="CS65" s="90">
        <v>0.06</v>
      </c>
      <c r="CT65" s="68">
        <f>ППД5[[#This Row],[Стоимость до скидки]]*ППД5[[#This Row],[Скидка %]]+ППД5[[#This Row],[Скидка фиксированная]]</f>
        <v>170714.88299999997</v>
      </c>
      <c r="CU65" s="3">
        <f>ППД5[[#This Row],[Стоимость ОН без отделки со скидкой]]/ППД5[[#This Row],[Расчетная проектная площадь]]</f>
        <v>77770.665018900836</v>
      </c>
      <c r="CV65" s="3">
        <f>ROUND(ППД5[[#This Row],[Стоимость до скидки]]-ППД5[[#This Row],[Итоговая сумма скидки]],2)</f>
        <v>2674533.17</v>
      </c>
      <c r="CW6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65" s="197">
        <v>15500</v>
      </c>
      <c r="CY65" s="332">
        <f>ППД5[[#This Row],[Расхождение]]/ППД5[[#This Row],[Расчетная проектная площадь]]</f>
        <v>-1.1631288165164044E-3</v>
      </c>
      <c r="CZ6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-5.9999999999998721E-2</v>
      </c>
      <c r="DA65" s="3">
        <f>ППД5[[#This Row],[Цена м2 без отделки со скидкой]]+ППД5[[#This Row],[Стоимость отделки]]</f>
        <v>93270.665018900836</v>
      </c>
      <c r="DB65" s="3">
        <f>ППД5[[#This Row],[Стоимость квартиры с отделкой]]-ППД5[[#This Row],[Стоимость ОН без отделки со скидкой]]</f>
        <v>533045</v>
      </c>
      <c r="DC65" s="3">
        <f>ППД5[[#This Row],[Цена м2 с отделкой]]*ППД5[[#This Row],[Расчетная проектная площадь]]</f>
        <v>3207578.17</v>
      </c>
      <c r="DD65" s="3" t="s">
        <v>154</v>
      </c>
      <c r="DE65" s="111" t="s">
        <v>162</v>
      </c>
      <c r="DF65" s="199" t="s">
        <v>172</v>
      </c>
      <c r="DG65" s="245" t="s">
        <v>172</v>
      </c>
      <c r="DH65" s="100" t="b">
        <f>EXACT(ППД5[[#This Row],[Статусы CRM]],ППД5[[#This Row],[Статус]])</f>
        <v>1</v>
      </c>
      <c r="DI65" s="213" t="s">
        <v>237</v>
      </c>
      <c r="DJ65" s="204"/>
      <c r="DK65" s="111" t="s">
        <v>76</v>
      </c>
      <c r="DL65" s="216" t="s">
        <v>14</v>
      </c>
      <c r="DM65" s="201" t="b">
        <f>ППД5[[#This Row],[Отделка CRM]]=ППД5[[#This Row],[Отделка]]</f>
        <v>1</v>
      </c>
      <c r="DN65" s="203">
        <v>3207578.17</v>
      </c>
      <c r="DO6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65" s="207" t="b">
        <f>IF(AND(ППД5[[#This Row],[Статус]]="свободно",ППД5[[#This Row],[Итоговая сумма скидки]]&lt;&gt;0),FALSE,TRUE)</f>
        <v>1</v>
      </c>
      <c r="DQ65" s="240">
        <f>_xlfn.XLOOKUP(ППД5[[#This Row],[№]],Юрист[№ кв],Юрист[Дата подачи на регистрацию]," ",0,-1)</f>
        <v>45191</v>
      </c>
      <c r="DR65" s="115" t="str">
        <f>_xlfn.XLOOKUP(ППД5[[#This Row],[№]],Юрист[№ кв],Юрист[МОП],"",0,-1)</f>
        <v>Кофанова</v>
      </c>
      <c r="DS65" s="333" t="s">
        <v>2422</v>
      </c>
      <c r="DT65" s="333" t="s">
        <v>2423</v>
      </c>
      <c r="DU65" s="333">
        <v>33</v>
      </c>
      <c r="DV65" s="111"/>
    </row>
    <row r="66" spans="1:126" hidden="1" x14ac:dyDescent="0.25">
      <c r="A66" s="112">
        <v>64</v>
      </c>
      <c r="B66" s="111" t="s">
        <v>5</v>
      </c>
      <c r="C66" s="111">
        <v>10</v>
      </c>
      <c r="D66" s="111">
        <v>2</v>
      </c>
      <c r="E66" s="111">
        <v>2</v>
      </c>
      <c r="F66" s="105">
        <v>15.82</v>
      </c>
      <c r="G66" s="156">
        <v>15.54</v>
      </c>
      <c r="H66" s="105"/>
      <c r="I66" s="94">
        <f>SUM(ППД5[[#This Row],[Комната 1]:[Комната 3]])</f>
        <v>31.36</v>
      </c>
      <c r="J66" s="105">
        <v>19.440000000000001</v>
      </c>
      <c r="K66" s="105">
        <v>4.42</v>
      </c>
      <c r="L66" s="105"/>
      <c r="M66" s="105">
        <v>3.25</v>
      </c>
      <c r="N66" s="105">
        <v>8.5299999999999994</v>
      </c>
      <c r="O66" s="105">
        <v>3</v>
      </c>
      <c r="P66" s="105"/>
      <c r="Q66" s="105"/>
      <c r="R66" s="105">
        <f>SUM(ППД5[[#This Row],[Лоджия 1]:[Лоджия 3]])</f>
        <v>3</v>
      </c>
      <c r="S66" s="7">
        <f>ROUND(SUM(ППД5[[#This Row],[Площадь по проекту жилая]:[Лоджия 3]]),2)</f>
        <v>70</v>
      </c>
      <c r="T66" s="7">
        <f>ROUND(ППД5[[#This Row],[Площадь по проекту(общая)]]-ППД5[[#This Row],[Летние]],2)</f>
        <v>67</v>
      </c>
      <c r="U66" s="92">
        <f>ROUND(ППД5[[#This Row],[Площадь по проекту(общая)]]-(SUM(ППД5[[#This Row],[Лоджия 1]:[Лоджия 3]])/2),2)</f>
        <v>68.5</v>
      </c>
      <c r="V66" s="92">
        <f>IF(ППД5[[#This Row],[Статус]]="продажа",ППД5[[#This Row],[Расчетная проектная площадь]],ППД5[[#This Row],[Расчетная ТП площадь]])</f>
        <v>68.5</v>
      </c>
      <c r="W66" s="92">
        <v>15.4</v>
      </c>
      <c r="X66" s="92">
        <v>15.6</v>
      </c>
      <c r="Y66" s="92"/>
      <c r="Z66" s="92">
        <f>SUM(ППД5[[#This Row],[ТП Комната 1]:[ТП Комната 3]])</f>
        <v>31</v>
      </c>
      <c r="AA66" s="92">
        <v>19</v>
      </c>
      <c r="AB66" s="92">
        <v>4.5999999999999996</v>
      </c>
      <c r="AC66" s="92"/>
      <c r="AD66" s="92">
        <v>3.3</v>
      </c>
      <c r="AE66" s="92">
        <v>8.6</v>
      </c>
      <c r="AF66" s="92">
        <v>1.5</v>
      </c>
      <c r="AG66" s="92"/>
      <c r="AH66" s="92"/>
      <c r="AI66" s="91">
        <f>SUM(ППД5[[#This Row],[ТП Лоджия 1]:[ТП Лоджия 3]])</f>
        <v>1.5</v>
      </c>
      <c r="AJ66" s="95">
        <v>3</v>
      </c>
      <c r="AK66" s="92">
        <f>SUM(ППД5[[#This Row],[Площадь по ТП жилая]:[ТП Лоджия 3]])-ППД5[[#This Row],[ТП Летние]]+ППД5[[#This Row],[кроме того прочая
(без коэффициента)]]</f>
        <v>69.5</v>
      </c>
      <c r="AL66" s="95">
        <f>ППД5[[#This Row],[ТП Площадь без летних]]+(ППД5[[#This Row],[ТП Летние]])</f>
        <v>68</v>
      </c>
      <c r="AM66" s="92">
        <f>ППД5[[#This Row],[ТП общая S]]-ППД5[[#This Row],[кроме того прочая
(без коэффициента)]]</f>
        <v>66.5</v>
      </c>
      <c r="AN66" s="95">
        <f>SUM(ППД5[[#This Row],[ТП Кухня]:[ТП Коридор]])</f>
        <v>35.5</v>
      </c>
      <c r="AO66" s="91">
        <f>ППД5[[#This Row],[Расчетная ТП площадь]]-ППД5[[#This Row],[Расчетная проектная площадь]]</f>
        <v>-0.5</v>
      </c>
      <c r="AP66" s="335">
        <f>ППД5[[#This Row],[Расчетная ТП площадь]]/ППД5[[#This Row],[Расчетная проектная площадь]]-1</f>
        <v>-7.2992700729926918E-3</v>
      </c>
      <c r="AQ66" s="92">
        <f>ППД5[[#This Row],[% расхождения]]*ППД5[[#This Row],[Стоимость до скидки]]</f>
        <v>-49759.854014598481</v>
      </c>
      <c r="AR66" s="92">
        <f>VLOOKUP(ППД5[[#This Row],[№]],наценкад5[],COLUMN(наценкад5[[#This Row],[Цена м2 с учетом всех K]]),0)</f>
        <v>84168.819000000003</v>
      </c>
      <c r="AS66" s="7">
        <f>ППД5[[#This Row],[м2 после К]]*5%</f>
        <v>4208.4409500000002</v>
      </c>
      <c r="AT66" s="7">
        <f>ППД5[[#This Row],[м2 после К]]+ППД5[[#This Row],[Повышение 16.08.23 - 5%]]</f>
        <v>88377.259950000007</v>
      </c>
      <c r="AU66" s="9">
        <f>ППД5[[#This Row],[Фикс 16.08.23]]*3%</f>
        <v>2651.3177985000002</v>
      </c>
      <c r="AV66" s="9">
        <f>ППД5[[#This Row],[Фикс 16.08.23]]+ППД5[[#This Row],[Повышение 29.08.23 - 3%]]</f>
        <v>91028.577748500014</v>
      </c>
      <c r="AW66" s="9"/>
      <c r="AX66" s="9">
        <f>ППД5[[#This Row],[Фикс 29.08.23]]+ППД5[[#This Row],[Повышение 06.09.23 СТ и 1К]]</f>
        <v>91028.577748500014</v>
      </c>
      <c r="AY66" s="9"/>
      <c r="AZ66" s="9">
        <f>ППД5[[#This Row],[Повышение 23.10.23  В4 ]]+ППД5[[#This Row],[Фикс 06.09.23]]</f>
        <v>91028.577748500014</v>
      </c>
      <c r="BA66" s="9"/>
      <c r="BB66" s="9">
        <f>ППД5[[#This Row],[Повышение 8.11.23 1К 5%]]+ППД5[[#This Row],[Фикс 23.10.23]]</f>
        <v>91028.577748500014</v>
      </c>
      <c r="BC66" s="9">
        <v>-831</v>
      </c>
      <c r="BD66" s="9">
        <f>ППД5[[#This Row],[Корректировка 24.11.23 - 1К В5, 2К А2, №233]]+ППД5[[#This Row],[Фикс 8.11.23]]</f>
        <v>90197.577748500014</v>
      </c>
      <c r="BE66" s="93">
        <f>ППД5[[#This Row],[Фикс 8.11.24]]*1%</f>
        <v>901.97577748500021</v>
      </c>
      <c r="BF66" s="9">
        <f>ППД5[[#This Row],[Наценка за отделку 29.12.23 1%]]+ППД5[[#This Row],[Фикс 8.11.24]]</f>
        <v>91099.553525985015</v>
      </c>
      <c r="BG66" s="93">
        <f>ППД5[[#This Row],[Фикс 29.12.23]]*5%</f>
        <v>4554.9776762992506</v>
      </c>
      <c r="BH66" s="9">
        <f>ППД5[[#This Row],[Фикс 29.12.23]]+ППД5[[#This Row],[Наценка 10.01.24 5%]]</f>
        <v>95654.53120228427</v>
      </c>
      <c r="BI66" s="9"/>
      <c r="BJ66" s="9">
        <f>ППД5[[#This Row],[Наценка 26.02.24 1 Этаж]]+ППД5[[#This Row],[Фикс 10.01.24]]</f>
        <v>95654.53120228427</v>
      </c>
      <c r="BK66" s="93">
        <f>ППД5[[#This Row],[Фикс 26.02.24]]*2%</f>
        <v>1913.0906240456854</v>
      </c>
      <c r="BL66" s="9">
        <f>ППД5[[#This Row],[Фикс 26.02.24]]+ППД5[[#This Row],[Наценка 06.03.24
СТ, 1К - 3%
2К, 3К - 2%]]</f>
        <v>97567.621826329952</v>
      </c>
      <c r="BM66" s="9"/>
      <c r="BN66" s="9">
        <f>ППД5[[#This Row],[Фикс 06.03.24]]+ППД5[[#This Row],[Наценка Г2+500]]</f>
        <v>97567.621826329952</v>
      </c>
      <c r="BO66" s="9">
        <f>ППД5[[#This Row],[Фикс 13.03.25]]*2%</f>
        <v>1951.3524365265991</v>
      </c>
      <c r="BP66" s="9">
        <f>ППД5[[#This Row],[Фикс 13.03.25]]+ППД5[[#This Row],[Наценка 20.03.24
2К, 3К - 2%]]</f>
        <v>99518.974262856558</v>
      </c>
      <c r="BQ66" s="9"/>
      <c r="BR66" s="9">
        <f>ППД5[[#This Row],[Фикс 20.03.24]]+ППД5[[#This Row],[Наценка 08.04.24 
2К: В3 - 150
3К: Г7 +1000]]</f>
        <v>99518.974262856558</v>
      </c>
      <c r="BS66" s="9"/>
      <c r="BT66" s="9">
        <f>ППД5[[#This Row],[Фикс 08.04.24]]+ППД5[[#This Row],[Наценка 16.05.24 1%
А4,А6,Б3,Б6,Б7,В2,В3,В5,В6,Г1,Г3-Г5]]</f>
        <v>99518.974262856558</v>
      </c>
      <c r="BU66" s="9"/>
      <c r="BV66" s="9">
        <f>ППД5[[#This Row],[Фикс 16.05.24]]+ППД5[[#This Row],[Наценка 24.05.24
1% - Б4, Б5,Г2,Г6
2% - А1,А3,А5,Б2,Г7]]</f>
        <v>99518.974262856558</v>
      </c>
      <c r="BW66" s="9"/>
      <c r="BX66" s="9">
        <f>ППД5[[#This Row],[Наценка 06.06.24
0К: В2,Г3 +0,5%
1К: А7, Б5/4, Г6 +0,5%
3К: В6 +0,5%
1К: А3 +1%]]+ППД5[[#This Row],[Фикс 24.05.24]]</f>
        <v>99518.974262856558</v>
      </c>
      <c r="BY66" s="9"/>
      <c r="BZ66" s="9">
        <f>ППД5[[#This Row],[Фикс 06.06.24]]+ППД5[[#This Row],[13.06.2024
3К - 2%]]</f>
        <v>99518.974262856558</v>
      </c>
      <c r="CA66" s="9"/>
      <c r="CB66" s="9">
        <f>ППД5[[#This Row],[02.07.2024: Г3 А1 А3 Б5 Б7 Г2 Г6 Б3 Б4 В3 Г7 2,5% ост 0,5-1,5%]]+ППД5[[#This Row],[Фикс 13.06.24]]</f>
        <v>99518.974262856558</v>
      </c>
      <c r="CC66" s="9"/>
      <c r="CD66" s="9">
        <f>ППД5[[#This Row],[Фикс 02.07.24]]+ППД5[[#This Row],[04.09.2024 +500
0К - Б2; 1К - А3;
2К - А6, Б4, В3, Г5]]</f>
        <v>99518.974262856558</v>
      </c>
      <c r="CE66" s="9"/>
      <c r="CF66" s="9">
        <f>ППД5[[#This Row],[Наценка 16.09.2024
1К: А1,В7,Г6/7,Г8 - 2%
2К: А4,А5,А6,Б1,Б6,Б3/4,В3,В4,Г4,Г5 - 4%
3К: 4%]]+ППД5[[#This Row],[Фикс 04.09.24]]</f>
        <v>99518.974262856558</v>
      </c>
      <c r="CG66" s="9"/>
      <c r="CH66" s="9">
        <f>ППД5[[#This Row],[Фикс 16.09.2024]]+ППД5[[#This Row],[Наценка 01.11.24
СТ: 4%
1К: 34-40м 5%; 40м+ 8%; МГН 1%
2К: 55-70м 6%; 70-73м 7%; 73-76м 8% 
3К: 5%]]</f>
        <v>99518.974262856558</v>
      </c>
      <c r="CI66" s="9"/>
      <c r="CJ66" s="9">
        <f>ППД5[[#This Row],[Наценка 06.11 13%]]+ППД5[[#This Row],[Фикс 01.11.24]]</f>
        <v>99518.974262856558</v>
      </c>
      <c r="CK66" s="9"/>
      <c r="CL66" s="9">
        <f>ППД5[[#This Row],[Фикс 06.11.24]]+ППД5[[#This Row],[Наценка 18.12.24 распределение КВ]]</f>
        <v>99518.974262856558</v>
      </c>
      <c r="CM66" s="9"/>
      <c r="CN66" s="9">
        <f>ППД5[[#This Row],[Фикс 18.12.24]]+ППД5[[#This Row],[Наценка 10.02.25 +1%
1К: А3
2К: Б3, В3]]</f>
        <v>99518.974262856558</v>
      </c>
      <c r="CO66" s="93">
        <f>ROUND(ППД5[[#This Row],[Фикс 10.02.25]],2)</f>
        <v>99518.97</v>
      </c>
      <c r="CP6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6817100</v>
      </c>
      <c r="CQ66" s="93">
        <f>ROUNDUP(ППД5[[#This Row],[Стоимость до скидки]]+ППД5[[#This Row],[Сумма доплаты]],-2)</f>
        <v>6767400</v>
      </c>
      <c r="CR66" s="68">
        <v>100000</v>
      </c>
      <c r="CS66" s="90"/>
      <c r="CT66" s="68">
        <f>ППД5[[#This Row],[Стоимость до скидки]]*ППД5[[#This Row],[Скидка %]]+ППД5[[#This Row],[Скидка фиксированная]]</f>
        <v>100000</v>
      </c>
      <c r="CU66" s="3">
        <f>ППД5[[#This Row],[Стоимость ОН без отделки со скидкой]]/ППД5[[#This Row],[Расчетная проектная площадь]]</f>
        <v>98059.854014598546</v>
      </c>
      <c r="CV66" s="3">
        <f>ROUND(ППД5[[#This Row],[Стоимость до скидки]]-ППД5[[#This Row],[Итоговая сумма скидки]],2)</f>
        <v>6717100</v>
      </c>
      <c r="CW6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66" s="197">
        <v>7000</v>
      </c>
      <c r="CY66" s="332">
        <f>ППД5[[#This Row],[Расхождение]]/ППД5[[#This Row],[Расчетная проектная площадь]]</f>
        <v>-7.2992700729927005E-3</v>
      </c>
      <c r="CZ6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-0.14000000000000412</v>
      </c>
      <c r="DA66" s="3">
        <f>ППД5[[#This Row],[Цена м2 без отделки со скидкой]]+ППД5[[#This Row],[Стоимость отделки]]</f>
        <v>105059.85401459855</v>
      </c>
      <c r="DB66" s="3">
        <f>ППД5[[#This Row],[Стоимость квартиры с отделкой]]-ППД5[[#This Row],[Стоимость ОН без отделки со скидкой]]</f>
        <v>479500</v>
      </c>
      <c r="DC66" s="3">
        <f>ППД5[[#This Row],[Цена м2 с отделкой]]*ППД5[[#This Row],[Расчетная проектная площадь]]</f>
        <v>7196600</v>
      </c>
      <c r="DD66" s="3"/>
      <c r="DE66" s="111" t="s">
        <v>803</v>
      </c>
      <c r="DF66" s="199" t="s">
        <v>172</v>
      </c>
      <c r="DG66" s="245" t="s">
        <v>172</v>
      </c>
      <c r="DH66" s="100" t="b">
        <f>EXACT(ППД5[[#This Row],[Статусы CRM]],ППД5[[#This Row],[Статус]])</f>
        <v>1</v>
      </c>
      <c r="DI66" s="213" t="s">
        <v>238</v>
      </c>
      <c r="DJ66" s="204"/>
      <c r="DK66" s="111" t="s">
        <v>763</v>
      </c>
      <c r="DL66" s="216" t="s">
        <v>780</v>
      </c>
      <c r="DM66" s="201" t="b">
        <f>ППД5[[#This Row],[Отделка CRM]]=ППД5[[#This Row],[Отделка]]</f>
        <v>1</v>
      </c>
      <c r="DN66" s="203">
        <v>7196600</v>
      </c>
      <c r="DO6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66" s="207" t="b">
        <f>IF(AND(ППД5[[#This Row],[Статус]]="свободно",ППД5[[#This Row],[Итоговая сумма скидки]]&lt;&gt;0),FALSE,TRUE)</f>
        <v>1</v>
      </c>
      <c r="DQ66" s="240">
        <f>_xlfn.XLOOKUP(ППД5[[#This Row],[№]],Юрист[№ кв],Юрист[Дата подачи на регистрацию]," ",0,-1)</f>
        <v>45464</v>
      </c>
      <c r="DR66" s="115" t="str">
        <f>_xlfn.XLOOKUP(ППД5[[#This Row],[№]],Юрист[№ кв],Юрист[МОП],"",0,-1)</f>
        <v>Полехович</v>
      </c>
      <c r="DS66" s="333" t="s">
        <v>2424</v>
      </c>
      <c r="DT66" s="333" t="s">
        <v>2425</v>
      </c>
      <c r="DU66" s="333">
        <v>66.5</v>
      </c>
      <c r="DV66" s="111"/>
    </row>
    <row r="67" spans="1:126" hidden="1" x14ac:dyDescent="0.25">
      <c r="A67" s="112">
        <v>65</v>
      </c>
      <c r="B67" s="111" t="s">
        <v>5</v>
      </c>
      <c r="C67" s="111">
        <v>10</v>
      </c>
      <c r="D67" s="111">
        <v>3</v>
      </c>
      <c r="E67" s="111">
        <v>1</v>
      </c>
      <c r="F67" s="105">
        <v>13.6</v>
      </c>
      <c r="G67" s="105"/>
      <c r="H67" s="105"/>
      <c r="I67" s="94">
        <f>SUM(ППД5[[#This Row],[Комната 1]:[Комната 3]])</f>
        <v>13.6</v>
      </c>
      <c r="J67" s="105">
        <v>14.97</v>
      </c>
      <c r="K67" s="105">
        <v>4.1100000000000003</v>
      </c>
      <c r="L67" s="105"/>
      <c r="M67" s="105"/>
      <c r="N67" s="105">
        <v>3.7</v>
      </c>
      <c r="O67" s="105">
        <v>2.69</v>
      </c>
      <c r="P67" s="105"/>
      <c r="Q67" s="105"/>
      <c r="R67" s="105">
        <f>SUM(ППД5[[#This Row],[Лоджия 1]:[Лоджия 3]])</f>
        <v>2.69</v>
      </c>
      <c r="S67" s="7">
        <f>ROUND(SUM(ППД5[[#This Row],[Площадь по проекту жилая]:[Лоджия 3]]),2)</f>
        <v>39.07</v>
      </c>
      <c r="T67" s="7">
        <f>ROUND(ППД5[[#This Row],[Площадь по проекту(общая)]]-ППД5[[#This Row],[Летние]],2)</f>
        <v>36.380000000000003</v>
      </c>
      <c r="U67" s="92">
        <f>ROUND(ППД5[[#This Row],[Площадь по проекту(общая)]]-(SUM(ППД5[[#This Row],[Лоджия 1]:[Лоджия 3]])/2),2)</f>
        <v>37.729999999999997</v>
      </c>
      <c r="V67" s="92">
        <f>IF(ППД5[[#This Row],[Статус]]="продажа",ППД5[[#This Row],[Расчетная проектная площадь]],ППД5[[#This Row],[Расчетная ТП площадь]])</f>
        <v>37.650000000000006</v>
      </c>
      <c r="W67" s="92">
        <v>14</v>
      </c>
      <c r="X67" s="92"/>
      <c r="Y67" s="92"/>
      <c r="Z67" s="92">
        <f>SUM(ППД5[[#This Row],[ТП Комната 1]:[ТП Комната 3]])</f>
        <v>14</v>
      </c>
      <c r="AA67" s="92">
        <v>14.9</v>
      </c>
      <c r="AB67" s="92">
        <v>3.7</v>
      </c>
      <c r="AC67" s="92"/>
      <c r="AD67" s="92"/>
      <c r="AE67" s="92">
        <v>3.7</v>
      </c>
      <c r="AF67" s="91">
        <v>1.35</v>
      </c>
      <c r="AG67" s="92"/>
      <c r="AH67" s="92"/>
      <c r="AI67" s="91">
        <f>SUM(ППД5[[#This Row],[ТП Лоджия 1]:[ТП Лоджия 3]])</f>
        <v>1.35</v>
      </c>
      <c r="AJ67" s="95">
        <v>2.7</v>
      </c>
      <c r="AK67" s="92">
        <f>SUM(ППД5[[#This Row],[Площадь по ТП жилая]:[ТП Лоджия 3]])-ППД5[[#This Row],[ТП Летние]]+ППД5[[#This Row],[кроме того прочая
(без коэффициента)]]</f>
        <v>39.000000000000007</v>
      </c>
      <c r="AL67" s="95">
        <f>ППД5[[#This Row],[ТП Площадь без летних]]+(ППД5[[#This Row],[ТП Летние]])</f>
        <v>37.650000000000006</v>
      </c>
      <c r="AM67" s="92">
        <f>ППД5[[#This Row],[ТП общая S]]-ППД5[[#This Row],[кроме того прочая
(без коэффициента)]]</f>
        <v>36.300000000000004</v>
      </c>
      <c r="AN67" s="95">
        <f>SUM(ППД5[[#This Row],[ТП Кухня]:[ТП Коридор]])</f>
        <v>22.3</v>
      </c>
      <c r="AO67" s="91">
        <f>ППД5[[#This Row],[Расчетная ТП площадь]]-ППД5[[#This Row],[Расчетная проектная площадь]]</f>
        <v>-7.9999999999991189E-2</v>
      </c>
      <c r="AP67" s="335">
        <f>ППД5[[#This Row],[Расчетная ТП площадь]]/ППД5[[#This Row],[Расчетная проектная площадь]]-1</f>
        <v>-2.1203286509406949E-3</v>
      </c>
      <c r="AQ67" s="92">
        <f>ППД5[[#This Row],[% расхождения]]*ППД5[[#This Row],[Стоимость до скидки]]</f>
        <v>-11821.044261859468</v>
      </c>
      <c r="AR67" s="92">
        <f>VLOOKUP(ППД5[[#This Row],[№]],наценкад5[],COLUMN(наценкад5[[#This Row],[Цена м2 с учетом всех K]]),0)</f>
        <v>87601.5</v>
      </c>
      <c r="AS67" s="7">
        <f>ППД5[[#This Row],[м2 после К]]*5%</f>
        <v>4380.0749999999998</v>
      </c>
      <c r="AT67" s="7">
        <f>ППД5[[#This Row],[м2 после К]]+ППД5[[#This Row],[Повышение 16.08.23 - 5%]]</f>
        <v>91981.574999999997</v>
      </c>
      <c r="AU67" s="9">
        <f>ППД5[[#This Row],[Фикс 16.08.23]]*3%</f>
        <v>2759.4472499999997</v>
      </c>
      <c r="AV67" s="9">
        <f>ППД5[[#This Row],[Фикс 16.08.23]]+ППД5[[#This Row],[Повышение 29.08.23 - 3%]]</f>
        <v>94741.022249999995</v>
      </c>
      <c r="AW67" s="93">
        <f>ППД5[[#This Row],[Фикс 29.08.23]]*7%</f>
        <v>6631.8715575000006</v>
      </c>
      <c r="AX67" s="9">
        <f>ППД5[[#This Row],[Фикс 29.08.23]]+ППД5[[#This Row],[Повышение 06.09.23 СТ и 1К]]</f>
        <v>101372.89380749999</v>
      </c>
      <c r="AY67" s="9"/>
      <c r="AZ67" s="9">
        <f>ППД5[[#This Row],[Повышение 23.10.23  В4 ]]+ППД5[[#This Row],[Фикс 06.09.23]]</f>
        <v>101372.89380749999</v>
      </c>
      <c r="BA67" s="93">
        <f>ППД5[[#This Row],[Фикс 23.10.23]]*5%</f>
        <v>5068.6446903750002</v>
      </c>
      <c r="BB67" s="93">
        <f>ППД5[[#This Row],[Повышение 8.11.23 1К 5%]]+ППД5[[#This Row],[Фикс 23.10.23]]</f>
        <v>106441.53849787499</v>
      </c>
      <c r="BC67" s="93"/>
      <c r="BD67" s="93">
        <f>ППД5[[#This Row],[Корректировка 24.11.23 - 1К В5, 2К А2, №233]]+ППД5[[#This Row],[Фикс 8.11.23]]</f>
        <v>106441.53849787499</v>
      </c>
      <c r="BE67" s="93">
        <f>ППД5[[#This Row],[Фикс 8.11.24]]*1%</f>
        <v>1064.4153849787499</v>
      </c>
      <c r="BF67" s="93">
        <f>ППД5[[#This Row],[Наценка за отделку 29.12.23 1%]]+ППД5[[#This Row],[Фикс 8.11.24]]</f>
        <v>107505.95388285375</v>
      </c>
      <c r="BG67" s="93">
        <f>ППД5[[#This Row],[Фикс 29.12.23]]*5%</f>
        <v>5375.2976941426878</v>
      </c>
      <c r="BH67" s="93">
        <f>ППД5[[#This Row],[Фикс 29.12.23]]+ППД5[[#This Row],[Наценка 10.01.24 5%]]</f>
        <v>112881.25157699644</v>
      </c>
      <c r="BI67" s="93"/>
      <c r="BJ67" s="93">
        <f>ППД5[[#This Row],[Наценка 26.02.24 1 Этаж]]+ППД5[[#This Row],[Фикс 10.01.24]]</f>
        <v>112881.25157699644</v>
      </c>
      <c r="BK67" s="93">
        <f>ППД5[[#This Row],[Фикс 26.02.24]]*3%</f>
        <v>3386.437547309893</v>
      </c>
      <c r="BL67" s="93">
        <f>ППД5[[#This Row],[Фикс 26.02.24]]+ППД5[[#This Row],[Наценка 06.03.24
СТ, 1К - 3%
2К, 3К - 2%]]</f>
        <v>116267.68912430633</v>
      </c>
      <c r="BM67" s="93"/>
      <c r="BN67" s="93">
        <f>ППД5[[#This Row],[Фикс 06.03.24]]+ППД5[[#This Row],[Наценка Г2+500]]</f>
        <v>116267.68912430633</v>
      </c>
      <c r="BO67" s="93"/>
      <c r="BP67" s="93">
        <f>ППД5[[#This Row],[Фикс 13.03.25]]+ППД5[[#This Row],[Наценка 20.03.24
2К, 3К - 2%]]</f>
        <v>116267.68912430633</v>
      </c>
      <c r="BQ67" s="93"/>
      <c r="BR67" s="93">
        <f>ППД5[[#This Row],[Фикс 20.03.24]]+ППД5[[#This Row],[Наценка 08.04.24 
2К: В3 - 150
3К: Г7 +1000]]</f>
        <v>116267.68912430633</v>
      </c>
      <c r="BS67" s="93"/>
      <c r="BT67" s="93">
        <f>ППД5[[#This Row],[Фикс 08.04.24]]+ППД5[[#This Row],[Наценка 16.05.24 1%
А4,А6,Б3,Б6,Б7,В2,В3,В5,В6,Г1,Г3-Г5]]</f>
        <v>116267.68912430633</v>
      </c>
      <c r="BU67" s="93">
        <f>ППД5[[#This Row],[Фикс 16.05.24]]*2%</f>
        <v>2325.3537824861264</v>
      </c>
      <c r="BV67" s="93">
        <f>ППД5[[#This Row],[Фикс 16.05.24]]+ППД5[[#This Row],[Наценка 24.05.24
1% - Б4, Б5,Г2,Г6
2% - А1,А3,А5,Б2,Г7]]</f>
        <v>118593.04290679246</v>
      </c>
      <c r="BW67" s="93">
        <f>ППД5[[#This Row],[Фикс 24.05.24]]*1%</f>
        <v>1185.9304290679245</v>
      </c>
      <c r="BX67" s="93">
        <f>ППД5[[#This Row],[Наценка 06.06.24
0К: В2,Г3 +0,5%
1К: А7, Б5/4, Г6 +0,5%
3К: В6 +0,5%
1К: А3 +1%]]+ППД5[[#This Row],[Фикс 24.05.24]]</f>
        <v>119778.97333586038</v>
      </c>
      <c r="BY67" s="93"/>
      <c r="BZ67" s="93">
        <f>ППД5[[#This Row],[Фикс 06.06.24]]+ППД5[[#This Row],[13.06.2024
3К - 2%]]</f>
        <v>119778.97333586038</v>
      </c>
      <c r="CA67" s="93">
        <f>2.5%*ППД5[[#This Row],[Фикс 13.06.24]]</f>
        <v>2994.4743333965098</v>
      </c>
      <c r="CB67" s="93">
        <f>ППД5[[#This Row],[02.07.2024: Г3 А1 А3 Б5 Б7 Г2 Г6 Б3 Б4 В3 Г7 2,5% ост 0,5-1,5%]]+ППД5[[#This Row],[Фикс 13.06.24]]</f>
        <v>122773.4476692569</v>
      </c>
      <c r="CC67" s="93">
        <v>500</v>
      </c>
      <c r="CD67" s="93">
        <f>ППД5[[#This Row],[Фикс 02.07.24]]+ППД5[[#This Row],[04.09.2024 +500
0К - Б2; 1К - А3;
2К - А6, Б4, В3, Г5]]</f>
        <v>123273.4476692569</v>
      </c>
      <c r="CE67" s="93"/>
      <c r="CF67" s="93">
        <f>ППД5[[#This Row],[Наценка 16.09.2024
1К: А1,В7,Г6/7,Г8 - 2%
2К: А4,А5,А6,Б1,Б6,Б3/4,В3,В4,Г4,Г5 - 4%
3К: 4%]]+ППД5[[#This Row],[Фикс 04.09.24]]</f>
        <v>123273.4476692569</v>
      </c>
      <c r="CG67" s="93">
        <f>ППД5[[#This Row],[Фикс 16.09.2024]]*5%</f>
        <v>6163.6723834628456</v>
      </c>
      <c r="CH67" s="93">
        <f>ППД5[[#This Row],[Фикс 16.09.2024]]+ППД5[[#This Row],[Наценка 01.11.24
СТ: 4%
1К: 34-40м 5%; 40м+ 8%; МГН 1%
2К: 55-70м 6%; 70-73м 7%; 73-76м 8% 
3К: 5%]]</f>
        <v>129437.12005271975</v>
      </c>
      <c r="CI67" s="93">
        <f>ППД5[[#This Row],[Фикс 01.11.24]]*13%</f>
        <v>16826.825606853567</v>
      </c>
      <c r="CJ67" s="93">
        <f>ППД5[[#This Row],[Наценка 06.11 13%]]+ППД5[[#This Row],[Фикс 01.11.24]]</f>
        <v>146263.94565957331</v>
      </c>
      <c r="CK67" s="93">
        <v>35</v>
      </c>
      <c r="CL67" s="93">
        <f>ППД5[[#This Row],[Фикс 06.11.24]]+ППД5[[#This Row],[Наценка 18.12.24 распределение КВ]]</f>
        <v>146298.94565957331</v>
      </c>
      <c r="CM67" s="93">
        <f>ППД5[[#This Row],[Фикс 18.12.24]]*1%</f>
        <v>1462.9894565957331</v>
      </c>
      <c r="CN67" s="93">
        <f>ППД5[[#This Row],[Фикс 18.12.24]]+ППД5[[#This Row],[Наценка 10.02.25 +1%
1К: А3
2К: Б3, В3]]</f>
        <v>147761.93511616904</v>
      </c>
      <c r="CO67" s="93">
        <f>ROUND(ППД5[[#This Row],[Фикс 10.02.25]],2)</f>
        <v>147761.94</v>
      </c>
      <c r="CP6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5575100</v>
      </c>
      <c r="CQ67" s="93">
        <f>ROUNDUP(ППД5[[#This Row],[Стоимость до скидки]]+ППД5[[#This Row],[Сумма доплаты]],-2)</f>
        <v>5563300</v>
      </c>
      <c r="CR67" s="68"/>
      <c r="CS67" s="90"/>
      <c r="CT67" s="68">
        <f>ППД5[[#This Row],[Стоимость до скидки]]*ППД5[[#This Row],[Скидка %]]+ППД5[[#This Row],[Скидка фиксированная]]</f>
        <v>0</v>
      </c>
      <c r="CU67" s="3">
        <f>ППД5[[#This Row],[Стоимость ОН без отделки со скидкой]]/ППД5[[#This Row],[Расчетная проектная площадь]]</f>
        <v>147763.05327325736</v>
      </c>
      <c r="CV67" s="3">
        <f>ROUND(ППД5[[#This Row],[Стоимость до скидки]]-ППД5[[#This Row],[Итоговая сумма скидки]],2)</f>
        <v>5575100</v>
      </c>
      <c r="CW6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67" s="218">
        <v>10000</v>
      </c>
      <c r="CY67" s="332">
        <f>ППД5[[#This Row],[Расхождение]]/ППД5[[#This Row],[Расчетная проектная площадь]]</f>
        <v>-2.1203286509406624E-3</v>
      </c>
      <c r="CZ67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-0.47999999999999865</v>
      </c>
      <c r="DA67" s="3">
        <f>ППД5[[#This Row],[Цена м2 без отделки со скидкой]]+ППД5[[#This Row],[Стоимость отделки]]</f>
        <v>157763.05327325736</v>
      </c>
      <c r="DB67" s="3">
        <f>ППД5[[#This Row],[Стоимость квартиры с отделкой]]-ППД5[[#This Row],[Стоимость ОН без отделки со скидкой]]</f>
        <v>377300</v>
      </c>
      <c r="DC67" s="3">
        <f>ППД5[[#This Row],[Цена м2 с отделкой]]*ППД5[[#This Row],[Расчетная проектная площадь]]</f>
        <v>5952400</v>
      </c>
      <c r="DD67" s="3"/>
      <c r="DF67" s="155" t="s">
        <v>157</v>
      </c>
      <c r="DG67" s="221" t="s">
        <v>157</v>
      </c>
      <c r="DH67" s="100" t="b">
        <f>EXACT(ППД5[[#This Row],[Статусы CRM]],ППД5[[#This Row],[Статус]])</f>
        <v>1</v>
      </c>
      <c r="DI67" s="213" t="s">
        <v>239</v>
      </c>
      <c r="DJ67" s="204"/>
      <c r="DK67" s="111" t="s">
        <v>763</v>
      </c>
      <c r="DL67" s="216" t="s">
        <v>780</v>
      </c>
      <c r="DM67" s="201" t="b">
        <f>ППД5[[#This Row],[Отделка CRM]]=ППД5[[#This Row],[Отделка]]</f>
        <v>1</v>
      </c>
      <c r="DN67" s="203">
        <v>5952400</v>
      </c>
      <c r="DO6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67" s="207" t="b">
        <f>IF(AND(ППД5[[#This Row],[Статус]]="свободно",ППД5[[#This Row],[Итоговая сумма скидки]]&lt;&gt;0),FALSE,TRUE)</f>
        <v>1</v>
      </c>
      <c r="DQ67" s="240" t="str">
        <f>_xlfn.XLOOKUP(ППД5[[#This Row],[№]],Юрист[№ кв],Юрист[Дата подачи на регистрацию]," ",0,-1)</f>
        <v xml:space="preserve"> </v>
      </c>
      <c r="DR67" s="115" t="str">
        <f>_xlfn.XLOOKUP(ППД5[[#This Row],[№]],Юрист[№ кв],Юрист[МОП],"",0,-1)</f>
        <v/>
      </c>
      <c r="DS67" s="333" t="s">
        <v>2426</v>
      </c>
      <c r="DT67" s="333" t="s">
        <v>2427</v>
      </c>
      <c r="DU67" s="333">
        <v>36.299999999999997</v>
      </c>
      <c r="DV67" s="111"/>
    </row>
    <row r="68" spans="1:126" hidden="1" x14ac:dyDescent="0.25">
      <c r="A68" s="112">
        <v>66</v>
      </c>
      <c r="B68" s="111" t="s">
        <v>5</v>
      </c>
      <c r="C68" s="111">
        <v>10</v>
      </c>
      <c r="D68" s="111">
        <v>4</v>
      </c>
      <c r="E68" s="111">
        <v>2</v>
      </c>
      <c r="F68" s="105">
        <v>16.61</v>
      </c>
      <c r="G68" s="105">
        <v>11.38</v>
      </c>
      <c r="H68" s="105"/>
      <c r="I68" s="94">
        <f>SUM(ППД5[[#This Row],[Комната 1]:[Комната 3]])</f>
        <v>27.990000000000002</v>
      </c>
      <c r="J68" s="105">
        <v>14.58</v>
      </c>
      <c r="K68" s="105">
        <v>4.34</v>
      </c>
      <c r="L68" s="105">
        <v>2.08</v>
      </c>
      <c r="M68" s="105"/>
      <c r="N68" s="105">
        <v>8.82</v>
      </c>
      <c r="O68" s="105">
        <v>2.56</v>
      </c>
      <c r="P68" s="105"/>
      <c r="Q68" s="105"/>
      <c r="R68" s="105">
        <f>SUM(ППД5[[#This Row],[Лоджия 1]:[Лоджия 3]])</f>
        <v>2.56</v>
      </c>
      <c r="S68" s="7">
        <f>ROUND(SUM(ППД5[[#This Row],[Площадь по проекту жилая]:[Лоджия 3]]),2)</f>
        <v>60.37</v>
      </c>
      <c r="T68" s="7">
        <f>ROUND(ППД5[[#This Row],[Площадь по проекту(общая)]]-ППД5[[#This Row],[Летние]],2)</f>
        <v>57.81</v>
      </c>
      <c r="U68" s="92">
        <f>ROUND(ППД5[[#This Row],[Площадь по проекту(общая)]]-(SUM(ППД5[[#This Row],[Лоджия 1]:[Лоджия 3]])/2),2)</f>
        <v>59.09</v>
      </c>
      <c r="V68" s="92">
        <f>IF(ППД5[[#This Row],[Статус]]="продажа",ППД5[[#This Row],[Расчетная проектная площадь]],ППД5[[#This Row],[Расчетная ТП площадь]])</f>
        <v>59.09</v>
      </c>
      <c r="W68" s="92">
        <v>16.600000000000001</v>
      </c>
      <c r="X68" s="92">
        <v>11.4</v>
      </c>
      <c r="Y68" s="92"/>
      <c r="Z68" s="92">
        <f>SUM(ППД5[[#This Row],[ТП Комната 1]:[ТП Комната 3]])</f>
        <v>28</v>
      </c>
      <c r="AA68" s="92">
        <v>14.6</v>
      </c>
      <c r="AB68" s="92">
        <v>4.4000000000000004</v>
      </c>
      <c r="AC68" s="92">
        <v>2.1</v>
      </c>
      <c r="AD68" s="92"/>
      <c r="AE68" s="92">
        <v>9</v>
      </c>
      <c r="AF68" s="92">
        <v>1.3</v>
      </c>
      <c r="AG68" s="92"/>
      <c r="AH68" s="92"/>
      <c r="AI68" s="91">
        <f>SUM(ППД5[[#This Row],[ТП Лоджия 1]:[ТП Лоджия 3]])</f>
        <v>1.3</v>
      </c>
      <c r="AJ68" s="95">
        <v>2.6</v>
      </c>
      <c r="AK68" s="92">
        <f>SUM(ППД5[[#This Row],[Площадь по ТП жилая]:[ТП Лоджия 3]])-ППД5[[#This Row],[ТП Летние]]+ППД5[[#This Row],[кроме того прочая
(без коэффициента)]]</f>
        <v>60.7</v>
      </c>
      <c r="AL68" s="95">
        <f>ППД5[[#This Row],[ТП Площадь без летних]]+(ППД5[[#This Row],[ТП Летние]])</f>
        <v>59.4</v>
      </c>
      <c r="AM68" s="92">
        <f>ППД5[[#This Row],[ТП общая S]]-ППД5[[#This Row],[кроме того прочая
(без коэффициента)]]</f>
        <v>58.1</v>
      </c>
      <c r="AN68" s="95">
        <f>SUM(ППД5[[#This Row],[ТП Кухня]:[ТП Коридор]])</f>
        <v>30.1</v>
      </c>
      <c r="AO68" s="91">
        <f>ППД5[[#This Row],[Расчетная ТП площадь]]-ППД5[[#This Row],[Расчетная проектная площадь]]</f>
        <v>0.30999999999999517</v>
      </c>
      <c r="AP68" s="335">
        <f>ППД5[[#This Row],[Расчетная ТП площадь]]/ППД5[[#This Row],[Расчетная проектная площадь]]-1</f>
        <v>5.2462345574546543E-3</v>
      </c>
      <c r="AQ68" s="92">
        <f>ППД5[[#This Row],[% расхождения]]*ППД5[[#This Row],[Стоимость до скидки]]</f>
        <v>30454.391606024266</v>
      </c>
      <c r="AR68" s="92">
        <f>VLOOKUP(ППД5[[#This Row],[№]],наценкад5[],COLUMN(наценкад5[[#This Row],[Цена м2 с учетом всех K]]),0)</f>
        <v>80307.864000000001</v>
      </c>
      <c r="AS68" s="7">
        <f>ППД5[[#This Row],[м2 после К]]*5%</f>
        <v>4015.3932000000004</v>
      </c>
      <c r="AT68" s="7">
        <f>ППД5[[#This Row],[м2 после К]]+ППД5[[#This Row],[Повышение 16.08.23 - 5%]]</f>
        <v>84323.257200000007</v>
      </c>
      <c r="AU68" s="9">
        <f>ППД5[[#This Row],[Фикс 16.08.23]]*3%</f>
        <v>2529.6977160000001</v>
      </c>
      <c r="AV68" s="9">
        <f>ППД5[[#This Row],[Фикс 16.08.23]]+ППД5[[#This Row],[Повышение 29.08.23 - 3%]]</f>
        <v>86852.954916000002</v>
      </c>
      <c r="AW68" s="9"/>
      <c r="AX68" s="9">
        <f>ППД5[[#This Row],[Фикс 29.08.23]]+ППД5[[#This Row],[Повышение 06.09.23 СТ и 1К]]</f>
        <v>86852.954916000002</v>
      </c>
      <c r="AY68" s="9"/>
      <c r="AZ68" s="9">
        <f>ППД5[[#This Row],[Повышение 23.10.23  В4 ]]+ППД5[[#This Row],[Фикс 06.09.23]]</f>
        <v>86852.954916000002</v>
      </c>
      <c r="BA68" s="9"/>
      <c r="BB68" s="9">
        <f>ППД5[[#This Row],[Повышение 8.11.23 1К 5%]]+ППД5[[#This Row],[Фикс 23.10.23]]</f>
        <v>86852.954916000002</v>
      </c>
      <c r="BC68" s="9"/>
      <c r="BD68" s="9">
        <f>ППД5[[#This Row],[Корректировка 24.11.23 - 1К В5, 2К А2, №233]]+ППД5[[#This Row],[Фикс 8.11.23]]</f>
        <v>86852.954916000002</v>
      </c>
      <c r="BE68" s="93">
        <f>ППД5[[#This Row],[Фикс 8.11.24]]*1%</f>
        <v>868.52954915999999</v>
      </c>
      <c r="BF68" s="9">
        <f>ППД5[[#This Row],[Наценка за отделку 29.12.23 1%]]+ППД5[[#This Row],[Фикс 8.11.24]]</f>
        <v>87721.48446516</v>
      </c>
      <c r="BG68" s="93">
        <f>ППД5[[#This Row],[Фикс 29.12.23]]*5%</f>
        <v>4386.0742232580005</v>
      </c>
      <c r="BH68" s="9">
        <f>ППД5[[#This Row],[Фикс 29.12.23]]+ППД5[[#This Row],[Наценка 10.01.24 5%]]</f>
        <v>92107.558688417994</v>
      </c>
      <c r="BI68" s="9"/>
      <c r="BJ68" s="9">
        <f>ППД5[[#This Row],[Наценка 26.02.24 1 Этаж]]+ППД5[[#This Row],[Фикс 10.01.24]]</f>
        <v>92107.558688417994</v>
      </c>
      <c r="BK68" s="93">
        <f>ППД5[[#This Row],[Фикс 26.02.24]]*2%</f>
        <v>1842.15117376836</v>
      </c>
      <c r="BL68" s="9">
        <f>ППД5[[#This Row],[Фикс 26.02.24]]+ППД5[[#This Row],[Наценка 06.03.24
СТ, 1К - 3%
2К, 3К - 2%]]</f>
        <v>93949.709862186355</v>
      </c>
      <c r="BM68" s="9"/>
      <c r="BN68" s="9">
        <f>ППД5[[#This Row],[Фикс 06.03.24]]+ППД5[[#This Row],[Наценка Г2+500]]</f>
        <v>93949.709862186355</v>
      </c>
      <c r="BO68" s="9">
        <f>ППД5[[#This Row],[Фикс 13.03.25]]*2%</f>
        <v>1878.9941972437271</v>
      </c>
      <c r="BP68" s="9">
        <f>ППД5[[#This Row],[Фикс 13.03.25]]+ППД5[[#This Row],[Наценка 20.03.24
2К, 3К - 2%]]</f>
        <v>95828.704059430078</v>
      </c>
      <c r="BQ68" s="9"/>
      <c r="BR68" s="9">
        <f>ППД5[[#This Row],[Фикс 20.03.24]]+ППД5[[#This Row],[Наценка 08.04.24 
2К: В3 - 150
3К: Г7 +1000]]</f>
        <v>95828.704059430078</v>
      </c>
      <c r="BS68" s="93">
        <f>ППД5[[#This Row],[Фикс 08.04.24]]*1%</f>
        <v>958.28704059430083</v>
      </c>
      <c r="BT68" s="9">
        <f>ППД5[[#This Row],[Фикс 08.04.24]]+ППД5[[#This Row],[Наценка 16.05.24 1%
А4,А6,Б3,Б6,Б7,В2,В3,В5,В6,Г1,Г3-Г5]]</f>
        <v>96786.991100024374</v>
      </c>
      <c r="BU68" s="9"/>
      <c r="BV68" s="9">
        <f>ППД5[[#This Row],[Фикс 16.05.24]]+ППД5[[#This Row],[Наценка 24.05.24
1% - Б4, Б5,Г2,Г6
2% - А1,А3,А5,Б2,Г7]]</f>
        <v>96786.991100024374</v>
      </c>
      <c r="BW68" s="9"/>
      <c r="BX68" s="9">
        <f>ППД5[[#This Row],[Наценка 06.06.24
0К: В2,Г3 +0,5%
1К: А7, Б5/4, Г6 +0,5%
3К: В6 +0,5%
1К: А3 +1%]]+ППД5[[#This Row],[Фикс 24.05.24]]</f>
        <v>96786.991100024374</v>
      </c>
      <c r="BY68" s="9"/>
      <c r="BZ68" s="9">
        <f>ППД5[[#This Row],[Фикс 06.06.24]]+ППД5[[#This Row],[13.06.2024
3К - 2%]]</f>
        <v>96786.991100024374</v>
      </c>
      <c r="CA68" s="9">
        <f>1.5%*ППД5[[#This Row],[Фикс 13.06.24]]</f>
        <v>1451.8048665003655</v>
      </c>
      <c r="CB68" s="9">
        <f>ППД5[[#This Row],[02.07.2024: Г3 А1 А3 Б5 Б7 Г2 Г6 Б3 Б4 В3 Г7 2,5% ост 0,5-1,5%]]+ППД5[[#This Row],[Фикс 13.06.24]]</f>
        <v>98238.795966524733</v>
      </c>
      <c r="CC68" s="9"/>
      <c r="CD68" s="9">
        <f>ППД5[[#This Row],[Фикс 02.07.24]]+ППД5[[#This Row],[04.09.2024 +500
0К - Б2; 1К - А3;
2К - А6, Б4, В3, Г5]]</f>
        <v>98238.795966524733</v>
      </c>
      <c r="CE68" s="9"/>
      <c r="CF68" s="9">
        <f>ППД5[[#This Row],[Наценка 16.09.2024
1К: А1,В7,Г6/7,Г8 - 2%
2К: А4,А5,А6,Б1,Б6,Б3/4,В3,В4,Г4,Г5 - 4%
3К: 4%]]+ППД5[[#This Row],[Фикс 04.09.24]]</f>
        <v>98238.795966524733</v>
      </c>
      <c r="CG68" s="9"/>
      <c r="CH68" s="9">
        <f>ППД5[[#This Row],[Фикс 16.09.2024]]+ППД5[[#This Row],[Наценка 01.11.24
СТ: 4%
1К: 34-40м 5%; 40м+ 8%; МГН 1%
2К: 55-70м 6%; 70-73м 7%; 73-76м 8% 
3К: 5%]]</f>
        <v>98238.795966524733</v>
      </c>
      <c r="CI68" s="9"/>
      <c r="CJ68" s="9">
        <f>ППД5[[#This Row],[Наценка 06.11 13%]]+ППД5[[#This Row],[Фикс 01.11.24]]</f>
        <v>98238.795966524733</v>
      </c>
      <c r="CK68" s="9"/>
      <c r="CL68" s="9">
        <f>ППД5[[#This Row],[Фикс 06.11.24]]+ППД5[[#This Row],[Наценка 18.12.24 распределение КВ]]</f>
        <v>98238.795966524733</v>
      </c>
      <c r="CM68" s="9"/>
      <c r="CN68" s="9">
        <f>ППД5[[#This Row],[Фикс 18.12.24]]+ППД5[[#This Row],[Наценка 10.02.25 +1%
1К: А3
2К: Б3, В3]]</f>
        <v>98238.795966524733</v>
      </c>
      <c r="CO68" s="93">
        <f>ROUND(ППД5[[#This Row],[Фикс 10.02.25]],2)</f>
        <v>98238.8</v>
      </c>
      <c r="CP6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5805000</v>
      </c>
      <c r="CQ68" s="93">
        <f>ROUNDUP(ППД5[[#This Row],[Стоимость до скидки]]+ППД5[[#This Row],[Сумма доплаты]],-2)</f>
        <v>5835500</v>
      </c>
      <c r="CR68" s="68"/>
      <c r="CS68" s="90">
        <v>0.02</v>
      </c>
      <c r="CT68" s="68">
        <f>ППД5[[#This Row],[Стоимость до скидки]]*ППД5[[#This Row],[Скидка %]]+ППД5[[#This Row],[Скидка фиксированная]]</f>
        <v>116100</v>
      </c>
      <c r="CU68" s="3">
        <f>ППД5[[#This Row],[Стоимость ОН без отделки со скидкой]]/ППД5[[#This Row],[Расчетная проектная площадь]]</f>
        <v>96275.173464207139</v>
      </c>
      <c r="CV68" s="3">
        <f>ROUND(ППД5[[#This Row],[Стоимость до скидки]]-ППД5[[#This Row],[Итоговая сумма скидки]],2)</f>
        <v>5688900</v>
      </c>
      <c r="CW6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68" s="217"/>
      <c r="CY68" s="351">
        <f>ППД5[[#This Row],[Расхождение]]/ППД5[[#This Row],[Расчетная проектная площадь]]</f>
        <v>5.2462345574546482E-3</v>
      </c>
      <c r="CZ68" s="330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0.28000000000000291</v>
      </c>
      <c r="DA68" s="3">
        <f>ППД5[[#This Row],[Цена м2 без отделки со скидкой]]+ППД5[[#This Row],[Стоимость отделки]]</f>
        <v>96275.173464207139</v>
      </c>
      <c r="DB68" s="3">
        <f>ППД5[[#This Row],[Стоимость квартиры с отделкой]]-ППД5[[#This Row],[Стоимость ОН без отделки со скидкой]]</f>
        <v>0</v>
      </c>
      <c r="DC68" s="3">
        <f>ППД5[[#This Row],[Цена м2 с отделкой]]*ППД5[[#This Row],[Расчетная проектная площадь]]</f>
        <v>5688900</v>
      </c>
      <c r="DD68" s="3"/>
      <c r="DE68" s="111" t="s">
        <v>767</v>
      </c>
      <c r="DF68" s="155" t="s">
        <v>172</v>
      </c>
      <c r="DG68" s="245" t="s">
        <v>172</v>
      </c>
      <c r="DH68" s="100" t="b">
        <f>EXACT(ППД5[[#This Row],[Статусы CRM]],ППД5[[#This Row],[Статус]])</f>
        <v>1</v>
      </c>
      <c r="DI68" s="213" t="s">
        <v>240</v>
      </c>
      <c r="DJ68" s="204"/>
      <c r="DK68" s="111" t="s">
        <v>763</v>
      </c>
      <c r="DL68" s="216" t="s">
        <v>12</v>
      </c>
      <c r="DM68" s="201" t="b">
        <f>ППД5[[#This Row],[Отделка CRM]]=ППД5[[#This Row],[Отделка]]</f>
        <v>1</v>
      </c>
      <c r="DN68" s="203">
        <v>5688900</v>
      </c>
      <c r="DO6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68" s="207" t="b">
        <f>IF(AND(ППД5[[#This Row],[Статус]]="свободно",ППД5[[#This Row],[Итоговая сумма скидки]]&lt;&gt;0),FALSE,TRUE)</f>
        <v>1</v>
      </c>
      <c r="DQ68" s="240">
        <f>_xlfn.XLOOKUP(ППД5[[#This Row],[№]],Юрист[№ кв],Юрист[Дата подачи на регистрацию]," ",0,-1)</f>
        <v>45589</v>
      </c>
      <c r="DR68" s="115" t="str">
        <f>_xlfn.XLOOKUP(ППД5[[#This Row],[№]],Юрист[№ кв],Юрист[МОП],"",0,-1)</f>
        <v>Никишов</v>
      </c>
      <c r="DS68" s="333" t="s">
        <v>2428</v>
      </c>
      <c r="DT68" s="333" t="s">
        <v>2429</v>
      </c>
      <c r="DU68" s="333">
        <v>58.1</v>
      </c>
      <c r="DV68" s="111"/>
    </row>
    <row r="69" spans="1:126" hidden="1" x14ac:dyDescent="0.25">
      <c r="A69" s="112">
        <v>67</v>
      </c>
      <c r="B69" s="111" t="s">
        <v>5</v>
      </c>
      <c r="C69" s="111">
        <v>10</v>
      </c>
      <c r="D69" s="111">
        <v>5</v>
      </c>
      <c r="E69" s="111">
        <v>2</v>
      </c>
      <c r="F69" s="105">
        <v>16.46</v>
      </c>
      <c r="G69" s="105">
        <v>12.47</v>
      </c>
      <c r="H69" s="105"/>
      <c r="I69" s="94">
        <f>SUM(ППД5[[#This Row],[Комната 1]:[Комната 3]])</f>
        <v>28.93</v>
      </c>
      <c r="J69" s="105">
        <v>18</v>
      </c>
      <c r="K69" s="105">
        <v>4.3499999999999996</v>
      </c>
      <c r="L69" s="105">
        <v>1.55</v>
      </c>
      <c r="M69" s="105"/>
      <c r="N69" s="105">
        <v>8</v>
      </c>
      <c r="O69" s="105">
        <v>2.67</v>
      </c>
      <c r="P69" s="105"/>
      <c r="Q69" s="105"/>
      <c r="R69" s="105">
        <f>SUM(ППД5[[#This Row],[Лоджия 1]:[Лоджия 3]])</f>
        <v>2.67</v>
      </c>
      <c r="S69" s="8">
        <f>ROUND(SUM(ППД5[[#This Row],[Площадь по проекту жилая]:[Лоджия 3]]),2)</f>
        <v>63.5</v>
      </c>
      <c r="T69" s="8">
        <f>ROUND(ППД5[[#This Row],[Площадь по проекту(общая)]]-ППД5[[#This Row],[Летние]],2)</f>
        <v>60.83</v>
      </c>
      <c r="U69" s="91">
        <f>ROUND(ППД5[[#This Row],[Площадь по проекту(общая)]]-(SUM(ППД5[[#This Row],[Лоджия 1]:[Лоджия 3]])/2),2)</f>
        <v>62.17</v>
      </c>
      <c r="V69" s="91">
        <f>IF(ППД5[[#This Row],[Статус]]="продажа",ППД5[[#This Row],[Расчетная проектная площадь]],ППД5[[#This Row],[Расчетная ТП площадь]])</f>
        <v>61.45</v>
      </c>
      <c r="W69" s="91">
        <v>16.3</v>
      </c>
      <c r="X69" s="91">
        <v>12.3</v>
      </c>
      <c r="Y69" s="91"/>
      <c r="Z69" s="91">
        <f>SUM(ППД5[[#This Row],[ТП Комната 1]:[ТП Комната 3]])</f>
        <v>28.6</v>
      </c>
      <c r="AA69" s="91">
        <v>17.899999999999999</v>
      </c>
      <c r="AB69" s="91">
        <v>4.4000000000000004</v>
      </c>
      <c r="AC69" s="91">
        <v>1.5</v>
      </c>
      <c r="AD69" s="91"/>
      <c r="AE69" s="91">
        <v>7.7</v>
      </c>
      <c r="AF69" s="91">
        <v>1.35</v>
      </c>
      <c r="AG69" s="91"/>
      <c r="AH69" s="91"/>
      <c r="AI69" s="91">
        <f>SUM(ППД5[[#This Row],[ТП Лоджия 1]:[ТП Лоджия 3]])</f>
        <v>1.35</v>
      </c>
      <c r="AJ69" s="95">
        <v>2.7</v>
      </c>
      <c r="AK69" s="91">
        <f>SUM(ППД5[[#This Row],[Площадь по ТП жилая]:[ТП Лоджия 3]])-ППД5[[#This Row],[ТП Летние]]+ППД5[[#This Row],[кроме того прочая
(без коэффициента)]]</f>
        <v>62.800000000000004</v>
      </c>
      <c r="AL69" s="95">
        <f>ППД5[[#This Row],[ТП Площадь без летних]]+(ППД5[[#This Row],[ТП Летние]])</f>
        <v>61.45</v>
      </c>
      <c r="AM69" s="91">
        <f>ППД5[[#This Row],[ТП общая S]]-ППД5[[#This Row],[кроме того прочая
(без коэффициента)]]</f>
        <v>60.1</v>
      </c>
      <c r="AN69" s="95">
        <f>SUM(ППД5[[#This Row],[ТП Кухня]:[ТП Коридор]])</f>
        <v>31.499999999999996</v>
      </c>
      <c r="AO69" s="91">
        <f>ППД5[[#This Row],[Расчетная ТП площадь]]-ППД5[[#This Row],[Расчетная проектная площадь]]</f>
        <v>-0.71999999999999886</v>
      </c>
      <c r="AP69" s="335">
        <f>ППД5[[#This Row],[Расчетная ТП площадь]]/ППД5[[#This Row],[Расчетная проектная площадь]]-1</f>
        <v>-1.1581148463889357E-2</v>
      </c>
      <c r="AQ69" s="91">
        <f>ППД5[[#This Row],[% расхождения]]*ППД5[[#This Row],[Стоимость до скидки]]</f>
        <v>-89455.106964774168</v>
      </c>
      <c r="AR69" s="91">
        <f>VLOOKUP(ППД5[[#This Row],[№]],наценкад5[],COLUMN(наценкад5[[#This Row],[Цена м2 с учетом всех K]]),0)</f>
        <v>80307.864000000001</v>
      </c>
      <c r="AS69" s="8">
        <f>ППД5[[#This Row],[м2 после К]]*5%</f>
        <v>4015.3932000000004</v>
      </c>
      <c r="AT69" s="8">
        <f>ППД5[[#This Row],[м2 после К]]+ППД5[[#This Row],[Повышение 16.08.23 - 5%]]</f>
        <v>84323.257200000007</v>
      </c>
      <c r="AU69" s="93">
        <f>ППД5[[#This Row],[Фикс 16.08.23]]*3%</f>
        <v>2529.6977160000001</v>
      </c>
      <c r="AV69" s="93">
        <f>ППД5[[#This Row],[Фикс 16.08.23]]+ППД5[[#This Row],[Повышение 29.08.23 - 3%]]</f>
        <v>86852.954916000002</v>
      </c>
      <c r="AW69" s="93"/>
      <c r="AX69" s="93">
        <f>ППД5[[#This Row],[Фикс 29.08.23]]+ППД5[[#This Row],[Повышение 06.09.23 СТ и 1К]]</f>
        <v>86852.954916000002</v>
      </c>
      <c r="AY69" s="93"/>
      <c r="AZ69" s="93">
        <f>ППД5[[#This Row],[Повышение 23.10.23  В4 ]]+ППД5[[#This Row],[Фикс 06.09.23]]</f>
        <v>86852.954916000002</v>
      </c>
      <c r="BA69" s="93"/>
      <c r="BB69" s="93">
        <f>ППД5[[#This Row],[Повышение 8.11.23 1К 5%]]+ППД5[[#This Row],[Фикс 23.10.23]]</f>
        <v>86852.954916000002</v>
      </c>
      <c r="BC69" s="93"/>
      <c r="BD69" s="93">
        <f>ППД5[[#This Row],[Корректировка 24.11.23 - 1К В5, 2К А2, №233]]+ППД5[[#This Row],[Фикс 8.11.23]]</f>
        <v>86852.954916000002</v>
      </c>
      <c r="BE69" s="93">
        <f>ППД5[[#This Row],[Фикс 8.11.24]]*1%</f>
        <v>868.52954915999999</v>
      </c>
      <c r="BF69" s="93">
        <f>ППД5[[#This Row],[Наценка за отделку 29.12.23 1%]]+ППД5[[#This Row],[Фикс 8.11.24]]</f>
        <v>87721.48446516</v>
      </c>
      <c r="BG69" s="93">
        <f>ППД5[[#This Row],[Фикс 29.12.23]]*5%</f>
        <v>4386.0742232580005</v>
      </c>
      <c r="BH69" s="93">
        <f>ППД5[[#This Row],[Фикс 29.12.23]]+ППД5[[#This Row],[Наценка 10.01.24 5%]]</f>
        <v>92107.558688417994</v>
      </c>
      <c r="BI69" s="93"/>
      <c r="BJ69" s="93">
        <f>ППД5[[#This Row],[Наценка 26.02.24 1 Этаж]]+ППД5[[#This Row],[Фикс 10.01.24]]</f>
        <v>92107.558688417994</v>
      </c>
      <c r="BK69" s="93">
        <f>ППД5[[#This Row],[Фикс 26.02.24]]*2%</f>
        <v>1842.15117376836</v>
      </c>
      <c r="BL69" s="93">
        <f>ППД5[[#This Row],[Фикс 26.02.24]]+ППД5[[#This Row],[Наценка 06.03.24
СТ, 1К - 3%
2К, 3К - 2%]]</f>
        <v>93949.709862186355</v>
      </c>
      <c r="BM69" s="93"/>
      <c r="BN69" s="93">
        <f>ППД5[[#This Row],[Фикс 06.03.24]]+ППД5[[#This Row],[Наценка Г2+500]]</f>
        <v>93949.709862186355</v>
      </c>
      <c r="BO69" s="93">
        <f>ППД5[[#This Row],[Фикс 13.03.25]]*2%</f>
        <v>1878.9941972437271</v>
      </c>
      <c r="BP69" s="93">
        <f>ППД5[[#This Row],[Фикс 13.03.25]]+ППД5[[#This Row],[Наценка 20.03.24
2К, 3К - 2%]]</f>
        <v>95828.704059430078</v>
      </c>
      <c r="BQ69" s="93"/>
      <c r="BR69" s="93">
        <f>ППД5[[#This Row],[Фикс 20.03.24]]+ППД5[[#This Row],[Наценка 08.04.24 
2К: В3 - 150
3К: Г7 +1000]]</f>
        <v>95828.704059430078</v>
      </c>
      <c r="BS69" s="93"/>
      <c r="BT69" s="93">
        <f>ППД5[[#This Row],[Фикс 08.04.24]]+ППД5[[#This Row],[Наценка 16.05.24 1%
А4,А6,Б3,Б6,Б7,В2,В3,В5,В6,Г1,Г3-Г5]]</f>
        <v>95828.704059430078</v>
      </c>
      <c r="BU69" s="93">
        <f>ППД5[[#This Row],[Фикс 16.05.24]]*2%</f>
        <v>1916.5740811886017</v>
      </c>
      <c r="BV69" s="93">
        <f>ППД5[[#This Row],[Фикс 16.05.24]]+ППД5[[#This Row],[Наценка 24.05.24
1% - Б4, Б5,Г2,Г6
2% - А1,А3,А5,Б2,Г7]]</f>
        <v>97745.278140618684</v>
      </c>
      <c r="BW69" s="93">
        <f>ППД5[[#This Row],[Фикс 24.05.24]]*0.5%</f>
        <v>488.72639070309344</v>
      </c>
      <c r="BX69" s="93">
        <f>ППД5[[#This Row],[Наценка 06.06.24
0К: В2,Г3 +0,5%
1К: А7, Б5/4, Г6 +0,5%
3К: В6 +0,5%
1К: А3 +1%]]+ППД5[[#This Row],[Фикс 24.05.24]]</f>
        <v>98234.004531321771</v>
      </c>
      <c r="BY69" s="93"/>
      <c r="BZ69" s="93">
        <f>ППД5[[#This Row],[Фикс 06.06.24]]+ППД5[[#This Row],[13.06.2024
3К - 2%]]</f>
        <v>98234.004531321771</v>
      </c>
      <c r="CA69" s="9">
        <f>1.5%*ППД5[[#This Row],[Фикс 13.06.24]]</f>
        <v>1473.5100679698264</v>
      </c>
      <c r="CB69" s="93">
        <f>ППД5[[#This Row],[02.07.2024: Г3 А1 А3 Б5 Б7 Г2 Г6 Б3 Б4 В3 Г7 2,5% ост 0,5-1,5%]]+ППД5[[#This Row],[Фикс 13.06.24]]</f>
        <v>99707.514599291593</v>
      </c>
      <c r="CC69" s="93"/>
      <c r="CD69" s="93">
        <f>ППД5[[#This Row],[Фикс 02.07.24]]+ППД5[[#This Row],[04.09.2024 +500
0К - Б2; 1К - А3;
2К - А6, Б4, В3, Г5]]</f>
        <v>99707.514599291593</v>
      </c>
      <c r="CE69" s="93">
        <f>ППД5[[#This Row],[Фикс 04.09.24]]*4%</f>
        <v>3988.3005839716639</v>
      </c>
      <c r="CF69" s="93">
        <f>ППД5[[#This Row],[Наценка 16.09.2024
1К: А1,В7,Г6/7,Г8 - 2%
2К: А4,А5,А6,Б1,Б6,Б3/4,В3,В4,Г4,Г5 - 4%
3К: 4%]]+ППД5[[#This Row],[Фикс 04.09.24]]</f>
        <v>103695.81518326326</v>
      </c>
      <c r="CG69" s="93">
        <f>ППД5[[#This Row],[Фикс 16.09.2024]]*6%</f>
        <v>6221.7489109957951</v>
      </c>
      <c r="CH69" s="93">
        <f>ППД5[[#This Row],[Фикс 16.09.2024]]+ППД5[[#This Row],[Наценка 01.11.24
СТ: 4%
1К: 34-40м 5%; 40м+ 8%; МГН 1%
2К: 55-70м 6%; 70-73м 7%; 73-76м 8% 
3К: 5%]]</f>
        <v>109917.56409425905</v>
      </c>
      <c r="CI69" s="93">
        <f>ППД5[[#This Row],[Фикс 01.11.24]]*13%</f>
        <v>14289.283332253677</v>
      </c>
      <c r="CJ69" s="93">
        <f>ППД5[[#This Row],[Наценка 06.11 13%]]+ППД5[[#This Row],[Фикс 01.11.24]]</f>
        <v>124206.84742651273</v>
      </c>
      <c r="CK69" s="93">
        <v>35</v>
      </c>
      <c r="CL69" s="93">
        <f>ППД5[[#This Row],[Фикс 06.11.24]]+ППД5[[#This Row],[Наценка 18.12.24 распределение КВ]]</f>
        <v>124241.84742651273</v>
      </c>
      <c r="CM69" s="93"/>
      <c r="CN69" s="93">
        <f>ППД5[[#This Row],[Фикс 18.12.24]]+ППД5[[#This Row],[Наценка 10.02.25 +1%
1К: А3
2К: Б3, В3]]</f>
        <v>124241.84742651273</v>
      </c>
      <c r="CO69" s="93">
        <f>ROUND(ППД5[[#This Row],[Фикс 10.02.25]],2)</f>
        <v>124241.85</v>
      </c>
      <c r="CP6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7724200</v>
      </c>
      <c r="CQ69" s="93">
        <f>ROUNDUP(ППД5[[#This Row],[Стоимость до скидки]]+ППД5[[#This Row],[Сумма доплаты]],-2)</f>
        <v>7634800</v>
      </c>
      <c r="CR69" s="68"/>
      <c r="CS69" s="90"/>
      <c r="CT69" s="68">
        <f>ППД5[[#This Row],[Стоимость до скидки]]*ППД5[[#This Row],[Скидка %]]+ППД5[[#This Row],[Скидка фиксированная]]</f>
        <v>0</v>
      </c>
      <c r="CU69" s="3">
        <f>ППД5[[#This Row],[Стоимость ОН без отделки со скидкой]]/ППД5[[#This Row],[Расчетная проектная площадь]]</f>
        <v>124243.20411774167</v>
      </c>
      <c r="CV69" s="3">
        <f>ROUND(ППД5[[#This Row],[Стоимость до скидки]]-ППД5[[#This Row],[Итоговая сумма скидки]],2)</f>
        <v>7724200</v>
      </c>
      <c r="CW6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69" s="218">
        <v>10000</v>
      </c>
      <c r="CY69" s="332">
        <f>ППД5[[#This Row],[Расхождение]]/ППД5[[#This Row],[Расчетная проектная площадь]]</f>
        <v>-1.1581148463889317E-2</v>
      </c>
      <c r="CZ69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-0.40000000000000568</v>
      </c>
      <c r="DA69" s="3">
        <f>ППД5[[#This Row],[Цена м2 без отделки со скидкой]]+ППД5[[#This Row],[Стоимость отделки]]</f>
        <v>134243.20411774167</v>
      </c>
      <c r="DB69" s="3">
        <f>ППД5[[#This Row],[Стоимость квартиры с отделкой]]-ППД5[[#This Row],[Стоимость ОН без отделки со скидкой]]</f>
        <v>621700</v>
      </c>
      <c r="DC69" s="3">
        <f>ППД5[[#This Row],[Цена м2 с отделкой]]*ППД5[[#This Row],[Расчетная проектная площадь]]</f>
        <v>8345900</v>
      </c>
      <c r="DD69" s="3"/>
      <c r="DF69" s="155" t="s">
        <v>161</v>
      </c>
      <c r="DG69" s="221" t="s">
        <v>161</v>
      </c>
      <c r="DH69" s="100" t="b">
        <f>EXACT(ППД5[[#This Row],[Статусы CRM]],ППД5[[#This Row],[Статус]])</f>
        <v>1</v>
      </c>
      <c r="DI69" s="213" t="s">
        <v>241</v>
      </c>
      <c r="DJ69" s="204"/>
      <c r="DK69" s="111" t="s">
        <v>763</v>
      </c>
      <c r="DL69" s="216" t="s">
        <v>780</v>
      </c>
      <c r="DM69" s="201" t="b">
        <f>ППД5[[#This Row],[Отделка CRM]]=ППД5[[#This Row],[Отделка]]</f>
        <v>1</v>
      </c>
      <c r="DN69" s="203">
        <v>8345900</v>
      </c>
      <c r="DO6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69" s="207" t="b">
        <f>IF(AND(ППД5[[#This Row],[Статус]]="свободно",ППД5[[#This Row],[Итоговая сумма скидки]]&lt;&gt;0),FALSE,TRUE)</f>
        <v>1</v>
      </c>
      <c r="DQ69" s="240" t="str">
        <f>_xlfn.XLOOKUP(ППД5[[#This Row],[№]],Юрист[№ кв],Юрист[Дата подачи на регистрацию]," ",0,-1)</f>
        <v xml:space="preserve"> </v>
      </c>
      <c r="DR69" s="115" t="str">
        <f>_xlfn.XLOOKUP(ППД5[[#This Row],[№]],Юрист[№ кв],Юрист[МОП],"",0,-1)</f>
        <v/>
      </c>
      <c r="DS69" s="333" t="s">
        <v>2430</v>
      </c>
      <c r="DT69" s="333" t="s">
        <v>2431</v>
      </c>
      <c r="DU69" s="333">
        <v>60.1</v>
      </c>
      <c r="DV69" s="204">
        <f>(ППД5[[#This Row],[Стоимость ОН без отделки со скидкой]]/ППД5[[#This Row],[Расчетная ТП площадь]])*ППД5[[#This Row],[Расхождение]]</f>
        <v>-90503.238405207347</v>
      </c>
    </row>
    <row r="70" spans="1:126" hidden="1" x14ac:dyDescent="0.25">
      <c r="A70" s="112">
        <v>68</v>
      </c>
      <c r="B70" s="111" t="s">
        <v>5</v>
      </c>
      <c r="C70" s="111">
        <v>10</v>
      </c>
      <c r="D70" s="111">
        <v>6</v>
      </c>
      <c r="E70" s="111">
        <v>2</v>
      </c>
      <c r="F70" s="105">
        <v>14.64</v>
      </c>
      <c r="G70" s="105">
        <v>10.74</v>
      </c>
      <c r="H70" s="105"/>
      <c r="I70" s="94">
        <f>SUM(ППД5[[#This Row],[Комната 1]:[Комната 3]])</f>
        <v>25.380000000000003</v>
      </c>
      <c r="J70" s="105">
        <v>14.35</v>
      </c>
      <c r="K70" s="105">
        <v>4.16</v>
      </c>
      <c r="L70" s="105">
        <v>1.93</v>
      </c>
      <c r="M70" s="105"/>
      <c r="N70" s="105">
        <v>11.03</v>
      </c>
      <c r="O70" s="105">
        <v>2.6219999999999999</v>
      </c>
      <c r="P70" s="105"/>
      <c r="Q70" s="105"/>
      <c r="R70" s="105">
        <f>SUM(ППД5[[#This Row],[Лоджия 1]:[Лоджия 3]])</f>
        <v>2.6219999999999999</v>
      </c>
      <c r="S70" s="8">
        <f>ROUND(SUM(ППД5[[#This Row],[Площадь по проекту жилая]:[Лоджия 3]]),2)</f>
        <v>59.47</v>
      </c>
      <c r="T70" s="8">
        <f>ROUND(ППД5[[#This Row],[Площадь по проекту(общая)]]-ППД5[[#This Row],[Летние]],2)</f>
        <v>56.85</v>
      </c>
      <c r="U70" s="91">
        <f>ROUND(ППД5[[#This Row],[Площадь по проекту(общая)]]-(SUM(ППД5[[#This Row],[Лоджия 1]:[Лоджия 3]])/2),2)</f>
        <v>58.16</v>
      </c>
      <c r="V70" s="91">
        <f>IF(ППД5[[#This Row],[Статус]]="продажа",ППД5[[#This Row],[Расчетная проектная площадь]],ППД5[[#This Row],[Расчетная ТП площадь]])</f>
        <v>58.16</v>
      </c>
      <c r="W70" s="91">
        <v>10.6</v>
      </c>
      <c r="X70" s="91">
        <v>14.7</v>
      </c>
      <c r="Y70" s="91"/>
      <c r="Z70" s="91">
        <f>SUM(ППД5[[#This Row],[ТП Комната 1]:[ТП Комната 3]])</f>
        <v>25.299999999999997</v>
      </c>
      <c r="AA70" s="91">
        <v>14.3</v>
      </c>
      <c r="AB70" s="91">
        <v>4.0999999999999996</v>
      </c>
      <c r="AC70" s="91">
        <v>2</v>
      </c>
      <c r="AD70" s="91"/>
      <c r="AE70" s="91">
        <v>11.1</v>
      </c>
      <c r="AF70" s="91">
        <v>1.3</v>
      </c>
      <c r="AG70" s="91"/>
      <c r="AH70" s="91"/>
      <c r="AI70" s="91">
        <f>SUM(ППД5[[#This Row],[ТП Лоджия 1]:[ТП Лоджия 3]])</f>
        <v>1.3</v>
      </c>
      <c r="AJ70" s="95">
        <v>2.6</v>
      </c>
      <c r="AK70" s="91">
        <f>SUM(ППД5[[#This Row],[Площадь по ТП жилая]:[ТП Лоджия 3]])-ППД5[[#This Row],[ТП Летние]]+ППД5[[#This Row],[кроме того прочая
(без коэффициента)]]</f>
        <v>59.4</v>
      </c>
      <c r="AL70" s="95">
        <f>ППД5[[#This Row],[ТП Площадь без летних]]+(ППД5[[#This Row],[ТП Летние]])</f>
        <v>58.099999999999994</v>
      </c>
      <c r="AM70" s="91">
        <f>ППД5[[#This Row],[ТП общая S]]-ППД5[[#This Row],[кроме того прочая
(без коэффициента)]]</f>
        <v>56.8</v>
      </c>
      <c r="AN70" s="95">
        <f>SUM(ППД5[[#This Row],[ТП Кухня]:[ТП Коридор]])</f>
        <v>31.5</v>
      </c>
      <c r="AO70" s="91">
        <f>ППД5[[#This Row],[Расчетная ТП площадь]]-ППД5[[#This Row],[Расчетная проектная площадь]]</f>
        <v>-6.0000000000002274E-2</v>
      </c>
      <c r="AP70" s="335">
        <f>ППД5[[#This Row],[Расчетная ТП площадь]]/ППД5[[#This Row],[Расчетная проектная площадь]]-1</f>
        <v>-1.0316368638240148E-3</v>
      </c>
      <c r="AQ70" s="91">
        <f>ППД5[[#This Row],[% расхождения]]*ППД5[[#This Row],[Стоимость до скидки]]</f>
        <v>-5832.6685006882144</v>
      </c>
      <c r="AR70" s="91">
        <f>VLOOKUP(ППД5[[#This Row],[№]],наценкад5[],COLUMN(наценкад5[[#This Row],[Цена м2 с учетом всех K]]),0)</f>
        <v>81466.150500000003</v>
      </c>
      <c r="AS70" s="8">
        <f>ППД5[[#This Row],[м2 после К]]*5%</f>
        <v>4073.3075250000002</v>
      </c>
      <c r="AT70" s="8">
        <f>ППД5[[#This Row],[м2 после К]]+ППД5[[#This Row],[Повышение 16.08.23 - 5%]]</f>
        <v>85539.458025</v>
      </c>
      <c r="AU70" s="93">
        <f>ППД5[[#This Row],[Фикс 16.08.23]]*3%</f>
        <v>2566.1837407499997</v>
      </c>
      <c r="AV70" s="93">
        <f>ППД5[[#This Row],[Фикс 16.08.23]]+ППД5[[#This Row],[Повышение 29.08.23 - 3%]]</f>
        <v>88105.641765749999</v>
      </c>
      <c r="AW70" s="93"/>
      <c r="AX70" s="93">
        <f>ППД5[[#This Row],[Фикс 29.08.23]]+ППД5[[#This Row],[Повышение 06.09.23 СТ и 1К]]</f>
        <v>88105.641765749999</v>
      </c>
      <c r="AY70" s="93"/>
      <c r="AZ70" s="93">
        <f>ППД5[[#This Row],[Повышение 23.10.23  В4 ]]+ППД5[[#This Row],[Фикс 06.09.23]]</f>
        <v>88105.641765749999</v>
      </c>
      <c r="BA70" s="93"/>
      <c r="BB70" s="93">
        <f>ППД5[[#This Row],[Повышение 8.11.23 1К 5%]]+ППД5[[#This Row],[Фикс 23.10.23]]</f>
        <v>88105.641765749999</v>
      </c>
      <c r="BC70" s="93"/>
      <c r="BD70" s="93">
        <f>ППД5[[#This Row],[Корректировка 24.11.23 - 1К В5, 2К А2, №233]]+ППД5[[#This Row],[Фикс 8.11.23]]</f>
        <v>88105.641765749999</v>
      </c>
      <c r="BE70" s="93">
        <f>ППД5[[#This Row],[Фикс 8.11.24]]*1%</f>
        <v>881.05641765749999</v>
      </c>
      <c r="BF70" s="93">
        <f>ППД5[[#This Row],[Наценка за отделку 29.12.23 1%]]+ППД5[[#This Row],[Фикс 8.11.24]]</f>
        <v>88986.698183407498</v>
      </c>
      <c r="BG70" s="93">
        <f>ППД5[[#This Row],[Фикс 29.12.23]]*5%</f>
        <v>4449.3349091703749</v>
      </c>
      <c r="BH70" s="93">
        <f>ППД5[[#This Row],[Фикс 29.12.23]]+ППД5[[#This Row],[Наценка 10.01.24 5%]]</f>
        <v>93436.033092577869</v>
      </c>
      <c r="BI70" s="93"/>
      <c r="BJ70" s="93">
        <f>ППД5[[#This Row],[Наценка 26.02.24 1 Этаж]]+ППД5[[#This Row],[Фикс 10.01.24]]</f>
        <v>93436.033092577869</v>
      </c>
      <c r="BK70" s="93">
        <f>ППД5[[#This Row],[Фикс 26.02.24]]*2%</f>
        <v>1868.7206618515575</v>
      </c>
      <c r="BL70" s="93">
        <f>ППД5[[#This Row],[Фикс 26.02.24]]+ППД5[[#This Row],[Наценка 06.03.24
СТ, 1К - 3%
2К, 3К - 2%]]</f>
        <v>95304.753754429432</v>
      </c>
      <c r="BM70" s="93"/>
      <c r="BN70" s="93">
        <f>ППД5[[#This Row],[Фикс 06.03.24]]+ППД5[[#This Row],[Наценка Г2+500]]</f>
        <v>95304.753754429432</v>
      </c>
      <c r="BO70" s="93">
        <f>ППД5[[#This Row],[Фикс 13.03.25]]*2%</f>
        <v>1906.0950750885886</v>
      </c>
      <c r="BP70" s="93">
        <f>ППД5[[#This Row],[Фикс 13.03.25]]+ППД5[[#This Row],[Наценка 20.03.24
2К, 3К - 2%]]</f>
        <v>97210.848829518014</v>
      </c>
      <c r="BQ70" s="93"/>
      <c r="BR70" s="93">
        <f>ППД5[[#This Row],[Фикс 20.03.24]]+ППД5[[#This Row],[Наценка 08.04.24 
2К: В3 - 150
3К: Г7 +1000]]</f>
        <v>97210.848829518014</v>
      </c>
      <c r="BS70" s="93"/>
      <c r="BT70" s="93">
        <f>ППД5[[#This Row],[Фикс 08.04.24]]+ППД5[[#This Row],[Наценка 16.05.24 1%
А4,А6,Б3,Б6,Б7,В2,В3,В5,В6,Г1,Г3-Г5]]</f>
        <v>97210.848829518014</v>
      </c>
      <c r="BU70" s="93"/>
      <c r="BV70" s="93">
        <f>ППД5[[#This Row],[Фикс 16.05.24]]+ППД5[[#This Row],[Наценка 24.05.24
1% - Б4, Б5,Г2,Г6
2% - А1,А3,А5,Б2,Г7]]</f>
        <v>97210.848829518014</v>
      </c>
      <c r="BW70" s="93"/>
      <c r="BX70" s="93">
        <f>ППД5[[#This Row],[Наценка 06.06.24
0К: В2,Г3 +0,5%
1К: А7, Б5/4, Г6 +0,5%
3К: В6 +0,5%
1К: А3 +1%]]+ППД5[[#This Row],[Фикс 24.05.24]]</f>
        <v>97210.848829518014</v>
      </c>
      <c r="BY70" s="93"/>
      <c r="BZ70" s="93">
        <f>ППД5[[#This Row],[Фикс 06.06.24]]+ППД5[[#This Row],[13.06.2024
3К - 2%]]</f>
        <v>97210.848829518014</v>
      </c>
      <c r="CA70" s="93"/>
      <c r="CB70" s="93">
        <f>ППД5[[#This Row],[02.07.2024: Г3 А1 А3 Б5 Б7 Г2 Г6 Б3 Б4 В3 Г7 2,5% ост 0,5-1,5%]]+ППД5[[#This Row],[Фикс 13.06.24]]</f>
        <v>97210.848829518014</v>
      </c>
      <c r="CC70" s="93"/>
      <c r="CD70" s="93">
        <f>ППД5[[#This Row],[Фикс 02.07.24]]+ППД5[[#This Row],[04.09.2024 +500
0К - Б2; 1К - А3;
2К - А6, Б4, В3, Г5]]</f>
        <v>97210.848829518014</v>
      </c>
      <c r="CE70" s="93"/>
      <c r="CF70" s="93">
        <f>ППД5[[#This Row],[Наценка 16.09.2024
1К: А1,В7,Г6/7,Г8 - 2%
2К: А4,А5,А6,Б1,Б6,Б3/4,В3,В4,Г4,Г5 - 4%
3К: 4%]]+ППД5[[#This Row],[Фикс 04.09.24]]</f>
        <v>97210.848829518014</v>
      </c>
      <c r="CG70" s="93"/>
      <c r="CH70" s="93">
        <f>ППД5[[#This Row],[Фикс 16.09.2024]]+ППД5[[#This Row],[Наценка 01.11.24
СТ: 4%
1К: 34-40м 5%; 40м+ 8%; МГН 1%
2К: 55-70м 6%; 70-73м 7%; 73-76м 8% 
3К: 5%]]</f>
        <v>97210.848829518014</v>
      </c>
      <c r="CI70" s="93"/>
      <c r="CJ70" s="93">
        <f>ППД5[[#This Row],[Наценка 06.11 13%]]+ППД5[[#This Row],[Фикс 01.11.24]]</f>
        <v>97210.848829518014</v>
      </c>
      <c r="CK70" s="93"/>
      <c r="CL70" s="93">
        <f>ППД5[[#This Row],[Фикс 06.11.24]]+ППД5[[#This Row],[Наценка 18.12.24 распределение КВ]]</f>
        <v>97210.848829518014</v>
      </c>
      <c r="CM70" s="93"/>
      <c r="CN70" s="93">
        <f>ППД5[[#This Row],[Фикс 18.12.24]]+ППД5[[#This Row],[Наценка 10.02.25 +1%
1К: А3
2К: Б3, В3]]</f>
        <v>97210.848829518014</v>
      </c>
      <c r="CO70" s="93">
        <f>ROUND(ППД5[[#This Row],[Фикс 10.02.25]],2)</f>
        <v>97210.85</v>
      </c>
      <c r="CP7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5653800</v>
      </c>
      <c r="CQ70" s="93">
        <f>ROUNDUP(ППД5[[#This Row],[Стоимость до скидки]]+ППД5[[#This Row],[Сумма доплаты]],-2)</f>
        <v>5648000</v>
      </c>
      <c r="CR70" s="68"/>
      <c r="CS70" s="90"/>
      <c r="CT70" s="68">
        <f>ППД5[[#This Row],[Стоимость до скидки]]*ППД5[[#This Row],[Скидка %]]+ППД5[[#This Row],[Скидка фиксированная]]</f>
        <v>0</v>
      </c>
      <c r="CU70" s="3">
        <f>ППД5[[#This Row],[Стоимость ОН без отделки со скидкой]]/ППД5[[#This Row],[Расчетная проектная площадь]]</f>
        <v>97211.141678129308</v>
      </c>
      <c r="CV70" s="3">
        <f>ROUND(ППД5[[#This Row],[Стоимость до скидки]]-ППД5[[#This Row],[Итоговая сумма скидки]],2)</f>
        <v>5653800</v>
      </c>
      <c r="CW7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70" s="197">
        <v>20000</v>
      </c>
      <c r="CY70" s="332">
        <f>ППД5[[#This Row],[Расхождение]]/ППД5[[#This Row],[Расчетная проектная площадь]]</f>
        <v>-1.0316368638239731E-3</v>
      </c>
      <c r="CZ7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2.9999999999999361E-2</v>
      </c>
      <c r="DA70" s="3">
        <f>ППД5[[#This Row],[Цена м2 без отделки со скидкой]]+ППД5[[#This Row],[Стоимость отделки]]</f>
        <v>117211.14167812931</v>
      </c>
      <c r="DB70" s="3">
        <f>ППД5[[#This Row],[Стоимость квартиры с отделкой]]-ППД5[[#This Row],[Стоимость ОН без отделки со скидкой]]</f>
        <v>1163200</v>
      </c>
      <c r="DC70" s="3">
        <f>ППД5[[#This Row],[Цена м2 с отделкой]]*ППД5[[#This Row],[Расчетная проектная площадь]]</f>
        <v>6817000</v>
      </c>
      <c r="DD70" s="3"/>
      <c r="DF70" s="199" t="s">
        <v>172</v>
      </c>
      <c r="DG70" s="245" t="s">
        <v>172</v>
      </c>
      <c r="DH70" s="100" t="b">
        <f>EXACT(ППД5[[#This Row],[Статусы CRM]],ППД5[[#This Row],[Статус]])</f>
        <v>1</v>
      </c>
      <c r="DI70" s="213" t="s">
        <v>242</v>
      </c>
      <c r="DJ70" s="204"/>
      <c r="DK70" s="111" t="s">
        <v>763</v>
      </c>
      <c r="DL70" s="216" t="s">
        <v>14</v>
      </c>
      <c r="DM70" s="201" t="b">
        <f>ППД5[[#This Row],[Отделка CRM]]=ППД5[[#This Row],[Отделка]]</f>
        <v>1</v>
      </c>
      <c r="DN70" s="203">
        <v>6817000</v>
      </c>
      <c r="DO7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70" s="207" t="b">
        <f>IF(AND(ППД5[[#This Row],[Статус]]="свободно",ППД5[[#This Row],[Итоговая сумма скидки]]&lt;&gt;0),FALSE,TRUE)</f>
        <v>1</v>
      </c>
      <c r="DQ70" s="240">
        <f>_xlfn.XLOOKUP(ППД5[[#This Row],[№]],Юрист[№ кв],Юрист[Дата подачи на регистрацию]," ",0,-1)</f>
        <v>45447</v>
      </c>
      <c r="DR70" s="115" t="str">
        <f>_xlfn.XLOOKUP(ППД5[[#This Row],[№]],Юрист[№ кв],Юрист[МОП],"",0,-1)</f>
        <v>Дик</v>
      </c>
      <c r="DS70" s="333" t="s">
        <v>2432</v>
      </c>
      <c r="DT70" s="333" t="s">
        <v>2433</v>
      </c>
      <c r="DU70" s="333">
        <v>56.8</v>
      </c>
      <c r="DV70" s="111"/>
    </row>
    <row r="71" spans="1:126" hidden="1" x14ac:dyDescent="0.25">
      <c r="A71" s="112">
        <v>69</v>
      </c>
      <c r="B71" s="111" t="s">
        <v>5</v>
      </c>
      <c r="C71" s="111">
        <v>10</v>
      </c>
      <c r="D71" s="111">
        <v>7</v>
      </c>
      <c r="E71" s="111">
        <v>1</v>
      </c>
      <c r="F71" s="157">
        <v>18.489999999999998</v>
      </c>
      <c r="G71" s="105"/>
      <c r="H71" s="105"/>
      <c r="I71" s="94">
        <f>SUM(ППД5[[#This Row],[Комната 1]:[Комната 3]])</f>
        <v>18.489999999999998</v>
      </c>
      <c r="J71" s="105">
        <v>13.04</v>
      </c>
      <c r="K71" s="105">
        <v>3.9</v>
      </c>
      <c r="L71" s="105"/>
      <c r="M71" s="105"/>
      <c r="N71" s="105">
        <v>5.99</v>
      </c>
      <c r="O71" s="105">
        <v>2.65</v>
      </c>
      <c r="P71" s="105"/>
      <c r="Q71" s="105"/>
      <c r="R71" s="105">
        <f>SUM(ППД5[[#This Row],[Лоджия 1]:[Лоджия 3]])</f>
        <v>2.65</v>
      </c>
      <c r="S71" s="7">
        <f>ROUND(SUM(ППД5[[#This Row],[Площадь по проекту жилая]:[Лоджия 3]]),2)</f>
        <v>44.07</v>
      </c>
      <c r="T71" s="7">
        <f>ROUND(ППД5[[#This Row],[Площадь по проекту(общая)]]-ППД5[[#This Row],[Летние]],2)</f>
        <v>41.42</v>
      </c>
      <c r="U71" s="92">
        <f>ROUND(ППД5[[#This Row],[Площадь по проекту(общая)]]-(SUM(ППД5[[#This Row],[Лоджия 1]:[Лоджия 3]])/2),2)</f>
        <v>42.75</v>
      </c>
      <c r="V71" s="92">
        <f>IF(ППД5[[#This Row],[Статус]]="продажа",ППД5[[#This Row],[Расчетная проектная площадь]],ППД5[[#This Row],[Расчетная ТП площадь]])</f>
        <v>42.75</v>
      </c>
      <c r="W71" s="92">
        <v>18.5</v>
      </c>
      <c r="X71" s="92"/>
      <c r="Y71" s="92"/>
      <c r="Z71" s="92">
        <f>SUM(ППД5[[#This Row],[ТП Комната 1]:[ТП Комната 3]])</f>
        <v>18.5</v>
      </c>
      <c r="AA71" s="92">
        <v>13.2</v>
      </c>
      <c r="AB71" s="92">
        <v>3.9</v>
      </c>
      <c r="AC71" s="92"/>
      <c r="AD71" s="92"/>
      <c r="AE71" s="92">
        <v>6</v>
      </c>
      <c r="AF71" s="91">
        <v>1.35</v>
      </c>
      <c r="AG71" s="92"/>
      <c r="AH71" s="92"/>
      <c r="AI71" s="91">
        <f>SUM(ППД5[[#This Row],[ТП Лоджия 1]:[ТП Лоджия 3]])</f>
        <v>1.35</v>
      </c>
      <c r="AJ71" s="95">
        <v>2.7</v>
      </c>
      <c r="AK71" s="92">
        <f>SUM(ППД5[[#This Row],[Площадь по ТП жилая]:[ТП Лоджия 3]])-ППД5[[#This Row],[ТП Летние]]+ППД5[[#This Row],[кроме того прочая
(без коэффициента)]]</f>
        <v>44.300000000000004</v>
      </c>
      <c r="AL71" s="95">
        <f>ППД5[[#This Row],[ТП Площадь без летних]]+(ППД5[[#This Row],[ТП Летние]])</f>
        <v>42.95</v>
      </c>
      <c r="AM71" s="92">
        <f>ППД5[[#This Row],[ТП общая S]]-ППД5[[#This Row],[кроме того прочая
(без коэффициента)]]</f>
        <v>41.6</v>
      </c>
      <c r="AN71" s="95">
        <f>SUM(ППД5[[#This Row],[ТП Кухня]:[ТП Коридор]])</f>
        <v>23.099999999999998</v>
      </c>
      <c r="AO71" s="91">
        <f>ППД5[[#This Row],[Расчетная ТП площадь]]-ППД5[[#This Row],[Расчетная проектная площадь]]</f>
        <v>0.20000000000000284</v>
      </c>
      <c r="AP71" s="335">
        <f>ППД5[[#This Row],[Расчетная ТП площадь]]/ППД5[[#This Row],[Расчетная проектная площадь]]-1</f>
        <v>4.6783625730995038E-3</v>
      </c>
      <c r="AQ71" s="92">
        <f>ППД5[[#This Row],[% расхождения]]*ППД5[[#This Row],[Стоимость до скидки]]</f>
        <v>26971.695906433259</v>
      </c>
      <c r="AR71" s="92">
        <f>VLOOKUP(ППД5[[#This Row],[№]],наценкад5[],COLUMN(наценкад5[[#This Row],[Цена м2 с учетом всех K]]),0)</f>
        <v>83951.4375</v>
      </c>
      <c r="AS71" s="7">
        <f>ППД5[[#This Row],[м2 после К]]*5%</f>
        <v>4197.5718750000005</v>
      </c>
      <c r="AT71" s="7">
        <f>ППД5[[#This Row],[м2 после К]]+ППД5[[#This Row],[Повышение 16.08.23 - 5%]]</f>
        <v>88149.009374999994</v>
      </c>
      <c r="AU71" s="9">
        <f>ППД5[[#This Row],[Фикс 16.08.23]]*3%</f>
        <v>2644.4702812499995</v>
      </c>
      <c r="AV71" s="9">
        <f>ППД5[[#This Row],[Фикс 16.08.23]]+ППД5[[#This Row],[Повышение 29.08.23 - 3%]]</f>
        <v>90793.479656249998</v>
      </c>
      <c r="AW71" s="93">
        <f>ППД5[[#This Row],[Фикс 29.08.23]]*4%</f>
        <v>3631.7391862499999</v>
      </c>
      <c r="AX71" s="9">
        <f>ППД5[[#This Row],[Фикс 29.08.23]]+ППД5[[#This Row],[Повышение 06.09.23 СТ и 1К]]</f>
        <v>94425.218842499991</v>
      </c>
      <c r="AY71" s="9"/>
      <c r="AZ71" s="9">
        <f>ППД5[[#This Row],[Повышение 23.10.23  В4 ]]+ППД5[[#This Row],[Фикс 06.09.23]]</f>
        <v>94425.218842499991</v>
      </c>
      <c r="BA71" s="93">
        <f>ППД5[[#This Row],[Фикс 23.10.23]]*5%</f>
        <v>4721.2609421249999</v>
      </c>
      <c r="BB71" s="93">
        <f>ППД5[[#This Row],[Повышение 8.11.23 1К 5%]]+ППД5[[#This Row],[Фикс 23.10.23]]</f>
        <v>99146.479784624986</v>
      </c>
      <c r="BC71" s="93"/>
      <c r="BD71" s="93">
        <f>ППД5[[#This Row],[Корректировка 24.11.23 - 1К В5, 2К А2, №233]]+ППД5[[#This Row],[Фикс 8.11.23]]</f>
        <v>99146.479784624986</v>
      </c>
      <c r="BE71" s="93">
        <f>ППД5[[#This Row],[Фикс 8.11.24]]*1%</f>
        <v>991.46479784624989</v>
      </c>
      <c r="BF71" s="93">
        <f>ППД5[[#This Row],[Наценка за отделку 29.12.23 1%]]+ППД5[[#This Row],[Фикс 8.11.24]]</f>
        <v>100137.94458247123</v>
      </c>
      <c r="BG71" s="93">
        <f>ППД5[[#This Row],[Фикс 29.12.23]]*5%</f>
        <v>5006.8972291235623</v>
      </c>
      <c r="BH71" s="93">
        <f>ППД5[[#This Row],[Фикс 29.12.23]]+ППД5[[#This Row],[Наценка 10.01.24 5%]]</f>
        <v>105144.84181159479</v>
      </c>
      <c r="BI71" s="93"/>
      <c r="BJ71" s="93">
        <f>ППД5[[#This Row],[Наценка 26.02.24 1 Этаж]]+ППД5[[#This Row],[Фикс 10.01.24]]</f>
        <v>105144.84181159479</v>
      </c>
      <c r="BK71" s="93">
        <f>ППД5[[#This Row],[Фикс 26.02.24]]*3%</f>
        <v>3154.3452543478434</v>
      </c>
      <c r="BL71" s="93">
        <f>ППД5[[#This Row],[Фикс 26.02.24]]+ППД5[[#This Row],[Наценка 06.03.24
СТ, 1К - 3%
2К, 3К - 2%]]</f>
        <v>108299.18706594263</v>
      </c>
      <c r="BM71" s="93"/>
      <c r="BN71" s="93">
        <f>ППД5[[#This Row],[Фикс 06.03.24]]+ППД5[[#This Row],[Наценка Г2+500]]</f>
        <v>108299.18706594263</v>
      </c>
      <c r="BO71" s="93"/>
      <c r="BP71" s="93">
        <f>ППД5[[#This Row],[Фикс 13.03.25]]+ППД5[[#This Row],[Наценка 20.03.24
2К, 3К - 2%]]</f>
        <v>108299.18706594263</v>
      </c>
      <c r="BQ71" s="93"/>
      <c r="BR71" s="93">
        <f>ППД5[[#This Row],[Фикс 20.03.24]]+ППД5[[#This Row],[Наценка 08.04.24 
2К: В3 - 150
3К: Г7 +1000]]</f>
        <v>108299.18706594263</v>
      </c>
      <c r="BS71" s="93"/>
      <c r="BT71" s="93">
        <f>ППД5[[#This Row],[Фикс 08.04.24]]+ППД5[[#This Row],[Наценка 16.05.24 1%
А4,А6,Б3,Б6,Б7,В2,В3,В5,В6,Г1,Г3-Г5]]</f>
        <v>108299.18706594263</v>
      </c>
      <c r="BU71" s="93"/>
      <c r="BV71" s="93">
        <f>ППД5[[#This Row],[Фикс 16.05.24]]+ППД5[[#This Row],[Наценка 24.05.24
1% - Б4, Б5,Г2,Г6
2% - А1,А3,А5,Б2,Г7]]</f>
        <v>108299.18706594263</v>
      </c>
      <c r="BW71" s="9">
        <f>ППД5[[#This Row],[Фикс 24.05.24]]*0.5%</f>
        <v>541.49593532971323</v>
      </c>
      <c r="BX71" s="93">
        <f>ППД5[[#This Row],[Наценка 06.06.24
0К: В2,Г3 +0,5%
1К: А7, Б5/4, Г6 +0,5%
3К: В6 +0,5%
1К: А3 +1%]]+ППД5[[#This Row],[Фикс 24.05.24]]</f>
        <v>108840.68300127235</v>
      </c>
      <c r="BY71" s="93"/>
      <c r="BZ71" s="93">
        <f>ППД5[[#This Row],[Фикс 06.06.24]]+ППД5[[#This Row],[13.06.2024
3К - 2%]]</f>
        <v>108840.68300127235</v>
      </c>
      <c r="CA71" s="93">
        <f>1.5%*ППД5[[#This Row],[Фикс 13.06.24]]</f>
        <v>1632.6102450190851</v>
      </c>
      <c r="CB71" s="93">
        <f>ППД5[[#This Row],[02.07.2024: Г3 А1 А3 Б5 Б7 Г2 Г6 Б3 Б4 В3 Г7 2,5% ост 0,5-1,5%]]+ППД5[[#This Row],[Фикс 13.06.24]]</f>
        <v>110473.29324629143</v>
      </c>
      <c r="CC71" s="93"/>
      <c r="CD71" s="93">
        <f>ППД5[[#This Row],[Фикс 02.07.24]]+ППД5[[#This Row],[04.09.2024 +500
0К - Б2; 1К - А3;
2К - А6, Б4, В3, Г5]]</f>
        <v>110473.29324629143</v>
      </c>
      <c r="CE71" s="93"/>
      <c r="CF71" s="93">
        <f>ППД5[[#This Row],[Наценка 16.09.2024
1К: А1,В7,Г6/7,Г8 - 2%
2К: А4,А5,А6,Б1,Б6,Б3/4,В3,В4,Г4,Г5 - 4%
3К: 4%]]+ППД5[[#This Row],[Фикс 04.09.24]]</f>
        <v>110473.29324629143</v>
      </c>
      <c r="CG71" s="93">
        <f>ППД5[[#This Row],[Фикс 16.09.2024]]*8%</f>
        <v>8837.8634597033142</v>
      </c>
      <c r="CH71" s="93">
        <f>ППД5[[#This Row],[Фикс 16.09.2024]]+ППД5[[#This Row],[Наценка 01.11.24
СТ: 4%
1К: 34-40м 5%; 40м+ 8%; МГН 1%
2К: 55-70м 6%; 70-73м 7%; 73-76м 8% 
3К: 5%]]</f>
        <v>119311.15670599474</v>
      </c>
      <c r="CI71" s="93">
        <f>ППД5[[#This Row],[Фикс 01.11.24]]*13%</f>
        <v>15510.450371779318</v>
      </c>
      <c r="CJ71" s="93">
        <f>ППД5[[#This Row],[Наценка 06.11 13%]]+ППД5[[#This Row],[Фикс 01.11.24]]</f>
        <v>134821.60707777407</v>
      </c>
      <c r="CK71" s="93">
        <v>35</v>
      </c>
      <c r="CL71" s="93">
        <f>ППД5[[#This Row],[Фикс 06.11.24]]+ППД5[[#This Row],[Наценка 18.12.24 распределение КВ]]</f>
        <v>134856.60707777407</v>
      </c>
      <c r="CM71" s="93"/>
      <c r="CN71" s="93">
        <f>ППД5[[#This Row],[Фикс 18.12.24]]+ППД5[[#This Row],[Наценка 10.02.25 +1%
1К: А3
2К: Б3, В3]]</f>
        <v>134856.60707777407</v>
      </c>
      <c r="CO71" s="93">
        <f>ROUND(ППД5[[#This Row],[Фикс 10.02.25]],2)</f>
        <v>134856.60999999999</v>
      </c>
      <c r="CP7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5765200</v>
      </c>
      <c r="CQ71" s="93">
        <f>ROUNDUP(ППД5[[#This Row],[Стоимость до скидки]]+ППД5[[#This Row],[Сумма доплаты]],-2)</f>
        <v>5792200</v>
      </c>
      <c r="CR71" s="68">
        <f>ППД5[[#This Row],[Расчетная проектная площадь]]*8000</f>
        <v>342000</v>
      </c>
      <c r="CS71" s="90"/>
      <c r="CT71" s="68">
        <f>ППД5[[#This Row],[Стоимость до скидки]]*ППД5[[#This Row],[Скидка %]]+ППД5[[#This Row],[Скидка фиксированная]]</f>
        <v>342000</v>
      </c>
      <c r="CU71" s="3">
        <f>ППД5[[#This Row],[Стоимость ОН без отделки со скидкой]]/ППД5[[#This Row],[Расчетная проектная площадь]]</f>
        <v>126858.47953216374</v>
      </c>
      <c r="CV71" s="3">
        <f>ROUND(ППД5[[#This Row],[Стоимость до скидки]]-ППД5[[#This Row],[Итоговая сумма скидки]],2)</f>
        <v>5423200</v>
      </c>
      <c r="CW7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71" s="197"/>
      <c r="CY71" s="332">
        <f>ППД5[[#This Row],[Расхождение]]/ППД5[[#This Row],[Расчетная проектная площадь]]</f>
        <v>4.6783625730994821E-3</v>
      </c>
      <c r="CZ7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0.16999999999999993</v>
      </c>
      <c r="DA71" s="3">
        <f>ППД5[[#This Row],[Цена м2 без отделки со скидкой]]+ППД5[[#This Row],[Стоимость отделки]]</f>
        <v>126858.47953216374</v>
      </c>
      <c r="DB71" s="3">
        <f>ППД5[[#This Row],[Стоимость квартиры с отделкой]]-ППД5[[#This Row],[Стоимость ОН без отделки со скидкой]]</f>
        <v>0</v>
      </c>
      <c r="DC71" s="3">
        <f>ППД5[[#This Row],[Цена м2 с отделкой]]*ППД5[[#This Row],[Расчетная проектная площадь]]</f>
        <v>5423200</v>
      </c>
      <c r="DD71" s="3"/>
      <c r="DE71" s="111" t="s">
        <v>2122</v>
      </c>
      <c r="DF71" s="199" t="s">
        <v>172</v>
      </c>
      <c r="DG71" s="245" t="s">
        <v>172</v>
      </c>
      <c r="DH71" s="100" t="b">
        <f>EXACT(ППД5[[#This Row],[Статусы CRM]],ППД5[[#This Row],[Статус]])</f>
        <v>1</v>
      </c>
      <c r="DI71" s="213" t="s">
        <v>243</v>
      </c>
      <c r="DJ71" s="204"/>
      <c r="DK71" s="111" t="s">
        <v>763</v>
      </c>
      <c r="DL71" s="216" t="s">
        <v>12</v>
      </c>
      <c r="DM71" s="201" t="b">
        <f>ППД5[[#This Row],[Отделка CRM]]=ППД5[[#This Row],[Отделка]]</f>
        <v>1</v>
      </c>
      <c r="DN71" s="203">
        <v>5423200</v>
      </c>
      <c r="DO7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71" s="207" t="b">
        <f>IF(AND(ППД5[[#This Row],[Статус]]="свободно",ППД5[[#This Row],[Итоговая сумма скидки]]&lt;&gt;0),FALSE,TRUE)</f>
        <v>1</v>
      </c>
      <c r="DQ71" s="240" t="str">
        <f>_xlfn.XLOOKUP(ППД5[[#This Row],[№]],Юрист[№ кв],Юрист[Дата подачи на регистрацию]," ",0,-1)</f>
        <v xml:space="preserve"> </v>
      </c>
      <c r="DR71" s="115" t="str">
        <f>_xlfn.XLOOKUP(ППД5[[#This Row],[№]],Юрист[№ кв],Юрист[МОП],"",0,-1)</f>
        <v/>
      </c>
      <c r="DS71" s="333" t="s">
        <v>2434</v>
      </c>
      <c r="DT71" s="333" t="s">
        <v>2435</v>
      </c>
      <c r="DU71" s="333">
        <v>41.6</v>
      </c>
      <c r="DV71" s="111"/>
    </row>
    <row r="72" spans="1:126" hidden="1" x14ac:dyDescent="0.25">
      <c r="A72" s="112">
        <v>70</v>
      </c>
      <c r="B72" s="111" t="s">
        <v>5</v>
      </c>
      <c r="C72" s="111">
        <v>11</v>
      </c>
      <c r="D72" s="338">
        <v>1</v>
      </c>
      <c r="E72" s="111">
        <v>1</v>
      </c>
      <c r="F72" s="105">
        <v>14.68</v>
      </c>
      <c r="G72" s="105"/>
      <c r="H72" s="105"/>
      <c r="I72" s="94">
        <f>SUM(ППД5[[#This Row],[Комната 1]:[Комната 3]])</f>
        <v>14.68</v>
      </c>
      <c r="J72" s="1">
        <v>9.84</v>
      </c>
      <c r="K72" s="105">
        <v>3.63</v>
      </c>
      <c r="L72" s="105"/>
      <c r="M72" s="105"/>
      <c r="N72" s="105">
        <v>4.8899999999999997</v>
      </c>
      <c r="O72" s="105">
        <v>2.7</v>
      </c>
      <c r="P72" s="105"/>
      <c r="Q72" s="105"/>
      <c r="R72" s="105">
        <f>SUM(ППД5[[#This Row],[Лоджия 1]:[Лоджия 3]])</f>
        <v>2.7</v>
      </c>
      <c r="S72" s="7">
        <f>ROUND(SUM(ППД5[[#This Row],[Площадь по проекту жилая]:[Лоджия 3]]),2)</f>
        <v>35.74</v>
      </c>
      <c r="T72" s="7">
        <f>ROUND(ППД5[[#This Row],[Площадь по проекту(общая)]]-ППД5[[#This Row],[Летние]],2)</f>
        <v>33.04</v>
      </c>
      <c r="U72" s="92">
        <f>ROUND(ППД5[[#This Row],[Площадь по проекту(общая)]]-(SUM(ППД5[[#This Row],[Лоджия 1]:[Лоджия 3]])/2),2)</f>
        <v>34.39</v>
      </c>
      <c r="V72" s="92">
        <f>IF(ППД5[[#This Row],[Статус]]="продажа",ППД5[[#This Row],[Расчетная проектная площадь]],ППД5[[#This Row],[Расчетная ТП площадь]])</f>
        <v>34.39</v>
      </c>
      <c r="W72" s="92">
        <v>14.6</v>
      </c>
      <c r="X72" s="92"/>
      <c r="Y72" s="92"/>
      <c r="Z72" s="92">
        <f>SUM(ППД5[[#This Row],[ТП Комната 1]:[ТП Комната 3]])</f>
        <v>14.6</v>
      </c>
      <c r="AA72" s="92">
        <v>9.6999999999999993</v>
      </c>
      <c r="AB72" s="92">
        <v>3.9</v>
      </c>
      <c r="AC72" s="92"/>
      <c r="AD72" s="92"/>
      <c r="AE72" s="92">
        <v>4.8</v>
      </c>
      <c r="AF72" s="91">
        <v>1.35</v>
      </c>
      <c r="AG72" s="92"/>
      <c r="AH72" s="92"/>
      <c r="AI72" s="91">
        <f>SUM(ППД5[[#This Row],[ТП Лоджия 1]:[ТП Лоджия 3]])</f>
        <v>1.35</v>
      </c>
      <c r="AJ72" s="95">
        <v>2.7</v>
      </c>
      <c r="AK72" s="92">
        <f>SUM(ППД5[[#This Row],[Площадь по ТП жилая]:[ТП Лоджия 3]])-ППД5[[#This Row],[ТП Летние]]+ППД5[[#This Row],[кроме того прочая
(без коэффициента)]]</f>
        <v>35.699999999999996</v>
      </c>
      <c r="AL72" s="95">
        <f>ППД5[[#This Row],[ТП Площадь без летних]]+(ППД5[[#This Row],[ТП Летние]])</f>
        <v>34.349999999999994</v>
      </c>
      <c r="AM72" s="92">
        <f>ППД5[[#This Row],[ТП общая S]]-ППД5[[#This Row],[кроме того прочая
(без коэффициента)]]</f>
        <v>32.999999999999993</v>
      </c>
      <c r="AN72" s="95">
        <f>SUM(ППД5[[#This Row],[ТП Кухня]:[ТП Коридор]])</f>
        <v>18.399999999999999</v>
      </c>
      <c r="AO72" s="91">
        <f>ППД5[[#This Row],[Расчетная ТП площадь]]-ППД5[[#This Row],[Расчетная проектная площадь]]</f>
        <v>-4.0000000000006253E-2</v>
      </c>
      <c r="AP72" s="335">
        <f>ППД5[[#This Row],[Расчетная ТП площадь]]/ППД5[[#This Row],[Расчетная проектная площадь]]-1</f>
        <v>-1.1631288165165898E-3</v>
      </c>
      <c r="AQ72" s="92">
        <f>ППД5[[#This Row],[% расхождения]]*ППД5[[#This Row],[Стоимость до скидки]]</f>
        <v>-4679.7324803728479</v>
      </c>
      <c r="AR72" s="92">
        <f>VLOOKUP(ППД5[[#This Row],[№]],наценкад5[],COLUMN(наценкад5[[#This Row],[Цена м2 с учетом всех K]]),0)</f>
        <v>82734.75</v>
      </c>
      <c r="AS72" s="7">
        <f>ППД5[[#This Row],[м2 после К]]*5%</f>
        <v>4136.7375000000002</v>
      </c>
      <c r="AT72" s="7">
        <f>ППД5[[#This Row],[м2 после К]]+ППД5[[#This Row],[Повышение 16.08.23 - 5%]]</f>
        <v>86871.487500000003</v>
      </c>
      <c r="AU72" s="9">
        <f>ППД5[[#This Row],[Фикс 16.08.23]]*3%</f>
        <v>2606.1446249999999</v>
      </c>
      <c r="AV72" s="9">
        <f>ППД5[[#This Row],[Фикс 16.08.23]]+ППД5[[#This Row],[Повышение 29.08.23 - 3%]]</f>
        <v>89477.632125000004</v>
      </c>
      <c r="AW72" s="93">
        <f>ППД5[[#This Row],[Фикс 29.08.23]]*14%</f>
        <v>12526.868497500001</v>
      </c>
      <c r="AX72" s="9">
        <f>ППД5[[#This Row],[Фикс 29.08.23]]+ППД5[[#This Row],[Повышение 06.09.23 СТ и 1К]]</f>
        <v>102004.50062250001</v>
      </c>
      <c r="AY72" s="9"/>
      <c r="AZ72" s="9">
        <f>ППД5[[#This Row],[Повышение 23.10.23  В4 ]]+ППД5[[#This Row],[Фикс 06.09.23]]</f>
        <v>102004.50062250001</v>
      </c>
      <c r="BA72" s="93">
        <f>ППД5[[#This Row],[Фикс 23.10.23]]*5%</f>
        <v>5100.2250311250009</v>
      </c>
      <c r="BB72" s="93">
        <f>ППД5[[#This Row],[Повышение 8.11.23 1К 5%]]+ППД5[[#This Row],[Фикс 23.10.23]]</f>
        <v>107104.72565362501</v>
      </c>
      <c r="BC72" s="93"/>
      <c r="BD72" s="93">
        <f>ППД5[[#This Row],[Корректировка 24.11.23 - 1К В5, 2К А2, №233]]+ППД5[[#This Row],[Фикс 8.11.23]]</f>
        <v>107104.72565362501</v>
      </c>
      <c r="BE72" s="93">
        <f>ППД5[[#This Row],[Фикс 8.11.24]]*1%</f>
        <v>1071.0472565362502</v>
      </c>
      <c r="BF72" s="93">
        <f>ППД5[[#This Row],[Наценка за отделку 29.12.23 1%]]+ППД5[[#This Row],[Фикс 8.11.24]]</f>
        <v>108175.77291016125</v>
      </c>
      <c r="BG72" s="93">
        <f>ППД5[[#This Row],[Фикс 29.12.23]]*5%</f>
        <v>5408.7886455080625</v>
      </c>
      <c r="BH72" s="93">
        <f>ППД5[[#This Row],[Фикс 29.12.23]]+ППД5[[#This Row],[Наценка 10.01.24 5%]]</f>
        <v>113584.56155566931</v>
      </c>
      <c r="BI72" s="93"/>
      <c r="BJ72" s="93">
        <f>ППД5[[#This Row],[Наценка 26.02.24 1 Этаж]]+ППД5[[#This Row],[Фикс 10.01.24]]</f>
        <v>113584.56155566931</v>
      </c>
      <c r="BK72" s="93">
        <f>ППД5[[#This Row],[Фикс 26.02.24]]*3%</f>
        <v>3407.5368466700793</v>
      </c>
      <c r="BL72" s="93">
        <f>ППД5[[#This Row],[Фикс 26.02.24]]+ППД5[[#This Row],[Наценка 06.03.24
СТ, 1К - 3%
2К, 3К - 2%]]</f>
        <v>116992.09840233938</v>
      </c>
      <c r="BM72" s="93"/>
      <c r="BN72" s="93">
        <f>ППД5[[#This Row],[Фикс 06.03.24]]+ППД5[[#This Row],[Наценка Г2+500]]</f>
        <v>116992.09840233938</v>
      </c>
      <c r="BO72" s="93"/>
      <c r="BP72" s="93">
        <f>ППД5[[#This Row],[Фикс 13.03.25]]+ППД5[[#This Row],[Наценка 20.03.24
2К, 3К - 2%]]</f>
        <v>116992.09840233938</v>
      </c>
      <c r="BQ72" s="93"/>
      <c r="BR72" s="93">
        <f>ППД5[[#This Row],[Фикс 20.03.24]]+ППД5[[#This Row],[Наценка 08.04.24 
2К: В3 - 150
3К: Г7 +1000]]</f>
        <v>116992.09840233938</v>
      </c>
      <c r="BS72" s="93"/>
      <c r="BT72" s="93">
        <f>ППД5[[#This Row],[Фикс 08.04.24]]+ППД5[[#This Row],[Наценка 16.05.24 1%
А4,А6,Б3,Б6,Б7,В2,В3,В5,В6,Г1,Г3-Г5]]</f>
        <v>116992.09840233938</v>
      </c>
      <c r="BU72" s="93"/>
      <c r="BV72" s="93">
        <f>ППД5[[#This Row],[Фикс 16.05.24]]+ППД5[[#This Row],[Наценка 24.05.24
1% - Б4, Б5,Г2,Г6
2% - А1,А3,А5,Б2,Г7]]</f>
        <v>116992.09840233938</v>
      </c>
      <c r="BW72" s="93"/>
      <c r="BX72" s="93">
        <f>ППД5[[#This Row],[Наценка 06.06.24
0К: В2,Г3 +0,5%
1К: А7, Б5/4, Г6 +0,5%
3К: В6 +0,5%
1К: А3 +1%]]+ППД5[[#This Row],[Фикс 24.05.24]]</f>
        <v>116992.09840233938</v>
      </c>
      <c r="BY72" s="93"/>
      <c r="BZ72" s="93">
        <f>ППД5[[#This Row],[Фикс 06.06.24]]+ППД5[[#This Row],[13.06.2024
3К - 2%]]</f>
        <v>116992.09840233938</v>
      </c>
      <c r="CA72" s="93"/>
      <c r="CB72" s="93">
        <f>ППД5[[#This Row],[02.07.2024: Г3 А1 А3 Б5 Б7 Г2 Г6 Б3 Б4 В3 Г7 2,5% ост 0,5-1,5%]]+ППД5[[#This Row],[Фикс 13.06.24]]</f>
        <v>116992.09840233938</v>
      </c>
      <c r="CC72" s="93"/>
      <c r="CD72" s="93">
        <f>ППД5[[#This Row],[Фикс 02.07.24]]+ППД5[[#This Row],[04.09.2024 +500
0К - Б2; 1К - А3;
2К - А6, Б4, В3, Г5]]</f>
        <v>116992.09840233938</v>
      </c>
      <c r="CE72" s="93"/>
      <c r="CF72" s="93">
        <f>ППД5[[#This Row],[Наценка 16.09.2024
1К: А1,В7,Г6/7,Г8 - 2%
2К: А4,А5,А6,Б1,Б6,Б3/4,В3,В4,Г4,Г5 - 4%
3К: 4%]]+ППД5[[#This Row],[Фикс 04.09.24]]</f>
        <v>116992.09840233938</v>
      </c>
      <c r="CG72" s="93"/>
      <c r="CH72" s="93">
        <f>ППД5[[#This Row],[Фикс 16.09.2024]]+ППД5[[#This Row],[Наценка 01.11.24
СТ: 4%
1К: 34-40м 5%; 40м+ 8%; МГН 1%
2К: 55-70м 6%; 70-73м 7%; 73-76м 8% 
3К: 5%]]</f>
        <v>116992.09840233938</v>
      </c>
      <c r="CI72" s="93"/>
      <c r="CJ72" s="93">
        <f>ППД5[[#This Row],[Наценка 06.11 13%]]+ППД5[[#This Row],[Фикс 01.11.24]]</f>
        <v>116992.09840233938</v>
      </c>
      <c r="CK72" s="93"/>
      <c r="CL72" s="93">
        <f>ППД5[[#This Row],[Фикс 06.11.24]]+ППД5[[#This Row],[Наценка 18.12.24 распределение КВ]]</f>
        <v>116992.09840233938</v>
      </c>
      <c r="CM72" s="93"/>
      <c r="CN72" s="93">
        <f>ППД5[[#This Row],[Фикс 18.12.24]]+ППД5[[#This Row],[Наценка 10.02.25 +1%
1К: А3
2К: Б3, В3]]</f>
        <v>116992.09840233938</v>
      </c>
      <c r="CO72" s="93">
        <f>ROUND(ППД5[[#This Row],[Фикс 10.02.25]],2)</f>
        <v>116992.1</v>
      </c>
      <c r="CP7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4023400</v>
      </c>
      <c r="CQ72" s="93">
        <f>ROUNDUP(ППД5[[#This Row],[Стоимость до скидки]]+ППД5[[#This Row],[Сумма доплаты]],-2)</f>
        <v>4018800</v>
      </c>
      <c r="CR72" s="68">
        <v>88888</v>
      </c>
      <c r="CS72" s="90"/>
      <c r="CT72" s="68">
        <f>ППД5[[#This Row],[Стоимость до скидки]]*ППД5[[#This Row],[Скидка %]]+ППД5[[#This Row],[Скидка фиксированная]]</f>
        <v>88888</v>
      </c>
      <c r="CU72" s="3">
        <f>ППД5[[#This Row],[Стоимость ОН без отделки со скидкой]]/ППД5[[#This Row],[Расчетная проектная площадь]]</f>
        <v>114408.60715324222</v>
      </c>
      <c r="CV72" s="3">
        <f>ROUND(ППД5[[#This Row],[Стоимость до скидки]]-ППД5[[#This Row],[Итоговая сумма скидки]],2)</f>
        <v>3934512</v>
      </c>
      <c r="CW7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72" s="197">
        <v>20000</v>
      </c>
      <c r="CY72" s="332">
        <f>ППД5[[#This Row],[Расхождение]]/ППД5[[#This Row],[Расчетная проектная площадь]]</f>
        <v>-1.1631288165166111E-3</v>
      </c>
      <c r="CZ7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3.9999999999999147E-2</v>
      </c>
      <c r="DA72" s="3">
        <f>ППД5[[#This Row],[Цена м2 без отделки со скидкой]]+ППД5[[#This Row],[Стоимость отделки]]</f>
        <v>134408.60715324222</v>
      </c>
      <c r="DB72" s="3">
        <f>ППД5[[#This Row],[Стоимость квартиры с отделкой]]-ППД5[[#This Row],[Стоимость ОН без отделки со скидкой]]</f>
        <v>687800</v>
      </c>
      <c r="DC72" s="3">
        <f>ППД5[[#This Row],[Цена м2 с отделкой]]*ППД5[[#This Row],[Расчетная проектная площадь]]</f>
        <v>4622312</v>
      </c>
      <c r="DD72" s="3" t="s">
        <v>154</v>
      </c>
      <c r="DE72" s="111" t="s">
        <v>781</v>
      </c>
      <c r="DF72" s="199" t="s">
        <v>172</v>
      </c>
      <c r="DG72" s="245" t="s">
        <v>172</v>
      </c>
      <c r="DH72" s="100" t="b">
        <f>EXACT(ППД5[[#This Row],[Статусы CRM]],ППД5[[#This Row],[Статус]])</f>
        <v>1</v>
      </c>
      <c r="DI72" s="213" t="s">
        <v>244</v>
      </c>
      <c r="DJ72" s="204"/>
      <c r="DK72" s="111" t="s">
        <v>763</v>
      </c>
      <c r="DL72" s="216" t="s">
        <v>14</v>
      </c>
      <c r="DM72" s="201" t="b">
        <f>ППД5[[#This Row],[Отделка CRM]]=ППД5[[#This Row],[Отделка]]</f>
        <v>1</v>
      </c>
      <c r="DN72" s="203">
        <v>4622312</v>
      </c>
      <c r="DO7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72" s="207" t="b">
        <f>IF(AND(ППД5[[#This Row],[Статус]]="свободно",ППД5[[#This Row],[Итоговая сумма скидки]]&lt;&gt;0),FALSE,TRUE)</f>
        <v>1</v>
      </c>
      <c r="DQ72" s="240">
        <f>_xlfn.XLOOKUP(ППД5[[#This Row],[№]],Юрист[№ кв],Юрист[Дата подачи на регистрацию]," ",0,-1)</f>
        <v>45377</v>
      </c>
      <c r="DR72" s="115" t="str">
        <f>_xlfn.XLOOKUP(ППД5[[#This Row],[№]],Юрист[№ кв],Юрист[МОП],"",0,-1)</f>
        <v>Полехович</v>
      </c>
      <c r="DS72" s="333" t="s">
        <v>2436</v>
      </c>
      <c r="DT72" s="333" t="s">
        <v>2437</v>
      </c>
      <c r="DU72" s="333">
        <v>33</v>
      </c>
      <c r="DV72" s="111"/>
    </row>
    <row r="73" spans="1:126" hidden="1" x14ac:dyDescent="0.25">
      <c r="A73" s="112">
        <v>71</v>
      </c>
      <c r="B73" s="111" t="s">
        <v>5</v>
      </c>
      <c r="C73" s="111">
        <v>11</v>
      </c>
      <c r="D73" s="111">
        <v>2</v>
      </c>
      <c r="E73" s="111">
        <v>2</v>
      </c>
      <c r="F73" s="105">
        <v>15.82</v>
      </c>
      <c r="G73" s="156">
        <v>15.54</v>
      </c>
      <c r="H73" s="105"/>
      <c r="I73" s="94">
        <f>SUM(ППД5[[#This Row],[Комната 1]:[Комната 3]])</f>
        <v>31.36</v>
      </c>
      <c r="J73" s="105">
        <v>19.440000000000001</v>
      </c>
      <c r="K73" s="105">
        <v>4.42</v>
      </c>
      <c r="L73" s="105"/>
      <c r="M73" s="105">
        <v>3.25</v>
      </c>
      <c r="N73" s="105">
        <v>8.5299999999999994</v>
      </c>
      <c r="O73" s="105">
        <v>3</v>
      </c>
      <c r="P73" s="105"/>
      <c r="Q73" s="105"/>
      <c r="R73" s="105">
        <f>SUM(ППД5[[#This Row],[Лоджия 1]:[Лоджия 3]])</f>
        <v>3</v>
      </c>
      <c r="S73" s="7">
        <f>ROUND(SUM(ППД5[[#This Row],[Площадь по проекту жилая]:[Лоджия 3]]),2)</f>
        <v>70</v>
      </c>
      <c r="T73" s="7">
        <f>ROUND(ППД5[[#This Row],[Площадь по проекту(общая)]]-ППД5[[#This Row],[Летние]],2)</f>
        <v>67</v>
      </c>
      <c r="U73" s="92">
        <f>ROUND(ППД5[[#This Row],[Площадь по проекту(общая)]]-(SUM(ППД5[[#This Row],[Лоджия 1]:[Лоджия 3]])/2),2)</f>
        <v>68.5</v>
      </c>
      <c r="V73" s="92">
        <f>IF(ППД5[[#This Row],[Статус]]="продажа",ППД5[[#This Row],[Расчетная проектная площадь]],ППД5[[#This Row],[Расчетная ТП площадь]])</f>
        <v>68.199999999999989</v>
      </c>
      <c r="W73" s="92">
        <v>15.5</v>
      </c>
      <c r="X73" s="92">
        <v>15.8</v>
      </c>
      <c r="Y73" s="92"/>
      <c r="Z73" s="92">
        <f>SUM(ППД5[[#This Row],[ТП Комната 1]:[ТП Комната 3]])</f>
        <v>31.3</v>
      </c>
      <c r="AA73" s="92">
        <v>19</v>
      </c>
      <c r="AB73" s="92">
        <v>4.5</v>
      </c>
      <c r="AC73" s="92"/>
      <c r="AD73" s="92">
        <v>3.3</v>
      </c>
      <c r="AE73" s="92">
        <v>8.6</v>
      </c>
      <c r="AF73" s="92">
        <v>1.5</v>
      </c>
      <c r="AG73" s="92"/>
      <c r="AH73" s="92"/>
      <c r="AI73" s="91">
        <f>SUM(ППД5[[#This Row],[ТП Лоджия 1]:[ТП Лоджия 3]])</f>
        <v>1.5</v>
      </c>
      <c r="AJ73" s="95">
        <v>3</v>
      </c>
      <c r="AK73" s="92">
        <f>SUM(ППД5[[#This Row],[Площадь по ТП жилая]:[ТП Лоджия 3]])-ППД5[[#This Row],[ТП Летние]]+ППД5[[#This Row],[кроме того прочая
(без коэффициента)]]</f>
        <v>69.699999999999989</v>
      </c>
      <c r="AL73" s="95">
        <f>ППД5[[#This Row],[ТП Площадь без летних]]+(ППД5[[#This Row],[ТП Летние]])</f>
        <v>68.199999999999989</v>
      </c>
      <c r="AM73" s="92">
        <f>ППД5[[#This Row],[ТП общая S]]-ППД5[[#This Row],[кроме того прочая
(без коэффициента)]]</f>
        <v>66.699999999999989</v>
      </c>
      <c r="AN73" s="95">
        <f>SUM(ППД5[[#This Row],[ТП Кухня]:[ТП Коридор]])</f>
        <v>35.4</v>
      </c>
      <c r="AO73" s="91">
        <f>ППД5[[#This Row],[Расчетная ТП площадь]]-ППД5[[#This Row],[Расчетная проектная площадь]]</f>
        <v>-0.30000000000001137</v>
      </c>
      <c r="AP73" s="335">
        <f>ППД5[[#This Row],[Расчетная ТП площадь]]/ППД5[[#This Row],[Расчетная проектная площадь]]-1</f>
        <v>-4.3795620437957483E-3</v>
      </c>
      <c r="AQ73" s="92">
        <f>ППД5[[#This Row],[% расхождения]]*ППД5[[#This Row],[Стоимость до скидки]]</f>
        <v>-35950.510948906158</v>
      </c>
      <c r="AR73" s="92">
        <f>VLOOKUP(ППД5[[#This Row],[№]],наценкад5[],COLUMN(наценкад5[[#This Row],[Цена м2 с учетом всех K]]),0)</f>
        <v>84168.819000000003</v>
      </c>
      <c r="AS73" s="7">
        <f>ППД5[[#This Row],[м2 после К]]*5%</f>
        <v>4208.4409500000002</v>
      </c>
      <c r="AT73" s="7">
        <f>ППД5[[#This Row],[м2 после К]]+ППД5[[#This Row],[Повышение 16.08.23 - 5%]]</f>
        <v>88377.259950000007</v>
      </c>
      <c r="AU73" s="9">
        <f>ППД5[[#This Row],[Фикс 16.08.23]]*3%</f>
        <v>2651.3177985000002</v>
      </c>
      <c r="AV73" s="9">
        <f>ППД5[[#This Row],[Фикс 16.08.23]]+ППД5[[#This Row],[Повышение 29.08.23 - 3%]]</f>
        <v>91028.577748500014</v>
      </c>
      <c r="AW73" s="9"/>
      <c r="AX73" s="9">
        <f>ППД5[[#This Row],[Фикс 29.08.23]]+ППД5[[#This Row],[Повышение 06.09.23 СТ и 1К]]</f>
        <v>91028.577748500014</v>
      </c>
      <c r="AY73" s="9"/>
      <c r="AZ73" s="9">
        <f>ППД5[[#This Row],[Повышение 23.10.23  В4 ]]+ППД5[[#This Row],[Фикс 06.09.23]]</f>
        <v>91028.577748500014</v>
      </c>
      <c r="BA73" s="9"/>
      <c r="BB73" s="9">
        <f>ППД5[[#This Row],[Повышение 8.11.23 1К 5%]]+ППД5[[#This Row],[Фикс 23.10.23]]</f>
        <v>91028.577748500014</v>
      </c>
      <c r="BC73" s="9">
        <v>-831</v>
      </c>
      <c r="BD73" s="9">
        <f>ППД5[[#This Row],[Корректировка 24.11.23 - 1К В5, 2К А2, №233]]+ППД5[[#This Row],[Фикс 8.11.23]]</f>
        <v>90197.577748500014</v>
      </c>
      <c r="BE73" s="93">
        <f>ППД5[[#This Row],[Фикс 8.11.24]]*1%</f>
        <v>901.97577748500021</v>
      </c>
      <c r="BF73" s="9">
        <f>ППД5[[#This Row],[Наценка за отделку 29.12.23 1%]]+ППД5[[#This Row],[Фикс 8.11.24]]</f>
        <v>91099.553525985015</v>
      </c>
      <c r="BG73" s="93">
        <f>ППД5[[#This Row],[Фикс 29.12.23]]*5%</f>
        <v>4554.9776762992506</v>
      </c>
      <c r="BH73" s="9">
        <f>ППД5[[#This Row],[Фикс 29.12.23]]+ППД5[[#This Row],[Наценка 10.01.24 5%]]</f>
        <v>95654.53120228427</v>
      </c>
      <c r="BI73" s="9"/>
      <c r="BJ73" s="9">
        <f>ППД5[[#This Row],[Наценка 26.02.24 1 Этаж]]+ППД5[[#This Row],[Фикс 10.01.24]]</f>
        <v>95654.53120228427</v>
      </c>
      <c r="BK73" s="93">
        <f>ППД5[[#This Row],[Фикс 26.02.24]]*2%</f>
        <v>1913.0906240456854</v>
      </c>
      <c r="BL73" s="9">
        <f>ППД5[[#This Row],[Фикс 26.02.24]]+ППД5[[#This Row],[Наценка 06.03.24
СТ, 1К - 3%
2К, 3К - 2%]]</f>
        <v>97567.621826329952</v>
      </c>
      <c r="BM73" s="9"/>
      <c r="BN73" s="9">
        <f>ППД5[[#This Row],[Фикс 06.03.24]]+ППД5[[#This Row],[Наценка Г2+500]]</f>
        <v>97567.621826329952</v>
      </c>
      <c r="BO73" s="9">
        <f>ППД5[[#This Row],[Фикс 13.03.25]]*2%</f>
        <v>1951.3524365265991</v>
      </c>
      <c r="BP73" s="9">
        <f>ППД5[[#This Row],[Фикс 13.03.25]]+ППД5[[#This Row],[Наценка 20.03.24
2К, 3К - 2%]]</f>
        <v>99518.974262856558</v>
      </c>
      <c r="BQ73" s="9"/>
      <c r="BR73" s="9">
        <f>ППД5[[#This Row],[Фикс 20.03.24]]+ППД5[[#This Row],[Наценка 08.04.24 
2К: В3 - 150
3К: Г7 +1000]]</f>
        <v>99518.974262856558</v>
      </c>
      <c r="BS73" s="9"/>
      <c r="BT73" s="9">
        <f>ППД5[[#This Row],[Фикс 08.04.24]]+ППД5[[#This Row],[Наценка 16.05.24 1%
А4,А6,Б3,Б6,Б7,В2,В3,В5,В6,Г1,Г3-Г5]]</f>
        <v>99518.974262856558</v>
      </c>
      <c r="BU73" s="9"/>
      <c r="BV73" s="9">
        <f>ППД5[[#This Row],[Фикс 16.05.24]]+ППД5[[#This Row],[Наценка 24.05.24
1% - Б4, Б5,Г2,Г6
2% - А1,А3,А5,Б2,Г7]]</f>
        <v>99518.974262856558</v>
      </c>
      <c r="BW73" s="9"/>
      <c r="BX73" s="9">
        <f>ППД5[[#This Row],[Наценка 06.06.24
0К: В2,Г3 +0,5%
1К: А7, Б5/4, Г6 +0,5%
3К: В6 +0,5%
1К: А3 +1%]]+ППД5[[#This Row],[Фикс 24.05.24]]</f>
        <v>99518.974262856558</v>
      </c>
      <c r="BY73" s="9"/>
      <c r="BZ73" s="9">
        <f>ППД5[[#This Row],[Фикс 06.06.24]]+ППД5[[#This Row],[13.06.2024
3К - 2%]]</f>
        <v>99518.974262856558</v>
      </c>
      <c r="CA73" s="93">
        <f>0.5%*ППД5[[#This Row],[Фикс 13.06.24]]</f>
        <v>497.59487131428278</v>
      </c>
      <c r="CB73" s="9">
        <f>ППД5[[#This Row],[02.07.2024: Г3 А1 А3 Б5 Б7 Г2 Г6 Б3 Б4 В3 Г7 2,5% ост 0,5-1,5%]]+ППД5[[#This Row],[Фикс 13.06.24]]</f>
        <v>100016.56913417084</v>
      </c>
      <c r="CC73" s="9"/>
      <c r="CD73" s="9">
        <f>ППД5[[#This Row],[Фикс 02.07.24]]+ППД5[[#This Row],[04.09.2024 +500
0К - Б2; 1К - А3;
2К - А6, Б4, В3, Г5]]</f>
        <v>100016.56913417084</v>
      </c>
      <c r="CE73" s="9"/>
      <c r="CF73" s="9">
        <f>ППД5[[#This Row],[Наценка 16.09.2024
1К: А1,В7,Г6/7,Г8 - 2%
2К: А4,А5,А6,Б1,Б6,Б3/4,В3,В4,Г4,Г5 - 4%
3К: 4%]]+ППД5[[#This Row],[Фикс 04.09.24]]</f>
        <v>100016.56913417084</v>
      </c>
      <c r="CG73" s="93">
        <f>ППД5[[#This Row],[Фикс 16.09.2024]]*6%</f>
        <v>6000.9941480502503</v>
      </c>
      <c r="CH73" s="9">
        <f>ППД5[[#This Row],[Фикс 16.09.2024]]+ППД5[[#This Row],[Наценка 01.11.24
СТ: 4%
1К: 34-40м 5%; 40м+ 8%; МГН 1%
2К: 55-70м 6%; 70-73м 7%; 73-76м 8% 
3К: 5%]]</f>
        <v>106017.56328222109</v>
      </c>
      <c r="CI73" s="93">
        <f>ППД5[[#This Row],[Фикс 01.11.24]]*13%</f>
        <v>13782.283226688742</v>
      </c>
      <c r="CJ73" s="9">
        <f>ППД5[[#This Row],[Наценка 06.11 13%]]+ППД5[[#This Row],[Фикс 01.11.24]]</f>
        <v>119799.84650890983</v>
      </c>
      <c r="CK73" s="93">
        <v>35</v>
      </c>
      <c r="CL73" s="9">
        <f>ППД5[[#This Row],[Фикс 06.11.24]]+ППД5[[#This Row],[Наценка 18.12.24 распределение КВ]]</f>
        <v>119834.84650890983</v>
      </c>
      <c r="CM73" s="9"/>
      <c r="CN73" s="9">
        <f>ППД5[[#This Row],[Фикс 18.12.24]]+ППД5[[#This Row],[Наценка 10.02.25 +1%
1К: А3
2К: Б3, В3]]</f>
        <v>119834.84650890983</v>
      </c>
      <c r="CO73" s="93">
        <f>ROUND(ППД5[[#This Row],[Фикс 10.02.25]],2)</f>
        <v>119834.85</v>
      </c>
      <c r="CP7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8208700</v>
      </c>
      <c r="CQ73" s="93">
        <f>ROUNDUP(ППД5[[#This Row],[Стоимость до скидки]]+ППД5[[#This Row],[Сумма доплаты]],-2)</f>
        <v>8172800</v>
      </c>
      <c r="CR73" s="68"/>
      <c r="CS73" s="90"/>
      <c r="CT73" s="68">
        <f>ППД5[[#This Row],[Стоимость до скидки]]*ППД5[[#This Row],[Скидка %]]+ППД5[[#This Row],[Скидка фиксированная]]</f>
        <v>0</v>
      </c>
      <c r="CU73" s="3">
        <f>ППД5[[#This Row],[Стоимость ОН без отделки со скидкой]]/ППД5[[#This Row],[Расчетная проектная площадь]]</f>
        <v>119835.03649635037</v>
      </c>
      <c r="CV73" s="3">
        <f>ROUND(ППД5[[#This Row],[Стоимость до скидки]]-ППД5[[#This Row],[Итоговая сумма скидки]],2)</f>
        <v>8208700</v>
      </c>
      <c r="CW7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73" s="197"/>
      <c r="CY73" s="332">
        <f>ППД5[[#This Row],[Расхождение]]/ППД5[[#This Row],[Расчетная проектная площадь]]</f>
        <v>-4.3795620437957865E-3</v>
      </c>
      <c r="CZ7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-0.24000000000000554</v>
      </c>
      <c r="DA73" s="3">
        <f>ППД5[[#This Row],[Цена м2 без отделки со скидкой]]+ППД5[[#This Row],[Стоимость отделки]]</f>
        <v>119835.03649635037</v>
      </c>
      <c r="DB73" s="3">
        <f>ППД5[[#This Row],[Стоимость квартиры с отделкой]]-ППД5[[#This Row],[Стоимость ОН без отделки со скидкой]]</f>
        <v>0</v>
      </c>
      <c r="DC73" s="3">
        <f>ППД5[[#This Row],[Цена м2 с отделкой]]*ППД5[[#This Row],[Расчетная проектная площадь]]</f>
        <v>8208700</v>
      </c>
      <c r="DD73" s="3"/>
      <c r="DF73" s="155" t="s">
        <v>157</v>
      </c>
      <c r="DG73" s="221" t="s">
        <v>157</v>
      </c>
      <c r="DH73" s="100" t="b">
        <f>EXACT(ППД5[[#This Row],[Статусы CRM]],ППД5[[#This Row],[Статус]])</f>
        <v>1</v>
      </c>
      <c r="DI73" s="213" t="s">
        <v>245</v>
      </c>
      <c r="DJ73" s="204"/>
      <c r="DK73" s="111" t="s">
        <v>763</v>
      </c>
      <c r="DL73" s="216" t="s">
        <v>12</v>
      </c>
      <c r="DM73" s="201" t="b">
        <f>ППД5[[#This Row],[Отделка CRM]]=ППД5[[#This Row],[Отделка]]</f>
        <v>1</v>
      </c>
      <c r="DN73" s="203">
        <v>8208700</v>
      </c>
      <c r="DO7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73" s="207" t="b">
        <f>IF(AND(ППД5[[#This Row],[Статус]]="свободно",ППД5[[#This Row],[Итоговая сумма скидки]]&lt;&gt;0),FALSE,TRUE)</f>
        <v>1</v>
      </c>
      <c r="DQ73" s="240" t="str">
        <f>_xlfn.XLOOKUP(ППД5[[#This Row],[№]],Юрист[№ кв],Юрист[Дата подачи на регистрацию]," ",0,-1)</f>
        <v xml:space="preserve"> </v>
      </c>
      <c r="DR73" s="115" t="str">
        <f>_xlfn.XLOOKUP(ППД5[[#This Row],[№]],Юрист[№ кв],Юрист[МОП],"",0,-1)</f>
        <v/>
      </c>
      <c r="DS73" s="333" t="s">
        <v>2438</v>
      </c>
      <c r="DT73" s="333" t="s">
        <v>2439</v>
      </c>
      <c r="DU73" s="333">
        <v>66.7</v>
      </c>
      <c r="DV73" s="111"/>
    </row>
    <row r="74" spans="1:126" hidden="1" x14ac:dyDescent="0.25">
      <c r="A74" s="112">
        <v>72</v>
      </c>
      <c r="B74" s="111" t="s">
        <v>5</v>
      </c>
      <c r="C74" s="111">
        <v>11</v>
      </c>
      <c r="D74" s="111">
        <v>3</v>
      </c>
      <c r="E74" s="111">
        <v>1</v>
      </c>
      <c r="F74" s="105">
        <v>13.6</v>
      </c>
      <c r="G74" s="105"/>
      <c r="H74" s="105"/>
      <c r="I74" s="94">
        <f>SUM(ППД5[[#This Row],[Комната 1]:[Комната 3]])</f>
        <v>13.6</v>
      </c>
      <c r="J74" s="105">
        <v>14.97</v>
      </c>
      <c r="K74" s="105">
        <v>4.1100000000000003</v>
      </c>
      <c r="L74" s="105"/>
      <c r="M74" s="105"/>
      <c r="N74" s="105">
        <v>3.7</v>
      </c>
      <c r="O74" s="105">
        <v>2.69</v>
      </c>
      <c r="P74" s="105"/>
      <c r="Q74" s="105"/>
      <c r="R74" s="105">
        <f>SUM(ППД5[[#This Row],[Лоджия 1]:[Лоджия 3]])</f>
        <v>2.69</v>
      </c>
      <c r="S74" s="7">
        <f>ROUND(SUM(ППД5[[#This Row],[Площадь по проекту жилая]:[Лоджия 3]]),2)</f>
        <v>39.07</v>
      </c>
      <c r="T74" s="7">
        <f>ROUND(ППД5[[#This Row],[Площадь по проекту(общая)]]-ППД5[[#This Row],[Летние]],2)</f>
        <v>36.380000000000003</v>
      </c>
      <c r="U74" s="92">
        <f>ROUND(ППД5[[#This Row],[Площадь по проекту(общая)]]-(SUM(ППД5[[#This Row],[Лоджия 1]:[Лоджия 3]])/2),2)</f>
        <v>37.729999999999997</v>
      </c>
      <c r="V74" s="92">
        <f>IF(ППД5[[#This Row],[Статус]]="продажа",ППД5[[#This Row],[Расчетная проектная площадь]],ППД5[[#This Row],[Расчетная ТП площадь]])</f>
        <v>37.729999999999997</v>
      </c>
      <c r="W74" s="92">
        <v>13.5</v>
      </c>
      <c r="X74" s="92"/>
      <c r="Y74" s="92"/>
      <c r="Z74" s="92">
        <f>SUM(ППД5[[#This Row],[ТП Комната 1]:[ТП Комната 3]])</f>
        <v>13.5</v>
      </c>
      <c r="AA74" s="92">
        <v>14.9</v>
      </c>
      <c r="AB74" s="92">
        <v>4.2</v>
      </c>
      <c r="AC74" s="92"/>
      <c r="AD74" s="92"/>
      <c r="AE74" s="92">
        <v>3.7</v>
      </c>
      <c r="AF74" s="91">
        <v>1.35</v>
      </c>
      <c r="AG74" s="92"/>
      <c r="AH74" s="92"/>
      <c r="AI74" s="91">
        <f>SUM(ППД5[[#This Row],[ТП Лоджия 1]:[ТП Лоджия 3]])</f>
        <v>1.35</v>
      </c>
      <c r="AJ74" s="95">
        <v>2.7</v>
      </c>
      <c r="AK74" s="92">
        <f>SUM(ППД5[[#This Row],[Площадь по ТП жилая]:[ТП Лоджия 3]])-ППД5[[#This Row],[ТП Летние]]+ППД5[[#This Row],[кроме того прочая
(без коэффициента)]]</f>
        <v>39.000000000000007</v>
      </c>
      <c r="AL74" s="95">
        <f>ППД5[[#This Row],[ТП Площадь без летних]]+(ППД5[[#This Row],[ТП Летние]])</f>
        <v>37.650000000000006</v>
      </c>
      <c r="AM74" s="92">
        <f>ППД5[[#This Row],[ТП общая S]]-ППД5[[#This Row],[кроме того прочая
(без коэффициента)]]</f>
        <v>36.300000000000004</v>
      </c>
      <c r="AN74" s="95">
        <f>SUM(ППД5[[#This Row],[ТП Кухня]:[ТП Коридор]])</f>
        <v>22.8</v>
      </c>
      <c r="AO74" s="91">
        <f>ППД5[[#This Row],[Расчетная ТП площадь]]-ППД5[[#This Row],[Расчетная проектная площадь]]</f>
        <v>-7.9999999999991189E-2</v>
      </c>
      <c r="AP74" s="335">
        <f>ППД5[[#This Row],[Расчетная ТП площадь]]/ППД5[[#This Row],[Расчетная проектная площадь]]-1</f>
        <v>-2.1203286509406949E-3</v>
      </c>
      <c r="AQ74" s="92">
        <f>ППД5[[#This Row],[% расхождения]]*ППД5[[#This Row],[Стоимость до скидки]]</f>
        <v>-11701.245693081319</v>
      </c>
      <c r="AR74" s="92">
        <f>VLOOKUP(ППД5[[#This Row],[№]],наценкад5[],COLUMN(наценкад5[[#This Row],[Цена м2 с учетом всех K]]),0)</f>
        <v>87601.5</v>
      </c>
      <c r="AS74" s="7">
        <f>ППД5[[#This Row],[м2 после К]]*5%</f>
        <v>4380.0749999999998</v>
      </c>
      <c r="AT74" s="7">
        <f>ППД5[[#This Row],[м2 после К]]+ППД5[[#This Row],[Повышение 16.08.23 - 5%]]</f>
        <v>91981.574999999997</v>
      </c>
      <c r="AU74" s="9">
        <f>ППД5[[#This Row],[Фикс 16.08.23]]*3%</f>
        <v>2759.4472499999997</v>
      </c>
      <c r="AV74" s="9">
        <f>ППД5[[#This Row],[Фикс 16.08.23]]+ППД5[[#This Row],[Повышение 29.08.23 - 3%]]</f>
        <v>94741.022249999995</v>
      </c>
      <c r="AW74" s="93">
        <f>ППД5[[#This Row],[Фикс 29.08.23]]*7%</f>
        <v>6631.8715575000006</v>
      </c>
      <c r="AX74" s="9">
        <f>ППД5[[#This Row],[Фикс 29.08.23]]+ППД5[[#This Row],[Повышение 06.09.23 СТ и 1К]]</f>
        <v>101372.89380749999</v>
      </c>
      <c r="AY74" s="9"/>
      <c r="AZ74" s="9">
        <f>ППД5[[#This Row],[Повышение 23.10.23  В4 ]]+ППД5[[#This Row],[Фикс 06.09.23]]</f>
        <v>101372.89380749999</v>
      </c>
      <c r="BA74" s="93">
        <f>ППД5[[#This Row],[Фикс 23.10.23]]*5%</f>
        <v>5068.6446903750002</v>
      </c>
      <c r="BB74" s="93">
        <f>ППД5[[#This Row],[Повышение 8.11.23 1К 5%]]+ППД5[[#This Row],[Фикс 23.10.23]]</f>
        <v>106441.53849787499</v>
      </c>
      <c r="BC74" s="93"/>
      <c r="BD74" s="93">
        <f>ППД5[[#This Row],[Корректировка 24.11.23 - 1К В5, 2К А2, №233]]+ППД5[[#This Row],[Фикс 8.11.23]]</f>
        <v>106441.53849787499</v>
      </c>
      <c r="BE74" s="93">
        <f>ППД5[[#This Row],[Фикс 8.11.24]]*1%</f>
        <v>1064.4153849787499</v>
      </c>
      <c r="BF74" s="93">
        <f>ППД5[[#This Row],[Наценка за отделку 29.12.23 1%]]+ППД5[[#This Row],[Фикс 8.11.24]]</f>
        <v>107505.95388285375</v>
      </c>
      <c r="BG74" s="93">
        <f>ППД5[[#This Row],[Фикс 29.12.23]]*5%</f>
        <v>5375.2976941426878</v>
      </c>
      <c r="BH74" s="93">
        <f>ППД5[[#This Row],[Фикс 29.12.23]]+ППД5[[#This Row],[Наценка 10.01.24 5%]]</f>
        <v>112881.25157699644</v>
      </c>
      <c r="BI74" s="93"/>
      <c r="BJ74" s="93">
        <f>ППД5[[#This Row],[Наценка 26.02.24 1 Этаж]]+ППД5[[#This Row],[Фикс 10.01.24]]</f>
        <v>112881.25157699644</v>
      </c>
      <c r="BK74" s="93">
        <f>ППД5[[#This Row],[Фикс 26.02.24]]*3%</f>
        <v>3386.437547309893</v>
      </c>
      <c r="BL74" s="93">
        <f>ППД5[[#This Row],[Фикс 26.02.24]]+ППД5[[#This Row],[Наценка 06.03.24
СТ, 1К - 3%
2К, 3К - 2%]]</f>
        <v>116267.68912430633</v>
      </c>
      <c r="BM74" s="93"/>
      <c r="BN74" s="93">
        <f>ППД5[[#This Row],[Фикс 06.03.24]]+ППД5[[#This Row],[Наценка Г2+500]]</f>
        <v>116267.68912430633</v>
      </c>
      <c r="BO74" s="93"/>
      <c r="BP74" s="93">
        <f>ППД5[[#This Row],[Фикс 13.03.25]]+ППД5[[#This Row],[Наценка 20.03.24
2К, 3К - 2%]]</f>
        <v>116267.68912430633</v>
      </c>
      <c r="BQ74" s="93"/>
      <c r="BR74" s="93">
        <f>ППД5[[#This Row],[Фикс 20.03.24]]+ППД5[[#This Row],[Наценка 08.04.24 
2К: В3 - 150
3К: Г7 +1000]]</f>
        <v>116267.68912430633</v>
      </c>
      <c r="BS74" s="93"/>
      <c r="BT74" s="93">
        <f>ППД5[[#This Row],[Фикс 08.04.24]]+ППД5[[#This Row],[Наценка 16.05.24 1%
А4,А6,Б3,Б6,Б7,В2,В3,В5,В6,Г1,Г3-Г5]]</f>
        <v>116267.68912430633</v>
      </c>
      <c r="BU74" s="93">
        <f>ППД5[[#This Row],[Фикс 16.05.24]]*2%</f>
        <v>2325.3537824861264</v>
      </c>
      <c r="BV74" s="93">
        <f>ППД5[[#This Row],[Фикс 16.05.24]]+ППД5[[#This Row],[Наценка 24.05.24
1% - Б4, Б5,Г2,Г6
2% - А1,А3,А5,Б2,Г7]]</f>
        <v>118593.04290679246</v>
      </c>
      <c r="BW74" s="93">
        <f>ППД5[[#This Row],[Фикс 24.05.24]]*1%</f>
        <v>1185.9304290679245</v>
      </c>
      <c r="BX74" s="93">
        <f>ППД5[[#This Row],[Наценка 06.06.24
0К: В2,Г3 +0,5%
1К: А7, Б5/4, Г6 +0,5%
3К: В6 +0,5%
1К: А3 +1%]]+ППД5[[#This Row],[Фикс 24.05.24]]</f>
        <v>119778.97333586038</v>
      </c>
      <c r="BY74" s="93"/>
      <c r="BZ74" s="93">
        <f>ППД5[[#This Row],[Фикс 06.06.24]]+ППД5[[#This Row],[13.06.2024
3К - 2%]]</f>
        <v>119778.97333586038</v>
      </c>
      <c r="CA74" s="93">
        <f>2.5%*ППД5[[#This Row],[Фикс 13.06.24]]</f>
        <v>2994.4743333965098</v>
      </c>
      <c r="CB74" s="93">
        <f>ППД5[[#This Row],[02.07.2024: Г3 А1 А3 Б5 Б7 Г2 Г6 Б3 Б4 В3 Г7 2,5% ост 0,5-1,5%]]+ППД5[[#This Row],[Фикс 13.06.24]]</f>
        <v>122773.4476692569</v>
      </c>
      <c r="CC74" s="93">
        <v>500</v>
      </c>
      <c r="CD74" s="93">
        <f>ППД5[[#This Row],[Фикс 02.07.24]]+ППД5[[#This Row],[04.09.2024 +500
0К - Б2; 1К - А3;
2К - А6, Б4, В3, Г5]]</f>
        <v>123273.4476692569</v>
      </c>
      <c r="CE74" s="93"/>
      <c r="CF74" s="93">
        <f>ППД5[[#This Row],[Наценка 16.09.2024
1К: А1,В7,Г6/7,Г8 - 2%
2К: А4,А5,А6,Б1,Б6,Б3/4,В3,В4,Г4,Г5 - 4%
3К: 4%]]+ППД5[[#This Row],[Фикс 04.09.24]]</f>
        <v>123273.4476692569</v>
      </c>
      <c r="CG74" s="93">
        <f>ППД5[[#This Row],[Фикс 16.09.2024]]*5%</f>
        <v>6163.6723834628456</v>
      </c>
      <c r="CH74" s="93">
        <f>ППД5[[#This Row],[Фикс 16.09.2024]]+ППД5[[#This Row],[Наценка 01.11.24
СТ: 4%
1К: 34-40м 5%; 40м+ 8%; МГН 1%
2К: 55-70м 6%; 70-73м 7%; 73-76м 8% 
3К: 5%]]</f>
        <v>129437.12005271975</v>
      </c>
      <c r="CI74" s="93">
        <f>ППД5[[#This Row],[Фикс 01.11.24]]*13%</f>
        <v>16826.825606853567</v>
      </c>
      <c r="CJ74" s="93">
        <f>ППД5[[#This Row],[Наценка 06.11 13%]]+ППД5[[#This Row],[Фикс 01.11.24]]</f>
        <v>146263.94565957331</v>
      </c>
      <c r="CK74" s="93"/>
      <c r="CL74" s="93">
        <f>ППД5[[#This Row],[Фикс 06.11.24]]+ППД5[[#This Row],[Наценка 18.12.24 распределение КВ]]</f>
        <v>146263.94565957331</v>
      </c>
      <c r="CM74" s="93"/>
      <c r="CN74" s="93">
        <f>ППД5[[#This Row],[Фикс 18.12.24]]+ППД5[[#This Row],[Наценка 10.02.25 +1%
1К: А3
2К: Б3, В3]]</f>
        <v>146263.94565957331</v>
      </c>
      <c r="CO74" s="93">
        <f>ROUND(ППД5[[#This Row],[Фикс 10.02.25]],2)</f>
        <v>146263.95000000001</v>
      </c>
      <c r="CP7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5518600</v>
      </c>
      <c r="CQ74" s="93">
        <f>ROUNDUP(ППД5[[#This Row],[Стоимость до скидки]]+ППД5[[#This Row],[Сумма доплаты]],-2)</f>
        <v>5506900</v>
      </c>
      <c r="CR74" s="68"/>
      <c r="CS74" s="90">
        <v>0.02</v>
      </c>
      <c r="CT74" s="68">
        <f>ППД5[[#This Row],[Стоимость до скидки]]*ППД5[[#This Row],[Скидка %]]+ППД5[[#This Row],[Скидка фиксированная]]</f>
        <v>110372</v>
      </c>
      <c r="CU74" s="3">
        <f>ППД5[[#This Row],[Стоимость ОН без отделки со скидкой]]/ППД5[[#This Row],[Расчетная проектная площадь]]</f>
        <v>143340.25974025976</v>
      </c>
      <c r="CV74" s="3">
        <f>ROUND(ППД5[[#This Row],[Стоимость до скидки]]-ППД5[[#This Row],[Итоговая сумма скидки]],2)</f>
        <v>5408228</v>
      </c>
      <c r="CW7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74" s="197">
        <v>25000</v>
      </c>
      <c r="CY74" s="332">
        <f>ППД5[[#This Row],[Расхождение]]/ППД5[[#This Row],[Расчетная проектная площадь]]</f>
        <v>-2.1203286509406624E-3</v>
      </c>
      <c r="CZ7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2.000000000000135E-2</v>
      </c>
      <c r="DA74" s="3">
        <f>ППД5[[#This Row],[Цена м2 без отделки со скидкой]]+ППД5[[#This Row],[Стоимость отделки]]</f>
        <v>168340.25974025976</v>
      </c>
      <c r="DB74" s="3">
        <f>ППД5[[#This Row],[Стоимость квартиры с отделкой]]-ППД5[[#This Row],[Стоимость ОН без отделки со скидкой]]</f>
        <v>943250</v>
      </c>
      <c r="DC74" s="3">
        <f>ППД5[[#This Row],[Цена м2 с отделкой]]*ППД5[[#This Row],[Расчетная проектная площадь]]</f>
        <v>6351478</v>
      </c>
      <c r="DD74" s="3"/>
      <c r="DE74" s="111" t="s">
        <v>757</v>
      </c>
      <c r="DF74" s="215" t="s">
        <v>172</v>
      </c>
      <c r="DG74" s="221" t="s">
        <v>172</v>
      </c>
      <c r="DH74" s="100" t="b">
        <f>EXACT(ППД5[[#This Row],[Статусы CRM]],ППД5[[#This Row],[Статус]])</f>
        <v>1</v>
      </c>
      <c r="DI74" s="213" t="s">
        <v>246</v>
      </c>
      <c r="DJ74" s="204"/>
      <c r="DK74" s="111" t="s">
        <v>763</v>
      </c>
      <c r="DL74" s="216" t="s">
        <v>14</v>
      </c>
      <c r="DM74" s="201" t="b">
        <f>ППД5[[#This Row],[Отделка CRM]]=ППД5[[#This Row],[Отделка]]</f>
        <v>1</v>
      </c>
      <c r="DN74" s="203">
        <v>6351478</v>
      </c>
      <c r="DO7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74" s="207" t="b">
        <f>IF(AND(ППД5[[#This Row],[Статус]]="свободно",ППД5[[#This Row],[Итоговая сумма скидки]]&lt;&gt;0),FALSE,TRUE)</f>
        <v>1</v>
      </c>
      <c r="DQ74" s="240">
        <f>_xlfn.XLOOKUP(ППД5[[#This Row],[№]],Юрист[№ кв],Юрист[Дата подачи на регистрацию]," ",0,-1)</f>
        <v>45700</v>
      </c>
      <c r="DR74" s="115" t="str">
        <f>_xlfn.XLOOKUP(ППД5[[#This Row],[№]],Юрист[№ кв],Юрист[МОП],"",0,-1)</f>
        <v>Нуждина</v>
      </c>
      <c r="DS74" s="333" t="s">
        <v>2440</v>
      </c>
      <c r="DT74" s="333" t="s">
        <v>2441</v>
      </c>
      <c r="DU74" s="333">
        <v>36.299999999999997</v>
      </c>
      <c r="DV74" s="111" t="s">
        <v>844</v>
      </c>
    </row>
    <row r="75" spans="1:126" hidden="1" x14ac:dyDescent="0.25">
      <c r="A75" s="112">
        <v>73</v>
      </c>
      <c r="B75" s="111" t="s">
        <v>5</v>
      </c>
      <c r="C75" s="111">
        <v>11</v>
      </c>
      <c r="D75" s="111">
        <v>4</v>
      </c>
      <c r="E75" s="111">
        <v>2</v>
      </c>
      <c r="F75" s="105">
        <v>16.61</v>
      </c>
      <c r="G75" s="105">
        <v>11.38</v>
      </c>
      <c r="H75" s="105"/>
      <c r="I75" s="94">
        <f>SUM(ППД5[[#This Row],[Комната 1]:[Комната 3]])</f>
        <v>27.990000000000002</v>
      </c>
      <c r="J75" s="105">
        <v>14.58</v>
      </c>
      <c r="K75" s="105">
        <v>4.34</v>
      </c>
      <c r="L75" s="105">
        <v>2.08</v>
      </c>
      <c r="M75" s="105"/>
      <c r="N75" s="105">
        <v>8.82</v>
      </c>
      <c r="O75" s="105">
        <v>2.56</v>
      </c>
      <c r="P75" s="105"/>
      <c r="Q75" s="105"/>
      <c r="R75" s="105">
        <f>SUM(ППД5[[#This Row],[Лоджия 1]:[Лоджия 3]])</f>
        <v>2.56</v>
      </c>
      <c r="S75" s="7">
        <f>ROUND(SUM(ППД5[[#This Row],[Площадь по проекту жилая]:[Лоджия 3]]),2)</f>
        <v>60.37</v>
      </c>
      <c r="T75" s="7">
        <f>ROUND(ППД5[[#This Row],[Площадь по проекту(общая)]]-ППД5[[#This Row],[Летние]],2)</f>
        <v>57.81</v>
      </c>
      <c r="U75" s="92">
        <f>ROUND(ППД5[[#This Row],[Площадь по проекту(общая)]]-(SUM(ППД5[[#This Row],[Лоджия 1]:[Лоджия 3]])/2),2)</f>
        <v>59.09</v>
      </c>
      <c r="V75" s="92">
        <f>IF(ППД5[[#This Row],[Статус]]="продажа",ППД5[[#This Row],[Расчетная проектная площадь]],ППД5[[#This Row],[Расчетная ТП площадь]])</f>
        <v>59.09</v>
      </c>
      <c r="W75" s="92">
        <v>16.5</v>
      </c>
      <c r="X75" s="92">
        <v>11.2</v>
      </c>
      <c r="Y75" s="92"/>
      <c r="Z75" s="92">
        <f>SUM(ППД5[[#This Row],[ТП Комната 1]:[ТП Комната 3]])</f>
        <v>27.7</v>
      </c>
      <c r="AA75" s="92">
        <v>14.4</v>
      </c>
      <c r="AB75" s="92">
        <v>4.4000000000000004</v>
      </c>
      <c r="AC75" s="92">
        <v>2.1</v>
      </c>
      <c r="AD75" s="92"/>
      <c r="AE75" s="92">
        <v>8.8000000000000007</v>
      </c>
      <c r="AF75" s="92">
        <v>1.3</v>
      </c>
      <c r="AG75" s="92"/>
      <c r="AH75" s="92"/>
      <c r="AI75" s="91">
        <f>SUM(ППД5[[#This Row],[ТП Лоджия 1]:[ТП Лоджия 3]])</f>
        <v>1.3</v>
      </c>
      <c r="AJ75" s="95">
        <v>2.6</v>
      </c>
      <c r="AK75" s="92">
        <f>SUM(ППД5[[#This Row],[Площадь по ТП жилая]:[ТП Лоджия 3]])-ППД5[[#This Row],[ТП Летние]]+ППД5[[#This Row],[кроме того прочая
(без коэффициента)]]</f>
        <v>60.000000000000007</v>
      </c>
      <c r="AL75" s="95">
        <f>ППД5[[#This Row],[ТП Площадь без летних]]+(ППД5[[#This Row],[ТП Летние]])</f>
        <v>58.7</v>
      </c>
      <c r="AM75" s="92">
        <f>ППД5[[#This Row],[ТП общая S]]-ППД5[[#This Row],[кроме того прочая
(без коэффициента)]]</f>
        <v>57.400000000000006</v>
      </c>
      <c r="AN75" s="95">
        <f>SUM(ППД5[[#This Row],[ТП Кухня]:[ТП Коридор]])</f>
        <v>29.700000000000003</v>
      </c>
      <c r="AO75" s="91">
        <f>ППД5[[#This Row],[Расчетная ТП площадь]]-ППД5[[#This Row],[Расчетная проектная площадь]]</f>
        <v>-0.39000000000000057</v>
      </c>
      <c r="AP75" s="335">
        <f>ППД5[[#This Row],[Расчетная ТП площадь]]/ППД5[[#This Row],[Расчетная проектная площадь]]-1</f>
        <v>-6.6001015400236618E-3</v>
      </c>
      <c r="AQ75" s="92">
        <f>ППД5[[#This Row],[% расхождения]]*ППД5[[#This Row],[Стоимость до скидки]]</f>
        <v>-37373.734980537985</v>
      </c>
      <c r="AR75" s="92">
        <f>VLOOKUP(ППД5[[#This Row],[№]],наценкад5[],COLUMN(наценкад5[[#This Row],[Цена м2 с учетом всех K]]),0)</f>
        <v>80307.864000000001</v>
      </c>
      <c r="AS75" s="7">
        <f>ППД5[[#This Row],[м2 после К]]*5%</f>
        <v>4015.3932000000004</v>
      </c>
      <c r="AT75" s="7">
        <f>ППД5[[#This Row],[м2 после К]]+ППД5[[#This Row],[Повышение 16.08.23 - 5%]]</f>
        <v>84323.257200000007</v>
      </c>
      <c r="AU75" s="9">
        <f>ППД5[[#This Row],[Фикс 16.08.23]]*3%</f>
        <v>2529.6977160000001</v>
      </c>
      <c r="AV75" s="9">
        <f>ППД5[[#This Row],[Фикс 16.08.23]]+ППД5[[#This Row],[Повышение 29.08.23 - 3%]]</f>
        <v>86852.954916000002</v>
      </c>
      <c r="AW75" s="9"/>
      <c r="AX75" s="9">
        <f>ППД5[[#This Row],[Фикс 29.08.23]]+ППД5[[#This Row],[Повышение 06.09.23 СТ и 1К]]</f>
        <v>86852.954916000002</v>
      </c>
      <c r="AY75" s="9"/>
      <c r="AZ75" s="9">
        <f>ППД5[[#This Row],[Повышение 23.10.23  В4 ]]+ППД5[[#This Row],[Фикс 06.09.23]]</f>
        <v>86852.954916000002</v>
      </c>
      <c r="BA75" s="9"/>
      <c r="BB75" s="9">
        <f>ППД5[[#This Row],[Повышение 8.11.23 1К 5%]]+ППД5[[#This Row],[Фикс 23.10.23]]</f>
        <v>86852.954916000002</v>
      </c>
      <c r="BC75" s="9"/>
      <c r="BD75" s="9">
        <f>ППД5[[#This Row],[Корректировка 24.11.23 - 1К В5, 2К А2, №233]]+ППД5[[#This Row],[Фикс 8.11.23]]</f>
        <v>86852.954916000002</v>
      </c>
      <c r="BE75" s="93">
        <f>ППД5[[#This Row],[Фикс 8.11.24]]*1%</f>
        <v>868.52954915999999</v>
      </c>
      <c r="BF75" s="9">
        <f>ППД5[[#This Row],[Наценка за отделку 29.12.23 1%]]+ППД5[[#This Row],[Фикс 8.11.24]]</f>
        <v>87721.48446516</v>
      </c>
      <c r="BG75" s="93">
        <f>ППД5[[#This Row],[Фикс 29.12.23]]*5%</f>
        <v>4386.0742232580005</v>
      </c>
      <c r="BH75" s="9">
        <f>ППД5[[#This Row],[Фикс 29.12.23]]+ППД5[[#This Row],[Наценка 10.01.24 5%]]</f>
        <v>92107.558688417994</v>
      </c>
      <c r="BI75" s="9"/>
      <c r="BJ75" s="9">
        <f>ППД5[[#This Row],[Наценка 26.02.24 1 Этаж]]+ППД5[[#This Row],[Фикс 10.01.24]]</f>
        <v>92107.558688417994</v>
      </c>
      <c r="BK75" s="93">
        <f>ППД5[[#This Row],[Фикс 26.02.24]]*2%</f>
        <v>1842.15117376836</v>
      </c>
      <c r="BL75" s="9">
        <f>ППД5[[#This Row],[Фикс 26.02.24]]+ППД5[[#This Row],[Наценка 06.03.24
СТ, 1К - 3%
2К, 3К - 2%]]</f>
        <v>93949.709862186355</v>
      </c>
      <c r="BM75" s="9"/>
      <c r="BN75" s="9">
        <f>ППД5[[#This Row],[Фикс 06.03.24]]+ППД5[[#This Row],[Наценка Г2+500]]</f>
        <v>93949.709862186355</v>
      </c>
      <c r="BO75" s="9">
        <f>ППД5[[#This Row],[Фикс 13.03.25]]*2%</f>
        <v>1878.9941972437271</v>
      </c>
      <c r="BP75" s="9">
        <f>ППД5[[#This Row],[Фикс 13.03.25]]+ППД5[[#This Row],[Наценка 20.03.24
2К, 3К - 2%]]</f>
        <v>95828.704059430078</v>
      </c>
      <c r="BQ75" s="9"/>
      <c r="BR75" s="9">
        <f>ППД5[[#This Row],[Фикс 20.03.24]]+ППД5[[#This Row],[Наценка 08.04.24 
2К: В3 - 150
3К: Г7 +1000]]</f>
        <v>95828.704059430078</v>
      </c>
      <c r="BS75" s="93"/>
      <c r="BT75" s="9">
        <f>ППД5[[#This Row],[Фикс 08.04.24]]+ППД5[[#This Row],[Наценка 16.05.24 1%
А4,А6,Б3,Б6,Б7,В2,В3,В5,В6,Г1,Г3-Г5]]</f>
        <v>95828.704059430078</v>
      </c>
      <c r="BU75" s="9"/>
      <c r="BV75" s="9">
        <f>ППД5[[#This Row],[Фикс 16.05.24]]+ППД5[[#This Row],[Наценка 24.05.24
1% - Б4, Б5,Г2,Г6
2% - А1,А3,А5,Б2,Г7]]</f>
        <v>95828.704059430078</v>
      </c>
      <c r="BW75" s="9"/>
      <c r="BX75" s="9">
        <f>ППД5[[#This Row],[Наценка 06.06.24
0К: В2,Г3 +0,5%
1К: А7, Б5/4, Г6 +0,5%
3К: В6 +0,5%
1К: А3 +1%]]+ППД5[[#This Row],[Фикс 24.05.24]]</f>
        <v>95828.704059430078</v>
      </c>
      <c r="BY75" s="9"/>
      <c r="BZ75" s="9">
        <f>ППД5[[#This Row],[Фикс 06.06.24]]+ППД5[[#This Row],[13.06.2024
3К - 2%]]</f>
        <v>95828.704059430078</v>
      </c>
      <c r="CA75" s="9"/>
      <c r="CB75" s="9">
        <f>ППД5[[#This Row],[02.07.2024: Г3 А1 А3 Б5 Б7 Г2 Г6 Б3 Б4 В3 Г7 2,5% ост 0,5-1,5%]]+ППД5[[#This Row],[Фикс 13.06.24]]</f>
        <v>95828.704059430078</v>
      </c>
      <c r="CC75" s="9"/>
      <c r="CD75" s="9">
        <f>ППД5[[#This Row],[Фикс 02.07.24]]+ППД5[[#This Row],[04.09.2024 +500
0К - Б2; 1К - А3;
2К - А6, Б4, В3, Г5]]</f>
        <v>95828.704059430078</v>
      </c>
      <c r="CE75" s="9"/>
      <c r="CF75" s="9">
        <f>ППД5[[#This Row],[Наценка 16.09.2024
1К: А1,В7,Г6/7,Г8 - 2%
2К: А4,А5,А6,Б1,Б6,Б3/4,В3,В4,Г4,Г5 - 4%
3К: 4%]]+ППД5[[#This Row],[Фикс 04.09.24]]</f>
        <v>95828.704059430078</v>
      </c>
      <c r="CG75" s="9"/>
      <c r="CH75" s="9">
        <f>ППД5[[#This Row],[Фикс 16.09.2024]]+ППД5[[#This Row],[Наценка 01.11.24
СТ: 4%
1К: 34-40м 5%; 40м+ 8%; МГН 1%
2К: 55-70м 6%; 70-73м 7%; 73-76м 8% 
3К: 5%]]</f>
        <v>95828.704059430078</v>
      </c>
      <c r="CI75" s="9"/>
      <c r="CJ75" s="9">
        <f>ППД5[[#This Row],[Наценка 06.11 13%]]+ППД5[[#This Row],[Фикс 01.11.24]]</f>
        <v>95828.704059430078</v>
      </c>
      <c r="CK75" s="9"/>
      <c r="CL75" s="9">
        <f>ППД5[[#This Row],[Фикс 06.11.24]]+ППД5[[#This Row],[Наценка 18.12.24 распределение КВ]]</f>
        <v>95828.704059430078</v>
      </c>
      <c r="CM75" s="9"/>
      <c r="CN75" s="9">
        <f>ППД5[[#This Row],[Фикс 18.12.24]]+ППД5[[#This Row],[Наценка 10.02.25 +1%
1К: А3
2К: Б3, В3]]</f>
        <v>95828.704059430078</v>
      </c>
      <c r="CO75" s="93">
        <f>ROUND(ППД5[[#This Row],[Фикс 10.02.25]],2)</f>
        <v>95828.7</v>
      </c>
      <c r="CP7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5662600</v>
      </c>
      <c r="CQ75" s="93">
        <f>ROUNDUP(ППД5[[#This Row],[Стоимость до скидки]]+ППД5[[#This Row],[Сумма доплаты]],-2)</f>
        <v>5625300</v>
      </c>
      <c r="CR75" s="68">
        <v>88888</v>
      </c>
      <c r="CS75" s="90"/>
      <c r="CT75" s="68">
        <f>ППД5[[#This Row],[Стоимость до скидки]]*ППД5[[#This Row],[Скидка %]]+ППД5[[#This Row],[Скидка фиксированная]]</f>
        <v>88888</v>
      </c>
      <c r="CU75" s="3">
        <f>ППД5[[#This Row],[Стоимость ОН без отделки со скидкой]]/ППД5[[#This Row],[Расчетная проектная площадь]]</f>
        <v>94325.808089355211</v>
      </c>
      <c r="CV75" s="3">
        <f>ROUND(ППД5[[#This Row],[Стоимость до скидки]]-ППД5[[#This Row],[Итоговая сумма скидки]],2)</f>
        <v>5573712</v>
      </c>
      <c r="CW7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75" s="197">
        <v>7000</v>
      </c>
      <c r="CY75" s="332">
        <f>ППД5[[#This Row],[Расхождение]]/ППД5[[#This Row],[Расчетная проектная площадь]]</f>
        <v>-6.6001015400237017E-3</v>
      </c>
      <c r="CZ7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-0.11999999999999567</v>
      </c>
      <c r="DA75" s="3">
        <f>ППД5[[#This Row],[Цена м2 без отделки со скидкой]]+ППД5[[#This Row],[Стоимость отделки]]</f>
        <v>101325.80808935521</v>
      </c>
      <c r="DB75" s="3">
        <f>ППД5[[#This Row],[Стоимость квартиры с отделкой]]-ППД5[[#This Row],[Стоимость ОН без отделки со скидкой]]</f>
        <v>413630</v>
      </c>
      <c r="DC75" s="3">
        <f>ППД5[[#This Row],[Цена м2 с отделкой]]*ППД5[[#This Row],[Расчетная проектная площадь]]</f>
        <v>5987342</v>
      </c>
      <c r="DD75" s="3"/>
      <c r="DE75" s="111" t="s">
        <v>781</v>
      </c>
      <c r="DF75" s="199" t="s">
        <v>172</v>
      </c>
      <c r="DG75" s="245" t="s">
        <v>172</v>
      </c>
      <c r="DH75" s="100" t="b">
        <f>EXACT(ППД5[[#This Row],[Статусы CRM]],ППД5[[#This Row],[Статус]])</f>
        <v>1</v>
      </c>
      <c r="DI75" s="213" t="s">
        <v>247</v>
      </c>
      <c r="DJ75" s="204"/>
      <c r="DK75" s="111" t="s">
        <v>763</v>
      </c>
      <c r="DL75" s="216" t="s">
        <v>780</v>
      </c>
      <c r="DM75" s="201" t="b">
        <f>ППД5[[#This Row],[Отделка CRM]]=ППД5[[#This Row],[Отделка]]</f>
        <v>1</v>
      </c>
      <c r="DN75" s="203">
        <v>5987342</v>
      </c>
      <c r="DO7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75" s="207" t="b">
        <f>IF(AND(ППД5[[#This Row],[Статус]]="свободно",ППД5[[#This Row],[Итоговая сумма скидки]]&lt;&gt;0),FALSE,TRUE)</f>
        <v>1</v>
      </c>
      <c r="DQ75" s="240">
        <f>_xlfn.XLOOKUP(ППД5[[#This Row],[№]],Юрист[№ кв],Юрист[Дата подачи на регистрацию]," ",0,-1)</f>
        <v>45395</v>
      </c>
      <c r="DR75" s="115" t="str">
        <f>_xlfn.XLOOKUP(ППД5[[#This Row],[№]],Юрист[№ кв],Юрист[МОП],"",0,-1)</f>
        <v>Полехович</v>
      </c>
      <c r="DS75" s="333" t="s">
        <v>2442</v>
      </c>
      <c r="DT75" s="333" t="s">
        <v>2443</v>
      </c>
      <c r="DU75" s="333">
        <v>57.4</v>
      </c>
      <c r="DV75" s="111"/>
    </row>
    <row r="76" spans="1:126" hidden="1" x14ac:dyDescent="0.25">
      <c r="A76" s="112">
        <v>74</v>
      </c>
      <c r="B76" s="111" t="s">
        <v>5</v>
      </c>
      <c r="C76" s="111">
        <v>11</v>
      </c>
      <c r="D76" s="111">
        <v>5</v>
      </c>
      <c r="E76" s="111">
        <v>2</v>
      </c>
      <c r="F76" s="105">
        <v>16.46</v>
      </c>
      <c r="G76" s="105">
        <v>12.47</v>
      </c>
      <c r="H76" s="105"/>
      <c r="I76" s="94">
        <f>SUM(ППД5[[#This Row],[Комната 1]:[Комната 3]])</f>
        <v>28.93</v>
      </c>
      <c r="J76" s="105">
        <v>18</v>
      </c>
      <c r="K76" s="105">
        <v>4.3499999999999996</v>
      </c>
      <c r="L76" s="105">
        <v>1.55</v>
      </c>
      <c r="M76" s="105"/>
      <c r="N76" s="105">
        <v>8</v>
      </c>
      <c r="O76" s="105">
        <v>2.67</v>
      </c>
      <c r="P76" s="105"/>
      <c r="Q76" s="105"/>
      <c r="R76" s="105">
        <f>SUM(ППД5[[#This Row],[Лоджия 1]:[Лоджия 3]])</f>
        <v>2.67</v>
      </c>
      <c r="S76" s="8">
        <f>ROUND(SUM(ППД5[[#This Row],[Площадь по проекту жилая]:[Лоджия 3]]),2)</f>
        <v>63.5</v>
      </c>
      <c r="T76" s="8">
        <f>ROUND(ППД5[[#This Row],[Площадь по проекту(общая)]]-ППД5[[#This Row],[Летние]],2)</f>
        <v>60.83</v>
      </c>
      <c r="U76" s="91">
        <f>ROUND(ППД5[[#This Row],[Площадь по проекту(общая)]]-(SUM(ППД5[[#This Row],[Лоджия 1]:[Лоджия 3]])/2),2)</f>
        <v>62.17</v>
      </c>
      <c r="V76" s="91">
        <f>IF(ППД5[[#This Row],[Статус]]="продажа",ППД5[[#This Row],[Расчетная проектная площадь]],ППД5[[#This Row],[Расчетная ТП площадь]])</f>
        <v>62.17</v>
      </c>
      <c r="W76" s="91">
        <v>16.399999999999999</v>
      </c>
      <c r="X76" s="91">
        <v>12.4</v>
      </c>
      <c r="Y76" s="91"/>
      <c r="Z76" s="91">
        <f>SUM(ППД5[[#This Row],[ТП Комната 1]:[ТП Комната 3]])</f>
        <v>28.799999999999997</v>
      </c>
      <c r="AA76" s="91">
        <v>17.600000000000001</v>
      </c>
      <c r="AB76" s="91">
        <v>4.4000000000000004</v>
      </c>
      <c r="AC76" s="91">
        <v>1.5</v>
      </c>
      <c r="AD76" s="91"/>
      <c r="AE76" s="91">
        <v>8</v>
      </c>
      <c r="AF76" s="91">
        <v>1.35</v>
      </c>
      <c r="AG76" s="91"/>
      <c r="AH76" s="91"/>
      <c r="AI76" s="91">
        <f>SUM(ППД5[[#This Row],[ТП Лоджия 1]:[ТП Лоджия 3]])</f>
        <v>1.35</v>
      </c>
      <c r="AJ76" s="95">
        <v>2.7</v>
      </c>
      <c r="AK76" s="91">
        <f>SUM(ППД5[[#This Row],[Площадь по ТП жилая]:[ТП Лоджия 3]])-ППД5[[#This Row],[ТП Летние]]+ППД5[[#This Row],[кроме того прочая
(без коэффициента)]]</f>
        <v>63</v>
      </c>
      <c r="AL76" s="95">
        <f>ППД5[[#This Row],[ТП Площадь без летних]]+(ППД5[[#This Row],[ТП Летние]])</f>
        <v>61.65</v>
      </c>
      <c r="AM76" s="91">
        <f>ППД5[[#This Row],[ТП общая S]]-ППД5[[#This Row],[кроме того прочая
(без коэффициента)]]</f>
        <v>60.3</v>
      </c>
      <c r="AN76" s="95">
        <f>SUM(ППД5[[#This Row],[ТП Кухня]:[ТП Коридор]])</f>
        <v>31.5</v>
      </c>
      <c r="AO76" s="91">
        <f>ППД5[[#This Row],[Расчетная ТП площадь]]-ППД5[[#This Row],[Расчетная проектная площадь]]</f>
        <v>-0.52000000000000313</v>
      </c>
      <c r="AP76" s="335">
        <f>ППД5[[#This Row],[Расчетная ТП площадь]]/ППД5[[#This Row],[Расчетная проектная площадь]]-1</f>
        <v>-8.3641627794757145E-3</v>
      </c>
      <c r="AQ76" s="91">
        <f>ППД5[[#This Row],[% расхождения]]*ППД5[[#This Row],[Стоимость до скидки]]</f>
        <v>-64606.466141226316</v>
      </c>
      <c r="AR76" s="91">
        <f>VLOOKUP(ППД5[[#This Row],[№]],наценкад5[],COLUMN(наценкад5[[#This Row],[Цена м2 с учетом всех K]]),0)</f>
        <v>80307.864000000001</v>
      </c>
      <c r="AS76" s="8">
        <f>ППД5[[#This Row],[м2 после К]]*5%</f>
        <v>4015.3932000000004</v>
      </c>
      <c r="AT76" s="8">
        <f>ППД5[[#This Row],[м2 после К]]+ППД5[[#This Row],[Повышение 16.08.23 - 5%]]</f>
        <v>84323.257200000007</v>
      </c>
      <c r="AU76" s="93">
        <f>ППД5[[#This Row],[Фикс 16.08.23]]*3%</f>
        <v>2529.6977160000001</v>
      </c>
      <c r="AV76" s="93">
        <f>ППД5[[#This Row],[Фикс 16.08.23]]+ППД5[[#This Row],[Повышение 29.08.23 - 3%]]</f>
        <v>86852.954916000002</v>
      </c>
      <c r="AW76" s="93"/>
      <c r="AX76" s="93">
        <f>ППД5[[#This Row],[Фикс 29.08.23]]+ППД5[[#This Row],[Повышение 06.09.23 СТ и 1К]]</f>
        <v>86852.954916000002</v>
      </c>
      <c r="AY76" s="93"/>
      <c r="AZ76" s="93">
        <f>ППД5[[#This Row],[Повышение 23.10.23  В4 ]]+ППД5[[#This Row],[Фикс 06.09.23]]</f>
        <v>86852.954916000002</v>
      </c>
      <c r="BA76" s="93"/>
      <c r="BB76" s="93">
        <f>ППД5[[#This Row],[Повышение 8.11.23 1К 5%]]+ППД5[[#This Row],[Фикс 23.10.23]]</f>
        <v>86852.954916000002</v>
      </c>
      <c r="BC76" s="93"/>
      <c r="BD76" s="93">
        <f>ППД5[[#This Row],[Корректировка 24.11.23 - 1К В5, 2К А2, №233]]+ППД5[[#This Row],[Фикс 8.11.23]]</f>
        <v>86852.954916000002</v>
      </c>
      <c r="BE76" s="93">
        <f>ППД5[[#This Row],[Фикс 8.11.24]]*1%</f>
        <v>868.52954915999999</v>
      </c>
      <c r="BF76" s="93">
        <f>ППД5[[#This Row],[Наценка за отделку 29.12.23 1%]]+ППД5[[#This Row],[Фикс 8.11.24]]</f>
        <v>87721.48446516</v>
      </c>
      <c r="BG76" s="93">
        <f>ППД5[[#This Row],[Фикс 29.12.23]]*5%</f>
        <v>4386.0742232580005</v>
      </c>
      <c r="BH76" s="93">
        <f>ППД5[[#This Row],[Фикс 29.12.23]]+ППД5[[#This Row],[Наценка 10.01.24 5%]]</f>
        <v>92107.558688417994</v>
      </c>
      <c r="BI76" s="93"/>
      <c r="BJ76" s="93">
        <f>ППД5[[#This Row],[Наценка 26.02.24 1 Этаж]]+ППД5[[#This Row],[Фикс 10.01.24]]</f>
        <v>92107.558688417994</v>
      </c>
      <c r="BK76" s="93">
        <f>ППД5[[#This Row],[Фикс 26.02.24]]*2%</f>
        <v>1842.15117376836</v>
      </c>
      <c r="BL76" s="93">
        <f>ППД5[[#This Row],[Фикс 26.02.24]]+ППД5[[#This Row],[Наценка 06.03.24
СТ, 1К - 3%
2К, 3К - 2%]]</f>
        <v>93949.709862186355</v>
      </c>
      <c r="BM76" s="93"/>
      <c r="BN76" s="93">
        <f>ППД5[[#This Row],[Фикс 06.03.24]]+ППД5[[#This Row],[Наценка Г2+500]]</f>
        <v>93949.709862186355</v>
      </c>
      <c r="BO76" s="93">
        <f>ППД5[[#This Row],[Фикс 13.03.25]]*2%</f>
        <v>1878.9941972437271</v>
      </c>
      <c r="BP76" s="93">
        <f>ППД5[[#This Row],[Фикс 13.03.25]]+ППД5[[#This Row],[Наценка 20.03.24
2К, 3К - 2%]]</f>
        <v>95828.704059430078</v>
      </c>
      <c r="BQ76" s="93"/>
      <c r="BR76" s="93">
        <f>ППД5[[#This Row],[Фикс 20.03.24]]+ППД5[[#This Row],[Наценка 08.04.24 
2К: В3 - 150
3К: Г7 +1000]]</f>
        <v>95828.704059430078</v>
      </c>
      <c r="BS76" s="93"/>
      <c r="BT76" s="93">
        <f>ППД5[[#This Row],[Фикс 08.04.24]]+ППД5[[#This Row],[Наценка 16.05.24 1%
А4,А6,Б3,Б6,Б7,В2,В3,В5,В6,Г1,Г3-Г5]]</f>
        <v>95828.704059430078</v>
      </c>
      <c r="BU76" s="93">
        <f>ППД5[[#This Row],[Фикс 16.05.24]]*2%</f>
        <v>1916.5740811886017</v>
      </c>
      <c r="BV76" s="93">
        <f>ППД5[[#This Row],[Фикс 16.05.24]]+ППД5[[#This Row],[Наценка 24.05.24
1% - Б4, Б5,Г2,Г6
2% - А1,А3,А5,Б2,Г7]]</f>
        <v>97745.278140618684</v>
      </c>
      <c r="BW76" s="93">
        <f>ППД5[[#This Row],[Фикс 24.05.24]]*0.5%</f>
        <v>488.72639070309344</v>
      </c>
      <c r="BX76" s="93">
        <f>ППД5[[#This Row],[Наценка 06.06.24
0К: В2,Г3 +0,5%
1К: А7, Б5/4, Г6 +0,5%
3К: В6 +0,5%
1К: А3 +1%]]+ППД5[[#This Row],[Фикс 24.05.24]]</f>
        <v>98234.004531321771</v>
      </c>
      <c r="BY76" s="93"/>
      <c r="BZ76" s="93">
        <f>ППД5[[#This Row],[Фикс 06.06.24]]+ППД5[[#This Row],[13.06.2024
3К - 2%]]</f>
        <v>98234.004531321771</v>
      </c>
      <c r="CA76" s="9">
        <f>1.5%*ППД5[[#This Row],[Фикс 13.06.24]]</f>
        <v>1473.5100679698264</v>
      </c>
      <c r="CB76" s="93">
        <f>ППД5[[#This Row],[02.07.2024: Г3 А1 А3 Б5 Б7 Г2 Г6 Б3 Б4 В3 Г7 2,5% ост 0,5-1,5%]]+ППД5[[#This Row],[Фикс 13.06.24]]</f>
        <v>99707.514599291593</v>
      </c>
      <c r="CC76" s="93"/>
      <c r="CD76" s="93">
        <f>ППД5[[#This Row],[Фикс 02.07.24]]+ППД5[[#This Row],[04.09.2024 +500
0К - Б2; 1К - А3;
2К - А6, Б4, В3, Г5]]</f>
        <v>99707.514599291593</v>
      </c>
      <c r="CE76" s="93">
        <f>ППД5[[#This Row],[Фикс 04.09.24]]*4%</f>
        <v>3988.3005839716639</v>
      </c>
      <c r="CF76" s="93">
        <f>ППД5[[#This Row],[Наценка 16.09.2024
1К: А1,В7,Г6/7,Г8 - 2%
2К: А4,А5,А6,Б1,Б6,Б3/4,В3,В4,Г4,Г5 - 4%
3К: 4%]]+ППД5[[#This Row],[Фикс 04.09.24]]</f>
        <v>103695.81518326326</v>
      </c>
      <c r="CG76" s="93">
        <f>ППД5[[#This Row],[Фикс 16.09.2024]]*6%</f>
        <v>6221.7489109957951</v>
      </c>
      <c r="CH76" s="93">
        <f>ППД5[[#This Row],[Фикс 16.09.2024]]+ППД5[[#This Row],[Наценка 01.11.24
СТ: 4%
1К: 34-40м 5%; 40м+ 8%; МГН 1%
2К: 55-70м 6%; 70-73м 7%; 73-76м 8% 
3К: 5%]]</f>
        <v>109917.56409425905</v>
      </c>
      <c r="CI76" s="93">
        <f>ППД5[[#This Row],[Фикс 01.11.24]]*13%</f>
        <v>14289.283332253677</v>
      </c>
      <c r="CJ76" s="93">
        <f>ППД5[[#This Row],[Наценка 06.11 13%]]+ППД5[[#This Row],[Фикс 01.11.24]]</f>
        <v>124206.84742651273</v>
      </c>
      <c r="CK76" s="93">
        <v>35</v>
      </c>
      <c r="CL76" s="93">
        <f>ППД5[[#This Row],[Фикс 06.11.24]]+ППД5[[#This Row],[Наценка 18.12.24 распределение КВ]]</f>
        <v>124241.84742651273</v>
      </c>
      <c r="CM76" s="93"/>
      <c r="CN76" s="93">
        <f>ППД5[[#This Row],[Фикс 18.12.24]]+ППД5[[#This Row],[Наценка 10.02.25 +1%
1К: А3
2К: Б3, В3]]</f>
        <v>124241.84742651273</v>
      </c>
      <c r="CO76" s="93">
        <f>ROUND(ППД5[[#This Row],[Фикс 10.02.25]],2)</f>
        <v>124241.85</v>
      </c>
      <c r="CP7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7724200</v>
      </c>
      <c r="CQ76" s="93">
        <f>ROUNDUP(ППД5[[#This Row],[Стоимость до скидки]]+ППД5[[#This Row],[Сумма доплаты]],-2)</f>
        <v>7659600</v>
      </c>
      <c r="CR76" s="68">
        <v>636820</v>
      </c>
      <c r="CS76" s="90"/>
      <c r="CT76" s="68">
        <f>ППД5[[#This Row],[Стоимость до скидки]]*ППД5[[#This Row],[Скидка %]]+ППД5[[#This Row],[Скидка фиксированная]]</f>
        <v>636820</v>
      </c>
      <c r="CU76" s="3">
        <f>ППД5[[#This Row],[Стоимость ОН без отделки со скидкой]]/ППД5[[#This Row],[Расчетная проектная площадь]]</f>
        <v>114000</v>
      </c>
      <c r="CV76" s="3">
        <f>ROUND(ППД5[[#This Row],[Стоимость до скидки]]-ППД5[[#This Row],[Итоговая сумма скидки]],2)</f>
        <v>7087380</v>
      </c>
      <c r="CW7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76" s="197"/>
      <c r="CY76" s="332">
        <f>ППД5[[#This Row],[Расхождение]]/ППД5[[#This Row],[Расчетная проектная площадь]]</f>
        <v>-8.3641627794756816E-3</v>
      </c>
      <c r="CZ7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-0.39999999999999858</v>
      </c>
      <c r="DA76" s="3">
        <f>ППД5[[#This Row],[Цена м2 без отделки со скидкой]]+ППД5[[#This Row],[Стоимость отделки]]</f>
        <v>114000</v>
      </c>
      <c r="DB76" s="3">
        <f>ППД5[[#This Row],[Стоимость квартиры с отделкой]]-ППД5[[#This Row],[Стоимость ОН без отделки со скидкой]]</f>
        <v>0</v>
      </c>
      <c r="DC76" s="3">
        <f>ППД5[[#This Row],[Цена м2 с отделкой]]*ППД5[[#This Row],[Расчетная проектная площадь]]</f>
        <v>7087380</v>
      </c>
      <c r="DD76" s="3"/>
      <c r="DE76" s="111" t="s">
        <v>2199</v>
      </c>
      <c r="DF76" s="155" t="s">
        <v>172</v>
      </c>
      <c r="DG76" s="221" t="s">
        <v>172</v>
      </c>
      <c r="DH76" s="100" t="b">
        <f>EXACT(ППД5[[#This Row],[Статусы CRM]],ППД5[[#This Row],[Статус]])</f>
        <v>1</v>
      </c>
      <c r="DI76" s="213" t="s">
        <v>248</v>
      </c>
      <c r="DJ76" s="204"/>
      <c r="DK76" s="111" t="s">
        <v>763</v>
      </c>
      <c r="DL76" s="216" t="s">
        <v>12</v>
      </c>
      <c r="DM76" s="201" t="b">
        <f>ППД5[[#This Row],[Отделка CRM]]=ППД5[[#This Row],[Отделка]]</f>
        <v>1</v>
      </c>
      <c r="DN76" s="203">
        <v>7087380</v>
      </c>
      <c r="DO7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76" s="207" t="b">
        <f>IF(AND(ППД5[[#This Row],[Статус]]="свободно",ППД5[[#This Row],[Итоговая сумма скидки]]&lt;&gt;0),FALSE,TRUE)</f>
        <v>1</v>
      </c>
      <c r="DQ76" s="240" t="str">
        <f>_xlfn.XLOOKUP(ППД5[[#This Row],[№]],Юрист[№ кв],Юрист[Дата подачи на регистрацию]," ",0,-1)</f>
        <v xml:space="preserve"> </v>
      </c>
      <c r="DR76" s="115" t="str">
        <f>_xlfn.XLOOKUP(ППД5[[#This Row],[№]],Юрист[№ кв],Юрист[МОП],"",0,-1)</f>
        <v/>
      </c>
      <c r="DS76" s="333" t="s">
        <v>2444</v>
      </c>
      <c r="DT76" s="333" t="s">
        <v>2445</v>
      </c>
      <c r="DU76" s="333">
        <v>60.3</v>
      </c>
      <c r="DV76" s="111"/>
    </row>
    <row r="77" spans="1:126" hidden="1" x14ac:dyDescent="0.25">
      <c r="A77" s="112">
        <v>75</v>
      </c>
      <c r="B77" s="111" t="s">
        <v>5</v>
      </c>
      <c r="C77" s="111">
        <v>11</v>
      </c>
      <c r="D77" s="111">
        <v>6</v>
      </c>
      <c r="E77" s="111">
        <v>2</v>
      </c>
      <c r="F77" s="105">
        <v>14.64</v>
      </c>
      <c r="G77" s="105">
        <v>10.74</v>
      </c>
      <c r="H77" s="105"/>
      <c r="I77" s="94">
        <f>SUM(ППД5[[#This Row],[Комната 1]:[Комната 3]])</f>
        <v>25.380000000000003</v>
      </c>
      <c r="J77" s="105">
        <v>14.35</v>
      </c>
      <c r="K77" s="105">
        <v>4.16</v>
      </c>
      <c r="L77" s="105">
        <v>1.93</v>
      </c>
      <c r="M77" s="105"/>
      <c r="N77" s="105">
        <v>11.03</v>
      </c>
      <c r="O77" s="105">
        <v>2.6219999999999999</v>
      </c>
      <c r="P77" s="105"/>
      <c r="Q77" s="105"/>
      <c r="R77" s="105">
        <f>SUM(ППД5[[#This Row],[Лоджия 1]:[Лоджия 3]])</f>
        <v>2.6219999999999999</v>
      </c>
      <c r="S77" s="8">
        <f>ROUND(SUM(ППД5[[#This Row],[Площадь по проекту жилая]:[Лоджия 3]]),2)</f>
        <v>59.47</v>
      </c>
      <c r="T77" s="8">
        <f>ROUND(ППД5[[#This Row],[Площадь по проекту(общая)]]-ППД5[[#This Row],[Летние]],2)</f>
        <v>56.85</v>
      </c>
      <c r="U77" s="91">
        <f>ROUND(ППД5[[#This Row],[Площадь по проекту(общая)]]-(SUM(ППД5[[#This Row],[Лоджия 1]:[Лоджия 3]])/2),2)</f>
        <v>58.16</v>
      </c>
      <c r="V77" s="91">
        <f>IF(ППД5[[#This Row],[Статус]]="продажа",ППД5[[#This Row],[Расчетная проектная площадь]],ППД5[[#This Row],[Расчетная ТП площадь]])</f>
        <v>57.999999999999993</v>
      </c>
      <c r="W77" s="91">
        <v>10.7</v>
      </c>
      <c r="X77" s="91">
        <v>14.6</v>
      </c>
      <c r="Y77" s="91"/>
      <c r="Z77" s="91">
        <f>SUM(ППД5[[#This Row],[ТП Комната 1]:[ТП Комната 3]])</f>
        <v>25.299999999999997</v>
      </c>
      <c r="AA77" s="91">
        <v>14.4</v>
      </c>
      <c r="AB77" s="91">
        <v>4.0999999999999996</v>
      </c>
      <c r="AC77" s="91">
        <v>2</v>
      </c>
      <c r="AD77" s="91"/>
      <c r="AE77" s="91">
        <v>10.9</v>
      </c>
      <c r="AF77" s="91">
        <v>1.3</v>
      </c>
      <c r="AG77" s="91"/>
      <c r="AH77" s="91"/>
      <c r="AI77" s="91">
        <f>SUM(ППД5[[#This Row],[ТП Лоджия 1]:[ТП Лоджия 3]])</f>
        <v>1.3</v>
      </c>
      <c r="AJ77" s="95">
        <v>2.6</v>
      </c>
      <c r="AK77" s="91">
        <f>SUM(ППД5[[#This Row],[Площадь по ТП жилая]:[ТП Лоджия 3]])-ППД5[[#This Row],[ТП Летние]]+ППД5[[#This Row],[кроме того прочая
(без коэффициента)]]</f>
        <v>59.3</v>
      </c>
      <c r="AL77" s="95">
        <f>ППД5[[#This Row],[ТП Площадь без летних]]+(ППД5[[#This Row],[ТП Летние]])</f>
        <v>57.999999999999993</v>
      </c>
      <c r="AM77" s="91">
        <f>ППД5[[#This Row],[ТП общая S]]-ППД5[[#This Row],[кроме того прочая
(без коэффициента)]]</f>
        <v>56.699999999999996</v>
      </c>
      <c r="AN77" s="95">
        <f>SUM(ППД5[[#This Row],[ТП Кухня]:[ТП Коридор]])</f>
        <v>31.4</v>
      </c>
      <c r="AO77" s="91">
        <f>ППД5[[#This Row],[Расчетная ТП площадь]]-ППД5[[#This Row],[Расчетная проектная площадь]]</f>
        <v>-0.16000000000000369</v>
      </c>
      <c r="AP77" s="335">
        <f>ППД5[[#This Row],[Расчетная ТП площадь]]/ППД5[[#This Row],[Расчетная проектная площадь]]-1</f>
        <v>-2.7510316368638543E-3</v>
      </c>
      <c r="AQ77" s="91">
        <f>ППД5[[#This Row],[% расхождения]]*ППД5[[#This Row],[Стоимость до скидки]]</f>
        <v>-19968.088033012602</v>
      </c>
      <c r="AR77" s="91">
        <f>VLOOKUP(ППД5[[#This Row],[№]],наценкад5[],COLUMN(наценкад5[[#This Row],[Цена м2 с учетом всех K]]),0)</f>
        <v>81466.150500000003</v>
      </c>
      <c r="AS77" s="8">
        <f>ППД5[[#This Row],[м2 после К]]*5%</f>
        <v>4073.3075250000002</v>
      </c>
      <c r="AT77" s="8">
        <f>ППД5[[#This Row],[м2 после К]]+ППД5[[#This Row],[Повышение 16.08.23 - 5%]]</f>
        <v>85539.458025</v>
      </c>
      <c r="AU77" s="93">
        <f>ППД5[[#This Row],[Фикс 16.08.23]]*3%</f>
        <v>2566.1837407499997</v>
      </c>
      <c r="AV77" s="93">
        <f>ППД5[[#This Row],[Фикс 16.08.23]]+ППД5[[#This Row],[Повышение 29.08.23 - 3%]]</f>
        <v>88105.641765749999</v>
      </c>
      <c r="AW77" s="93"/>
      <c r="AX77" s="93">
        <f>ППД5[[#This Row],[Фикс 29.08.23]]+ППД5[[#This Row],[Повышение 06.09.23 СТ и 1К]]</f>
        <v>88105.641765749999</v>
      </c>
      <c r="AY77" s="93"/>
      <c r="AZ77" s="93">
        <f>ППД5[[#This Row],[Повышение 23.10.23  В4 ]]+ППД5[[#This Row],[Фикс 06.09.23]]</f>
        <v>88105.641765749999</v>
      </c>
      <c r="BA77" s="93"/>
      <c r="BB77" s="93">
        <f>ППД5[[#This Row],[Повышение 8.11.23 1К 5%]]+ППД5[[#This Row],[Фикс 23.10.23]]</f>
        <v>88105.641765749999</v>
      </c>
      <c r="BC77" s="93"/>
      <c r="BD77" s="93">
        <f>ППД5[[#This Row],[Корректировка 24.11.23 - 1К В5, 2К А2, №233]]+ППД5[[#This Row],[Фикс 8.11.23]]</f>
        <v>88105.641765749999</v>
      </c>
      <c r="BE77" s="93">
        <f>ППД5[[#This Row],[Фикс 8.11.24]]*1%</f>
        <v>881.05641765749999</v>
      </c>
      <c r="BF77" s="93">
        <f>ППД5[[#This Row],[Наценка за отделку 29.12.23 1%]]+ППД5[[#This Row],[Фикс 8.11.24]]</f>
        <v>88986.698183407498</v>
      </c>
      <c r="BG77" s="93">
        <f>ППД5[[#This Row],[Фикс 29.12.23]]*5%</f>
        <v>4449.3349091703749</v>
      </c>
      <c r="BH77" s="93">
        <f>ППД5[[#This Row],[Фикс 29.12.23]]+ППД5[[#This Row],[Наценка 10.01.24 5%]]</f>
        <v>93436.033092577869</v>
      </c>
      <c r="BI77" s="93"/>
      <c r="BJ77" s="93">
        <f>ППД5[[#This Row],[Наценка 26.02.24 1 Этаж]]+ППД5[[#This Row],[Фикс 10.01.24]]</f>
        <v>93436.033092577869</v>
      </c>
      <c r="BK77" s="93">
        <f>ППД5[[#This Row],[Фикс 26.02.24]]*2%</f>
        <v>1868.7206618515575</v>
      </c>
      <c r="BL77" s="93">
        <f>ППД5[[#This Row],[Фикс 26.02.24]]+ППД5[[#This Row],[Наценка 06.03.24
СТ, 1К - 3%
2К, 3К - 2%]]</f>
        <v>95304.753754429432</v>
      </c>
      <c r="BM77" s="93"/>
      <c r="BN77" s="93">
        <f>ППД5[[#This Row],[Фикс 06.03.24]]+ППД5[[#This Row],[Наценка Г2+500]]</f>
        <v>95304.753754429432</v>
      </c>
      <c r="BO77" s="93">
        <f>ППД5[[#This Row],[Фикс 13.03.25]]*2%</f>
        <v>1906.0950750885886</v>
      </c>
      <c r="BP77" s="93">
        <f>ППД5[[#This Row],[Фикс 13.03.25]]+ППД5[[#This Row],[Наценка 20.03.24
2К, 3К - 2%]]</f>
        <v>97210.848829518014</v>
      </c>
      <c r="BQ77" s="93"/>
      <c r="BR77" s="93">
        <f>ППД5[[#This Row],[Фикс 20.03.24]]+ППД5[[#This Row],[Наценка 08.04.24 
2К: В3 - 150
3К: Г7 +1000]]</f>
        <v>97210.848829518014</v>
      </c>
      <c r="BS77" s="93">
        <f>ППД5[[#This Row],[Фикс 08.04.24]]*1%</f>
        <v>972.10848829518011</v>
      </c>
      <c r="BT77" s="93">
        <f>ППД5[[#This Row],[Фикс 08.04.24]]+ППД5[[#This Row],[Наценка 16.05.24 1%
А4,А6,Б3,Б6,Б7,В2,В3,В5,В6,Г1,Г3-Г5]]</f>
        <v>98182.957317813198</v>
      </c>
      <c r="BU77" s="93"/>
      <c r="BV77" s="93">
        <f>ППД5[[#This Row],[Фикс 16.05.24]]+ППД5[[#This Row],[Наценка 24.05.24
1% - Б4, Б5,Г2,Г6
2% - А1,А3,А5,Б2,Г7]]</f>
        <v>98182.957317813198</v>
      </c>
      <c r="BW77" s="93"/>
      <c r="BX77" s="93">
        <f>ППД5[[#This Row],[Наценка 06.06.24
0К: В2,Г3 +0,5%
1К: А7, Б5/4, Г6 +0,5%
3К: В6 +0,5%
1К: А3 +1%]]+ППД5[[#This Row],[Фикс 24.05.24]]</f>
        <v>98182.957317813198</v>
      </c>
      <c r="BY77" s="93"/>
      <c r="BZ77" s="93">
        <f>ППД5[[#This Row],[Фикс 06.06.24]]+ППД5[[#This Row],[13.06.2024
3К - 2%]]</f>
        <v>98182.957317813198</v>
      </c>
      <c r="CA77" s="9">
        <f>1.5%*ППД5[[#This Row],[Фикс 13.06.24]]</f>
        <v>1472.7443597671979</v>
      </c>
      <c r="CB77" s="93">
        <f>ППД5[[#This Row],[02.07.2024: Г3 А1 А3 Б5 Б7 Г2 Г6 Б3 Б4 В3 Г7 2,5% ост 0,5-1,5%]]+ППД5[[#This Row],[Фикс 13.06.24]]</f>
        <v>99655.701677580393</v>
      </c>
      <c r="CC77" s="93">
        <v>500</v>
      </c>
      <c r="CD77" s="93">
        <f>ППД5[[#This Row],[Фикс 02.07.24]]+ППД5[[#This Row],[04.09.2024 +500
0К - Б2; 1К - А3;
2К - А6, Б4, В3, Г5]]</f>
        <v>100155.70167758039</v>
      </c>
      <c r="CE77" s="93">
        <f>ППД5[[#This Row],[Фикс 04.09.24]]*4%</f>
        <v>4006.2280671032158</v>
      </c>
      <c r="CF77" s="93">
        <f>ППД5[[#This Row],[Наценка 16.09.2024
1К: А1,В7,Г6/7,Г8 - 2%
2К: А4,А5,А6,Б1,Б6,Б3/4,В3,В4,Г4,Г5 - 4%
3К: 4%]]+ППД5[[#This Row],[Фикс 04.09.24]]</f>
        <v>104161.92974468361</v>
      </c>
      <c r="CG77" s="93">
        <f>ППД5[[#This Row],[Фикс 16.09.2024]]*6%</f>
        <v>6249.7157846810169</v>
      </c>
      <c r="CH77" s="93">
        <f>ППД5[[#This Row],[Фикс 16.09.2024]]+ППД5[[#This Row],[Наценка 01.11.24
СТ: 4%
1К: 34-40м 5%; 40м+ 8%; МГН 1%
2К: 55-70м 6%; 70-73м 7%; 73-76м 8% 
3К: 5%]]</f>
        <v>110411.64552936463</v>
      </c>
      <c r="CI77" s="93">
        <f>ППД5[[#This Row],[Фикс 01.11.24]]*13%</f>
        <v>14353.513918817402</v>
      </c>
      <c r="CJ77" s="93">
        <f>ППД5[[#This Row],[Наценка 06.11 13%]]+ППД5[[#This Row],[Фикс 01.11.24]]</f>
        <v>124765.15944818204</v>
      </c>
      <c r="CK77" s="93">
        <v>35</v>
      </c>
      <c r="CL77" s="93">
        <f>ППД5[[#This Row],[Фикс 06.11.24]]+ППД5[[#This Row],[Наценка 18.12.24 распределение КВ]]</f>
        <v>124800.15944818204</v>
      </c>
      <c r="CM77" s="93"/>
      <c r="CN77" s="93">
        <f>ППД5[[#This Row],[Фикс 18.12.24]]+ППД5[[#This Row],[Наценка 10.02.25 +1%
1К: А3
2К: Б3, В3]]</f>
        <v>124800.15944818204</v>
      </c>
      <c r="CO77" s="93">
        <f>ROUND(ППД5[[#This Row],[Фикс 10.02.25]],2)</f>
        <v>124800.16</v>
      </c>
      <c r="CP7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7258400</v>
      </c>
      <c r="CQ77" s="93">
        <f>ROUNDUP(ППД5[[#This Row],[Стоимость до скидки]]+ППД5[[#This Row],[Сумма доплаты]],-2)</f>
        <v>7238500</v>
      </c>
      <c r="CR77" s="68"/>
      <c r="CS77" s="90"/>
      <c r="CT77" s="68">
        <f>ППД5[[#This Row],[Стоимость до скидки]]*ППД5[[#This Row],[Скидка %]]+ППД5[[#This Row],[Скидка фиксированная]]</f>
        <v>0</v>
      </c>
      <c r="CU77" s="3">
        <f>ППД5[[#This Row],[Стоимость ОН без отделки со скидкой]]/ППД5[[#This Row],[Расчетная проектная площадь]]</f>
        <v>124800.55020632737</v>
      </c>
      <c r="CV77" s="3">
        <f>ROUND(ППД5[[#This Row],[Стоимость до скидки]]-ППД5[[#This Row],[Итоговая сумма скидки]],2)</f>
        <v>7258400</v>
      </c>
      <c r="CW7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77" s="197"/>
      <c r="CY77" s="332">
        <f>ППД5[[#This Row],[Расхождение]]/ППД5[[#This Row],[Расчетная проектная площадь]]</f>
        <v>-2.7510316368638877E-3</v>
      </c>
      <c r="CZ7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-7.0000000000002061E-2</v>
      </c>
      <c r="DA77" s="3">
        <f>ППД5[[#This Row],[Цена м2 без отделки со скидкой]]+ППД5[[#This Row],[Стоимость отделки]]</f>
        <v>124800.55020632737</v>
      </c>
      <c r="DB77" s="3">
        <f>ППД5[[#This Row],[Стоимость квартиры с отделкой]]-ППД5[[#This Row],[Стоимость ОН без отделки со скидкой]]</f>
        <v>0</v>
      </c>
      <c r="DC77" s="3">
        <f>ППД5[[#This Row],[Цена м2 с отделкой]]*ППД5[[#This Row],[Расчетная проектная площадь]]</f>
        <v>7258400</v>
      </c>
      <c r="DD77" s="3"/>
      <c r="DF77" s="155" t="s">
        <v>157</v>
      </c>
      <c r="DG77" s="221" t="s">
        <v>157</v>
      </c>
      <c r="DH77" s="100" t="b">
        <f>EXACT(ППД5[[#This Row],[Статусы CRM]],ППД5[[#This Row],[Статус]])</f>
        <v>1</v>
      </c>
      <c r="DI77" s="213" t="s">
        <v>249</v>
      </c>
      <c r="DJ77" s="204"/>
      <c r="DK77" s="111" t="s">
        <v>763</v>
      </c>
      <c r="DL77" s="216" t="s">
        <v>12</v>
      </c>
      <c r="DM77" s="201" t="b">
        <f>ППД5[[#This Row],[Отделка CRM]]=ППД5[[#This Row],[Отделка]]</f>
        <v>1</v>
      </c>
      <c r="DN77" s="209">
        <v>7258400</v>
      </c>
      <c r="DO7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77" s="207" t="b">
        <f>IF(AND(ППД5[[#This Row],[Статус]]="свободно",ППД5[[#This Row],[Итоговая сумма скидки]]&lt;&gt;0),FALSE,TRUE)</f>
        <v>1</v>
      </c>
      <c r="DQ77" s="240" t="str">
        <f>_xlfn.XLOOKUP(ППД5[[#This Row],[№]],Юрист[№ кв],Юрист[Дата подачи на регистрацию]," ",0,-1)</f>
        <v xml:space="preserve"> </v>
      </c>
      <c r="DR77" s="115" t="str">
        <f>_xlfn.XLOOKUP(ППД5[[#This Row],[№]],Юрист[№ кв],Юрист[МОП],"",0,-1)</f>
        <v/>
      </c>
      <c r="DS77" s="333" t="s">
        <v>2446</v>
      </c>
      <c r="DT77" s="333" t="s">
        <v>2447</v>
      </c>
      <c r="DU77" s="333">
        <v>56.7</v>
      </c>
      <c r="DV77" s="111"/>
    </row>
    <row r="78" spans="1:126" hidden="1" x14ac:dyDescent="0.25">
      <c r="A78" s="112">
        <v>76</v>
      </c>
      <c r="B78" s="111" t="s">
        <v>5</v>
      </c>
      <c r="C78" s="111">
        <v>11</v>
      </c>
      <c r="D78" s="111">
        <v>7</v>
      </c>
      <c r="E78" s="111">
        <v>1</v>
      </c>
      <c r="F78" s="157">
        <v>18.489999999999998</v>
      </c>
      <c r="G78" s="105"/>
      <c r="H78" s="105"/>
      <c r="I78" s="94">
        <f>SUM(ППД5[[#This Row],[Комната 1]:[Комната 3]])</f>
        <v>18.489999999999998</v>
      </c>
      <c r="J78" s="105">
        <v>13.04</v>
      </c>
      <c r="K78" s="105">
        <v>3.9</v>
      </c>
      <c r="L78" s="105"/>
      <c r="M78" s="105"/>
      <c r="N78" s="105">
        <v>5.99</v>
      </c>
      <c r="O78" s="105">
        <v>2.65</v>
      </c>
      <c r="P78" s="105"/>
      <c r="Q78" s="105"/>
      <c r="R78" s="105">
        <f>SUM(ППД5[[#This Row],[Лоджия 1]:[Лоджия 3]])</f>
        <v>2.65</v>
      </c>
      <c r="S78" s="7">
        <f>ROUND(SUM(ППД5[[#This Row],[Площадь по проекту жилая]:[Лоджия 3]]),2)</f>
        <v>44.07</v>
      </c>
      <c r="T78" s="7">
        <f>ROUND(ППД5[[#This Row],[Площадь по проекту(общая)]]-ППД5[[#This Row],[Летние]],2)</f>
        <v>41.42</v>
      </c>
      <c r="U78" s="92">
        <f>ROUND(ППД5[[#This Row],[Площадь по проекту(общая)]]-(SUM(ППД5[[#This Row],[Лоджия 1]:[Лоджия 3]])/2),2)</f>
        <v>42.75</v>
      </c>
      <c r="V78" s="92">
        <f>IF(ППД5[[#This Row],[Статус]]="продажа",ППД5[[#This Row],[Расчетная проектная площадь]],ППД5[[#This Row],[Расчетная ТП площадь]])</f>
        <v>42.75</v>
      </c>
      <c r="W78" s="92">
        <v>18.399999999999999</v>
      </c>
      <c r="X78" s="92"/>
      <c r="Y78" s="92"/>
      <c r="Z78" s="92">
        <f>SUM(ППД5[[#This Row],[ТП Комната 1]:[ТП Комната 3]])</f>
        <v>18.399999999999999</v>
      </c>
      <c r="AA78" s="92">
        <v>13</v>
      </c>
      <c r="AB78" s="92">
        <v>3.9</v>
      </c>
      <c r="AC78" s="92"/>
      <c r="AD78" s="92"/>
      <c r="AE78" s="92">
        <v>5.9</v>
      </c>
      <c r="AF78" s="92">
        <v>1.3</v>
      </c>
      <c r="AG78" s="92"/>
      <c r="AH78" s="92"/>
      <c r="AI78" s="91">
        <f>SUM(ППД5[[#This Row],[ТП Лоджия 1]:[ТП Лоджия 3]])</f>
        <v>1.3</v>
      </c>
      <c r="AJ78" s="95">
        <v>2.6</v>
      </c>
      <c r="AK78" s="92">
        <f>SUM(ППД5[[#This Row],[Площадь по ТП жилая]:[ТП Лоджия 3]])-ППД5[[#This Row],[ТП Летние]]+ППД5[[#This Row],[кроме того прочая
(без коэффициента)]]</f>
        <v>43.8</v>
      </c>
      <c r="AL78" s="95">
        <f>ППД5[[#This Row],[ТП Площадь без летних]]+(ППД5[[#This Row],[ТП Летние]])</f>
        <v>42.499999999999993</v>
      </c>
      <c r="AM78" s="92">
        <f>ППД5[[#This Row],[ТП общая S]]-ППД5[[#This Row],[кроме того прочая
(без коэффициента)]]</f>
        <v>41.199999999999996</v>
      </c>
      <c r="AN78" s="95">
        <f>SUM(ППД5[[#This Row],[ТП Кухня]:[ТП Коридор]])</f>
        <v>22.799999999999997</v>
      </c>
      <c r="AO78" s="91">
        <f>ППД5[[#This Row],[Расчетная ТП площадь]]-ППД5[[#This Row],[Расчетная проектная площадь]]</f>
        <v>-0.25000000000000711</v>
      </c>
      <c r="AP78" s="335">
        <f>ППД5[[#This Row],[Расчетная ТП площадь]]/ППД5[[#This Row],[Расчетная проектная площадь]]-1</f>
        <v>-5.8479532163744352E-3</v>
      </c>
      <c r="AQ78" s="92">
        <f>ППД5[[#This Row],[% расхождения]]*ППД5[[#This Row],[Стоимость до скидки]]</f>
        <v>-23606.305029240437</v>
      </c>
      <c r="AR78" s="92">
        <f>VLOOKUP(ППД5[[#This Row],[№]],наценкад5[],COLUMN(наценкад5[[#This Row],[Цена м2 с учетом всех K]]),0)</f>
        <v>83951.4375</v>
      </c>
      <c r="AS78" s="7">
        <f>ППД5[[#This Row],[м2 после К]]*5%</f>
        <v>4197.5718750000005</v>
      </c>
      <c r="AT78" s="7">
        <f>ППД5[[#This Row],[м2 после К]]+ППД5[[#This Row],[Повышение 16.08.23 - 5%]]</f>
        <v>88149.009374999994</v>
      </c>
      <c r="AU78" s="9">
        <f>ППД5[[#This Row],[Фикс 16.08.23]]*3%</f>
        <v>2644.4702812499995</v>
      </c>
      <c r="AV78" s="9">
        <f>ППД5[[#This Row],[Фикс 16.08.23]]+ППД5[[#This Row],[Повышение 29.08.23 - 3%]]</f>
        <v>90793.479656249998</v>
      </c>
      <c r="AW78" s="93">
        <f>ППД5[[#This Row],[Фикс 29.08.23]]*4%</f>
        <v>3631.7391862499999</v>
      </c>
      <c r="AX78" s="9">
        <f>ППД5[[#This Row],[Фикс 29.08.23]]+ППД5[[#This Row],[Повышение 06.09.23 СТ и 1К]]</f>
        <v>94425.218842499991</v>
      </c>
      <c r="AY78" s="9"/>
      <c r="AZ78" s="9">
        <f>ППД5[[#This Row],[Повышение 23.10.23  В4 ]]+ППД5[[#This Row],[Фикс 06.09.23]]</f>
        <v>94425.218842499991</v>
      </c>
      <c r="BA78" s="9"/>
      <c r="BB78" s="9">
        <f>ППД5[[#This Row],[Повышение 8.11.23 1К 5%]]+ППД5[[#This Row],[Фикс 23.10.23]]</f>
        <v>94425.218842499991</v>
      </c>
      <c r="BC78" s="9"/>
      <c r="BD78" s="9">
        <f>ППД5[[#This Row],[Корректировка 24.11.23 - 1К В5, 2К А2, №233]]+ППД5[[#This Row],[Фикс 8.11.23]]</f>
        <v>94425.218842499991</v>
      </c>
      <c r="BE78" s="9"/>
      <c r="BF78" s="9">
        <f>ППД5[[#This Row],[Наценка за отделку 29.12.23 1%]]+ППД5[[#This Row],[Фикс 8.11.24]]</f>
        <v>94425.218842499991</v>
      </c>
      <c r="BG78" s="9"/>
      <c r="BH78" s="9">
        <f>ППД5[[#This Row],[Фикс 29.12.23]]+ППД5[[#This Row],[Наценка 10.01.24 5%]]</f>
        <v>94425.218842499991</v>
      </c>
      <c r="BI78" s="9"/>
      <c r="BJ78" s="9">
        <f>ППД5[[#This Row],[Наценка 26.02.24 1 Этаж]]+ППД5[[#This Row],[Фикс 10.01.24]]</f>
        <v>94425.218842499991</v>
      </c>
      <c r="BK78" s="93"/>
      <c r="BL78" s="9">
        <f>ППД5[[#This Row],[Фикс 26.02.24]]+ППД5[[#This Row],[Наценка 06.03.24
СТ, 1К - 3%
2К, 3К - 2%]]</f>
        <v>94425.218842499991</v>
      </c>
      <c r="BM78" s="9"/>
      <c r="BN78" s="9">
        <f>ППД5[[#This Row],[Фикс 06.03.24]]+ППД5[[#This Row],[Наценка Г2+500]]</f>
        <v>94425.218842499991</v>
      </c>
      <c r="BO78" s="9"/>
      <c r="BP78" s="9">
        <f>ППД5[[#This Row],[Фикс 13.03.25]]+ППД5[[#This Row],[Наценка 20.03.24
2К, 3К - 2%]]</f>
        <v>94425.218842499991</v>
      </c>
      <c r="BQ78" s="9"/>
      <c r="BR78" s="9">
        <f>ППД5[[#This Row],[Фикс 20.03.24]]+ППД5[[#This Row],[Наценка 08.04.24 
2К: В3 - 150
3К: Г7 +1000]]</f>
        <v>94425.218842499991</v>
      </c>
      <c r="BS78" s="9"/>
      <c r="BT78" s="9">
        <f>ППД5[[#This Row],[Фикс 08.04.24]]+ППД5[[#This Row],[Наценка 16.05.24 1%
А4,А6,Б3,Б6,Б7,В2,В3,В5,В6,Г1,Г3-Г5]]</f>
        <v>94425.218842499991</v>
      </c>
      <c r="BU78" s="9"/>
      <c r="BV78" s="9">
        <f>ППД5[[#This Row],[Фикс 16.05.24]]+ППД5[[#This Row],[Наценка 24.05.24
1% - Б4, Б5,Г2,Г6
2% - А1,А3,А5,Б2,Г7]]</f>
        <v>94425.218842499991</v>
      </c>
      <c r="BW78" s="9"/>
      <c r="BX78" s="9">
        <f>ППД5[[#This Row],[Наценка 06.06.24
0К: В2,Г3 +0,5%
1К: А7, Б5/4, Г6 +0,5%
3К: В6 +0,5%
1К: А3 +1%]]+ППД5[[#This Row],[Фикс 24.05.24]]</f>
        <v>94425.218842499991</v>
      </c>
      <c r="BY78" s="9"/>
      <c r="BZ78" s="9">
        <f>ППД5[[#This Row],[Фикс 06.06.24]]+ППД5[[#This Row],[13.06.2024
3К - 2%]]</f>
        <v>94425.218842499991</v>
      </c>
      <c r="CA78" s="9"/>
      <c r="CB78" s="9">
        <f>ППД5[[#This Row],[02.07.2024: Г3 А1 А3 Б5 Б7 Г2 Г6 Б3 Б4 В3 Г7 2,5% ост 0,5-1,5%]]+ППД5[[#This Row],[Фикс 13.06.24]]</f>
        <v>94425.218842499991</v>
      </c>
      <c r="CC78" s="9"/>
      <c r="CD78" s="9">
        <f>ППД5[[#This Row],[Фикс 02.07.24]]+ППД5[[#This Row],[04.09.2024 +500
0К - Б2; 1К - А3;
2К - А6, Б4, В3, Г5]]</f>
        <v>94425.218842499991</v>
      </c>
      <c r="CE78" s="9"/>
      <c r="CF78" s="9">
        <f>ППД5[[#This Row],[Наценка 16.09.2024
1К: А1,В7,Г6/7,Г8 - 2%
2К: А4,А5,А6,Б1,Б6,Б3/4,В3,В4,Г4,Г5 - 4%
3К: 4%]]+ППД5[[#This Row],[Фикс 04.09.24]]</f>
        <v>94425.218842499991</v>
      </c>
      <c r="CG78" s="9"/>
      <c r="CH78" s="9">
        <f>ППД5[[#This Row],[Фикс 16.09.2024]]+ППД5[[#This Row],[Наценка 01.11.24
СТ: 4%
1К: 34-40м 5%; 40м+ 8%; МГН 1%
2К: 55-70м 6%; 70-73м 7%; 73-76м 8% 
3К: 5%]]</f>
        <v>94425.218842499991</v>
      </c>
      <c r="CI78" s="9"/>
      <c r="CJ78" s="9">
        <f>ППД5[[#This Row],[Наценка 06.11 13%]]+ППД5[[#This Row],[Фикс 01.11.24]]</f>
        <v>94425.218842499991</v>
      </c>
      <c r="CK78" s="9"/>
      <c r="CL78" s="9">
        <f>ППД5[[#This Row],[Фикс 06.11.24]]+ППД5[[#This Row],[Наценка 18.12.24 распределение КВ]]</f>
        <v>94425.218842499991</v>
      </c>
      <c r="CM78" s="9"/>
      <c r="CN78" s="9">
        <f>ППД5[[#This Row],[Фикс 18.12.24]]+ППД5[[#This Row],[Наценка 10.02.25 +1%
1К: А3
2К: Б3, В3]]</f>
        <v>94425.218842499991</v>
      </c>
      <c r="CO78" s="93">
        <f>ROUND(ППД5[[#This Row],[Фикс 10.02.25]],2)</f>
        <v>94425.22</v>
      </c>
      <c r="CP7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4036678.16</v>
      </c>
      <c r="CQ78" s="93">
        <f>ROUNDUP(ППД5[[#This Row],[Стоимость до скидки]]+ППД5[[#This Row],[Сумма доплаты]],-2)</f>
        <v>4013100</v>
      </c>
      <c r="CR78" s="68"/>
      <c r="CS78" s="90">
        <v>0.02</v>
      </c>
      <c r="CT78" s="68">
        <f>ППД5[[#This Row],[Стоимость до скидки]]*ППД5[[#This Row],[Скидка %]]+ППД5[[#This Row],[Скидка фиксированная]]</f>
        <v>80733.563200000004</v>
      </c>
      <c r="CU78" s="3">
        <f>ППД5[[#This Row],[Стоимость ОН без отделки со скидкой]]/ППД5[[#This Row],[Расчетная проектная площадь]]</f>
        <v>92536.715789473688</v>
      </c>
      <c r="CV78" s="3">
        <f>ROUND(ППД5[[#This Row],[Стоимость до скидки]]-ППД5[[#This Row],[Итоговая сумма скидки]],2)</f>
        <v>3955944.6</v>
      </c>
      <c r="CW7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78" s="197">
        <v>7500</v>
      </c>
      <c r="CY78" s="332">
        <f>ППД5[[#This Row],[Расхождение]]/ППД5[[#This Row],[Расчетная проектная площадь]]</f>
        <v>-5.8479532163744352E-3</v>
      </c>
      <c r="CZ7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-0.13000000000000433</v>
      </c>
      <c r="DA78" s="3">
        <f>ППД5[[#This Row],[Цена м2 без отделки со скидкой]]+ППД5[[#This Row],[Стоимость отделки]]</f>
        <v>100036.71578947369</v>
      </c>
      <c r="DB78" s="3">
        <f>ППД5[[#This Row],[Стоимость квартиры с отделкой]]-ППД5[[#This Row],[Стоимость ОН без отделки со скидкой]]</f>
        <v>320625.00000000047</v>
      </c>
      <c r="DC78" s="3">
        <f>ППД5[[#This Row],[Цена м2 с отделкой]]*ППД5[[#This Row],[Расчетная проектная площадь]]</f>
        <v>4276569.6000000006</v>
      </c>
      <c r="DD78" s="3"/>
      <c r="DE78" s="111" t="s">
        <v>788</v>
      </c>
      <c r="DF78" s="199" t="s">
        <v>172</v>
      </c>
      <c r="DG78" s="245" t="s">
        <v>172</v>
      </c>
      <c r="DH78" s="100" t="b">
        <f>EXACT(ППД5[[#This Row],[Статусы CRM]],ППД5[[#This Row],[Статус]])</f>
        <v>1</v>
      </c>
      <c r="DI78" s="213" t="s">
        <v>250</v>
      </c>
      <c r="DJ78" s="204"/>
      <c r="DK78" s="111" t="s">
        <v>76</v>
      </c>
      <c r="DL78" s="216" t="s">
        <v>13</v>
      </c>
      <c r="DM78" s="201" t="b">
        <f>ППД5[[#This Row],[Отделка CRM]]=ППД5[[#This Row],[Отделка]]</f>
        <v>1</v>
      </c>
      <c r="DN78" s="203">
        <v>4276569.5999999996</v>
      </c>
      <c r="DO7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-9.3132257461547852E-10</v>
      </c>
      <c r="DP78" s="207" t="b">
        <f>IF(AND(ППД5[[#This Row],[Статус]]="свободно",ППД5[[#This Row],[Итоговая сумма скидки]]&lt;&gt;0),FALSE,TRUE)</f>
        <v>1</v>
      </c>
      <c r="DQ78" s="240">
        <f>_xlfn.XLOOKUP(ППД5[[#This Row],[№]],Юрист[№ кв],Юрист[Дата подачи на регистрацию]," ",0,-1)</f>
        <v>45251</v>
      </c>
      <c r="DR78" s="115" t="str">
        <f>_xlfn.XLOOKUP(ППД5[[#This Row],[№]],Юрист[№ кв],Юрист[МОП],"",0,-1)</f>
        <v>Полехович</v>
      </c>
      <c r="DS78" s="333" t="s">
        <v>2448</v>
      </c>
      <c r="DT78" s="333" t="s">
        <v>2449</v>
      </c>
      <c r="DU78" s="333">
        <v>41.2</v>
      </c>
      <c r="DV78" s="111"/>
    </row>
    <row r="79" spans="1:126" hidden="1" x14ac:dyDescent="0.25">
      <c r="A79" s="112">
        <v>77</v>
      </c>
      <c r="B79" s="111" t="s">
        <v>5</v>
      </c>
      <c r="C79" s="111">
        <v>12</v>
      </c>
      <c r="D79" s="338">
        <v>1</v>
      </c>
      <c r="E79" s="111">
        <v>1</v>
      </c>
      <c r="F79" s="105">
        <v>14.68</v>
      </c>
      <c r="G79" s="105"/>
      <c r="H79" s="105"/>
      <c r="I79" s="94">
        <f>SUM(ППД5[[#This Row],[Комната 1]:[Комната 3]])</f>
        <v>14.68</v>
      </c>
      <c r="J79" s="1">
        <v>9.84</v>
      </c>
      <c r="K79" s="105">
        <v>3.63</v>
      </c>
      <c r="L79" s="105"/>
      <c r="M79" s="105"/>
      <c r="N79" s="105">
        <v>4.8899999999999997</v>
      </c>
      <c r="O79" s="105">
        <v>2.7</v>
      </c>
      <c r="P79" s="105"/>
      <c r="Q79" s="105"/>
      <c r="R79" s="105">
        <f>SUM(ППД5[[#This Row],[Лоджия 1]:[Лоджия 3]])</f>
        <v>2.7</v>
      </c>
      <c r="S79" s="7">
        <f>ROUND(SUM(ППД5[[#This Row],[Площадь по проекту жилая]:[Лоджия 3]]),2)</f>
        <v>35.74</v>
      </c>
      <c r="T79" s="7">
        <f>ROUND(ППД5[[#This Row],[Площадь по проекту(общая)]]-ППД5[[#This Row],[Летние]],2)</f>
        <v>33.04</v>
      </c>
      <c r="U79" s="92">
        <f>ROUND(ППД5[[#This Row],[Площадь по проекту(общая)]]-(SUM(ППД5[[#This Row],[Лоджия 1]:[Лоджия 3]])/2),2)</f>
        <v>34.39</v>
      </c>
      <c r="V79" s="92">
        <f>IF(ППД5[[#This Row],[Статус]]="продажа",ППД5[[#This Row],[Расчетная проектная площадь]],ППД5[[#This Row],[Расчетная ТП площадь]])</f>
        <v>34.39</v>
      </c>
      <c r="W79" s="92">
        <v>14.7</v>
      </c>
      <c r="X79" s="92"/>
      <c r="Y79" s="92"/>
      <c r="Z79" s="92">
        <f>SUM(ППД5[[#This Row],[ТП Комната 1]:[ТП Комната 3]])</f>
        <v>14.7</v>
      </c>
      <c r="AA79" s="92">
        <v>9.6999999999999993</v>
      </c>
      <c r="AB79" s="92">
        <v>3.9</v>
      </c>
      <c r="AC79" s="92"/>
      <c r="AD79" s="92"/>
      <c r="AE79" s="92">
        <v>4.8</v>
      </c>
      <c r="AF79" s="91">
        <v>1.35</v>
      </c>
      <c r="AG79" s="92"/>
      <c r="AH79" s="92"/>
      <c r="AI79" s="91">
        <f>SUM(ППД5[[#This Row],[ТП Лоджия 1]:[ТП Лоджия 3]])</f>
        <v>1.35</v>
      </c>
      <c r="AJ79" s="95">
        <v>2.7</v>
      </c>
      <c r="AK79" s="92">
        <f>SUM(ППД5[[#This Row],[Площадь по ТП жилая]:[ТП Лоджия 3]])-ППД5[[#This Row],[ТП Летние]]+ППД5[[#This Row],[кроме того прочая
(без коэффициента)]]</f>
        <v>35.799999999999997</v>
      </c>
      <c r="AL79" s="95">
        <f>ППД5[[#This Row],[ТП Площадь без летних]]+(ППД5[[#This Row],[ТП Летние]])</f>
        <v>34.449999999999996</v>
      </c>
      <c r="AM79" s="92">
        <f>ППД5[[#This Row],[ТП общая S]]-ППД5[[#This Row],[кроме того прочая
(без коэффициента)]]</f>
        <v>33.099999999999994</v>
      </c>
      <c r="AN79" s="95">
        <f>SUM(ППД5[[#This Row],[ТП Кухня]:[ТП Коридор]])</f>
        <v>18.399999999999999</v>
      </c>
      <c r="AO79" s="91">
        <f>ППД5[[#This Row],[Расчетная ТП площадь]]-ППД5[[#This Row],[Расчетная проектная площадь]]</f>
        <v>5.9999999999995168E-2</v>
      </c>
      <c r="AP79" s="335">
        <f>ППД5[[#This Row],[Расчетная ТП площадь]]/ППД5[[#This Row],[Расчетная проектная площадь]]-1</f>
        <v>1.7446932247744407E-3</v>
      </c>
      <c r="AQ79" s="92">
        <f>ППД5[[#This Row],[% расхождения]]*ППД5[[#This Row],[Стоимость до скидки]]</f>
        <v>7485.7807502172154</v>
      </c>
      <c r="AR79" s="92">
        <f>VLOOKUP(ППД5[[#This Row],[№]],наценкад5[],COLUMN(наценкад5[[#This Row],[Цена м2 с учетом всех K]]),0)</f>
        <v>82734.75</v>
      </c>
      <c r="AS79" s="7">
        <f>ППД5[[#This Row],[м2 после К]]*5%</f>
        <v>4136.7375000000002</v>
      </c>
      <c r="AT79" s="7">
        <f>ППД5[[#This Row],[м2 после К]]+ППД5[[#This Row],[Повышение 16.08.23 - 5%]]</f>
        <v>86871.487500000003</v>
      </c>
      <c r="AU79" s="9">
        <f>ППД5[[#This Row],[Фикс 16.08.23]]*3%</f>
        <v>2606.1446249999999</v>
      </c>
      <c r="AV79" s="9">
        <f>ППД5[[#This Row],[Фикс 16.08.23]]+ППД5[[#This Row],[Повышение 29.08.23 - 3%]]</f>
        <v>89477.632125000004</v>
      </c>
      <c r="AW79" s="93">
        <f>ППД5[[#This Row],[Фикс 29.08.23]]*14%</f>
        <v>12526.868497500001</v>
      </c>
      <c r="AX79" s="9">
        <f>ППД5[[#This Row],[Фикс 29.08.23]]+ППД5[[#This Row],[Повышение 06.09.23 СТ и 1К]]</f>
        <v>102004.50062250001</v>
      </c>
      <c r="AY79" s="9"/>
      <c r="AZ79" s="9">
        <f>ППД5[[#This Row],[Повышение 23.10.23  В4 ]]+ППД5[[#This Row],[Фикс 06.09.23]]</f>
        <v>102004.50062250001</v>
      </c>
      <c r="BA79" s="93">
        <f>ППД5[[#This Row],[Фикс 23.10.23]]*5%</f>
        <v>5100.2250311250009</v>
      </c>
      <c r="BB79" s="93">
        <f>ППД5[[#This Row],[Повышение 8.11.23 1К 5%]]+ППД5[[#This Row],[Фикс 23.10.23]]</f>
        <v>107104.72565362501</v>
      </c>
      <c r="BC79" s="93"/>
      <c r="BD79" s="93">
        <f>ППД5[[#This Row],[Корректировка 24.11.23 - 1К В5, 2К А2, №233]]+ППД5[[#This Row],[Фикс 8.11.23]]</f>
        <v>107104.72565362501</v>
      </c>
      <c r="BE79" s="93">
        <f>ППД5[[#This Row],[Фикс 8.11.24]]*1%</f>
        <v>1071.0472565362502</v>
      </c>
      <c r="BF79" s="93">
        <f>ППД5[[#This Row],[Наценка за отделку 29.12.23 1%]]+ППД5[[#This Row],[Фикс 8.11.24]]</f>
        <v>108175.77291016125</v>
      </c>
      <c r="BG79" s="93">
        <f>ППД5[[#This Row],[Фикс 29.12.23]]*5%</f>
        <v>5408.7886455080625</v>
      </c>
      <c r="BH79" s="93">
        <f>ППД5[[#This Row],[Фикс 29.12.23]]+ППД5[[#This Row],[Наценка 10.01.24 5%]]</f>
        <v>113584.56155566931</v>
      </c>
      <c r="BI79" s="93"/>
      <c r="BJ79" s="93">
        <f>ППД5[[#This Row],[Наценка 26.02.24 1 Этаж]]+ППД5[[#This Row],[Фикс 10.01.24]]</f>
        <v>113584.56155566931</v>
      </c>
      <c r="BK79" s="93">
        <f>ППД5[[#This Row],[Фикс 26.02.24]]*3%</f>
        <v>3407.5368466700793</v>
      </c>
      <c r="BL79" s="93">
        <f>ППД5[[#This Row],[Фикс 26.02.24]]+ППД5[[#This Row],[Наценка 06.03.24
СТ, 1К - 3%
2К, 3К - 2%]]</f>
        <v>116992.09840233938</v>
      </c>
      <c r="BM79" s="93"/>
      <c r="BN79" s="93">
        <f>ППД5[[#This Row],[Фикс 06.03.24]]+ППД5[[#This Row],[Наценка Г2+500]]</f>
        <v>116992.09840233938</v>
      </c>
      <c r="BO79" s="93"/>
      <c r="BP79" s="93">
        <f>ППД5[[#This Row],[Фикс 13.03.25]]+ППД5[[#This Row],[Наценка 20.03.24
2К, 3К - 2%]]</f>
        <v>116992.09840233938</v>
      </c>
      <c r="BQ79" s="93"/>
      <c r="BR79" s="93">
        <f>ППД5[[#This Row],[Фикс 20.03.24]]+ППД5[[#This Row],[Наценка 08.04.24 
2К: В3 - 150
3К: Г7 +1000]]</f>
        <v>116992.09840233938</v>
      </c>
      <c r="BS79" s="93"/>
      <c r="BT79" s="93">
        <f>ППД5[[#This Row],[Фикс 08.04.24]]+ППД5[[#This Row],[Наценка 16.05.24 1%
А4,А6,Б3,Б6,Б7,В2,В3,В5,В6,Г1,Г3-Г5]]</f>
        <v>116992.09840233938</v>
      </c>
      <c r="BU79" s="93">
        <f>ППД5[[#This Row],[Фикс 16.05.24]]*2%</f>
        <v>2339.8419680467878</v>
      </c>
      <c r="BV79" s="93">
        <f>ППД5[[#This Row],[Фикс 16.05.24]]+ППД5[[#This Row],[Наценка 24.05.24
1% - Б4, Б5,Г2,Г6
2% - А1,А3,А5,Б2,Г7]]</f>
        <v>119331.94037038618</v>
      </c>
      <c r="BW79" s="93"/>
      <c r="BX79" s="93">
        <f>ППД5[[#This Row],[Наценка 06.06.24
0К: В2,Г3 +0,5%
1К: А7, Б5/4, Г6 +0,5%
3К: В6 +0,5%
1К: А3 +1%]]+ППД5[[#This Row],[Фикс 24.05.24]]</f>
        <v>119331.94037038618</v>
      </c>
      <c r="BY79" s="93"/>
      <c r="BZ79" s="93">
        <f>ППД5[[#This Row],[Фикс 06.06.24]]+ППД5[[#This Row],[13.06.2024
3К - 2%]]</f>
        <v>119331.94037038618</v>
      </c>
      <c r="CA79" s="93">
        <f>2.5%*ППД5[[#This Row],[Фикс 13.06.24]]</f>
        <v>2983.2985092596546</v>
      </c>
      <c r="CB79" s="93">
        <f>ППД5[[#This Row],[02.07.2024: Г3 А1 А3 Б5 Б7 Г2 Г6 Б3 Б4 В3 Г7 2,5% ост 0,5-1,5%]]+ППД5[[#This Row],[Фикс 13.06.24]]</f>
        <v>122315.23887964583</v>
      </c>
      <c r="CC79" s="93"/>
      <c r="CD79" s="93">
        <f>ППД5[[#This Row],[Фикс 02.07.24]]+ППД5[[#This Row],[04.09.2024 +500
0К - Б2; 1К - А3;
2К - А6, Б4, В3, Г5]]</f>
        <v>122315.23887964583</v>
      </c>
      <c r="CE79" s="93">
        <f>ППД5[[#This Row],[Фикс 04.09.24]]*2%</f>
        <v>2446.3047775929167</v>
      </c>
      <c r="CF79" s="93">
        <f>ППД5[[#This Row],[Наценка 16.09.2024
1К: А1,В7,Г6/7,Г8 - 2%
2К: А4,А5,А6,Б1,Б6,Б3/4,В3,В4,Г4,Г5 - 4%
3К: 4%]]+ППД5[[#This Row],[Фикс 04.09.24]]</f>
        <v>124761.54365723874</v>
      </c>
      <c r="CG79" s="93"/>
      <c r="CH79" s="93">
        <f>ППД5[[#This Row],[Фикс 16.09.2024]]+ППД5[[#This Row],[Наценка 01.11.24
СТ: 4%
1К: 34-40м 5%; 40м+ 8%; МГН 1%
2К: 55-70м 6%; 70-73м 7%; 73-76м 8% 
3К: 5%]]</f>
        <v>124761.54365723874</v>
      </c>
      <c r="CI79" s="93"/>
      <c r="CJ79" s="93">
        <f>ППД5[[#This Row],[Наценка 06.11 13%]]+ППД5[[#This Row],[Фикс 01.11.24]]</f>
        <v>124761.54365723874</v>
      </c>
      <c r="CK79" s="93"/>
      <c r="CL79" s="93">
        <f>ППД5[[#This Row],[Фикс 06.11.24]]+ППД5[[#This Row],[Наценка 18.12.24 распределение КВ]]</f>
        <v>124761.54365723874</v>
      </c>
      <c r="CM79" s="93"/>
      <c r="CN79" s="93">
        <f>ППД5[[#This Row],[Фикс 18.12.24]]+ППД5[[#This Row],[Наценка 10.02.25 +1%
1К: А3
2К: Б3, В3]]</f>
        <v>124761.54365723874</v>
      </c>
      <c r="CO79" s="93">
        <f>ROUND(ППД5[[#This Row],[Фикс 10.02.25]],2)</f>
        <v>124761.54</v>
      </c>
      <c r="CP7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4290600</v>
      </c>
      <c r="CQ79" s="93">
        <f>ROUNDUP(ППД5[[#This Row],[Стоимость до скидки]]+ППД5[[#This Row],[Сумма доплаты]],-2)</f>
        <v>4298100</v>
      </c>
      <c r="CR79" s="68"/>
      <c r="CS79" s="90">
        <v>0.02</v>
      </c>
      <c r="CT79" s="68">
        <f>ППД5[[#This Row],[Стоимость до скидки]]*ППД5[[#This Row],[Скидка %]]+ППД5[[#This Row],[Скидка фиксированная]]</f>
        <v>85812</v>
      </c>
      <c r="CU79" s="3">
        <f>ППД5[[#This Row],[Стоимость ОН без отделки со скидкой]]/ППД5[[#This Row],[Расчетная проектная площадь]]</f>
        <v>122267.75225356208</v>
      </c>
      <c r="CV79" s="3">
        <f>ROUND(ППД5[[#This Row],[Стоимость до скидки]]-ППД5[[#This Row],[Итоговая сумма скидки]],2)</f>
        <v>4204788</v>
      </c>
      <c r="CW7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79" s="197">
        <v>8000</v>
      </c>
      <c r="CY79" s="332">
        <f>ППД5[[#This Row],[Расхождение]]/ППД5[[#This Row],[Расчетная проектная площадь]]</f>
        <v>1.7446932247745033E-3</v>
      </c>
      <c r="CZ7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3.9999999999999147E-2</v>
      </c>
      <c r="DA79" s="3">
        <f>ППД5[[#This Row],[Цена м2 без отделки со скидкой]]+ППД5[[#This Row],[Стоимость отделки]]</f>
        <v>130267.75225356208</v>
      </c>
      <c r="DB79" s="3">
        <f>ППД5[[#This Row],[Стоимость квартиры с отделкой]]-ППД5[[#This Row],[Стоимость ОН без отделки со скидкой]]</f>
        <v>275120</v>
      </c>
      <c r="DC79" s="3">
        <f>ППД5[[#This Row],[Цена м2 с отделкой]]*ППД5[[#This Row],[Расчетная проектная площадь]]</f>
        <v>4479908</v>
      </c>
      <c r="DD79" s="3" t="s">
        <v>154</v>
      </c>
      <c r="DE79" s="111" t="s">
        <v>757</v>
      </c>
      <c r="DF79" s="199" t="s">
        <v>172</v>
      </c>
      <c r="DG79" s="245" t="s">
        <v>172</v>
      </c>
      <c r="DH79" s="100" t="b">
        <f>EXACT(ППД5[[#This Row],[Статусы CRM]],ППД5[[#This Row],[Статус]])</f>
        <v>1</v>
      </c>
      <c r="DI79" s="213" t="s">
        <v>251</v>
      </c>
      <c r="DJ79" s="204"/>
      <c r="DK79" s="111" t="s">
        <v>763</v>
      </c>
      <c r="DL79" s="216" t="s">
        <v>780</v>
      </c>
      <c r="DM79" s="201" t="b">
        <f>ППД5[[#This Row],[Отделка CRM]]=ППД5[[#This Row],[Отделка]]</f>
        <v>1</v>
      </c>
      <c r="DN79" s="203">
        <v>4479908</v>
      </c>
      <c r="DO7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79" s="207" t="b">
        <f>IF(AND(ППД5[[#This Row],[Статус]]="свободно",ППД5[[#This Row],[Итоговая сумма скидки]]&lt;&gt;0),FALSE,TRUE)</f>
        <v>1</v>
      </c>
      <c r="DQ79" s="240">
        <f>_xlfn.XLOOKUP(ППД5[[#This Row],[№]],Юрист[№ кв],Юрист[Дата подачи на регистрацию]," ",0,-1)</f>
        <v>45589</v>
      </c>
      <c r="DR79" s="115" t="str">
        <f>_xlfn.XLOOKUP(ППД5[[#This Row],[№]],Юрист[№ кв],Юрист[МОП],"",0,-1)</f>
        <v>Дик</v>
      </c>
      <c r="DS79" s="333" t="s">
        <v>2450</v>
      </c>
      <c r="DT79" s="333" t="s">
        <v>2451</v>
      </c>
      <c r="DU79" s="333">
        <v>33.1</v>
      </c>
      <c r="DV79" s="111"/>
    </row>
    <row r="80" spans="1:126" hidden="1" x14ac:dyDescent="0.25">
      <c r="A80" s="112">
        <v>78</v>
      </c>
      <c r="B80" s="111" t="s">
        <v>5</v>
      </c>
      <c r="C80" s="111">
        <v>12</v>
      </c>
      <c r="D80" s="111">
        <v>2</v>
      </c>
      <c r="E80" s="111">
        <v>2</v>
      </c>
      <c r="F80" s="105">
        <v>15.82</v>
      </c>
      <c r="G80" s="156">
        <v>15.54</v>
      </c>
      <c r="H80" s="105"/>
      <c r="I80" s="94">
        <f>SUM(ППД5[[#This Row],[Комната 1]:[Комната 3]])</f>
        <v>31.36</v>
      </c>
      <c r="J80" s="105">
        <v>19.440000000000001</v>
      </c>
      <c r="K80" s="105">
        <v>4.42</v>
      </c>
      <c r="L80" s="105"/>
      <c r="M80" s="105">
        <v>3.25</v>
      </c>
      <c r="N80" s="105">
        <v>8.5299999999999994</v>
      </c>
      <c r="O80" s="105">
        <v>3</v>
      </c>
      <c r="P80" s="105"/>
      <c r="Q80" s="105"/>
      <c r="R80" s="105">
        <f>SUM(ППД5[[#This Row],[Лоджия 1]:[Лоджия 3]])</f>
        <v>3</v>
      </c>
      <c r="S80" s="7">
        <f>ROUND(SUM(ППД5[[#This Row],[Площадь по проекту жилая]:[Лоджия 3]]),2)</f>
        <v>70</v>
      </c>
      <c r="T80" s="7">
        <f>ROUND(ППД5[[#This Row],[Площадь по проекту(общая)]]-ППД5[[#This Row],[Летние]],2)</f>
        <v>67</v>
      </c>
      <c r="U80" s="92">
        <f>ROUND(ППД5[[#This Row],[Площадь по проекту(общая)]]-(SUM(ППД5[[#This Row],[Лоджия 1]:[Лоджия 3]])/2),2)</f>
        <v>68.5</v>
      </c>
      <c r="V80" s="92">
        <f>IF(ППД5[[#This Row],[Статус]]="продажа",ППД5[[#This Row],[Расчетная проектная площадь]],ППД5[[#This Row],[Расчетная ТП площадь]])</f>
        <v>68.3</v>
      </c>
      <c r="W80" s="92">
        <v>15.4</v>
      </c>
      <c r="X80" s="92">
        <v>15.8</v>
      </c>
      <c r="Y80" s="92"/>
      <c r="Z80" s="92">
        <f>SUM(ППД5[[#This Row],[ТП Комната 1]:[ТП Комната 3]])</f>
        <v>31.200000000000003</v>
      </c>
      <c r="AA80" s="92">
        <v>19</v>
      </c>
      <c r="AB80" s="92">
        <v>4.5999999999999996</v>
      </c>
      <c r="AC80" s="92"/>
      <c r="AD80" s="92">
        <v>3.3</v>
      </c>
      <c r="AE80" s="92">
        <v>8.6999999999999993</v>
      </c>
      <c r="AF80" s="92">
        <v>1.5</v>
      </c>
      <c r="AG80" s="92"/>
      <c r="AH80" s="92"/>
      <c r="AI80" s="91">
        <f>SUM(ППД5[[#This Row],[ТП Лоджия 1]:[ТП Лоджия 3]])</f>
        <v>1.5</v>
      </c>
      <c r="AJ80" s="95">
        <v>3</v>
      </c>
      <c r="AK80" s="92">
        <f>SUM(ППД5[[#This Row],[Площадь по ТП жилая]:[ТП Лоджия 3]])-ППД5[[#This Row],[ТП Летние]]+ППД5[[#This Row],[кроме того прочая
(без коэффициента)]]</f>
        <v>69.8</v>
      </c>
      <c r="AL80" s="95">
        <f>ППД5[[#This Row],[ТП Площадь без летних]]+(ППД5[[#This Row],[ТП Летние]])</f>
        <v>68.3</v>
      </c>
      <c r="AM80" s="92">
        <f>ППД5[[#This Row],[ТП общая S]]-ППД5[[#This Row],[кроме того прочая
(без коэффициента)]]</f>
        <v>66.8</v>
      </c>
      <c r="AN80" s="95">
        <f>SUM(ППД5[[#This Row],[ТП Кухня]:[ТП Коридор]])</f>
        <v>35.6</v>
      </c>
      <c r="AO80" s="91">
        <f>ППД5[[#This Row],[Расчетная ТП площадь]]-ППД5[[#This Row],[Расчетная проектная площадь]]</f>
        <v>-0.20000000000000284</v>
      </c>
      <c r="AP80" s="335">
        <f>ППД5[[#This Row],[Расчетная ТП площадь]]/ППД5[[#This Row],[Расчетная проектная площадь]]-1</f>
        <v>-2.9197080291971655E-3</v>
      </c>
      <c r="AQ80" s="92">
        <f>ППД5[[#This Row],[% расхождения]]*ППД5[[#This Row],[Стоимость до скидки]]</f>
        <v>-23967.007299270772</v>
      </c>
      <c r="AR80" s="92">
        <f>VLOOKUP(ППД5[[#This Row],[№]],наценкад5[],COLUMN(наценкад5[[#This Row],[Цена м2 с учетом всех K]]),0)</f>
        <v>84168.819000000003</v>
      </c>
      <c r="AS80" s="7">
        <f>ППД5[[#This Row],[м2 после К]]*5%</f>
        <v>4208.4409500000002</v>
      </c>
      <c r="AT80" s="7">
        <f>ППД5[[#This Row],[м2 после К]]+ППД5[[#This Row],[Повышение 16.08.23 - 5%]]</f>
        <v>88377.259950000007</v>
      </c>
      <c r="AU80" s="9">
        <f>ППД5[[#This Row],[Фикс 16.08.23]]*3%</f>
        <v>2651.3177985000002</v>
      </c>
      <c r="AV80" s="9">
        <f>ППД5[[#This Row],[Фикс 16.08.23]]+ППД5[[#This Row],[Повышение 29.08.23 - 3%]]</f>
        <v>91028.577748500014</v>
      </c>
      <c r="AW80" s="9"/>
      <c r="AX80" s="9">
        <f>ППД5[[#This Row],[Фикс 29.08.23]]+ППД5[[#This Row],[Повышение 06.09.23 СТ и 1К]]</f>
        <v>91028.577748500014</v>
      </c>
      <c r="AY80" s="9"/>
      <c r="AZ80" s="9">
        <f>ППД5[[#This Row],[Повышение 23.10.23  В4 ]]+ППД5[[#This Row],[Фикс 06.09.23]]</f>
        <v>91028.577748500014</v>
      </c>
      <c r="BA80" s="9"/>
      <c r="BB80" s="9">
        <f>ППД5[[#This Row],[Повышение 8.11.23 1К 5%]]+ППД5[[#This Row],[Фикс 23.10.23]]</f>
        <v>91028.577748500014</v>
      </c>
      <c r="BC80" s="9">
        <v>-831</v>
      </c>
      <c r="BD80" s="9">
        <f>ППД5[[#This Row],[Корректировка 24.11.23 - 1К В5, 2К А2, №233]]+ППД5[[#This Row],[Фикс 8.11.23]]</f>
        <v>90197.577748500014</v>
      </c>
      <c r="BE80" s="93">
        <f>ППД5[[#This Row],[Фикс 8.11.24]]*1%</f>
        <v>901.97577748500021</v>
      </c>
      <c r="BF80" s="9">
        <f>ППД5[[#This Row],[Наценка за отделку 29.12.23 1%]]+ППД5[[#This Row],[Фикс 8.11.24]]</f>
        <v>91099.553525985015</v>
      </c>
      <c r="BG80" s="93">
        <f>ППД5[[#This Row],[Фикс 29.12.23]]*5%</f>
        <v>4554.9776762992506</v>
      </c>
      <c r="BH80" s="9">
        <f>ППД5[[#This Row],[Фикс 29.12.23]]+ППД5[[#This Row],[Наценка 10.01.24 5%]]</f>
        <v>95654.53120228427</v>
      </c>
      <c r="BI80" s="9"/>
      <c r="BJ80" s="9">
        <f>ППД5[[#This Row],[Наценка 26.02.24 1 Этаж]]+ППД5[[#This Row],[Фикс 10.01.24]]</f>
        <v>95654.53120228427</v>
      </c>
      <c r="BK80" s="93">
        <f>ППД5[[#This Row],[Фикс 26.02.24]]*2%</f>
        <v>1913.0906240456854</v>
      </c>
      <c r="BL80" s="9">
        <f>ППД5[[#This Row],[Фикс 26.02.24]]+ППД5[[#This Row],[Наценка 06.03.24
СТ, 1К - 3%
2К, 3К - 2%]]</f>
        <v>97567.621826329952</v>
      </c>
      <c r="BM80" s="9"/>
      <c r="BN80" s="9">
        <f>ППД5[[#This Row],[Фикс 06.03.24]]+ППД5[[#This Row],[Наценка Г2+500]]</f>
        <v>97567.621826329952</v>
      </c>
      <c r="BO80" s="9">
        <f>ППД5[[#This Row],[Фикс 13.03.25]]*2%</f>
        <v>1951.3524365265991</v>
      </c>
      <c r="BP80" s="9">
        <f>ППД5[[#This Row],[Фикс 13.03.25]]+ППД5[[#This Row],[Наценка 20.03.24
2К, 3К - 2%]]</f>
        <v>99518.974262856558</v>
      </c>
      <c r="BQ80" s="9"/>
      <c r="BR80" s="9">
        <f>ППД5[[#This Row],[Фикс 20.03.24]]+ППД5[[#This Row],[Наценка 08.04.24 
2К: В3 - 150
3К: Г7 +1000]]</f>
        <v>99518.974262856558</v>
      </c>
      <c r="BS80" s="9"/>
      <c r="BT80" s="9">
        <f>ППД5[[#This Row],[Фикс 08.04.24]]+ППД5[[#This Row],[Наценка 16.05.24 1%
А4,А6,Б3,Б6,Б7,В2,В3,В5,В6,Г1,Г3-Г5]]</f>
        <v>99518.974262856558</v>
      </c>
      <c r="BU80" s="9"/>
      <c r="BV80" s="9">
        <f>ППД5[[#This Row],[Фикс 16.05.24]]+ППД5[[#This Row],[Наценка 24.05.24
1% - Б4, Б5,Г2,Г6
2% - А1,А3,А5,Б2,Г7]]</f>
        <v>99518.974262856558</v>
      </c>
      <c r="BW80" s="9"/>
      <c r="BX80" s="9">
        <f>ППД5[[#This Row],[Наценка 06.06.24
0К: В2,Г3 +0,5%
1К: А7, Б5/4, Г6 +0,5%
3К: В6 +0,5%
1К: А3 +1%]]+ППД5[[#This Row],[Фикс 24.05.24]]</f>
        <v>99518.974262856558</v>
      </c>
      <c r="BY80" s="9"/>
      <c r="BZ80" s="9">
        <f>ППД5[[#This Row],[Фикс 06.06.24]]+ППД5[[#This Row],[13.06.2024
3К - 2%]]</f>
        <v>99518.974262856558</v>
      </c>
      <c r="CA80" s="93">
        <f>0.5%*ППД5[[#This Row],[Фикс 13.06.24]]</f>
        <v>497.59487131428278</v>
      </c>
      <c r="CB80" s="9">
        <f>ППД5[[#This Row],[02.07.2024: Г3 А1 А3 Б5 Б7 Г2 Г6 Б3 Б4 В3 Г7 2,5% ост 0,5-1,5%]]+ППД5[[#This Row],[Фикс 13.06.24]]</f>
        <v>100016.56913417084</v>
      </c>
      <c r="CC80" s="9"/>
      <c r="CD80" s="9">
        <f>ППД5[[#This Row],[Фикс 02.07.24]]+ППД5[[#This Row],[04.09.2024 +500
0К - Б2; 1К - А3;
2К - А6, Б4, В3, Г5]]</f>
        <v>100016.56913417084</v>
      </c>
      <c r="CE80" s="9"/>
      <c r="CF80" s="9">
        <f>ППД5[[#This Row],[Наценка 16.09.2024
1К: А1,В7,Г6/7,Г8 - 2%
2К: А4,А5,А6,Б1,Б6,Б3/4,В3,В4,Г4,Г5 - 4%
3К: 4%]]+ППД5[[#This Row],[Фикс 04.09.24]]</f>
        <v>100016.56913417084</v>
      </c>
      <c r="CG80" s="219">
        <f>6%*ППД5[[#This Row],[Фикс 16.09.2024]]</f>
        <v>6000.9941480502503</v>
      </c>
      <c r="CH80" s="9">
        <f>ППД5[[#This Row],[Фикс 16.09.2024]]+ППД5[[#This Row],[Наценка 01.11.24
СТ: 4%
1К: 34-40м 5%; 40м+ 8%; МГН 1%
2К: 55-70м 6%; 70-73м 7%; 73-76м 8% 
3К: 5%]]</f>
        <v>106017.56328222109</v>
      </c>
      <c r="CI80" s="93">
        <f>ППД5[[#This Row],[Фикс 01.11.24]]*13%</f>
        <v>13782.283226688742</v>
      </c>
      <c r="CJ80" s="9">
        <f>ППД5[[#This Row],[Наценка 06.11 13%]]+ППД5[[#This Row],[Фикс 01.11.24]]</f>
        <v>119799.84650890983</v>
      </c>
      <c r="CK80" s="93">
        <v>35</v>
      </c>
      <c r="CL80" s="9">
        <f>ППД5[[#This Row],[Фикс 06.11.24]]+ППД5[[#This Row],[Наценка 18.12.24 распределение КВ]]</f>
        <v>119834.84650890983</v>
      </c>
      <c r="CM80" s="9"/>
      <c r="CN80" s="9">
        <f>ППД5[[#This Row],[Фикс 18.12.24]]+ППД5[[#This Row],[Наценка 10.02.25 +1%
1К: А3
2К: Б3, В3]]</f>
        <v>119834.84650890983</v>
      </c>
      <c r="CO80" s="93">
        <f>ROUND(ППД5[[#This Row],[Фикс 10.02.25]],2)</f>
        <v>119834.85</v>
      </c>
      <c r="CP8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8208700</v>
      </c>
      <c r="CQ80" s="93">
        <f>ROUNDUP(ППД5[[#This Row],[Стоимость до скидки]]+ППД5[[#This Row],[Сумма доплаты]],-2)</f>
        <v>8184800</v>
      </c>
      <c r="CR80" s="68"/>
      <c r="CS80" s="90"/>
      <c r="CT80" s="68">
        <f>ППД5[[#This Row],[Стоимость до скидки]]*ППД5[[#This Row],[Скидка %]]+ППД5[[#This Row],[Скидка фиксированная]]</f>
        <v>0</v>
      </c>
      <c r="CU80" s="3">
        <f>ППД5[[#This Row],[Стоимость ОН без отделки со скидкой]]/ППД5[[#This Row],[Расчетная проектная площадь]]</f>
        <v>119835.03649635037</v>
      </c>
      <c r="CV80" s="3">
        <f>ROUND(ППД5[[#This Row],[Стоимость до скидки]]-ППД5[[#This Row],[Итоговая сумма скидки]],2)</f>
        <v>8208700</v>
      </c>
      <c r="CW8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80" s="218">
        <v>10000</v>
      </c>
      <c r="CY80" s="332">
        <f>ППД5[[#This Row],[Расхождение]]/ППД5[[#This Row],[Расчетная проектная площадь]]</f>
        <v>-2.9197080291971217E-3</v>
      </c>
      <c r="CZ80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-4.00000000000027E-2</v>
      </c>
      <c r="DA80" s="3">
        <f>ППД5[[#This Row],[Цена м2 без отделки со скидкой]]+ППД5[[#This Row],[Стоимость отделки]]</f>
        <v>129835.03649635037</v>
      </c>
      <c r="DB80" s="3">
        <f>ППД5[[#This Row],[Стоимость квартиры с отделкой]]-ППД5[[#This Row],[Стоимость ОН без отделки со скидкой]]</f>
        <v>685000</v>
      </c>
      <c r="DC80" s="3">
        <f>ППД5[[#This Row],[Цена м2 с отделкой]]*ППД5[[#This Row],[Расчетная проектная площадь]]</f>
        <v>8893700</v>
      </c>
      <c r="DD80" s="3"/>
      <c r="DF80" s="155" t="s">
        <v>161</v>
      </c>
      <c r="DG80" s="221" t="s">
        <v>161</v>
      </c>
      <c r="DH80" s="100" t="b">
        <f>EXACT(ППД5[[#This Row],[Статусы CRM]],ППД5[[#This Row],[Статус]])</f>
        <v>1</v>
      </c>
      <c r="DI80" s="213" t="s">
        <v>252</v>
      </c>
      <c r="DJ80" s="204"/>
      <c r="DK80" s="111" t="s">
        <v>763</v>
      </c>
      <c r="DL80" s="216" t="s">
        <v>780</v>
      </c>
      <c r="DM80" s="201" t="b">
        <f>ППД5[[#This Row],[Отделка CRM]]=ППД5[[#This Row],[Отделка]]</f>
        <v>1</v>
      </c>
      <c r="DN80" s="203">
        <v>8893700</v>
      </c>
      <c r="DO8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80" s="207" t="b">
        <f>IF(AND(ППД5[[#This Row],[Статус]]="свободно",ППД5[[#This Row],[Итоговая сумма скидки]]&lt;&gt;0),FALSE,TRUE)</f>
        <v>1</v>
      </c>
      <c r="DQ80" s="240" t="str">
        <f>_xlfn.XLOOKUP(ППД5[[#This Row],[№]],Юрист[№ кв],Юрист[Дата подачи на регистрацию]," ",0,-1)</f>
        <v xml:space="preserve"> </v>
      </c>
      <c r="DR80" s="115" t="str">
        <f>_xlfn.XLOOKUP(ППД5[[#This Row],[№]],Юрист[№ кв],Юрист[МОП],"",0,-1)</f>
        <v/>
      </c>
      <c r="DS80" s="333" t="s">
        <v>2452</v>
      </c>
      <c r="DT80" s="333" t="s">
        <v>2453</v>
      </c>
      <c r="DU80" s="333">
        <v>66.8</v>
      </c>
      <c r="DV80" s="111"/>
    </row>
    <row r="81" spans="1:126" hidden="1" x14ac:dyDescent="0.25">
      <c r="A81" s="112">
        <v>79</v>
      </c>
      <c r="B81" s="111" t="s">
        <v>5</v>
      </c>
      <c r="C81" s="111">
        <v>12</v>
      </c>
      <c r="D81" s="111">
        <v>3</v>
      </c>
      <c r="E81" s="111">
        <v>1</v>
      </c>
      <c r="F81" s="105">
        <v>13.6</v>
      </c>
      <c r="G81" s="105"/>
      <c r="H81" s="105"/>
      <c r="I81" s="94">
        <f>SUM(ППД5[[#This Row],[Комната 1]:[Комната 3]])</f>
        <v>13.6</v>
      </c>
      <c r="J81" s="105">
        <v>14.97</v>
      </c>
      <c r="K81" s="105">
        <v>4.1100000000000003</v>
      </c>
      <c r="L81" s="105"/>
      <c r="M81" s="105"/>
      <c r="N81" s="105">
        <v>3.7</v>
      </c>
      <c r="O81" s="105">
        <v>2.69</v>
      </c>
      <c r="P81" s="105"/>
      <c r="Q81" s="105"/>
      <c r="R81" s="105">
        <f>SUM(ППД5[[#This Row],[Лоджия 1]:[Лоджия 3]])</f>
        <v>2.69</v>
      </c>
      <c r="S81" s="7">
        <f>ROUND(SUM(ППД5[[#This Row],[Площадь по проекту жилая]:[Лоджия 3]]),2)</f>
        <v>39.07</v>
      </c>
      <c r="T81" s="7">
        <f>ROUND(ППД5[[#This Row],[Площадь по проекту(общая)]]-ППД5[[#This Row],[Летние]],2)</f>
        <v>36.380000000000003</v>
      </c>
      <c r="U81" s="92">
        <f>ROUND(ППД5[[#This Row],[Площадь по проекту(общая)]]-(SUM(ППД5[[#This Row],[Лоджия 1]:[Лоджия 3]])/2),2)</f>
        <v>37.729999999999997</v>
      </c>
      <c r="V81" s="92">
        <f>IF(ППД5[[#This Row],[Статус]]="продажа",ППД5[[#This Row],[Расчетная проектная площадь]],ППД5[[#This Row],[Расчетная ТП площадь]])</f>
        <v>37.729999999999997</v>
      </c>
      <c r="W81" s="92">
        <v>13.5</v>
      </c>
      <c r="X81" s="92"/>
      <c r="Y81" s="92"/>
      <c r="Z81" s="92">
        <f>SUM(ППД5[[#This Row],[ТП Комната 1]:[ТП Комната 3]])</f>
        <v>13.5</v>
      </c>
      <c r="AA81" s="92">
        <v>15</v>
      </c>
      <c r="AB81" s="92">
        <v>4.0999999999999996</v>
      </c>
      <c r="AC81" s="92"/>
      <c r="AD81" s="92"/>
      <c r="AE81" s="92">
        <v>3.7</v>
      </c>
      <c r="AF81" s="91">
        <v>1.35</v>
      </c>
      <c r="AG81" s="92"/>
      <c r="AH81" s="92"/>
      <c r="AI81" s="91">
        <f>SUM(ППД5[[#This Row],[ТП Лоджия 1]:[ТП Лоджия 3]])</f>
        <v>1.35</v>
      </c>
      <c r="AJ81" s="95">
        <v>2.7</v>
      </c>
      <c r="AK81" s="92">
        <f>SUM(ППД5[[#This Row],[Площадь по ТП жилая]:[ТП Лоджия 3]])-ППД5[[#This Row],[ТП Летние]]+ППД5[[#This Row],[кроме того прочая
(без коэффициента)]]</f>
        <v>39.000000000000007</v>
      </c>
      <c r="AL81" s="95">
        <f>ППД5[[#This Row],[ТП Площадь без летних]]+(ППД5[[#This Row],[ТП Летние]])</f>
        <v>37.650000000000006</v>
      </c>
      <c r="AM81" s="92">
        <f>ППД5[[#This Row],[ТП общая S]]-ППД5[[#This Row],[кроме того прочая
(без коэффициента)]]</f>
        <v>36.300000000000004</v>
      </c>
      <c r="AN81" s="95">
        <f>SUM(ППД5[[#This Row],[ТП Кухня]:[ТП Коридор]])</f>
        <v>22.8</v>
      </c>
      <c r="AO81" s="91">
        <f>ППД5[[#This Row],[Расчетная ТП площадь]]-ППД5[[#This Row],[Расчетная проектная площадь]]</f>
        <v>-7.9999999999991189E-2</v>
      </c>
      <c r="AP81" s="335">
        <f>ППД5[[#This Row],[Расчетная ТП площадь]]/ППД5[[#This Row],[Расчетная проектная площадь]]-1</f>
        <v>-2.1203286509406949E-3</v>
      </c>
      <c r="AQ81" s="92">
        <f>ППД5[[#This Row],[% расхождения]]*ППД5[[#This Row],[Стоимость до скидки]]</f>
        <v>-9582.4012721962827</v>
      </c>
      <c r="AR81" s="92">
        <f>VLOOKUP(ППД5[[#This Row],[№]],наценкад5[],COLUMN(наценкад5[[#This Row],[Цена м2 с учетом всех K]]),0)</f>
        <v>87601.5</v>
      </c>
      <c r="AS81" s="7">
        <f>ППД5[[#This Row],[м2 после К]]*5%</f>
        <v>4380.0749999999998</v>
      </c>
      <c r="AT81" s="7">
        <f>ППД5[[#This Row],[м2 после К]]+ППД5[[#This Row],[Повышение 16.08.23 - 5%]]</f>
        <v>91981.574999999997</v>
      </c>
      <c r="AU81" s="9">
        <f>ППД5[[#This Row],[Фикс 16.08.23]]*3%</f>
        <v>2759.4472499999997</v>
      </c>
      <c r="AV81" s="9">
        <f>ППД5[[#This Row],[Фикс 16.08.23]]+ППД5[[#This Row],[Повышение 29.08.23 - 3%]]</f>
        <v>94741.022249999995</v>
      </c>
      <c r="AW81" s="93">
        <f>ППД5[[#This Row],[Фикс 29.08.23]]*7%</f>
        <v>6631.8715575000006</v>
      </c>
      <c r="AX81" s="9">
        <f>ППД5[[#This Row],[Фикс 29.08.23]]+ППД5[[#This Row],[Повышение 06.09.23 СТ и 1К]]</f>
        <v>101372.89380749999</v>
      </c>
      <c r="AY81" s="9"/>
      <c r="AZ81" s="9">
        <f>ППД5[[#This Row],[Повышение 23.10.23  В4 ]]+ППД5[[#This Row],[Фикс 06.09.23]]</f>
        <v>101372.89380749999</v>
      </c>
      <c r="BA81" s="93">
        <f>ППД5[[#This Row],[Фикс 23.10.23]]*5%</f>
        <v>5068.6446903750002</v>
      </c>
      <c r="BB81" s="93">
        <f>ППД5[[#This Row],[Повышение 8.11.23 1К 5%]]+ППД5[[#This Row],[Фикс 23.10.23]]</f>
        <v>106441.53849787499</v>
      </c>
      <c r="BC81" s="93"/>
      <c r="BD81" s="93">
        <f>ППД5[[#This Row],[Корректировка 24.11.23 - 1К В5, 2К А2, №233]]+ППД5[[#This Row],[Фикс 8.11.23]]</f>
        <v>106441.53849787499</v>
      </c>
      <c r="BE81" s="93">
        <f>ППД5[[#This Row],[Фикс 8.11.24]]*1%</f>
        <v>1064.4153849787499</v>
      </c>
      <c r="BF81" s="93">
        <f>ППД5[[#This Row],[Наценка за отделку 29.12.23 1%]]+ППД5[[#This Row],[Фикс 8.11.24]]</f>
        <v>107505.95388285375</v>
      </c>
      <c r="BG81" s="93">
        <f>ППД5[[#This Row],[Фикс 29.12.23]]*5%</f>
        <v>5375.2976941426878</v>
      </c>
      <c r="BH81" s="93">
        <f>ППД5[[#This Row],[Фикс 29.12.23]]+ППД5[[#This Row],[Наценка 10.01.24 5%]]</f>
        <v>112881.25157699644</v>
      </c>
      <c r="BI81" s="93"/>
      <c r="BJ81" s="93">
        <f>ППД5[[#This Row],[Наценка 26.02.24 1 Этаж]]+ППД5[[#This Row],[Фикс 10.01.24]]</f>
        <v>112881.25157699644</v>
      </c>
      <c r="BK81" s="93">
        <f>ППД5[[#This Row],[Фикс 26.02.24]]*3%</f>
        <v>3386.437547309893</v>
      </c>
      <c r="BL81" s="93">
        <f>ППД5[[#This Row],[Фикс 26.02.24]]+ППД5[[#This Row],[Наценка 06.03.24
СТ, 1К - 3%
2К, 3К - 2%]]</f>
        <v>116267.68912430633</v>
      </c>
      <c r="BM81" s="93"/>
      <c r="BN81" s="93">
        <f>ППД5[[#This Row],[Фикс 06.03.24]]+ППД5[[#This Row],[Наценка Г2+500]]</f>
        <v>116267.68912430633</v>
      </c>
      <c r="BO81" s="93"/>
      <c r="BP81" s="93">
        <f>ППД5[[#This Row],[Фикс 13.03.25]]+ППД5[[#This Row],[Наценка 20.03.24
2К, 3К - 2%]]</f>
        <v>116267.68912430633</v>
      </c>
      <c r="BQ81" s="93"/>
      <c r="BR81" s="93">
        <f>ППД5[[#This Row],[Фикс 20.03.24]]+ППД5[[#This Row],[Наценка 08.04.24 
2К: В3 - 150
3К: Г7 +1000]]</f>
        <v>116267.68912430633</v>
      </c>
      <c r="BS81" s="93"/>
      <c r="BT81" s="93">
        <f>ППД5[[#This Row],[Фикс 08.04.24]]+ППД5[[#This Row],[Наценка 16.05.24 1%
А4,А6,Б3,Б6,Б7,В2,В3,В5,В6,Г1,Г3-Г5]]</f>
        <v>116267.68912430633</v>
      </c>
      <c r="BU81" s="93">
        <f>ППД5[[#This Row],[Фикс 16.05.24]]*2%</f>
        <v>2325.3537824861264</v>
      </c>
      <c r="BV81" s="93">
        <f>ППД5[[#This Row],[Фикс 16.05.24]]+ППД5[[#This Row],[Наценка 24.05.24
1% - Б4, Б5,Г2,Г6
2% - А1,А3,А5,Б2,Г7]]</f>
        <v>118593.04290679246</v>
      </c>
      <c r="BW81" s="93">
        <f>ППД5[[#This Row],[Фикс 24.05.24]]*1%</f>
        <v>1185.9304290679245</v>
      </c>
      <c r="BX81" s="93">
        <f>ППД5[[#This Row],[Наценка 06.06.24
0К: В2,Г3 +0,5%
1К: А7, Б5/4, Г6 +0,5%
3К: В6 +0,5%
1К: А3 +1%]]+ППД5[[#This Row],[Фикс 24.05.24]]</f>
        <v>119778.97333586038</v>
      </c>
      <c r="BY81" s="93"/>
      <c r="BZ81" s="93">
        <f>ППД5[[#This Row],[Фикс 06.06.24]]+ППД5[[#This Row],[13.06.2024
3К - 2%]]</f>
        <v>119778.97333586038</v>
      </c>
      <c r="CA81" s="93"/>
      <c r="CB81" s="93">
        <f>ППД5[[#This Row],[02.07.2024: Г3 А1 А3 Б5 Б7 Г2 Г6 Б3 Б4 В3 Г7 2,5% ост 0,5-1,5%]]+ППД5[[#This Row],[Фикс 13.06.24]]</f>
        <v>119778.97333586038</v>
      </c>
      <c r="CC81" s="93"/>
      <c r="CD81" s="93">
        <f>ППД5[[#This Row],[Фикс 02.07.24]]+ППД5[[#This Row],[04.09.2024 +500
0К - Б2; 1К - А3;
2К - А6, Б4, В3, Г5]]</f>
        <v>119778.97333586038</v>
      </c>
      <c r="CE81" s="93"/>
      <c r="CF81" s="93">
        <f>ППД5[[#This Row],[Наценка 16.09.2024
1К: А1,В7,Г6/7,Г8 - 2%
2К: А4,А5,А6,Б1,Б6,Б3/4,В3,В4,Г4,Г5 - 4%
3К: 4%]]+ППД5[[#This Row],[Фикс 04.09.24]]</f>
        <v>119778.97333586038</v>
      </c>
      <c r="CG81" s="93"/>
      <c r="CH81" s="93">
        <f>ППД5[[#This Row],[Фикс 16.09.2024]]+ППД5[[#This Row],[Наценка 01.11.24
СТ: 4%
1К: 34-40м 5%; 40м+ 8%; МГН 1%
2К: 55-70м 6%; 70-73м 7%; 73-76м 8% 
3К: 5%]]</f>
        <v>119778.97333586038</v>
      </c>
      <c r="CI81" s="93"/>
      <c r="CJ81" s="93">
        <f>ППД5[[#This Row],[Наценка 06.11 13%]]+ППД5[[#This Row],[Фикс 01.11.24]]</f>
        <v>119778.97333586038</v>
      </c>
      <c r="CK81" s="93"/>
      <c r="CL81" s="93">
        <f>ППД5[[#This Row],[Фикс 06.11.24]]+ППД5[[#This Row],[Наценка 18.12.24 распределение КВ]]</f>
        <v>119778.97333586038</v>
      </c>
      <c r="CM81" s="93"/>
      <c r="CN81" s="93">
        <f>ППД5[[#This Row],[Фикс 18.12.24]]+ППД5[[#This Row],[Наценка 10.02.25 +1%
1К: А3
2К: Б3, В3]]</f>
        <v>119778.97333586038</v>
      </c>
      <c r="CO81" s="93">
        <f>ROUND(ППД5[[#This Row],[Фикс 10.02.25]],2)</f>
        <v>119778.97</v>
      </c>
      <c r="CP8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4519300</v>
      </c>
      <c r="CQ81" s="93">
        <f>ROUNDUP(ППД5[[#This Row],[Стоимость до скидки]]+ППД5[[#This Row],[Сумма доплаты]],-2)</f>
        <v>4509800</v>
      </c>
      <c r="CR81" s="68"/>
      <c r="CS81" s="90"/>
      <c r="CT81" s="68">
        <f>ППД5[[#This Row],[Стоимость до скидки]]*ППД5[[#This Row],[Скидка %]]+ППД5[[#This Row],[Скидка фиксированная]]</f>
        <v>0</v>
      </c>
      <c r="CU81" s="3">
        <f>ППД5[[#This Row],[Стоимость ОН без отделки со скидкой]]/ППД5[[#This Row],[Расчетная проектная площадь]]</f>
        <v>119780.01590246489</v>
      </c>
      <c r="CV81" s="3">
        <f>ROUND(ППД5[[#This Row],[Стоимость до скидки]]-ППД5[[#This Row],[Итоговая сумма скидки]],2)</f>
        <v>4519300</v>
      </c>
      <c r="CW8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81" s="197">
        <v>20000</v>
      </c>
      <c r="CY81" s="332">
        <f>ППД5[[#This Row],[Расхождение]]/ППД5[[#This Row],[Расчетная проектная площадь]]</f>
        <v>-2.1203286509406624E-3</v>
      </c>
      <c r="CZ8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2.000000000000135E-2</v>
      </c>
      <c r="DA81" s="3">
        <f>ППД5[[#This Row],[Цена м2 без отделки со скидкой]]+ППД5[[#This Row],[Стоимость отделки]]</f>
        <v>139780.01590246489</v>
      </c>
      <c r="DB81" s="3">
        <f>ППД5[[#This Row],[Стоимость квартиры с отделкой]]-ППД5[[#This Row],[Стоимость ОН без отделки со скидкой]]</f>
        <v>754600</v>
      </c>
      <c r="DC81" s="3">
        <f>ППД5[[#This Row],[Цена м2 с отделкой]]*ППД5[[#This Row],[Расчетная проектная площадь]]</f>
        <v>5273900</v>
      </c>
      <c r="DD81" s="3"/>
      <c r="DF81" s="199" t="s">
        <v>172</v>
      </c>
      <c r="DG81" s="245" t="s">
        <v>172</v>
      </c>
      <c r="DH81" s="100" t="b">
        <f>EXACT(ППД5[[#This Row],[Статусы CRM]],ППД5[[#This Row],[Статус]])</f>
        <v>1</v>
      </c>
      <c r="DI81" s="213" t="s">
        <v>253</v>
      </c>
      <c r="DJ81" s="204"/>
      <c r="DK81" s="111" t="s">
        <v>763</v>
      </c>
      <c r="DL81" s="216" t="s">
        <v>14</v>
      </c>
      <c r="DM81" s="201" t="b">
        <f>ППД5[[#This Row],[Отделка CRM]]=ППД5[[#This Row],[Отделка]]</f>
        <v>1</v>
      </c>
      <c r="DN81" s="203">
        <v>5273900</v>
      </c>
      <c r="DO8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81" s="207" t="b">
        <f>IF(AND(ППД5[[#This Row],[Статус]]="свободно",ППД5[[#This Row],[Итоговая сумма скидки]]&lt;&gt;0),FALSE,TRUE)</f>
        <v>1</v>
      </c>
      <c r="DQ81" s="240">
        <f>_xlfn.XLOOKUP(ППД5[[#This Row],[№]],Юрист[№ кв],Юрист[Дата подачи на регистрацию]," ",0,-1)</f>
        <v>45463</v>
      </c>
      <c r="DR81" s="115" t="str">
        <f>_xlfn.XLOOKUP(ППД5[[#This Row],[№]],Юрист[№ кв],Юрист[МОП],"",0,-1)</f>
        <v>Дик</v>
      </c>
      <c r="DS81" s="333" t="s">
        <v>2454</v>
      </c>
      <c r="DT81" s="333" t="s">
        <v>2455</v>
      </c>
      <c r="DU81" s="333">
        <v>36.299999999999997</v>
      </c>
      <c r="DV81" s="111"/>
    </row>
    <row r="82" spans="1:126" hidden="1" x14ac:dyDescent="0.25">
      <c r="A82" s="112">
        <v>80</v>
      </c>
      <c r="B82" s="111" t="s">
        <v>5</v>
      </c>
      <c r="C82" s="111">
        <v>12</v>
      </c>
      <c r="D82" s="111">
        <v>4</v>
      </c>
      <c r="E82" s="111">
        <v>2</v>
      </c>
      <c r="F82" s="105">
        <v>16.61</v>
      </c>
      <c r="G82" s="105">
        <v>11.38</v>
      </c>
      <c r="H82" s="105"/>
      <c r="I82" s="94">
        <f>SUM(ППД5[[#This Row],[Комната 1]:[Комната 3]])</f>
        <v>27.990000000000002</v>
      </c>
      <c r="J82" s="105">
        <v>14.58</v>
      </c>
      <c r="K82" s="105">
        <v>4.34</v>
      </c>
      <c r="L82" s="105">
        <v>2.08</v>
      </c>
      <c r="M82" s="105"/>
      <c r="N82" s="105">
        <v>8.82</v>
      </c>
      <c r="O82" s="105">
        <v>2.56</v>
      </c>
      <c r="P82" s="105"/>
      <c r="Q82" s="105"/>
      <c r="R82" s="105">
        <f>SUM(ППД5[[#This Row],[Лоджия 1]:[Лоджия 3]])</f>
        <v>2.56</v>
      </c>
      <c r="S82" s="7">
        <f>ROUND(SUM(ППД5[[#This Row],[Площадь по проекту жилая]:[Лоджия 3]]),2)</f>
        <v>60.37</v>
      </c>
      <c r="T82" s="7">
        <f>ROUND(ППД5[[#This Row],[Площадь по проекту(общая)]]-ППД5[[#This Row],[Летние]],2)</f>
        <v>57.81</v>
      </c>
      <c r="U82" s="92">
        <f>ROUND(ППД5[[#This Row],[Площадь по проекту(общая)]]-(SUM(ППД5[[#This Row],[Лоджия 1]:[Лоджия 3]])/2),2)</f>
        <v>59.09</v>
      </c>
      <c r="V82" s="92">
        <f>IF(ППД5[[#This Row],[Статус]]="продажа",ППД5[[#This Row],[Расчетная проектная площадь]],ППД5[[#This Row],[Расчетная ТП площадь]])</f>
        <v>59.09</v>
      </c>
      <c r="W82" s="92">
        <v>16.399999999999999</v>
      </c>
      <c r="X82" s="92">
        <v>11.3</v>
      </c>
      <c r="Y82" s="92"/>
      <c r="Z82" s="92">
        <f>SUM(ППД5[[#This Row],[ТП Комната 1]:[ТП Комната 3]])</f>
        <v>27.7</v>
      </c>
      <c r="AA82" s="92">
        <v>14.5</v>
      </c>
      <c r="AB82" s="92">
        <v>4.4000000000000004</v>
      </c>
      <c r="AC82" s="92">
        <v>2.1</v>
      </c>
      <c r="AD82" s="92"/>
      <c r="AE82" s="92">
        <v>8.9</v>
      </c>
      <c r="AF82" s="92">
        <v>1.25</v>
      </c>
      <c r="AG82" s="92"/>
      <c r="AH82" s="92"/>
      <c r="AI82" s="91">
        <f>SUM(ППД5[[#This Row],[ТП Лоджия 1]:[ТП Лоджия 3]])</f>
        <v>1.25</v>
      </c>
      <c r="AJ82" s="95">
        <v>2.5</v>
      </c>
      <c r="AK82" s="92">
        <f>SUM(ППД5[[#This Row],[Площадь по ТП жилая]:[ТП Лоджия 3]])-ППД5[[#This Row],[ТП Летние]]+ППД5[[#This Row],[кроме того прочая
(без коэффициента)]]</f>
        <v>60.1</v>
      </c>
      <c r="AL82" s="95">
        <f>ППД5[[#This Row],[ТП Площадь без летних]]+(ППД5[[#This Row],[ТП Летние]])</f>
        <v>58.85</v>
      </c>
      <c r="AM82" s="92">
        <f>ППД5[[#This Row],[ТП общая S]]-ППД5[[#This Row],[кроме того прочая
(без коэффициента)]]</f>
        <v>57.6</v>
      </c>
      <c r="AN82" s="95">
        <f>SUM(ППД5[[#This Row],[ТП Кухня]:[ТП Коридор]])</f>
        <v>29.9</v>
      </c>
      <c r="AO82" s="91">
        <f>ППД5[[#This Row],[Расчетная ТП площадь]]-ППД5[[#This Row],[Расчетная проектная площадь]]</f>
        <v>-0.24000000000000199</v>
      </c>
      <c r="AP82" s="335">
        <f>ППД5[[#This Row],[Расчетная ТП площадь]]/ППД5[[#This Row],[Расчетная проектная площадь]]-1</f>
        <v>-4.0616009477069115E-3</v>
      </c>
      <c r="AQ82" s="92">
        <f>ППД5[[#This Row],[% расхождения]]*ППД5[[#This Row],[Стоимость до скидки]]</f>
        <v>-20844.948383821411</v>
      </c>
      <c r="AR82" s="92">
        <f>VLOOKUP(ППД5[[#This Row],[№]],наценкад5[],COLUMN(наценкад5[[#This Row],[Цена м2 с учетом всех K]]),0)</f>
        <v>80307.864000000001</v>
      </c>
      <c r="AS82" s="7">
        <f>ППД5[[#This Row],[м2 после К]]*5%</f>
        <v>4015.3932000000004</v>
      </c>
      <c r="AT82" s="7">
        <f>ППД5[[#This Row],[м2 после К]]+ППД5[[#This Row],[Повышение 16.08.23 - 5%]]</f>
        <v>84323.257200000007</v>
      </c>
      <c r="AU82" s="9">
        <f>ППД5[[#This Row],[Фикс 16.08.23]]*3%</f>
        <v>2529.6977160000001</v>
      </c>
      <c r="AV82" s="9">
        <f>ППД5[[#This Row],[Фикс 16.08.23]]+ППД5[[#This Row],[Повышение 29.08.23 - 3%]]</f>
        <v>86852.954916000002</v>
      </c>
      <c r="AW82" s="9"/>
      <c r="AX82" s="9">
        <f>ППД5[[#This Row],[Фикс 29.08.23]]+ППД5[[#This Row],[Повышение 06.09.23 СТ и 1К]]</f>
        <v>86852.954916000002</v>
      </c>
      <c r="AY82" s="9"/>
      <c r="AZ82" s="9">
        <f>ППД5[[#This Row],[Повышение 23.10.23  В4 ]]+ППД5[[#This Row],[Фикс 06.09.23]]</f>
        <v>86852.954916000002</v>
      </c>
      <c r="BA82" s="9"/>
      <c r="BB82" s="9">
        <f>ППД5[[#This Row],[Повышение 8.11.23 1К 5%]]+ППД5[[#This Row],[Фикс 23.10.23]]</f>
        <v>86852.954916000002</v>
      </c>
      <c r="BC82" s="9"/>
      <c r="BD82" s="9">
        <f>ППД5[[#This Row],[Корректировка 24.11.23 - 1К В5, 2К А2, №233]]+ППД5[[#This Row],[Фикс 8.11.23]]</f>
        <v>86852.954916000002</v>
      </c>
      <c r="BE82" s="9"/>
      <c r="BF82" s="9">
        <f>ППД5[[#This Row],[Наценка за отделку 29.12.23 1%]]+ППД5[[#This Row],[Фикс 8.11.24]]</f>
        <v>86852.954916000002</v>
      </c>
      <c r="BG82" s="9"/>
      <c r="BH82" s="9">
        <f>ППД5[[#This Row],[Фикс 29.12.23]]+ППД5[[#This Row],[Наценка 10.01.24 5%]]</f>
        <v>86852.954916000002</v>
      </c>
      <c r="BI82" s="9"/>
      <c r="BJ82" s="9">
        <f>ППД5[[#This Row],[Наценка 26.02.24 1 Этаж]]+ППД5[[#This Row],[Фикс 10.01.24]]</f>
        <v>86852.954916000002</v>
      </c>
      <c r="BK82" s="93"/>
      <c r="BL82" s="9">
        <f>ППД5[[#This Row],[Фикс 26.02.24]]+ППД5[[#This Row],[Наценка 06.03.24
СТ, 1К - 3%
2К, 3К - 2%]]</f>
        <v>86852.954916000002</v>
      </c>
      <c r="BM82" s="9"/>
      <c r="BN82" s="9">
        <f>ППД5[[#This Row],[Фикс 06.03.24]]+ППД5[[#This Row],[Наценка Г2+500]]</f>
        <v>86852.954916000002</v>
      </c>
      <c r="BO82" s="9"/>
      <c r="BP82" s="9">
        <f>ППД5[[#This Row],[Фикс 13.03.25]]+ППД5[[#This Row],[Наценка 20.03.24
2К, 3К - 2%]]</f>
        <v>86852.954916000002</v>
      </c>
      <c r="BQ82" s="9"/>
      <c r="BR82" s="9">
        <f>ППД5[[#This Row],[Фикс 20.03.24]]+ППД5[[#This Row],[Наценка 08.04.24 
2К: В3 - 150
3К: Г7 +1000]]</f>
        <v>86852.954916000002</v>
      </c>
      <c r="BS82" s="93"/>
      <c r="BT82" s="9">
        <f>ППД5[[#This Row],[Фикс 08.04.24]]+ППД5[[#This Row],[Наценка 16.05.24 1%
А4,А6,Б3,Б6,Б7,В2,В3,В5,В6,Г1,Г3-Г5]]</f>
        <v>86852.954916000002</v>
      </c>
      <c r="BU82" s="9"/>
      <c r="BV82" s="9">
        <f>ППД5[[#This Row],[Фикс 16.05.24]]+ППД5[[#This Row],[Наценка 24.05.24
1% - Б4, Б5,Г2,Г6
2% - А1,А3,А5,Б2,Г7]]</f>
        <v>86852.954916000002</v>
      </c>
      <c r="BW82" s="9"/>
      <c r="BX82" s="9">
        <f>ППД5[[#This Row],[Наценка 06.06.24
0К: В2,Г3 +0,5%
1К: А7, Б5/4, Г6 +0,5%
3К: В6 +0,5%
1К: А3 +1%]]+ППД5[[#This Row],[Фикс 24.05.24]]</f>
        <v>86852.954916000002</v>
      </c>
      <c r="BY82" s="9"/>
      <c r="BZ82" s="9">
        <f>ППД5[[#This Row],[Фикс 06.06.24]]+ППД5[[#This Row],[13.06.2024
3К - 2%]]</f>
        <v>86852.954916000002</v>
      </c>
      <c r="CA82" s="9"/>
      <c r="CB82" s="9">
        <f>ППД5[[#This Row],[02.07.2024: Г3 А1 А3 Б5 Б7 Г2 Г6 Б3 Б4 В3 Г7 2,5% ост 0,5-1,5%]]+ППД5[[#This Row],[Фикс 13.06.24]]</f>
        <v>86852.954916000002</v>
      </c>
      <c r="CC82" s="9"/>
      <c r="CD82" s="9">
        <f>ППД5[[#This Row],[Фикс 02.07.24]]+ППД5[[#This Row],[04.09.2024 +500
0К - Б2; 1К - А3;
2К - А6, Б4, В3, Г5]]</f>
        <v>86852.954916000002</v>
      </c>
      <c r="CE82" s="9"/>
      <c r="CF82" s="9">
        <f>ППД5[[#This Row],[Наценка 16.09.2024
1К: А1,В7,Г6/7,Г8 - 2%
2К: А4,А5,А6,Б1,Б6,Б3/4,В3,В4,Г4,Г5 - 4%
3К: 4%]]+ППД5[[#This Row],[Фикс 04.09.24]]</f>
        <v>86852.954916000002</v>
      </c>
      <c r="CG82" s="9"/>
      <c r="CH82" s="9">
        <f>ППД5[[#This Row],[Фикс 16.09.2024]]+ППД5[[#This Row],[Наценка 01.11.24
СТ: 4%
1К: 34-40м 5%; 40м+ 8%; МГН 1%
2К: 55-70м 6%; 70-73м 7%; 73-76м 8% 
3К: 5%]]</f>
        <v>86852.954916000002</v>
      </c>
      <c r="CI82" s="9"/>
      <c r="CJ82" s="9">
        <f>ППД5[[#This Row],[Наценка 06.11 13%]]+ППД5[[#This Row],[Фикс 01.11.24]]</f>
        <v>86852.954916000002</v>
      </c>
      <c r="CK82" s="9"/>
      <c r="CL82" s="9">
        <f>ППД5[[#This Row],[Фикс 06.11.24]]+ППД5[[#This Row],[Наценка 18.12.24 распределение КВ]]</f>
        <v>86852.954916000002</v>
      </c>
      <c r="CM82" s="9"/>
      <c r="CN82" s="9">
        <f>ППД5[[#This Row],[Фикс 18.12.24]]+ППД5[[#This Row],[Наценка 10.02.25 +1%
1К: А3
2К: Б3, В3]]</f>
        <v>86852.954916000002</v>
      </c>
      <c r="CO82" s="93">
        <f>ROUND(ППД5[[#This Row],[Фикс 10.02.25]],2)</f>
        <v>86852.95</v>
      </c>
      <c r="CP8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5132200</v>
      </c>
      <c r="CQ82" s="93">
        <f>ROUNDUP(ППД5[[#This Row],[Стоимость до скидки]]+ППД5[[#This Row],[Сумма доплаты]],-2)</f>
        <v>5111400</v>
      </c>
      <c r="CR82" s="68">
        <v>100000</v>
      </c>
      <c r="CS82" s="90"/>
      <c r="CT82" s="68">
        <f>ППД5[[#This Row],[Стоимость до скидки]]*ППД5[[#This Row],[Скидка %]]+ППД5[[#This Row],[Скидка фиксированная]]</f>
        <v>100000</v>
      </c>
      <c r="CU82" s="3">
        <f>ППД5[[#This Row],[Стоимость ОН без отделки со скидкой]]/ППД5[[#This Row],[Расчетная проектная площадь]]</f>
        <v>85161.61787104416</v>
      </c>
      <c r="CV82" s="3">
        <f>ROUND(ППД5[[#This Row],[Стоимость до скидки]]-ППД5[[#This Row],[Итоговая сумма скидки]],2)</f>
        <v>5032200</v>
      </c>
      <c r="CW8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82" s="197">
        <v>7500</v>
      </c>
      <c r="CY82" s="332">
        <f>ППД5[[#This Row],[Расхождение]]/ППД5[[#This Row],[Расчетная проектная площадь]]</f>
        <v>-4.061600947706921E-3</v>
      </c>
      <c r="CZ8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8.0000000000000071E-2</v>
      </c>
      <c r="DA82" s="3">
        <f>ППД5[[#This Row],[Цена м2 без отделки со скидкой]]+ППД5[[#This Row],[Стоимость отделки]]</f>
        <v>92661.61787104416</v>
      </c>
      <c r="DB82" s="3">
        <f>ППД5[[#This Row],[Стоимость квартиры с отделкой]]-ППД5[[#This Row],[Стоимость ОН без отделки со скидкой]]</f>
        <v>443175</v>
      </c>
      <c r="DC82" s="3">
        <f>ППД5[[#This Row],[Цена м2 с отделкой]]*ППД5[[#This Row],[Расчетная проектная площадь]]</f>
        <v>5475375</v>
      </c>
      <c r="DD82" s="3"/>
      <c r="DE82" s="111" t="s">
        <v>766</v>
      </c>
      <c r="DF82" s="199" t="s">
        <v>172</v>
      </c>
      <c r="DG82" s="245" t="s">
        <v>172</v>
      </c>
      <c r="DH82" s="100" t="b">
        <f>EXACT(ППД5[[#This Row],[Статусы CRM]],ППД5[[#This Row],[Статус]])</f>
        <v>1</v>
      </c>
      <c r="DI82" s="213" t="s">
        <v>254</v>
      </c>
      <c r="DJ82" s="204"/>
      <c r="DK82" s="111" t="s">
        <v>763</v>
      </c>
      <c r="DL82" s="216" t="s">
        <v>13</v>
      </c>
      <c r="DM82" s="201" t="b">
        <f>ППД5[[#This Row],[Отделка CRM]]=ППД5[[#This Row],[Отделка]]</f>
        <v>1</v>
      </c>
      <c r="DN82" s="203">
        <v>5475375</v>
      </c>
      <c r="DO8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82" s="207" t="b">
        <f>IF(AND(ППД5[[#This Row],[Статус]]="свободно",ППД5[[#This Row],[Итоговая сумма скидки]]&lt;&gt;0),FALSE,TRUE)</f>
        <v>1</v>
      </c>
      <c r="DQ82" s="240">
        <f>_xlfn.XLOOKUP(ППД5[[#This Row],[№]],Юрист[№ кв],Юрист[Дата подачи на регистрацию]," ",0,-1)</f>
        <v>45274</v>
      </c>
      <c r="DR82" s="115" t="str">
        <f>_xlfn.XLOOKUP(ППД5[[#This Row],[№]],Юрист[№ кв],Юрист[МОП],"",0,-1)</f>
        <v>Полехович</v>
      </c>
      <c r="DS82" s="333" t="s">
        <v>2456</v>
      </c>
      <c r="DT82" s="333" t="s">
        <v>2457</v>
      </c>
      <c r="DU82" s="333">
        <v>57.6</v>
      </c>
      <c r="DV82" s="111"/>
    </row>
    <row r="83" spans="1:126" hidden="1" x14ac:dyDescent="0.25">
      <c r="A83" s="112">
        <v>81</v>
      </c>
      <c r="B83" s="111" t="s">
        <v>5</v>
      </c>
      <c r="C83" s="111">
        <v>12</v>
      </c>
      <c r="D83" s="111">
        <v>5</v>
      </c>
      <c r="E83" s="111">
        <v>2</v>
      </c>
      <c r="F83" s="105">
        <v>16.46</v>
      </c>
      <c r="G83" s="105">
        <v>12.47</v>
      </c>
      <c r="H83" s="105"/>
      <c r="I83" s="94">
        <f>SUM(ППД5[[#This Row],[Комната 1]:[Комната 3]])</f>
        <v>28.93</v>
      </c>
      <c r="J83" s="105">
        <v>18</v>
      </c>
      <c r="K83" s="105">
        <v>4.3499999999999996</v>
      </c>
      <c r="L83" s="105">
        <v>1.55</v>
      </c>
      <c r="M83" s="105"/>
      <c r="N83" s="105">
        <v>8</v>
      </c>
      <c r="O83" s="105">
        <v>2.67</v>
      </c>
      <c r="P83" s="105"/>
      <c r="Q83" s="105"/>
      <c r="R83" s="105">
        <f>SUM(ППД5[[#This Row],[Лоджия 1]:[Лоджия 3]])</f>
        <v>2.67</v>
      </c>
      <c r="S83" s="8">
        <f>ROUND(SUM(ППД5[[#This Row],[Площадь по проекту жилая]:[Лоджия 3]]),2)</f>
        <v>63.5</v>
      </c>
      <c r="T83" s="8">
        <f>ROUND(ППД5[[#This Row],[Площадь по проекту(общая)]]-ППД5[[#This Row],[Летние]],2)</f>
        <v>60.83</v>
      </c>
      <c r="U83" s="91">
        <f>ROUND(ППД5[[#This Row],[Площадь по проекту(общая)]]-(SUM(ППД5[[#This Row],[Лоджия 1]:[Лоджия 3]])/2),2)</f>
        <v>62.17</v>
      </c>
      <c r="V83" s="91">
        <f>IF(ППД5[[#This Row],[Статус]]="продажа",ППД5[[#This Row],[Расчетная проектная площадь]],ППД5[[#This Row],[Расчетная ТП площадь]])</f>
        <v>61.150000000000006</v>
      </c>
      <c r="W83" s="91">
        <v>16.3</v>
      </c>
      <c r="X83" s="91">
        <v>12.3</v>
      </c>
      <c r="Y83" s="91"/>
      <c r="Z83" s="91">
        <f>SUM(ППД5[[#This Row],[ТП Комната 1]:[ТП Комната 3]])</f>
        <v>28.6</v>
      </c>
      <c r="AA83" s="91">
        <v>17.8</v>
      </c>
      <c r="AB83" s="91">
        <v>4.3</v>
      </c>
      <c r="AC83" s="91">
        <v>1.6</v>
      </c>
      <c r="AD83" s="91"/>
      <c r="AE83" s="91">
        <v>7.5</v>
      </c>
      <c r="AF83" s="91">
        <v>1.35</v>
      </c>
      <c r="AG83" s="91"/>
      <c r="AH83" s="91"/>
      <c r="AI83" s="91">
        <f>SUM(ППД5[[#This Row],[ТП Лоджия 1]:[ТП Лоджия 3]])</f>
        <v>1.35</v>
      </c>
      <c r="AJ83" s="95">
        <v>2.7</v>
      </c>
      <c r="AK83" s="91">
        <f>SUM(ППД5[[#This Row],[Площадь по ТП жилая]:[ТП Лоджия 3]])-ППД5[[#This Row],[ТП Летние]]+ППД5[[#This Row],[кроме того прочая
(без коэффициента)]]</f>
        <v>62.500000000000007</v>
      </c>
      <c r="AL83" s="95">
        <f>ППД5[[#This Row],[ТП Площадь без летних]]+(ППД5[[#This Row],[ТП Летние]])</f>
        <v>61.150000000000006</v>
      </c>
      <c r="AM83" s="91">
        <f>ППД5[[#This Row],[ТП общая S]]-ППД5[[#This Row],[кроме того прочая
(без коэффициента)]]</f>
        <v>59.800000000000004</v>
      </c>
      <c r="AN83" s="95">
        <f>SUM(ППД5[[#This Row],[ТП Кухня]:[ТП Коридор]])</f>
        <v>31.200000000000003</v>
      </c>
      <c r="AO83" s="91">
        <f>ППД5[[#This Row],[Расчетная ТП площадь]]-ППД5[[#This Row],[Расчетная проектная площадь]]</f>
        <v>-1.019999999999996</v>
      </c>
      <c r="AP83" s="335">
        <f>ППД5[[#This Row],[Расчетная ТП площадь]]/ППД5[[#This Row],[Расчетная проектная площадь]]-1</f>
        <v>-1.6406626990509876E-2</v>
      </c>
      <c r="AQ83" s="91">
        <f>ППД5[[#This Row],[% расхождения]]*ППД5[[#This Row],[Стоимость до скидки]]</f>
        <v>-126728.06820009639</v>
      </c>
      <c r="AR83" s="91">
        <f>VLOOKUP(ППД5[[#This Row],[№]],наценкад5[],COLUMN(наценкад5[[#This Row],[Цена м2 с учетом всех K]]),0)</f>
        <v>80307.864000000001</v>
      </c>
      <c r="AS83" s="8">
        <f>ППД5[[#This Row],[м2 после К]]*5%</f>
        <v>4015.3932000000004</v>
      </c>
      <c r="AT83" s="8">
        <f>ППД5[[#This Row],[м2 после К]]+ППД5[[#This Row],[Повышение 16.08.23 - 5%]]</f>
        <v>84323.257200000007</v>
      </c>
      <c r="AU83" s="93">
        <f>ППД5[[#This Row],[Фикс 16.08.23]]*3%</f>
        <v>2529.6977160000001</v>
      </c>
      <c r="AV83" s="93">
        <f>ППД5[[#This Row],[Фикс 16.08.23]]+ППД5[[#This Row],[Повышение 29.08.23 - 3%]]</f>
        <v>86852.954916000002</v>
      </c>
      <c r="AW83" s="93"/>
      <c r="AX83" s="93">
        <f>ППД5[[#This Row],[Фикс 29.08.23]]+ППД5[[#This Row],[Повышение 06.09.23 СТ и 1К]]</f>
        <v>86852.954916000002</v>
      </c>
      <c r="AY83" s="93"/>
      <c r="AZ83" s="93">
        <f>ППД5[[#This Row],[Повышение 23.10.23  В4 ]]+ППД5[[#This Row],[Фикс 06.09.23]]</f>
        <v>86852.954916000002</v>
      </c>
      <c r="BA83" s="93"/>
      <c r="BB83" s="93">
        <f>ППД5[[#This Row],[Повышение 8.11.23 1К 5%]]+ППД5[[#This Row],[Фикс 23.10.23]]</f>
        <v>86852.954916000002</v>
      </c>
      <c r="BC83" s="93"/>
      <c r="BD83" s="93">
        <f>ППД5[[#This Row],[Корректировка 24.11.23 - 1К В5, 2К А2, №233]]+ППД5[[#This Row],[Фикс 8.11.23]]</f>
        <v>86852.954916000002</v>
      </c>
      <c r="BE83" s="93">
        <f>ППД5[[#This Row],[Фикс 8.11.24]]*1%</f>
        <v>868.52954915999999</v>
      </c>
      <c r="BF83" s="93">
        <f>ППД5[[#This Row],[Наценка за отделку 29.12.23 1%]]+ППД5[[#This Row],[Фикс 8.11.24]]</f>
        <v>87721.48446516</v>
      </c>
      <c r="BG83" s="93">
        <f>ППД5[[#This Row],[Фикс 29.12.23]]*5%</f>
        <v>4386.0742232580005</v>
      </c>
      <c r="BH83" s="93">
        <f>ППД5[[#This Row],[Фикс 29.12.23]]+ППД5[[#This Row],[Наценка 10.01.24 5%]]</f>
        <v>92107.558688417994</v>
      </c>
      <c r="BI83" s="93"/>
      <c r="BJ83" s="93">
        <f>ППД5[[#This Row],[Наценка 26.02.24 1 Этаж]]+ППД5[[#This Row],[Фикс 10.01.24]]</f>
        <v>92107.558688417994</v>
      </c>
      <c r="BK83" s="93">
        <f>ППД5[[#This Row],[Фикс 26.02.24]]*2%</f>
        <v>1842.15117376836</v>
      </c>
      <c r="BL83" s="93">
        <f>ППД5[[#This Row],[Фикс 26.02.24]]+ППД5[[#This Row],[Наценка 06.03.24
СТ, 1К - 3%
2К, 3К - 2%]]</f>
        <v>93949.709862186355</v>
      </c>
      <c r="BM83" s="93"/>
      <c r="BN83" s="93">
        <f>ППД5[[#This Row],[Фикс 06.03.24]]+ППД5[[#This Row],[Наценка Г2+500]]</f>
        <v>93949.709862186355</v>
      </c>
      <c r="BO83" s="93">
        <f>ППД5[[#This Row],[Фикс 13.03.25]]*2%</f>
        <v>1878.9941972437271</v>
      </c>
      <c r="BP83" s="93">
        <f>ППД5[[#This Row],[Фикс 13.03.25]]+ППД5[[#This Row],[Наценка 20.03.24
2К, 3К - 2%]]</f>
        <v>95828.704059430078</v>
      </c>
      <c r="BQ83" s="93"/>
      <c r="BR83" s="93">
        <f>ППД5[[#This Row],[Фикс 20.03.24]]+ППД5[[#This Row],[Наценка 08.04.24 
2К: В3 - 150
3К: Г7 +1000]]</f>
        <v>95828.704059430078</v>
      </c>
      <c r="BS83" s="93"/>
      <c r="BT83" s="93">
        <f>ППД5[[#This Row],[Фикс 08.04.24]]+ППД5[[#This Row],[Наценка 16.05.24 1%
А4,А6,Б3,Б6,Б7,В2,В3,В5,В6,Г1,Г3-Г5]]</f>
        <v>95828.704059430078</v>
      </c>
      <c r="BU83" s="93">
        <f>ППД5[[#This Row],[Фикс 16.05.24]]*2%</f>
        <v>1916.5740811886017</v>
      </c>
      <c r="BV83" s="93">
        <f>ППД5[[#This Row],[Фикс 16.05.24]]+ППД5[[#This Row],[Наценка 24.05.24
1% - Б4, Б5,Г2,Г6
2% - А1,А3,А5,Б2,Г7]]</f>
        <v>97745.278140618684</v>
      </c>
      <c r="BW83" s="93">
        <f>ППД5[[#This Row],[Фикс 24.05.24]]*0.5%</f>
        <v>488.72639070309344</v>
      </c>
      <c r="BX83" s="93">
        <f>ППД5[[#This Row],[Наценка 06.06.24
0К: В2,Г3 +0,5%
1К: А7, Б5/4, Г6 +0,5%
3К: В6 +0,5%
1К: А3 +1%]]+ППД5[[#This Row],[Фикс 24.05.24]]</f>
        <v>98234.004531321771</v>
      </c>
      <c r="BY83" s="93"/>
      <c r="BZ83" s="93">
        <f>ППД5[[#This Row],[Фикс 06.06.24]]+ППД5[[#This Row],[13.06.2024
3К - 2%]]</f>
        <v>98234.004531321771</v>
      </c>
      <c r="CA83" s="9">
        <f>1.5%*ППД5[[#This Row],[Фикс 13.06.24]]</f>
        <v>1473.5100679698264</v>
      </c>
      <c r="CB83" s="93">
        <f>ППД5[[#This Row],[02.07.2024: Г3 А1 А3 Б5 Б7 Г2 Г6 Б3 Б4 В3 Г7 2,5% ост 0,5-1,5%]]+ППД5[[#This Row],[Фикс 13.06.24]]</f>
        <v>99707.514599291593</v>
      </c>
      <c r="CC83" s="93"/>
      <c r="CD83" s="93">
        <f>ППД5[[#This Row],[Фикс 02.07.24]]+ППД5[[#This Row],[04.09.2024 +500
0К - Б2; 1К - А3;
2К - А6, Б4, В3, Г5]]</f>
        <v>99707.514599291593</v>
      </c>
      <c r="CE83" s="93">
        <f>ППД5[[#This Row],[Фикс 04.09.24]]*4%</f>
        <v>3988.3005839716639</v>
      </c>
      <c r="CF83" s="93">
        <f>ППД5[[#This Row],[Наценка 16.09.2024
1К: А1,В7,Г6/7,Г8 - 2%
2К: А4,А5,А6,Б1,Б6,Б3/4,В3,В4,Г4,Г5 - 4%
3К: 4%]]+ППД5[[#This Row],[Фикс 04.09.24]]</f>
        <v>103695.81518326326</v>
      </c>
      <c r="CG83" s="93">
        <f>ППД5[[#This Row],[Фикс 16.09.2024]]*6%</f>
        <v>6221.7489109957951</v>
      </c>
      <c r="CH83" s="93">
        <f>ППД5[[#This Row],[Фикс 16.09.2024]]+ППД5[[#This Row],[Наценка 01.11.24
СТ: 4%
1К: 34-40м 5%; 40м+ 8%; МГН 1%
2К: 55-70м 6%; 70-73м 7%; 73-76м 8% 
3К: 5%]]</f>
        <v>109917.56409425905</v>
      </c>
      <c r="CI83" s="93">
        <f>ППД5[[#This Row],[Фикс 01.11.24]]*13%</f>
        <v>14289.283332253677</v>
      </c>
      <c r="CJ83" s="93">
        <f>ППД5[[#This Row],[Наценка 06.11 13%]]+ППД5[[#This Row],[Фикс 01.11.24]]</f>
        <v>124206.84742651273</v>
      </c>
      <c r="CK83" s="93">
        <v>35</v>
      </c>
      <c r="CL83" s="93">
        <f>ППД5[[#This Row],[Фикс 06.11.24]]+ППД5[[#This Row],[Наценка 18.12.24 распределение КВ]]</f>
        <v>124241.84742651273</v>
      </c>
      <c r="CM83" s="93"/>
      <c r="CN83" s="93">
        <f>ППД5[[#This Row],[Фикс 18.12.24]]+ППД5[[#This Row],[Наценка 10.02.25 +1%
1К: А3
2К: Б3, В3]]</f>
        <v>124241.84742651273</v>
      </c>
      <c r="CO83" s="93">
        <f>ROUND(ППД5[[#This Row],[Фикс 10.02.25]],2)</f>
        <v>124241.85</v>
      </c>
      <c r="CP8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7724200</v>
      </c>
      <c r="CQ83" s="93">
        <f>ROUNDUP(ППД5[[#This Row],[Стоимость до скидки]]+ППД5[[#This Row],[Сумма доплаты]],-2)</f>
        <v>7597500</v>
      </c>
      <c r="CR83" s="68"/>
      <c r="CS83" s="90"/>
      <c r="CT83" s="68">
        <f>ППД5[[#This Row],[Стоимость до скидки]]*ППД5[[#This Row],[Скидка %]]+ППД5[[#This Row],[Скидка фиксированная]]</f>
        <v>0</v>
      </c>
      <c r="CU83" s="3">
        <f>ППД5[[#This Row],[Стоимость ОН без отделки со скидкой]]/ППД5[[#This Row],[Расчетная проектная площадь]]</f>
        <v>124243.20411774167</v>
      </c>
      <c r="CV83" s="3">
        <f>ROUND(ППД5[[#This Row],[Стоимость до скидки]]-ППД5[[#This Row],[Итоговая сумма скидки]],2)</f>
        <v>7724200</v>
      </c>
      <c r="CW8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83" s="218">
        <v>10000</v>
      </c>
      <c r="CY83" s="332">
        <f>ППД5[[#This Row],[Расхождение]]/ППД5[[#This Row],[Расчетная проектная площадь]]</f>
        <v>-1.6406626990509827E-2</v>
      </c>
      <c r="CZ83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-0.69999999999999574</v>
      </c>
      <c r="DA83" s="3">
        <f>ППД5[[#This Row],[Цена м2 без отделки со скидкой]]+ППД5[[#This Row],[Стоимость отделки]]</f>
        <v>134243.20411774167</v>
      </c>
      <c r="DB83" s="3">
        <f>ППД5[[#This Row],[Стоимость квартиры с отделкой]]-ППД5[[#This Row],[Стоимость ОН без отделки со скидкой]]</f>
        <v>621700</v>
      </c>
      <c r="DC83" s="3">
        <f>ППД5[[#This Row],[Цена м2 с отделкой]]*ППД5[[#This Row],[Расчетная проектная площадь]]</f>
        <v>8345900</v>
      </c>
      <c r="DD83" s="3"/>
      <c r="DF83" s="199" t="s">
        <v>157</v>
      </c>
      <c r="DG83" s="245" t="s">
        <v>157</v>
      </c>
      <c r="DH83" s="100" t="b">
        <f>EXACT(ППД5[[#This Row],[Статусы CRM]],ППД5[[#This Row],[Статус]])</f>
        <v>1</v>
      </c>
      <c r="DI83" s="213" t="s">
        <v>255</v>
      </c>
      <c r="DJ83" s="204"/>
      <c r="DK83" s="111" t="s">
        <v>763</v>
      </c>
      <c r="DL83" s="216" t="s">
        <v>780</v>
      </c>
      <c r="DM83" s="201" t="b">
        <f>ППД5[[#This Row],[Отделка CRM]]=ППД5[[#This Row],[Отделка]]</f>
        <v>1</v>
      </c>
      <c r="DN83" s="203">
        <v>8345900</v>
      </c>
      <c r="DO8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83" s="207" t="b">
        <f>IF(AND(ППД5[[#This Row],[Статус]]="свободно",ППД5[[#This Row],[Итоговая сумма скидки]]&lt;&gt;0),FALSE,TRUE)</f>
        <v>1</v>
      </c>
      <c r="DQ83" s="240" t="str">
        <f>_xlfn.XLOOKUP(ППД5[[#This Row],[№]],Юрист[№ кв],Юрист[Дата подачи на регистрацию]," ",0,-1)</f>
        <v xml:space="preserve"> </v>
      </c>
      <c r="DR83" s="115" t="str">
        <f>_xlfn.XLOOKUP(ППД5[[#This Row],[№]],Юрист[№ кв],Юрист[МОП],"",0,-1)</f>
        <v/>
      </c>
      <c r="DS83" s="333" t="s">
        <v>2458</v>
      </c>
      <c r="DT83" s="333" t="s">
        <v>2459</v>
      </c>
      <c r="DU83" s="333">
        <v>59.8</v>
      </c>
      <c r="DV83" s="111"/>
    </row>
    <row r="84" spans="1:126" hidden="1" x14ac:dyDescent="0.25">
      <c r="A84" s="112">
        <v>82</v>
      </c>
      <c r="B84" s="111" t="s">
        <v>5</v>
      </c>
      <c r="C84" s="111">
        <v>12</v>
      </c>
      <c r="D84" s="111">
        <v>6</v>
      </c>
      <c r="E84" s="111">
        <v>2</v>
      </c>
      <c r="F84" s="105">
        <v>14.64</v>
      </c>
      <c r="G84" s="105">
        <v>10.74</v>
      </c>
      <c r="H84" s="105"/>
      <c r="I84" s="94">
        <f>SUM(ППД5[[#This Row],[Комната 1]:[Комната 3]])</f>
        <v>25.380000000000003</v>
      </c>
      <c r="J84" s="105">
        <v>14.35</v>
      </c>
      <c r="K84" s="105">
        <v>4.16</v>
      </c>
      <c r="L84" s="105">
        <v>1.93</v>
      </c>
      <c r="M84" s="105"/>
      <c r="N84" s="105">
        <v>11.03</v>
      </c>
      <c r="O84" s="105">
        <v>2.6219999999999999</v>
      </c>
      <c r="P84" s="105"/>
      <c r="Q84" s="105"/>
      <c r="R84" s="105">
        <f>SUM(ППД5[[#This Row],[Лоджия 1]:[Лоджия 3]])</f>
        <v>2.6219999999999999</v>
      </c>
      <c r="S84" s="8">
        <f>ROUND(SUM(ППД5[[#This Row],[Площадь по проекту жилая]:[Лоджия 3]]),2)</f>
        <v>59.47</v>
      </c>
      <c r="T84" s="8">
        <f>ROUND(ППД5[[#This Row],[Площадь по проекту(общая)]]-ППД5[[#This Row],[Летние]],2)</f>
        <v>56.85</v>
      </c>
      <c r="U84" s="91">
        <f>ROUND(ППД5[[#This Row],[Площадь по проекту(общая)]]-(SUM(ППД5[[#This Row],[Лоджия 1]:[Лоджия 3]])/2),2)</f>
        <v>58.16</v>
      </c>
      <c r="V84" s="91">
        <f>IF(ППД5[[#This Row],[Статус]]="продажа",ППД5[[#This Row],[Расчетная проектная площадь]],ППД5[[#This Row],[Расчетная ТП площадь]])</f>
        <v>58.16</v>
      </c>
      <c r="W84" s="91">
        <v>10.6</v>
      </c>
      <c r="X84" s="91">
        <v>14.6</v>
      </c>
      <c r="Y84" s="91"/>
      <c r="Z84" s="91">
        <f>SUM(ППД5[[#This Row],[ТП Комната 1]:[ТП Комната 3]])</f>
        <v>25.2</v>
      </c>
      <c r="AA84" s="91">
        <v>14.3</v>
      </c>
      <c r="AB84" s="91">
        <v>4.0999999999999996</v>
      </c>
      <c r="AC84" s="91">
        <v>2</v>
      </c>
      <c r="AD84" s="91"/>
      <c r="AE84" s="91">
        <v>11.1</v>
      </c>
      <c r="AF84" s="91">
        <v>1.3</v>
      </c>
      <c r="AG84" s="91"/>
      <c r="AH84" s="91"/>
      <c r="AI84" s="91">
        <f>SUM(ППД5[[#This Row],[ТП Лоджия 1]:[ТП Лоджия 3]])</f>
        <v>1.3</v>
      </c>
      <c r="AJ84" s="95">
        <v>2.6</v>
      </c>
      <c r="AK84" s="91">
        <f>SUM(ППД5[[#This Row],[Площадь по ТП жилая]:[ТП Лоджия 3]])-ППД5[[#This Row],[ТП Летние]]+ППД5[[#This Row],[кроме того прочая
(без коэффициента)]]</f>
        <v>59.300000000000004</v>
      </c>
      <c r="AL84" s="95">
        <f>ППД5[[#This Row],[ТП Площадь без летних]]+(ППД5[[#This Row],[ТП Летние]])</f>
        <v>58</v>
      </c>
      <c r="AM84" s="91">
        <f>ППД5[[#This Row],[ТП общая S]]-ППД5[[#This Row],[кроме того прочая
(без коэффициента)]]</f>
        <v>56.7</v>
      </c>
      <c r="AN84" s="95">
        <f>SUM(ППД5[[#This Row],[ТП Кухня]:[ТП Коридор]])</f>
        <v>31.5</v>
      </c>
      <c r="AO84" s="91">
        <f>ППД5[[#This Row],[Расчетная ТП площадь]]-ППД5[[#This Row],[Расчетная проектная площадь]]</f>
        <v>-0.15999999999999659</v>
      </c>
      <c r="AP84" s="335">
        <f>ППД5[[#This Row],[Расчетная ТП площадь]]/ППД5[[#This Row],[Расчетная проектная площадь]]-1</f>
        <v>-2.7510316368637433E-3</v>
      </c>
      <c r="AQ84" s="91">
        <f>ППД5[[#This Row],[% расхождения]]*ППД5[[#This Row],[Стоимость до скидки]]</f>
        <v>-14096.902393397109</v>
      </c>
      <c r="AR84" s="91">
        <f>VLOOKUP(ППД5[[#This Row],[№]],наценкад5[],COLUMN(наценкад5[[#This Row],[Цена м2 с учетом всех K]]),0)</f>
        <v>81466.150500000003</v>
      </c>
      <c r="AS84" s="8">
        <f>ППД5[[#This Row],[м2 после К]]*5%</f>
        <v>4073.3075250000002</v>
      </c>
      <c r="AT84" s="8">
        <f>ППД5[[#This Row],[м2 после К]]+ППД5[[#This Row],[Повышение 16.08.23 - 5%]]</f>
        <v>85539.458025</v>
      </c>
      <c r="AU84" s="93">
        <f>ППД5[[#This Row],[Фикс 16.08.23]]*3%</f>
        <v>2566.1837407499997</v>
      </c>
      <c r="AV84" s="93">
        <f>ППД5[[#This Row],[Фикс 16.08.23]]+ППД5[[#This Row],[Повышение 29.08.23 - 3%]]</f>
        <v>88105.641765749999</v>
      </c>
      <c r="AW84" s="93"/>
      <c r="AX84" s="93">
        <f>ППД5[[#This Row],[Фикс 29.08.23]]+ППД5[[#This Row],[Повышение 06.09.23 СТ и 1К]]</f>
        <v>88105.641765749999</v>
      </c>
      <c r="AY84" s="93"/>
      <c r="AZ84" s="93">
        <f>ППД5[[#This Row],[Повышение 23.10.23  В4 ]]+ППД5[[#This Row],[Фикс 06.09.23]]</f>
        <v>88105.641765749999</v>
      </c>
      <c r="BA84" s="93"/>
      <c r="BB84" s="93">
        <f>ППД5[[#This Row],[Повышение 8.11.23 1К 5%]]+ППД5[[#This Row],[Фикс 23.10.23]]</f>
        <v>88105.641765749999</v>
      </c>
      <c r="BC84" s="93"/>
      <c r="BD84" s="93">
        <f>ППД5[[#This Row],[Корректировка 24.11.23 - 1К В5, 2К А2, №233]]+ППД5[[#This Row],[Фикс 8.11.23]]</f>
        <v>88105.641765749999</v>
      </c>
      <c r="BE84" s="93"/>
      <c r="BF84" s="93">
        <f>ППД5[[#This Row],[Наценка за отделку 29.12.23 1%]]+ППД5[[#This Row],[Фикс 8.11.24]]</f>
        <v>88105.641765749999</v>
      </c>
      <c r="BG84" s="93"/>
      <c r="BH84" s="93">
        <f>ППД5[[#This Row],[Фикс 29.12.23]]+ППД5[[#This Row],[Наценка 10.01.24 5%]]</f>
        <v>88105.641765749999</v>
      </c>
      <c r="BI84" s="93"/>
      <c r="BJ84" s="93">
        <f>ППД5[[#This Row],[Наценка 26.02.24 1 Этаж]]+ППД5[[#This Row],[Фикс 10.01.24]]</f>
        <v>88105.641765749999</v>
      </c>
      <c r="BK84" s="93"/>
      <c r="BL84" s="93">
        <f>ППД5[[#This Row],[Фикс 26.02.24]]+ППД5[[#This Row],[Наценка 06.03.24
СТ, 1К - 3%
2К, 3К - 2%]]</f>
        <v>88105.641765749999</v>
      </c>
      <c r="BM84" s="93"/>
      <c r="BN84" s="93">
        <f>ППД5[[#This Row],[Фикс 06.03.24]]+ППД5[[#This Row],[Наценка Г2+500]]</f>
        <v>88105.641765749999</v>
      </c>
      <c r="BO84" s="93"/>
      <c r="BP84" s="93">
        <f>ППД5[[#This Row],[Фикс 13.03.25]]+ППД5[[#This Row],[Наценка 20.03.24
2К, 3К - 2%]]</f>
        <v>88105.641765749999</v>
      </c>
      <c r="BQ84" s="93"/>
      <c r="BR84" s="93">
        <f>ППД5[[#This Row],[Фикс 20.03.24]]+ППД5[[#This Row],[Наценка 08.04.24 
2К: В3 - 150
3К: Г7 +1000]]</f>
        <v>88105.641765749999</v>
      </c>
      <c r="BS84" s="93"/>
      <c r="BT84" s="93">
        <f>ППД5[[#This Row],[Фикс 08.04.24]]+ППД5[[#This Row],[Наценка 16.05.24 1%
А4,А6,Б3,Б6,Б7,В2,В3,В5,В6,Г1,Г3-Г5]]</f>
        <v>88105.641765749999</v>
      </c>
      <c r="BU84" s="93"/>
      <c r="BV84" s="93">
        <f>ППД5[[#This Row],[Фикс 16.05.24]]+ППД5[[#This Row],[Наценка 24.05.24
1% - Б4, Б5,Г2,Г6
2% - А1,А3,А5,Б2,Г7]]</f>
        <v>88105.641765749999</v>
      </c>
      <c r="BW84" s="93"/>
      <c r="BX84" s="93">
        <f>ППД5[[#This Row],[Наценка 06.06.24
0К: В2,Г3 +0,5%
1К: А7, Б5/4, Г6 +0,5%
3К: В6 +0,5%
1К: А3 +1%]]+ППД5[[#This Row],[Фикс 24.05.24]]</f>
        <v>88105.641765749999</v>
      </c>
      <c r="BY84" s="93"/>
      <c r="BZ84" s="93">
        <f>ППД5[[#This Row],[Фикс 06.06.24]]+ППД5[[#This Row],[13.06.2024
3К - 2%]]</f>
        <v>88105.641765749999</v>
      </c>
      <c r="CA84" s="93"/>
      <c r="CB84" s="93">
        <f>ППД5[[#This Row],[02.07.2024: Г3 А1 А3 Б5 Б7 Г2 Г6 Б3 Б4 В3 Г7 2,5% ост 0,5-1,5%]]+ППД5[[#This Row],[Фикс 13.06.24]]</f>
        <v>88105.641765749999</v>
      </c>
      <c r="CC84" s="93"/>
      <c r="CD84" s="93">
        <f>ППД5[[#This Row],[Фикс 02.07.24]]+ППД5[[#This Row],[04.09.2024 +500
0К - Б2; 1К - А3;
2К - А6, Б4, В3, Г5]]</f>
        <v>88105.641765749999</v>
      </c>
      <c r="CE84" s="93"/>
      <c r="CF84" s="93">
        <f>ППД5[[#This Row],[Наценка 16.09.2024
1К: А1,В7,Г6/7,Г8 - 2%
2К: А4,А5,А6,Б1,Б6,Б3/4,В3,В4,Г4,Г5 - 4%
3К: 4%]]+ППД5[[#This Row],[Фикс 04.09.24]]</f>
        <v>88105.641765749999</v>
      </c>
      <c r="CG84" s="93"/>
      <c r="CH84" s="93">
        <f>ППД5[[#This Row],[Фикс 16.09.2024]]+ППД5[[#This Row],[Наценка 01.11.24
СТ: 4%
1К: 34-40м 5%; 40м+ 8%; МГН 1%
2К: 55-70м 6%; 70-73м 7%; 73-76м 8% 
3К: 5%]]</f>
        <v>88105.641765749999</v>
      </c>
      <c r="CI84" s="93"/>
      <c r="CJ84" s="93">
        <f>ППД5[[#This Row],[Наценка 06.11 13%]]+ППД5[[#This Row],[Фикс 01.11.24]]</f>
        <v>88105.641765749999</v>
      </c>
      <c r="CK84" s="93"/>
      <c r="CL84" s="93">
        <f>ППД5[[#This Row],[Фикс 06.11.24]]+ППД5[[#This Row],[Наценка 18.12.24 распределение КВ]]</f>
        <v>88105.641765749999</v>
      </c>
      <c r="CM84" s="93"/>
      <c r="CN84" s="93">
        <f>ППД5[[#This Row],[Фикс 18.12.24]]+ППД5[[#This Row],[Наценка 10.02.25 +1%
1К: А3
2К: Б3, В3]]</f>
        <v>88105.641765749999</v>
      </c>
      <c r="CO84" s="93">
        <f>ROUND(ППД5[[#This Row],[Фикс 10.02.25]],2)</f>
        <v>88105.64</v>
      </c>
      <c r="CP8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5124224.0199999996</v>
      </c>
      <c r="CQ84" s="93">
        <f>ROUNDUP(ППД5[[#This Row],[Стоимость до скидки]]+ППД5[[#This Row],[Сумма доплаты]],-2)</f>
        <v>5110200</v>
      </c>
      <c r="CR84" s="68"/>
      <c r="CS84" s="90"/>
      <c r="CT84" s="68">
        <f>ППД5[[#This Row],[Стоимость до скидки]]*ППД5[[#This Row],[Скидка %]]+ППД5[[#This Row],[Скидка фиксированная]]</f>
        <v>0</v>
      </c>
      <c r="CU84" s="3">
        <f>ППД5[[#This Row],[Стоимость ОН без отделки со скидкой]]/ППД5[[#This Row],[Расчетная проектная площадь]]</f>
        <v>88105.639958734522</v>
      </c>
      <c r="CV84" s="3">
        <f>ROUND(ППД5[[#This Row],[Стоимость до скидки]]-ППД5[[#This Row],[Итоговая сумма скидки]],2)</f>
        <v>5124224.0199999996</v>
      </c>
      <c r="CW8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84" s="197">
        <v>22000</v>
      </c>
      <c r="CY84" s="332">
        <f>ППД5[[#This Row],[Расхождение]]/ППД5[[#This Row],[Расчетная проектная площадь]]</f>
        <v>-2.7510316368637654E-3</v>
      </c>
      <c r="CZ8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2.9999999999999361E-2</v>
      </c>
      <c r="DA84" s="3">
        <f>ППД5[[#This Row],[Цена м2 без отделки со скидкой]]+ППД5[[#This Row],[Стоимость отделки]]</f>
        <v>110105.63995873452</v>
      </c>
      <c r="DB84" s="3">
        <f>ППД5[[#This Row],[Стоимость квартиры с отделкой]]-ППД5[[#This Row],[Стоимость ОН без отделки со скидкой]]</f>
        <v>1279520</v>
      </c>
      <c r="DC84" s="3">
        <f>ППД5[[#This Row],[Цена м2 с отделкой]]*ППД5[[#This Row],[Расчетная проектная площадь]]</f>
        <v>6403744.0199999996</v>
      </c>
      <c r="DD84" s="3"/>
      <c r="DF84" s="199" t="s">
        <v>172</v>
      </c>
      <c r="DG84" s="245" t="s">
        <v>172</v>
      </c>
      <c r="DH84" s="100" t="b">
        <f>EXACT(ППД5[[#This Row],[Статусы CRM]],ППД5[[#This Row],[Статус]])</f>
        <v>1</v>
      </c>
      <c r="DI84" s="213" t="s">
        <v>256</v>
      </c>
      <c r="DJ84" s="204"/>
      <c r="DK84" s="111" t="s">
        <v>76</v>
      </c>
      <c r="DL84" s="216" t="s">
        <v>14</v>
      </c>
      <c r="DM84" s="201" t="b">
        <f>ППД5[[#This Row],[Отделка CRM]]=ППД5[[#This Row],[Отделка]]</f>
        <v>1</v>
      </c>
      <c r="DN84" s="203">
        <v>6403744.0199999996</v>
      </c>
      <c r="DO8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84" s="207" t="b">
        <f>IF(AND(ППД5[[#This Row],[Статус]]="свободно",ППД5[[#This Row],[Итоговая сумма скидки]]&lt;&gt;0),FALSE,TRUE)</f>
        <v>1</v>
      </c>
      <c r="DQ84" s="240">
        <f>_xlfn.XLOOKUP(ППД5[[#This Row],[№]],Юрист[№ кв],Юрист[Дата подачи на регистрацию]," ",0,-1)</f>
        <v>45241</v>
      </c>
      <c r="DR84" s="115" t="str">
        <f>_xlfn.XLOOKUP(ППД5[[#This Row],[№]],Юрист[№ кв],Юрист[МОП],"",0,-1)</f>
        <v>Полехович</v>
      </c>
      <c r="DS84" s="333" t="s">
        <v>2460</v>
      </c>
      <c r="DT84" s="333" t="s">
        <v>2461</v>
      </c>
      <c r="DU84" s="333">
        <v>56.7</v>
      </c>
      <c r="DV84" s="111"/>
    </row>
    <row r="85" spans="1:126" hidden="1" x14ac:dyDescent="0.25">
      <c r="A85" s="112">
        <v>83</v>
      </c>
      <c r="B85" s="111" t="s">
        <v>5</v>
      </c>
      <c r="C85" s="111">
        <v>12</v>
      </c>
      <c r="D85" s="111">
        <v>7</v>
      </c>
      <c r="E85" s="111">
        <v>1</v>
      </c>
      <c r="F85" s="157">
        <v>18.489999999999998</v>
      </c>
      <c r="G85" s="105"/>
      <c r="H85" s="105"/>
      <c r="I85" s="94">
        <f>SUM(ППД5[[#This Row],[Комната 1]:[Комната 3]])</f>
        <v>18.489999999999998</v>
      </c>
      <c r="J85" s="105">
        <v>13.04</v>
      </c>
      <c r="K85" s="105">
        <v>3.9</v>
      </c>
      <c r="L85" s="105"/>
      <c r="M85" s="105"/>
      <c r="N85" s="105">
        <v>5.99</v>
      </c>
      <c r="O85" s="105">
        <v>2.65</v>
      </c>
      <c r="P85" s="105"/>
      <c r="Q85" s="105"/>
      <c r="R85" s="105">
        <f>SUM(ППД5[[#This Row],[Лоджия 1]:[Лоджия 3]])</f>
        <v>2.65</v>
      </c>
      <c r="S85" s="7">
        <f>ROUND(SUM(ППД5[[#This Row],[Площадь по проекту жилая]:[Лоджия 3]]),2)</f>
        <v>44.07</v>
      </c>
      <c r="T85" s="7">
        <f>ROUND(ППД5[[#This Row],[Площадь по проекту(общая)]]-ППД5[[#This Row],[Летние]],2)</f>
        <v>41.42</v>
      </c>
      <c r="U85" s="92">
        <f>ROUND(ППД5[[#This Row],[Площадь по проекту(общая)]]-(SUM(ППД5[[#This Row],[Лоджия 1]:[Лоджия 3]])/2),2)</f>
        <v>42.75</v>
      </c>
      <c r="V85" s="92">
        <f>IF(ППД5[[#This Row],[Статус]]="продажа",ППД5[[#This Row],[Расчетная проектная площадь]],ППД5[[#This Row],[Расчетная ТП площадь]])</f>
        <v>42.75</v>
      </c>
      <c r="W85" s="92">
        <v>18.600000000000001</v>
      </c>
      <c r="X85" s="92"/>
      <c r="Y85" s="92"/>
      <c r="Z85" s="92">
        <f>SUM(ППД5[[#This Row],[ТП Комната 1]:[ТП Комната 3]])</f>
        <v>18.600000000000001</v>
      </c>
      <c r="AA85" s="92">
        <v>12.9</v>
      </c>
      <c r="AB85" s="92">
        <v>3.9</v>
      </c>
      <c r="AC85" s="92"/>
      <c r="AD85" s="92"/>
      <c r="AE85" s="92">
        <v>5.9</v>
      </c>
      <c r="AF85" s="92">
        <v>1.3</v>
      </c>
      <c r="AG85" s="92"/>
      <c r="AH85" s="92"/>
      <c r="AI85" s="91">
        <f>SUM(ППД5[[#This Row],[ТП Лоджия 1]:[ТП Лоджия 3]])</f>
        <v>1.3</v>
      </c>
      <c r="AJ85" s="95">
        <v>2.6</v>
      </c>
      <c r="AK85" s="92">
        <f>SUM(ППД5[[#This Row],[Площадь по ТП жилая]:[ТП Лоджия 3]])-ППД5[[#This Row],[ТП Летние]]+ППД5[[#This Row],[кроме того прочая
(без коэффициента)]]</f>
        <v>43.9</v>
      </c>
      <c r="AL85" s="95">
        <f>ППД5[[#This Row],[ТП Площадь без летних]]+(ППД5[[#This Row],[ТП Летние]])</f>
        <v>42.599999999999994</v>
      </c>
      <c r="AM85" s="92">
        <f>ППД5[[#This Row],[ТП общая S]]-ППД5[[#This Row],[кроме того прочая
(без коэффициента)]]</f>
        <v>41.3</v>
      </c>
      <c r="AN85" s="95">
        <f>SUM(ППД5[[#This Row],[ТП Кухня]:[ТП Коридор]])</f>
        <v>22.700000000000003</v>
      </c>
      <c r="AO85" s="91">
        <f>ППД5[[#This Row],[Расчетная ТП площадь]]-ППД5[[#This Row],[Расчетная проектная площадь]]</f>
        <v>-0.15000000000000568</v>
      </c>
      <c r="AP85" s="335">
        <f>ППД5[[#This Row],[Расчетная ТП площадь]]/ППД5[[#This Row],[Расчетная проектная площадь]]-1</f>
        <v>-3.5087719298246833E-3</v>
      </c>
      <c r="AQ85" s="92">
        <f>ППД5[[#This Row],[% расхождения]]*ППД5[[#This Row],[Стоимость до скидки]]</f>
        <v>-16571.228070176014</v>
      </c>
      <c r="AR85" s="92">
        <f>VLOOKUP(ППД5[[#This Row],[№]],наценкад5[],COLUMN(наценкад5[[#This Row],[Цена м2 с учетом всех K]]),0)</f>
        <v>83951.4375</v>
      </c>
      <c r="AS85" s="7">
        <f>ППД5[[#This Row],[м2 после К]]*5%</f>
        <v>4197.5718750000005</v>
      </c>
      <c r="AT85" s="7">
        <f>ППД5[[#This Row],[м2 после К]]+ППД5[[#This Row],[Повышение 16.08.23 - 5%]]</f>
        <v>88149.009374999994</v>
      </c>
      <c r="AU85" s="9">
        <f>ППД5[[#This Row],[Фикс 16.08.23]]*3%</f>
        <v>2644.4702812499995</v>
      </c>
      <c r="AV85" s="9">
        <f>ППД5[[#This Row],[Фикс 16.08.23]]+ППД5[[#This Row],[Повышение 29.08.23 - 3%]]</f>
        <v>90793.479656249998</v>
      </c>
      <c r="AW85" s="93">
        <f>ППД5[[#This Row],[Фикс 29.08.23]]*4%</f>
        <v>3631.7391862499999</v>
      </c>
      <c r="AX85" s="9">
        <f>ППД5[[#This Row],[Фикс 29.08.23]]+ППД5[[#This Row],[Повышение 06.09.23 СТ и 1К]]</f>
        <v>94425.218842499991</v>
      </c>
      <c r="AY85" s="9"/>
      <c r="AZ85" s="9">
        <f>ППД5[[#This Row],[Повышение 23.10.23  В4 ]]+ППД5[[#This Row],[Фикс 06.09.23]]</f>
        <v>94425.218842499991</v>
      </c>
      <c r="BA85" s="93">
        <f>ППД5[[#This Row],[Фикс 23.10.23]]*5%</f>
        <v>4721.2609421249999</v>
      </c>
      <c r="BB85" s="93">
        <f>ППД5[[#This Row],[Повышение 8.11.23 1К 5%]]+ППД5[[#This Row],[Фикс 23.10.23]]</f>
        <v>99146.479784624986</v>
      </c>
      <c r="BC85" s="93"/>
      <c r="BD85" s="93">
        <f>ППД5[[#This Row],[Корректировка 24.11.23 - 1К В5, 2К А2, №233]]+ППД5[[#This Row],[Фикс 8.11.23]]</f>
        <v>99146.479784624986</v>
      </c>
      <c r="BE85" s="93">
        <f>ППД5[[#This Row],[Фикс 8.11.24]]*1%</f>
        <v>991.46479784624989</v>
      </c>
      <c r="BF85" s="93">
        <f>ППД5[[#This Row],[Наценка за отделку 29.12.23 1%]]+ППД5[[#This Row],[Фикс 8.11.24]]</f>
        <v>100137.94458247123</v>
      </c>
      <c r="BG85" s="93">
        <f>ППД5[[#This Row],[Фикс 29.12.23]]*5%</f>
        <v>5006.8972291235623</v>
      </c>
      <c r="BH85" s="93">
        <f>ППД5[[#This Row],[Фикс 29.12.23]]+ППД5[[#This Row],[Наценка 10.01.24 5%]]</f>
        <v>105144.84181159479</v>
      </c>
      <c r="BI85" s="93"/>
      <c r="BJ85" s="93">
        <f>ППД5[[#This Row],[Наценка 26.02.24 1 Этаж]]+ППД5[[#This Row],[Фикс 10.01.24]]</f>
        <v>105144.84181159479</v>
      </c>
      <c r="BK85" s="93">
        <f>ППД5[[#This Row],[Фикс 26.02.24]]*3%</f>
        <v>3154.3452543478434</v>
      </c>
      <c r="BL85" s="93">
        <f>ППД5[[#This Row],[Фикс 26.02.24]]+ППД5[[#This Row],[Наценка 06.03.24
СТ, 1К - 3%
2К, 3К - 2%]]</f>
        <v>108299.18706594263</v>
      </c>
      <c r="BM85" s="93"/>
      <c r="BN85" s="93">
        <f>ППД5[[#This Row],[Фикс 06.03.24]]+ППД5[[#This Row],[Наценка Г2+500]]</f>
        <v>108299.18706594263</v>
      </c>
      <c r="BO85" s="93"/>
      <c r="BP85" s="93">
        <f>ППД5[[#This Row],[Фикс 13.03.25]]+ППД5[[#This Row],[Наценка 20.03.24
2К, 3К - 2%]]</f>
        <v>108299.18706594263</v>
      </c>
      <c r="BQ85" s="93"/>
      <c r="BR85" s="93">
        <f>ППД5[[#This Row],[Фикс 20.03.24]]+ППД5[[#This Row],[Наценка 08.04.24 
2К: В3 - 150
3К: Г7 +1000]]</f>
        <v>108299.18706594263</v>
      </c>
      <c r="BS85" s="93"/>
      <c r="BT85" s="93">
        <f>ППД5[[#This Row],[Фикс 08.04.24]]+ППД5[[#This Row],[Наценка 16.05.24 1%
А4,А6,Б3,Б6,Б7,В2,В3,В5,В6,Г1,Г3-Г5]]</f>
        <v>108299.18706594263</v>
      </c>
      <c r="BU85" s="93"/>
      <c r="BV85" s="93">
        <f>ППД5[[#This Row],[Фикс 16.05.24]]+ППД5[[#This Row],[Наценка 24.05.24
1% - Б4, Б5,Г2,Г6
2% - А1,А3,А5,Б2,Г7]]</f>
        <v>108299.18706594263</v>
      </c>
      <c r="BW85" s="9">
        <f>ППД5[[#This Row],[Фикс 24.05.24]]*0.5%</f>
        <v>541.49593532971323</v>
      </c>
      <c r="BX85" s="93">
        <f>ППД5[[#This Row],[Наценка 06.06.24
0К: В2,Г3 +0,5%
1К: А7, Б5/4, Г6 +0,5%
3К: В6 +0,5%
1К: А3 +1%]]+ППД5[[#This Row],[Фикс 24.05.24]]</f>
        <v>108840.68300127235</v>
      </c>
      <c r="BY85" s="93"/>
      <c r="BZ85" s="93">
        <f>ППД5[[#This Row],[Фикс 06.06.24]]+ППД5[[#This Row],[13.06.2024
3К - 2%]]</f>
        <v>108840.68300127235</v>
      </c>
      <c r="CA85" s="93">
        <f>1.5%*ППД5[[#This Row],[Фикс 13.06.24]]</f>
        <v>1632.6102450190851</v>
      </c>
      <c r="CB85" s="93">
        <f>ППД5[[#This Row],[02.07.2024: Г3 А1 А3 Б5 Б7 Г2 Г6 Б3 Б4 В3 Г7 2,5% ост 0,5-1,5%]]+ППД5[[#This Row],[Фикс 13.06.24]]</f>
        <v>110473.29324629143</v>
      </c>
      <c r="CC85" s="93"/>
      <c r="CD85" s="93">
        <f>ППД5[[#This Row],[Фикс 02.07.24]]+ППД5[[#This Row],[04.09.2024 +500
0К - Б2; 1К - А3;
2К - А6, Б4, В3, Г5]]</f>
        <v>110473.29324629143</v>
      </c>
      <c r="CE85" s="93"/>
      <c r="CF85" s="93">
        <f>ППД5[[#This Row],[Наценка 16.09.2024
1К: А1,В7,Г6/7,Г8 - 2%
2К: А4,А5,А6,Б1,Б6,Б3/4,В3,В4,Г4,Г5 - 4%
3К: 4%]]+ППД5[[#This Row],[Фикс 04.09.24]]</f>
        <v>110473.29324629143</v>
      </c>
      <c r="CG85" s="93"/>
      <c r="CH85" s="93">
        <f>ППД5[[#This Row],[Фикс 16.09.2024]]+ППД5[[#This Row],[Наценка 01.11.24
СТ: 4%
1К: 34-40м 5%; 40м+ 8%; МГН 1%
2К: 55-70м 6%; 70-73м 7%; 73-76м 8% 
3К: 5%]]</f>
        <v>110473.29324629143</v>
      </c>
      <c r="CI85" s="93"/>
      <c r="CJ85" s="93">
        <f>ППД5[[#This Row],[Наценка 06.11 13%]]+ППД5[[#This Row],[Фикс 01.11.24]]</f>
        <v>110473.29324629143</v>
      </c>
      <c r="CK85" s="93"/>
      <c r="CL85" s="93">
        <f>ППД5[[#This Row],[Фикс 06.11.24]]+ППД5[[#This Row],[Наценка 18.12.24 распределение КВ]]</f>
        <v>110473.29324629143</v>
      </c>
      <c r="CM85" s="93"/>
      <c r="CN85" s="93">
        <f>ППД5[[#This Row],[Фикс 18.12.24]]+ППД5[[#This Row],[Наценка 10.02.25 +1%
1К: А3
2К: Б3, В3]]</f>
        <v>110473.29324629143</v>
      </c>
      <c r="CO85" s="93">
        <f>ROUND(ППД5[[#This Row],[Фикс 10.02.25]],2)</f>
        <v>110473.29</v>
      </c>
      <c r="CP8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4722800</v>
      </c>
      <c r="CQ85" s="93">
        <f>ROUNDUP(ППД5[[#This Row],[Стоимость до скидки]]+ППД5[[#This Row],[Сумма доплаты]],-2)</f>
        <v>4706300</v>
      </c>
      <c r="CR85" s="68">
        <v>50000</v>
      </c>
      <c r="CS85" s="210"/>
      <c r="CT85" s="68">
        <f>ППД5[[#This Row],[Стоимость до скидки]]*ППД5[[#This Row],[Скидка %]]+ППД5[[#This Row],[Скидка фиксированная]]</f>
        <v>50000</v>
      </c>
      <c r="CU85" s="3">
        <f>ППД5[[#This Row],[Стоимость ОН без отделки со скидкой]]/ППД5[[#This Row],[Расчетная проектная площадь]]</f>
        <v>109305.26315789473</v>
      </c>
      <c r="CV85" s="3">
        <f>ROUND(ППД5[[#This Row],[Стоимость до скидки]]-ППД5[[#This Row],[Итоговая сумма скидки]],2)</f>
        <v>4672800</v>
      </c>
      <c r="CW8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85" s="197">
        <v>7000</v>
      </c>
      <c r="CY85" s="332">
        <f>ППД5[[#This Row],[Расхождение]]/ППД5[[#This Row],[Расчетная проектная площадь]]</f>
        <v>-3.5087719298246942E-3</v>
      </c>
      <c r="CZ8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-0.22999999999999865</v>
      </c>
      <c r="DA85" s="3">
        <f>ППД5[[#This Row],[Цена м2 без отделки со скидкой]]+ППД5[[#This Row],[Стоимость отделки]]</f>
        <v>116305.26315789473</v>
      </c>
      <c r="DB85" s="3">
        <f>ППД5[[#This Row],[Стоимость квартиры с отделкой]]-ППД5[[#This Row],[Стоимость ОН без отделки со скидкой]]</f>
        <v>299250</v>
      </c>
      <c r="DC85" s="3">
        <f>ППД5[[#This Row],[Цена м2 с отделкой]]*ППД5[[#This Row],[Расчетная проектная площадь]]</f>
        <v>4972050</v>
      </c>
      <c r="DD85" s="3"/>
      <c r="DE85" s="111" t="s">
        <v>803</v>
      </c>
      <c r="DF85" s="155" t="s">
        <v>172</v>
      </c>
      <c r="DG85" s="245" t="s">
        <v>172</v>
      </c>
      <c r="DH85" s="100" t="b">
        <f>EXACT(ППД5[[#This Row],[Статусы CRM]],ППД5[[#This Row],[Статус]])</f>
        <v>1</v>
      </c>
      <c r="DI85" s="213" t="s">
        <v>257</v>
      </c>
      <c r="DJ85" s="204"/>
      <c r="DK85" s="111" t="s">
        <v>763</v>
      </c>
      <c r="DL85" s="216" t="s">
        <v>780</v>
      </c>
      <c r="DM85" s="201" t="b">
        <f>ППД5[[#This Row],[Отделка CRM]]=ППД5[[#This Row],[Отделка]]</f>
        <v>1</v>
      </c>
      <c r="DN85" s="203">
        <v>4972050</v>
      </c>
      <c r="DO8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85" s="207" t="b">
        <f>IF(AND(ППД5[[#This Row],[Статус]]="свободно",ППД5[[#This Row],[Итоговая сумма скидки]]&lt;&gt;0),FALSE,TRUE)</f>
        <v>1</v>
      </c>
      <c r="DQ85" s="240">
        <f>_xlfn.XLOOKUP(ППД5[[#This Row],[№]],Юрист[№ кв],Юрист[Дата подачи на регистрацию]," ",0,-1)</f>
        <v>45503</v>
      </c>
      <c r="DR85" s="115" t="str">
        <f>_xlfn.XLOOKUP(ППД5[[#This Row],[№]],Юрист[№ кв],Юрист[МОП],"",0,-1)</f>
        <v>Дик</v>
      </c>
      <c r="DS85" s="333" t="s">
        <v>2462</v>
      </c>
      <c r="DT85" s="333" t="s">
        <v>2463</v>
      </c>
      <c r="DU85" s="333">
        <v>41.3</v>
      </c>
      <c r="DV85" s="111"/>
    </row>
    <row r="86" spans="1:126" hidden="1" x14ac:dyDescent="0.25">
      <c r="A86" s="112">
        <v>84</v>
      </c>
      <c r="B86" s="111" t="s">
        <v>5</v>
      </c>
      <c r="C86" s="111">
        <v>13</v>
      </c>
      <c r="D86" s="338">
        <v>1</v>
      </c>
      <c r="E86" s="111">
        <v>1</v>
      </c>
      <c r="F86" s="105">
        <v>14.68</v>
      </c>
      <c r="G86" s="105"/>
      <c r="H86" s="105"/>
      <c r="I86" s="94">
        <f>SUM(ППД5[[#This Row],[Комната 1]:[Комната 3]])</f>
        <v>14.68</v>
      </c>
      <c r="J86" s="1">
        <v>9.84</v>
      </c>
      <c r="K86" s="105">
        <v>3.63</v>
      </c>
      <c r="L86" s="105"/>
      <c r="M86" s="105"/>
      <c r="N86" s="105">
        <v>4.8899999999999997</v>
      </c>
      <c r="O86" s="105">
        <v>2.7</v>
      </c>
      <c r="P86" s="105"/>
      <c r="Q86" s="105"/>
      <c r="R86" s="105">
        <f>SUM(ППД5[[#This Row],[Лоджия 1]:[Лоджия 3]])</f>
        <v>2.7</v>
      </c>
      <c r="S86" s="7">
        <f>ROUND(SUM(ППД5[[#This Row],[Площадь по проекту жилая]:[Лоджия 3]]),2)</f>
        <v>35.74</v>
      </c>
      <c r="T86" s="7">
        <f>ROUND(ППД5[[#This Row],[Площадь по проекту(общая)]]-ППД5[[#This Row],[Летние]],2)</f>
        <v>33.04</v>
      </c>
      <c r="U86" s="92">
        <f>ROUND(ППД5[[#This Row],[Площадь по проекту(общая)]]-(SUM(ППД5[[#This Row],[Лоджия 1]:[Лоджия 3]])/2),2)</f>
        <v>34.39</v>
      </c>
      <c r="V86" s="92">
        <f>IF(ППД5[[#This Row],[Статус]]="продажа",ППД5[[#This Row],[Расчетная проектная площадь]],ППД5[[#This Row],[Расчетная ТП площадь]])</f>
        <v>34.39</v>
      </c>
      <c r="W86" s="92">
        <v>14.7</v>
      </c>
      <c r="X86" s="92"/>
      <c r="Y86" s="92"/>
      <c r="Z86" s="92">
        <f>SUM(ППД5[[#This Row],[ТП Комната 1]:[ТП Комната 3]])</f>
        <v>14.7</v>
      </c>
      <c r="AA86" s="92">
        <v>9.6999999999999993</v>
      </c>
      <c r="AB86" s="92">
        <v>3.8</v>
      </c>
      <c r="AC86" s="92"/>
      <c r="AD86" s="92"/>
      <c r="AE86" s="92">
        <v>4.9000000000000004</v>
      </c>
      <c r="AF86" s="91">
        <v>1.35</v>
      </c>
      <c r="AG86" s="92"/>
      <c r="AH86" s="92"/>
      <c r="AI86" s="91">
        <f>SUM(ППД5[[#This Row],[ТП Лоджия 1]:[ТП Лоджия 3]])</f>
        <v>1.35</v>
      </c>
      <c r="AJ86" s="95">
        <v>2.7</v>
      </c>
      <c r="AK86" s="92">
        <f>SUM(ППД5[[#This Row],[Площадь по ТП жилая]:[ТП Лоджия 3]])-ППД5[[#This Row],[ТП Летние]]+ППД5[[#This Row],[кроме того прочая
(без коэффициента)]]</f>
        <v>35.800000000000004</v>
      </c>
      <c r="AL86" s="95">
        <f>ППД5[[#This Row],[ТП Площадь без летних]]+(ППД5[[#This Row],[ТП Летние]])</f>
        <v>34.450000000000003</v>
      </c>
      <c r="AM86" s="92">
        <f>ППД5[[#This Row],[ТП общая S]]-ППД5[[#This Row],[кроме того прочая
(без коэффициента)]]</f>
        <v>33.1</v>
      </c>
      <c r="AN86" s="95">
        <f>SUM(ППД5[[#This Row],[ТП Кухня]:[ТП Коридор]])</f>
        <v>18.399999999999999</v>
      </c>
      <c r="AO86" s="91">
        <f>ППД5[[#This Row],[Расчетная ТП площадь]]-ППД5[[#This Row],[Расчетная проектная площадь]]</f>
        <v>6.0000000000002274E-2</v>
      </c>
      <c r="AP86" s="335">
        <f>ППД5[[#This Row],[Расчетная ТП площадь]]/ППД5[[#This Row],[Расчетная проектная площадь]]-1</f>
        <v>1.7446932247746627E-3</v>
      </c>
      <c r="AQ86" s="92">
        <f>ППД5[[#This Row],[% расхождения]]*ППД5[[#This Row],[Стоимость до скидки]]</f>
        <v>7019.5987205583779</v>
      </c>
      <c r="AR86" s="92">
        <f>VLOOKUP(ППД5[[#This Row],[№]],наценкад5[],COLUMN(наценкад5[[#This Row],[Цена м2 с учетом всех K]]),0)</f>
        <v>82734.75</v>
      </c>
      <c r="AS86" s="7">
        <f>ППД5[[#This Row],[м2 после К]]*5%</f>
        <v>4136.7375000000002</v>
      </c>
      <c r="AT86" s="7">
        <f>ППД5[[#This Row],[м2 после К]]+ППД5[[#This Row],[Повышение 16.08.23 - 5%]]</f>
        <v>86871.487500000003</v>
      </c>
      <c r="AU86" s="9">
        <f>ППД5[[#This Row],[Фикс 16.08.23]]*3%</f>
        <v>2606.1446249999999</v>
      </c>
      <c r="AV86" s="9">
        <f>ППД5[[#This Row],[Фикс 16.08.23]]+ППД5[[#This Row],[Повышение 29.08.23 - 3%]]</f>
        <v>89477.632125000004</v>
      </c>
      <c r="AW86" s="93">
        <f>ППД5[[#This Row],[Фикс 29.08.23]]*14%</f>
        <v>12526.868497500001</v>
      </c>
      <c r="AX86" s="9">
        <f>ППД5[[#This Row],[Фикс 29.08.23]]+ППД5[[#This Row],[Повышение 06.09.23 СТ и 1К]]</f>
        <v>102004.50062250001</v>
      </c>
      <c r="AY86" s="9"/>
      <c r="AZ86" s="9">
        <f>ППД5[[#This Row],[Повышение 23.10.23  В4 ]]+ППД5[[#This Row],[Фикс 06.09.23]]</f>
        <v>102004.50062250001</v>
      </c>
      <c r="BA86" s="93">
        <f>ППД5[[#This Row],[Фикс 23.10.23]]*5%</f>
        <v>5100.2250311250009</v>
      </c>
      <c r="BB86" s="93">
        <f>ППД5[[#This Row],[Повышение 8.11.23 1К 5%]]+ППД5[[#This Row],[Фикс 23.10.23]]</f>
        <v>107104.72565362501</v>
      </c>
      <c r="BC86" s="93"/>
      <c r="BD86" s="93">
        <f>ППД5[[#This Row],[Корректировка 24.11.23 - 1К В5, 2К А2, №233]]+ППД5[[#This Row],[Фикс 8.11.23]]</f>
        <v>107104.72565362501</v>
      </c>
      <c r="BE86" s="93">
        <f>ППД5[[#This Row],[Фикс 8.11.24]]*1%</f>
        <v>1071.0472565362502</v>
      </c>
      <c r="BF86" s="93">
        <f>ППД5[[#This Row],[Наценка за отделку 29.12.23 1%]]+ППД5[[#This Row],[Фикс 8.11.24]]</f>
        <v>108175.77291016125</v>
      </c>
      <c r="BG86" s="93">
        <f>ППД5[[#This Row],[Фикс 29.12.23]]*5%</f>
        <v>5408.7886455080625</v>
      </c>
      <c r="BH86" s="93">
        <f>ППД5[[#This Row],[Фикс 29.12.23]]+ППД5[[#This Row],[Наценка 10.01.24 5%]]</f>
        <v>113584.56155566931</v>
      </c>
      <c r="BI86" s="93"/>
      <c r="BJ86" s="93">
        <f>ППД5[[#This Row],[Наценка 26.02.24 1 Этаж]]+ППД5[[#This Row],[Фикс 10.01.24]]</f>
        <v>113584.56155566931</v>
      </c>
      <c r="BK86" s="93">
        <f>ППД5[[#This Row],[Фикс 26.02.24]]*3%</f>
        <v>3407.5368466700793</v>
      </c>
      <c r="BL86" s="93">
        <f>ППД5[[#This Row],[Фикс 26.02.24]]+ППД5[[#This Row],[Наценка 06.03.24
СТ, 1К - 3%
2К, 3К - 2%]]</f>
        <v>116992.09840233938</v>
      </c>
      <c r="BM86" s="93"/>
      <c r="BN86" s="93">
        <f>ППД5[[#This Row],[Фикс 06.03.24]]+ППД5[[#This Row],[Наценка Г2+500]]</f>
        <v>116992.09840233938</v>
      </c>
      <c r="BO86" s="93"/>
      <c r="BP86" s="93">
        <f>ППД5[[#This Row],[Фикс 13.03.25]]+ППД5[[#This Row],[Наценка 20.03.24
2К, 3К - 2%]]</f>
        <v>116992.09840233938</v>
      </c>
      <c r="BQ86" s="93"/>
      <c r="BR86" s="93">
        <f>ППД5[[#This Row],[Фикс 20.03.24]]+ППД5[[#This Row],[Наценка 08.04.24 
2К: В3 - 150
3К: Г7 +1000]]</f>
        <v>116992.09840233938</v>
      </c>
      <c r="BS86" s="93"/>
      <c r="BT86" s="93">
        <f>ППД5[[#This Row],[Фикс 08.04.24]]+ППД5[[#This Row],[Наценка 16.05.24 1%
А4,А6,Б3,Б6,Б7,В2,В3,В5,В6,Г1,Г3-Г5]]</f>
        <v>116992.09840233938</v>
      </c>
      <c r="BU86" s="93"/>
      <c r="BV86" s="93">
        <f>ППД5[[#This Row],[Фикс 16.05.24]]+ППД5[[#This Row],[Наценка 24.05.24
1% - Б4, Б5,Г2,Г6
2% - А1,А3,А5,Б2,Г7]]</f>
        <v>116992.09840233938</v>
      </c>
      <c r="BW86" s="93"/>
      <c r="BX86" s="93">
        <f>ППД5[[#This Row],[Наценка 06.06.24
0К: В2,Г3 +0,5%
1К: А7, Б5/4, Г6 +0,5%
3К: В6 +0,5%
1К: А3 +1%]]+ППД5[[#This Row],[Фикс 24.05.24]]</f>
        <v>116992.09840233938</v>
      </c>
      <c r="BY86" s="93"/>
      <c r="BZ86" s="93">
        <f>ППД5[[#This Row],[Фикс 06.06.24]]+ППД5[[#This Row],[13.06.2024
3К - 2%]]</f>
        <v>116992.09840233938</v>
      </c>
      <c r="CA86" s="93"/>
      <c r="CB86" s="93">
        <f>ППД5[[#This Row],[02.07.2024: Г3 А1 А3 Б5 Б7 Г2 Г6 Б3 Б4 В3 Г7 2,5% ост 0,5-1,5%]]+ППД5[[#This Row],[Фикс 13.06.24]]</f>
        <v>116992.09840233938</v>
      </c>
      <c r="CC86" s="93"/>
      <c r="CD86" s="93">
        <f>ППД5[[#This Row],[Фикс 02.07.24]]+ППД5[[#This Row],[04.09.2024 +500
0К - Б2; 1К - А3;
2К - А6, Б4, В3, Г5]]</f>
        <v>116992.09840233938</v>
      </c>
      <c r="CE86" s="93"/>
      <c r="CF86" s="93">
        <f>ППД5[[#This Row],[Наценка 16.09.2024
1К: А1,В7,Г6/7,Г8 - 2%
2К: А4,А5,А6,Б1,Б6,Б3/4,В3,В4,Г4,Г5 - 4%
3К: 4%]]+ППД5[[#This Row],[Фикс 04.09.24]]</f>
        <v>116992.09840233938</v>
      </c>
      <c r="CG86" s="93"/>
      <c r="CH86" s="93">
        <f>ППД5[[#This Row],[Фикс 16.09.2024]]+ППД5[[#This Row],[Наценка 01.11.24
СТ: 4%
1К: 34-40м 5%; 40м+ 8%; МГН 1%
2К: 55-70м 6%; 70-73м 7%; 73-76м 8% 
3К: 5%]]</f>
        <v>116992.09840233938</v>
      </c>
      <c r="CI86" s="93"/>
      <c r="CJ86" s="93">
        <f>ППД5[[#This Row],[Наценка 06.11 13%]]+ППД5[[#This Row],[Фикс 01.11.24]]</f>
        <v>116992.09840233938</v>
      </c>
      <c r="CK86" s="93"/>
      <c r="CL86" s="93">
        <f>ППД5[[#This Row],[Фикс 06.11.24]]+ППД5[[#This Row],[Наценка 18.12.24 распределение КВ]]</f>
        <v>116992.09840233938</v>
      </c>
      <c r="CM86" s="93"/>
      <c r="CN86" s="93">
        <f>ППД5[[#This Row],[Фикс 18.12.24]]+ППД5[[#This Row],[Наценка 10.02.25 +1%
1К: А3
2К: Б3, В3]]</f>
        <v>116992.09840233938</v>
      </c>
      <c r="CO86" s="93">
        <f>ROUND(ППД5[[#This Row],[Фикс 10.02.25]],2)</f>
        <v>116992.1</v>
      </c>
      <c r="CP8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4023400</v>
      </c>
      <c r="CQ86" s="93">
        <f>ROUNDUP(ППД5[[#This Row],[Стоимость до скидки]]+ППД5[[#This Row],[Сумма доплаты]],-2)</f>
        <v>4030500</v>
      </c>
      <c r="CR86" s="68"/>
      <c r="CS86" s="90"/>
      <c r="CT86" s="68">
        <f>ППД5[[#This Row],[Стоимость до скидки]]*ППД5[[#This Row],[Скидка %]]+ППД5[[#This Row],[Скидка фиксированная]]</f>
        <v>0</v>
      </c>
      <c r="CU86" s="3">
        <f>ППД5[[#This Row],[Стоимость ОН без отделки со скидкой]]/ППД5[[#This Row],[Расчетная проектная площадь]]</f>
        <v>116993.31200930502</v>
      </c>
      <c r="CV86" s="3">
        <f>ROUND(ППД5[[#This Row],[Стоимость до скидки]]-ППД5[[#This Row],[Итоговая сумма скидки]],2)</f>
        <v>4023400</v>
      </c>
      <c r="CW8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86" s="197"/>
      <c r="CY86" s="332">
        <f>ППД5[[#This Row],[Расхождение]]/ППД5[[#This Row],[Расчетная проектная площадь]]</f>
        <v>1.74469322477471E-3</v>
      </c>
      <c r="CZ8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3.9999999999999147E-2</v>
      </c>
      <c r="DA86" s="3">
        <f>ППД5[[#This Row],[Цена м2 без отделки со скидкой]]+ППД5[[#This Row],[Стоимость отделки]]</f>
        <v>116993.31200930502</v>
      </c>
      <c r="DB86" s="3">
        <f>ППД5[[#This Row],[Стоимость квартиры с отделкой]]-ППД5[[#This Row],[Стоимость ОН без отделки со скидкой]]</f>
        <v>0</v>
      </c>
      <c r="DC86" s="3">
        <f>ППД5[[#This Row],[Цена м2 с отделкой]]*ППД5[[#This Row],[Расчетная проектная площадь]]</f>
        <v>4023400</v>
      </c>
      <c r="DD86" s="3" t="s">
        <v>154</v>
      </c>
      <c r="DF86" s="155" t="s">
        <v>172</v>
      </c>
      <c r="DG86" s="245" t="s">
        <v>172</v>
      </c>
      <c r="DH86" s="100" t="b">
        <f>EXACT(ППД5[[#This Row],[Статусы CRM]],ППД5[[#This Row],[Статус]])</f>
        <v>1</v>
      </c>
      <c r="DI86" s="213" t="s">
        <v>258</v>
      </c>
      <c r="DJ86" s="204"/>
      <c r="DK86" s="111" t="s">
        <v>763</v>
      </c>
      <c r="DL86" s="216" t="s">
        <v>12</v>
      </c>
      <c r="DM86" s="201" t="b">
        <f>ППД5[[#This Row],[Отделка CRM]]=ППД5[[#This Row],[Отделка]]</f>
        <v>1</v>
      </c>
      <c r="DN86" s="203">
        <v>4023400</v>
      </c>
      <c r="DO8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86" s="207" t="b">
        <f>IF(AND(ППД5[[#This Row],[Статус]]="свободно",ППД5[[#This Row],[Итоговая сумма скидки]]&lt;&gt;0),FALSE,TRUE)</f>
        <v>1</v>
      </c>
      <c r="DQ86" s="240">
        <f>_xlfn.XLOOKUP(ППД5[[#This Row],[№]],Юрист[№ кв],Юрист[Дата подачи на регистрацию]," ",0,-1)</f>
        <v>45457</v>
      </c>
      <c r="DR86" s="115" t="str">
        <f>_xlfn.XLOOKUP(ППД5[[#This Row],[№]],Юрист[№ кв],Юрист[МОП],"",0,-1)</f>
        <v>Дик</v>
      </c>
      <c r="DS86" s="333" t="s">
        <v>2464</v>
      </c>
      <c r="DT86" s="333" t="s">
        <v>2465</v>
      </c>
      <c r="DU86" s="333">
        <v>33.1</v>
      </c>
      <c r="DV86" s="111"/>
    </row>
    <row r="87" spans="1:126" hidden="1" x14ac:dyDescent="0.25">
      <c r="A87" s="112">
        <v>85</v>
      </c>
      <c r="B87" s="111" t="s">
        <v>5</v>
      </c>
      <c r="C87" s="111">
        <v>13</v>
      </c>
      <c r="D87" s="111">
        <v>2</v>
      </c>
      <c r="E87" s="111">
        <v>2</v>
      </c>
      <c r="F87" s="105">
        <v>15.82</v>
      </c>
      <c r="G87" s="156">
        <v>15.54</v>
      </c>
      <c r="H87" s="105"/>
      <c r="I87" s="94">
        <f>SUM(ППД5[[#This Row],[Комната 1]:[Комната 3]])</f>
        <v>31.36</v>
      </c>
      <c r="J87" s="105">
        <v>19.440000000000001</v>
      </c>
      <c r="K87" s="105">
        <v>4.42</v>
      </c>
      <c r="L87" s="105"/>
      <c r="M87" s="105">
        <v>3.25</v>
      </c>
      <c r="N87" s="105">
        <v>8.5299999999999994</v>
      </c>
      <c r="O87" s="105">
        <v>3</v>
      </c>
      <c r="P87" s="105"/>
      <c r="Q87" s="105"/>
      <c r="R87" s="105">
        <f>SUM(ППД5[[#This Row],[Лоджия 1]:[Лоджия 3]])</f>
        <v>3</v>
      </c>
      <c r="S87" s="7">
        <f>ROUND(SUM(ППД5[[#This Row],[Площадь по проекту жилая]:[Лоджия 3]]),2)</f>
        <v>70</v>
      </c>
      <c r="T87" s="7">
        <f>ROUND(ППД5[[#This Row],[Площадь по проекту(общая)]]-ППД5[[#This Row],[Летние]],2)</f>
        <v>67</v>
      </c>
      <c r="U87" s="92">
        <f>ROUND(ППД5[[#This Row],[Площадь по проекту(общая)]]-(SUM(ППД5[[#This Row],[Лоджия 1]:[Лоджия 3]])/2),2)</f>
        <v>68.5</v>
      </c>
      <c r="V87" s="92">
        <f>IF(ППД5[[#This Row],[Статус]]="продажа",ППД5[[#This Row],[Расчетная проектная площадь]],ППД5[[#This Row],[Расчетная ТП площадь]])</f>
        <v>68.100000000000009</v>
      </c>
      <c r="W87" s="92">
        <v>15.5</v>
      </c>
      <c r="X87" s="92">
        <v>15.8</v>
      </c>
      <c r="Y87" s="92"/>
      <c r="Z87" s="92">
        <f>SUM(ППД5[[#This Row],[ТП Комната 1]:[ТП Комната 3]])</f>
        <v>31.3</v>
      </c>
      <c r="AA87" s="92">
        <v>18.899999999999999</v>
      </c>
      <c r="AB87" s="92">
        <v>4.5</v>
      </c>
      <c r="AC87" s="92"/>
      <c r="AD87" s="92">
        <v>3.2</v>
      </c>
      <c r="AE87" s="92">
        <v>8.6999999999999993</v>
      </c>
      <c r="AF87" s="92">
        <v>1.5</v>
      </c>
      <c r="AG87" s="92"/>
      <c r="AH87" s="92"/>
      <c r="AI87" s="91">
        <f>SUM(ППД5[[#This Row],[ТП Лоджия 1]:[ТП Лоджия 3]])</f>
        <v>1.5</v>
      </c>
      <c r="AJ87" s="95">
        <v>3</v>
      </c>
      <c r="AK87" s="92">
        <f>SUM(ППД5[[#This Row],[Площадь по ТП жилая]:[ТП Лоджия 3]])-ППД5[[#This Row],[ТП Летние]]+ППД5[[#This Row],[кроме того прочая
(без коэффициента)]]</f>
        <v>69.600000000000009</v>
      </c>
      <c r="AL87" s="95">
        <f>ППД5[[#This Row],[ТП Площадь без летних]]+(ППД5[[#This Row],[ТП Летние]])</f>
        <v>68.100000000000009</v>
      </c>
      <c r="AM87" s="92">
        <f>ППД5[[#This Row],[ТП общая S]]-ППД5[[#This Row],[кроме того прочая
(без коэффициента)]]</f>
        <v>66.600000000000009</v>
      </c>
      <c r="AN87" s="95">
        <f>SUM(ППД5[[#This Row],[ТП Кухня]:[ТП Коридор]])</f>
        <v>35.299999999999997</v>
      </c>
      <c r="AO87" s="91">
        <f>ППД5[[#This Row],[Расчетная ТП площадь]]-ППД5[[#This Row],[Расчетная проектная площадь]]</f>
        <v>-0.39999999999999147</v>
      </c>
      <c r="AP87" s="335">
        <f>ППД5[[#This Row],[Расчетная ТП площадь]]/ППД5[[#This Row],[Расчетная проектная площадь]]-1</f>
        <v>-5.839416058393998E-3</v>
      </c>
      <c r="AQ87" s="92">
        <f>ППД5[[#This Row],[% расхождения]]*ППД5[[#This Row],[Стоимость до скидки]]</f>
        <v>-47934.014598538808</v>
      </c>
      <c r="AR87" s="92">
        <f>VLOOKUP(ППД5[[#This Row],[№]],наценкад5[],COLUMN(наценкад5[[#This Row],[Цена м2 с учетом всех K]]),0)</f>
        <v>84168.819000000003</v>
      </c>
      <c r="AS87" s="7">
        <f>ППД5[[#This Row],[м2 после К]]*5%</f>
        <v>4208.4409500000002</v>
      </c>
      <c r="AT87" s="7">
        <f>ППД5[[#This Row],[м2 после К]]+ППД5[[#This Row],[Повышение 16.08.23 - 5%]]</f>
        <v>88377.259950000007</v>
      </c>
      <c r="AU87" s="9">
        <f>ППД5[[#This Row],[Фикс 16.08.23]]*3%</f>
        <v>2651.3177985000002</v>
      </c>
      <c r="AV87" s="9">
        <f>ППД5[[#This Row],[Фикс 16.08.23]]+ППД5[[#This Row],[Повышение 29.08.23 - 3%]]</f>
        <v>91028.577748500014</v>
      </c>
      <c r="AW87" s="9"/>
      <c r="AX87" s="9">
        <f>ППД5[[#This Row],[Фикс 29.08.23]]+ППД5[[#This Row],[Повышение 06.09.23 СТ и 1К]]</f>
        <v>91028.577748500014</v>
      </c>
      <c r="AY87" s="9"/>
      <c r="AZ87" s="9">
        <f>ППД5[[#This Row],[Повышение 23.10.23  В4 ]]+ППД5[[#This Row],[Фикс 06.09.23]]</f>
        <v>91028.577748500014</v>
      </c>
      <c r="BA87" s="9"/>
      <c r="BB87" s="9">
        <f>ППД5[[#This Row],[Повышение 8.11.23 1К 5%]]+ППД5[[#This Row],[Фикс 23.10.23]]</f>
        <v>91028.577748500014</v>
      </c>
      <c r="BC87" s="9">
        <v>-831</v>
      </c>
      <c r="BD87" s="9">
        <f>ППД5[[#This Row],[Корректировка 24.11.23 - 1К В5, 2К А2, №233]]+ППД5[[#This Row],[Фикс 8.11.23]]</f>
        <v>90197.577748500014</v>
      </c>
      <c r="BE87" s="93">
        <f>ППД5[[#This Row],[Фикс 8.11.24]]*1%</f>
        <v>901.97577748500021</v>
      </c>
      <c r="BF87" s="9">
        <f>ППД5[[#This Row],[Наценка за отделку 29.12.23 1%]]+ППД5[[#This Row],[Фикс 8.11.24]]</f>
        <v>91099.553525985015</v>
      </c>
      <c r="BG87" s="93">
        <f>ППД5[[#This Row],[Фикс 29.12.23]]*5%</f>
        <v>4554.9776762992506</v>
      </c>
      <c r="BH87" s="9">
        <f>ППД5[[#This Row],[Фикс 29.12.23]]+ППД5[[#This Row],[Наценка 10.01.24 5%]]</f>
        <v>95654.53120228427</v>
      </c>
      <c r="BI87" s="9"/>
      <c r="BJ87" s="9">
        <f>ППД5[[#This Row],[Наценка 26.02.24 1 Этаж]]+ППД5[[#This Row],[Фикс 10.01.24]]</f>
        <v>95654.53120228427</v>
      </c>
      <c r="BK87" s="93">
        <f>ППД5[[#This Row],[Фикс 26.02.24]]*2%</f>
        <v>1913.0906240456854</v>
      </c>
      <c r="BL87" s="9">
        <f>ППД5[[#This Row],[Фикс 26.02.24]]+ППД5[[#This Row],[Наценка 06.03.24
СТ, 1К - 3%
2К, 3К - 2%]]</f>
        <v>97567.621826329952</v>
      </c>
      <c r="BM87" s="9"/>
      <c r="BN87" s="9">
        <f>ППД5[[#This Row],[Фикс 06.03.24]]+ППД5[[#This Row],[Наценка Г2+500]]</f>
        <v>97567.621826329952</v>
      </c>
      <c r="BO87" s="9">
        <f>ППД5[[#This Row],[Фикс 13.03.25]]*2%</f>
        <v>1951.3524365265991</v>
      </c>
      <c r="BP87" s="9">
        <f>ППД5[[#This Row],[Фикс 13.03.25]]+ППД5[[#This Row],[Наценка 20.03.24
2К, 3К - 2%]]</f>
        <v>99518.974262856558</v>
      </c>
      <c r="BQ87" s="9"/>
      <c r="BR87" s="9">
        <f>ППД5[[#This Row],[Фикс 20.03.24]]+ППД5[[#This Row],[Наценка 08.04.24 
2К: В3 - 150
3К: Г7 +1000]]</f>
        <v>99518.974262856558</v>
      </c>
      <c r="BS87" s="9"/>
      <c r="BT87" s="9">
        <f>ППД5[[#This Row],[Фикс 08.04.24]]+ППД5[[#This Row],[Наценка 16.05.24 1%
А4,А6,Б3,Б6,Б7,В2,В3,В5,В6,Г1,Г3-Г5]]</f>
        <v>99518.974262856558</v>
      </c>
      <c r="BU87" s="9"/>
      <c r="BV87" s="9">
        <f>ППД5[[#This Row],[Фикс 16.05.24]]+ППД5[[#This Row],[Наценка 24.05.24
1% - Б4, Б5,Г2,Г6
2% - А1,А3,А5,Б2,Г7]]</f>
        <v>99518.974262856558</v>
      </c>
      <c r="BW87" s="9"/>
      <c r="BX87" s="9">
        <f>ППД5[[#This Row],[Наценка 06.06.24
0К: В2,Г3 +0,5%
1К: А7, Б5/4, Г6 +0,5%
3К: В6 +0,5%
1К: А3 +1%]]+ППД5[[#This Row],[Фикс 24.05.24]]</f>
        <v>99518.974262856558</v>
      </c>
      <c r="BY87" s="9"/>
      <c r="BZ87" s="9">
        <f>ППД5[[#This Row],[Фикс 06.06.24]]+ППД5[[#This Row],[13.06.2024
3К - 2%]]</f>
        <v>99518.974262856558</v>
      </c>
      <c r="CA87" s="93">
        <f>0.5%*ППД5[[#This Row],[Фикс 13.06.24]]</f>
        <v>497.59487131428278</v>
      </c>
      <c r="CB87" s="9">
        <f>ППД5[[#This Row],[02.07.2024: Г3 А1 А3 Б5 Б7 Г2 Г6 Б3 Б4 В3 Г7 2,5% ост 0,5-1,5%]]+ППД5[[#This Row],[Фикс 13.06.24]]</f>
        <v>100016.56913417084</v>
      </c>
      <c r="CC87" s="9"/>
      <c r="CD87" s="9">
        <f>ППД5[[#This Row],[Фикс 02.07.24]]+ППД5[[#This Row],[04.09.2024 +500
0К - Б2; 1К - А3;
2К - А6, Б4, В3, Г5]]</f>
        <v>100016.56913417084</v>
      </c>
      <c r="CE87" s="9"/>
      <c r="CF87" s="9">
        <f>ППД5[[#This Row],[Наценка 16.09.2024
1К: А1,В7,Г6/7,Г8 - 2%
2К: А4,А5,А6,Б1,Б6,Б3/4,В3,В4,Г4,Г5 - 4%
3К: 4%]]+ППД5[[#This Row],[Фикс 04.09.24]]</f>
        <v>100016.56913417084</v>
      </c>
      <c r="CG87" s="93">
        <f>ППД5[[#This Row],[Фикс 16.09.2024]]*6%</f>
        <v>6000.9941480502503</v>
      </c>
      <c r="CH87" s="9">
        <f>ППД5[[#This Row],[Фикс 16.09.2024]]+ППД5[[#This Row],[Наценка 01.11.24
СТ: 4%
1К: 34-40м 5%; 40м+ 8%; МГН 1%
2К: 55-70м 6%; 70-73м 7%; 73-76м 8% 
3К: 5%]]</f>
        <v>106017.56328222109</v>
      </c>
      <c r="CI87" s="93">
        <f>ППД5[[#This Row],[Фикс 01.11.24]]*13%</f>
        <v>13782.283226688742</v>
      </c>
      <c r="CJ87" s="9">
        <f>ППД5[[#This Row],[Наценка 06.11 13%]]+ППД5[[#This Row],[Фикс 01.11.24]]</f>
        <v>119799.84650890983</v>
      </c>
      <c r="CK87" s="93">
        <v>35</v>
      </c>
      <c r="CL87" s="9">
        <f>ППД5[[#This Row],[Фикс 06.11.24]]+ППД5[[#This Row],[Наценка 18.12.24 распределение КВ]]</f>
        <v>119834.84650890983</v>
      </c>
      <c r="CM87" s="9"/>
      <c r="CN87" s="9">
        <f>ППД5[[#This Row],[Фикс 18.12.24]]+ППД5[[#This Row],[Наценка 10.02.25 +1%
1К: А3
2К: Б3, В3]]</f>
        <v>119834.84650890983</v>
      </c>
      <c r="CO87" s="93">
        <f>ROUND(ППД5[[#This Row],[Фикс 10.02.25]],2)</f>
        <v>119834.85</v>
      </c>
      <c r="CP8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8208700</v>
      </c>
      <c r="CQ87" s="93">
        <f>ROUNDUP(ППД5[[#This Row],[Стоимость до скидки]]+ППД5[[#This Row],[Сумма доплаты]],-2)</f>
        <v>8160800</v>
      </c>
      <c r="CR87" s="68"/>
      <c r="CS87" s="90"/>
      <c r="CT87" s="68">
        <f>ППД5[[#This Row],[Стоимость до скидки]]*ППД5[[#This Row],[Скидка %]]+ППД5[[#This Row],[Скидка фиксированная]]</f>
        <v>0</v>
      </c>
      <c r="CU87" s="3">
        <f>ППД5[[#This Row],[Стоимость ОН без отделки со скидкой]]/ППД5[[#This Row],[Расчетная проектная площадь]]</f>
        <v>119835.03649635037</v>
      </c>
      <c r="CV87" s="3">
        <f>ROUND(ППД5[[#This Row],[Стоимость до скидки]]-ППД5[[#This Row],[Итоговая сумма скидки]],2)</f>
        <v>8208700</v>
      </c>
      <c r="CW8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87" s="218">
        <v>10000</v>
      </c>
      <c r="CY87" s="332">
        <f>ППД5[[#This Row],[Расхождение]]/ППД5[[#This Row],[Расчетная проектная площадь]]</f>
        <v>-5.8394160583940362E-3</v>
      </c>
      <c r="CZ87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-0.34000000000000696</v>
      </c>
      <c r="DA87" s="3">
        <f>ППД5[[#This Row],[Цена м2 без отделки со скидкой]]+ППД5[[#This Row],[Стоимость отделки]]</f>
        <v>129835.03649635037</v>
      </c>
      <c r="DB87" s="3">
        <f>ППД5[[#This Row],[Стоимость квартиры с отделкой]]-ППД5[[#This Row],[Стоимость ОН без отделки со скидкой]]</f>
        <v>685000</v>
      </c>
      <c r="DC87" s="3">
        <f>ППД5[[#This Row],[Цена м2 с отделкой]]*ППД5[[#This Row],[Расчетная проектная площадь]]</f>
        <v>8893700</v>
      </c>
      <c r="DD87" s="3"/>
      <c r="DF87" s="155" t="s">
        <v>157</v>
      </c>
      <c r="DG87" s="221" t="s">
        <v>157</v>
      </c>
      <c r="DH87" s="100" t="b">
        <f>EXACT(ППД5[[#This Row],[Статусы CRM]],ППД5[[#This Row],[Статус]])</f>
        <v>1</v>
      </c>
      <c r="DI87" s="213" t="s">
        <v>259</v>
      </c>
      <c r="DJ87" s="204"/>
      <c r="DK87" s="111" t="s">
        <v>763</v>
      </c>
      <c r="DL87" s="216" t="s">
        <v>780</v>
      </c>
      <c r="DM87" s="201" t="b">
        <f>ППД5[[#This Row],[Отделка CRM]]=ППД5[[#This Row],[Отделка]]</f>
        <v>1</v>
      </c>
      <c r="DN87" s="203">
        <v>8893700</v>
      </c>
      <c r="DO8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87" s="207" t="b">
        <f>IF(AND(ППД5[[#This Row],[Статус]]="свободно",ППД5[[#This Row],[Итоговая сумма скидки]]&lt;&gt;0),FALSE,TRUE)</f>
        <v>1</v>
      </c>
      <c r="DQ87" s="240" t="str">
        <f>_xlfn.XLOOKUP(ППД5[[#This Row],[№]],Юрист[№ кв],Юрист[Дата подачи на регистрацию]," ",0,-1)</f>
        <v xml:space="preserve"> </v>
      </c>
      <c r="DR87" s="115" t="str">
        <f>_xlfn.XLOOKUP(ППД5[[#This Row],[№]],Юрист[№ кв],Юрист[МОП],"",0,-1)</f>
        <v/>
      </c>
      <c r="DS87" s="333" t="s">
        <v>2466</v>
      </c>
      <c r="DT87" s="333" t="s">
        <v>2467</v>
      </c>
      <c r="DU87" s="333">
        <v>66.599999999999994</v>
      </c>
      <c r="DV87" s="111"/>
    </row>
    <row r="88" spans="1:126" hidden="1" x14ac:dyDescent="0.25">
      <c r="A88" s="112">
        <v>86</v>
      </c>
      <c r="B88" s="111" t="s">
        <v>5</v>
      </c>
      <c r="C88" s="111">
        <v>13</v>
      </c>
      <c r="D88" s="111">
        <v>3</v>
      </c>
      <c r="E88" s="111">
        <v>1</v>
      </c>
      <c r="F88" s="105">
        <v>13.6</v>
      </c>
      <c r="G88" s="105"/>
      <c r="H88" s="105"/>
      <c r="I88" s="94">
        <f>SUM(ППД5[[#This Row],[Комната 1]:[Комната 3]])</f>
        <v>13.6</v>
      </c>
      <c r="J88" s="105">
        <v>14.97</v>
      </c>
      <c r="K88" s="105">
        <v>4.1100000000000003</v>
      </c>
      <c r="L88" s="105"/>
      <c r="M88" s="105"/>
      <c r="N88" s="105">
        <v>3.7</v>
      </c>
      <c r="O88" s="105">
        <v>2.69</v>
      </c>
      <c r="P88" s="105"/>
      <c r="Q88" s="105"/>
      <c r="R88" s="105">
        <f>SUM(ППД5[[#This Row],[Лоджия 1]:[Лоджия 3]])</f>
        <v>2.69</v>
      </c>
      <c r="S88" s="7">
        <f>ROUND(SUM(ППД5[[#This Row],[Площадь по проекту жилая]:[Лоджия 3]]),2)</f>
        <v>39.07</v>
      </c>
      <c r="T88" s="7">
        <f>ROUND(ППД5[[#This Row],[Площадь по проекту(общая)]]-ППД5[[#This Row],[Летние]],2)</f>
        <v>36.380000000000003</v>
      </c>
      <c r="U88" s="92">
        <f>ROUND(ППД5[[#This Row],[Площадь по проекту(общая)]]-(SUM(ППД5[[#This Row],[Лоджия 1]:[Лоджия 3]])/2),2)</f>
        <v>37.729999999999997</v>
      </c>
      <c r="V88" s="92">
        <f>IF(ППД5[[#This Row],[Статус]]="продажа",ППД5[[#This Row],[Расчетная проектная площадь]],ППД5[[#This Row],[Расчетная ТП площадь]])</f>
        <v>37.729999999999997</v>
      </c>
      <c r="W88" s="92">
        <v>13.5</v>
      </c>
      <c r="X88" s="92"/>
      <c r="Y88" s="92"/>
      <c r="Z88" s="92">
        <f>SUM(ППД5[[#This Row],[ТП Комната 1]:[ТП Комната 3]])</f>
        <v>13.5</v>
      </c>
      <c r="AA88" s="92">
        <v>14.8</v>
      </c>
      <c r="AB88" s="92">
        <v>3.9</v>
      </c>
      <c r="AC88" s="92"/>
      <c r="AD88" s="92"/>
      <c r="AE88" s="92">
        <v>3.8</v>
      </c>
      <c r="AF88" s="91">
        <v>1.35</v>
      </c>
      <c r="AG88" s="92"/>
      <c r="AH88" s="92"/>
      <c r="AI88" s="91">
        <f>SUM(ППД5[[#This Row],[ТП Лоджия 1]:[ТП Лоджия 3]])</f>
        <v>1.35</v>
      </c>
      <c r="AJ88" s="95">
        <v>2.7</v>
      </c>
      <c r="AK88" s="92">
        <f>SUM(ППД5[[#This Row],[Площадь по ТП жилая]:[ТП Лоджия 3]])-ППД5[[#This Row],[ТП Летние]]+ППД5[[#This Row],[кроме того прочая
(без коэффициента)]]</f>
        <v>38.700000000000003</v>
      </c>
      <c r="AL88" s="95">
        <f>ППД5[[#This Row],[ТП Площадь без летних]]+(ППД5[[#This Row],[ТП Летние]])</f>
        <v>37.35</v>
      </c>
      <c r="AM88" s="92">
        <f>ППД5[[#This Row],[ТП общая S]]-ППД5[[#This Row],[кроме того прочая
(без коэффициента)]]</f>
        <v>36</v>
      </c>
      <c r="AN88" s="95">
        <f>SUM(ППД5[[#This Row],[ТП Кухня]:[ТП Коридор]])</f>
        <v>22.5</v>
      </c>
      <c r="AO88" s="91">
        <f>ППД5[[#This Row],[Расчетная ТП площадь]]-ППД5[[#This Row],[Расчетная проектная площадь]]</f>
        <v>-0.37999999999999545</v>
      </c>
      <c r="AP88" s="335">
        <f>ППД5[[#This Row],[Расчетная ТП площадь]]/ППД5[[#This Row],[Расчетная проектная площадь]]-1</f>
        <v>-1.0071561091969161E-2</v>
      </c>
      <c r="AQ88" s="92">
        <f>ППД5[[#This Row],[% расхождения]]*ППД5[[#This Row],[Стоимость до скидки]]</f>
        <v>-38521.698203021107</v>
      </c>
      <c r="AR88" s="92">
        <f>VLOOKUP(ППД5[[#This Row],[№]],наценкад5[],COLUMN(наценкад5[[#This Row],[Цена м2 с учетом всех K]]),0)</f>
        <v>87601.5</v>
      </c>
      <c r="AS88" s="7">
        <f>ППД5[[#This Row],[м2 после К]]*5%</f>
        <v>4380.0749999999998</v>
      </c>
      <c r="AT88" s="7">
        <f>ППД5[[#This Row],[м2 после К]]+ППД5[[#This Row],[Повышение 16.08.23 - 5%]]</f>
        <v>91981.574999999997</v>
      </c>
      <c r="AU88" s="9">
        <f>ППД5[[#This Row],[Фикс 16.08.23]]*3%</f>
        <v>2759.4472499999997</v>
      </c>
      <c r="AV88" s="9">
        <f>ППД5[[#This Row],[Фикс 16.08.23]]+ППД5[[#This Row],[Повышение 29.08.23 - 3%]]</f>
        <v>94741.022249999995</v>
      </c>
      <c r="AW88" s="93">
        <f>ППД5[[#This Row],[Фикс 29.08.23]]*7%</f>
        <v>6631.8715575000006</v>
      </c>
      <c r="AX88" s="9">
        <f>ППД5[[#This Row],[Фикс 29.08.23]]+ППД5[[#This Row],[Повышение 06.09.23 СТ и 1К]]</f>
        <v>101372.89380749999</v>
      </c>
      <c r="AY88" s="9"/>
      <c r="AZ88" s="9">
        <f>ППД5[[#This Row],[Повышение 23.10.23  В4 ]]+ППД5[[#This Row],[Фикс 06.09.23]]</f>
        <v>101372.89380749999</v>
      </c>
      <c r="BA88" s="9"/>
      <c r="BB88" s="9">
        <f>ППД5[[#This Row],[Повышение 8.11.23 1К 5%]]+ППД5[[#This Row],[Фикс 23.10.23]]</f>
        <v>101372.89380749999</v>
      </c>
      <c r="BC88" s="9"/>
      <c r="BD88" s="9">
        <f>ППД5[[#This Row],[Корректировка 24.11.23 - 1К В5, 2К А2, №233]]+ППД5[[#This Row],[Фикс 8.11.23]]</f>
        <v>101372.89380749999</v>
      </c>
      <c r="BE88" s="9"/>
      <c r="BF88" s="9">
        <f>ППД5[[#This Row],[Наценка за отделку 29.12.23 1%]]+ППД5[[#This Row],[Фикс 8.11.24]]</f>
        <v>101372.89380749999</v>
      </c>
      <c r="BG88" s="9"/>
      <c r="BH88" s="9">
        <f>ППД5[[#This Row],[Фикс 29.12.23]]+ППД5[[#This Row],[Наценка 10.01.24 5%]]</f>
        <v>101372.89380749999</v>
      </c>
      <c r="BI88" s="9"/>
      <c r="BJ88" s="9">
        <f>ППД5[[#This Row],[Наценка 26.02.24 1 Этаж]]+ППД5[[#This Row],[Фикс 10.01.24]]</f>
        <v>101372.89380749999</v>
      </c>
      <c r="BK88" s="93"/>
      <c r="BL88" s="9">
        <f>ППД5[[#This Row],[Фикс 26.02.24]]+ППД5[[#This Row],[Наценка 06.03.24
СТ, 1К - 3%
2К, 3К - 2%]]</f>
        <v>101372.89380749999</v>
      </c>
      <c r="BM88" s="9"/>
      <c r="BN88" s="9">
        <f>ППД5[[#This Row],[Фикс 06.03.24]]+ППД5[[#This Row],[Наценка Г2+500]]</f>
        <v>101372.89380749999</v>
      </c>
      <c r="BO88" s="9"/>
      <c r="BP88" s="9">
        <f>ППД5[[#This Row],[Фикс 13.03.25]]+ППД5[[#This Row],[Наценка 20.03.24
2К, 3К - 2%]]</f>
        <v>101372.89380749999</v>
      </c>
      <c r="BQ88" s="9"/>
      <c r="BR88" s="9">
        <f>ППД5[[#This Row],[Фикс 20.03.24]]+ППД5[[#This Row],[Наценка 08.04.24 
2К: В3 - 150
3К: Г7 +1000]]</f>
        <v>101372.89380749999</v>
      </c>
      <c r="BS88" s="9"/>
      <c r="BT88" s="9">
        <f>ППД5[[#This Row],[Фикс 08.04.24]]+ППД5[[#This Row],[Наценка 16.05.24 1%
А4,А6,Б3,Б6,Б7,В2,В3,В5,В6,Г1,Г3-Г5]]</f>
        <v>101372.89380749999</v>
      </c>
      <c r="BU88" s="9"/>
      <c r="BV88" s="9">
        <f>ППД5[[#This Row],[Фикс 16.05.24]]+ППД5[[#This Row],[Наценка 24.05.24
1% - Б4, Б5,Г2,Г6
2% - А1,А3,А5,Б2,Г7]]</f>
        <v>101372.89380749999</v>
      </c>
      <c r="BW88" s="93"/>
      <c r="BX88" s="9">
        <f>ППД5[[#This Row],[Наценка 06.06.24
0К: В2,Г3 +0,5%
1К: А7, Б5/4, Г6 +0,5%
3К: В6 +0,5%
1К: А3 +1%]]+ППД5[[#This Row],[Фикс 24.05.24]]</f>
        <v>101372.89380749999</v>
      </c>
      <c r="BY88" s="9"/>
      <c r="BZ88" s="9">
        <f>ППД5[[#This Row],[Фикс 06.06.24]]+ППД5[[#This Row],[13.06.2024
3К - 2%]]</f>
        <v>101372.89380749999</v>
      </c>
      <c r="CA88" s="9"/>
      <c r="CB88" s="9">
        <f>ППД5[[#This Row],[02.07.2024: Г3 А1 А3 Б5 Б7 Г2 Г6 Б3 Б4 В3 Г7 2,5% ост 0,5-1,5%]]+ППД5[[#This Row],[Фикс 13.06.24]]</f>
        <v>101372.89380749999</v>
      </c>
      <c r="CC88" s="9"/>
      <c r="CD88" s="9">
        <f>ППД5[[#This Row],[Фикс 02.07.24]]+ППД5[[#This Row],[04.09.2024 +500
0К - Б2; 1К - А3;
2К - А6, Б4, В3, Г5]]</f>
        <v>101372.89380749999</v>
      </c>
      <c r="CE88" s="9"/>
      <c r="CF88" s="9">
        <f>ППД5[[#This Row],[Наценка 16.09.2024
1К: А1,В7,Г6/7,Г8 - 2%
2К: А4,А5,А6,Б1,Б6,Б3/4,В3,В4,Г4,Г5 - 4%
3К: 4%]]+ППД5[[#This Row],[Фикс 04.09.24]]</f>
        <v>101372.89380749999</v>
      </c>
      <c r="CG88" s="9"/>
      <c r="CH88" s="9">
        <f>ППД5[[#This Row],[Фикс 16.09.2024]]+ППД5[[#This Row],[Наценка 01.11.24
СТ: 4%
1К: 34-40м 5%; 40м+ 8%; МГН 1%
2К: 55-70м 6%; 70-73м 7%; 73-76м 8% 
3К: 5%]]</f>
        <v>101372.89380749999</v>
      </c>
      <c r="CI88" s="9"/>
      <c r="CJ88" s="9">
        <f>ППД5[[#This Row],[Наценка 06.11 13%]]+ППД5[[#This Row],[Фикс 01.11.24]]</f>
        <v>101372.89380749999</v>
      </c>
      <c r="CK88" s="9"/>
      <c r="CL88" s="9">
        <f>ППД5[[#This Row],[Фикс 06.11.24]]+ППД5[[#This Row],[Наценка 18.12.24 распределение КВ]]</f>
        <v>101372.89380749999</v>
      </c>
      <c r="CM88" s="93"/>
      <c r="CN88" s="9">
        <f>ППД5[[#This Row],[Фикс 18.12.24]]+ППД5[[#This Row],[Наценка 10.02.25 +1%
1К: А3
2К: Б3, В3]]</f>
        <v>101372.89380749999</v>
      </c>
      <c r="CO88" s="93">
        <f>ROUND(ППД5[[#This Row],[Фикс 10.02.25]],2)</f>
        <v>101372.89</v>
      </c>
      <c r="CP8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3824799.14</v>
      </c>
      <c r="CQ88" s="93">
        <f>ROUNDUP(ППД5[[#This Row],[Стоимость до скидки]]+ППД5[[#This Row],[Сумма доплаты]],-2)</f>
        <v>3786300</v>
      </c>
      <c r="CR88" s="68"/>
      <c r="CS88" s="90"/>
      <c r="CT88" s="68">
        <f>ППД5[[#This Row],[Стоимость до скидки]]*ППД5[[#This Row],[Скидка %]]+ППД5[[#This Row],[Скидка фиксированная]]</f>
        <v>0</v>
      </c>
      <c r="CU88" s="3">
        <f>ППД5[[#This Row],[Стоимость ОН без отделки со скидкой]]/ППД5[[#This Row],[Расчетная проектная площадь]]</f>
        <v>101372.89000795124</v>
      </c>
      <c r="CV88" s="3">
        <f>ROUND(ППД5[[#This Row],[Стоимость до скидки]]-ППД5[[#This Row],[Итоговая сумма скидки]],2)</f>
        <v>3824799.14</v>
      </c>
      <c r="CW8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88" s="197"/>
      <c r="CY88" s="332">
        <f>ППД5[[#This Row],[Расхождение]]/ППД5[[#This Row],[Расчетная проектная площадь]]</f>
        <v>-1.0071561091969135E-2</v>
      </c>
      <c r="CZ8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-0.27999999999999936</v>
      </c>
      <c r="DA88" s="3">
        <f>ППД5[[#This Row],[Цена м2 без отделки со скидкой]]+ППД5[[#This Row],[Стоимость отделки]]</f>
        <v>101372.89000795124</v>
      </c>
      <c r="DB88" s="3">
        <f>ППД5[[#This Row],[Стоимость квартиры с отделкой]]-ППД5[[#This Row],[Стоимость ОН без отделки со скидкой]]</f>
        <v>0</v>
      </c>
      <c r="DC88" s="3">
        <f>ППД5[[#This Row],[Цена м2 с отделкой]]*ППД5[[#This Row],[Расчетная проектная площадь]]</f>
        <v>3824799.14</v>
      </c>
      <c r="DD88" s="3"/>
      <c r="DF88" s="199" t="s">
        <v>172</v>
      </c>
      <c r="DG88" s="245" t="s">
        <v>172</v>
      </c>
      <c r="DH88" s="100" t="b">
        <f>EXACT(ППД5[[#This Row],[Статусы CRM]],ППД5[[#This Row],[Статус]])</f>
        <v>1</v>
      </c>
      <c r="DI88" s="213" t="s">
        <v>260</v>
      </c>
      <c r="DJ88" s="204"/>
      <c r="DK88" s="111" t="s">
        <v>76</v>
      </c>
      <c r="DL88" s="216" t="s">
        <v>12</v>
      </c>
      <c r="DM88" s="201" t="b">
        <f>ППД5[[#This Row],[Отделка CRM]]=ППД5[[#This Row],[Отделка]]</f>
        <v>1</v>
      </c>
      <c r="DN88" s="203">
        <v>3824799.14</v>
      </c>
      <c r="DO8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88" s="207" t="b">
        <f>IF(AND(ППД5[[#This Row],[Статус]]="свободно",ППД5[[#This Row],[Итоговая сумма скидки]]&lt;&gt;0),FALSE,TRUE)</f>
        <v>1</v>
      </c>
      <c r="DQ88" s="240">
        <f>_xlfn.XLOOKUP(ППД5[[#This Row],[№]],Юрист[№ кв],Юрист[Дата подачи на регистрацию]," ",0,-1)</f>
        <v>45243</v>
      </c>
      <c r="DR88" s="115" t="str">
        <f>_xlfn.XLOOKUP(ППД5[[#This Row],[№]],Юрист[№ кв],Юрист[МОП],"",0,-1)</f>
        <v>Полехович</v>
      </c>
      <c r="DS88" s="333" t="s">
        <v>2468</v>
      </c>
      <c r="DT88" s="333" t="s">
        <v>2469</v>
      </c>
      <c r="DU88" s="333">
        <v>36</v>
      </c>
      <c r="DV88" s="111"/>
    </row>
    <row r="89" spans="1:126" hidden="1" x14ac:dyDescent="0.25">
      <c r="A89" s="112">
        <v>87</v>
      </c>
      <c r="B89" s="111" t="s">
        <v>5</v>
      </c>
      <c r="C89" s="111">
        <v>13</v>
      </c>
      <c r="D89" s="111">
        <v>4</v>
      </c>
      <c r="E89" s="111">
        <v>2</v>
      </c>
      <c r="F89" s="105">
        <v>16.61</v>
      </c>
      <c r="G89" s="105">
        <v>11.38</v>
      </c>
      <c r="H89" s="105"/>
      <c r="I89" s="94">
        <f>SUM(ППД5[[#This Row],[Комната 1]:[Комната 3]])</f>
        <v>27.990000000000002</v>
      </c>
      <c r="J89" s="105">
        <v>14.58</v>
      </c>
      <c r="K89" s="105">
        <v>4.34</v>
      </c>
      <c r="L89" s="105">
        <v>2.08</v>
      </c>
      <c r="M89" s="105"/>
      <c r="N89" s="105">
        <v>8.82</v>
      </c>
      <c r="O89" s="105">
        <v>2.56</v>
      </c>
      <c r="P89" s="105"/>
      <c r="Q89" s="105"/>
      <c r="R89" s="105">
        <f>SUM(ППД5[[#This Row],[Лоджия 1]:[Лоджия 3]])</f>
        <v>2.56</v>
      </c>
      <c r="S89" s="7">
        <f>ROUND(SUM(ППД5[[#This Row],[Площадь по проекту жилая]:[Лоджия 3]]),2)</f>
        <v>60.37</v>
      </c>
      <c r="T89" s="7">
        <f>ROUND(ППД5[[#This Row],[Площадь по проекту(общая)]]-ППД5[[#This Row],[Летние]],2)</f>
        <v>57.81</v>
      </c>
      <c r="U89" s="92">
        <f>ROUND(ППД5[[#This Row],[Площадь по проекту(общая)]]-(SUM(ППД5[[#This Row],[Лоджия 1]:[Лоджия 3]])/2),2)</f>
        <v>59.09</v>
      </c>
      <c r="V89" s="92">
        <f>IF(ППД5[[#This Row],[Статус]]="продажа",ППД5[[#This Row],[Расчетная проектная площадь]],ППД5[[#This Row],[Расчетная ТП площадь]])</f>
        <v>59.09</v>
      </c>
      <c r="W89" s="92">
        <v>16.600000000000001</v>
      </c>
      <c r="X89" s="92">
        <v>11.2</v>
      </c>
      <c r="Y89" s="92"/>
      <c r="Z89" s="92">
        <f>SUM(ППД5[[#This Row],[ТП Комната 1]:[ТП Комната 3]])</f>
        <v>27.8</v>
      </c>
      <c r="AA89" s="92">
        <v>14.5</v>
      </c>
      <c r="AB89" s="92">
        <v>4.3</v>
      </c>
      <c r="AC89" s="92">
        <v>2.1</v>
      </c>
      <c r="AD89" s="92"/>
      <c r="AE89" s="92">
        <v>8.6</v>
      </c>
      <c r="AF89" s="92">
        <v>1.25</v>
      </c>
      <c r="AG89" s="92"/>
      <c r="AH89" s="92"/>
      <c r="AI89" s="91">
        <f>SUM(ППД5[[#This Row],[ТП Лоджия 1]:[ТП Лоджия 3]])</f>
        <v>1.25</v>
      </c>
      <c r="AJ89" s="95">
        <v>2.5</v>
      </c>
      <c r="AK89" s="92">
        <f>SUM(ППД5[[#This Row],[Площадь по ТП жилая]:[ТП Лоджия 3]])-ППД5[[#This Row],[ТП Летние]]+ППД5[[#This Row],[кроме того прочая
(без коэффициента)]]</f>
        <v>59.8</v>
      </c>
      <c r="AL89" s="95">
        <f>ППД5[[#This Row],[ТП Площадь без летних]]+(ППД5[[#This Row],[ТП Летние]])</f>
        <v>58.55</v>
      </c>
      <c r="AM89" s="92">
        <f>ППД5[[#This Row],[ТП общая S]]-ППД5[[#This Row],[кроме того прочая
(без коэффициента)]]</f>
        <v>57.3</v>
      </c>
      <c r="AN89" s="95">
        <f>SUM(ППД5[[#This Row],[ТП Кухня]:[ТП Коридор]])</f>
        <v>29.5</v>
      </c>
      <c r="AO89" s="91">
        <f>ППД5[[#This Row],[Расчетная ТП площадь]]-ППД5[[#This Row],[Расчетная проектная площадь]]</f>
        <v>-0.54000000000000625</v>
      </c>
      <c r="AP89" s="335">
        <f>ППД5[[#This Row],[Расчетная ТП площадь]]/ППД5[[#This Row],[Расчетная проектная площадь]]-1</f>
        <v>-9.1386021323406341E-3</v>
      </c>
      <c r="AQ89" s="92">
        <f>ППД5[[#This Row],[% расхождения]]*ППД5[[#This Row],[Стоимость до скидки]]</f>
        <v>-52265.493315282554</v>
      </c>
      <c r="AR89" s="92">
        <f>VLOOKUP(ППД5[[#This Row],[№]],наценкад5[],COLUMN(наценкад5[[#This Row],[Цена м2 с учетом всех K]]),0)</f>
        <v>80307.864000000001</v>
      </c>
      <c r="AS89" s="7">
        <f>ППД5[[#This Row],[м2 после К]]*5%</f>
        <v>4015.3932000000004</v>
      </c>
      <c r="AT89" s="7">
        <f>ППД5[[#This Row],[м2 после К]]+ППД5[[#This Row],[Повышение 16.08.23 - 5%]]</f>
        <v>84323.257200000007</v>
      </c>
      <c r="AU89" s="9">
        <f>ППД5[[#This Row],[Фикс 16.08.23]]*3%</f>
        <v>2529.6977160000001</v>
      </c>
      <c r="AV89" s="9">
        <f>ППД5[[#This Row],[Фикс 16.08.23]]+ППД5[[#This Row],[Повышение 29.08.23 - 3%]]</f>
        <v>86852.954916000002</v>
      </c>
      <c r="AW89" s="9"/>
      <c r="AX89" s="9">
        <f>ППД5[[#This Row],[Фикс 29.08.23]]+ППД5[[#This Row],[Повышение 06.09.23 СТ и 1К]]</f>
        <v>86852.954916000002</v>
      </c>
      <c r="AY89" s="9"/>
      <c r="AZ89" s="9">
        <f>ППД5[[#This Row],[Повышение 23.10.23  В4 ]]+ППД5[[#This Row],[Фикс 06.09.23]]</f>
        <v>86852.954916000002</v>
      </c>
      <c r="BA89" s="9"/>
      <c r="BB89" s="9">
        <f>ППД5[[#This Row],[Повышение 8.11.23 1К 5%]]+ППД5[[#This Row],[Фикс 23.10.23]]</f>
        <v>86852.954916000002</v>
      </c>
      <c r="BC89" s="9"/>
      <c r="BD89" s="9">
        <f>ППД5[[#This Row],[Корректировка 24.11.23 - 1К В5, 2К А2, №233]]+ППД5[[#This Row],[Фикс 8.11.23]]</f>
        <v>86852.954916000002</v>
      </c>
      <c r="BE89" s="93">
        <f>ППД5[[#This Row],[Фикс 8.11.24]]*1%</f>
        <v>868.52954915999999</v>
      </c>
      <c r="BF89" s="9">
        <f>ППД5[[#This Row],[Наценка за отделку 29.12.23 1%]]+ППД5[[#This Row],[Фикс 8.11.24]]</f>
        <v>87721.48446516</v>
      </c>
      <c r="BG89" s="93">
        <f>ППД5[[#This Row],[Фикс 29.12.23]]*5%</f>
        <v>4386.0742232580005</v>
      </c>
      <c r="BH89" s="9">
        <f>ППД5[[#This Row],[Фикс 29.12.23]]+ППД5[[#This Row],[Наценка 10.01.24 5%]]</f>
        <v>92107.558688417994</v>
      </c>
      <c r="BI89" s="9"/>
      <c r="BJ89" s="9">
        <f>ППД5[[#This Row],[Наценка 26.02.24 1 Этаж]]+ППД5[[#This Row],[Фикс 10.01.24]]</f>
        <v>92107.558688417994</v>
      </c>
      <c r="BK89" s="93">
        <f>ППД5[[#This Row],[Фикс 26.02.24]]*2%</f>
        <v>1842.15117376836</v>
      </c>
      <c r="BL89" s="9">
        <f>ППД5[[#This Row],[Фикс 26.02.24]]+ППД5[[#This Row],[Наценка 06.03.24
СТ, 1К - 3%
2К, 3К - 2%]]</f>
        <v>93949.709862186355</v>
      </c>
      <c r="BM89" s="9"/>
      <c r="BN89" s="9">
        <f>ППД5[[#This Row],[Фикс 06.03.24]]+ППД5[[#This Row],[Наценка Г2+500]]</f>
        <v>93949.709862186355</v>
      </c>
      <c r="BO89" s="9">
        <f>ППД5[[#This Row],[Фикс 13.03.25]]*2%</f>
        <v>1878.9941972437271</v>
      </c>
      <c r="BP89" s="9">
        <f>ППД5[[#This Row],[Фикс 13.03.25]]+ППД5[[#This Row],[Наценка 20.03.24
2К, 3К - 2%]]</f>
        <v>95828.704059430078</v>
      </c>
      <c r="BQ89" s="93"/>
      <c r="BR89" s="9">
        <f>ППД5[[#This Row],[Фикс 20.03.24]]+ППД5[[#This Row],[Наценка 08.04.24 
2К: В3 - 150
3К: Г7 +1000]]</f>
        <v>95828.704059430078</v>
      </c>
      <c r="BS89" s="93">
        <f>ППД5[[#This Row],[Фикс 08.04.24]]*1%</f>
        <v>958.28704059430083</v>
      </c>
      <c r="BT89" s="9">
        <f>ППД5[[#This Row],[Фикс 08.04.24]]+ППД5[[#This Row],[Наценка 16.05.24 1%
А4,А6,Б3,Б6,Б7,В2,В3,В5,В6,Г1,Г3-Г5]]</f>
        <v>96786.991100024374</v>
      </c>
      <c r="BU89" s="9"/>
      <c r="BV89" s="9">
        <f>ППД5[[#This Row],[Фикс 16.05.24]]+ППД5[[#This Row],[Наценка 24.05.24
1% - Б4, Б5,Г2,Г6
2% - А1,А3,А5,Б2,Г7]]</f>
        <v>96786.991100024374</v>
      </c>
      <c r="BW89" s="9"/>
      <c r="BX89" s="9">
        <f>ППД5[[#This Row],[Наценка 06.06.24
0К: В2,Г3 +0,5%
1К: А7, Б5/4, Г6 +0,5%
3К: В6 +0,5%
1К: А3 +1%]]+ППД5[[#This Row],[Фикс 24.05.24]]</f>
        <v>96786.991100024374</v>
      </c>
      <c r="BY89" s="9"/>
      <c r="BZ89" s="9">
        <f>ППД5[[#This Row],[Фикс 06.06.24]]+ППД5[[#This Row],[13.06.2024
3К - 2%]]</f>
        <v>96786.991100024374</v>
      </c>
      <c r="CA89" s="9"/>
      <c r="CB89" s="9">
        <f>ППД5[[#This Row],[02.07.2024: Г3 А1 А3 Б5 Б7 Г2 Г6 Б3 Б4 В3 Г7 2,5% ост 0,5-1,5%]]+ППД5[[#This Row],[Фикс 13.06.24]]</f>
        <v>96786.991100024374</v>
      </c>
      <c r="CC89" s="9"/>
      <c r="CD89" s="9">
        <f>ППД5[[#This Row],[Фикс 02.07.24]]+ППД5[[#This Row],[04.09.2024 +500
0К - Б2; 1К - А3;
2К - А6, Б4, В3, Г5]]</f>
        <v>96786.991100024374</v>
      </c>
      <c r="CE89" s="9"/>
      <c r="CF89" s="9">
        <f>ППД5[[#This Row],[Наценка 16.09.2024
1К: А1,В7,Г6/7,Г8 - 2%
2К: А4,А5,А6,Б1,Б6,Б3/4,В3,В4,Г4,Г5 - 4%
3К: 4%]]+ППД5[[#This Row],[Фикс 04.09.24]]</f>
        <v>96786.991100024374</v>
      </c>
      <c r="CG89" s="9"/>
      <c r="CH89" s="9">
        <f>ППД5[[#This Row],[Фикс 16.09.2024]]+ППД5[[#This Row],[Наценка 01.11.24
СТ: 4%
1К: 34-40м 5%; 40м+ 8%; МГН 1%
2К: 55-70м 6%; 70-73м 7%; 73-76м 8% 
3К: 5%]]</f>
        <v>96786.991100024374</v>
      </c>
      <c r="CI89" s="9"/>
      <c r="CJ89" s="9">
        <f>ППД5[[#This Row],[Наценка 06.11 13%]]+ППД5[[#This Row],[Фикс 01.11.24]]</f>
        <v>96786.991100024374</v>
      </c>
      <c r="CK89" s="9"/>
      <c r="CL89" s="9">
        <f>ППД5[[#This Row],[Фикс 06.11.24]]+ППД5[[#This Row],[Наценка 18.12.24 распределение КВ]]</f>
        <v>96786.991100024374</v>
      </c>
      <c r="CM89" s="9"/>
      <c r="CN89" s="9">
        <f>ППД5[[#This Row],[Фикс 18.12.24]]+ППД5[[#This Row],[Наценка 10.02.25 +1%
1К: А3
2К: Б3, В3]]</f>
        <v>96786.991100024374</v>
      </c>
      <c r="CO89" s="93">
        <f>ROUND(ППД5[[#This Row],[Фикс 10.02.25]],2)</f>
        <v>96786.99</v>
      </c>
      <c r="CP8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5719200</v>
      </c>
      <c r="CQ89" s="93">
        <f>ROUNDUP(ППД5[[#This Row],[Стоимость до скидки]]+ППД5[[#This Row],[Сумма доплаты]],-2)</f>
        <v>5667000</v>
      </c>
      <c r="CR89" s="68"/>
      <c r="CS89" s="90"/>
      <c r="CT89" s="68">
        <f>ППД5[[#This Row],[Стоимость до скидки]]*ППД5[[#This Row],[Скидка %]]+ППД5[[#This Row],[Скидка фиксированная]]</f>
        <v>0</v>
      </c>
      <c r="CU89" s="3">
        <f>ППД5[[#This Row],[Стоимость ОН без отделки со скидкой]]/ППД5[[#This Row],[Расчетная проектная площадь]]</f>
        <v>96787.950583855127</v>
      </c>
      <c r="CV89" s="3">
        <f>ROUND(ППД5[[#This Row],[Стоимость до скидки]]-ППД5[[#This Row],[Итоговая сумма скидки]],2)</f>
        <v>5719200</v>
      </c>
      <c r="CW8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89" s="197">
        <v>7000</v>
      </c>
      <c r="CY89" s="332">
        <f>ППД5[[#This Row],[Расхождение]]/ППД5[[#This Row],[Расчетная проектная площадь]]</f>
        <v>-9.1386021323406029E-3</v>
      </c>
      <c r="CZ8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-0.31999999999999851</v>
      </c>
      <c r="DA89" s="3">
        <f>ППД5[[#This Row],[Цена м2 без отделки со скидкой]]+ППД5[[#This Row],[Стоимость отделки]]</f>
        <v>103787.95058385513</v>
      </c>
      <c r="DB89" s="3">
        <f>ППД5[[#This Row],[Стоимость квартиры с отделкой]]-ППД5[[#This Row],[Стоимость ОН без отделки со скидкой]]</f>
        <v>413630</v>
      </c>
      <c r="DC89" s="3">
        <f>ППД5[[#This Row],[Цена м2 с отделкой]]*ППД5[[#This Row],[Расчетная проектная площадь]]</f>
        <v>6132830</v>
      </c>
      <c r="DD89" s="3"/>
      <c r="DF89" s="199" t="s">
        <v>172</v>
      </c>
      <c r="DG89" s="245" t="s">
        <v>172</v>
      </c>
      <c r="DH89" s="100" t="b">
        <f>EXACT(ППД5[[#This Row],[Статусы CRM]],ППД5[[#This Row],[Статус]])</f>
        <v>1</v>
      </c>
      <c r="DI89" s="213" t="s">
        <v>261</v>
      </c>
      <c r="DJ89" s="204"/>
      <c r="DK89" s="111" t="s">
        <v>763</v>
      </c>
      <c r="DL89" s="216" t="s">
        <v>780</v>
      </c>
      <c r="DM89" s="201" t="b">
        <f>ППД5[[#This Row],[Отделка CRM]]=ППД5[[#This Row],[Отделка]]</f>
        <v>1</v>
      </c>
      <c r="DN89" s="203">
        <v>6132830</v>
      </c>
      <c r="DO8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89" s="207" t="b">
        <f>IF(AND(ППД5[[#This Row],[Статус]]="свободно",ППД5[[#This Row],[Итоговая сумма скидки]]&lt;&gt;0),FALSE,TRUE)</f>
        <v>1</v>
      </c>
      <c r="DQ89" s="240">
        <f>_xlfn.XLOOKUP(ППД5[[#This Row],[№]],Юрист[№ кв],Юрист[Дата подачи на регистрацию]," ",0,-1)</f>
        <v>45464</v>
      </c>
      <c r="DR89" s="115" t="str">
        <f>_xlfn.XLOOKUP(ППД5[[#This Row],[№]],Юрист[№ кв],Юрист[МОП],"",0,-1)</f>
        <v>Полехович</v>
      </c>
      <c r="DS89" s="333" t="s">
        <v>2470</v>
      </c>
      <c r="DT89" s="333" t="s">
        <v>2471</v>
      </c>
      <c r="DU89" s="333">
        <v>57.3</v>
      </c>
      <c r="DV89" s="111"/>
    </row>
    <row r="90" spans="1:126" hidden="1" x14ac:dyDescent="0.25">
      <c r="A90" s="112">
        <v>88</v>
      </c>
      <c r="B90" s="111" t="s">
        <v>5</v>
      </c>
      <c r="C90" s="111">
        <v>13</v>
      </c>
      <c r="D90" s="111">
        <v>5</v>
      </c>
      <c r="E90" s="111">
        <v>2</v>
      </c>
      <c r="F90" s="105">
        <v>16.46</v>
      </c>
      <c r="G90" s="105">
        <v>12.47</v>
      </c>
      <c r="H90" s="105"/>
      <c r="I90" s="94">
        <f>SUM(ППД5[[#This Row],[Комната 1]:[Комната 3]])</f>
        <v>28.93</v>
      </c>
      <c r="J90" s="105">
        <v>18</v>
      </c>
      <c r="K90" s="105">
        <v>4.3499999999999996</v>
      </c>
      <c r="L90" s="105">
        <v>1.55</v>
      </c>
      <c r="M90" s="105"/>
      <c r="N90" s="105">
        <v>8</v>
      </c>
      <c r="O90" s="105">
        <v>2.67</v>
      </c>
      <c r="P90" s="105"/>
      <c r="Q90" s="105"/>
      <c r="R90" s="105">
        <f>SUM(ППД5[[#This Row],[Лоджия 1]:[Лоджия 3]])</f>
        <v>2.67</v>
      </c>
      <c r="S90" s="8">
        <f>ROUND(SUM(ППД5[[#This Row],[Площадь по проекту жилая]:[Лоджия 3]]),2)</f>
        <v>63.5</v>
      </c>
      <c r="T90" s="8">
        <f>ROUND(ППД5[[#This Row],[Площадь по проекту(общая)]]-ППД5[[#This Row],[Летние]],2)</f>
        <v>60.83</v>
      </c>
      <c r="U90" s="91">
        <f>ROUND(ППД5[[#This Row],[Площадь по проекту(общая)]]-(SUM(ППД5[[#This Row],[Лоджия 1]:[Лоджия 3]])/2),2)</f>
        <v>62.17</v>
      </c>
      <c r="V90" s="91">
        <f>IF(ППД5[[#This Row],[Статус]]="продажа",ППД5[[#This Row],[Расчетная проектная площадь]],ППД5[[#This Row],[Расчетная ТП площадь]])</f>
        <v>62.17</v>
      </c>
      <c r="W90" s="91">
        <v>16.399999999999999</v>
      </c>
      <c r="X90" s="91">
        <v>12.3</v>
      </c>
      <c r="Y90" s="91"/>
      <c r="Z90" s="91">
        <f>SUM(ППД5[[#This Row],[ТП Комната 1]:[ТП Комната 3]])</f>
        <v>28.7</v>
      </c>
      <c r="AA90" s="91">
        <v>17.7</v>
      </c>
      <c r="AB90" s="91">
        <v>4.5</v>
      </c>
      <c r="AC90" s="91">
        <v>1.5</v>
      </c>
      <c r="AD90" s="91"/>
      <c r="AE90" s="91">
        <v>8</v>
      </c>
      <c r="AF90" s="91">
        <v>1.35</v>
      </c>
      <c r="AG90" s="91"/>
      <c r="AH90" s="91"/>
      <c r="AI90" s="91">
        <f>SUM(ППД5[[#This Row],[ТП Лоджия 1]:[ТП Лоджия 3]])</f>
        <v>1.35</v>
      </c>
      <c r="AJ90" s="95">
        <v>2.7</v>
      </c>
      <c r="AK90" s="91">
        <f>SUM(ППД5[[#This Row],[Площадь по ТП жилая]:[ТП Лоджия 3]])-ППД5[[#This Row],[ТП Летние]]+ППД5[[#This Row],[кроме того прочая
(без коэффициента)]]</f>
        <v>63.1</v>
      </c>
      <c r="AL90" s="95">
        <f>ППД5[[#This Row],[ТП Площадь без летних]]+(ППД5[[#This Row],[ТП Летние]])</f>
        <v>61.75</v>
      </c>
      <c r="AM90" s="91">
        <f>ППД5[[#This Row],[ТП общая S]]-ППД5[[#This Row],[кроме того прочая
(без коэффициента)]]</f>
        <v>60.4</v>
      </c>
      <c r="AN90" s="95">
        <f>SUM(ППД5[[#This Row],[ТП Кухня]:[ТП Коридор]])</f>
        <v>31.7</v>
      </c>
      <c r="AO90" s="91">
        <f>ППД5[[#This Row],[Расчетная ТП площадь]]-ППД5[[#This Row],[Расчетная проектная площадь]]</f>
        <v>-0.42000000000000171</v>
      </c>
      <c r="AP90" s="335">
        <f>ППД5[[#This Row],[Расчетная ТП площадь]]/ППД5[[#This Row],[Расчетная проектная площадь]]-1</f>
        <v>-6.7556699372688378E-3</v>
      </c>
      <c r="AQ90" s="91">
        <f>ППД5[[#This Row],[% расхождения]]*ППД5[[#This Row],[Стоимость до скидки]]</f>
        <v>-40248.254785266552</v>
      </c>
      <c r="AR90" s="91">
        <f>VLOOKUP(ППД5[[#This Row],[№]],наценкад5[],COLUMN(наценкад5[[#This Row],[Цена м2 с учетом всех K]]),0)</f>
        <v>80307.864000000001</v>
      </c>
      <c r="AS90" s="8">
        <f>ППД5[[#This Row],[м2 после К]]*5%</f>
        <v>4015.3932000000004</v>
      </c>
      <c r="AT90" s="8">
        <f>ППД5[[#This Row],[м2 после К]]+ППД5[[#This Row],[Повышение 16.08.23 - 5%]]</f>
        <v>84323.257200000007</v>
      </c>
      <c r="AU90" s="93">
        <f>ППД5[[#This Row],[Фикс 16.08.23]]*3%</f>
        <v>2529.6977160000001</v>
      </c>
      <c r="AV90" s="93">
        <f>ППД5[[#This Row],[Фикс 16.08.23]]+ППД5[[#This Row],[Повышение 29.08.23 - 3%]]</f>
        <v>86852.954916000002</v>
      </c>
      <c r="AW90" s="93"/>
      <c r="AX90" s="93">
        <f>ППД5[[#This Row],[Фикс 29.08.23]]+ППД5[[#This Row],[Повышение 06.09.23 СТ и 1К]]</f>
        <v>86852.954916000002</v>
      </c>
      <c r="AY90" s="93"/>
      <c r="AZ90" s="93">
        <f>ППД5[[#This Row],[Повышение 23.10.23  В4 ]]+ППД5[[#This Row],[Фикс 06.09.23]]</f>
        <v>86852.954916000002</v>
      </c>
      <c r="BA90" s="93"/>
      <c r="BB90" s="93">
        <f>ППД5[[#This Row],[Повышение 8.11.23 1К 5%]]+ППД5[[#This Row],[Фикс 23.10.23]]</f>
        <v>86852.954916000002</v>
      </c>
      <c r="BC90" s="93"/>
      <c r="BD90" s="93">
        <f>ППД5[[#This Row],[Корректировка 24.11.23 - 1К В5, 2К А2, №233]]+ППД5[[#This Row],[Фикс 8.11.23]]</f>
        <v>86852.954916000002</v>
      </c>
      <c r="BE90" s="93">
        <f>ППД5[[#This Row],[Фикс 8.11.24]]*1%</f>
        <v>868.52954915999999</v>
      </c>
      <c r="BF90" s="93">
        <f>ППД5[[#This Row],[Наценка за отделку 29.12.23 1%]]+ППД5[[#This Row],[Фикс 8.11.24]]</f>
        <v>87721.48446516</v>
      </c>
      <c r="BG90" s="93">
        <f>ППД5[[#This Row],[Фикс 29.12.23]]*5%</f>
        <v>4386.0742232580005</v>
      </c>
      <c r="BH90" s="93">
        <f>ППД5[[#This Row],[Фикс 29.12.23]]+ППД5[[#This Row],[Наценка 10.01.24 5%]]</f>
        <v>92107.558688417994</v>
      </c>
      <c r="BI90" s="93"/>
      <c r="BJ90" s="93">
        <f>ППД5[[#This Row],[Наценка 26.02.24 1 Этаж]]+ППД5[[#This Row],[Фикс 10.01.24]]</f>
        <v>92107.558688417994</v>
      </c>
      <c r="BK90" s="93">
        <f>ППД5[[#This Row],[Фикс 26.02.24]]*2%</f>
        <v>1842.15117376836</v>
      </c>
      <c r="BL90" s="93">
        <f>ППД5[[#This Row],[Фикс 26.02.24]]+ППД5[[#This Row],[Наценка 06.03.24
СТ, 1К - 3%
2К, 3К - 2%]]</f>
        <v>93949.709862186355</v>
      </c>
      <c r="BM90" s="93"/>
      <c r="BN90" s="93">
        <f>ППД5[[#This Row],[Фикс 06.03.24]]+ППД5[[#This Row],[Наценка Г2+500]]</f>
        <v>93949.709862186355</v>
      </c>
      <c r="BO90" s="93">
        <f>ППД5[[#This Row],[Фикс 13.03.25]]*2%</f>
        <v>1878.9941972437271</v>
      </c>
      <c r="BP90" s="93">
        <f>ППД5[[#This Row],[Фикс 13.03.25]]+ППД5[[#This Row],[Наценка 20.03.24
2К, 3К - 2%]]</f>
        <v>95828.704059430078</v>
      </c>
      <c r="BQ90" s="93"/>
      <c r="BR90" s="93">
        <f>ППД5[[#This Row],[Фикс 20.03.24]]+ППД5[[#This Row],[Наценка 08.04.24 
2К: В3 - 150
3К: Г7 +1000]]</f>
        <v>95828.704059430078</v>
      </c>
      <c r="BS90" s="93"/>
      <c r="BT90" s="93">
        <f>ППД5[[#This Row],[Фикс 08.04.24]]+ППД5[[#This Row],[Наценка 16.05.24 1%
А4,А6,Б3,Б6,Б7,В2,В3,В5,В6,Г1,Г3-Г5]]</f>
        <v>95828.704059430078</v>
      </c>
      <c r="BU90" s="93"/>
      <c r="BV90" s="93">
        <f>ППД5[[#This Row],[Фикс 16.05.24]]+ППД5[[#This Row],[Наценка 24.05.24
1% - Б4, Б5,Г2,Г6
2% - А1,А3,А5,Б2,Г7]]</f>
        <v>95828.704059430078</v>
      </c>
      <c r="BW90" s="93"/>
      <c r="BX90" s="93">
        <f>ППД5[[#This Row],[Наценка 06.06.24
0К: В2,Г3 +0,5%
1К: А7, Б5/4, Г6 +0,5%
3К: В6 +0,5%
1К: А3 +1%]]+ППД5[[#This Row],[Фикс 24.05.24]]</f>
        <v>95828.704059430078</v>
      </c>
      <c r="BY90" s="93"/>
      <c r="BZ90" s="93">
        <f>ППД5[[#This Row],[Фикс 06.06.24]]+ППД5[[#This Row],[13.06.2024
3К - 2%]]</f>
        <v>95828.704059430078</v>
      </c>
      <c r="CA90" s="93"/>
      <c r="CB90" s="93">
        <f>ППД5[[#This Row],[02.07.2024: Г3 А1 А3 Б5 Б7 Г2 Г6 Б3 Б4 В3 Г7 2,5% ост 0,5-1,5%]]+ППД5[[#This Row],[Фикс 13.06.24]]</f>
        <v>95828.704059430078</v>
      </c>
      <c r="CC90" s="93"/>
      <c r="CD90" s="93">
        <f>ППД5[[#This Row],[Фикс 02.07.24]]+ППД5[[#This Row],[04.09.2024 +500
0К - Б2; 1К - А3;
2К - А6, Б4, В3, Г5]]</f>
        <v>95828.704059430078</v>
      </c>
      <c r="CE90" s="93"/>
      <c r="CF90" s="93">
        <f>ППД5[[#This Row],[Наценка 16.09.2024
1К: А1,В7,Г6/7,Г8 - 2%
2К: А4,А5,А6,Б1,Б6,Б3/4,В3,В4,Г4,Г5 - 4%
3К: 4%]]+ППД5[[#This Row],[Фикс 04.09.24]]</f>
        <v>95828.704059430078</v>
      </c>
      <c r="CG90" s="93"/>
      <c r="CH90" s="93">
        <f>ППД5[[#This Row],[Фикс 16.09.2024]]+ППД5[[#This Row],[Наценка 01.11.24
СТ: 4%
1К: 34-40м 5%; 40м+ 8%; МГН 1%
2К: 55-70м 6%; 70-73м 7%; 73-76м 8% 
3К: 5%]]</f>
        <v>95828.704059430078</v>
      </c>
      <c r="CI90" s="93"/>
      <c r="CJ90" s="93">
        <f>ППД5[[#This Row],[Наценка 06.11 13%]]+ППД5[[#This Row],[Фикс 01.11.24]]</f>
        <v>95828.704059430078</v>
      </c>
      <c r="CK90" s="93"/>
      <c r="CL90" s="93">
        <f>ППД5[[#This Row],[Фикс 06.11.24]]+ППД5[[#This Row],[Наценка 18.12.24 распределение КВ]]</f>
        <v>95828.704059430078</v>
      </c>
      <c r="CM90" s="93"/>
      <c r="CN90" s="93">
        <f>ППД5[[#This Row],[Фикс 18.12.24]]+ППД5[[#This Row],[Наценка 10.02.25 +1%
1К: А3
2К: Б3, В3]]</f>
        <v>95828.704059430078</v>
      </c>
      <c r="CO90" s="93">
        <f>ROUND(ППД5[[#This Row],[Фикс 10.02.25]],2)</f>
        <v>95828.7</v>
      </c>
      <c r="CP9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5957700</v>
      </c>
      <c r="CQ90" s="93">
        <f>ROUNDUP(ППД5[[#This Row],[Стоимость до скидки]]+ППД5[[#This Row],[Сумма доплаты]],-2)</f>
        <v>5917500</v>
      </c>
      <c r="CR90" s="68">
        <v>88888</v>
      </c>
      <c r="CS90" s="90"/>
      <c r="CT90" s="68">
        <f>ППД5[[#This Row],[Стоимость до скидки]]*ППД5[[#This Row],[Скидка %]]+ППД5[[#This Row],[Скидка фиксированная]]</f>
        <v>88888</v>
      </c>
      <c r="CU90" s="3">
        <f>ППД5[[#This Row],[Стоимость ОН без отделки со скидкой]]/ППД5[[#This Row],[Расчетная проектная площадь]]</f>
        <v>94399.420942576806</v>
      </c>
      <c r="CV90" s="3">
        <f>ROUND(ППД5[[#This Row],[Стоимость до скидки]]-ППД5[[#This Row],[Итоговая сумма скидки]],2)</f>
        <v>5868812</v>
      </c>
      <c r="CW9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90" s="197"/>
      <c r="CY90" s="332">
        <f>ППД5[[#This Row],[Расхождение]]/ППД5[[#This Row],[Расчетная проектная площадь]]</f>
        <v>-6.7556699372688066E-3</v>
      </c>
      <c r="CZ9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-0.20000000000000284</v>
      </c>
      <c r="DA90" s="3">
        <f>ППД5[[#This Row],[Цена м2 без отделки со скидкой]]+ППД5[[#This Row],[Стоимость отделки]]</f>
        <v>94399.420942576806</v>
      </c>
      <c r="DB90" s="3">
        <f>ППД5[[#This Row],[Стоимость квартиры с отделкой]]-ППД5[[#This Row],[Стоимость ОН без отделки со скидкой]]</f>
        <v>0</v>
      </c>
      <c r="DC90" s="3">
        <f>ППД5[[#This Row],[Цена м2 с отделкой]]*ППД5[[#This Row],[Расчетная проектная площадь]]</f>
        <v>5868812</v>
      </c>
      <c r="DD90" s="3"/>
      <c r="DE90" s="111" t="s">
        <v>781</v>
      </c>
      <c r="DF90" s="199" t="s">
        <v>172</v>
      </c>
      <c r="DG90" s="245" t="s">
        <v>172</v>
      </c>
      <c r="DH90" s="100" t="b">
        <f>EXACT(ППД5[[#This Row],[Статусы CRM]],ППД5[[#This Row],[Статус]])</f>
        <v>1</v>
      </c>
      <c r="DI90" s="213" t="s">
        <v>262</v>
      </c>
      <c r="DJ90" s="204"/>
      <c r="DK90" s="111" t="s">
        <v>763</v>
      </c>
      <c r="DL90" s="216" t="s">
        <v>12</v>
      </c>
      <c r="DM90" s="201" t="b">
        <f>ППД5[[#This Row],[Отделка CRM]]=ППД5[[#This Row],[Отделка]]</f>
        <v>1</v>
      </c>
      <c r="DN90" s="203">
        <v>5868812</v>
      </c>
      <c r="DO9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90" s="207" t="b">
        <f>IF(AND(ППД5[[#This Row],[Статус]]="свободно",ППД5[[#This Row],[Итоговая сумма скидки]]&lt;&gt;0),FALSE,TRUE)</f>
        <v>1</v>
      </c>
      <c r="DQ90" s="240">
        <f>_xlfn.XLOOKUP(ППД5[[#This Row],[№]],Юрист[№ кв],Юрист[Дата подачи на регистрацию]," ",0,-1)</f>
        <v>45405</v>
      </c>
      <c r="DR90" s="115" t="str">
        <f>_xlfn.XLOOKUP(ППД5[[#This Row],[№]],Юрист[№ кв],Юрист[МОП],"",0,-1)</f>
        <v>Дик</v>
      </c>
      <c r="DS90" s="333" t="s">
        <v>2472</v>
      </c>
      <c r="DT90" s="333" t="s">
        <v>2473</v>
      </c>
      <c r="DU90" s="333">
        <v>60.4</v>
      </c>
      <c r="DV90" s="111"/>
    </row>
    <row r="91" spans="1:126" hidden="1" x14ac:dyDescent="0.25">
      <c r="A91" s="112">
        <v>89</v>
      </c>
      <c r="B91" s="111" t="s">
        <v>5</v>
      </c>
      <c r="C91" s="111">
        <v>13</v>
      </c>
      <c r="D91" s="111">
        <v>6</v>
      </c>
      <c r="E91" s="111">
        <v>2</v>
      </c>
      <c r="F91" s="105">
        <v>14.64</v>
      </c>
      <c r="G91" s="105">
        <v>10.74</v>
      </c>
      <c r="H91" s="105"/>
      <c r="I91" s="94">
        <f>SUM(ППД5[[#This Row],[Комната 1]:[Комната 3]])</f>
        <v>25.380000000000003</v>
      </c>
      <c r="J91" s="105">
        <v>14.35</v>
      </c>
      <c r="K91" s="105">
        <v>4.16</v>
      </c>
      <c r="L91" s="105">
        <v>1.93</v>
      </c>
      <c r="M91" s="105"/>
      <c r="N91" s="105">
        <v>11.03</v>
      </c>
      <c r="O91" s="105">
        <v>2.6219999999999999</v>
      </c>
      <c r="P91" s="105"/>
      <c r="Q91" s="105"/>
      <c r="R91" s="105">
        <f>SUM(ППД5[[#This Row],[Лоджия 1]:[Лоджия 3]])</f>
        <v>2.6219999999999999</v>
      </c>
      <c r="S91" s="8">
        <f>ROUND(SUM(ППД5[[#This Row],[Площадь по проекту жилая]:[Лоджия 3]]),2)</f>
        <v>59.47</v>
      </c>
      <c r="T91" s="8">
        <f>ROUND(ППД5[[#This Row],[Площадь по проекту(общая)]]-ППД5[[#This Row],[Летние]],2)</f>
        <v>56.85</v>
      </c>
      <c r="U91" s="91">
        <f>ROUND(ППД5[[#This Row],[Площадь по проекту(общая)]]-(SUM(ППД5[[#This Row],[Лоджия 1]:[Лоджия 3]])/2),2)</f>
        <v>58.16</v>
      </c>
      <c r="V91" s="91">
        <f>IF(ППД5[[#This Row],[Статус]]="продажа",ППД5[[#This Row],[Расчетная проектная площадь]],ППД5[[#This Row],[Расчетная ТП площадь]])</f>
        <v>58.16</v>
      </c>
      <c r="W91" s="91">
        <v>10.7</v>
      </c>
      <c r="X91" s="91">
        <v>14.6</v>
      </c>
      <c r="Y91" s="91"/>
      <c r="Z91" s="91">
        <f>SUM(ППД5[[#This Row],[ТП Комната 1]:[ТП Комната 3]])</f>
        <v>25.299999999999997</v>
      </c>
      <c r="AA91" s="91">
        <v>14.4</v>
      </c>
      <c r="AB91" s="91">
        <v>4.0999999999999996</v>
      </c>
      <c r="AC91" s="91">
        <v>1.9</v>
      </c>
      <c r="AD91" s="91"/>
      <c r="AE91" s="91">
        <v>11.1</v>
      </c>
      <c r="AF91" s="91">
        <v>1.3</v>
      </c>
      <c r="AG91" s="91"/>
      <c r="AH91" s="91"/>
      <c r="AI91" s="91">
        <f>SUM(ППД5[[#This Row],[ТП Лоджия 1]:[ТП Лоджия 3]])</f>
        <v>1.3</v>
      </c>
      <c r="AJ91" s="95">
        <v>2.6</v>
      </c>
      <c r="AK91" s="91">
        <f>SUM(ППД5[[#This Row],[Площадь по ТП жилая]:[ТП Лоджия 3]])-ППД5[[#This Row],[ТП Летние]]+ППД5[[#This Row],[кроме того прочая
(без коэффициента)]]</f>
        <v>59.4</v>
      </c>
      <c r="AL91" s="95">
        <f>ППД5[[#This Row],[ТП Площадь без летних]]+(ППД5[[#This Row],[ТП Летние]])</f>
        <v>58.099999999999994</v>
      </c>
      <c r="AM91" s="91">
        <f>ППД5[[#This Row],[ТП общая S]]-ППД5[[#This Row],[кроме того прочая
(без коэффициента)]]</f>
        <v>56.8</v>
      </c>
      <c r="AN91" s="95">
        <f>SUM(ППД5[[#This Row],[ТП Кухня]:[ТП Коридор]])</f>
        <v>31.5</v>
      </c>
      <c r="AO91" s="91">
        <f>ППД5[[#This Row],[Расчетная ТП площадь]]-ППД5[[#This Row],[Расчетная проектная площадь]]</f>
        <v>-6.0000000000002274E-2</v>
      </c>
      <c r="AP91" s="335">
        <f>ППД5[[#This Row],[Расчетная ТП площадь]]/ППД5[[#This Row],[Расчетная проектная площадь]]-1</f>
        <v>-1.0316368638240148E-3</v>
      </c>
      <c r="AQ91" s="91">
        <f>ППД5[[#This Row],[% расхождения]]*ППД5[[#This Row],[Стоимость до скидки]]</f>
        <v>-7488.0330123802287</v>
      </c>
      <c r="AR91" s="91">
        <f>VLOOKUP(ППД5[[#This Row],[№]],наценкад5[],COLUMN(наценкад5[[#This Row],[Цена м2 с учетом всех K]]),0)</f>
        <v>81466.150500000003</v>
      </c>
      <c r="AS91" s="8">
        <f>ППД5[[#This Row],[м2 после К]]*5%</f>
        <v>4073.3075250000002</v>
      </c>
      <c r="AT91" s="8">
        <f>ППД5[[#This Row],[м2 после К]]+ППД5[[#This Row],[Повышение 16.08.23 - 5%]]</f>
        <v>85539.458025</v>
      </c>
      <c r="AU91" s="93">
        <f>ППД5[[#This Row],[Фикс 16.08.23]]*3%</f>
        <v>2566.1837407499997</v>
      </c>
      <c r="AV91" s="93">
        <f>ППД5[[#This Row],[Фикс 16.08.23]]+ППД5[[#This Row],[Повышение 29.08.23 - 3%]]</f>
        <v>88105.641765749999</v>
      </c>
      <c r="AW91" s="93"/>
      <c r="AX91" s="93">
        <f>ППД5[[#This Row],[Фикс 29.08.23]]+ППД5[[#This Row],[Повышение 06.09.23 СТ и 1К]]</f>
        <v>88105.641765749999</v>
      </c>
      <c r="AY91" s="93"/>
      <c r="AZ91" s="93">
        <f>ППД5[[#This Row],[Повышение 23.10.23  В4 ]]+ППД5[[#This Row],[Фикс 06.09.23]]</f>
        <v>88105.641765749999</v>
      </c>
      <c r="BA91" s="93"/>
      <c r="BB91" s="93">
        <f>ППД5[[#This Row],[Повышение 8.11.23 1К 5%]]+ППД5[[#This Row],[Фикс 23.10.23]]</f>
        <v>88105.641765749999</v>
      </c>
      <c r="BC91" s="93"/>
      <c r="BD91" s="93">
        <f>ППД5[[#This Row],[Корректировка 24.11.23 - 1К В5, 2К А2, №233]]+ППД5[[#This Row],[Фикс 8.11.23]]</f>
        <v>88105.641765749999</v>
      </c>
      <c r="BE91" s="93">
        <f>ППД5[[#This Row],[Фикс 8.11.24]]*1%</f>
        <v>881.05641765749999</v>
      </c>
      <c r="BF91" s="93">
        <f>ППД5[[#This Row],[Наценка за отделку 29.12.23 1%]]+ППД5[[#This Row],[Фикс 8.11.24]]</f>
        <v>88986.698183407498</v>
      </c>
      <c r="BG91" s="93">
        <f>ППД5[[#This Row],[Фикс 29.12.23]]*5%</f>
        <v>4449.3349091703749</v>
      </c>
      <c r="BH91" s="93">
        <f>ППД5[[#This Row],[Фикс 29.12.23]]+ППД5[[#This Row],[Наценка 10.01.24 5%]]</f>
        <v>93436.033092577869</v>
      </c>
      <c r="BI91" s="93"/>
      <c r="BJ91" s="93">
        <f>ППД5[[#This Row],[Наценка 26.02.24 1 Этаж]]+ППД5[[#This Row],[Фикс 10.01.24]]</f>
        <v>93436.033092577869</v>
      </c>
      <c r="BK91" s="93">
        <f>ППД5[[#This Row],[Фикс 26.02.24]]*2%</f>
        <v>1868.7206618515575</v>
      </c>
      <c r="BL91" s="93">
        <f>ППД5[[#This Row],[Фикс 26.02.24]]+ППД5[[#This Row],[Наценка 06.03.24
СТ, 1К - 3%
2К, 3К - 2%]]</f>
        <v>95304.753754429432</v>
      </c>
      <c r="BM91" s="93"/>
      <c r="BN91" s="93">
        <f>ППД5[[#This Row],[Фикс 06.03.24]]+ППД5[[#This Row],[Наценка Г2+500]]</f>
        <v>95304.753754429432</v>
      </c>
      <c r="BO91" s="93">
        <f>ППД5[[#This Row],[Фикс 13.03.25]]*2%</f>
        <v>1906.0950750885886</v>
      </c>
      <c r="BP91" s="93">
        <f>ППД5[[#This Row],[Фикс 13.03.25]]+ППД5[[#This Row],[Наценка 20.03.24
2К, 3К - 2%]]</f>
        <v>97210.848829518014</v>
      </c>
      <c r="BQ91" s="93"/>
      <c r="BR91" s="93">
        <f>ППД5[[#This Row],[Фикс 20.03.24]]+ППД5[[#This Row],[Наценка 08.04.24 
2К: В3 - 150
3К: Г7 +1000]]</f>
        <v>97210.848829518014</v>
      </c>
      <c r="BS91" s="93">
        <f>ППД5[[#This Row],[Фикс 08.04.24]]*1%</f>
        <v>972.10848829518011</v>
      </c>
      <c r="BT91" s="93">
        <f>ППД5[[#This Row],[Фикс 08.04.24]]+ППД5[[#This Row],[Наценка 16.05.24 1%
А4,А6,Б3,Б6,Б7,В2,В3,В5,В6,Г1,Г3-Г5]]</f>
        <v>98182.957317813198</v>
      </c>
      <c r="BU91" s="93"/>
      <c r="BV91" s="93">
        <f>ППД5[[#This Row],[Фикс 16.05.24]]+ППД5[[#This Row],[Наценка 24.05.24
1% - Б4, Б5,Г2,Г6
2% - А1,А3,А5,Б2,Г7]]</f>
        <v>98182.957317813198</v>
      </c>
      <c r="BW91" s="93"/>
      <c r="BX91" s="93">
        <f>ППД5[[#This Row],[Наценка 06.06.24
0К: В2,Г3 +0,5%
1К: А7, Б5/4, Г6 +0,5%
3К: В6 +0,5%
1К: А3 +1%]]+ППД5[[#This Row],[Фикс 24.05.24]]</f>
        <v>98182.957317813198</v>
      </c>
      <c r="BY91" s="93"/>
      <c r="BZ91" s="93">
        <f>ППД5[[#This Row],[Фикс 06.06.24]]+ППД5[[#This Row],[13.06.2024
3К - 2%]]</f>
        <v>98182.957317813198</v>
      </c>
      <c r="CA91" s="9">
        <f>1.5%*ППД5[[#This Row],[Фикс 13.06.24]]</f>
        <v>1472.7443597671979</v>
      </c>
      <c r="CB91" s="93">
        <f>ППД5[[#This Row],[02.07.2024: Г3 А1 А3 Б5 Б7 Г2 Г6 Б3 Б4 В3 Г7 2,5% ост 0,5-1,5%]]+ППД5[[#This Row],[Фикс 13.06.24]]</f>
        <v>99655.701677580393</v>
      </c>
      <c r="CC91" s="93">
        <v>500</v>
      </c>
      <c r="CD91" s="93">
        <f>ППД5[[#This Row],[Фикс 02.07.24]]+ППД5[[#This Row],[04.09.2024 +500
0К - Б2; 1К - А3;
2К - А6, Б4, В3, Г5]]</f>
        <v>100155.70167758039</v>
      </c>
      <c r="CE91" s="93">
        <f>ППД5[[#This Row],[Фикс 04.09.24]]*4%</f>
        <v>4006.2280671032158</v>
      </c>
      <c r="CF91" s="93">
        <f>ППД5[[#This Row],[Наценка 16.09.2024
1К: А1,В7,Г6/7,Г8 - 2%
2К: А4,А5,А6,Б1,Б6,Б3/4,В3,В4,Г4,Г5 - 4%
3К: 4%]]+ППД5[[#This Row],[Фикс 04.09.24]]</f>
        <v>104161.92974468361</v>
      </c>
      <c r="CG91" s="93">
        <f>ППД5[[#This Row],[Фикс 16.09.2024]]*6%</f>
        <v>6249.7157846810169</v>
      </c>
      <c r="CH91" s="93">
        <f>ППД5[[#This Row],[Фикс 16.09.2024]]+ППД5[[#This Row],[Наценка 01.11.24
СТ: 4%
1К: 34-40м 5%; 40м+ 8%; МГН 1%
2К: 55-70м 6%; 70-73м 7%; 73-76м 8% 
3К: 5%]]</f>
        <v>110411.64552936463</v>
      </c>
      <c r="CI91" s="93">
        <f>ППД5[[#This Row],[Фикс 01.11.24]]*13%</f>
        <v>14353.513918817402</v>
      </c>
      <c r="CJ91" s="93">
        <f>ППД5[[#This Row],[Наценка 06.11 13%]]+ППД5[[#This Row],[Фикс 01.11.24]]</f>
        <v>124765.15944818204</v>
      </c>
      <c r="CK91" s="93">
        <v>35</v>
      </c>
      <c r="CL91" s="93">
        <f>ППД5[[#This Row],[Фикс 06.11.24]]+ППД5[[#This Row],[Наценка 18.12.24 распределение КВ]]</f>
        <v>124800.15944818204</v>
      </c>
      <c r="CM91" s="93"/>
      <c r="CN91" s="93">
        <f>ППД5[[#This Row],[Фикс 18.12.24]]+ППД5[[#This Row],[Наценка 10.02.25 +1%
1К: А3
2К: Б3, В3]]</f>
        <v>124800.15944818204</v>
      </c>
      <c r="CO91" s="93">
        <f>ROUND(ППД5[[#This Row],[Фикс 10.02.25]],2)</f>
        <v>124800.16</v>
      </c>
      <c r="CP9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7258400</v>
      </c>
      <c r="CQ91" s="93">
        <f>ROUNDUP(ППД5[[#This Row],[Стоимость до скидки]]+ППД5[[#This Row],[Сумма доплаты]],-2)</f>
        <v>7251000</v>
      </c>
      <c r="CR91" s="68">
        <v>517752</v>
      </c>
      <c r="CS91" s="90"/>
      <c r="CT91" s="68">
        <f>ППД5[[#This Row],[Стоимость до скидки]]*ППД5[[#This Row],[Скидка %]]+ППД5[[#This Row],[Скидка фиксированная]]</f>
        <v>517752</v>
      </c>
      <c r="CU91" s="3">
        <f>ППД5[[#This Row],[Стоимость ОН без отделки со скидкой]]/ППД5[[#This Row],[Расчетная проектная площадь]]</f>
        <v>115898.34938101789</v>
      </c>
      <c r="CV91" s="3">
        <f>ROUND(ППД5[[#This Row],[Стоимость до скидки]]-ППД5[[#This Row],[Итоговая сумма скидки]],2)</f>
        <v>6740648</v>
      </c>
      <c r="CW9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91" s="197">
        <v>10000</v>
      </c>
      <c r="CY91" s="332">
        <f>ППД5[[#This Row],[Расхождение]]/ППД5[[#This Row],[Расчетная проектная площадь]]</f>
        <v>-1.0316368638239731E-3</v>
      </c>
      <c r="CZ9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2.9999999999999361E-2</v>
      </c>
      <c r="DA91" s="3">
        <f>ППД5[[#This Row],[Цена м2 без отделки со скидкой]]+ППД5[[#This Row],[Стоимость отделки]]</f>
        <v>125898.34938101789</v>
      </c>
      <c r="DB91" s="3">
        <f>ППД5[[#This Row],[Стоимость квартиры с отделкой]]-ППД5[[#This Row],[Стоимость ОН без отделки со скидкой]]</f>
        <v>581600</v>
      </c>
      <c r="DC91" s="3">
        <f>ППД5[[#This Row],[Цена м2 с отделкой]]*ППД5[[#This Row],[Расчетная проектная площадь]]</f>
        <v>7322248</v>
      </c>
      <c r="DD91" s="3"/>
      <c r="DE91" s="111" t="s">
        <v>2276</v>
      </c>
      <c r="DF91" s="155" t="s">
        <v>172</v>
      </c>
      <c r="DG91" s="221" t="s">
        <v>172</v>
      </c>
      <c r="DH91" s="100" t="b">
        <f>EXACT(ППД5[[#This Row],[Статусы CRM]],ППД5[[#This Row],[Статус]])</f>
        <v>1</v>
      </c>
      <c r="DI91" s="213" t="s">
        <v>263</v>
      </c>
      <c r="DJ91" s="204"/>
      <c r="DK91" s="111" t="s">
        <v>763</v>
      </c>
      <c r="DL91" s="216" t="s">
        <v>780</v>
      </c>
      <c r="DM91" s="201" t="b">
        <f>ППД5[[#This Row],[Отделка CRM]]=ППД5[[#This Row],[Отделка]]</f>
        <v>1</v>
      </c>
      <c r="DN91" s="209">
        <v>7322248</v>
      </c>
      <c r="DO9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91" s="207" t="b">
        <f>IF(AND(ППД5[[#This Row],[Статус]]="свободно",ППД5[[#This Row],[Итоговая сумма скидки]]&lt;&gt;0),FALSE,TRUE)</f>
        <v>1</v>
      </c>
      <c r="DQ91" s="240" t="str">
        <f>_xlfn.XLOOKUP(ППД5[[#This Row],[№]],Юрист[№ кв],Юрист[Дата подачи на регистрацию]," ",0,-1)</f>
        <v xml:space="preserve"> </v>
      </c>
      <c r="DR91" s="115" t="str">
        <f>_xlfn.XLOOKUP(ППД5[[#This Row],[№]],Юрист[№ кв],Юрист[МОП],"",0,-1)</f>
        <v/>
      </c>
      <c r="DS91" s="333" t="s">
        <v>2474</v>
      </c>
      <c r="DT91" s="333" t="s">
        <v>2475</v>
      </c>
      <c r="DU91" s="333">
        <v>56.8</v>
      </c>
      <c r="DV91" s="111"/>
    </row>
    <row r="92" spans="1:126" hidden="1" x14ac:dyDescent="0.25">
      <c r="A92" s="112">
        <v>90</v>
      </c>
      <c r="B92" s="111" t="s">
        <v>5</v>
      </c>
      <c r="C92" s="111">
        <v>13</v>
      </c>
      <c r="D92" s="111">
        <v>7</v>
      </c>
      <c r="E92" s="111">
        <v>1</v>
      </c>
      <c r="F92" s="157">
        <v>18.489999999999998</v>
      </c>
      <c r="G92" s="105"/>
      <c r="H92" s="105"/>
      <c r="I92" s="94">
        <f>SUM(ППД5[[#This Row],[Комната 1]:[Комната 3]])</f>
        <v>18.489999999999998</v>
      </c>
      <c r="J92" s="105">
        <v>13.04</v>
      </c>
      <c r="K92" s="105">
        <v>3.9</v>
      </c>
      <c r="L92" s="105"/>
      <c r="M92" s="105"/>
      <c r="N92" s="105">
        <v>5.99</v>
      </c>
      <c r="O92" s="105">
        <v>2.65</v>
      </c>
      <c r="P92" s="105"/>
      <c r="Q92" s="105"/>
      <c r="R92" s="105">
        <f>SUM(ППД5[[#This Row],[Лоджия 1]:[Лоджия 3]])</f>
        <v>2.65</v>
      </c>
      <c r="S92" s="7">
        <f>ROUND(SUM(ППД5[[#This Row],[Площадь по проекту жилая]:[Лоджия 3]]),2)</f>
        <v>44.07</v>
      </c>
      <c r="T92" s="7">
        <f>ROUND(ППД5[[#This Row],[Площадь по проекту(общая)]]-ППД5[[#This Row],[Летние]],2)</f>
        <v>41.42</v>
      </c>
      <c r="U92" s="92">
        <f>ROUND(ППД5[[#This Row],[Площадь по проекту(общая)]]-(SUM(ППД5[[#This Row],[Лоджия 1]:[Лоджия 3]])/2),2)</f>
        <v>42.75</v>
      </c>
      <c r="V92" s="92">
        <f>IF(ППД5[[#This Row],[Статус]]="продажа",ППД5[[#This Row],[Расчетная проектная площадь]],ППД5[[#This Row],[Расчетная ТП площадь]])</f>
        <v>42.75</v>
      </c>
      <c r="W92" s="92">
        <v>18.5</v>
      </c>
      <c r="X92" s="92"/>
      <c r="Y92" s="92"/>
      <c r="Z92" s="92">
        <f>SUM(ППД5[[#This Row],[ТП Комната 1]:[ТП Комната 3]])</f>
        <v>18.5</v>
      </c>
      <c r="AA92" s="92">
        <v>12.9</v>
      </c>
      <c r="AB92" s="92">
        <v>3.9</v>
      </c>
      <c r="AC92" s="92"/>
      <c r="AD92" s="92"/>
      <c r="AE92" s="92">
        <v>6</v>
      </c>
      <c r="AF92" s="92">
        <v>1.3</v>
      </c>
      <c r="AG92" s="92"/>
      <c r="AH92" s="92"/>
      <c r="AI92" s="91">
        <f>SUM(ППД5[[#This Row],[ТП Лоджия 1]:[ТП Лоджия 3]])</f>
        <v>1.3</v>
      </c>
      <c r="AJ92" s="95">
        <v>2.6</v>
      </c>
      <c r="AK92" s="92">
        <f>SUM(ППД5[[#This Row],[Площадь по ТП жилая]:[ТП Лоджия 3]])-ППД5[[#This Row],[ТП Летние]]+ППД5[[#This Row],[кроме того прочая
(без коэффициента)]]</f>
        <v>43.9</v>
      </c>
      <c r="AL92" s="95">
        <f>ППД5[[#This Row],[ТП Площадь без летних]]+(ППД5[[#This Row],[ТП Летние]])</f>
        <v>42.599999999999994</v>
      </c>
      <c r="AM92" s="92">
        <f>ППД5[[#This Row],[ТП общая S]]-ППД5[[#This Row],[кроме того прочая
(без коэффициента)]]</f>
        <v>41.3</v>
      </c>
      <c r="AN92" s="95">
        <f>SUM(ППД5[[#This Row],[ТП Кухня]:[ТП Коридор]])</f>
        <v>22.8</v>
      </c>
      <c r="AO92" s="91">
        <f>ППД5[[#This Row],[Расчетная ТП площадь]]-ППД5[[#This Row],[Расчетная проектная площадь]]</f>
        <v>-0.15000000000000568</v>
      </c>
      <c r="AP92" s="335">
        <f>ППД5[[#This Row],[Расчетная ТП площадь]]/ППД5[[#This Row],[Расчетная проектная площадь]]-1</f>
        <v>-3.5087719298246833E-3</v>
      </c>
      <c r="AQ92" s="92">
        <f>ППД5[[#This Row],[% расхождения]]*ППД5[[#This Row],[Стоимость до скидки]]</f>
        <v>-16571.228070176014</v>
      </c>
      <c r="AR92" s="92">
        <f>VLOOKUP(ППД5[[#This Row],[№]],наценкад5[],COLUMN(наценкад5[[#This Row],[Цена м2 с учетом всех K]]),0)</f>
        <v>83951.4375</v>
      </c>
      <c r="AS92" s="7">
        <f>ППД5[[#This Row],[м2 после К]]*5%</f>
        <v>4197.5718750000005</v>
      </c>
      <c r="AT92" s="7">
        <f>ППД5[[#This Row],[м2 после К]]+ППД5[[#This Row],[Повышение 16.08.23 - 5%]]</f>
        <v>88149.009374999994</v>
      </c>
      <c r="AU92" s="9">
        <f>ППД5[[#This Row],[Фикс 16.08.23]]*3%</f>
        <v>2644.4702812499995</v>
      </c>
      <c r="AV92" s="9">
        <f>ППД5[[#This Row],[Фикс 16.08.23]]+ППД5[[#This Row],[Повышение 29.08.23 - 3%]]</f>
        <v>90793.479656249998</v>
      </c>
      <c r="AW92" s="93">
        <f>ППД5[[#This Row],[Фикс 29.08.23]]*4%</f>
        <v>3631.7391862499999</v>
      </c>
      <c r="AX92" s="9">
        <f>ППД5[[#This Row],[Фикс 29.08.23]]+ППД5[[#This Row],[Повышение 06.09.23 СТ и 1К]]</f>
        <v>94425.218842499991</v>
      </c>
      <c r="AY92" s="9"/>
      <c r="AZ92" s="9">
        <f>ППД5[[#This Row],[Повышение 23.10.23  В4 ]]+ППД5[[#This Row],[Фикс 06.09.23]]</f>
        <v>94425.218842499991</v>
      </c>
      <c r="BA92" s="93">
        <f>ППД5[[#This Row],[Фикс 23.10.23]]*5%</f>
        <v>4721.2609421249999</v>
      </c>
      <c r="BB92" s="93">
        <f>ППД5[[#This Row],[Повышение 8.11.23 1К 5%]]+ППД5[[#This Row],[Фикс 23.10.23]]</f>
        <v>99146.479784624986</v>
      </c>
      <c r="BC92" s="93"/>
      <c r="BD92" s="93">
        <f>ППД5[[#This Row],[Корректировка 24.11.23 - 1К В5, 2К А2, №233]]+ППД5[[#This Row],[Фикс 8.11.23]]</f>
        <v>99146.479784624986</v>
      </c>
      <c r="BE92" s="93">
        <f>ППД5[[#This Row],[Фикс 8.11.24]]*1%</f>
        <v>991.46479784624989</v>
      </c>
      <c r="BF92" s="93">
        <f>ППД5[[#This Row],[Наценка за отделку 29.12.23 1%]]+ППД5[[#This Row],[Фикс 8.11.24]]</f>
        <v>100137.94458247123</v>
      </c>
      <c r="BG92" s="93">
        <f>ППД5[[#This Row],[Фикс 29.12.23]]*5%</f>
        <v>5006.8972291235623</v>
      </c>
      <c r="BH92" s="93">
        <f>ППД5[[#This Row],[Фикс 29.12.23]]+ППД5[[#This Row],[Наценка 10.01.24 5%]]</f>
        <v>105144.84181159479</v>
      </c>
      <c r="BI92" s="93"/>
      <c r="BJ92" s="93">
        <f>ППД5[[#This Row],[Наценка 26.02.24 1 Этаж]]+ППД5[[#This Row],[Фикс 10.01.24]]</f>
        <v>105144.84181159479</v>
      </c>
      <c r="BK92" s="93">
        <f>ППД5[[#This Row],[Фикс 26.02.24]]*3%</f>
        <v>3154.3452543478434</v>
      </c>
      <c r="BL92" s="93">
        <f>ППД5[[#This Row],[Фикс 26.02.24]]+ППД5[[#This Row],[Наценка 06.03.24
СТ, 1К - 3%
2К, 3К - 2%]]</f>
        <v>108299.18706594263</v>
      </c>
      <c r="BM92" s="93"/>
      <c r="BN92" s="93">
        <f>ППД5[[#This Row],[Фикс 06.03.24]]+ППД5[[#This Row],[Наценка Г2+500]]</f>
        <v>108299.18706594263</v>
      </c>
      <c r="BO92" s="93"/>
      <c r="BP92" s="93">
        <f>ППД5[[#This Row],[Фикс 13.03.25]]+ППД5[[#This Row],[Наценка 20.03.24
2К, 3К - 2%]]</f>
        <v>108299.18706594263</v>
      </c>
      <c r="BQ92" s="93"/>
      <c r="BR92" s="93">
        <f>ППД5[[#This Row],[Фикс 20.03.24]]+ППД5[[#This Row],[Наценка 08.04.24 
2К: В3 - 150
3К: Г7 +1000]]</f>
        <v>108299.18706594263</v>
      </c>
      <c r="BS92" s="93"/>
      <c r="BT92" s="93">
        <f>ППД5[[#This Row],[Фикс 08.04.24]]+ППД5[[#This Row],[Наценка 16.05.24 1%
А4,А6,Б3,Б6,Б7,В2,В3,В5,В6,Г1,Г3-Г5]]</f>
        <v>108299.18706594263</v>
      </c>
      <c r="BU92" s="93"/>
      <c r="BV92" s="93">
        <f>ППД5[[#This Row],[Фикс 16.05.24]]+ППД5[[#This Row],[Наценка 24.05.24
1% - Б4, Б5,Г2,Г6
2% - А1,А3,А5,Б2,Г7]]</f>
        <v>108299.18706594263</v>
      </c>
      <c r="BW92" s="9">
        <f>ППД5[[#This Row],[Фикс 24.05.24]]*0.5%</f>
        <v>541.49593532971323</v>
      </c>
      <c r="BX92" s="93">
        <f>ППД5[[#This Row],[Наценка 06.06.24
0К: В2,Г3 +0,5%
1К: А7, Б5/4, Г6 +0,5%
3К: В6 +0,5%
1К: А3 +1%]]+ППД5[[#This Row],[Фикс 24.05.24]]</f>
        <v>108840.68300127235</v>
      </c>
      <c r="BY92" s="93"/>
      <c r="BZ92" s="93">
        <f>ППД5[[#This Row],[Фикс 06.06.24]]+ППД5[[#This Row],[13.06.2024
3К - 2%]]</f>
        <v>108840.68300127235</v>
      </c>
      <c r="CA92" s="93">
        <f>1.5%*ППД5[[#This Row],[Фикс 13.06.24]]</f>
        <v>1632.6102450190851</v>
      </c>
      <c r="CB92" s="93">
        <f>ППД5[[#This Row],[02.07.2024: Г3 А1 А3 Б5 Б7 Г2 Г6 Б3 Б4 В3 Г7 2,5% ост 0,5-1,5%]]+ППД5[[#This Row],[Фикс 13.06.24]]</f>
        <v>110473.29324629143</v>
      </c>
      <c r="CC92" s="93"/>
      <c r="CD92" s="93">
        <f>ППД5[[#This Row],[Фикс 02.07.24]]+ППД5[[#This Row],[04.09.2024 +500
0К - Б2; 1К - А3;
2К - А6, Б4, В3, Г5]]</f>
        <v>110473.29324629143</v>
      </c>
      <c r="CE92" s="93"/>
      <c r="CF92" s="93">
        <f>ППД5[[#This Row],[Наценка 16.09.2024
1К: А1,В7,Г6/7,Г8 - 2%
2К: А4,А5,А6,Б1,Б6,Б3/4,В3,В4,Г4,Г5 - 4%
3К: 4%]]+ППД5[[#This Row],[Фикс 04.09.24]]</f>
        <v>110473.29324629143</v>
      </c>
      <c r="CG92" s="93"/>
      <c r="CH92" s="93">
        <f>ППД5[[#This Row],[Фикс 16.09.2024]]+ППД5[[#This Row],[Наценка 01.11.24
СТ: 4%
1К: 34-40м 5%; 40м+ 8%; МГН 1%
2К: 55-70м 6%; 70-73м 7%; 73-76м 8% 
3К: 5%]]</f>
        <v>110473.29324629143</v>
      </c>
      <c r="CI92" s="93"/>
      <c r="CJ92" s="93">
        <f>ППД5[[#This Row],[Наценка 06.11 13%]]+ППД5[[#This Row],[Фикс 01.11.24]]</f>
        <v>110473.29324629143</v>
      </c>
      <c r="CK92" s="93"/>
      <c r="CL92" s="93">
        <f>ППД5[[#This Row],[Фикс 06.11.24]]+ППД5[[#This Row],[Наценка 18.12.24 распределение КВ]]</f>
        <v>110473.29324629143</v>
      </c>
      <c r="CM92" s="93"/>
      <c r="CN92" s="93">
        <f>ППД5[[#This Row],[Фикс 18.12.24]]+ППД5[[#This Row],[Наценка 10.02.25 +1%
1К: А3
2К: Б3, В3]]</f>
        <v>110473.29324629143</v>
      </c>
      <c r="CO92" s="93">
        <f>ROUND(ППД5[[#This Row],[Фикс 10.02.25]],2)</f>
        <v>110473.29</v>
      </c>
      <c r="CP9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4722800</v>
      </c>
      <c r="CQ92" s="93">
        <f>ROUNDUP(ППД5[[#This Row],[Стоимость до скидки]]+ППД5[[#This Row],[Сумма доплаты]],-2)</f>
        <v>4706300</v>
      </c>
      <c r="CR92" s="68"/>
      <c r="CS92" s="210"/>
      <c r="CT92" s="68">
        <f>ППД5[[#This Row],[Стоимость до скидки]]*ППД5[[#This Row],[Скидка %]]+ППД5[[#This Row],[Скидка фиксированная]]</f>
        <v>0</v>
      </c>
      <c r="CU92" s="3">
        <f>ППД5[[#This Row],[Стоимость ОН без отделки со скидкой]]/ППД5[[#This Row],[Расчетная проектная площадь]]</f>
        <v>110474.85380116959</v>
      </c>
      <c r="CV92" s="3">
        <f>ROUND(ППД5[[#This Row],[Стоимость до скидки]]-ППД5[[#This Row],[Итоговая сумма скидки]],2)</f>
        <v>4722800</v>
      </c>
      <c r="CW9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92" s="197">
        <v>7000</v>
      </c>
      <c r="CY92" s="332">
        <f>ППД5[[#This Row],[Расхождение]]/ППД5[[#This Row],[Расчетная проектная площадь]]</f>
        <v>-3.5087719298246942E-3</v>
      </c>
      <c r="CZ9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-0.12999999999999723</v>
      </c>
      <c r="DA92" s="3">
        <f>ППД5[[#This Row],[Цена м2 без отделки со скидкой]]+ППД5[[#This Row],[Стоимость отделки]]</f>
        <v>117474.85380116959</v>
      </c>
      <c r="DB92" s="3">
        <f>ППД5[[#This Row],[Стоимость квартиры с отделкой]]-ППД5[[#This Row],[Стоимость ОН без отделки со скидкой]]</f>
        <v>299250</v>
      </c>
      <c r="DC92" s="3">
        <f>ППД5[[#This Row],[Цена м2 с отделкой]]*ППД5[[#This Row],[Расчетная проектная площадь]]</f>
        <v>5022050</v>
      </c>
      <c r="DD92" s="3"/>
      <c r="DF92" s="199" t="s">
        <v>172</v>
      </c>
      <c r="DG92" s="245" t="s">
        <v>172</v>
      </c>
      <c r="DH92" s="100" t="b">
        <f>EXACT(ППД5[[#This Row],[Статусы CRM]],ППД5[[#This Row],[Статус]])</f>
        <v>1</v>
      </c>
      <c r="DI92" s="213" t="s">
        <v>264</v>
      </c>
      <c r="DJ92" s="204"/>
      <c r="DK92" s="111" t="s">
        <v>763</v>
      </c>
      <c r="DL92" s="216" t="s">
        <v>780</v>
      </c>
      <c r="DM92" s="201" t="b">
        <f>ППД5[[#This Row],[Отделка CRM]]=ППД5[[#This Row],[Отделка]]</f>
        <v>1</v>
      </c>
      <c r="DN92" s="203">
        <v>5022050</v>
      </c>
      <c r="DO9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92" s="207" t="b">
        <f>IF(AND(ППД5[[#This Row],[Статус]]="свободно",ППД5[[#This Row],[Итоговая сумма скидки]]&lt;&gt;0),FALSE,TRUE)</f>
        <v>1</v>
      </c>
      <c r="DQ92" s="240">
        <f>_xlfn.XLOOKUP(ППД5[[#This Row],[№]],Юрист[№ кв],Юрист[Дата подачи на регистрацию]," ",0,-1)</f>
        <v>45588</v>
      </c>
      <c r="DR92" s="115" t="str">
        <f>_xlfn.XLOOKUP(ППД5[[#This Row],[№]],Юрист[№ кв],Юрист[МОП],"",0,-1)</f>
        <v>Полехович</v>
      </c>
      <c r="DS92" s="333" t="s">
        <v>2476</v>
      </c>
      <c r="DT92" s="333" t="s">
        <v>2477</v>
      </c>
      <c r="DU92" s="333">
        <v>41.3</v>
      </c>
      <c r="DV92" s="111"/>
    </row>
    <row r="93" spans="1:126" hidden="1" x14ac:dyDescent="0.25">
      <c r="A93" s="112">
        <v>91</v>
      </c>
      <c r="B93" s="111" t="s">
        <v>5</v>
      </c>
      <c r="C93" s="111">
        <v>14</v>
      </c>
      <c r="D93" s="338">
        <v>1</v>
      </c>
      <c r="E93" s="111">
        <v>1</v>
      </c>
      <c r="F93" s="105">
        <v>14.68</v>
      </c>
      <c r="G93" s="105"/>
      <c r="H93" s="105"/>
      <c r="I93" s="94">
        <f>SUM(ППД5[[#This Row],[Комната 1]:[Комната 3]])</f>
        <v>14.68</v>
      </c>
      <c r="J93" s="1">
        <v>9.84</v>
      </c>
      <c r="K93" s="105">
        <v>3.63</v>
      </c>
      <c r="L93" s="105"/>
      <c r="M93" s="105"/>
      <c r="N93" s="105">
        <v>4.8899999999999997</v>
      </c>
      <c r="O93" s="105">
        <v>2.7</v>
      </c>
      <c r="P93" s="105"/>
      <c r="Q93" s="105"/>
      <c r="R93" s="105">
        <f>SUM(ППД5[[#This Row],[Лоджия 1]:[Лоджия 3]])</f>
        <v>2.7</v>
      </c>
      <c r="S93" s="7">
        <f>ROUND(SUM(ППД5[[#This Row],[Площадь по проекту жилая]:[Лоджия 3]]),2)</f>
        <v>35.74</v>
      </c>
      <c r="T93" s="7">
        <f>ROUND(ППД5[[#This Row],[Площадь по проекту(общая)]]-ППД5[[#This Row],[Летние]],2)</f>
        <v>33.04</v>
      </c>
      <c r="U93" s="92">
        <f>ROUND(ППД5[[#This Row],[Площадь по проекту(общая)]]-(SUM(ППД5[[#This Row],[Лоджия 1]:[Лоджия 3]])/2),2)</f>
        <v>34.39</v>
      </c>
      <c r="V93" s="92">
        <f>IF(ППД5[[#This Row],[Статус]]="продажа",ППД5[[#This Row],[Расчетная проектная площадь]],ППД5[[#This Row],[Расчетная ТП площадь]])</f>
        <v>34.550000000000004</v>
      </c>
      <c r="W93" s="92">
        <v>14.8</v>
      </c>
      <c r="X93" s="92"/>
      <c r="Y93" s="92"/>
      <c r="Z93" s="92">
        <f>SUM(ППД5[[#This Row],[ТП Комната 1]:[ТП Комната 3]])</f>
        <v>14.8</v>
      </c>
      <c r="AA93" s="92">
        <v>9.6999999999999993</v>
      </c>
      <c r="AB93" s="92">
        <v>3.8</v>
      </c>
      <c r="AC93" s="92"/>
      <c r="AD93" s="92"/>
      <c r="AE93" s="92">
        <v>4.9000000000000004</v>
      </c>
      <c r="AF93" s="91">
        <v>1.35</v>
      </c>
      <c r="AG93" s="92"/>
      <c r="AH93" s="92"/>
      <c r="AI93" s="91">
        <f>SUM(ППД5[[#This Row],[ТП Лоджия 1]:[ТП Лоджия 3]])</f>
        <v>1.35</v>
      </c>
      <c r="AJ93" s="95">
        <v>2.7</v>
      </c>
      <c r="AK93" s="92">
        <f>SUM(ППД5[[#This Row],[Площадь по ТП жилая]:[ТП Лоджия 3]])-ППД5[[#This Row],[ТП Летние]]+ППД5[[#This Row],[кроме того прочая
(без коэффициента)]]</f>
        <v>35.900000000000006</v>
      </c>
      <c r="AL93" s="95">
        <f>ППД5[[#This Row],[ТП Площадь без летних]]+(ППД5[[#This Row],[ТП Летние]])</f>
        <v>34.550000000000004</v>
      </c>
      <c r="AM93" s="92">
        <f>ППД5[[#This Row],[ТП общая S]]-ППД5[[#This Row],[кроме того прочая
(без коэффициента)]]</f>
        <v>33.200000000000003</v>
      </c>
      <c r="AN93" s="95">
        <f>SUM(ППД5[[#This Row],[ТП Кухня]:[ТП Коридор]])</f>
        <v>18.399999999999999</v>
      </c>
      <c r="AO93" s="91">
        <f>ППД5[[#This Row],[Расчетная ТП площадь]]-ППД5[[#This Row],[Расчетная проектная площадь]]</f>
        <v>0.16000000000000369</v>
      </c>
      <c r="AP93" s="335">
        <f>ППД5[[#This Row],[Расчетная ТП площадь]]/ППД5[[#This Row],[Расчетная проектная площадь]]-1</f>
        <v>4.6525152660659153E-3</v>
      </c>
      <c r="AQ93" s="92">
        <f>ППД5[[#This Row],[% расхождения]]*ППД5[[#This Row],[Стоимость до скидки]]</f>
        <v>23690.60773480764</v>
      </c>
      <c r="AR93" s="92">
        <f>VLOOKUP(ППД5[[#This Row],[№]],наценкад5[],COLUMN(наценкад5[[#This Row],[Цена м2 с учетом всех K]]),0)</f>
        <v>82734.75</v>
      </c>
      <c r="AS93" s="7">
        <f>ППД5[[#This Row],[м2 после К]]*5%</f>
        <v>4136.7375000000002</v>
      </c>
      <c r="AT93" s="7">
        <f>ППД5[[#This Row],[м2 после К]]+ППД5[[#This Row],[Повышение 16.08.23 - 5%]]</f>
        <v>86871.487500000003</v>
      </c>
      <c r="AU93" s="9">
        <f>ППД5[[#This Row],[Фикс 16.08.23]]*3%</f>
        <v>2606.1446249999999</v>
      </c>
      <c r="AV93" s="9">
        <f>ППД5[[#This Row],[Фикс 16.08.23]]+ППД5[[#This Row],[Повышение 29.08.23 - 3%]]</f>
        <v>89477.632125000004</v>
      </c>
      <c r="AW93" s="93">
        <f>ППД5[[#This Row],[Фикс 29.08.23]]*14%</f>
        <v>12526.868497500001</v>
      </c>
      <c r="AX93" s="9">
        <f>ППД5[[#This Row],[Фикс 29.08.23]]+ППД5[[#This Row],[Повышение 06.09.23 СТ и 1К]]</f>
        <v>102004.50062250001</v>
      </c>
      <c r="AY93" s="9"/>
      <c r="AZ93" s="9">
        <f>ППД5[[#This Row],[Повышение 23.10.23  В4 ]]+ППД5[[#This Row],[Фикс 06.09.23]]</f>
        <v>102004.50062250001</v>
      </c>
      <c r="BA93" s="93">
        <f>ППД5[[#This Row],[Фикс 23.10.23]]*5%</f>
        <v>5100.2250311250009</v>
      </c>
      <c r="BB93" s="93">
        <f>ППД5[[#This Row],[Повышение 8.11.23 1К 5%]]+ППД5[[#This Row],[Фикс 23.10.23]]</f>
        <v>107104.72565362501</v>
      </c>
      <c r="BC93" s="93"/>
      <c r="BD93" s="93">
        <f>ППД5[[#This Row],[Корректировка 24.11.23 - 1К В5, 2К А2, №233]]+ППД5[[#This Row],[Фикс 8.11.23]]</f>
        <v>107104.72565362501</v>
      </c>
      <c r="BE93" s="93">
        <f>ППД5[[#This Row],[Фикс 8.11.24]]*1%</f>
        <v>1071.0472565362502</v>
      </c>
      <c r="BF93" s="93">
        <f>ППД5[[#This Row],[Наценка за отделку 29.12.23 1%]]+ППД5[[#This Row],[Фикс 8.11.24]]</f>
        <v>108175.77291016125</v>
      </c>
      <c r="BG93" s="93">
        <f>ППД5[[#This Row],[Фикс 29.12.23]]*5%</f>
        <v>5408.7886455080625</v>
      </c>
      <c r="BH93" s="93">
        <f>ППД5[[#This Row],[Фикс 29.12.23]]+ППД5[[#This Row],[Наценка 10.01.24 5%]]</f>
        <v>113584.56155566931</v>
      </c>
      <c r="BI93" s="93"/>
      <c r="BJ93" s="93">
        <f>ППД5[[#This Row],[Наценка 26.02.24 1 Этаж]]+ППД5[[#This Row],[Фикс 10.01.24]]</f>
        <v>113584.56155566931</v>
      </c>
      <c r="BK93" s="93">
        <f>ППД5[[#This Row],[Фикс 26.02.24]]*3%</f>
        <v>3407.5368466700793</v>
      </c>
      <c r="BL93" s="93">
        <f>ППД5[[#This Row],[Фикс 26.02.24]]+ППД5[[#This Row],[Наценка 06.03.24
СТ, 1К - 3%
2К, 3К - 2%]]</f>
        <v>116992.09840233938</v>
      </c>
      <c r="BM93" s="93"/>
      <c r="BN93" s="93">
        <f>ППД5[[#This Row],[Фикс 06.03.24]]+ППД5[[#This Row],[Наценка Г2+500]]</f>
        <v>116992.09840233938</v>
      </c>
      <c r="BO93" s="93"/>
      <c r="BP93" s="93">
        <f>ППД5[[#This Row],[Фикс 13.03.25]]+ППД5[[#This Row],[Наценка 20.03.24
2К, 3К - 2%]]</f>
        <v>116992.09840233938</v>
      </c>
      <c r="BQ93" s="93"/>
      <c r="BR93" s="93">
        <f>ППД5[[#This Row],[Фикс 20.03.24]]+ППД5[[#This Row],[Наценка 08.04.24 
2К: В3 - 150
3К: Г7 +1000]]</f>
        <v>116992.09840233938</v>
      </c>
      <c r="BS93" s="93"/>
      <c r="BT93" s="93">
        <f>ППД5[[#This Row],[Фикс 08.04.24]]+ППД5[[#This Row],[Наценка 16.05.24 1%
А4,А6,Б3,Б6,Б7,В2,В3,В5,В6,Г1,Г3-Г5]]</f>
        <v>116992.09840233938</v>
      </c>
      <c r="BU93" s="93">
        <f>ППД5[[#This Row],[Фикс 16.05.24]]*2%</f>
        <v>2339.8419680467878</v>
      </c>
      <c r="BV93" s="93">
        <f>ППД5[[#This Row],[Фикс 16.05.24]]+ППД5[[#This Row],[Наценка 24.05.24
1% - Б4, Б5,Г2,Г6
2% - А1,А3,А5,Б2,Г7]]</f>
        <v>119331.94037038618</v>
      </c>
      <c r="BW93" s="93"/>
      <c r="BX93" s="93">
        <f>ППД5[[#This Row],[Наценка 06.06.24
0К: В2,Г3 +0,5%
1К: А7, Б5/4, Г6 +0,5%
3К: В6 +0,5%
1К: А3 +1%]]+ППД5[[#This Row],[Фикс 24.05.24]]</f>
        <v>119331.94037038618</v>
      </c>
      <c r="BY93" s="93"/>
      <c r="BZ93" s="93">
        <f>ППД5[[#This Row],[Фикс 06.06.24]]+ППД5[[#This Row],[13.06.2024
3К - 2%]]</f>
        <v>119331.94037038618</v>
      </c>
      <c r="CA93" s="93">
        <f>2.5%*ППД5[[#This Row],[Фикс 13.06.24]]</f>
        <v>2983.2985092596546</v>
      </c>
      <c r="CB93" s="93">
        <f>ППД5[[#This Row],[02.07.2024: Г3 А1 А3 Б5 Б7 Г2 Г6 Б3 Б4 В3 Г7 2,5% ост 0,5-1,5%]]+ППД5[[#This Row],[Фикс 13.06.24]]</f>
        <v>122315.23887964583</v>
      </c>
      <c r="CC93" s="93"/>
      <c r="CD93" s="93">
        <f>ППД5[[#This Row],[Фикс 02.07.24]]+ППД5[[#This Row],[04.09.2024 +500
0К - Б2; 1К - А3;
2К - А6, Б4, В3, Г5]]</f>
        <v>122315.23887964583</v>
      </c>
      <c r="CE93" s="93">
        <f>ППД5[[#This Row],[Фикс 04.09.24]]*2%</f>
        <v>2446.3047775929167</v>
      </c>
      <c r="CF93" s="93">
        <f>ППД5[[#This Row],[Наценка 16.09.2024
1К: А1,В7,Г6/7,Г8 - 2%
2К: А4,А5,А6,Б1,Б6,Б3/4,В3,В4,Г4,Г5 - 4%
3К: 4%]]+ППД5[[#This Row],[Фикс 04.09.24]]</f>
        <v>124761.54365723874</v>
      </c>
      <c r="CG93" s="93">
        <f>ППД5[[#This Row],[Фикс 16.09.2024]]*5%</f>
        <v>6238.0771828619372</v>
      </c>
      <c r="CH93" s="93">
        <f>ППД5[[#This Row],[Фикс 16.09.2024]]+ППД5[[#This Row],[Наценка 01.11.24
СТ: 4%
1К: 34-40м 5%; 40м+ 8%; МГН 1%
2К: 55-70м 6%; 70-73м 7%; 73-76м 8% 
3К: 5%]]</f>
        <v>130999.62084010067</v>
      </c>
      <c r="CI93" s="93">
        <f>ППД5[[#This Row],[Фикс 01.11.24]]*13%</f>
        <v>17029.950709213088</v>
      </c>
      <c r="CJ93" s="93">
        <f>ППД5[[#This Row],[Наценка 06.11 13%]]+ППД5[[#This Row],[Фикс 01.11.24]]</f>
        <v>148029.57154931375</v>
      </c>
      <c r="CK93" s="93">
        <v>35</v>
      </c>
      <c r="CL93" s="93">
        <f>ППД5[[#This Row],[Фикс 06.11.24]]+ППД5[[#This Row],[Наценка 18.12.24 распределение КВ]]</f>
        <v>148064.57154931375</v>
      </c>
      <c r="CM93" s="93"/>
      <c r="CN93" s="93">
        <f>ППД5[[#This Row],[Фикс 18.12.24]]+ППД5[[#This Row],[Наценка 10.02.25 +1%
1К: А3
2К: Б3, В3]]</f>
        <v>148064.57154931375</v>
      </c>
      <c r="CO93" s="93">
        <f>ROUND(ППД5[[#This Row],[Фикс 10.02.25]],2)</f>
        <v>148064.57</v>
      </c>
      <c r="CP9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5092000</v>
      </c>
      <c r="CQ93" s="93">
        <f>ROUNDUP(ППД5[[#This Row],[Стоимость до скидки]]+ППД5[[#This Row],[Сумма доплаты]],-2)</f>
        <v>5115700</v>
      </c>
      <c r="CR93" s="68"/>
      <c r="CS93" s="90"/>
      <c r="CT93" s="68">
        <f>ППД5[[#This Row],[Стоимость до скидки]]*ППД5[[#This Row],[Скидка %]]+ППД5[[#This Row],[Скидка фиксированная]]</f>
        <v>0</v>
      </c>
      <c r="CU93" s="3">
        <f>ППД5[[#This Row],[Стоимость ОН без отделки со скидкой]]/ППД5[[#This Row],[Расчетная проектная площадь]]</f>
        <v>148066.29834254144</v>
      </c>
      <c r="CV93" s="3">
        <f>ROUND(ППД5[[#This Row],[Стоимость до скидки]]-ППД5[[#This Row],[Итоговая сумма скидки]],2)</f>
        <v>5092000</v>
      </c>
      <c r="CW9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93" s="218">
        <v>10000</v>
      </c>
      <c r="CY93" s="332">
        <f>ППД5[[#This Row],[Расхождение]]/ППД5[[#This Row],[Расчетная проектная площадь]]</f>
        <v>4.6525152660658242E-3</v>
      </c>
      <c r="CZ93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3.9999999999999147E-2</v>
      </c>
      <c r="DA93" s="3">
        <f>ППД5[[#This Row],[Цена м2 без отделки со скидкой]]+ППД5[[#This Row],[Стоимость отделки]]</f>
        <v>158066.29834254144</v>
      </c>
      <c r="DB93" s="3">
        <f>ППД5[[#This Row],[Стоимость квартиры с отделкой]]-ППД5[[#This Row],[Стоимость ОН без отделки со скидкой]]</f>
        <v>343900</v>
      </c>
      <c r="DC93" s="3">
        <f>ППД5[[#This Row],[Цена м2 с отделкой]]*ППД5[[#This Row],[Расчетная проектная площадь]]</f>
        <v>5435900</v>
      </c>
      <c r="DD93" s="3" t="s">
        <v>154</v>
      </c>
      <c r="DF93" s="155" t="s">
        <v>157</v>
      </c>
      <c r="DG93" s="221" t="s">
        <v>157</v>
      </c>
      <c r="DH93" s="100" t="b">
        <f>EXACT(ППД5[[#This Row],[Статусы CRM]],ППД5[[#This Row],[Статус]])</f>
        <v>1</v>
      </c>
      <c r="DI93" s="213" t="s">
        <v>265</v>
      </c>
      <c r="DJ93" s="204"/>
      <c r="DK93" s="111" t="s">
        <v>763</v>
      </c>
      <c r="DL93" s="216" t="s">
        <v>780</v>
      </c>
      <c r="DM93" s="201" t="b">
        <f>ППД5[[#This Row],[Отделка CRM]]=ППД5[[#This Row],[Отделка]]</f>
        <v>1</v>
      </c>
      <c r="DN93" s="203">
        <v>5435900</v>
      </c>
      <c r="DO9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93" s="207" t="b">
        <f>IF(AND(ППД5[[#This Row],[Статус]]="свободно",ППД5[[#This Row],[Итоговая сумма скидки]]&lt;&gt;0),FALSE,TRUE)</f>
        <v>1</v>
      </c>
      <c r="DQ93" s="240" t="str">
        <f>_xlfn.XLOOKUP(ППД5[[#This Row],[№]],Юрист[№ кв],Юрист[Дата подачи на регистрацию]," ",0,-1)</f>
        <v xml:space="preserve"> </v>
      </c>
      <c r="DR93" s="115" t="str">
        <f>_xlfn.XLOOKUP(ППД5[[#This Row],[№]],Юрист[№ кв],Юрист[МОП],"",0,-1)</f>
        <v/>
      </c>
      <c r="DS93" s="333" t="s">
        <v>2478</v>
      </c>
      <c r="DT93" s="333" t="s">
        <v>2479</v>
      </c>
      <c r="DU93" s="333">
        <v>33.200000000000003</v>
      </c>
      <c r="DV93" s="111"/>
    </row>
    <row r="94" spans="1:126" hidden="1" x14ac:dyDescent="0.25">
      <c r="A94" s="112">
        <v>92</v>
      </c>
      <c r="B94" s="111" t="s">
        <v>5</v>
      </c>
      <c r="C94" s="111">
        <v>14</v>
      </c>
      <c r="D94" s="111">
        <v>2</v>
      </c>
      <c r="E94" s="111">
        <v>2</v>
      </c>
      <c r="F94" s="105">
        <v>15.82</v>
      </c>
      <c r="G94" s="156">
        <v>15.54</v>
      </c>
      <c r="H94" s="105"/>
      <c r="I94" s="94">
        <f>SUM(ППД5[[#This Row],[Комната 1]:[Комната 3]])</f>
        <v>31.36</v>
      </c>
      <c r="J94" s="105">
        <v>19.440000000000001</v>
      </c>
      <c r="K94" s="105">
        <v>4.42</v>
      </c>
      <c r="L94" s="105"/>
      <c r="M94" s="105">
        <v>3.25</v>
      </c>
      <c r="N94" s="105">
        <v>8.5299999999999994</v>
      </c>
      <c r="O94" s="105">
        <v>3</v>
      </c>
      <c r="P94" s="105"/>
      <c r="Q94" s="105"/>
      <c r="R94" s="105">
        <f>SUM(ППД5[[#This Row],[Лоджия 1]:[Лоджия 3]])</f>
        <v>3</v>
      </c>
      <c r="S94" s="7">
        <f>ROUND(SUM(ППД5[[#This Row],[Площадь по проекту жилая]:[Лоджия 3]]),2)</f>
        <v>70</v>
      </c>
      <c r="T94" s="7">
        <f>ROUND(ППД5[[#This Row],[Площадь по проекту(общая)]]-ППД5[[#This Row],[Летние]],2)</f>
        <v>67</v>
      </c>
      <c r="U94" s="92">
        <f>ROUND(ППД5[[#This Row],[Площадь по проекту(общая)]]-(SUM(ППД5[[#This Row],[Лоджия 1]:[Лоджия 3]])/2),2)</f>
        <v>68.5</v>
      </c>
      <c r="V94" s="92">
        <f>IF(ППД5[[#This Row],[Статус]]="продажа",ППД5[[#This Row],[Расчетная проектная площадь]],ППД5[[#This Row],[Расчетная ТП площадь]])</f>
        <v>68.5</v>
      </c>
      <c r="W94" s="92">
        <v>15.5</v>
      </c>
      <c r="X94" s="92">
        <v>15.9</v>
      </c>
      <c r="Y94" s="92"/>
      <c r="Z94" s="92">
        <f>SUM(ППД5[[#This Row],[ТП Комната 1]:[ТП Комната 3]])</f>
        <v>31.4</v>
      </c>
      <c r="AA94" s="92">
        <v>19</v>
      </c>
      <c r="AB94" s="92">
        <v>4.5</v>
      </c>
      <c r="AC94" s="92"/>
      <c r="AD94" s="92">
        <v>3.1</v>
      </c>
      <c r="AE94" s="92">
        <v>9</v>
      </c>
      <c r="AF94" s="92">
        <v>1.5</v>
      </c>
      <c r="AG94" s="92"/>
      <c r="AH94" s="92"/>
      <c r="AI94" s="91">
        <f>SUM(ППД5[[#This Row],[ТП Лоджия 1]:[ТП Лоджия 3]])</f>
        <v>1.5</v>
      </c>
      <c r="AJ94" s="95">
        <v>3</v>
      </c>
      <c r="AK94" s="92">
        <f>SUM(ППД5[[#This Row],[Площадь по ТП жилая]:[ТП Лоджия 3]])-ППД5[[#This Row],[ТП Летние]]+ППД5[[#This Row],[кроме того прочая
(без коэффициента)]]</f>
        <v>70</v>
      </c>
      <c r="AL94" s="95">
        <f>ППД5[[#This Row],[ТП Площадь без летних]]+(ППД5[[#This Row],[ТП Летние]])</f>
        <v>68.5</v>
      </c>
      <c r="AM94" s="92">
        <f>ППД5[[#This Row],[ТП общая S]]-ППД5[[#This Row],[кроме того прочая
(без коэффициента)]]</f>
        <v>67</v>
      </c>
      <c r="AN94" s="95">
        <f>SUM(ППД5[[#This Row],[ТП Кухня]:[ТП Коридор]])</f>
        <v>35.6</v>
      </c>
      <c r="AO94" s="91">
        <f>ППД5[[#This Row],[Расчетная ТП площадь]]-ППД5[[#This Row],[Расчетная проектная площадь]]</f>
        <v>0</v>
      </c>
      <c r="AP94" s="335">
        <f>ППД5[[#This Row],[Расчетная ТП площадь]]/ППД5[[#This Row],[Расчетная проектная площадь]]-1</f>
        <v>0</v>
      </c>
      <c r="AQ94" s="92">
        <f>ППД5[[#This Row],[% расхождения]]*ППД5[[#This Row],[Стоимость до скидки]]</f>
        <v>0</v>
      </c>
      <c r="AR94" s="92">
        <f>VLOOKUP(ППД5[[#This Row],[№]],наценкад5[],COLUMN(наценкад5[[#This Row],[Цена м2 с учетом всех K]]),0)</f>
        <v>84168.819000000003</v>
      </c>
      <c r="AS94" s="7">
        <f>ППД5[[#This Row],[м2 после К]]*5%</f>
        <v>4208.4409500000002</v>
      </c>
      <c r="AT94" s="7">
        <f>ППД5[[#This Row],[м2 после К]]+ППД5[[#This Row],[Повышение 16.08.23 - 5%]]</f>
        <v>88377.259950000007</v>
      </c>
      <c r="AU94" s="9">
        <f>ППД5[[#This Row],[Фикс 16.08.23]]*3%</f>
        <v>2651.3177985000002</v>
      </c>
      <c r="AV94" s="9">
        <f>ППД5[[#This Row],[Фикс 16.08.23]]+ППД5[[#This Row],[Повышение 29.08.23 - 3%]]</f>
        <v>91028.577748500014</v>
      </c>
      <c r="AW94" s="9"/>
      <c r="AX94" s="9">
        <f>ППД5[[#This Row],[Фикс 29.08.23]]+ППД5[[#This Row],[Повышение 06.09.23 СТ и 1К]]</f>
        <v>91028.577748500014</v>
      </c>
      <c r="AY94" s="9"/>
      <c r="AZ94" s="9">
        <f>ППД5[[#This Row],[Повышение 23.10.23  В4 ]]+ППД5[[#This Row],[Фикс 06.09.23]]</f>
        <v>91028.577748500014</v>
      </c>
      <c r="BA94" s="9"/>
      <c r="BB94" s="9">
        <f>ППД5[[#This Row],[Повышение 8.11.23 1К 5%]]+ППД5[[#This Row],[Фикс 23.10.23]]</f>
        <v>91028.577748500014</v>
      </c>
      <c r="BC94" s="9">
        <v>-831</v>
      </c>
      <c r="BD94" s="9">
        <f>ППД5[[#This Row],[Корректировка 24.11.23 - 1К В5, 2К А2, №233]]+ППД5[[#This Row],[Фикс 8.11.23]]</f>
        <v>90197.577748500014</v>
      </c>
      <c r="BE94" s="93">
        <f>ППД5[[#This Row],[Фикс 8.11.24]]*1%</f>
        <v>901.97577748500021</v>
      </c>
      <c r="BF94" s="9">
        <f>ППД5[[#This Row],[Наценка за отделку 29.12.23 1%]]+ППД5[[#This Row],[Фикс 8.11.24]]</f>
        <v>91099.553525985015</v>
      </c>
      <c r="BG94" s="93">
        <f>ППД5[[#This Row],[Фикс 29.12.23]]*5%</f>
        <v>4554.9776762992506</v>
      </c>
      <c r="BH94" s="9">
        <f>ППД5[[#This Row],[Фикс 29.12.23]]+ППД5[[#This Row],[Наценка 10.01.24 5%]]</f>
        <v>95654.53120228427</v>
      </c>
      <c r="BI94" s="9"/>
      <c r="BJ94" s="9">
        <f>ППД5[[#This Row],[Наценка 26.02.24 1 Этаж]]+ППД5[[#This Row],[Фикс 10.01.24]]</f>
        <v>95654.53120228427</v>
      </c>
      <c r="BK94" s="93">
        <f>ППД5[[#This Row],[Фикс 26.02.24]]*2%</f>
        <v>1913.0906240456854</v>
      </c>
      <c r="BL94" s="9">
        <f>ППД5[[#This Row],[Фикс 26.02.24]]+ППД5[[#This Row],[Наценка 06.03.24
СТ, 1К - 3%
2К, 3К - 2%]]</f>
        <v>97567.621826329952</v>
      </c>
      <c r="BM94" s="9"/>
      <c r="BN94" s="9">
        <f>ППД5[[#This Row],[Фикс 06.03.24]]+ППД5[[#This Row],[Наценка Г2+500]]</f>
        <v>97567.621826329952</v>
      </c>
      <c r="BO94" s="9">
        <f>ППД5[[#This Row],[Фикс 13.03.25]]*2%</f>
        <v>1951.3524365265991</v>
      </c>
      <c r="BP94" s="9">
        <f>ППД5[[#This Row],[Фикс 13.03.25]]+ППД5[[#This Row],[Наценка 20.03.24
2К, 3К - 2%]]</f>
        <v>99518.974262856558</v>
      </c>
      <c r="BQ94" s="9"/>
      <c r="BR94" s="9">
        <f>ППД5[[#This Row],[Фикс 20.03.24]]+ППД5[[#This Row],[Наценка 08.04.24 
2К: В3 - 150
3К: Г7 +1000]]</f>
        <v>99518.974262856558</v>
      </c>
      <c r="BS94" s="9"/>
      <c r="BT94" s="9">
        <f>ППД5[[#This Row],[Фикс 08.04.24]]+ППД5[[#This Row],[Наценка 16.05.24 1%
А4,А6,Б3,Б6,Б7,В2,В3,В5,В6,Г1,Г3-Г5]]</f>
        <v>99518.974262856558</v>
      </c>
      <c r="BU94" s="9"/>
      <c r="BV94" s="9">
        <f>ППД5[[#This Row],[Фикс 16.05.24]]+ППД5[[#This Row],[Наценка 24.05.24
1% - Б4, Б5,Г2,Г6
2% - А1,А3,А5,Б2,Г7]]</f>
        <v>99518.974262856558</v>
      </c>
      <c r="BW94" s="9"/>
      <c r="BX94" s="9">
        <f>ППД5[[#This Row],[Наценка 06.06.24
0К: В2,Г3 +0,5%
1К: А7, Б5/4, Г6 +0,5%
3К: В6 +0,5%
1К: А3 +1%]]+ППД5[[#This Row],[Фикс 24.05.24]]</f>
        <v>99518.974262856558</v>
      </c>
      <c r="BY94" s="9"/>
      <c r="BZ94" s="9">
        <f>ППД5[[#This Row],[Фикс 06.06.24]]+ППД5[[#This Row],[13.06.2024
3К - 2%]]</f>
        <v>99518.974262856558</v>
      </c>
      <c r="CA94" s="9"/>
      <c r="CB94" s="9">
        <f>ППД5[[#This Row],[02.07.2024: Г3 А1 А3 Б5 Б7 Г2 Г6 Б3 Б4 В3 Г7 2,5% ост 0,5-1,5%]]+ППД5[[#This Row],[Фикс 13.06.24]]</f>
        <v>99518.974262856558</v>
      </c>
      <c r="CC94" s="9"/>
      <c r="CD94" s="9">
        <f>ППД5[[#This Row],[Фикс 02.07.24]]+ППД5[[#This Row],[04.09.2024 +500
0К - Б2; 1К - А3;
2К - А6, Б4, В3, Г5]]</f>
        <v>99518.974262856558</v>
      </c>
      <c r="CE94" s="9"/>
      <c r="CF94" s="9">
        <f>ППД5[[#This Row],[Наценка 16.09.2024
1К: А1,В7,Г6/7,Г8 - 2%
2К: А4,А5,А6,Б1,Б6,Б3/4,В3,В4,Г4,Г5 - 4%
3К: 4%]]+ППД5[[#This Row],[Фикс 04.09.24]]</f>
        <v>99518.974262856558</v>
      </c>
      <c r="CG94" s="9"/>
      <c r="CH94" s="9">
        <f>ППД5[[#This Row],[Фикс 16.09.2024]]+ППД5[[#This Row],[Наценка 01.11.24
СТ: 4%
1К: 34-40м 5%; 40м+ 8%; МГН 1%
2К: 55-70м 6%; 70-73м 7%; 73-76м 8% 
3К: 5%]]</f>
        <v>99518.974262856558</v>
      </c>
      <c r="CI94" s="9"/>
      <c r="CJ94" s="9">
        <f>ППД5[[#This Row],[Наценка 06.11 13%]]+ППД5[[#This Row],[Фикс 01.11.24]]</f>
        <v>99518.974262856558</v>
      </c>
      <c r="CK94" s="9"/>
      <c r="CL94" s="9">
        <f>ППД5[[#This Row],[Фикс 06.11.24]]+ППД5[[#This Row],[Наценка 18.12.24 распределение КВ]]</f>
        <v>99518.974262856558</v>
      </c>
      <c r="CM94" s="9"/>
      <c r="CN94" s="9">
        <f>ППД5[[#This Row],[Фикс 18.12.24]]+ППД5[[#This Row],[Наценка 10.02.25 +1%
1К: А3
2К: Б3, В3]]</f>
        <v>99518.974262856558</v>
      </c>
      <c r="CO94" s="93">
        <f>ROUND(ППД5[[#This Row],[Фикс 10.02.25]],2)</f>
        <v>99518.97</v>
      </c>
      <c r="CP9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6817100</v>
      </c>
      <c r="CQ94" s="93">
        <f>ROUNDUP(ППД5[[#This Row],[Стоимость до скидки]]+ППД5[[#This Row],[Сумма доплаты]],-2)</f>
        <v>6817100</v>
      </c>
      <c r="CR94" s="68"/>
      <c r="CS94" s="90"/>
      <c r="CT94" s="68">
        <f>ППД5[[#This Row],[Стоимость до скидки]]*ППД5[[#This Row],[Скидка %]]+ППД5[[#This Row],[Скидка фиксированная]]</f>
        <v>0</v>
      </c>
      <c r="CU94" s="3">
        <f>ППД5[[#This Row],[Стоимость ОН без отделки со скидкой]]/ППД5[[#This Row],[Расчетная проектная площадь]]</f>
        <v>99519.708029197078</v>
      </c>
      <c r="CV94" s="3">
        <f>ROUND(ППД5[[#This Row],[Стоимость до скидки]]-ППД5[[#This Row],[Итоговая сумма скидки]],2)</f>
        <v>6817100</v>
      </c>
      <c r="CW9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94" s="197">
        <v>7000</v>
      </c>
      <c r="CY94" s="332">
        <f>ППД5[[#This Row],[Расхождение]]/ППД5[[#This Row],[Расчетная проектная площадь]]</f>
        <v>0</v>
      </c>
      <c r="CZ9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-4.00000000000027E-2</v>
      </c>
      <c r="DA94" s="3">
        <f>ППД5[[#This Row],[Цена м2 без отделки со скидкой]]+ППД5[[#This Row],[Стоимость отделки]]</f>
        <v>106519.70802919708</v>
      </c>
      <c r="DB94" s="3">
        <f>ППД5[[#This Row],[Стоимость квартиры с отделкой]]-ППД5[[#This Row],[Стоимость ОН без отделки со скидкой]]</f>
        <v>479500</v>
      </c>
      <c r="DC94" s="3">
        <f>ППД5[[#This Row],[Цена м2 с отделкой]]*ППД5[[#This Row],[Расчетная проектная площадь]]</f>
        <v>7296600</v>
      </c>
      <c r="DD94" s="3"/>
      <c r="DF94" s="199" t="s">
        <v>172</v>
      </c>
      <c r="DG94" s="245" t="s">
        <v>172</v>
      </c>
      <c r="DH94" s="100" t="b">
        <f>EXACT(ППД5[[#This Row],[Статусы CRM]],ППД5[[#This Row],[Статус]])</f>
        <v>1</v>
      </c>
      <c r="DI94" s="213" t="s">
        <v>266</v>
      </c>
      <c r="DJ94" s="204"/>
      <c r="DK94" s="111" t="s">
        <v>763</v>
      </c>
      <c r="DL94" s="216" t="s">
        <v>780</v>
      </c>
      <c r="DM94" s="201" t="b">
        <f>ППД5[[#This Row],[Отделка CRM]]=ППД5[[#This Row],[Отделка]]</f>
        <v>1</v>
      </c>
      <c r="DN94" s="203">
        <v>7296600</v>
      </c>
      <c r="DO9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94" s="207" t="b">
        <f>IF(AND(ППД5[[#This Row],[Статус]]="свободно",ППД5[[#This Row],[Итоговая сумма скидки]]&lt;&gt;0),FALSE,TRUE)</f>
        <v>1</v>
      </c>
      <c r="DQ94" s="240">
        <f>_xlfn.XLOOKUP(ППД5[[#This Row],[№]],Юрист[№ кв],Юрист[Дата подачи на регистрацию]," ",0,-1)</f>
        <v>45453</v>
      </c>
      <c r="DR94" s="115" t="str">
        <f>_xlfn.XLOOKUP(ППД5[[#This Row],[№]],Юрист[№ кв],Юрист[МОП],"",0,-1)</f>
        <v>Полехович</v>
      </c>
      <c r="DS94" s="333" t="s">
        <v>2480</v>
      </c>
      <c r="DT94" s="333" t="s">
        <v>2481</v>
      </c>
      <c r="DU94" s="333">
        <v>67</v>
      </c>
      <c r="DV94" s="111"/>
    </row>
    <row r="95" spans="1:126" hidden="1" x14ac:dyDescent="0.25">
      <c r="A95" s="112">
        <v>93</v>
      </c>
      <c r="B95" s="111" t="s">
        <v>5</v>
      </c>
      <c r="C95" s="111">
        <v>14</v>
      </c>
      <c r="D95" s="111">
        <v>3</v>
      </c>
      <c r="E95" s="111">
        <v>1</v>
      </c>
      <c r="F95" s="105">
        <v>13.6</v>
      </c>
      <c r="G95" s="105"/>
      <c r="H95" s="105"/>
      <c r="I95" s="94">
        <f>SUM(ППД5[[#This Row],[Комната 1]:[Комната 3]])</f>
        <v>13.6</v>
      </c>
      <c r="J95" s="105">
        <v>14.97</v>
      </c>
      <c r="K95" s="105">
        <v>4.1100000000000003</v>
      </c>
      <c r="L95" s="105"/>
      <c r="M95" s="105"/>
      <c r="N95" s="105">
        <v>3.7</v>
      </c>
      <c r="O95" s="105">
        <v>2.69</v>
      </c>
      <c r="P95" s="105"/>
      <c r="Q95" s="105"/>
      <c r="R95" s="105">
        <f>SUM(ППД5[[#This Row],[Лоджия 1]:[Лоджия 3]])</f>
        <v>2.69</v>
      </c>
      <c r="S95" s="7">
        <f>ROUND(SUM(ППД5[[#This Row],[Площадь по проекту жилая]:[Лоджия 3]]),2)</f>
        <v>39.07</v>
      </c>
      <c r="T95" s="7">
        <f>ROUND(ППД5[[#This Row],[Площадь по проекту(общая)]]-ППД5[[#This Row],[Летние]],2)</f>
        <v>36.380000000000003</v>
      </c>
      <c r="U95" s="92">
        <f>ROUND(ППД5[[#This Row],[Площадь по проекту(общая)]]-(SUM(ППД5[[#This Row],[Лоджия 1]:[Лоджия 3]])/2),2)</f>
        <v>37.729999999999997</v>
      </c>
      <c r="V95" s="92">
        <f>IF(ППД5[[#This Row],[Статус]]="продажа",ППД5[[#This Row],[Расчетная проектная площадь]],ППД5[[#This Row],[Расчетная ТП площадь]])</f>
        <v>37.729999999999997</v>
      </c>
      <c r="W95" s="92">
        <v>13.6</v>
      </c>
      <c r="X95" s="92"/>
      <c r="Y95" s="92"/>
      <c r="Z95" s="92">
        <f>SUM(ППД5[[#This Row],[ТП Комната 1]:[ТП Комната 3]])</f>
        <v>13.6</v>
      </c>
      <c r="AA95" s="92">
        <v>14.7</v>
      </c>
      <c r="AB95" s="92">
        <v>4.0999999999999996</v>
      </c>
      <c r="AC95" s="92"/>
      <c r="AD95" s="92"/>
      <c r="AE95" s="92">
        <v>3.7</v>
      </c>
      <c r="AF95" s="91">
        <v>1.35</v>
      </c>
      <c r="AG95" s="92"/>
      <c r="AH95" s="92"/>
      <c r="AI95" s="91">
        <f>SUM(ППД5[[#This Row],[ТП Лоджия 1]:[ТП Лоджия 3]])</f>
        <v>1.35</v>
      </c>
      <c r="AJ95" s="95">
        <v>2.7</v>
      </c>
      <c r="AK95" s="92">
        <f>SUM(ППД5[[#This Row],[Площадь по ТП жилая]:[ТП Лоджия 3]])-ППД5[[#This Row],[ТП Летние]]+ППД5[[#This Row],[кроме того прочая
(без коэффициента)]]</f>
        <v>38.800000000000004</v>
      </c>
      <c r="AL95" s="95">
        <f>ППД5[[#This Row],[ТП Площадь без летних]]+(ППД5[[#This Row],[ТП Летние]])</f>
        <v>37.450000000000003</v>
      </c>
      <c r="AM95" s="92">
        <f>ППД5[[#This Row],[ТП общая S]]-ППД5[[#This Row],[кроме того прочая
(без коэффициента)]]</f>
        <v>36.1</v>
      </c>
      <c r="AN95" s="95">
        <f>SUM(ППД5[[#This Row],[ТП Кухня]:[ТП Коридор]])</f>
        <v>22.499999999999996</v>
      </c>
      <c r="AO95" s="91">
        <f>ППД5[[#This Row],[Расчетная ТП площадь]]-ППД5[[#This Row],[Расчетная проектная площадь]]</f>
        <v>-0.27999999999999403</v>
      </c>
      <c r="AP95" s="335">
        <f>ППД5[[#This Row],[Расчетная ТП площадь]]/ППД5[[#This Row],[Расчетная проектная площадь]]-1</f>
        <v>-7.4211502782929317E-3</v>
      </c>
      <c r="AQ95" s="92">
        <f>ППД5[[#This Row],[% расхождения]]*ППД5[[#This Row],[Стоимость до скидки]]</f>
        <v>-24528.420037105079</v>
      </c>
      <c r="AR95" s="92">
        <f>VLOOKUP(ППД5[[#This Row],[№]],наценкад5[],COLUMN(наценкад5[[#This Row],[Цена м2 с учетом всех K]]),0)</f>
        <v>87601.5</v>
      </c>
      <c r="AS95" s="7"/>
      <c r="AT95" s="7">
        <f>ППД5[[#This Row],[м2 после К]]+ППД5[[#This Row],[Повышение 16.08.23 - 5%]]</f>
        <v>87601.5</v>
      </c>
      <c r="AU95" s="9"/>
      <c r="AV95" s="9">
        <f>ППД5[[#This Row],[Фикс 16.08.23]]+ППД5[[#This Row],[Повышение 29.08.23 - 3%]]</f>
        <v>87601.5</v>
      </c>
      <c r="AW95" s="9"/>
      <c r="AX95" s="9">
        <f>ППД5[[#This Row],[Фикс 29.08.23]]+ППД5[[#This Row],[Повышение 06.09.23 СТ и 1К]]</f>
        <v>87601.5</v>
      </c>
      <c r="AY95" s="9"/>
      <c r="AZ95" s="9">
        <f>ППД5[[#This Row],[Повышение 23.10.23  В4 ]]+ППД5[[#This Row],[Фикс 06.09.23]]</f>
        <v>87601.5</v>
      </c>
      <c r="BA95" s="9"/>
      <c r="BB95" s="9">
        <f>ППД5[[#This Row],[Повышение 8.11.23 1К 5%]]+ППД5[[#This Row],[Фикс 23.10.23]]</f>
        <v>87601.5</v>
      </c>
      <c r="BC95" s="9"/>
      <c r="BD95" s="9">
        <f>ППД5[[#This Row],[Корректировка 24.11.23 - 1К В5, 2К А2, №233]]+ППД5[[#This Row],[Фикс 8.11.23]]</f>
        <v>87601.5</v>
      </c>
      <c r="BE95" s="9"/>
      <c r="BF95" s="9">
        <f>ППД5[[#This Row],[Наценка за отделку 29.12.23 1%]]+ППД5[[#This Row],[Фикс 8.11.24]]</f>
        <v>87601.5</v>
      </c>
      <c r="BG95" s="9"/>
      <c r="BH95" s="9">
        <f>ППД5[[#This Row],[Фикс 29.12.23]]+ППД5[[#This Row],[Наценка 10.01.24 5%]]</f>
        <v>87601.5</v>
      </c>
      <c r="BI95" s="9"/>
      <c r="BJ95" s="9">
        <f>ППД5[[#This Row],[Наценка 26.02.24 1 Этаж]]+ППД5[[#This Row],[Фикс 10.01.24]]</f>
        <v>87601.5</v>
      </c>
      <c r="BK95" s="93"/>
      <c r="BL95" s="9">
        <f>ППД5[[#This Row],[Фикс 26.02.24]]+ППД5[[#This Row],[Наценка 06.03.24
СТ, 1К - 3%
2К, 3К - 2%]]</f>
        <v>87601.5</v>
      </c>
      <c r="BM95" s="9"/>
      <c r="BN95" s="9">
        <f>ППД5[[#This Row],[Фикс 06.03.24]]+ППД5[[#This Row],[Наценка Г2+500]]</f>
        <v>87601.5</v>
      </c>
      <c r="BO95" s="9"/>
      <c r="BP95" s="9">
        <f>ППД5[[#This Row],[Фикс 13.03.25]]+ППД5[[#This Row],[Наценка 20.03.24
2К, 3К - 2%]]</f>
        <v>87601.5</v>
      </c>
      <c r="BQ95" s="9"/>
      <c r="BR95" s="9">
        <f>ППД5[[#This Row],[Фикс 20.03.24]]+ППД5[[#This Row],[Наценка 08.04.24 
2К: В3 - 150
3К: Г7 +1000]]</f>
        <v>87601.5</v>
      </c>
      <c r="BS95" s="9"/>
      <c r="BT95" s="9">
        <f>ППД5[[#This Row],[Фикс 08.04.24]]+ППД5[[#This Row],[Наценка 16.05.24 1%
А4,А6,Б3,Б6,Б7,В2,В3,В5,В6,Г1,Г3-Г5]]</f>
        <v>87601.5</v>
      </c>
      <c r="BU95" s="9"/>
      <c r="BV95" s="9">
        <f>ППД5[[#This Row],[Фикс 16.05.24]]+ППД5[[#This Row],[Наценка 24.05.24
1% - Б4, Б5,Г2,Г6
2% - А1,А3,А5,Б2,Г7]]</f>
        <v>87601.5</v>
      </c>
      <c r="BW95" s="93"/>
      <c r="BX95" s="9">
        <f>ППД5[[#This Row],[Наценка 06.06.24
0К: В2,Г3 +0,5%
1К: А7, Б5/4, Г6 +0,5%
3К: В6 +0,5%
1К: А3 +1%]]+ППД5[[#This Row],[Фикс 24.05.24]]</f>
        <v>87601.5</v>
      </c>
      <c r="BY95" s="9"/>
      <c r="BZ95" s="9">
        <f>ППД5[[#This Row],[Фикс 06.06.24]]+ППД5[[#This Row],[13.06.2024
3К - 2%]]</f>
        <v>87601.5</v>
      </c>
      <c r="CA95" s="9"/>
      <c r="CB95" s="9">
        <f>ППД5[[#This Row],[02.07.2024: Г3 А1 А3 Б5 Б7 Г2 Г6 Б3 Б4 В3 Г7 2,5% ост 0,5-1,5%]]+ППД5[[#This Row],[Фикс 13.06.24]]</f>
        <v>87601.5</v>
      </c>
      <c r="CC95" s="9"/>
      <c r="CD95" s="9">
        <f>ППД5[[#This Row],[Фикс 02.07.24]]+ППД5[[#This Row],[04.09.2024 +500
0К - Б2; 1К - А3;
2К - А6, Б4, В3, Г5]]</f>
        <v>87601.5</v>
      </c>
      <c r="CE95" s="9"/>
      <c r="CF95" s="9">
        <f>ППД5[[#This Row],[Наценка 16.09.2024
1К: А1,В7,Г6/7,Г8 - 2%
2К: А4,А5,А6,Б1,Б6,Б3/4,В3,В4,Г4,Г5 - 4%
3К: 4%]]+ППД5[[#This Row],[Фикс 04.09.24]]</f>
        <v>87601.5</v>
      </c>
      <c r="CG95" s="9"/>
      <c r="CH95" s="9">
        <f>ППД5[[#This Row],[Фикс 16.09.2024]]+ППД5[[#This Row],[Наценка 01.11.24
СТ: 4%
1К: 34-40м 5%; 40м+ 8%; МГН 1%
2К: 55-70м 6%; 70-73м 7%; 73-76м 8% 
3К: 5%]]</f>
        <v>87601.5</v>
      </c>
      <c r="CI95" s="9"/>
      <c r="CJ95" s="9">
        <f>ППД5[[#This Row],[Наценка 06.11 13%]]+ППД5[[#This Row],[Фикс 01.11.24]]</f>
        <v>87601.5</v>
      </c>
      <c r="CK95" s="9"/>
      <c r="CL95" s="9">
        <f>ППД5[[#This Row],[Фикс 06.11.24]]+ППД5[[#This Row],[Наценка 18.12.24 распределение КВ]]</f>
        <v>87601.5</v>
      </c>
      <c r="CM95" s="93"/>
      <c r="CN95" s="9">
        <f>ППД5[[#This Row],[Фикс 18.12.24]]+ППД5[[#This Row],[Наценка 10.02.25 +1%
1К: А3
2К: Б3, В3]]</f>
        <v>87601.5</v>
      </c>
      <c r="CO95" s="93">
        <f>ROUND(ППД5[[#This Row],[Фикс 10.02.25]],2)</f>
        <v>87601.5</v>
      </c>
      <c r="CP9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3305204.6</v>
      </c>
      <c r="CQ95" s="93">
        <f>ROUNDUP(ППД5[[#This Row],[Стоимость до скидки]]+ППД5[[#This Row],[Сумма доплаты]],-2)</f>
        <v>3280700</v>
      </c>
      <c r="CR95" s="68"/>
      <c r="CS95" s="90"/>
      <c r="CT95" s="68">
        <f>ППД5[[#This Row],[Стоимость до скидки]]*ППД5[[#This Row],[Скидка %]]+ППД5[[#This Row],[Скидка фиксированная]]</f>
        <v>0</v>
      </c>
      <c r="CU95" s="3">
        <f>ППД5[[#This Row],[Стоимость ОН без отделки со скидкой]]/ППД5[[#This Row],[Расчетная проектная площадь]]</f>
        <v>87601.500132520552</v>
      </c>
      <c r="CV95" s="3">
        <f>ROUND(ППД5[[#This Row],[Стоимость до скидки]]-ППД5[[#This Row],[Итоговая сумма скидки]],2)</f>
        <v>3305204.6</v>
      </c>
      <c r="CW9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95" s="197"/>
      <c r="CY95" s="332">
        <f>ППД5[[#This Row],[Расхождение]]/ППД5[[#This Row],[Расчетная проектная площадь]]</f>
        <v>-7.4211502782929777E-3</v>
      </c>
      <c r="CZ9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-0.28000000000000291</v>
      </c>
      <c r="DA95" s="3">
        <f>ППД5[[#This Row],[Цена м2 без отделки со скидкой]]+ППД5[[#This Row],[Стоимость отделки]]</f>
        <v>87601.500132520552</v>
      </c>
      <c r="DB95" s="3">
        <f>ППД5[[#This Row],[Стоимость квартиры с отделкой]]-ППД5[[#This Row],[Стоимость ОН без отделки со скидкой]]</f>
        <v>0</v>
      </c>
      <c r="DC95" s="3">
        <f>ППД5[[#This Row],[Цена м2 с отделкой]]*ППД5[[#This Row],[Расчетная проектная площадь]]</f>
        <v>3305204.6</v>
      </c>
      <c r="DD95" s="3"/>
      <c r="DF95" s="199" t="s">
        <v>172</v>
      </c>
      <c r="DG95" s="245" t="s">
        <v>172</v>
      </c>
      <c r="DH95" s="100" t="b">
        <f>EXACT(ППД5[[#This Row],[Статусы CRM]],ППД5[[#This Row],[Статус]])</f>
        <v>1</v>
      </c>
      <c r="DI95" s="213" t="s">
        <v>267</v>
      </c>
      <c r="DJ95" s="204"/>
      <c r="DK95" s="111" t="s">
        <v>76</v>
      </c>
      <c r="DL95" s="216" t="s">
        <v>12</v>
      </c>
      <c r="DM95" s="201" t="b">
        <f>ППД5[[#This Row],[Отделка CRM]]=ППД5[[#This Row],[Отделка]]</f>
        <v>1</v>
      </c>
      <c r="DN95" s="203">
        <v>3305204.6</v>
      </c>
      <c r="DO9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95" s="207" t="b">
        <f>IF(AND(ППД5[[#This Row],[Статус]]="свободно",ППД5[[#This Row],[Итоговая сумма скидки]]&lt;&gt;0),FALSE,TRUE)</f>
        <v>1</v>
      </c>
      <c r="DQ95" s="240">
        <f>_xlfn.XLOOKUP(ППД5[[#This Row],[№]],Юрист[№ кв],Юрист[Дата подачи на регистрацию]," ",0,-1)</f>
        <v>45184</v>
      </c>
      <c r="DR95" s="115" t="str">
        <f>_xlfn.XLOOKUP(ППД5[[#This Row],[№]],Юрист[№ кв],Юрист[МОП],"",0,-1)</f>
        <v>Никишов</v>
      </c>
      <c r="DS95" s="333" t="s">
        <v>2482</v>
      </c>
      <c r="DT95" s="333" t="s">
        <v>2483</v>
      </c>
      <c r="DU95" s="333">
        <v>36.1</v>
      </c>
      <c r="DV95" s="111"/>
    </row>
    <row r="96" spans="1:126" hidden="1" x14ac:dyDescent="0.25">
      <c r="A96" s="112">
        <v>94</v>
      </c>
      <c r="B96" s="111" t="s">
        <v>5</v>
      </c>
      <c r="C96" s="111">
        <v>14</v>
      </c>
      <c r="D96" s="111">
        <v>4</v>
      </c>
      <c r="E96" s="111">
        <v>2</v>
      </c>
      <c r="F96" s="105">
        <v>16.61</v>
      </c>
      <c r="G96" s="105">
        <v>11.38</v>
      </c>
      <c r="H96" s="105"/>
      <c r="I96" s="94">
        <f>SUM(ППД5[[#This Row],[Комната 1]:[Комната 3]])</f>
        <v>27.990000000000002</v>
      </c>
      <c r="J96" s="105">
        <v>14.58</v>
      </c>
      <c r="K96" s="105">
        <v>4.34</v>
      </c>
      <c r="L96" s="105">
        <v>2.08</v>
      </c>
      <c r="M96" s="105"/>
      <c r="N96" s="105">
        <v>8.82</v>
      </c>
      <c r="O96" s="105">
        <v>2.56</v>
      </c>
      <c r="P96" s="105"/>
      <c r="Q96" s="105"/>
      <c r="R96" s="105">
        <f>SUM(ППД5[[#This Row],[Лоджия 1]:[Лоджия 3]])</f>
        <v>2.56</v>
      </c>
      <c r="S96" s="7">
        <f>ROUND(SUM(ППД5[[#This Row],[Площадь по проекту жилая]:[Лоджия 3]]),2)</f>
        <v>60.37</v>
      </c>
      <c r="T96" s="7">
        <f>ROUND(ППД5[[#This Row],[Площадь по проекту(общая)]]-ППД5[[#This Row],[Летние]],2)</f>
        <v>57.81</v>
      </c>
      <c r="U96" s="92">
        <f>ROUND(ППД5[[#This Row],[Площадь по проекту(общая)]]-(SUM(ППД5[[#This Row],[Лоджия 1]:[Лоджия 3]])/2),2)</f>
        <v>59.09</v>
      </c>
      <c r="V96" s="92">
        <f>IF(ППД5[[#This Row],[Статус]]="продажа",ППД5[[#This Row],[Расчетная проектная площадь]],ППД5[[#This Row],[Расчетная ТП площадь]])</f>
        <v>59.09</v>
      </c>
      <c r="W96" s="92">
        <v>16.7</v>
      </c>
      <c r="X96" s="92">
        <v>11.4</v>
      </c>
      <c r="Y96" s="92"/>
      <c r="Z96" s="92">
        <f>SUM(ППД5[[#This Row],[ТП Комната 1]:[ТП Комната 3]])</f>
        <v>28.1</v>
      </c>
      <c r="AA96" s="92">
        <v>14.6</v>
      </c>
      <c r="AB96" s="92">
        <v>4.3</v>
      </c>
      <c r="AC96" s="92">
        <v>2.1</v>
      </c>
      <c r="AD96" s="92"/>
      <c r="AE96" s="92">
        <v>8.8000000000000007</v>
      </c>
      <c r="AF96" s="92">
        <v>1.3</v>
      </c>
      <c r="AG96" s="92"/>
      <c r="AH96" s="92"/>
      <c r="AI96" s="91">
        <f>SUM(ППД5[[#This Row],[ТП Лоджия 1]:[ТП Лоджия 3]])</f>
        <v>1.3</v>
      </c>
      <c r="AJ96" s="95">
        <v>2.6</v>
      </c>
      <c r="AK96" s="92">
        <f>SUM(ППД5[[#This Row],[Площадь по ТП жилая]:[ТП Лоджия 3]])-ППД5[[#This Row],[ТП Летние]]+ППД5[[#This Row],[кроме того прочая
(без коэффициента)]]</f>
        <v>60.500000000000007</v>
      </c>
      <c r="AL96" s="95">
        <f>ППД5[[#This Row],[ТП Площадь без летних]]+(ППД5[[#This Row],[ТП Летние]])</f>
        <v>59.2</v>
      </c>
      <c r="AM96" s="92">
        <f>ППД5[[#This Row],[ТП общая S]]-ППД5[[#This Row],[кроме того прочая
(без коэффициента)]]</f>
        <v>57.900000000000006</v>
      </c>
      <c r="AN96" s="95">
        <f>SUM(ППД5[[#This Row],[ТП Кухня]:[ТП Коридор]])</f>
        <v>29.8</v>
      </c>
      <c r="AO96" s="91">
        <f>ППД5[[#This Row],[Расчетная ТП площадь]]-ППД5[[#This Row],[Расчетная проектная площадь]]</f>
        <v>0.10999999999999943</v>
      </c>
      <c r="AP96" s="335">
        <f>ППД5[[#This Row],[Расчетная ТП площадь]]/ППД5[[#This Row],[Расчетная проектная площадь]]-1</f>
        <v>1.8615671010322465E-3</v>
      </c>
      <c r="AQ96" s="92">
        <f>ППД5[[#This Row],[% расхождения]]*ППД5[[#This Row],[Стоимость до скидки]]</f>
        <v>13465.459468606652</v>
      </c>
      <c r="AR96" s="92">
        <f>VLOOKUP(ППД5[[#This Row],[№]],наценкад5[],COLUMN(наценкад5[[#This Row],[Цена м2 с учетом всех K]]),0)</f>
        <v>80307.864000000001</v>
      </c>
      <c r="AS96" s="7">
        <f>ППД5[[#This Row],[м2 после К]]*5%</f>
        <v>4015.3932000000004</v>
      </c>
      <c r="AT96" s="7">
        <f>ППД5[[#This Row],[м2 после К]]+ППД5[[#This Row],[Повышение 16.08.23 - 5%]]</f>
        <v>84323.257200000007</v>
      </c>
      <c r="AU96" s="9">
        <f>ППД5[[#This Row],[Фикс 16.08.23]]*3%</f>
        <v>2529.6977160000001</v>
      </c>
      <c r="AV96" s="9">
        <f>ППД5[[#This Row],[Фикс 16.08.23]]+ППД5[[#This Row],[Повышение 29.08.23 - 3%]]</f>
        <v>86852.954916000002</v>
      </c>
      <c r="AW96" s="9"/>
      <c r="AX96" s="9">
        <f>ППД5[[#This Row],[Фикс 29.08.23]]+ППД5[[#This Row],[Повышение 06.09.23 СТ и 1К]]</f>
        <v>86852.954916000002</v>
      </c>
      <c r="AY96" s="9"/>
      <c r="AZ96" s="9">
        <f>ППД5[[#This Row],[Повышение 23.10.23  В4 ]]+ППД5[[#This Row],[Фикс 06.09.23]]</f>
        <v>86852.954916000002</v>
      </c>
      <c r="BA96" s="9"/>
      <c r="BB96" s="9">
        <f>ППД5[[#This Row],[Повышение 8.11.23 1К 5%]]+ППД5[[#This Row],[Фикс 23.10.23]]</f>
        <v>86852.954916000002</v>
      </c>
      <c r="BC96" s="9"/>
      <c r="BD96" s="9">
        <f>ППД5[[#This Row],[Корректировка 24.11.23 - 1К В5, 2К А2, №233]]+ППД5[[#This Row],[Фикс 8.11.23]]</f>
        <v>86852.954916000002</v>
      </c>
      <c r="BE96" s="93">
        <f>ППД5[[#This Row],[Фикс 8.11.24]]*1%</f>
        <v>868.52954915999999</v>
      </c>
      <c r="BF96" s="9">
        <f>ППД5[[#This Row],[Наценка за отделку 29.12.23 1%]]+ППД5[[#This Row],[Фикс 8.11.24]]</f>
        <v>87721.48446516</v>
      </c>
      <c r="BG96" s="93">
        <f>ППД5[[#This Row],[Фикс 29.12.23]]*5%</f>
        <v>4386.0742232580005</v>
      </c>
      <c r="BH96" s="9">
        <f>ППД5[[#This Row],[Фикс 29.12.23]]+ППД5[[#This Row],[Наценка 10.01.24 5%]]</f>
        <v>92107.558688417994</v>
      </c>
      <c r="BI96" s="9"/>
      <c r="BJ96" s="9">
        <f>ППД5[[#This Row],[Наценка 26.02.24 1 Этаж]]+ППД5[[#This Row],[Фикс 10.01.24]]</f>
        <v>92107.558688417994</v>
      </c>
      <c r="BK96" s="93">
        <f>ППД5[[#This Row],[Фикс 26.02.24]]*2%</f>
        <v>1842.15117376836</v>
      </c>
      <c r="BL96" s="9">
        <f>ППД5[[#This Row],[Фикс 26.02.24]]+ППД5[[#This Row],[Наценка 06.03.24
СТ, 1К - 3%
2К, 3К - 2%]]</f>
        <v>93949.709862186355</v>
      </c>
      <c r="BM96" s="9"/>
      <c r="BN96" s="9">
        <f>ППД5[[#This Row],[Фикс 06.03.24]]+ППД5[[#This Row],[Наценка Г2+500]]</f>
        <v>93949.709862186355</v>
      </c>
      <c r="BO96" s="9">
        <f>ППД5[[#This Row],[Фикс 13.03.25]]*2%</f>
        <v>1878.9941972437271</v>
      </c>
      <c r="BP96" s="9">
        <f>ППД5[[#This Row],[Фикс 13.03.25]]+ППД5[[#This Row],[Наценка 20.03.24
2К, 3К - 2%]]</f>
        <v>95828.704059430078</v>
      </c>
      <c r="BQ96" s="9"/>
      <c r="BR96" s="9">
        <f>ППД5[[#This Row],[Фикс 20.03.24]]+ППД5[[#This Row],[Наценка 08.04.24 
2К: В3 - 150
3К: Г7 +1000]]</f>
        <v>95828.704059430078</v>
      </c>
      <c r="BS96" s="93">
        <f>ППД5[[#This Row],[Фикс 08.04.24]]*1%</f>
        <v>958.28704059430083</v>
      </c>
      <c r="BT96" s="9">
        <f>ППД5[[#This Row],[Фикс 08.04.24]]+ППД5[[#This Row],[Наценка 16.05.24 1%
А4,А6,Б3,Б6,Б7,В2,В3,В5,В6,Г1,Г3-Г5]]</f>
        <v>96786.991100024374</v>
      </c>
      <c r="BU96" s="9"/>
      <c r="BV96" s="9">
        <f>ППД5[[#This Row],[Фикс 16.05.24]]+ППД5[[#This Row],[Наценка 24.05.24
1% - Б4, Б5,Г2,Г6
2% - А1,А3,А5,Б2,Г7]]</f>
        <v>96786.991100024374</v>
      </c>
      <c r="BW96" s="9"/>
      <c r="BX96" s="9">
        <f>ППД5[[#This Row],[Наценка 06.06.24
0К: В2,Г3 +0,5%
1К: А7, Б5/4, Г6 +0,5%
3К: В6 +0,5%
1К: А3 +1%]]+ППД5[[#This Row],[Фикс 24.05.24]]</f>
        <v>96786.991100024374</v>
      </c>
      <c r="BY96" s="9"/>
      <c r="BZ96" s="9">
        <f>ППД5[[#This Row],[Фикс 06.06.24]]+ППД5[[#This Row],[13.06.2024
3К - 2%]]</f>
        <v>96786.991100024374</v>
      </c>
      <c r="CA96" s="9">
        <f>1.5%*ППД5[[#This Row],[Фикс 13.06.24]]</f>
        <v>1451.8048665003655</v>
      </c>
      <c r="CB96" s="9">
        <f>ППД5[[#This Row],[02.07.2024: Г3 А1 А3 Б5 Б7 Г2 Г6 Б3 Б4 В3 Г7 2,5% ост 0,5-1,5%]]+ППД5[[#This Row],[Фикс 13.06.24]]</f>
        <v>98238.795966524733</v>
      </c>
      <c r="CC96" s="9"/>
      <c r="CD96" s="9">
        <f>ППД5[[#This Row],[Фикс 02.07.24]]+ППД5[[#This Row],[04.09.2024 +500
0К - Б2; 1К - А3;
2К - А6, Б4, В3, Г5]]</f>
        <v>98238.795966524733</v>
      </c>
      <c r="CE96" s="93">
        <f>ППД5[[#This Row],[Фикс 04.09.24]]*4%</f>
        <v>3929.5518386609892</v>
      </c>
      <c r="CF96" s="9">
        <f>ППД5[[#This Row],[Наценка 16.09.2024
1К: А1,В7,Г6/7,Г8 - 2%
2К: А4,А5,А6,Б1,Б6,Б3/4,В3,В4,Г4,Г5 - 4%
3К: 4%]]+ППД5[[#This Row],[Фикс 04.09.24]]</f>
        <v>102168.34780518572</v>
      </c>
      <c r="CG96" s="93">
        <f>ППД5[[#This Row],[Фикс 16.09.2024]]*6%</f>
        <v>6130.1008683111431</v>
      </c>
      <c r="CH96" s="9">
        <f>ППД5[[#This Row],[Фикс 16.09.2024]]+ППД5[[#This Row],[Наценка 01.11.24
СТ: 4%
1К: 34-40м 5%; 40м+ 8%; МГН 1%
2К: 55-70м 6%; 70-73м 7%; 73-76м 8% 
3К: 5%]]</f>
        <v>108298.44867349687</v>
      </c>
      <c r="CI96" s="93">
        <f>ППД5[[#This Row],[Фикс 01.11.24]]*13%</f>
        <v>14078.798327554594</v>
      </c>
      <c r="CJ96" s="9">
        <f>ППД5[[#This Row],[Наценка 06.11 13%]]+ППД5[[#This Row],[Фикс 01.11.24]]</f>
        <v>122377.24700105147</v>
      </c>
      <c r="CK96" s="93">
        <v>35</v>
      </c>
      <c r="CL96" s="9">
        <f>ППД5[[#This Row],[Фикс 06.11.24]]+ППД5[[#This Row],[Наценка 18.12.24 распределение КВ]]</f>
        <v>122412.24700105147</v>
      </c>
      <c r="CM96" s="9"/>
      <c r="CN96" s="9">
        <f>ППД5[[#This Row],[Фикс 18.12.24]]+ППД5[[#This Row],[Наценка 10.02.25 +1%
1К: А3
2К: Б3, В3]]</f>
        <v>122412.24700105147</v>
      </c>
      <c r="CO96" s="93">
        <f>ROUND(ППД5[[#This Row],[Фикс 10.02.25]],2)</f>
        <v>122412.25</v>
      </c>
      <c r="CP9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7233400</v>
      </c>
      <c r="CQ96" s="93">
        <f>ROUNDUP(ППД5[[#This Row],[Стоимость до скидки]]+ППД5[[#This Row],[Сумма доплаты]],-2)</f>
        <v>7246900</v>
      </c>
      <c r="CR96" s="68">
        <v>438050</v>
      </c>
      <c r="CS96" s="90"/>
      <c r="CT96" s="68">
        <f>ППД5[[#This Row],[Стоимость до скидки]]*ППД5[[#This Row],[Скидка %]]+ППД5[[#This Row],[Скидка фиксированная]]</f>
        <v>438050</v>
      </c>
      <c r="CU96" s="3">
        <f>ППД5[[#This Row],[Стоимость ОН без отделки со скидкой]]/ППД5[[#This Row],[Расчетная проектная площадь]]</f>
        <v>115000</v>
      </c>
      <c r="CV96" s="3">
        <f>ROUND(ППД5[[#This Row],[Стоимость до скидки]]-ППД5[[#This Row],[Итоговая сумма скидки]],2)</f>
        <v>6795350</v>
      </c>
      <c r="CW9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96" s="197">
        <v>25000</v>
      </c>
      <c r="CY96" s="332">
        <f>ППД5[[#This Row],[Расхождение]]/ППД5[[#This Row],[Расчетная проектная площадь]]</f>
        <v>1.8615671010323138E-3</v>
      </c>
      <c r="CZ9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-2.000000000000135E-2</v>
      </c>
      <c r="DA96" s="3">
        <f>ППД5[[#This Row],[Цена м2 без отделки со скидкой]]+ППД5[[#This Row],[Стоимость отделки]]</f>
        <v>140000</v>
      </c>
      <c r="DB96" s="3">
        <f>ППД5[[#This Row],[Стоимость квартиры с отделкой]]-ППД5[[#This Row],[Стоимость ОН без отделки со скидкой]]</f>
        <v>1477250.0000000009</v>
      </c>
      <c r="DC96" s="3">
        <f>ППД5[[#This Row],[Цена м2 с отделкой]]*ППД5[[#This Row],[Расчетная проектная площадь]]</f>
        <v>8272600.0000000009</v>
      </c>
      <c r="DD96" s="3"/>
      <c r="DE96" s="111" t="s">
        <v>2199</v>
      </c>
      <c r="DF96" s="199" t="s">
        <v>172</v>
      </c>
      <c r="DG96" s="245" t="s">
        <v>172</v>
      </c>
      <c r="DH96" s="100" t="b">
        <f>EXACT(ППД5[[#This Row],[Статусы CRM]],ППД5[[#This Row],[Статус]])</f>
        <v>1</v>
      </c>
      <c r="DI96" s="213" t="s">
        <v>268</v>
      </c>
      <c r="DJ96" s="204"/>
      <c r="DK96" s="111" t="s">
        <v>763</v>
      </c>
      <c r="DL96" s="216" t="s">
        <v>14</v>
      </c>
      <c r="DM96" s="201" t="b">
        <f>ППД5[[#This Row],[Отделка CRM]]=ППД5[[#This Row],[Отделка]]</f>
        <v>1</v>
      </c>
      <c r="DN96" s="203">
        <v>8272600</v>
      </c>
      <c r="DO9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-9.3132257461547852E-10</v>
      </c>
      <c r="DP96" s="207" t="b">
        <f>IF(AND(ППД5[[#This Row],[Статус]]="свободно",ППД5[[#This Row],[Итоговая сумма скидки]]&lt;&gt;0),FALSE,TRUE)</f>
        <v>1</v>
      </c>
      <c r="DQ96" s="240" t="str">
        <f>_xlfn.XLOOKUP(ППД5[[#This Row],[№]],Юрист[№ кв],Юрист[Дата подачи на регистрацию]," ",0,-1)</f>
        <v xml:space="preserve"> </v>
      </c>
      <c r="DR96" s="115" t="str">
        <f>_xlfn.XLOOKUP(ППД5[[#This Row],[№]],Юрист[№ кв],Юрист[МОП],"",0,-1)</f>
        <v/>
      </c>
      <c r="DS96" s="333" t="s">
        <v>2484</v>
      </c>
      <c r="DT96" s="333" t="s">
        <v>2485</v>
      </c>
      <c r="DU96" s="333">
        <v>57.9</v>
      </c>
      <c r="DV96" s="111"/>
    </row>
    <row r="97" spans="1:126" hidden="1" x14ac:dyDescent="0.25">
      <c r="A97" s="112">
        <v>95</v>
      </c>
      <c r="B97" s="111" t="s">
        <v>5</v>
      </c>
      <c r="C97" s="111">
        <v>14</v>
      </c>
      <c r="D97" s="111">
        <v>5</v>
      </c>
      <c r="E97" s="111">
        <v>2</v>
      </c>
      <c r="F97" s="105">
        <v>16.46</v>
      </c>
      <c r="G97" s="105">
        <v>12.47</v>
      </c>
      <c r="H97" s="105"/>
      <c r="I97" s="94">
        <f>SUM(ППД5[[#This Row],[Комната 1]:[Комната 3]])</f>
        <v>28.93</v>
      </c>
      <c r="J97" s="105">
        <v>18</v>
      </c>
      <c r="K97" s="105">
        <v>4.3499999999999996</v>
      </c>
      <c r="L97" s="105">
        <v>1.55</v>
      </c>
      <c r="M97" s="105"/>
      <c r="N97" s="105">
        <v>8</v>
      </c>
      <c r="O97" s="105">
        <v>2.67</v>
      </c>
      <c r="P97" s="105"/>
      <c r="Q97" s="105"/>
      <c r="R97" s="105">
        <f>SUM(ППД5[[#This Row],[Лоджия 1]:[Лоджия 3]])</f>
        <v>2.67</v>
      </c>
      <c r="S97" s="8">
        <f>ROUND(SUM(ППД5[[#This Row],[Площадь по проекту жилая]:[Лоджия 3]]),2)</f>
        <v>63.5</v>
      </c>
      <c r="T97" s="8">
        <f>ROUND(ППД5[[#This Row],[Площадь по проекту(общая)]]-ППД5[[#This Row],[Летние]],2)</f>
        <v>60.83</v>
      </c>
      <c r="U97" s="91">
        <f>ROUND(ППД5[[#This Row],[Площадь по проекту(общая)]]-(SUM(ППД5[[#This Row],[Лоджия 1]:[Лоджия 3]])/2),2)</f>
        <v>62.17</v>
      </c>
      <c r="V97" s="91">
        <f>IF(ППД5[[#This Row],[Статус]]="продажа",ППД5[[#This Row],[Расчетная проектная площадь]],ППД5[[#This Row],[Расчетная ТП площадь]])</f>
        <v>62.17</v>
      </c>
      <c r="W97" s="91">
        <v>16.5</v>
      </c>
      <c r="X97" s="91">
        <v>12.4</v>
      </c>
      <c r="Y97" s="91"/>
      <c r="Z97" s="91">
        <f>SUM(ППД5[[#This Row],[ТП Комната 1]:[ТП Комната 3]])</f>
        <v>28.9</v>
      </c>
      <c r="AA97" s="91">
        <v>18</v>
      </c>
      <c r="AB97" s="91">
        <v>4.3</v>
      </c>
      <c r="AC97" s="91">
        <v>1.5</v>
      </c>
      <c r="AD97" s="91"/>
      <c r="AE97" s="91">
        <v>8</v>
      </c>
      <c r="AF97" s="91">
        <v>1.3</v>
      </c>
      <c r="AG97" s="91"/>
      <c r="AH97" s="91"/>
      <c r="AI97" s="91">
        <f>SUM(ППД5[[#This Row],[ТП Лоджия 1]:[ТП Лоджия 3]])</f>
        <v>1.3</v>
      </c>
      <c r="AJ97" s="95">
        <v>2.6</v>
      </c>
      <c r="AK97" s="91">
        <f>SUM(ППД5[[#This Row],[Площадь по ТП жилая]:[ТП Лоджия 3]])-ППД5[[#This Row],[ТП Летние]]+ППД5[[#This Row],[кроме того прочая
(без коэффициента)]]</f>
        <v>63.3</v>
      </c>
      <c r="AL97" s="95">
        <f>ППД5[[#This Row],[ТП Площадь без летних]]+(ППД5[[#This Row],[ТП Летние]])</f>
        <v>61.999999999999993</v>
      </c>
      <c r="AM97" s="91">
        <f>ППД5[[#This Row],[ТП общая S]]-ППД5[[#This Row],[кроме того прочая
(без коэффициента)]]</f>
        <v>60.699999999999996</v>
      </c>
      <c r="AN97" s="95">
        <f>SUM(ППД5[[#This Row],[ТП Кухня]:[ТП Коридор]])</f>
        <v>31.8</v>
      </c>
      <c r="AO97" s="91">
        <f>ППД5[[#This Row],[Расчетная ТП площадь]]-ППД5[[#This Row],[Расчетная проектная площадь]]</f>
        <v>-0.17000000000000881</v>
      </c>
      <c r="AP97" s="335">
        <f>ППД5[[#This Row],[Расчетная ТП площадь]]/ППД5[[#This Row],[Расчетная проектная площадь]]-1</f>
        <v>-2.734437831751757E-3</v>
      </c>
      <c r="AQ97" s="91">
        <f>ППД5[[#This Row],[% расхождения]]*ППД5[[#This Row],[Стоимость до скидки]]</f>
        <v>-14765.001495898929</v>
      </c>
      <c r="AR97" s="91">
        <f>VLOOKUP(ППД5[[#This Row],[№]],наценкад5[],COLUMN(наценкад5[[#This Row],[Цена м2 с учетом всех K]]),0)</f>
        <v>80307.864000000001</v>
      </c>
      <c r="AS97" s="8">
        <f>ППД5[[#This Row],[м2 после К]]*5%</f>
        <v>4015.3932000000004</v>
      </c>
      <c r="AT97" s="8">
        <f>ППД5[[#This Row],[м2 после К]]+ППД5[[#This Row],[Повышение 16.08.23 - 5%]]</f>
        <v>84323.257200000007</v>
      </c>
      <c r="AU97" s="93">
        <f>ППД5[[#This Row],[Фикс 16.08.23]]*3%</f>
        <v>2529.6977160000001</v>
      </c>
      <c r="AV97" s="93">
        <f>ППД5[[#This Row],[Фикс 16.08.23]]+ППД5[[#This Row],[Повышение 29.08.23 - 3%]]</f>
        <v>86852.954916000002</v>
      </c>
      <c r="AW97" s="93"/>
      <c r="AX97" s="93">
        <f>ППД5[[#This Row],[Фикс 29.08.23]]+ППД5[[#This Row],[Повышение 06.09.23 СТ и 1К]]</f>
        <v>86852.954916000002</v>
      </c>
      <c r="AY97" s="93"/>
      <c r="AZ97" s="93">
        <f>ППД5[[#This Row],[Повышение 23.10.23  В4 ]]+ППД5[[#This Row],[Фикс 06.09.23]]</f>
        <v>86852.954916000002</v>
      </c>
      <c r="BA97" s="93"/>
      <c r="BB97" s="93">
        <f>ППД5[[#This Row],[Повышение 8.11.23 1К 5%]]+ППД5[[#This Row],[Фикс 23.10.23]]</f>
        <v>86852.954916000002</v>
      </c>
      <c r="BC97" s="93"/>
      <c r="BD97" s="93">
        <f>ППД5[[#This Row],[Корректировка 24.11.23 - 1К В5, 2К А2, №233]]+ППД5[[#This Row],[Фикс 8.11.23]]</f>
        <v>86852.954916000002</v>
      </c>
      <c r="BE97" s="93"/>
      <c r="BF97" s="93">
        <f>ППД5[[#This Row],[Наценка за отделку 29.12.23 1%]]+ППД5[[#This Row],[Фикс 8.11.24]]</f>
        <v>86852.954916000002</v>
      </c>
      <c r="BG97" s="93"/>
      <c r="BH97" s="93">
        <f>ППД5[[#This Row],[Фикс 29.12.23]]+ППД5[[#This Row],[Наценка 10.01.24 5%]]</f>
        <v>86852.954916000002</v>
      </c>
      <c r="BI97" s="93"/>
      <c r="BJ97" s="93">
        <f>ППД5[[#This Row],[Наценка 26.02.24 1 Этаж]]+ППД5[[#This Row],[Фикс 10.01.24]]</f>
        <v>86852.954916000002</v>
      </c>
      <c r="BK97" s="93"/>
      <c r="BL97" s="93">
        <f>ППД5[[#This Row],[Фикс 26.02.24]]+ППД5[[#This Row],[Наценка 06.03.24
СТ, 1К - 3%
2К, 3К - 2%]]</f>
        <v>86852.954916000002</v>
      </c>
      <c r="BM97" s="93"/>
      <c r="BN97" s="93">
        <f>ППД5[[#This Row],[Фикс 06.03.24]]+ППД5[[#This Row],[Наценка Г2+500]]</f>
        <v>86852.954916000002</v>
      </c>
      <c r="BO97" s="93"/>
      <c r="BP97" s="93">
        <f>ППД5[[#This Row],[Фикс 13.03.25]]+ППД5[[#This Row],[Наценка 20.03.24
2К, 3К - 2%]]</f>
        <v>86852.954916000002</v>
      </c>
      <c r="BQ97" s="93"/>
      <c r="BR97" s="93">
        <f>ППД5[[#This Row],[Фикс 20.03.24]]+ППД5[[#This Row],[Наценка 08.04.24 
2К: В3 - 150
3К: Г7 +1000]]</f>
        <v>86852.954916000002</v>
      </c>
      <c r="BS97" s="93"/>
      <c r="BT97" s="93">
        <f>ППД5[[#This Row],[Фикс 08.04.24]]+ППД5[[#This Row],[Наценка 16.05.24 1%
А4,А6,Б3,Б6,Б7,В2,В3,В5,В6,Г1,Г3-Г5]]</f>
        <v>86852.954916000002</v>
      </c>
      <c r="BU97" s="93"/>
      <c r="BV97" s="93">
        <f>ППД5[[#This Row],[Фикс 16.05.24]]+ППД5[[#This Row],[Наценка 24.05.24
1% - Б4, Б5,Г2,Г6
2% - А1,А3,А5,Б2,Г7]]</f>
        <v>86852.954916000002</v>
      </c>
      <c r="BW97" s="93"/>
      <c r="BX97" s="93">
        <f>ППД5[[#This Row],[Наценка 06.06.24
0К: В2,Г3 +0,5%
1К: А7, Б5/4, Г6 +0,5%
3К: В6 +0,5%
1К: А3 +1%]]+ППД5[[#This Row],[Фикс 24.05.24]]</f>
        <v>86852.954916000002</v>
      </c>
      <c r="BY97" s="93"/>
      <c r="BZ97" s="93">
        <f>ППД5[[#This Row],[Фикс 06.06.24]]+ППД5[[#This Row],[13.06.2024
3К - 2%]]</f>
        <v>86852.954916000002</v>
      </c>
      <c r="CA97" s="93"/>
      <c r="CB97" s="93">
        <f>ППД5[[#This Row],[02.07.2024: Г3 А1 А3 Б5 Б7 Г2 Г6 Б3 Б4 В3 Г7 2,5% ост 0,5-1,5%]]+ППД5[[#This Row],[Фикс 13.06.24]]</f>
        <v>86852.954916000002</v>
      </c>
      <c r="CC97" s="93"/>
      <c r="CD97" s="93">
        <f>ППД5[[#This Row],[Фикс 02.07.24]]+ППД5[[#This Row],[04.09.2024 +500
0К - Б2; 1К - А3;
2К - А6, Б4, В3, Г5]]</f>
        <v>86852.954916000002</v>
      </c>
      <c r="CE97" s="93"/>
      <c r="CF97" s="93">
        <f>ППД5[[#This Row],[Наценка 16.09.2024
1К: А1,В7,Г6/7,Г8 - 2%
2К: А4,А5,А6,Б1,Б6,Б3/4,В3,В4,Г4,Г5 - 4%
3К: 4%]]+ППД5[[#This Row],[Фикс 04.09.24]]</f>
        <v>86852.954916000002</v>
      </c>
      <c r="CG97" s="93"/>
      <c r="CH97" s="93">
        <f>ППД5[[#This Row],[Фикс 16.09.2024]]+ППД5[[#This Row],[Наценка 01.11.24
СТ: 4%
1К: 34-40м 5%; 40м+ 8%; МГН 1%
2К: 55-70м 6%; 70-73м 7%; 73-76м 8% 
3К: 5%]]</f>
        <v>86852.954916000002</v>
      </c>
      <c r="CI97" s="93"/>
      <c r="CJ97" s="93">
        <f>ППД5[[#This Row],[Наценка 06.11 13%]]+ППД5[[#This Row],[Фикс 01.11.24]]</f>
        <v>86852.954916000002</v>
      </c>
      <c r="CK97" s="93"/>
      <c r="CL97" s="93">
        <f>ППД5[[#This Row],[Фикс 06.11.24]]+ППД5[[#This Row],[Наценка 18.12.24 распределение КВ]]</f>
        <v>86852.954916000002</v>
      </c>
      <c r="CM97" s="93"/>
      <c r="CN97" s="93">
        <f>ППД5[[#This Row],[Фикс 18.12.24]]+ППД5[[#This Row],[Наценка 10.02.25 +1%
1К: А3
2К: Б3, В3]]</f>
        <v>86852.954916000002</v>
      </c>
      <c r="CO97" s="93">
        <f>ROUND(ППД5[[#This Row],[Фикс 10.02.25]],2)</f>
        <v>86852.95</v>
      </c>
      <c r="CP9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5399647.9000000004</v>
      </c>
      <c r="CQ97" s="93">
        <f>ROUNDUP(ППД5[[#This Row],[Стоимость до скидки]]+ППД5[[#This Row],[Сумма доплаты]],-2)</f>
        <v>5384900</v>
      </c>
      <c r="CR97" s="68"/>
      <c r="CS97" s="90">
        <v>0.02</v>
      </c>
      <c r="CT97" s="68">
        <f>ППД5[[#This Row],[Стоимость до скидки]]*ППД5[[#This Row],[Скидка %]]+ППД5[[#This Row],[Скидка фиксированная]]</f>
        <v>107992.95800000001</v>
      </c>
      <c r="CU97" s="3">
        <f>ППД5[[#This Row],[Стоимость ОН без отделки со скидкой]]/ППД5[[#This Row],[Расчетная проектная площадь]]</f>
        <v>85115.890944185303</v>
      </c>
      <c r="CV97" s="3">
        <f>ROUND(ППД5[[#This Row],[Стоимость до скидки]]-ППД5[[#This Row],[Итоговая сумма скидки]],2)</f>
        <v>5291654.9400000004</v>
      </c>
      <c r="CW9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97" s="197">
        <v>7500</v>
      </c>
      <c r="CY97" s="332">
        <f>ППД5[[#This Row],[Расхождение]]/ППД5[[#This Row],[Расчетная проектная площадь]]</f>
        <v>-2.7344378317517904E-3</v>
      </c>
      <c r="CZ9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-0.10000000000000142</v>
      </c>
      <c r="DA97" s="3">
        <f>ППД5[[#This Row],[Цена м2 без отделки со скидкой]]+ППД5[[#This Row],[Стоимость отделки]]</f>
        <v>92615.890944185303</v>
      </c>
      <c r="DB97" s="3">
        <f>ППД5[[#This Row],[Стоимость квартиры с отделкой]]-ППД5[[#This Row],[Стоимость ОН без отделки со скидкой]]</f>
        <v>466275</v>
      </c>
      <c r="DC97" s="3">
        <f>ППД5[[#This Row],[Цена м2 с отделкой]]*ППД5[[#This Row],[Расчетная проектная площадь]]</f>
        <v>5757929.9400000004</v>
      </c>
      <c r="DD97" s="3"/>
      <c r="DE97" s="111" t="s">
        <v>757</v>
      </c>
      <c r="DF97" s="199" t="s">
        <v>172</v>
      </c>
      <c r="DG97" s="245" t="s">
        <v>172</v>
      </c>
      <c r="DH97" s="100" t="b">
        <f>EXACT(ППД5[[#This Row],[Статусы CRM]],ППД5[[#This Row],[Статус]])</f>
        <v>1</v>
      </c>
      <c r="DI97" s="213" t="s">
        <v>269</v>
      </c>
      <c r="DJ97" s="204"/>
      <c r="DK97" s="111" t="s">
        <v>76</v>
      </c>
      <c r="DL97" s="216" t="s">
        <v>13</v>
      </c>
      <c r="DM97" s="201" t="b">
        <f>ППД5[[#This Row],[Отделка CRM]]=ППД5[[#This Row],[Отделка]]</f>
        <v>1</v>
      </c>
      <c r="DN97" s="203">
        <v>5757929.9400000004</v>
      </c>
      <c r="DO9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97" s="207" t="b">
        <f>IF(AND(ППД5[[#This Row],[Статус]]="свободно",ППД5[[#This Row],[Итоговая сумма скидки]]&lt;&gt;0),FALSE,TRUE)</f>
        <v>1</v>
      </c>
      <c r="DQ97" s="240">
        <f>_xlfn.XLOOKUP(ППД5[[#This Row],[№]],Юрист[№ кв],Юрист[Дата подачи на регистрацию]," ",0,-1)</f>
        <v>45225</v>
      </c>
      <c r="DR97" s="115" t="str">
        <f>_xlfn.XLOOKUP(ППД5[[#This Row],[№]],Юрист[№ кв],Юрист[МОП],"",0,-1)</f>
        <v>Никишов</v>
      </c>
      <c r="DS97" s="333" t="s">
        <v>2486</v>
      </c>
      <c r="DT97" s="333" t="s">
        <v>2487</v>
      </c>
      <c r="DU97" s="333">
        <v>60.7</v>
      </c>
      <c r="DV97" s="111"/>
    </row>
    <row r="98" spans="1:126" hidden="1" x14ac:dyDescent="0.25">
      <c r="A98" s="112">
        <v>96</v>
      </c>
      <c r="B98" s="111" t="s">
        <v>5</v>
      </c>
      <c r="C98" s="111">
        <v>14</v>
      </c>
      <c r="D98" s="111">
        <v>6</v>
      </c>
      <c r="E98" s="111">
        <v>2</v>
      </c>
      <c r="F98" s="105">
        <v>14.64</v>
      </c>
      <c r="G98" s="105">
        <v>10.74</v>
      </c>
      <c r="H98" s="105"/>
      <c r="I98" s="94">
        <f>SUM(ППД5[[#This Row],[Комната 1]:[Комната 3]])</f>
        <v>25.380000000000003</v>
      </c>
      <c r="J98" s="105">
        <v>14.35</v>
      </c>
      <c r="K98" s="105">
        <v>4.16</v>
      </c>
      <c r="L98" s="105">
        <v>1.93</v>
      </c>
      <c r="M98" s="105"/>
      <c r="N98" s="105">
        <v>11.03</v>
      </c>
      <c r="O98" s="105">
        <v>2.6219999999999999</v>
      </c>
      <c r="P98" s="105"/>
      <c r="Q98" s="105"/>
      <c r="R98" s="105">
        <f>SUM(ППД5[[#This Row],[Лоджия 1]:[Лоджия 3]])</f>
        <v>2.6219999999999999</v>
      </c>
      <c r="S98" s="8">
        <f>ROUND(SUM(ППД5[[#This Row],[Площадь по проекту жилая]:[Лоджия 3]]),2)</f>
        <v>59.47</v>
      </c>
      <c r="T98" s="8">
        <f>ROUND(ППД5[[#This Row],[Площадь по проекту(общая)]]-ППД5[[#This Row],[Летние]],2)</f>
        <v>56.85</v>
      </c>
      <c r="U98" s="91">
        <f>ROUND(ППД5[[#This Row],[Площадь по проекту(общая)]]-(SUM(ППД5[[#This Row],[Лоджия 1]:[Лоджия 3]])/2),2)</f>
        <v>58.16</v>
      </c>
      <c r="V98" s="91">
        <f>IF(ППД5[[#This Row],[Статус]]="продажа",ППД5[[#This Row],[Расчетная проектная площадь]],ППД5[[#This Row],[Расчетная ТП площадь]])</f>
        <v>58.16</v>
      </c>
      <c r="W98" s="91">
        <v>10.6</v>
      </c>
      <c r="X98" s="91">
        <v>14.7</v>
      </c>
      <c r="Y98" s="91"/>
      <c r="Z98" s="91">
        <f>SUM(ППД5[[#This Row],[ТП Комната 1]:[ТП Комната 3]])</f>
        <v>25.299999999999997</v>
      </c>
      <c r="AA98" s="91">
        <v>14.3</v>
      </c>
      <c r="AB98" s="91">
        <v>4.2</v>
      </c>
      <c r="AC98" s="91">
        <v>2</v>
      </c>
      <c r="AD98" s="91"/>
      <c r="AE98" s="91">
        <v>11</v>
      </c>
      <c r="AF98" s="91">
        <v>1.3</v>
      </c>
      <c r="AG98" s="91"/>
      <c r="AH98" s="91"/>
      <c r="AI98" s="91">
        <f>SUM(ППД5[[#This Row],[ТП Лоджия 1]:[ТП Лоджия 3]])</f>
        <v>1.3</v>
      </c>
      <c r="AJ98" s="95">
        <v>2.6</v>
      </c>
      <c r="AK98" s="91">
        <f>SUM(ППД5[[#This Row],[Площадь по ТП жилая]:[ТП Лоджия 3]])-ППД5[[#This Row],[ТП Летние]]+ППД5[[#This Row],[кроме того прочая
(без коэффициента)]]</f>
        <v>59.4</v>
      </c>
      <c r="AL98" s="95">
        <f>ППД5[[#This Row],[ТП Площадь без летних]]+(ППД5[[#This Row],[ТП Летние]])</f>
        <v>58.099999999999994</v>
      </c>
      <c r="AM98" s="91">
        <f>ППД5[[#This Row],[ТП общая S]]-ППД5[[#This Row],[кроме того прочая
(без коэффициента)]]</f>
        <v>56.8</v>
      </c>
      <c r="AN98" s="95">
        <f>SUM(ППД5[[#This Row],[ТП Кухня]:[ТП Коридор]])</f>
        <v>31.5</v>
      </c>
      <c r="AO98" s="91">
        <f>ППД5[[#This Row],[Расчетная ТП площадь]]-ППД5[[#This Row],[Расчетная проектная площадь]]</f>
        <v>-6.0000000000002274E-2</v>
      </c>
      <c r="AP98" s="335">
        <f>ППД5[[#This Row],[Расчетная ТП площадь]]/ППД5[[#This Row],[Расчетная проектная площадь]]-1</f>
        <v>-1.0316368638240148E-3</v>
      </c>
      <c r="AQ98" s="91">
        <f>ППД5[[#This Row],[% расхождения]]*ППД5[[#This Row],[Стоимость до скидки]]</f>
        <v>-6249.7592847322639</v>
      </c>
      <c r="AR98" s="91">
        <f>VLOOKUP(ППД5[[#This Row],[№]],наценкад5[],COLUMN(наценкад5[[#This Row],[Цена м2 с учетом всех K]]),0)</f>
        <v>81466.150500000003</v>
      </c>
      <c r="AS98" s="8">
        <f>ППД5[[#This Row],[м2 после К]]*5%</f>
        <v>4073.3075250000002</v>
      </c>
      <c r="AT98" s="8">
        <f>ППД5[[#This Row],[м2 после К]]+ППД5[[#This Row],[Повышение 16.08.23 - 5%]]</f>
        <v>85539.458025</v>
      </c>
      <c r="AU98" s="93">
        <f>ППД5[[#This Row],[Фикс 16.08.23]]*3%</f>
        <v>2566.1837407499997</v>
      </c>
      <c r="AV98" s="93">
        <f>ППД5[[#This Row],[Фикс 16.08.23]]+ППД5[[#This Row],[Повышение 29.08.23 - 3%]]</f>
        <v>88105.641765749999</v>
      </c>
      <c r="AW98" s="93"/>
      <c r="AX98" s="93">
        <f>ППД5[[#This Row],[Фикс 29.08.23]]+ППД5[[#This Row],[Повышение 06.09.23 СТ и 1К]]</f>
        <v>88105.641765749999</v>
      </c>
      <c r="AY98" s="93"/>
      <c r="AZ98" s="93">
        <f>ППД5[[#This Row],[Повышение 23.10.23  В4 ]]+ППД5[[#This Row],[Фикс 06.09.23]]</f>
        <v>88105.641765749999</v>
      </c>
      <c r="BA98" s="93"/>
      <c r="BB98" s="93">
        <f>ППД5[[#This Row],[Повышение 8.11.23 1К 5%]]+ППД5[[#This Row],[Фикс 23.10.23]]</f>
        <v>88105.641765749999</v>
      </c>
      <c r="BC98" s="93"/>
      <c r="BD98" s="93">
        <f>ППД5[[#This Row],[Корректировка 24.11.23 - 1К В5, 2К А2, №233]]+ППД5[[#This Row],[Фикс 8.11.23]]</f>
        <v>88105.641765749999</v>
      </c>
      <c r="BE98" s="93">
        <f>ППД5[[#This Row],[Фикс 8.11.24]]*1%</f>
        <v>881.05641765749999</v>
      </c>
      <c r="BF98" s="93">
        <f>ППД5[[#This Row],[Наценка за отделку 29.12.23 1%]]+ППД5[[#This Row],[Фикс 8.11.24]]</f>
        <v>88986.698183407498</v>
      </c>
      <c r="BG98" s="93">
        <f>ППД5[[#This Row],[Фикс 29.12.23]]*5%</f>
        <v>4449.3349091703749</v>
      </c>
      <c r="BH98" s="93">
        <f>ППД5[[#This Row],[Фикс 29.12.23]]+ППД5[[#This Row],[Наценка 10.01.24 5%]]</f>
        <v>93436.033092577869</v>
      </c>
      <c r="BI98" s="93"/>
      <c r="BJ98" s="93">
        <f>ППД5[[#This Row],[Наценка 26.02.24 1 Этаж]]+ППД5[[#This Row],[Фикс 10.01.24]]</f>
        <v>93436.033092577869</v>
      </c>
      <c r="BK98" s="93">
        <f>ППД5[[#This Row],[Фикс 26.02.24]]*2%</f>
        <v>1868.7206618515575</v>
      </c>
      <c r="BL98" s="93">
        <f>ППД5[[#This Row],[Фикс 26.02.24]]+ППД5[[#This Row],[Наценка 06.03.24
СТ, 1К - 3%
2К, 3К - 2%]]</f>
        <v>95304.753754429432</v>
      </c>
      <c r="BM98" s="93"/>
      <c r="BN98" s="93">
        <f>ППД5[[#This Row],[Фикс 06.03.24]]+ППД5[[#This Row],[Наценка Г2+500]]</f>
        <v>95304.753754429432</v>
      </c>
      <c r="BO98" s="93">
        <f>ППД5[[#This Row],[Фикс 13.03.25]]*2%</f>
        <v>1906.0950750885886</v>
      </c>
      <c r="BP98" s="93">
        <f>ППД5[[#This Row],[Фикс 13.03.25]]+ППД5[[#This Row],[Наценка 20.03.24
2К, 3К - 2%]]</f>
        <v>97210.848829518014</v>
      </c>
      <c r="BQ98" s="93"/>
      <c r="BR98" s="93">
        <f>ППД5[[#This Row],[Фикс 20.03.24]]+ППД5[[#This Row],[Наценка 08.04.24 
2К: В3 - 150
3К: Г7 +1000]]</f>
        <v>97210.848829518014</v>
      </c>
      <c r="BS98" s="93">
        <f>ППД5[[#This Row],[Фикс 08.04.24]]*1%</f>
        <v>972.10848829518011</v>
      </c>
      <c r="BT98" s="93">
        <f>ППД5[[#This Row],[Фикс 08.04.24]]+ППД5[[#This Row],[Наценка 16.05.24 1%
А4,А6,Б3,Б6,Б7,В2,В3,В5,В6,Г1,Г3-Г5]]</f>
        <v>98182.957317813198</v>
      </c>
      <c r="BU98" s="93"/>
      <c r="BV98" s="93">
        <f>ППД5[[#This Row],[Фикс 16.05.24]]+ППД5[[#This Row],[Наценка 24.05.24
1% - Б4, Б5,Г2,Г6
2% - А1,А3,А5,Б2,Г7]]</f>
        <v>98182.957317813198</v>
      </c>
      <c r="BW98" s="93"/>
      <c r="BX98" s="93">
        <f>ППД5[[#This Row],[Наценка 06.06.24
0К: В2,Г3 +0,5%
1К: А7, Б5/4, Г6 +0,5%
3К: В6 +0,5%
1К: А3 +1%]]+ППД5[[#This Row],[Фикс 24.05.24]]</f>
        <v>98182.957317813198</v>
      </c>
      <c r="BY98" s="93"/>
      <c r="BZ98" s="93">
        <f>ППД5[[#This Row],[Фикс 06.06.24]]+ППД5[[#This Row],[13.06.2024
3К - 2%]]</f>
        <v>98182.957317813198</v>
      </c>
      <c r="CA98" s="9">
        <f>1.5%*ППД5[[#This Row],[Фикс 13.06.24]]</f>
        <v>1472.7443597671979</v>
      </c>
      <c r="CB98" s="93">
        <f>ППД5[[#This Row],[02.07.2024: Г3 А1 А3 Б5 Б7 Г2 Г6 Б3 Б4 В3 Г7 2,5% ост 0,5-1,5%]]+ППД5[[#This Row],[Фикс 13.06.24]]</f>
        <v>99655.701677580393</v>
      </c>
      <c r="CC98" s="93">
        <v>500</v>
      </c>
      <c r="CD98" s="93">
        <f>ППД5[[#This Row],[Фикс 02.07.24]]+ППД5[[#This Row],[04.09.2024 +500
0К - Б2; 1К - А3;
2К - А6, Б4, В3, Г5]]</f>
        <v>100155.70167758039</v>
      </c>
      <c r="CE98" s="93">
        <f>ППД5[[#This Row],[Фикс 04.09.24]]*4%</f>
        <v>4006.2280671032158</v>
      </c>
      <c r="CF98" s="93">
        <f>ППД5[[#This Row],[Наценка 16.09.2024
1К: А1,В7,Г6/7,Г8 - 2%
2К: А4,А5,А6,Б1,Б6,Б3/4,В3,В4,Г4,Г5 - 4%
3К: 4%]]+ППД5[[#This Row],[Фикс 04.09.24]]</f>
        <v>104161.92974468361</v>
      </c>
      <c r="CG98" s="93"/>
      <c r="CH98" s="93">
        <f>ППД5[[#This Row],[Фикс 16.09.2024]]+ППД5[[#This Row],[Наценка 01.11.24
СТ: 4%
1К: 34-40м 5%; 40м+ 8%; МГН 1%
2К: 55-70м 6%; 70-73м 7%; 73-76м 8% 
3К: 5%]]</f>
        <v>104161.92974468361</v>
      </c>
      <c r="CI98" s="93"/>
      <c r="CJ98" s="93">
        <f>ППД5[[#This Row],[Наценка 06.11 13%]]+ППД5[[#This Row],[Фикс 01.11.24]]</f>
        <v>104161.92974468361</v>
      </c>
      <c r="CK98" s="93"/>
      <c r="CL98" s="93">
        <f>ППД5[[#This Row],[Фикс 06.11.24]]+ППД5[[#This Row],[Наценка 18.12.24 распределение КВ]]</f>
        <v>104161.92974468361</v>
      </c>
      <c r="CM98" s="93"/>
      <c r="CN98" s="93">
        <f>ППД5[[#This Row],[Фикс 18.12.24]]+ППД5[[#This Row],[Наценка 10.02.25 +1%
1К: А3
2К: Б3, В3]]</f>
        <v>104161.92974468361</v>
      </c>
      <c r="CO98" s="93">
        <f>ROUND(ППД5[[#This Row],[Фикс 10.02.25]],2)</f>
        <v>104161.93</v>
      </c>
      <c r="CP9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6058100</v>
      </c>
      <c r="CQ98" s="93">
        <f>ROUNDUP(ППД5[[#This Row],[Стоимость до скидки]]+ППД5[[#This Row],[Сумма доплаты]],-2)</f>
        <v>6051900</v>
      </c>
      <c r="CR98" s="68"/>
      <c r="CS98" s="90">
        <v>0.03</v>
      </c>
      <c r="CT98" s="68">
        <f>ППД5[[#This Row],[Стоимость до скидки]]*ППД5[[#This Row],[Скидка %]]+ППД5[[#This Row],[Скидка фиксированная]]</f>
        <v>181743</v>
      </c>
      <c r="CU98" s="3">
        <f>ППД5[[#This Row],[Стоимость ОН без отделки со скидкой]]/ППД5[[#This Row],[Расчетная проектная площадь]]</f>
        <v>101037.77510316369</v>
      </c>
      <c r="CV98" s="3">
        <f>ROUND(ППД5[[#This Row],[Стоимость до скидки]]-ППД5[[#This Row],[Итоговая сумма скидки]],2)</f>
        <v>5876357</v>
      </c>
      <c r="CW9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98" s="197">
        <v>8000</v>
      </c>
      <c r="CY98" s="332">
        <f>ППД5[[#This Row],[Расхождение]]/ППД5[[#This Row],[Расчетная проектная площадь]]</f>
        <v>-1.0316368638239731E-3</v>
      </c>
      <c r="CZ9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2.9999999999999361E-2</v>
      </c>
      <c r="DA98" s="3">
        <f>ППД5[[#This Row],[Цена м2 без отделки со скидкой]]+ППД5[[#This Row],[Стоимость отделки]]</f>
        <v>109037.77510316369</v>
      </c>
      <c r="DB98" s="3">
        <f>ППД5[[#This Row],[Стоимость квартиры с отделкой]]-ППД5[[#This Row],[Стоимость ОН без отделки со скидкой]]</f>
        <v>465280</v>
      </c>
      <c r="DC98" s="3">
        <f>ППД5[[#This Row],[Цена м2 с отделкой]]*ППД5[[#This Row],[Расчетная проектная площадь]]</f>
        <v>6341637</v>
      </c>
      <c r="DD98" s="3"/>
      <c r="DE98" s="111" t="s">
        <v>167</v>
      </c>
      <c r="DF98" s="211" t="s">
        <v>172</v>
      </c>
      <c r="DG98" s="245" t="s">
        <v>172</v>
      </c>
      <c r="DH98" s="100" t="b">
        <f>EXACT(ППД5[[#This Row],[Статусы CRM]],ППД5[[#This Row],[Статус]])</f>
        <v>1</v>
      </c>
      <c r="DI98" s="213" t="s">
        <v>270</v>
      </c>
      <c r="DJ98" s="204"/>
      <c r="DK98" s="111" t="s">
        <v>763</v>
      </c>
      <c r="DL98" s="216" t="s">
        <v>780</v>
      </c>
      <c r="DM98" s="201" t="b">
        <f>ППД5[[#This Row],[Отделка CRM]]=ППД5[[#This Row],[Отделка]]</f>
        <v>1</v>
      </c>
      <c r="DN98" s="209">
        <v>6341637</v>
      </c>
      <c r="DO9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98" s="207" t="b">
        <f>IF(AND(ППД5[[#This Row],[Статус]]="свободно",ППД5[[#This Row],[Итоговая сумма скидки]]&lt;&gt;0),FALSE,TRUE)</f>
        <v>1</v>
      </c>
      <c r="DQ98" s="240">
        <f>_xlfn.XLOOKUP(ППД5[[#This Row],[№]],Юрист[№ кв],Юрист[Дата подачи на регистрацию]," ",0,-1)</f>
        <v>45588</v>
      </c>
      <c r="DR98" s="115" t="str">
        <f>_xlfn.XLOOKUP(ППД5[[#This Row],[№]],Юрист[№ кв],Юрист[МОП],"",0,-1)</f>
        <v>Дик</v>
      </c>
      <c r="DS98" s="333" t="s">
        <v>2488</v>
      </c>
      <c r="DT98" s="333" t="s">
        <v>2489</v>
      </c>
      <c r="DU98" s="333">
        <v>56.8</v>
      </c>
      <c r="DV98" s="111"/>
    </row>
    <row r="99" spans="1:126" hidden="1" x14ac:dyDescent="0.25">
      <c r="A99" s="112">
        <v>97</v>
      </c>
      <c r="B99" s="111" t="s">
        <v>5</v>
      </c>
      <c r="C99" s="111">
        <v>14</v>
      </c>
      <c r="D99" s="111">
        <v>7</v>
      </c>
      <c r="E99" s="111">
        <v>1</v>
      </c>
      <c r="F99" s="157">
        <v>18.489999999999998</v>
      </c>
      <c r="G99" s="105"/>
      <c r="H99" s="105"/>
      <c r="I99" s="94">
        <f>SUM(ППД5[[#This Row],[Комната 1]:[Комната 3]])</f>
        <v>18.489999999999998</v>
      </c>
      <c r="J99" s="105">
        <v>13.04</v>
      </c>
      <c r="K99" s="105">
        <v>3.9</v>
      </c>
      <c r="L99" s="105"/>
      <c r="M99" s="105"/>
      <c r="N99" s="105">
        <v>5.99</v>
      </c>
      <c r="O99" s="105">
        <v>2.65</v>
      </c>
      <c r="P99" s="105"/>
      <c r="Q99" s="105"/>
      <c r="R99" s="105">
        <f>SUM(ППД5[[#This Row],[Лоджия 1]:[Лоджия 3]])</f>
        <v>2.65</v>
      </c>
      <c r="S99" s="7">
        <f>ROUND(SUM(ППД5[[#This Row],[Площадь по проекту жилая]:[Лоджия 3]]),2)</f>
        <v>44.07</v>
      </c>
      <c r="T99" s="7">
        <f>ROUND(ППД5[[#This Row],[Площадь по проекту(общая)]]-ППД5[[#This Row],[Летние]],2)</f>
        <v>41.42</v>
      </c>
      <c r="U99" s="92">
        <f>ROUND(ППД5[[#This Row],[Площадь по проекту(общая)]]-(SUM(ППД5[[#This Row],[Лоджия 1]:[Лоджия 3]])/2),2)</f>
        <v>42.75</v>
      </c>
      <c r="V99" s="92">
        <f>IF(ППД5[[#This Row],[Статус]]="продажа",ППД5[[#This Row],[Расчетная проектная площадь]],ППД5[[#This Row],[Расчетная ТП площадь]])</f>
        <v>42.75</v>
      </c>
      <c r="W99" s="92">
        <v>18.600000000000001</v>
      </c>
      <c r="X99" s="92"/>
      <c r="Y99" s="92"/>
      <c r="Z99" s="92">
        <f>SUM(ППД5[[#This Row],[ТП Комната 1]:[ТП Комната 3]])</f>
        <v>18.600000000000001</v>
      </c>
      <c r="AA99" s="92">
        <v>12.9</v>
      </c>
      <c r="AB99" s="92">
        <v>3.9</v>
      </c>
      <c r="AC99" s="92"/>
      <c r="AD99" s="92"/>
      <c r="AE99" s="92">
        <v>6.1</v>
      </c>
      <c r="AF99" s="91">
        <v>1.35</v>
      </c>
      <c r="AG99" s="92"/>
      <c r="AH99" s="92"/>
      <c r="AI99" s="91">
        <f>SUM(ППД5[[#This Row],[ТП Лоджия 1]:[ТП Лоджия 3]])</f>
        <v>1.35</v>
      </c>
      <c r="AJ99" s="95">
        <v>2.7</v>
      </c>
      <c r="AK99" s="92">
        <f>SUM(ППД5[[#This Row],[Площадь по ТП жилая]:[ТП Лоджия 3]])-ППД5[[#This Row],[ТП Летние]]+ППД5[[#This Row],[кроме того прочая
(без коэффициента)]]</f>
        <v>44.2</v>
      </c>
      <c r="AL99" s="95">
        <f>ППД5[[#This Row],[ТП Площадь без летних]]+(ППД5[[#This Row],[ТП Летние]])</f>
        <v>42.85</v>
      </c>
      <c r="AM99" s="92">
        <f>ППД5[[#This Row],[ТП общая S]]-ППД5[[#This Row],[кроме того прочая
(без коэффициента)]]</f>
        <v>41.5</v>
      </c>
      <c r="AN99" s="95">
        <f>SUM(ППД5[[#This Row],[ТП Кухня]:[ТП Коридор]])</f>
        <v>22.9</v>
      </c>
      <c r="AO99" s="91">
        <f>ППД5[[#This Row],[Расчетная ТП площадь]]-ППД5[[#This Row],[Расчетная проектная площадь]]</f>
        <v>0.10000000000000142</v>
      </c>
      <c r="AP99" s="335">
        <f>ППД5[[#This Row],[Расчетная ТП площадь]]/ППД5[[#This Row],[Расчетная проектная площадь]]-1</f>
        <v>2.3391812865496409E-3</v>
      </c>
      <c r="AQ99" s="92">
        <f>ППД5[[#This Row],[% расхождения]]*ППД5[[#This Row],[Стоимость до скидки]]</f>
        <v>13485.847953215989</v>
      </c>
      <c r="AR99" s="92">
        <f>VLOOKUP(ППД5[[#This Row],[№]],наценкад5[],COLUMN(наценкад5[[#This Row],[Цена м2 с учетом всех K]]),0)</f>
        <v>83951.4375</v>
      </c>
      <c r="AS99" s="7">
        <f>ППД5[[#This Row],[м2 после К]]*5%</f>
        <v>4197.5718750000005</v>
      </c>
      <c r="AT99" s="7">
        <f>ППД5[[#This Row],[м2 после К]]+ППД5[[#This Row],[Повышение 16.08.23 - 5%]]</f>
        <v>88149.009374999994</v>
      </c>
      <c r="AU99" s="9">
        <f>ППД5[[#This Row],[Фикс 16.08.23]]*3%</f>
        <v>2644.4702812499995</v>
      </c>
      <c r="AV99" s="9">
        <f>ППД5[[#This Row],[Фикс 16.08.23]]+ППД5[[#This Row],[Повышение 29.08.23 - 3%]]</f>
        <v>90793.479656249998</v>
      </c>
      <c r="AW99" s="93">
        <f>ППД5[[#This Row],[Фикс 29.08.23]]*4%</f>
        <v>3631.7391862499999</v>
      </c>
      <c r="AX99" s="9">
        <f>ППД5[[#This Row],[Фикс 29.08.23]]+ППД5[[#This Row],[Повышение 06.09.23 СТ и 1К]]</f>
        <v>94425.218842499991</v>
      </c>
      <c r="AY99" s="9"/>
      <c r="AZ99" s="9">
        <f>ППД5[[#This Row],[Повышение 23.10.23  В4 ]]+ППД5[[#This Row],[Фикс 06.09.23]]</f>
        <v>94425.218842499991</v>
      </c>
      <c r="BA99" s="93">
        <f>ППД5[[#This Row],[Фикс 23.10.23]]*5%</f>
        <v>4721.2609421249999</v>
      </c>
      <c r="BB99" s="93">
        <f>ППД5[[#This Row],[Повышение 8.11.23 1К 5%]]+ППД5[[#This Row],[Фикс 23.10.23]]</f>
        <v>99146.479784624986</v>
      </c>
      <c r="BC99" s="93"/>
      <c r="BD99" s="93">
        <f>ППД5[[#This Row],[Корректировка 24.11.23 - 1К В5, 2К А2, №233]]+ППД5[[#This Row],[Фикс 8.11.23]]</f>
        <v>99146.479784624986</v>
      </c>
      <c r="BE99" s="93">
        <f>ППД5[[#This Row],[Фикс 8.11.24]]*1%</f>
        <v>991.46479784624989</v>
      </c>
      <c r="BF99" s="93">
        <f>ППД5[[#This Row],[Наценка за отделку 29.12.23 1%]]+ППД5[[#This Row],[Фикс 8.11.24]]</f>
        <v>100137.94458247123</v>
      </c>
      <c r="BG99" s="93">
        <f>ППД5[[#This Row],[Фикс 29.12.23]]*5%</f>
        <v>5006.8972291235623</v>
      </c>
      <c r="BH99" s="93">
        <f>ППД5[[#This Row],[Фикс 29.12.23]]+ППД5[[#This Row],[Наценка 10.01.24 5%]]</f>
        <v>105144.84181159479</v>
      </c>
      <c r="BI99" s="93"/>
      <c r="BJ99" s="93">
        <f>ППД5[[#This Row],[Наценка 26.02.24 1 Этаж]]+ППД5[[#This Row],[Фикс 10.01.24]]</f>
        <v>105144.84181159479</v>
      </c>
      <c r="BK99" s="93">
        <f>ППД5[[#This Row],[Фикс 26.02.24]]*3%</f>
        <v>3154.3452543478434</v>
      </c>
      <c r="BL99" s="93">
        <f>ППД5[[#This Row],[Фикс 26.02.24]]+ППД5[[#This Row],[Наценка 06.03.24
СТ, 1К - 3%
2К, 3К - 2%]]</f>
        <v>108299.18706594263</v>
      </c>
      <c r="BM99" s="93"/>
      <c r="BN99" s="93">
        <f>ППД5[[#This Row],[Фикс 06.03.24]]+ППД5[[#This Row],[Наценка Г2+500]]</f>
        <v>108299.18706594263</v>
      </c>
      <c r="BO99" s="93"/>
      <c r="BP99" s="93">
        <f>ППД5[[#This Row],[Фикс 13.03.25]]+ППД5[[#This Row],[Наценка 20.03.24
2К, 3К - 2%]]</f>
        <v>108299.18706594263</v>
      </c>
      <c r="BQ99" s="93"/>
      <c r="BR99" s="93">
        <f>ППД5[[#This Row],[Фикс 20.03.24]]+ППД5[[#This Row],[Наценка 08.04.24 
2К: В3 - 150
3К: Г7 +1000]]</f>
        <v>108299.18706594263</v>
      </c>
      <c r="BS99" s="93"/>
      <c r="BT99" s="93">
        <f>ППД5[[#This Row],[Фикс 08.04.24]]+ППД5[[#This Row],[Наценка 16.05.24 1%
А4,А6,Б3,Б6,Б7,В2,В3,В5,В6,Г1,Г3-Г5]]</f>
        <v>108299.18706594263</v>
      </c>
      <c r="BU99" s="93"/>
      <c r="BV99" s="93">
        <f>ППД5[[#This Row],[Фикс 16.05.24]]+ППД5[[#This Row],[Наценка 24.05.24
1% - Б4, Б5,Г2,Г6
2% - А1,А3,А5,Б2,Г7]]</f>
        <v>108299.18706594263</v>
      </c>
      <c r="BW99" s="9">
        <f>ППД5[[#This Row],[Фикс 24.05.24]]*0.5%</f>
        <v>541.49593532971323</v>
      </c>
      <c r="BX99" s="93">
        <f>ППД5[[#This Row],[Наценка 06.06.24
0К: В2,Г3 +0,5%
1К: А7, Б5/4, Г6 +0,5%
3К: В6 +0,5%
1К: А3 +1%]]+ППД5[[#This Row],[Фикс 24.05.24]]</f>
        <v>108840.68300127235</v>
      </c>
      <c r="BY99" s="93"/>
      <c r="BZ99" s="93">
        <f>ППД5[[#This Row],[Фикс 06.06.24]]+ППД5[[#This Row],[13.06.2024
3К - 2%]]</f>
        <v>108840.68300127235</v>
      </c>
      <c r="CA99" s="93">
        <f>1.5%*ППД5[[#This Row],[Фикс 13.06.24]]</f>
        <v>1632.6102450190851</v>
      </c>
      <c r="CB99" s="93">
        <f>ППД5[[#This Row],[02.07.2024: Г3 А1 А3 Б5 Б7 Г2 Г6 Б3 Б4 В3 Г7 2,5% ост 0,5-1,5%]]+ППД5[[#This Row],[Фикс 13.06.24]]</f>
        <v>110473.29324629143</v>
      </c>
      <c r="CC99" s="93"/>
      <c r="CD99" s="93">
        <f>ППД5[[#This Row],[Фикс 02.07.24]]+ППД5[[#This Row],[04.09.2024 +500
0К - Б2; 1К - А3;
2К - А6, Б4, В3, Г5]]</f>
        <v>110473.29324629143</v>
      </c>
      <c r="CE99" s="93"/>
      <c r="CF99" s="93">
        <f>ППД5[[#This Row],[Наценка 16.09.2024
1К: А1,В7,Г6/7,Г8 - 2%
2К: А4,А5,А6,Б1,Б6,Б3/4,В3,В4,Г4,Г5 - 4%
3К: 4%]]+ППД5[[#This Row],[Фикс 04.09.24]]</f>
        <v>110473.29324629143</v>
      </c>
      <c r="CG99" s="93">
        <f>ППД5[[#This Row],[Фикс 16.09.2024]]*8%</f>
        <v>8837.8634597033142</v>
      </c>
      <c r="CH99" s="93">
        <f>ППД5[[#This Row],[Фикс 16.09.2024]]+ППД5[[#This Row],[Наценка 01.11.24
СТ: 4%
1К: 34-40м 5%; 40м+ 8%; МГН 1%
2К: 55-70м 6%; 70-73м 7%; 73-76м 8% 
3К: 5%]]</f>
        <v>119311.15670599474</v>
      </c>
      <c r="CI99" s="93">
        <f>ППД5[[#This Row],[Фикс 01.11.24]]*13%</f>
        <v>15510.450371779318</v>
      </c>
      <c r="CJ99" s="93">
        <f>ППД5[[#This Row],[Наценка 06.11 13%]]+ППД5[[#This Row],[Фикс 01.11.24]]</f>
        <v>134821.60707777407</v>
      </c>
      <c r="CK99" s="93">
        <v>35</v>
      </c>
      <c r="CL99" s="93">
        <f>ППД5[[#This Row],[Фикс 06.11.24]]+ППД5[[#This Row],[Наценка 18.12.24 распределение КВ]]</f>
        <v>134856.60707777407</v>
      </c>
      <c r="CM99" s="93"/>
      <c r="CN99" s="93">
        <f>ППД5[[#This Row],[Фикс 18.12.24]]+ППД5[[#This Row],[Наценка 10.02.25 +1%
1К: А3
2К: Б3, В3]]</f>
        <v>134856.60707777407</v>
      </c>
      <c r="CO99" s="93">
        <f>ROUND(ППД5[[#This Row],[Фикс 10.02.25]],2)</f>
        <v>134856.60999999999</v>
      </c>
      <c r="CP9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5765200</v>
      </c>
      <c r="CQ99" s="93">
        <f>ROUNDUP(ППД5[[#This Row],[Стоимость до скидки]]+ППД5[[#This Row],[Сумма доплаты]],-2)</f>
        <v>5778700</v>
      </c>
      <c r="CR99" s="68">
        <f>ППД5[[#This Row],[Расчетная проектная площадь]]*8000</f>
        <v>342000</v>
      </c>
      <c r="CS99" s="90"/>
      <c r="CT99" s="68">
        <f>ППД5[[#This Row],[Стоимость до скидки]]*ППД5[[#This Row],[Скидка %]]+ППД5[[#This Row],[Скидка фиксированная]]</f>
        <v>342000</v>
      </c>
      <c r="CU99" s="3">
        <f>ППД5[[#This Row],[Стоимость ОН без отделки со скидкой]]/ППД5[[#This Row],[Расчетная проектная площадь]]</f>
        <v>126858.47953216374</v>
      </c>
      <c r="CV99" s="3">
        <f>ROUND(ППД5[[#This Row],[Стоимость до скидки]]-ППД5[[#This Row],[Итоговая сумма скидки]],2)</f>
        <v>5423200</v>
      </c>
      <c r="CW9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99" s="218">
        <v>10000</v>
      </c>
      <c r="CY99" s="332">
        <f>ППД5[[#This Row],[Расхождение]]/ППД5[[#This Row],[Расчетная проектная площадь]]</f>
        <v>2.339181286549741E-3</v>
      </c>
      <c r="CZ99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-3.0000000000002913E-2</v>
      </c>
      <c r="DA99" s="3">
        <f>ППД5[[#This Row],[Цена м2 без отделки со скидкой]]+ППД5[[#This Row],[Стоимость отделки]]</f>
        <v>136858.47953216374</v>
      </c>
      <c r="DB99" s="3">
        <f>ППД5[[#This Row],[Стоимость квартиры с отделкой]]-ППД5[[#This Row],[Стоимость ОН без отделки со скидкой]]</f>
        <v>427500</v>
      </c>
      <c r="DC99" s="3">
        <f>ППД5[[#This Row],[Цена м2 с отделкой]]*ППД5[[#This Row],[Расчетная проектная площадь]]</f>
        <v>5850700</v>
      </c>
      <c r="DD99" s="3"/>
      <c r="DE99" s="111" t="s">
        <v>2122</v>
      </c>
      <c r="DF99" s="155" t="s">
        <v>172</v>
      </c>
      <c r="DG99" s="221" t="s">
        <v>172</v>
      </c>
      <c r="DH99" s="100" t="b">
        <f>EXACT(ППД5[[#This Row],[Статусы CRM]],ППД5[[#This Row],[Статус]])</f>
        <v>1</v>
      </c>
      <c r="DI99" s="213" t="s">
        <v>271</v>
      </c>
      <c r="DJ99" s="204"/>
      <c r="DK99" s="111" t="s">
        <v>763</v>
      </c>
      <c r="DL99" s="216" t="s">
        <v>780</v>
      </c>
      <c r="DM99" s="201" t="b">
        <f>ППД5[[#This Row],[Отделка CRM]]=ППД5[[#This Row],[Отделка]]</f>
        <v>1</v>
      </c>
      <c r="DN99" s="203">
        <v>5850700</v>
      </c>
      <c r="DO9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99" s="207" t="b">
        <f>IF(AND(ППД5[[#This Row],[Статус]]="свободно",ППД5[[#This Row],[Итоговая сумма скидки]]&lt;&gt;0),FALSE,TRUE)</f>
        <v>1</v>
      </c>
      <c r="DQ99" s="240" t="str">
        <f>_xlfn.XLOOKUP(ППД5[[#This Row],[№]],Юрист[№ кв],Юрист[Дата подачи на регистрацию]," ",0,-1)</f>
        <v xml:space="preserve"> </v>
      </c>
      <c r="DR99" s="115" t="str">
        <f>_xlfn.XLOOKUP(ППД5[[#This Row],[№]],Юрист[№ кв],Юрист[МОП],"",0,-1)</f>
        <v/>
      </c>
      <c r="DS99" s="333" t="s">
        <v>2490</v>
      </c>
      <c r="DT99" s="333" t="s">
        <v>2491</v>
      </c>
      <c r="DU99" s="333">
        <v>41.5</v>
      </c>
      <c r="DV99" s="111"/>
    </row>
    <row r="100" spans="1:126" hidden="1" x14ac:dyDescent="0.25">
      <c r="A100" s="112">
        <v>98</v>
      </c>
      <c r="B100" s="111" t="s">
        <v>5</v>
      </c>
      <c r="C100" s="111">
        <v>15</v>
      </c>
      <c r="D100" s="338">
        <v>1</v>
      </c>
      <c r="E100" s="111">
        <v>1</v>
      </c>
      <c r="F100" s="105">
        <v>14.68</v>
      </c>
      <c r="G100" s="105"/>
      <c r="H100" s="105"/>
      <c r="I100" s="94">
        <f>SUM(ППД5[[#This Row],[Комната 1]:[Комната 3]])</f>
        <v>14.68</v>
      </c>
      <c r="J100" s="1">
        <v>9.84</v>
      </c>
      <c r="K100" s="105">
        <v>3.63</v>
      </c>
      <c r="L100" s="105"/>
      <c r="M100" s="105"/>
      <c r="N100" s="105">
        <v>4.8899999999999997</v>
      </c>
      <c r="O100" s="105">
        <v>2.7</v>
      </c>
      <c r="P100" s="105"/>
      <c r="Q100" s="105"/>
      <c r="R100" s="105">
        <f>SUM(ППД5[[#This Row],[Лоджия 1]:[Лоджия 3]])</f>
        <v>2.7</v>
      </c>
      <c r="S100" s="7">
        <f>ROUND(SUM(ППД5[[#This Row],[Площадь по проекту жилая]:[Лоджия 3]]),2)</f>
        <v>35.74</v>
      </c>
      <c r="T100" s="7">
        <f>ROUND(ППД5[[#This Row],[Площадь по проекту(общая)]]-ППД5[[#This Row],[Летние]],2)</f>
        <v>33.04</v>
      </c>
      <c r="U100" s="92">
        <f>ROUND(ППД5[[#This Row],[Площадь по проекту(общая)]]-(SUM(ППД5[[#This Row],[Лоджия 1]:[Лоджия 3]])/2),2)</f>
        <v>34.39</v>
      </c>
      <c r="V100" s="92">
        <f>IF(ППД5[[#This Row],[Статус]]="продажа",ППД5[[#This Row],[Расчетная проектная площадь]],ППД5[[#This Row],[Расчетная ТП площадь]])</f>
        <v>34.39</v>
      </c>
      <c r="W100" s="92">
        <v>14.8</v>
      </c>
      <c r="X100" s="92"/>
      <c r="Y100" s="92"/>
      <c r="Z100" s="92">
        <f>SUM(ППД5[[#This Row],[ТП Комната 1]:[ТП Комната 3]])</f>
        <v>14.8</v>
      </c>
      <c r="AA100" s="92">
        <v>9.6</v>
      </c>
      <c r="AB100" s="92">
        <v>3.8</v>
      </c>
      <c r="AC100" s="92"/>
      <c r="AD100" s="92"/>
      <c r="AE100" s="92">
        <v>4.8</v>
      </c>
      <c r="AF100" s="91">
        <v>1.35</v>
      </c>
      <c r="AG100" s="92"/>
      <c r="AH100" s="92"/>
      <c r="AI100" s="91">
        <f>SUM(ППД5[[#This Row],[ТП Лоджия 1]:[ТП Лоджия 3]])</f>
        <v>1.35</v>
      </c>
      <c r="AJ100" s="95">
        <v>2.7</v>
      </c>
      <c r="AK100" s="92">
        <f>SUM(ППД5[[#This Row],[Площадь по ТП жилая]:[ТП Лоджия 3]])-ППД5[[#This Row],[ТП Летние]]+ППД5[[#This Row],[кроме того прочая
(без коэффициента)]]</f>
        <v>35.700000000000003</v>
      </c>
      <c r="AL100" s="95">
        <f>ППД5[[#This Row],[ТП Площадь без летних]]+(ППД5[[#This Row],[ТП Летние]])</f>
        <v>34.35</v>
      </c>
      <c r="AM100" s="92">
        <f>ППД5[[#This Row],[ТП общая S]]-ППД5[[#This Row],[кроме того прочая
(без коэффициента)]]</f>
        <v>33</v>
      </c>
      <c r="AN100" s="95">
        <f>SUM(ППД5[[#This Row],[ТП Кухня]:[ТП Коридор]])</f>
        <v>18.2</v>
      </c>
      <c r="AO100" s="91">
        <f>ППД5[[#This Row],[Расчетная ТП площадь]]-ППД5[[#This Row],[Расчетная проектная площадь]]</f>
        <v>-3.9999999999999147E-2</v>
      </c>
      <c r="AP100" s="335">
        <f>ППД5[[#This Row],[Расчетная ТП площадь]]/ППД5[[#This Row],[Расчетная проектная площадь]]-1</f>
        <v>-1.1631288165163678E-3</v>
      </c>
      <c r="AQ100" s="92">
        <f>ППД5[[#This Row],[% расхождения]]*ППД5[[#This Row],[Стоимость до скидки]]</f>
        <v>-4773.3643501015222</v>
      </c>
      <c r="AR100" s="92">
        <f>VLOOKUP(ППД5[[#This Row],[№]],наценкад5[],COLUMN(наценкад5[[#This Row],[Цена м2 с учетом всех K]]),0)</f>
        <v>82734.75</v>
      </c>
      <c r="AS100" s="7">
        <f>ППД5[[#This Row],[м2 после К]]*5%</f>
        <v>4136.7375000000002</v>
      </c>
      <c r="AT100" s="7">
        <f>ППД5[[#This Row],[м2 после К]]+ППД5[[#This Row],[Повышение 16.08.23 - 5%]]</f>
        <v>86871.487500000003</v>
      </c>
      <c r="AU100" s="9">
        <f>ППД5[[#This Row],[Фикс 16.08.23]]*3%</f>
        <v>2606.1446249999999</v>
      </c>
      <c r="AV100" s="9">
        <f>ППД5[[#This Row],[Фикс 16.08.23]]+ППД5[[#This Row],[Повышение 29.08.23 - 3%]]</f>
        <v>89477.632125000004</v>
      </c>
      <c r="AW100" s="93">
        <f>ППД5[[#This Row],[Фикс 29.08.23]]*14%</f>
        <v>12526.868497500001</v>
      </c>
      <c r="AX100" s="9">
        <f>ППД5[[#This Row],[Фикс 29.08.23]]+ППД5[[#This Row],[Повышение 06.09.23 СТ и 1К]]</f>
        <v>102004.50062250001</v>
      </c>
      <c r="AY100" s="9"/>
      <c r="AZ100" s="9">
        <f>ППД5[[#This Row],[Повышение 23.10.23  В4 ]]+ППД5[[#This Row],[Фикс 06.09.23]]</f>
        <v>102004.50062250001</v>
      </c>
      <c r="BA100" s="93">
        <f>ППД5[[#This Row],[Фикс 23.10.23]]*5%</f>
        <v>5100.2250311250009</v>
      </c>
      <c r="BB100" s="93">
        <f>ППД5[[#This Row],[Повышение 8.11.23 1К 5%]]+ППД5[[#This Row],[Фикс 23.10.23]]</f>
        <v>107104.72565362501</v>
      </c>
      <c r="BC100" s="93"/>
      <c r="BD100" s="93">
        <f>ППД5[[#This Row],[Корректировка 24.11.23 - 1К В5, 2К А2, №233]]+ППД5[[#This Row],[Фикс 8.11.23]]</f>
        <v>107104.72565362501</v>
      </c>
      <c r="BE100" s="93">
        <f>ППД5[[#This Row],[Фикс 8.11.24]]*1%</f>
        <v>1071.0472565362502</v>
      </c>
      <c r="BF100" s="93">
        <f>ППД5[[#This Row],[Наценка за отделку 29.12.23 1%]]+ППД5[[#This Row],[Фикс 8.11.24]]</f>
        <v>108175.77291016125</v>
      </c>
      <c r="BG100" s="93">
        <f>ППД5[[#This Row],[Фикс 29.12.23]]*5%</f>
        <v>5408.7886455080625</v>
      </c>
      <c r="BH100" s="93">
        <f>ППД5[[#This Row],[Фикс 29.12.23]]+ППД5[[#This Row],[Наценка 10.01.24 5%]]</f>
        <v>113584.56155566931</v>
      </c>
      <c r="BI100" s="93"/>
      <c r="BJ100" s="93">
        <f>ППД5[[#This Row],[Наценка 26.02.24 1 Этаж]]+ППД5[[#This Row],[Фикс 10.01.24]]</f>
        <v>113584.56155566931</v>
      </c>
      <c r="BK100" s="93">
        <f>ППД5[[#This Row],[Фикс 26.02.24]]*3%</f>
        <v>3407.5368466700793</v>
      </c>
      <c r="BL100" s="93">
        <f>ППД5[[#This Row],[Фикс 26.02.24]]+ППД5[[#This Row],[Наценка 06.03.24
СТ, 1К - 3%
2К, 3К - 2%]]</f>
        <v>116992.09840233938</v>
      </c>
      <c r="BM100" s="93"/>
      <c r="BN100" s="93">
        <f>ППД5[[#This Row],[Фикс 06.03.24]]+ППД5[[#This Row],[Наценка Г2+500]]</f>
        <v>116992.09840233938</v>
      </c>
      <c r="BO100" s="93"/>
      <c r="BP100" s="93">
        <f>ППД5[[#This Row],[Фикс 13.03.25]]+ППД5[[#This Row],[Наценка 20.03.24
2К, 3К - 2%]]</f>
        <v>116992.09840233938</v>
      </c>
      <c r="BQ100" s="93"/>
      <c r="BR100" s="93">
        <f>ППД5[[#This Row],[Фикс 20.03.24]]+ППД5[[#This Row],[Наценка 08.04.24 
2К: В3 - 150
3К: Г7 +1000]]</f>
        <v>116992.09840233938</v>
      </c>
      <c r="BS100" s="93"/>
      <c r="BT100" s="93">
        <f>ППД5[[#This Row],[Фикс 08.04.24]]+ППД5[[#This Row],[Наценка 16.05.24 1%
А4,А6,Б3,Б6,Б7,В2,В3,В5,В6,Г1,Г3-Г5]]</f>
        <v>116992.09840233938</v>
      </c>
      <c r="BU100" s="93">
        <f>ППД5[[#This Row],[Фикс 16.05.24]]*2%</f>
        <v>2339.8419680467878</v>
      </c>
      <c r="BV100" s="93">
        <f>ППД5[[#This Row],[Фикс 16.05.24]]+ППД5[[#This Row],[Наценка 24.05.24
1% - Б4, Б5,Г2,Г6
2% - А1,А3,А5,Б2,Г7]]</f>
        <v>119331.94037038618</v>
      </c>
      <c r="BW100" s="93"/>
      <c r="BX100" s="93">
        <f>ППД5[[#This Row],[Наценка 06.06.24
0К: В2,Г3 +0,5%
1К: А7, Б5/4, Г6 +0,5%
3К: В6 +0,5%
1К: А3 +1%]]+ППД5[[#This Row],[Фикс 24.05.24]]</f>
        <v>119331.94037038618</v>
      </c>
      <c r="BY100" s="93"/>
      <c r="BZ100" s="93">
        <f>ППД5[[#This Row],[Фикс 06.06.24]]+ППД5[[#This Row],[13.06.2024
3К - 2%]]</f>
        <v>119331.94037038618</v>
      </c>
      <c r="CA100" s="93"/>
      <c r="CB100" s="93">
        <f>ППД5[[#This Row],[02.07.2024: Г3 А1 А3 Б5 Б7 Г2 Г6 Б3 Б4 В3 Г7 2,5% ост 0,5-1,5%]]+ППД5[[#This Row],[Фикс 13.06.24]]</f>
        <v>119331.94037038618</v>
      </c>
      <c r="CC100" s="93"/>
      <c r="CD100" s="93">
        <f>ППД5[[#This Row],[Фикс 02.07.24]]+ППД5[[#This Row],[04.09.2024 +500
0К - Б2; 1К - А3;
2К - А6, Б4, В3, Г5]]</f>
        <v>119331.94037038618</v>
      </c>
      <c r="CE100" s="93"/>
      <c r="CF100" s="93">
        <f>ППД5[[#This Row],[Наценка 16.09.2024
1К: А1,В7,Г6/7,Г8 - 2%
2К: А4,А5,А6,Б1,Б6,Б3/4,В3,В4,Г4,Г5 - 4%
3К: 4%]]+ППД5[[#This Row],[Фикс 04.09.24]]</f>
        <v>119331.94037038618</v>
      </c>
      <c r="CG100" s="93"/>
      <c r="CH100" s="93">
        <f>ППД5[[#This Row],[Фикс 16.09.2024]]+ППД5[[#This Row],[Наценка 01.11.24
СТ: 4%
1К: 34-40м 5%; 40м+ 8%; МГН 1%
2К: 55-70м 6%; 70-73м 7%; 73-76м 8% 
3К: 5%]]</f>
        <v>119331.94037038618</v>
      </c>
      <c r="CI100" s="93"/>
      <c r="CJ100" s="93">
        <f>ППД5[[#This Row],[Наценка 06.11 13%]]+ППД5[[#This Row],[Фикс 01.11.24]]</f>
        <v>119331.94037038618</v>
      </c>
      <c r="CK100" s="93"/>
      <c r="CL100" s="93">
        <f>ППД5[[#This Row],[Фикс 06.11.24]]+ППД5[[#This Row],[Наценка 18.12.24 распределение КВ]]</f>
        <v>119331.94037038618</v>
      </c>
      <c r="CM100" s="93"/>
      <c r="CN100" s="93">
        <f>ППД5[[#This Row],[Фикс 18.12.24]]+ППД5[[#This Row],[Наценка 10.02.25 +1%
1К: А3
2К: Б3, В3]]</f>
        <v>119331.94037038618</v>
      </c>
      <c r="CO100" s="93">
        <f>ROUND(ППД5[[#This Row],[Фикс 10.02.25]],2)</f>
        <v>119331.94</v>
      </c>
      <c r="CP10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4103900</v>
      </c>
      <c r="CQ100" s="93">
        <f>ROUNDUP(ППД5[[#This Row],[Стоимость до скидки]]+ППД5[[#This Row],[Сумма доплаты]],-2)</f>
        <v>4099200</v>
      </c>
      <c r="CR100" s="68"/>
      <c r="CS100" s="90"/>
      <c r="CT100" s="68">
        <f>ППД5[[#This Row],[Стоимость до скидки]]*ППД5[[#This Row],[Скидка %]]+ППД5[[#This Row],[Скидка фиксированная]]</f>
        <v>0</v>
      </c>
      <c r="CU100" s="3">
        <f>ППД5[[#This Row],[Стоимость ОН без отделки со скидкой]]/ППД5[[#This Row],[Расчетная проектная площадь]]</f>
        <v>119334.10875254434</v>
      </c>
      <c r="CV100" s="3">
        <f>ROUND(ППД5[[#This Row],[Стоимость до скидки]]-ППД5[[#This Row],[Итоговая сумма скидки]],2)</f>
        <v>4103900</v>
      </c>
      <c r="CW10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00" s="197"/>
      <c r="CY100" s="332">
        <f>ППД5[[#This Row],[Расхождение]]/ППД5[[#This Row],[Расчетная проектная площадь]]</f>
        <v>-1.1631288165164044E-3</v>
      </c>
      <c r="CZ10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-0.16000000000000014</v>
      </c>
      <c r="DA100" s="3">
        <f>ППД5[[#This Row],[Цена м2 без отделки со скидкой]]+ППД5[[#This Row],[Стоимость отделки]]</f>
        <v>119334.10875254434</v>
      </c>
      <c r="DB100" s="3">
        <f>ППД5[[#This Row],[Стоимость квартиры с отделкой]]-ППД5[[#This Row],[Стоимость ОН без отделки со скидкой]]</f>
        <v>0</v>
      </c>
      <c r="DC100" s="3">
        <f>ППД5[[#This Row],[Цена м2 с отделкой]]*ППД5[[#This Row],[Расчетная проектная площадь]]</f>
        <v>4103900</v>
      </c>
      <c r="DD100" s="3" t="s">
        <v>154</v>
      </c>
      <c r="DF100" s="199" t="s">
        <v>172</v>
      </c>
      <c r="DG100" s="245" t="s">
        <v>172</v>
      </c>
      <c r="DH100" s="100" t="b">
        <f>EXACT(ППД5[[#This Row],[Статусы CRM]],ППД5[[#This Row],[Статус]])</f>
        <v>1</v>
      </c>
      <c r="DI100" s="213" t="s">
        <v>272</v>
      </c>
      <c r="DJ100" s="204"/>
      <c r="DK100" s="111" t="s">
        <v>763</v>
      </c>
      <c r="DL100" s="216" t="s">
        <v>12</v>
      </c>
      <c r="DM100" s="201" t="b">
        <f>ППД5[[#This Row],[Отделка CRM]]=ППД5[[#This Row],[Отделка]]</f>
        <v>1</v>
      </c>
      <c r="DN100" s="203">
        <v>4103900</v>
      </c>
      <c r="DO10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00" s="207" t="b">
        <f>IF(AND(ППД5[[#This Row],[Статус]]="свободно",ППД5[[#This Row],[Итоговая сумма скидки]]&lt;&gt;0),FALSE,TRUE)</f>
        <v>1</v>
      </c>
      <c r="DQ100" s="240">
        <f>_xlfn.XLOOKUP(ППД5[[#This Row],[№]],Юрист[№ кв],Юрист[Дата подачи на регистрацию]," ",0,-1)</f>
        <v>45464</v>
      </c>
      <c r="DR100" s="115" t="str">
        <f>_xlfn.XLOOKUP(ППД5[[#This Row],[№]],Юрист[№ кв],Юрист[МОП],"",0,-1)</f>
        <v>Дик</v>
      </c>
      <c r="DS100" s="333" t="s">
        <v>2492</v>
      </c>
      <c r="DT100" s="333" t="s">
        <v>2493</v>
      </c>
      <c r="DU100" s="333">
        <v>33</v>
      </c>
      <c r="DV100" s="111"/>
    </row>
    <row r="101" spans="1:126" hidden="1" x14ac:dyDescent="0.25">
      <c r="A101" s="112">
        <v>99</v>
      </c>
      <c r="B101" s="111" t="s">
        <v>5</v>
      </c>
      <c r="C101" s="111">
        <v>15</v>
      </c>
      <c r="D101" s="111">
        <v>2</v>
      </c>
      <c r="E101" s="111">
        <v>2</v>
      </c>
      <c r="F101" s="105">
        <v>15.82</v>
      </c>
      <c r="G101" s="156">
        <v>15.54</v>
      </c>
      <c r="H101" s="105"/>
      <c r="I101" s="94">
        <f>SUM(ППД5[[#This Row],[Комната 1]:[Комната 3]])</f>
        <v>31.36</v>
      </c>
      <c r="J101" s="105">
        <v>19.440000000000001</v>
      </c>
      <c r="K101" s="105">
        <v>4.42</v>
      </c>
      <c r="L101" s="105"/>
      <c r="M101" s="105">
        <v>3.25</v>
      </c>
      <c r="N101" s="105">
        <v>8.5299999999999994</v>
      </c>
      <c r="O101" s="105">
        <v>3</v>
      </c>
      <c r="P101" s="105"/>
      <c r="Q101" s="105"/>
      <c r="R101" s="105">
        <f>SUM(ППД5[[#This Row],[Лоджия 1]:[Лоджия 3]])</f>
        <v>3</v>
      </c>
      <c r="S101" s="7">
        <f>ROUND(SUM(ППД5[[#This Row],[Площадь по проекту жилая]:[Лоджия 3]]),2)</f>
        <v>70</v>
      </c>
      <c r="T101" s="7">
        <f>ROUND(ППД5[[#This Row],[Площадь по проекту(общая)]]-ППД5[[#This Row],[Летние]],2)</f>
        <v>67</v>
      </c>
      <c r="U101" s="92">
        <f>ROUND(ППД5[[#This Row],[Площадь по проекту(общая)]]-(SUM(ППД5[[#This Row],[Лоджия 1]:[Лоджия 3]])/2),2)</f>
        <v>68.5</v>
      </c>
      <c r="V101" s="92">
        <f>IF(ППД5[[#This Row],[Статус]]="продажа",ППД5[[#This Row],[Расчетная проектная площадь]],ППД5[[#This Row],[Расчетная ТП площадь]])</f>
        <v>68.5</v>
      </c>
      <c r="W101" s="92">
        <v>15.7</v>
      </c>
      <c r="X101" s="92">
        <v>15.9</v>
      </c>
      <c r="Y101" s="92"/>
      <c r="Z101" s="92">
        <f>SUM(ППД5[[#This Row],[ТП Комната 1]:[ТП Комната 3]])</f>
        <v>31.6</v>
      </c>
      <c r="AA101" s="92">
        <v>18.899999999999999</v>
      </c>
      <c r="AB101" s="92">
        <v>4.5</v>
      </c>
      <c r="AC101" s="92"/>
      <c r="AD101" s="92">
        <v>3.3</v>
      </c>
      <c r="AE101" s="92">
        <v>8.6999999999999993</v>
      </c>
      <c r="AF101" s="92">
        <v>1.5</v>
      </c>
      <c r="AG101" s="92"/>
      <c r="AH101" s="92"/>
      <c r="AI101" s="91">
        <f>SUM(ППД5[[#This Row],[ТП Лоджия 1]:[ТП Лоджия 3]])</f>
        <v>1.5</v>
      </c>
      <c r="AJ101" s="95">
        <v>3</v>
      </c>
      <c r="AK101" s="92">
        <f>SUM(ППД5[[#This Row],[Площадь по ТП жилая]:[ТП Лоджия 3]])-ППД5[[#This Row],[ТП Летние]]+ППД5[[#This Row],[кроме того прочая
(без коэффициента)]]</f>
        <v>70</v>
      </c>
      <c r="AL101" s="95">
        <f>ППД5[[#This Row],[ТП Площадь без летних]]+(ППД5[[#This Row],[ТП Летние]])</f>
        <v>68.5</v>
      </c>
      <c r="AM101" s="92">
        <f>ППД5[[#This Row],[ТП общая S]]-ППД5[[#This Row],[кроме того прочая
(без коэффициента)]]</f>
        <v>67</v>
      </c>
      <c r="AN101" s="95">
        <f>SUM(ППД5[[#This Row],[ТП Кухня]:[ТП Коридор]])</f>
        <v>35.4</v>
      </c>
      <c r="AO101" s="91">
        <f>ППД5[[#This Row],[Расчетная ТП площадь]]-ППД5[[#This Row],[Расчетная проектная площадь]]</f>
        <v>0</v>
      </c>
      <c r="AP101" s="335">
        <f>ППД5[[#This Row],[Расчетная ТП площадь]]/ППД5[[#This Row],[Расчетная проектная площадь]]-1</f>
        <v>0</v>
      </c>
      <c r="AQ101" s="92">
        <f>ППД5[[#This Row],[% расхождения]]*ППД5[[#This Row],[Стоимость до скидки]]</f>
        <v>0</v>
      </c>
      <c r="AR101" s="92">
        <f>VLOOKUP(ППД5[[#This Row],[№]],наценкад5[],COLUMN(наценкад5[[#This Row],[Цена м2 с учетом всех K]]),0)</f>
        <v>84168.819000000003</v>
      </c>
      <c r="AS101" s="7">
        <f>ППД5[[#This Row],[м2 после К]]*5%</f>
        <v>4208.4409500000002</v>
      </c>
      <c r="AT101" s="7">
        <f>ППД5[[#This Row],[м2 после К]]+ППД5[[#This Row],[Повышение 16.08.23 - 5%]]</f>
        <v>88377.259950000007</v>
      </c>
      <c r="AU101" s="9">
        <f>ППД5[[#This Row],[Фикс 16.08.23]]*3%</f>
        <v>2651.3177985000002</v>
      </c>
      <c r="AV101" s="9">
        <f>ППД5[[#This Row],[Фикс 16.08.23]]+ППД5[[#This Row],[Повышение 29.08.23 - 3%]]</f>
        <v>91028.577748500014</v>
      </c>
      <c r="AW101" s="9"/>
      <c r="AX101" s="9">
        <f>ППД5[[#This Row],[Фикс 29.08.23]]+ППД5[[#This Row],[Повышение 06.09.23 СТ и 1К]]</f>
        <v>91028.577748500014</v>
      </c>
      <c r="AY101" s="9"/>
      <c r="AZ101" s="9">
        <f>ППД5[[#This Row],[Повышение 23.10.23  В4 ]]+ППД5[[#This Row],[Фикс 06.09.23]]</f>
        <v>91028.577748500014</v>
      </c>
      <c r="BA101" s="9"/>
      <c r="BB101" s="9">
        <f>ППД5[[#This Row],[Повышение 8.11.23 1К 5%]]+ППД5[[#This Row],[Фикс 23.10.23]]</f>
        <v>91028.577748500014</v>
      </c>
      <c r="BC101" s="9">
        <v>-831</v>
      </c>
      <c r="BD101" s="9">
        <f>ППД5[[#This Row],[Корректировка 24.11.23 - 1К В5, 2К А2, №233]]+ППД5[[#This Row],[Фикс 8.11.23]]</f>
        <v>90197.577748500014</v>
      </c>
      <c r="BE101" s="93">
        <f>ППД5[[#This Row],[Фикс 8.11.24]]*1%</f>
        <v>901.97577748500021</v>
      </c>
      <c r="BF101" s="9">
        <f>ППД5[[#This Row],[Наценка за отделку 29.12.23 1%]]+ППД5[[#This Row],[Фикс 8.11.24]]</f>
        <v>91099.553525985015</v>
      </c>
      <c r="BG101" s="93">
        <f>ППД5[[#This Row],[Фикс 29.12.23]]*5%</f>
        <v>4554.9776762992506</v>
      </c>
      <c r="BH101" s="9">
        <f>ППД5[[#This Row],[Фикс 29.12.23]]+ППД5[[#This Row],[Наценка 10.01.24 5%]]</f>
        <v>95654.53120228427</v>
      </c>
      <c r="BI101" s="9"/>
      <c r="BJ101" s="9">
        <f>ППД5[[#This Row],[Наценка 26.02.24 1 Этаж]]+ППД5[[#This Row],[Фикс 10.01.24]]</f>
        <v>95654.53120228427</v>
      </c>
      <c r="BK101" s="93">
        <f>ППД5[[#This Row],[Фикс 26.02.24]]*2%</f>
        <v>1913.0906240456854</v>
      </c>
      <c r="BL101" s="9">
        <f>ППД5[[#This Row],[Фикс 26.02.24]]+ППД5[[#This Row],[Наценка 06.03.24
СТ, 1К - 3%
2К, 3К - 2%]]</f>
        <v>97567.621826329952</v>
      </c>
      <c r="BM101" s="9"/>
      <c r="BN101" s="9">
        <f>ППД5[[#This Row],[Фикс 06.03.24]]+ППД5[[#This Row],[Наценка Г2+500]]</f>
        <v>97567.621826329952</v>
      </c>
      <c r="BO101" s="9">
        <f>ППД5[[#This Row],[Фикс 13.03.25]]*2%</f>
        <v>1951.3524365265991</v>
      </c>
      <c r="BP101" s="9">
        <f>ППД5[[#This Row],[Фикс 13.03.25]]+ППД5[[#This Row],[Наценка 20.03.24
2К, 3К - 2%]]</f>
        <v>99518.974262856558</v>
      </c>
      <c r="BQ101" s="9"/>
      <c r="BR101" s="9">
        <f>ППД5[[#This Row],[Фикс 20.03.24]]+ППД5[[#This Row],[Наценка 08.04.24 
2К: В3 - 150
3К: Г7 +1000]]</f>
        <v>99518.974262856558</v>
      </c>
      <c r="BS101" s="9"/>
      <c r="BT101" s="9">
        <f>ППД5[[#This Row],[Фикс 08.04.24]]+ППД5[[#This Row],[Наценка 16.05.24 1%
А4,А6,Б3,Б6,Б7,В2,В3,В5,В6,Г1,Г3-Г5]]</f>
        <v>99518.974262856558</v>
      </c>
      <c r="BU101" s="9"/>
      <c r="BV101" s="9">
        <f>ППД5[[#This Row],[Фикс 16.05.24]]+ППД5[[#This Row],[Наценка 24.05.24
1% - Б4, Б5,Г2,Г6
2% - А1,А3,А5,Б2,Г7]]</f>
        <v>99518.974262856558</v>
      </c>
      <c r="BW101" s="9"/>
      <c r="BX101" s="9">
        <f>ППД5[[#This Row],[Наценка 06.06.24
0К: В2,Г3 +0,5%
1К: А7, Б5/4, Г6 +0,5%
3К: В6 +0,5%
1К: А3 +1%]]+ППД5[[#This Row],[Фикс 24.05.24]]</f>
        <v>99518.974262856558</v>
      </c>
      <c r="BY101" s="9"/>
      <c r="BZ101" s="9">
        <f>ППД5[[#This Row],[Фикс 06.06.24]]+ППД5[[#This Row],[13.06.2024
3К - 2%]]</f>
        <v>99518.974262856558</v>
      </c>
      <c r="CA101" s="9"/>
      <c r="CB101" s="9">
        <f>ППД5[[#This Row],[02.07.2024: Г3 А1 А3 Б5 Б7 Г2 Г6 Б3 Б4 В3 Г7 2,5% ост 0,5-1,5%]]+ППД5[[#This Row],[Фикс 13.06.24]]</f>
        <v>99518.974262856558</v>
      </c>
      <c r="CC101" s="9"/>
      <c r="CD101" s="9">
        <f>ППД5[[#This Row],[Фикс 02.07.24]]+ППД5[[#This Row],[04.09.2024 +500
0К - Б2; 1К - А3;
2К - А6, Б4, В3, Г5]]</f>
        <v>99518.974262856558</v>
      </c>
      <c r="CE101" s="9"/>
      <c r="CF101" s="9">
        <f>ППД5[[#This Row],[Наценка 16.09.2024
1К: А1,В7,Г6/7,Г8 - 2%
2К: А4,А5,А6,Б1,Б6,Б3/4,В3,В4,Г4,Г5 - 4%
3К: 4%]]+ППД5[[#This Row],[Фикс 04.09.24]]</f>
        <v>99518.974262856558</v>
      </c>
      <c r="CG101" s="9"/>
      <c r="CH101" s="9">
        <f>ППД5[[#This Row],[Фикс 16.09.2024]]+ППД5[[#This Row],[Наценка 01.11.24
СТ: 4%
1К: 34-40м 5%; 40м+ 8%; МГН 1%
2К: 55-70м 6%; 70-73м 7%; 73-76м 8% 
3К: 5%]]</f>
        <v>99518.974262856558</v>
      </c>
      <c r="CI101" s="9"/>
      <c r="CJ101" s="9">
        <f>ППД5[[#This Row],[Наценка 06.11 13%]]+ППД5[[#This Row],[Фикс 01.11.24]]</f>
        <v>99518.974262856558</v>
      </c>
      <c r="CK101" s="9"/>
      <c r="CL101" s="9">
        <f>ППД5[[#This Row],[Фикс 06.11.24]]+ППД5[[#This Row],[Наценка 18.12.24 распределение КВ]]</f>
        <v>99518.974262856558</v>
      </c>
      <c r="CM101" s="9"/>
      <c r="CN101" s="9">
        <f>ППД5[[#This Row],[Фикс 18.12.24]]+ППД5[[#This Row],[Наценка 10.02.25 +1%
1К: А3
2К: Б3, В3]]</f>
        <v>99518.974262856558</v>
      </c>
      <c r="CO101" s="93">
        <f>ROUND(ППД5[[#This Row],[Фикс 10.02.25]],2)</f>
        <v>99518.97</v>
      </c>
      <c r="CP10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6817100</v>
      </c>
      <c r="CQ101" s="93">
        <f>ROUNDUP(ППД5[[#This Row],[Стоимость до скидки]]+ППД5[[#This Row],[Сумма доплаты]],-2)</f>
        <v>6817100</v>
      </c>
      <c r="CR101" s="68">
        <v>700000</v>
      </c>
      <c r="CS101" s="90"/>
      <c r="CT101" s="68">
        <f>ППД5[[#This Row],[Стоимость до скидки]]*ППД5[[#This Row],[Скидка %]]+ППД5[[#This Row],[Скидка фиксированная]]</f>
        <v>700000</v>
      </c>
      <c r="CU101" s="3">
        <f>ППД5[[#This Row],[Стоимость ОН без отделки со скидкой]]/ППД5[[#This Row],[Расчетная проектная площадь]]</f>
        <v>89300.729927007298</v>
      </c>
      <c r="CV101" s="3">
        <f>ROUND(ППД5[[#This Row],[Стоимость до скидки]]-ППД5[[#This Row],[Итоговая сумма скидки]],2)</f>
        <v>6117100</v>
      </c>
      <c r="CW10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101" s="197">
        <v>7000</v>
      </c>
      <c r="CY101" s="332">
        <f>ППД5[[#This Row],[Расхождение]]/ППД5[[#This Row],[Расчетная проектная площадь]]</f>
        <v>0</v>
      </c>
      <c r="CZ10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-0.24000000000000554</v>
      </c>
      <c r="DA101" s="3">
        <f>ППД5[[#This Row],[Цена м2 без отделки со скидкой]]+ППД5[[#This Row],[Стоимость отделки]]</f>
        <v>96300.729927007298</v>
      </c>
      <c r="DB101" s="3">
        <f>ППД5[[#This Row],[Стоимость квартиры с отделкой]]-ППД5[[#This Row],[Стоимость ОН без отделки со скидкой]]</f>
        <v>479500</v>
      </c>
      <c r="DC101" s="3">
        <f>ППД5[[#This Row],[Цена м2 с отделкой]]*ППД5[[#This Row],[Расчетная проектная площадь]]</f>
        <v>6596600</v>
      </c>
      <c r="DD101" s="3"/>
      <c r="DE101" s="111" t="s">
        <v>1418</v>
      </c>
      <c r="DF101" s="199" t="s">
        <v>172</v>
      </c>
      <c r="DG101" s="245" t="s">
        <v>172</v>
      </c>
      <c r="DH101" s="100" t="b">
        <f>EXACT(ППД5[[#This Row],[Статусы CRM]],ППД5[[#This Row],[Статус]])</f>
        <v>1</v>
      </c>
      <c r="DI101" s="213" t="s">
        <v>273</v>
      </c>
      <c r="DJ101" s="204"/>
      <c r="DK101" s="111" t="s">
        <v>763</v>
      </c>
      <c r="DL101" s="216" t="s">
        <v>780</v>
      </c>
      <c r="DM101" s="201" t="b">
        <f>ППД5[[#This Row],[Отделка CRM]]=ППД5[[#This Row],[Отделка]]</f>
        <v>1</v>
      </c>
      <c r="DN101" s="203">
        <v>6596600</v>
      </c>
      <c r="DO10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01" s="207" t="b">
        <f>IF(AND(ППД5[[#This Row],[Статус]]="свободно",ППД5[[#This Row],[Итоговая сумма скидки]]&lt;&gt;0),FALSE,TRUE)</f>
        <v>1</v>
      </c>
      <c r="DQ101" s="240">
        <f>_xlfn.XLOOKUP(ППД5[[#This Row],[№]],Юрист[№ кв],Юрист[Дата подачи на регистрацию]," ",0,-1)</f>
        <v>45465</v>
      </c>
      <c r="DR101" s="115" t="str">
        <f>_xlfn.XLOOKUP(ППД5[[#This Row],[№]],Юрист[№ кв],Юрист[МОП],"",0,-1)</f>
        <v>Координатор</v>
      </c>
      <c r="DS101" s="333" t="s">
        <v>2494</v>
      </c>
      <c r="DT101" s="333" t="s">
        <v>2495</v>
      </c>
      <c r="DU101" s="333">
        <v>67</v>
      </c>
      <c r="DV101" s="111"/>
    </row>
    <row r="102" spans="1:126" hidden="1" x14ac:dyDescent="0.25">
      <c r="A102" s="112">
        <v>100</v>
      </c>
      <c r="B102" s="111" t="s">
        <v>5</v>
      </c>
      <c r="C102" s="111">
        <v>15</v>
      </c>
      <c r="D102" s="111">
        <v>3</v>
      </c>
      <c r="E102" s="111">
        <v>1</v>
      </c>
      <c r="F102" s="105">
        <v>13.6</v>
      </c>
      <c r="G102" s="105"/>
      <c r="H102" s="105"/>
      <c r="I102" s="94">
        <f>SUM(ППД5[[#This Row],[Комната 1]:[Комната 3]])</f>
        <v>13.6</v>
      </c>
      <c r="J102" s="105">
        <v>14.97</v>
      </c>
      <c r="K102" s="105">
        <v>4.1100000000000003</v>
      </c>
      <c r="L102" s="105"/>
      <c r="M102" s="105"/>
      <c r="N102" s="105">
        <v>3.7</v>
      </c>
      <c r="O102" s="105">
        <v>2.69</v>
      </c>
      <c r="P102" s="105"/>
      <c r="Q102" s="105"/>
      <c r="R102" s="105">
        <f>SUM(ППД5[[#This Row],[Лоджия 1]:[Лоджия 3]])</f>
        <v>2.69</v>
      </c>
      <c r="S102" s="7">
        <f>ROUND(SUM(ППД5[[#This Row],[Площадь по проекту жилая]:[Лоджия 3]]),2)</f>
        <v>39.07</v>
      </c>
      <c r="T102" s="7">
        <f>ROUND(ППД5[[#This Row],[Площадь по проекту(общая)]]-ППД5[[#This Row],[Летние]],2)</f>
        <v>36.380000000000003</v>
      </c>
      <c r="U102" s="92">
        <f>ROUND(ППД5[[#This Row],[Площадь по проекту(общая)]]-(SUM(ППД5[[#This Row],[Лоджия 1]:[Лоджия 3]])/2),2)</f>
        <v>37.729999999999997</v>
      </c>
      <c r="V102" s="92">
        <f>IF(ППД5[[#This Row],[Статус]]="продажа",ППД5[[#This Row],[Расчетная проектная площадь]],ППД5[[#This Row],[Расчетная ТП площадь]])</f>
        <v>37.729999999999997</v>
      </c>
      <c r="W102" s="92">
        <v>13.5</v>
      </c>
      <c r="X102" s="92"/>
      <c r="Y102" s="92"/>
      <c r="Z102" s="92">
        <f>SUM(ППД5[[#This Row],[ТП Комната 1]:[ТП Комната 3]])</f>
        <v>13.5</v>
      </c>
      <c r="AA102" s="92">
        <v>15</v>
      </c>
      <c r="AB102" s="92">
        <v>4.2</v>
      </c>
      <c r="AC102" s="92"/>
      <c r="AD102" s="92"/>
      <c r="AE102" s="92">
        <v>3.7</v>
      </c>
      <c r="AF102" s="91">
        <v>1.35</v>
      </c>
      <c r="AG102" s="92"/>
      <c r="AH102" s="92"/>
      <c r="AI102" s="91">
        <f>SUM(ППД5[[#This Row],[ТП Лоджия 1]:[ТП Лоджия 3]])</f>
        <v>1.35</v>
      </c>
      <c r="AJ102" s="95">
        <v>2.7</v>
      </c>
      <c r="AK102" s="92">
        <f>SUM(ППД5[[#This Row],[Площадь по ТП жилая]:[ТП Лоджия 3]])-ППД5[[#This Row],[ТП Летние]]+ППД5[[#This Row],[кроме того прочая
(без коэффициента)]]</f>
        <v>39.100000000000009</v>
      </c>
      <c r="AL102" s="95">
        <f>ППД5[[#This Row],[ТП Площадь без летних]]+(ППД5[[#This Row],[ТП Летние]])</f>
        <v>37.750000000000007</v>
      </c>
      <c r="AM102" s="92">
        <f>ППД5[[#This Row],[ТП общая S]]-ППД5[[#This Row],[кроме того прочая
(без коэффициента)]]</f>
        <v>36.400000000000006</v>
      </c>
      <c r="AN102" s="95">
        <f>SUM(ППД5[[#This Row],[ТП Кухня]:[ТП Коридор]])</f>
        <v>22.9</v>
      </c>
      <c r="AO102" s="91">
        <f>ППД5[[#This Row],[Расчетная ТП площадь]]-ППД5[[#This Row],[Расчетная проектная площадь]]</f>
        <v>2.0000000000010232E-2</v>
      </c>
      <c r="AP102" s="335">
        <f>ППД5[[#This Row],[Расчетная ТП площадь]]/ППД5[[#This Row],[Расчетная проектная площадь]]-1</f>
        <v>5.3008216273542352E-4</v>
      </c>
      <c r="AQ102" s="92">
        <f>ППД5[[#This Row],[% расхождения]]*ППД5[[#This Row],[Стоимость до скидки]]</f>
        <v>2325.3644314877561</v>
      </c>
      <c r="AR102" s="92">
        <f>VLOOKUP(ППД5[[#This Row],[№]],наценкад5[],COLUMN(наценкад5[[#This Row],[Цена м2 с учетом всех K]]),0)</f>
        <v>87601.5</v>
      </c>
      <c r="AS102" s="7">
        <f>ППД5[[#This Row],[м2 после К]]*5%</f>
        <v>4380.0749999999998</v>
      </c>
      <c r="AT102" s="7">
        <f>ППД5[[#This Row],[м2 после К]]+ППД5[[#This Row],[Повышение 16.08.23 - 5%]]</f>
        <v>91981.574999999997</v>
      </c>
      <c r="AU102" s="9">
        <f>ППД5[[#This Row],[Фикс 16.08.23]]*3%</f>
        <v>2759.4472499999997</v>
      </c>
      <c r="AV102" s="9">
        <f>ППД5[[#This Row],[Фикс 16.08.23]]+ППД5[[#This Row],[Повышение 29.08.23 - 3%]]</f>
        <v>94741.022249999995</v>
      </c>
      <c r="AW102" s="93">
        <f>ППД5[[#This Row],[Фикс 29.08.23]]*7%</f>
        <v>6631.8715575000006</v>
      </c>
      <c r="AX102" s="9">
        <f>ППД5[[#This Row],[Фикс 29.08.23]]+ППД5[[#This Row],[Повышение 06.09.23 СТ и 1К]]</f>
        <v>101372.89380749999</v>
      </c>
      <c r="AY102" s="9"/>
      <c r="AZ102" s="9">
        <f>ППД5[[#This Row],[Повышение 23.10.23  В4 ]]+ППД5[[#This Row],[Фикс 06.09.23]]</f>
        <v>101372.89380749999</v>
      </c>
      <c r="BA102" s="93">
        <f>ППД5[[#This Row],[Фикс 23.10.23]]*5%</f>
        <v>5068.6446903750002</v>
      </c>
      <c r="BB102" s="93">
        <f>ППД5[[#This Row],[Повышение 8.11.23 1К 5%]]+ППД5[[#This Row],[Фикс 23.10.23]]</f>
        <v>106441.53849787499</v>
      </c>
      <c r="BC102" s="93"/>
      <c r="BD102" s="93">
        <f>ППД5[[#This Row],[Корректировка 24.11.23 - 1К В5, 2К А2, №233]]+ППД5[[#This Row],[Фикс 8.11.23]]</f>
        <v>106441.53849787499</v>
      </c>
      <c r="BE102" s="93">
        <f>ППД5[[#This Row],[Фикс 8.11.24]]*1%</f>
        <v>1064.4153849787499</v>
      </c>
      <c r="BF102" s="93">
        <f>ППД5[[#This Row],[Наценка за отделку 29.12.23 1%]]+ППД5[[#This Row],[Фикс 8.11.24]]</f>
        <v>107505.95388285375</v>
      </c>
      <c r="BG102" s="93">
        <f>ППД5[[#This Row],[Фикс 29.12.23]]*5%</f>
        <v>5375.2976941426878</v>
      </c>
      <c r="BH102" s="93">
        <f>ППД5[[#This Row],[Фикс 29.12.23]]+ППД5[[#This Row],[Наценка 10.01.24 5%]]</f>
        <v>112881.25157699644</v>
      </c>
      <c r="BI102" s="93"/>
      <c r="BJ102" s="93">
        <f>ППД5[[#This Row],[Наценка 26.02.24 1 Этаж]]+ППД5[[#This Row],[Фикс 10.01.24]]</f>
        <v>112881.25157699644</v>
      </c>
      <c r="BK102" s="93">
        <f>ППД5[[#This Row],[Фикс 26.02.24]]*3%</f>
        <v>3386.437547309893</v>
      </c>
      <c r="BL102" s="93">
        <f>ППД5[[#This Row],[Фикс 26.02.24]]+ППД5[[#This Row],[Наценка 06.03.24
СТ, 1К - 3%
2К, 3К - 2%]]</f>
        <v>116267.68912430633</v>
      </c>
      <c r="BM102" s="93"/>
      <c r="BN102" s="93">
        <f>ППД5[[#This Row],[Фикс 06.03.24]]+ППД5[[#This Row],[Наценка Г2+500]]</f>
        <v>116267.68912430633</v>
      </c>
      <c r="BO102" s="93"/>
      <c r="BP102" s="93">
        <f>ППД5[[#This Row],[Фикс 13.03.25]]+ППД5[[#This Row],[Наценка 20.03.24
2К, 3К - 2%]]</f>
        <v>116267.68912430633</v>
      </c>
      <c r="BQ102" s="93"/>
      <c r="BR102" s="93">
        <f>ППД5[[#This Row],[Фикс 20.03.24]]+ППД5[[#This Row],[Наценка 08.04.24 
2К: В3 - 150
3К: Г7 +1000]]</f>
        <v>116267.68912430633</v>
      </c>
      <c r="BS102" s="93"/>
      <c r="BT102" s="93">
        <f>ППД5[[#This Row],[Фикс 08.04.24]]+ППД5[[#This Row],[Наценка 16.05.24 1%
А4,А6,Б3,Б6,Б7,В2,В3,В5,В6,Г1,Г3-Г5]]</f>
        <v>116267.68912430633</v>
      </c>
      <c r="BU102" s="93"/>
      <c r="BV102" s="93">
        <f>ППД5[[#This Row],[Фикс 16.05.24]]+ППД5[[#This Row],[Наценка 24.05.24
1% - Б4, Б5,Г2,Г6
2% - А1,А3,А5,Б2,Г7]]</f>
        <v>116267.68912430633</v>
      </c>
      <c r="BW102" s="93"/>
      <c r="BX102" s="93">
        <f>ППД5[[#This Row],[Наценка 06.06.24
0К: В2,Г3 +0,5%
1К: А7, Б5/4, Г6 +0,5%
3К: В6 +0,5%
1К: А3 +1%]]+ППД5[[#This Row],[Фикс 24.05.24]]</f>
        <v>116267.68912430633</v>
      </c>
      <c r="BY102" s="93"/>
      <c r="BZ102" s="93">
        <f>ППД5[[#This Row],[Фикс 06.06.24]]+ППД5[[#This Row],[13.06.2024
3К - 2%]]</f>
        <v>116267.68912430633</v>
      </c>
      <c r="CA102" s="93"/>
      <c r="CB102" s="93">
        <f>ППД5[[#This Row],[02.07.2024: Г3 А1 А3 Б5 Б7 Г2 Г6 Б3 Б4 В3 Г7 2,5% ост 0,5-1,5%]]+ППД5[[#This Row],[Фикс 13.06.24]]</f>
        <v>116267.68912430633</v>
      </c>
      <c r="CC102" s="93"/>
      <c r="CD102" s="93">
        <f>ППД5[[#This Row],[Фикс 02.07.24]]+ППД5[[#This Row],[04.09.2024 +500
0К - Б2; 1К - А3;
2К - А6, Б4, В3, Г5]]</f>
        <v>116267.68912430633</v>
      </c>
      <c r="CE102" s="93"/>
      <c r="CF102" s="93">
        <f>ППД5[[#This Row],[Наценка 16.09.2024
1К: А1,В7,Г6/7,Г8 - 2%
2К: А4,А5,А6,Б1,Б6,Б3/4,В3,В4,Г4,Г5 - 4%
3К: 4%]]+ППД5[[#This Row],[Фикс 04.09.24]]</f>
        <v>116267.68912430633</v>
      </c>
      <c r="CG102" s="93"/>
      <c r="CH102" s="93">
        <f>ППД5[[#This Row],[Фикс 16.09.2024]]+ППД5[[#This Row],[Наценка 01.11.24
СТ: 4%
1К: 34-40м 5%; 40м+ 8%; МГН 1%
2К: 55-70м 6%; 70-73м 7%; 73-76м 8% 
3К: 5%]]</f>
        <v>116267.68912430633</v>
      </c>
      <c r="CI102" s="93"/>
      <c r="CJ102" s="93">
        <f>ППД5[[#This Row],[Наценка 06.11 13%]]+ППД5[[#This Row],[Фикс 01.11.24]]</f>
        <v>116267.68912430633</v>
      </c>
      <c r="CK102" s="93"/>
      <c r="CL102" s="93">
        <f>ППД5[[#This Row],[Фикс 06.11.24]]+ППД5[[#This Row],[Наценка 18.12.24 распределение КВ]]</f>
        <v>116267.68912430633</v>
      </c>
      <c r="CM102" s="93"/>
      <c r="CN102" s="93">
        <f>ППД5[[#This Row],[Фикс 18.12.24]]+ППД5[[#This Row],[Наценка 10.02.25 +1%
1К: А3
2К: Б3, В3]]</f>
        <v>116267.68912430633</v>
      </c>
      <c r="CO102" s="93">
        <f>ROUND(ППД5[[#This Row],[Фикс 10.02.25]],2)</f>
        <v>116267.69</v>
      </c>
      <c r="CP10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4386800</v>
      </c>
      <c r="CQ102" s="93">
        <f>ROUNDUP(ППД5[[#This Row],[Стоимость до скидки]]+ППД5[[#This Row],[Сумма доплаты]],-2)</f>
        <v>4389200</v>
      </c>
      <c r="CR102" s="68"/>
      <c r="CS102" s="90"/>
      <c r="CT102" s="68">
        <f>ППД5[[#This Row],[Стоимость до скидки]]*ППД5[[#This Row],[Скидка %]]+ППД5[[#This Row],[Скидка фиксированная]]</f>
        <v>0</v>
      </c>
      <c r="CU102" s="3">
        <f>ППД5[[#This Row],[Стоимость ОН без отделки со скидкой]]/ППД5[[#This Row],[Расчетная проектная площадь]]</f>
        <v>116268.22157434403</v>
      </c>
      <c r="CV102" s="3">
        <f>ROUND(ППД5[[#This Row],[Стоимость до скидки]]-ППД5[[#This Row],[Итоговая сумма скидки]],2)</f>
        <v>4386800</v>
      </c>
      <c r="CW10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102" s="197">
        <v>20000</v>
      </c>
      <c r="CY102" s="332">
        <f>ППД5[[#This Row],[Расхождение]]/ППД5[[#This Row],[Расчетная проектная площадь]]</f>
        <v>5.3008216273549519E-4</v>
      </c>
      <c r="CZ10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0.11999999999999922</v>
      </c>
      <c r="DA102" s="3">
        <f>ППД5[[#This Row],[Цена м2 без отделки со скидкой]]+ППД5[[#This Row],[Стоимость отделки]]</f>
        <v>136268.22157434403</v>
      </c>
      <c r="DB102" s="3">
        <f>ППД5[[#This Row],[Стоимость квартиры с отделкой]]-ППД5[[#This Row],[Стоимость ОН без отделки со скидкой]]</f>
        <v>754600</v>
      </c>
      <c r="DC102" s="3">
        <f>ППД5[[#This Row],[Цена м2 с отделкой]]*ППД5[[#This Row],[Расчетная проектная площадь]]</f>
        <v>5141400</v>
      </c>
      <c r="DD102" s="3"/>
      <c r="DF102" s="199" t="s">
        <v>172</v>
      </c>
      <c r="DG102" s="245" t="s">
        <v>172</v>
      </c>
      <c r="DH102" s="100" t="b">
        <f>EXACT(ППД5[[#This Row],[Статусы CRM]],ППД5[[#This Row],[Статус]])</f>
        <v>1</v>
      </c>
      <c r="DI102" s="213" t="s">
        <v>274</v>
      </c>
      <c r="DJ102" s="204"/>
      <c r="DK102" s="111" t="s">
        <v>763</v>
      </c>
      <c r="DL102" s="216" t="s">
        <v>14</v>
      </c>
      <c r="DM102" s="201" t="b">
        <f>ППД5[[#This Row],[Отделка CRM]]=ППД5[[#This Row],[Отделка]]</f>
        <v>1</v>
      </c>
      <c r="DN102" s="203">
        <v>5141400</v>
      </c>
      <c r="DO10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02" s="207" t="b">
        <f>IF(AND(ППД5[[#This Row],[Статус]]="свободно",ППД5[[#This Row],[Итоговая сумма скидки]]&lt;&gt;0),FALSE,TRUE)</f>
        <v>1</v>
      </c>
      <c r="DQ102" s="240">
        <f>_xlfn.XLOOKUP(ППД5[[#This Row],[№]],Юрист[№ кв],Юрист[Дата подачи на регистрацию]," ",0,-1)</f>
        <v>45433</v>
      </c>
      <c r="DR102" s="115" t="str">
        <f>_xlfn.XLOOKUP(ППД5[[#This Row],[№]],Юрист[№ кв],Юрист[МОП],"",0,-1)</f>
        <v>Полехович</v>
      </c>
      <c r="DS102" s="333" t="s">
        <v>2496</v>
      </c>
      <c r="DT102" s="333" t="s">
        <v>2497</v>
      </c>
      <c r="DU102" s="333">
        <v>36.4</v>
      </c>
      <c r="DV102" s="111"/>
    </row>
    <row r="103" spans="1:126" hidden="1" x14ac:dyDescent="0.25">
      <c r="A103" s="112">
        <v>101</v>
      </c>
      <c r="B103" s="111" t="s">
        <v>5</v>
      </c>
      <c r="C103" s="111">
        <v>15</v>
      </c>
      <c r="D103" s="111">
        <v>4</v>
      </c>
      <c r="E103" s="111">
        <v>2</v>
      </c>
      <c r="F103" s="105">
        <v>16.61</v>
      </c>
      <c r="G103" s="105">
        <v>11.38</v>
      </c>
      <c r="H103" s="105"/>
      <c r="I103" s="94">
        <f>SUM(ППД5[[#This Row],[Комната 1]:[Комната 3]])</f>
        <v>27.990000000000002</v>
      </c>
      <c r="J103" s="105">
        <v>14.58</v>
      </c>
      <c r="K103" s="105">
        <v>4.34</v>
      </c>
      <c r="L103" s="105">
        <v>2.08</v>
      </c>
      <c r="M103" s="105"/>
      <c r="N103" s="105">
        <v>8.82</v>
      </c>
      <c r="O103" s="105">
        <v>2.56</v>
      </c>
      <c r="P103" s="105"/>
      <c r="Q103" s="105"/>
      <c r="R103" s="105">
        <f>SUM(ППД5[[#This Row],[Лоджия 1]:[Лоджия 3]])</f>
        <v>2.56</v>
      </c>
      <c r="S103" s="7">
        <f>ROUND(SUM(ППД5[[#This Row],[Площадь по проекту жилая]:[Лоджия 3]]),2)</f>
        <v>60.37</v>
      </c>
      <c r="T103" s="7">
        <f>ROUND(ППД5[[#This Row],[Площадь по проекту(общая)]]-ППД5[[#This Row],[Летние]],2)</f>
        <v>57.81</v>
      </c>
      <c r="U103" s="92">
        <f>ROUND(ППД5[[#This Row],[Площадь по проекту(общая)]]-(SUM(ППД5[[#This Row],[Лоджия 1]:[Лоджия 3]])/2),2)</f>
        <v>59.09</v>
      </c>
      <c r="V103" s="92">
        <f>IF(ППД5[[#This Row],[Статус]]="продажа",ППД5[[#This Row],[Расчетная проектная площадь]],ППД5[[#This Row],[Расчетная ТП площадь]])</f>
        <v>59.09</v>
      </c>
      <c r="W103" s="92">
        <v>16.600000000000001</v>
      </c>
      <c r="X103" s="92">
        <v>11.4</v>
      </c>
      <c r="Y103" s="92"/>
      <c r="Z103" s="92">
        <f>SUM(ППД5[[#This Row],[ТП Комната 1]:[ТП Комната 3]])</f>
        <v>28</v>
      </c>
      <c r="AA103" s="92">
        <v>14.6</v>
      </c>
      <c r="AB103" s="92">
        <v>4.4000000000000004</v>
      </c>
      <c r="AC103" s="92">
        <v>2.1</v>
      </c>
      <c r="AD103" s="92"/>
      <c r="AE103" s="92">
        <v>8.8000000000000007</v>
      </c>
      <c r="AF103" s="92">
        <v>1.3</v>
      </c>
      <c r="AG103" s="92"/>
      <c r="AH103" s="92"/>
      <c r="AI103" s="91">
        <f>SUM(ППД5[[#This Row],[ТП Лоджия 1]:[ТП Лоджия 3]])</f>
        <v>1.3</v>
      </c>
      <c r="AJ103" s="95">
        <v>2.6</v>
      </c>
      <c r="AK103" s="92">
        <f>SUM(ППД5[[#This Row],[Площадь по ТП жилая]:[ТП Лоджия 3]])-ППД5[[#This Row],[ТП Летние]]+ППД5[[#This Row],[кроме того прочая
(без коэффициента)]]</f>
        <v>60.500000000000007</v>
      </c>
      <c r="AL103" s="95">
        <f>ППД5[[#This Row],[ТП Площадь без летних]]+(ППД5[[#This Row],[ТП Летние]])</f>
        <v>59.2</v>
      </c>
      <c r="AM103" s="92">
        <f>ППД5[[#This Row],[ТП общая S]]-ППД5[[#This Row],[кроме того прочая
(без коэффициента)]]</f>
        <v>57.900000000000006</v>
      </c>
      <c r="AN103" s="95">
        <f>SUM(ППД5[[#This Row],[ТП Кухня]:[ТП Коридор]])</f>
        <v>29.900000000000002</v>
      </c>
      <c r="AO103" s="91">
        <f>ППД5[[#This Row],[Расчетная ТП площадь]]-ППД5[[#This Row],[Расчетная проектная площадь]]</f>
        <v>0.10999999999999943</v>
      </c>
      <c r="AP103" s="335">
        <f>ППД5[[#This Row],[Расчетная ТП площадь]]/ППД5[[#This Row],[Расчетная проектная площадь]]-1</f>
        <v>1.8615671010322465E-3</v>
      </c>
      <c r="AQ103" s="92">
        <f>ППД5[[#This Row],[% расхождения]]*ППД5[[#This Row],[Стоимость до скидки]]</f>
        <v>13465.459468606652</v>
      </c>
      <c r="AR103" s="92">
        <f>VLOOKUP(ППД5[[#This Row],[№]],наценкад5[],COLUMN(наценкад5[[#This Row],[Цена м2 с учетом всех K]]),0)</f>
        <v>80307.864000000001</v>
      </c>
      <c r="AS103" s="7">
        <f>ППД5[[#This Row],[м2 после К]]*5%</f>
        <v>4015.3932000000004</v>
      </c>
      <c r="AT103" s="7">
        <f>ППД5[[#This Row],[м2 после К]]+ППД5[[#This Row],[Повышение 16.08.23 - 5%]]</f>
        <v>84323.257200000007</v>
      </c>
      <c r="AU103" s="9">
        <f>ППД5[[#This Row],[Фикс 16.08.23]]*3%</f>
        <v>2529.6977160000001</v>
      </c>
      <c r="AV103" s="9">
        <f>ППД5[[#This Row],[Фикс 16.08.23]]+ППД5[[#This Row],[Повышение 29.08.23 - 3%]]</f>
        <v>86852.954916000002</v>
      </c>
      <c r="AW103" s="9"/>
      <c r="AX103" s="9">
        <f>ППД5[[#This Row],[Фикс 29.08.23]]+ППД5[[#This Row],[Повышение 06.09.23 СТ и 1К]]</f>
        <v>86852.954916000002</v>
      </c>
      <c r="AY103" s="9"/>
      <c r="AZ103" s="9">
        <f>ППД5[[#This Row],[Повышение 23.10.23  В4 ]]+ППД5[[#This Row],[Фикс 06.09.23]]</f>
        <v>86852.954916000002</v>
      </c>
      <c r="BA103" s="9"/>
      <c r="BB103" s="9">
        <f>ППД5[[#This Row],[Повышение 8.11.23 1К 5%]]+ППД5[[#This Row],[Фикс 23.10.23]]</f>
        <v>86852.954916000002</v>
      </c>
      <c r="BC103" s="9"/>
      <c r="BD103" s="9">
        <f>ППД5[[#This Row],[Корректировка 24.11.23 - 1К В5, 2К А2, №233]]+ППД5[[#This Row],[Фикс 8.11.23]]</f>
        <v>86852.954916000002</v>
      </c>
      <c r="BE103" s="93">
        <f>ППД5[[#This Row],[Фикс 8.11.24]]*1%</f>
        <v>868.52954915999999</v>
      </c>
      <c r="BF103" s="9">
        <f>ППД5[[#This Row],[Наценка за отделку 29.12.23 1%]]+ППД5[[#This Row],[Фикс 8.11.24]]</f>
        <v>87721.48446516</v>
      </c>
      <c r="BG103" s="93">
        <f>ППД5[[#This Row],[Фикс 29.12.23]]*5%</f>
        <v>4386.0742232580005</v>
      </c>
      <c r="BH103" s="9">
        <f>ППД5[[#This Row],[Фикс 29.12.23]]+ППД5[[#This Row],[Наценка 10.01.24 5%]]</f>
        <v>92107.558688417994</v>
      </c>
      <c r="BI103" s="9"/>
      <c r="BJ103" s="9">
        <f>ППД5[[#This Row],[Наценка 26.02.24 1 Этаж]]+ППД5[[#This Row],[Фикс 10.01.24]]</f>
        <v>92107.558688417994</v>
      </c>
      <c r="BK103" s="93">
        <f>ППД5[[#This Row],[Фикс 26.02.24]]*2%</f>
        <v>1842.15117376836</v>
      </c>
      <c r="BL103" s="9">
        <f>ППД5[[#This Row],[Фикс 26.02.24]]+ППД5[[#This Row],[Наценка 06.03.24
СТ, 1К - 3%
2К, 3К - 2%]]</f>
        <v>93949.709862186355</v>
      </c>
      <c r="BM103" s="9"/>
      <c r="BN103" s="9">
        <f>ППД5[[#This Row],[Фикс 06.03.24]]+ППД5[[#This Row],[Наценка Г2+500]]</f>
        <v>93949.709862186355</v>
      </c>
      <c r="BO103" s="9">
        <f>ППД5[[#This Row],[Фикс 13.03.25]]*2%</f>
        <v>1878.9941972437271</v>
      </c>
      <c r="BP103" s="9">
        <f>ППД5[[#This Row],[Фикс 13.03.25]]+ППД5[[#This Row],[Наценка 20.03.24
2К, 3К - 2%]]</f>
        <v>95828.704059430078</v>
      </c>
      <c r="BQ103" s="9"/>
      <c r="BR103" s="9">
        <f>ППД5[[#This Row],[Фикс 20.03.24]]+ППД5[[#This Row],[Наценка 08.04.24 
2К: В3 - 150
3К: Г7 +1000]]</f>
        <v>95828.704059430078</v>
      </c>
      <c r="BS103" s="93">
        <f>ППД5[[#This Row],[Фикс 08.04.24]]*1%</f>
        <v>958.28704059430083</v>
      </c>
      <c r="BT103" s="9">
        <f>ППД5[[#This Row],[Фикс 08.04.24]]+ППД5[[#This Row],[Наценка 16.05.24 1%
А4,А6,Б3,Б6,Б7,В2,В3,В5,В6,Г1,Г3-Г5]]</f>
        <v>96786.991100024374</v>
      </c>
      <c r="BU103" s="9"/>
      <c r="BV103" s="9">
        <f>ППД5[[#This Row],[Фикс 16.05.24]]+ППД5[[#This Row],[Наценка 24.05.24
1% - Б4, Б5,Г2,Г6
2% - А1,А3,А5,Б2,Г7]]</f>
        <v>96786.991100024374</v>
      </c>
      <c r="BW103" s="9"/>
      <c r="BX103" s="9">
        <f>ППД5[[#This Row],[Наценка 06.06.24
0К: В2,Г3 +0,5%
1К: А7, Б5/4, Г6 +0,5%
3К: В6 +0,5%
1К: А3 +1%]]+ППД5[[#This Row],[Фикс 24.05.24]]</f>
        <v>96786.991100024374</v>
      </c>
      <c r="BY103" s="9"/>
      <c r="BZ103" s="9">
        <f>ППД5[[#This Row],[Фикс 06.06.24]]+ППД5[[#This Row],[13.06.2024
3К - 2%]]</f>
        <v>96786.991100024374</v>
      </c>
      <c r="CA103" s="9">
        <f>1.5%*ППД5[[#This Row],[Фикс 13.06.24]]</f>
        <v>1451.8048665003655</v>
      </c>
      <c r="CB103" s="9">
        <f>ППД5[[#This Row],[02.07.2024: Г3 А1 А3 Б5 Б7 Г2 Г6 Б3 Б4 В3 Г7 2,5% ост 0,5-1,5%]]+ППД5[[#This Row],[Фикс 13.06.24]]</f>
        <v>98238.795966524733</v>
      </c>
      <c r="CC103" s="9"/>
      <c r="CD103" s="9">
        <f>ППД5[[#This Row],[Фикс 02.07.24]]+ППД5[[#This Row],[04.09.2024 +500
0К - Б2; 1К - А3;
2К - А6, Б4, В3, Г5]]</f>
        <v>98238.795966524733</v>
      </c>
      <c r="CE103" s="93">
        <f>ППД5[[#This Row],[Фикс 04.09.24]]*4%</f>
        <v>3929.5518386609892</v>
      </c>
      <c r="CF103" s="9">
        <f>ППД5[[#This Row],[Наценка 16.09.2024
1К: А1,В7,Г6/7,Г8 - 2%
2К: А4,А5,А6,Б1,Б6,Б3/4,В3,В4,Г4,Г5 - 4%
3К: 4%]]+ППД5[[#This Row],[Фикс 04.09.24]]</f>
        <v>102168.34780518572</v>
      </c>
      <c r="CG103" s="93">
        <f>ППД5[[#This Row],[Фикс 16.09.2024]]*6%</f>
        <v>6130.1008683111431</v>
      </c>
      <c r="CH103" s="9">
        <f>ППД5[[#This Row],[Фикс 16.09.2024]]+ППД5[[#This Row],[Наценка 01.11.24
СТ: 4%
1К: 34-40м 5%; 40м+ 8%; МГН 1%
2К: 55-70м 6%; 70-73м 7%; 73-76м 8% 
3К: 5%]]</f>
        <v>108298.44867349687</v>
      </c>
      <c r="CI103" s="93">
        <f>ППД5[[#This Row],[Фикс 01.11.24]]*13%</f>
        <v>14078.798327554594</v>
      </c>
      <c r="CJ103" s="9">
        <f>ППД5[[#This Row],[Наценка 06.11 13%]]+ППД5[[#This Row],[Фикс 01.11.24]]</f>
        <v>122377.24700105147</v>
      </c>
      <c r="CK103" s="93">
        <v>35</v>
      </c>
      <c r="CL103" s="9">
        <f>ППД5[[#This Row],[Фикс 06.11.24]]+ППД5[[#This Row],[Наценка 18.12.24 распределение КВ]]</f>
        <v>122412.24700105147</v>
      </c>
      <c r="CM103" s="9"/>
      <c r="CN103" s="9">
        <f>ППД5[[#This Row],[Фикс 18.12.24]]+ППД5[[#This Row],[Наценка 10.02.25 +1%
1К: А3
2К: Б3, В3]]</f>
        <v>122412.24700105147</v>
      </c>
      <c r="CO103" s="93">
        <f>ROUND(ППД5[[#This Row],[Фикс 10.02.25]],2)</f>
        <v>122412.25</v>
      </c>
      <c r="CP10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7233400</v>
      </c>
      <c r="CQ103" s="93">
        <f>ROUNDUP(ППД5[[#This Row],[Стоимость до скидки]]+ППД5[[#This Row],[Сумма доплаты]],-2)</f>
        <v>7246900</v>
      </c>
      <c r="CR103" s="68">
        <v>300000</v>
      </c>
      <c r="CS103" s="90">
        <v>0.03</v>
      </c>
      <c r="CT103" s="68">
        <f>ППД5[[#This Row],[Стоимость до скидки]]*ППД5[[#This Row],[Скидка %]]+ППД5[[#This Row],[Скидка фиксированная]]</f>
        <v>517002</v>
      </c>
      <c r="CU103" s="3">
        <f>ППД5[[#This Row],[Стоимость ОН без отделки со скидкой]]/ППД5[[#This Row],[Расчетная проектная площадь]]</f>
        <v>113663.86867490268</v>
      </c>
      <c r="CV103" s="3">
        <f>ROUND(ППД5[[#This Row],[Стоимость до скидки]]-ППД5[[#This Row],[Итоговая сумма скидки]],2)</f>
        <v>6716398</v>
      </c>
      <c r="CW10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03" s="197"/>
      <c r="CY103" s="332">
        <f>ППД5[[#This Row],[Расхождение]]/ППД5[[#This Row],[Расчетная проектная площадь]]</f>
        <v>1.8615671010323138E-3</v>
      </c>
      <c r="CZ10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8.0000000000000071E-2</v>
      </c>
      <c r="DA103" s="3">
        <f>ППД5[[#This Row],[Цена м2 без отделки со скидкой]]+ППД5[[#This Row],[Стоимость отделки]]</f>
        <v>113663.86867490268</v>
      </c>
      <c r="DB103" s="3">
        <f>ППД5[[#This Row],[Стоимость квартиры с отделкой]]-ППД5[[#This Row],[Стоимость ОН без отделки со скидкой]]</f>
        <v>0</v>
      </c>
      <c r="DC103" s="3">
        <f>ППД5[[#This Row],[Цена м2 с отделкой]]*ППД5[[#This Row],[Расчетная проектная площадь]]</f>
        <v>6716398</v>
      </c>
      <c r="DD103" s="3"/>
      <c r="DE103" s="111" t="s">
        <v>2113</v>
      </c>
      <c r="DF103" s="221" t="s">
        <v>172</v>
      </c>
      <c r="DG103" s="221" t="s">
        <v>172</v>
      </c>
      <c r="DH103" s="100" t="b">
        <f>EXACT(ППД5[[#This Row],[Статусы CRM]],ППД5[[#This Row],[Статус]])</f>
        <v>1</v>
      </c>
      <c r="DI103" s="213" t="s">
        <v>275</v>
      </c>
      <c r="DJ103" s="204"/>
      <c r="DK103" s="111" t="s">
        <v>763</v>
      </c>
      <c r="DL103" s="216" t="s">
        <v>12</v>
      </c>
      <c r="DM103" s="201" t="b">
        <f>ППД5[[#This Row],[Отделка CRM]]=ППД5[[#This Row],[Отделка]]</f>
        <v>1</v>
      </c>
      <c r="DN103" s="203">
        <v>6716398</v>
      </c>
      <c r="DO10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03" s="207" t="b">
        <f>IF(AND(ППД5[[#This Row],[Статус]]="свободно",ППД5[[#This Row],[Итоговая сумма скидки]]&lt;&gt;0),FALSE,TRUE)</f>
        <v>1</v>
      </c>
      <c r="DQ103" s="240" t="str">
        <f>_xlfn.XLOOKUP(ППД5[[#This Row],[№]],Юрист[№ кв],Юрист[Дата подачи на регистрацию]," ",0,-1)</f>
        <v xml:space="preserve"> </v>
      </c>
      <c r="DR103" s="115" t="str">
        <f>_xlfn.XLOOKUP(ППД5[[#This Row],[№]],Юрист[№ кв],Юрист[МОП],"",0,-1)</f>
        <v/>
      </c>
      <c r="DS103" s="333" t="s">
        <v>2498</v>
      </c>
      <c r="DT103" s="333" t="s">
        <v>2499</v>
      </c>
      <c r="DU103" s="333">
        <v>57.9</v>
      </c>
      <c r="DV103" s="111"/>
    </row>
    <row r="104" spans="1:126" hidden="1" x14ac:dyDescent="0.25">
      <c r="A104" s="112">
        <v>102</v>
      </c>
      <c r="B104" s="111" t="s">
        <v>5</v>
      </c>
      <c r="C104" s="111">
        <v>15</v>
      </c>
      <c r="D104" s="111">
        <v>5</v>
      </c>
      <c r="E104" s="111">
        <v>2</v>
      </c>
      <c r="F104" s="105">
        <v>16.46</v>
      </c>
      <c r="G104" s="105">
        <v>12.47</v>
      </c>
      <c r="H104" s="105"/>
      <c r="I104" s="94">
        <f>SUM(ППД5[[#This Row],[Комната 1]:[Комната 3]])</f>
        <v>28.93</v>
      </c>
      <c r="J104" s="105">
        <v>18</v>
      </c>
      <c r="K104" s="105">
        <v>4.3499999999999996</v>
      </c>
      <c r="L104" s="105">
        <v>1.55</v>
      </c>
      <c r="M104" s="105"/>
      <c r="N104" s="105">
        <v>8</v>
      </c>
      <c r="O104" s="105">
        <v>2.67</v>
      </c>
      <c r="P104" s="105"/>
      <c r="Q104" s="105"/>
      <c r="R104" s="105">
        <f>SUM(ППД5[[#This Row],[Лоджия 1]:[Лоджия 3]])</f>
        <v>2.67</v>
      </c>
      <c r="S104" s="8">
        <f>ROUND(SUM(ППД5[[#This Row],[Площадь по проекту жилая]:[Лоджия 3]]),2)</f>
        <v>63.5</v>
      </c>
      <c r="T104" s="8">
        <f>ROUND(ППД5[[#This Row],[Площадь по проекту(общая)]]-ППД5[[#This Row],[Летние]],2)</f>
        <v>60.83</v>
      </c>
      <c r="U104" s="91">
        <f>ROUND(ППД5[[#This Row],[Площадь по проекту(общая)]]-(SUM(ППД5[[#This Row],[Лоджия 1]:[Лоджия 3]])/2),2)</f>
        <v>62.17</v>
      </c>
      <c r="V104" s="91">
        <f>IF(ППД5[[#This Row],[Статус]]="продажа",ППД5[[#This Row],[Расчетная проектная площадь]],ППД5[[#This Row],[Расчетная ТП площадь]])</f>
        <v>62.17</v>
      </c>
      <c r="W104" s="91">
        <v>16.399999999999999</v>
      </c>
      <c r="X104" s="91">
        <v>12.4</v>
      </c>
      <c r="Y104" s="91"/>
      <c r="Z104" s="91">
        <f>SUM(ППД5[[#This Row],[ТП Комната 1]:[ТП Комната 3]])</f>
        <v>28.799999999999997</v>
      </c>
      <c r="AA104" s="91">
        <v>17.8</v>
      </c>
      <c r="AB104" s="91">
        <v>4.2</v>
      </c>
      <c r="AC104" s="91">
        <v>1.6</v>
      </c>
      <c r="AD104" s="91"/>
      <c r="AE104" s="91">
        <v>7.6</v>
      </c>
      <c r="AF104" s="91">
        <v>1.35</v>
      </c>
      <c r="AG104" s="91"/>
      <c r="AH104" s="91"/>
      <c r="AI104" s="91">
        <f>SUM(ППД5[[#This Row],[ТП Лоджия 1]:[ТП Лоджия 3]])</f>
        <v>1.35</v>
      </c>
      <c r="AJ104" s="95">
        <v>2.7</v>
      </c>
      <c r="AK104" s="91">
        <f>SUM(ППД5[[#This Row],[Площадь по ТП жилая]:[ТП Лоджия 3]])-ППД5[[#This Row],[ТП Летние]]+ППД5[[#This Row],[кроме того прочая
(без коэффициента)]]</f>
        <v>62.7</v>
      </c>
      <c r="AL104" s="95">
        <f>ППД5[[#This Row],[ТП Площадь без летних]]+(ППД5[[#This Row],[ТП Летние]])</f>
        <v>61.35</v>
      </c>
      <c r="AM104" s="91">
        <f>ППД5[[#This Row],[ТП общая S]]-ППД5[[#This Row],[кроме того прочая
(без коэффициента)]]</f>
        <v>60</v>
      </c>
      <c r="AN104" s="95">
        <f>SUM(ППД5[[#This Row],[ТП Кухня]:[ТП Коридор]])</f>
        <v>31.200000000000003</v>
      </c>
      <c r="AO104" s="91">
        <f>ППД5[[#This Row],[Расчетная ТП площадь]]-ППД5[[#This Row],[Расчетная проектная площадь]]</f>
        <v>-0.82000000000000028</v>
      </c>
      <c r="AP104" s="335">
        <f>ППД5[[#This Row],[Расчетная ТП площадь]]/ППД5[[#This Row],[Расчетная проектная площадь]]-1</f>
        <v>-1.3189641306096234E-2</v>
      </c>
      <c r="AQ104" s="91">
        <f>ППД5[[#This Row],[% расхождения]]*ППД5[[#This Row],[Стоимость до скидки]]</f>
        <v>-85030.979572141194</v>
      </c>
      <c r="AR104" s="91">
        <f>VLOOKUP(ППД5[[#This Row],[№]],наценкад5[],COLUMN(наценкад5[[#This Row],[Цена м2 с учетом всех K]]),0)</f>
        <v>80307.864000000001</v>
      </c>
      <c r="AS104" s="8">
        <f>ППД5[[#This Row],[м2 после К]]*5%</f>
        <v>4015.3932000000004</v>
      </c>
      <c r="AT104" s="8">
        <f>ППД5[[#This Row],[м2 после К]]+ППД5[[#This Row],[Повышение 16.08.23 - 5%]]</f>
        <v>84323.257200000007</v>
      </c>
      <c r="AU104" s="93">
        <f>ППД5[[#This Row],[Фикс 16.08.23]]*3%</f>
        <v>2529.6977160000001</v>
      </c>
      <c r="AV104" s="93">
        <f>ППД5[[#This Row],[Фикс 16.08.23]]+ППД5[[#This Row],[Повышение 29.08.23 - 3%]]</f>
        <v>86852.954916000002</v>
      </c>
      <c r="AW104" s="93"/>
      <c r="AX104" s="93">
        <f>ППД5[[#This Row],[Фикс 29.08.23]]+ППД5[[#This Row],[Повышение 06.09.23 СТ и 1К]]</f>
        <v>86852.954916000002</v>
      </c>
      <c r="AY104" s="93"/>
      <c r="AZ104" s="93">
        <f>ППД5[[#This Row],[Повышение 23.10.23  В4 ]]+ППД5[[#This Row],[Фикс 06.09.23]]</f>
        <v>86852.954916000002</v>
      </c>
      <c r="BA104" s="93"/>
      <c r="BB104" s="93">
        <f>ППД5[[#This Row],[Повышение 8.11.23 1К 5%]]+ППД5[[#This Row],[Фикс 23.10.23]]</f>
        <v>86852.954916000002</v>
      </c>
      <c r="BC104" s="93"/>
      <c r="BD104" s="93">
        <f>ППД5[[#This Row],[Корректировка 24.11.23 - 1К В5, 2К А2, №233]]+ППД5[[#This Row],[Фикс 8.11.23]]</f>
        <v>86852.954916000002</v>
      </c>
      <c r="BE104" s="93">
        <f>ППД5[[#This Row],[Фикс 8.11.24]]*1%</f>
        <v>868.52954915999999</v>
      </c>
      <c r="BF104" s="93">
        <f>ППД5[[#This Row],[Наценка за отделку 29.12.23 1%]]+ППД5[[#This Row],[Фикс 8.11.24]]</f>
        <v>87721.48446516</v>
      </c>
      <c r="BG104" s="93">
        <f>ППД5[[#This Row],[Фикс 29.12.23]]*5%</f>
        <v>4386.0742232580005</v>
      </c>
      <c r="BH104" s="93">
        <f>ППД5[[#This Row],[Фикс 29.12.23]]+ППД5[[#This Row],[Наценка 10.01.24 5%]]</f>
        <v>92107.558688417994</v>
      </c>
      <c r="BI104" s="93"/>
      <c r="BJ104" s="93">
        <f>ППД5[[#This Row],[Наценка 26.02.24 1 Этаж]]+ППД5[[#This Row],[Фикс 10.01.24]]</f>
        <v>92107.558688417994</v>
      </c>
      <c r="BK104" s="93">
        <f>ППД5[[#This Row],[Фикс 26.02.24]]*2%</f>
        <v>1842.15117376836</v>
      </c>
      <c r="BL104" s="93">
        <f>ППД5[[#This Row],[Фикс 26.02.24]]+ППД5[[#This Row],[Наценка 06.03.24
СТ, 1К - 3%
2К, 3К - 2%]]</f>
        <v>93949.709862186355</v>
      </c>
      <c r="BM104" s="93"/>
      <c r="BN104" s="93">
        <f>ППД5[[#This Row],[Фикс 06.03.24]]+ППД5[[#This Row],[Наценка Г2+500]]</f>
        <v>93949.709862186355</v>
      </c>
      <c r="BO104" s="93">
        <f>ППД5[[#This Row],[Фикс 13.03.25]]*2%</f>
        <v>1878.9941972437271</v>
      </c>
      <c r="BP104" s="93">
        <f>ППД5[[#This Row],[Фикс 13.03.25]]+ППД5[[#This Row],[Наценка 20.03.24
2К, 3К - 2%]]</f>
        <v>95828.704059430078</v>
      </c>
      <c r="BQ104" s="93"/>
      <c r="BR104" s="93">
        <f>ППД5[[#This Row],[Фикс 20.03.24]]+ППД5[[#This Row],[Наценка 08.04.24 
2К: В3 - 150
3К: Г7 +1000]]</f>
        <v>95828.704059430078</v>
      </c>
      <c r="BS104" s="93"/>
      <c r="BT104" s="93">
        <f>ППД5[[#This Row],[Фикс 08.04.24]]+ППД5[[#This Row],[Наценка 16.05.24 1%
А4,А6,Б3,Б6,Б7,В2,В3,В5,В6,Г1,Г3-Г5]]</f>
        <v>95828.704059430078</v>
      </c>
      <c r="BU104" s="93">
        <f>ППД5[[#This Row],[Фикс 16.05.24]]*2%</f>
        <v>1916.5740811886017</v>
      </c>
      <c r="BV104" s="93">
        <f>ППД5[[#This Row],[Фикс 16.05.24]]+ППД5[[#This Row],[Наценка 24.05.24
1% - Б4, Б5,Г2,Г6
2% - А1,А3,А5,Б2,Г7]]</f>
        <v>97745.278140618684</v>
      </c>
      <c r="BW104" s="93">
        <f>ППД5[[#This Row],[Фикс 24.05.24]]*0.5%</f>
        <v>488.72639070309344</v>
      </c>
      <c r="BX104" s="93">
        <f>ППД5[[#This Row],[Наценка 06.06.24
0К: В2,Г3 +0,5%
1К: А7, Б5/4, Г6 +0,5%
3К: В6 +0,5%
1К: А3 +1%]]+ППД5[[#This Row],[Фикс 24.05.24]]</f>
        <v>98234.004531321771</v>
      </c>
      <c r="BY104" s="93"/>
      <c r="BZ104" s="93">
        <f>ППД5[[#This Row],[Фикс 06.06.24]]+ППД5[[#This Row],[13.06.2024
3К - 2%]]</f>
        <v>98234.004531321771</v>
      </c>
      <c r="CA104" s="9">
        <f>1.5%*ППД5[[#This Row],[Фикс 13.06.24]]</f>
        <v>1473.5100679698264</v>
      </c>
      <c r="CB104" s="93">
        <f>ППД5[[#This Row],[02.07.2024: Г3 А1 А3 Б5 Б7 Г2 Г6 Б3 Б4 В3 Г7 2,5% ост 0,5-1,5%]]+ППД5[[#This Row],[Фикс 13.06.24]]</f>
        <v>99707.514599291593</v>
      </c>
      <c r="CC104" s="93"/>
      <c r="CD104" s="93">
        <f>ППД5[[#This Row],[Фикс 02.07.24]]+ППД5[[#This Row],[04.09.2024 +500
0К - Б2; 1К - А3;
2К - А6, Б4, В3, Г5]]</f>
        <v>99707.514599291593</v>
      </c>
      <c r="CE104" s="93">
        <f>ППД5[[#This Row],[Фикс 04.09.24]]*4%</f>
        <v>3988.3005839716639</v>
      </c>
      <c r="CF104" s="93">
        <f>ППД5[[#This Row],[Наценка 16.09.2024
1К: А1,В7,Г6/7,Г8 - 2%
2К: А4,А5,А6,Б1,Б6,Б3/4,В3,В4,Г4,Г5 - 4%
3К: 4%]]+ППД5[[#This Row],[Фикс 04.09.24]]</f>
        <v>103695.81518326326</v>
      </c>
      <c r="CG104" s="93"/>
      <c r="CH104" s="93">
        <f>ППД5[[#This Row],[Фикс 16.09.2024]]+ППД5[[#This Row],[Наценка 01.11.24
СТ: 4%
1К: 34-40м 5%; 40м+ 8%; МГН 1%
2К: 55-70м 6%; 70-73м 7%; 73-76м 8% 
3К: 5%]]</f>
        <v>103695.81518326326</v>
      </c>
      <c r="CI104" s="93"/>
      <c r="CJ104" s="93">
        <f>ППД5[[#This Row],[Наценка 06.11 13%]]+ППД5[[#This Row],[Фикс 01.11.24]]</f>
        <v>103695.81518326326</v>
      </c>
      <c r="CK104" s="93"/>
      <c r="CL104" s="93">
        <f>ППД5[[#This Row],[Фикс 06.11.24]]+ППД5[[#This Row],[Наценка 18.12.24 распределение КВ]]</f>
        <v>103695.81518326326</v>
      </c>
      <c r="CM104" s="93"/>
      <c r="CN104" s="93">
        <f>ППД5[[#This Row],[Фикс 18.12.24]]+ППД5[[#This Row],[Наценка 10.02.25 +1%
1К: А3
2К: Б3, В3]]</f>
        <v>103695.81518326326</v>
      </c>
      <c r="CO104" s="93">
        <f>ROUND(ППД5[[#This Row],[Фикс 10.02.25]],2)</f>
        <v>103695.82</v>
      </c>
      <c r="CP10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6446800</v>
      </c>
      <c r="CQ104" s="93">
        <f>ROUNDUP(ППД5[[#This Row],[Стоимость до скидки]]+ППД5[[#This Row],[Сумма доплаты]],-2)</f>
        <v>6361800</v>
      </c>
      <c r="CR104" s="68"/>
      <c r="CS104" s="90">
        <v>0.03</v>
      </c>
      <c r="CT104" s="68">
        <f>ППД5[[#This Row],[Стоимость до скидки]]*ППД5[[#This Row],[Скидка %]]+ППД5[[#This Row],[Скидка фиксированная]]</f>
        <v>193404</v>
      </c>
      <c r="CU104" s="3">
        <f>ППД5[[#This Row],[Стоимость ОН без отделки со скидкой]]/ППД5[[#This Row],[Расчетная проектная площадь]]</f>
        <v>100585.4270548496</v>
      </c>
      <c r="CV104" s="3">
        <f>ROUND(ППД5[[#This Row],[Стоимость до скидки]]-ППД5[[#This Row],[Итоговая сумма скидки]],2)</f>
        <v>6253396</v>
      </c>
      <c r="CW10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04" s="197"/>
      <c r="CY104" s="332">
        <f>ППД5[[#This Row],[Расхождение]]/ППД5[[#This Row],[Расчетная проектная площадь]]</f>
        <v>-1.3189641306096192E-2</v>
      </c>
      <c r="CZ10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-0.69999999999999574</v>
      </c>
      <c r="DA104" s="3">
        <f>ППД5[[#This Row],[Цена м2 без отделки со скидкой]]+ППД5[[#This Row],[Стоимость отделки]]</f>
        <v>100585.4270548496</v>
      </c>
      <c r="DB104" s="3">
        <f>ППД5[[#This Row],[Стоимость квартиры с отделкой]]-ППД5[[#This Row],[Стоимость ОН без отделки со скидкой]]</f>
        <v>0</v>
      </c>
      <c r="DC104" s="3">
        <f>ППД5[[#This Row],[Цена м2 с отделкой]]*ППД5[[#This Row],[Расчетная проектная площадь]]</f>
        <v>6253396</v>
      </c>
      <c r="DD104" s="3"/>
      <c r="DE104" s="111" t="s">
        <v>162</v>
      </c>
      <c r="DF104" s="199" t="s">
        <v>172</v>
      </c>
      <c r="DG104" s="245" t="s">
        <v>172</v>
      </c>
      <c r="DH104" s="100" t="b">
        <f>EXACT(ППД5[[#This Row],[Статусы CRM]],ППД5[[#This Row],[Статус]])</f>
        <v>1</v>
      </c>
      <c r="DI104" s="213" t="s">
        <v>276</v>
      </c>
      <c r="DJ104" s="204"/>
      <c r="DK104" s="111" t="s">
        <v>763</v>
      </c>
      <c r="DL104" s="216" t="s">
        <v>12</v>
      </c>
      <c r="DM104" s="201" t="b">
        <f>ППД5[[#This Row],[Отделка CRM]]=ППД5[[#This Row],[Отделка]]</f>
        <v>1</v>
      </c>
      <c r="DN104" s="203">
        <v>6253396</v>
      </c>
      <c r="DO10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04" s="207" t="b">
        <f>IF(AND(ППД5[[#This Row],[Статус]]="свободно",ППД5[[#This Row],[Итоговая сумма скидки]]&lt;&gt;0),FALSE,TRUE)</f>
        <v>1</v>
      </c>
      <c r="DQ104" s="240">
        <f>_xlfn.XLOOKUP(ППД5[[#This Row],[№]],Юрист[№ кв],Юрист[Дата подачи на регистрацию]," ",0,-1)</f>
        <v>45576</v>
      </c>
      <c r="DR104" s="115" t="str">
        <f>_xlfn.XLOOKUP(ППД5[[#This Row],[№]],Юрист[№ кв],Юрист[МОП],"",0,-1)</f>
        <v>Никишов</v>
      </c>
      <c r="DS104" s="333" t="s">
        <v>2500</v>
      </c>
      <c r="DT104" s="333" t="s">
        <v>2501</v>
      </c>
      <c r="DU104" s="333">
        <v>60</v>
      </c>
      <c r="DV104" s="111"/>
    </row>
    <row r="105" spans="1:126" hidden="1" x14ac:dyDescent="0.25">
      <c r="A105" s="112">
        <v>103</v>
      </c>
      <c r="B105" s="111" t="s">
        <v>5</v>
      </c>
      <c r="C105" s="111">
        <v>15</v>
      </c>
      <c r="D105" s="111">
        <v>6</v>
      </c>
      <c r="E105" s="111">
        <v>2</v>
      </c>
      <c r="F105" s="105">
        <v>14.64</v>
      </c>
      <c r="G105" s="105">
        <v>10.74</v>
      </c>
      <c r="H105" s="105"/>
      <c r="I105" s="94">
        <f>SUM(ППД5[[#This Row],[Комната 1]:[Комната 3]])</f>
        <v>25.380000000000003</v>
      </c>
      <c r="J105" s="105">
        <v>14.35</v>
      </c>
      <c r="K105" s="105">
        <v>4.16</v>
      </c>
      <c r="L105" s="105">
        <v>1.93</v>
      </c>
      <c r="M105" s="105"/>
      <c r="N105" s="105">
        <v>11.03</v>
      </c>
      <c r="O105" s="105">
        <v>2.6219999999999999</v>
      </c>
      <c r="P105" s="105"/>
      <c r="Q105" s="105"/>
      <c r="R105" s="105">
        <f>SUM(ППД5[[#This Row],[Лоджия 1]:[Лоджия 3]])</f>
        <v>2.6219999999999999</v>
      </c>
      <c r="S105" s="8">
        <f>ROUND(SUM(ППД5[[#This Row],[Площадь по проекту жилая]:[Лоджия 3]]),2)</f>
        <v>59.47</v>
      </c>
      <c r="T105" s="8">
        <f>ROUND(ППД5[[#This Row],[Площадь по проекту(общая)]]-ППД5[[#This Row],[Летние]],2)</f>
        <v>56.85</v>
      </c>
      <c r="U105" s="91">
        <f>ROUND(ППД5[[#This Row],[Площадь по проекту(общая)]]-(SUM(ППД5[[#This Row],[Лоджия 1]:[Лоджия 3]])/2),2)</f>
        <v>58.16</v>
      </c>
      <c r="V105" s="91">
        <f>IF(ППД5[[#This Row],[Статус]]="продажа",ППД5[[#This Row],[Расчетная проектная площадь]],ППД5[[#This Row],[Расчетная ТП площадь]])</f>
        <v>58.16</v>
      </c>
      <c r="W105" s="91">
        <v>10.7</v>
      </c>
      <c r="X105" s="91">
        <v>14.6</v>
      </c>
      <c r="Y105" s="91"/>
      <c r="Z105" s="91">
        <f>SUM(ППД5[[#This Row],[ТП Комната 1]:[ТП Комната 3]])</f>
        <v>25.299999999999997</v>
      </c>
      <c r="AA105" s="91">
        <v>14.4</v>
      </c>
      <c r="AB105" s="91">
        <v>4.2</v>
      </c>
      <c r="AC105" s="91">
        <v>1.9</v>
      </c>
      <c r="AD105" s="91"/>
      <c r="AE105" s="91">
        <v>10.9</v>
      </c>
      <c r="AF105" s="91">
        <v>1.3</v>
      </c>
      <c r="AG105" s="91"/>
      <c r="AH105" s="91"/>
      <c r="AI105" s="91">
        <f>SUM(ППД5[[#This Row],[ТП Лоджия 1]:[ТП Лоджия 3]])</f>
        <v>1.3</v>
      </c>
      <c r="AJ105" s="95">
        <v>2.6</v>
      </c>
      <c r="AK105" s="91">
        <f>SUM(ППД5[[#This Row],[Площадь по ТП жилая]:[ТП Лоджия 3]])-ППД5[[#This Row],[ТП Летние]]+ППД5[[#This Row],[кроме того прочая
(без коэффициента)]]</f>
        <v>59.3</v>
      </c>
      <c r="AL105" s="95">
        <f>ППД5[[#This Row],[ТП Площадь без летних]]+(ППД5[[#This Row],[ТП Летние]])</f>
        <v>57.999999999999993</v>
      </c>
      <c r="AM105" s="91">
        <f>ППД5[[#This Row],[ТП общая S]]-ППД5[[#This Row],[кроме того прочая
(без коэффициента)]]</f>
        <v>56.699999999999996</v>
      </c>
      <c r="AN105" s="95">
        <f>SUM(ППД5[[#This Row],[ТП Кухня]:[ТП Коридор]])</f>
        <v>31.4</v>
      </c>
      <c r="AO105" s="91">
        <f>ППД5[[#This Row],[Расчетная ТП площадь]]-ППД5[[#This Row],[Расчетная проектная площадь]]</f>
        <v>-0.16000000000000369</v>
      </c>
      <c r="AP105" s="335">
        <f>ППД5[[#This Row],[Расчетная ТП площадь]]/ППД5[[#This Row],[Расчетная проектная площадь]]-1</f>
        <v>-2.7510316368638543E-3</v>
      </c>
      <c r="AQ105" s="91">
        <f>ППД5[[#This Row],[% расхождения]]*ППД5[[#This Row],[Стоимость до скидки]]</f>
        <v>-14097.111416781448</v>
      </c>
      <c r="AR105" s="91">
        <f>VLOOKUP(ППД5[[#This Row],[№]],наценкад5[],COLUMN(наценкад5[[#This Row],[Цена м2 с учетом всех K]]),0)</f>
        <v>81466.150500000003</v>
      </c>
      <c r="AS105" s="8">
        <f>ППД5[[#This Row],[м2 после К]]*5%</f>
        <v>4073.3075250000002</v>
      </c>
      <c r="AT105" s="8">
        <f>ППД5[[#This Row],[м2 после К]]+ППД5[[#This Row],[Повышение 16.08.23 - 5%]]</f>
        <v>85539.458025</v>
      </c>
      <c r="AU105" s="93">
        <f>ППД5[[#This Row],[Фикс 16.08.23]]*3%</f>
        <v>2566.1837407499997</v>
      </c>
      <c r="AV105" s="93">
        <f>ППД5[[#This Row],[Фикс 16.08.23]]+ППД5[[#This Row],[Повышение 29.08.23 - 3%]]</f>
        <v>88105.641765749999</v>
      </c>
      <c r="AW105" s="93"/>
      <c r="AX105" s="93">
        <f>ППД5[[#This Row],[Фикс 29.08.23]]+ППД5[[#This Row],[Повышение 06.09.23 СТ и 1К]]</f>
        <v>88105.641765749999</v>
      </c>
      <c r="AY105" s="93"/>
      <c r="AZ105" s="93">
        <f>ППД5[[#This Row],[Повышение 23.10.23  В4 ]]+ППД5[[#This Row],[Фикс 06.09.23]]</f>
        <v>88105.641765749999</v>
      </c>
      <c r="BA105" s="93"/>
      <c r="BB105" s="93">
        <f>ППД5[[#This Row],[Повышение 8.11.23 1К 5%]]+ППД5[[#This Row],[Фикс 23.10.23]]</f>
        <v>88105.641765749999</v>
      </c>
      <c r="BC105" s="93"/>
      <c r="BD105" s="93">
        <f>ППД5[[#This Row],[Корректировка 24.11.23 - 1К В5, 2К А2, №233]]+ППД5[[#This Row],[Фикс 8.11.23]]</f>
        <v>88105.641765749999</v>
      </c>
      <c r="BE105" s="93"/>
      <c r="BF105" s="93">
        <f>ППД5[[#This Row],[Наценка за отделку 29.12.23 1%]]+ППД5[[#This Row],[Фикс 8.11.24]]</f>
        <v>88105.641765749999</v>
      </c>
      <c r="BG105" s="93"/>
      <c r="BH105" s="93">
        <f>ППД5[[#This Row],[Фикс 29.12.23]]+ППД5[[#This Row],[Наценка 10.01.24 5%]]</f>
        <v>88105.641765749999</v>
      </c>
      <c r="BI105" s="93"/>
      <c r="BJ105" s="93">
        <f>ППД5[[#This Row],[Наценка 26.02.24 1 Этаж]]+ППД5[[#This Row],[Фикс 10.01.24]]</f>
        <v>88105.641765749999</v>
      </c>
      <c r="BK105" s="93"/>
      <c r="BL105" s="93">
        <f>ППД5[[#This Row],[Фикс 26.02.24]]+ППД5[[#This Row],[Наценка 06.03.24
СТ, 1К - 3%
2К, 3К - 2%]]</f>
        <v>88105.641765749999</v>
      </c>
      <c r="BM105" s="93"/>
      <c r="BN105" s="93">
        <f>ППД5[[#This Row],[Фикс 06.03.24]]+ППД5[[#This Row],[Наценка Г2+500]]</f>
        <v>88105.641765749999</v>
      </c>
      <c r="BO105" s="93"/>
      <c r="BP105" s="93">
        <f>ППД5[[#This Row],[Фикс 13.03.25]]+ППД5[[#This Row],[Наценка 20.03.24
2К, 3К - 2%]]</f>
        <v>88105.641765749999</v>
      </c>
      <c r="BQ105" s="93"/>
      <c r="BR105" s="93">
        <f>ППД5[[#This Row],[Фикс 20.03.24]]+ППД5[[#This Row],[Наценка 08.04.24 
2К: В3 - 150
3К: Г7 +1000]]</f>
        <v>88105.641765749999</v>
      </c>
      <c r="BS105" s="93"/>
      <c r="BT105" s="93">
        <f>ППД5[[#This Row],[Фикс 08.04.24]]+ППД5[[#This Row],[Наценка 16.05.24 1%
А4,А6,Б3,Б6,Б7,В2,В3,В5,В6,Г1,Г3-Г5]]</f>
        <v>88105.641765749999</v>
      </c>
      <c r="BU105" s="93"/>
      <c r="BV105" s="93">
        <f>ППД5[[#This Row],[Фикс 16.05.24]]+ППД5[[#This Row],[Наценка 24.05.24
1% - Б4, Б5,Г2,Г6
2% - А1,А3,А5,Б2,Г7]]</f>
        <v>88105.641765749999</v>
      </c>
      <c r="BW105" s="93"/>
      <c r="BX105" s="93">
        <f>ППД5[[#This Row],[Наценка 06.06.24
0К: В2,Г3 +0,5%
1К: А7, Б5/4, Г6 +0,5%
3К: В6 +0,5%
1К: А3 +1%]]+ППД5[[#This Row],[Фикс 24.05.24]]</f>
        <v>88105.641765749999</v>
      </c>
      <c r="BY105" s="93"/>
      <c r="BZ105" s="93">
        <f>ППД5[[#This Row],[Фикс 06.06.24]]+ППД5[[#This Row],[13.06.2024
3К - 2%]]</f>
        <v>88105.641765749999</v>
      </c>
      <c r="CA105" s="93"/>
      <c r="CB105" s="93">
        <f>ППД5[[#This Row],[02.07.2024: Г3 А1 А3 Б5 Б7 Г2 Г6 Б3 Б4 В3 Г7 2,5% ост 0,5-1,5%]]+ППД5[[#This Row],[Фикс 13.06.24]]</f>
        <v>88105.641765749999</v>
      </c>
      <c r="CC105" s="93"/>
      <c r="CD105" s="93">
        <f>ППД5[[#This Row],[Фикс 02.07.24]]+ППД5[[#This Row],[04.09.2024 +500
0К - Б2; 1К - А3;
2К - А6, Б4, В3, Г5]]</f>
        <v>88105.641765749999</v>
      </c>
      <c r="CE105" s="93"/>
      <c r="CF105" s="93">
        <f>ППД5[[#This Row],[Наценка 16.09.2024
1К: А1,В7,Г6/7,Г8 - 2%
2К: А4,А5,А6,Б1,Б6,Б3/4,В3,В4,Г4,Г5 - 4%
3К: 4%]]+ППД5[[#This Row],[Фикс 04.09.24]]</f>
        <v>88105.641765749999</v>
      </c>
      <c r="CG105" s="93"/>
      <c r="CH105" s="93">
        <f>ППД5[[#This Row],[Фикс 16.09.2024]]+ППД5[[#This Row],[Наценка 01.11.24
СТ: 4%
1К: 34-40м 5%; 40м+ 8%; МГН 1%
2К: 55-70м 6%; 70-73м 7%; 73-76м 8% 
3К: 5%]]</f>
        <v>88105.641765749999</v>
      </c>
      <c r="CI105" s="93"/>
      <c r="CJ105" s="93">
        <f>ППД5[[#This Row],[Наценка 06.11 13%]]+ППД5[[#This Row],[Фикс 01.11.24]]</f>
        <v>88105.641765749999</v>
      </c>
      <c r="CK105" s="93"/>
      <c r="CL105" s="93">
        <f>ППД5[[#This Row],[Фикс 06.11.24]]+ППД5[[#This Row],[Наценка 18.12.24 распределение КВ]]</f>
        <v>88105.641765749999</v>
      </c>
      <c r="CM105" s="93"/>
      <c r="CN105" s="93">
        <f>ППД5[[#This Row],[Фикс 18.12.24]]+ППД5[[#This Row],[Наценка 10.02.25 +1%
1К: А3
2К: Б3, В3]]</f>
        <v>88105.641765749999</v>
      </c>
      <c r="CO105" s="93">
        <f>ROUND(ППД5[[#This Row],[Фикс 10.02.25]],2)</f>
        <v>88105.64</v>
      </c>
      <c r="CP10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5124300</v>
      </c>
      <c r="CQ105" s="93">
        <f>ROUNDUP(ППД5[[#This Row],[Стоимость до скидки]]+ППД5[[#This Row],[Сумма доплаты]],-2)</f>
        <v>5110300</v>
      </c>
      <c r="CR105" s="68"/>
      <c r="CS105" s="90">
        <v>0.02</v>
      </c>
      <c r="CT105" s="68">
        <f>ППД5[[#This Row],[Стоимость до скидки]]*ППД5[[#This Row],[Скидка %]]+ППД5[[#This Row],[Скидка фиксированная]]</f>
        <v>102486</v>
      </c>
      <c r="CU105" s="3">
        <f>ППД5[[#This Row],[Стоимость ОН без отделки со скидкой]]/ППД5[[#This Row],[Расчетная проектная площадь]]</f>
        <v>86344.807427785418</v>
      </c>
      <c r="CV105" s="3">
        <f>ROUND(ППД5[[#This Row],[Стоимость до скидки]]-ППД5[[#This Row],[Итоговая сумма скидки]],2)</f>
        <v>5021814</v>
      </c>
      <c r="CW10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105" s="197">
        <v>22000</v>
      </c>
      <c r="CY105" s="332">
        <f>ППД5[[#This Row],[Расхождение]]/ППД5[[#This Row],[Расчетная проектная площадь]]</f>
        <v>-2.7510316368638877E-3</v>
      </c>
      <c r="CZ10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-7.0000000000002061E-2</v>
      </c>
      <c r="DA105" s="3">
        <f>ППД5[[#This Row],[Цена м2 без отделки со скидкой]]+ППД5[[#This Row],[Стоимость отделки]]</f>
        <v>108344.80742778542</v>
      </c>
      <c r="DB105" s="3">
        <f>ППД5[[#This Row],[Стоимость квартиры с отделкой]]-ППД5[[#This Row],[Стоимость ОН без отделки со скидкой]]</f>
        <v>1279519.9999999991</v>
      </c>
      <c r="DC105" s="3">
        <f>ППД5[[#This Row],[Цена м2 с отделкой]]*ППД5[[#This Row],[Расчетная проектная площадь]]</f>
        <v>6301333.9999999991</v>
      </c>
      <c r="DD105" s="3"/>
      <c r="DE105" s="111" t="s">
        <v>757</v>
      </c>
      <c r="DF105" s="199" t="s">
        <v>172</v>
      </c>
      <c r="DG105" s="245" t="s">
        <v>172</v>
      </c>
      <c r="DH105" s="100" t="b">
        <f>EXACT(ППД5[[#This Row],[Статусы CRM]],ППД5[[#This Row],[Статус]])</f>
        <v>1</v>
      </c>
      <c r="DI105" s="213" t="s">
        <v>277</v>
      </c>
      <c r="DJ105" s="204"/>
      <c r="DK105" s="111" t="s">
        <v>763</v>
      </c>
      <c r="DL105" s="216" t="s">
        <v>14</v>
      </c>
      <c r="DM105" s="201" t="b">
        <f>ППД5[[#This Row],[Отделка CRM]]=ППД5[[#This Row],[Отделка]]</f>
        <v>1</v>
      </c>
      <c r="DN105" s="203">
        <v>6301334</v>
      </c>
      <c r="DO10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9.3132257461547852E-10</v>
      </c>
      <c r="DP105" s="207" t="b">
        <f>IF(AND(ППД5[[#This Row],[Статус]]="свободно",ППД5[[#This Row],[Итоговая сумма скидки]]&lt;&gt;0),FALSE,TRUE)</f>
        <v>1</v>
      </c>
      <c r="DQ105" s="240">
        <f>_xlfn.XLOOKUP(ППД5[[#This Row],[№]],Юрист[№ кв],Юрист[Дата подачи на регистрацию]," ",0,-1)</f>
        <v>45273</v>
      </c>
      <c r="DR105" s="115" t="str">
        <f>_xlfn.XLOOKUP(ППД5[[#This Row],[№]],Юрист[№ кв],Юрист[МОП],"",0,-1)</f>
        <v>Дик</v>
      </c>
      <c r="DS105" s="333" t="s">
        <v>2502</v>
      </c>
      <c r="DT105" s="333" t="s">
        <v>2503</v>
      </c>
      <c r="DU105" s="333">
        <v>56.7</v>
      </c>
      <c r="DV105" s="111"/>
    </row>
    <row r="106" spans="1:126" hidden="1" x14ac:dyDescent="0.25">
      <c r="A106" s="112">
        <v>104</v>
      </c>
      <c r="B106" s="111" t="s">
        <v>5</v>
      </c>
      <c r="C106" s="111">
        <v>15</v>
      </c>
      <c r="D106" s="111">
        <v>7</v>
      </c>
      <c r="E106" s="111">
        <v>1</v>
      </c>
      <c r="F106" s="157">
        <v>18.489999999999998</v>
      </c>
      <c r="G106" s="105"/>
      <c r="H106" s="105"/>
      <c r="I106" s="94">
        <f>SUM(ППД5[[#This Row],[Комната 1]:[Комната 3]])</f>
        <v>18.489999999999998</v>
      </c>
      <c r="J106" s="105">
        <v>13.04</v>
      </c>
      <c r="K106" s="105">
        <v>3.9</v>
      </c>
      <c r="L106" s="105"/>
      <c r="M106" s="105"/>
      <c r="N106" s="105">
        <v>5.99</v>
      </c>
      <c r="O106" s="105">
        <v>2.65</v>
      </c>
      <c r="P106" s="105"/>
      <c r="Q106" s="105"/>
      <c r="R106" s="105">
        <f>SUM(ППД5[[#This Row],[Лоджия 1]:[Лоджия 3]])</f>
        <v>2.65</v>
      </c>
      <c r="S106" s="7">
        <f>ROUND(SUM(ППД5[[#This Row],[Площадь по проекту жилая]:[Лоджия 3]]),2)</f>
        <v>44.07</v>
      </c>
      <c r="T106" s="7">
        <f>ROUND(ППД5[[#This Row],[Площадь по проекту(общая)]]-ППД5[[#This Row],[Летние]],2)</f>
        <v>41.42</v>
      </c>
      <c r="U106" s="92">
        <f>ROUND(ППД5[[#This Row],[Площадь по проекту(общая)]]-(SUM(ППД5[[#This Row],[Лоджия 1]:[Лоджия 3]])/2),2)</f>
        <v>42.75</v>
      </c>
      <c r="V106" s="92">
        <f>IF(ППД5[[#This Row],[Статус]]="продажа",ППД5[[#This Row],[Расчетная проектная площадь]],ППД5[[#This Row],[Расчетная ТП площадь]])</f>
        <v>42.75</v>
      </c>
      <c r="W106" s="92">
        <v>18.5</v>
      </c>
      <c r="X106" s="92"/>
      <c r="Y106" s="92"/>
      <c r="Z106" s="92">
        <f>SUM(ППД5[[#This Row],[ТП Комната 1]:[ТП Комната 3]])</f>
        <v>18.5</v>
      </c>
      <c r="AA106" s="92">
        <v>13</v>
      </c>
      <c r="AB106" s="92">
        <v>3.9</v>
      </c>
      <c r="AC106" s="92"/>
      <c r="AD106" s="92"/>
      <c r="AE106" s="92">
        <v>6</v>
      </c>
      <c r="AF106" s="91">
        <v>1.35</v>
      </c>
      <c r="AG106" s="92"/>
      <c r="AH106" s="92"/>
      <c r="AI106" s="91">
        <f>SUM(ППД5[[#This Row],[ТП Лоджия 1]:[ТП Лоджия 3]])</f>
        <v>1.35</v>
      </c>
      <c r="AJ106" s="95">
        <v>2.7</v>
      </c>
      <c r="AK106" s="92">
        <f>SUM(ППД5[[#This Row],[Площадь по ТП жилая]:[ТП Лоджия 3]])-ППД5[[#This Row],[ТП Летние]]+ППД5[[#This Row],[кроме того прочая
(без коэффициента)]]</f>
        <v>44.1</v>
      </c>
      <c r="AL106" s="95">
        <f>ППД5[[#This Row],[ТП Площадь без летних]]+(ППД5[[#This Row],[ТП Летние]])</f>
        <v>42.75</v>
      </c>
      <c r="AM106" s="92">
        <f>ППД5[[#This Row],[ТП общая S]]-ППД5[[#This Row],[кроме того прочая
(без коэффициента)]]</f>
        <v>41.4</v>
      </c>
      <c r="AN106" s="95">
        <f>SUM(ППД5[[#This Row],[ТП Кухня]:[ТП Коридор]])</f>
        <v>22.9</v>
      </c>
      <c r="AO106" s="91">
        <f>ППД5[[#This Row],[Расчетная ТП площадь]]-ППД5[[#This Row],[Расчетная проектная площадь]]</f>
        <v>0</v>
      </c>
      <c r="AP106" s="335">
        <f>ППД5[[#This Row],[Расчетная ТП площадь]]/ППД5[[#This Row],[Расчетная проектная площадь]]-1</f>
        <v>0</v>
      </c>
      <c r="AQ106" s="92">
        <f>ППД5[[#This Row],[% расхождения]]*ППД5[[#This Row],[Стоимость до скидки]]</f>
        <v>0</v>
      </c>
      <c r="AR106" s="92">
        <f>VLOOKUP(ППД5[[#This Row],[№]],наценкад5[],COLUMN(наценкад5[[#This Row],[Цена м2 с учетом всех K]]),0)</f>
        <v>83951.4375</v>
      </c>
      <c r="AS106" s="7">
        <f>ППД5[[#This Row],[м2 после К]]*5%</f>
        <v>4197.5718750000005</v>
      </c>
      <c r="AT106" s="7">
        <f>ППД5[[#This Row],[м2 после К]]+ППД5[[#This Row],[Повышение 16.08.23 - 5%]]</f>
        <v>88149.009374999994</v>
      </c>
      <c r="AU106" s="9">
        <f>ППД5[[#This Row],[Фикс 16.08.23]]*3%</f>
        <v>2644.4702812499995</v>
      </c>
      <c r="AV106" s="9">
        <f>ППД5[[#This Row],[Фикс 16.08.23]]+ППД5[[#This Row],[Повышение 29.08.23 - 3%]]</f>
        <v>90793.479656249998</v>
      </c>
      <c r="AW106" s="93">
        <f>ППД5[[#This Row],[Фикс 29.08.23]]*4%</f>
        <v>3631.7391862499999</v>
      </c>
      <c r="AX106" s="9">
        <f>ППД5[[#This Row],[Фикс 29.08.23]]+ППД5[[#This Row],[Повышение 06.09.23 СТ и 1К]]</f>
        <v>94425.218842499991</v>
      </c>
      <c r="AY106" s="9"/>
      <c r="AZ106" s="9">
        <f>ППД5[[#This Row],[Повышение 23.10.23  В4 ]]+ППД5[[#This Row],[Фикс 06.09.23]]</f>
        <v>94425.218842499991</v>
      </c>
      <c r="BA106" s="9"/>
      <c r="BB106" s="9">
        <f>ППД5[[#This Row],[Повышение 8.11.23 1К 5%]]+ППД5[[#This Row],[Фикс 23.10.23]]</f>
        <v>94425.218842499991</v>
      </c>
      <c r="BC106" s="9"/>
      <c r="BD106" s="9">
        <f>ППД5[[#This Row],[Корректировка 24.11.23 - 1К В5, 2К А2, №233]]+ППД5[[#This Row],[Фикс 8.11.23]]</f>
        <v>94425.218842499991</v>
      </c>
      <c r="BE106" s="9"/>
      <c r="BF106" s="9">
        <f>ППД5[[#This Row],[Наценка за отделку 29.12.23 1%]]+ППД5[[#This Row],[Фикс 8.11.24]]</f>
        <v>94425.218842499991</v>
      </c>
      <c r="BG106" s="9"/>
      <c r="BH106" s="9">
        <f>ППД5[[#This Row],[Фикс 29.12.23]]+ППД5[[#This Row],[Наценка 10.01.24 5%]]</f>
        <v>94425.218842499991</v>
      </c>
      <c r="BI106" s="9"/>
      <c r="BJ106" s="9">
        <f>ППД5[[#This Row],[Наценка 26.02.24 1 Этаж]]+ППД5[[#This Row],[Фикс 10.01.24]]</f>
        <v>94425.218842499991</v>
      </c>
      <c r="BK106" s="93"/>
      <c r="BL106" s="9">
        <f>ППД5[[#This Row],[Фикс 26.02.24]]+ППД5[[#This Row],[Наценка 06.03.24
СТ, 1К - 3%
2К, 3К - 2%]]</f>
        <v>94425.218842499991</v>
      </c>
      <c r="BM106" s="9"/>
      <c r="BN106" s="9">
        <f>ППД5[[#This Row],[Фикс 06.03.24]]+ППД5[[#This Row],[Наценка Г2+500]]</f>
        <v>94425.218842499991</v>
      </c>
      <c r="BO106" s="9"/>
      <c r="BP106" s="9">
        <f>ППД5[[#This Row],[Фикс 13.03.25]]+ППД5[[#This Row],[Наценка 20.03.24
2К, 3К - 2%]]</f>
        <v>94425.218842499991</v>
      </c>
      <c r="BQ106" s="9"/>
      <c r="BR106" s="9">
        <f>ППД5[[#This Row],[Фикс 20.03.24]]+ППД5[[#This Row],[Наценка 08.04.24 
2К: В3 - 150
3К: Г7 +1000]]</f>
        <v>94425.218842499991</v>
      </c>
      <c r="BS106" s="9"/>
      <c r="BT106" s="9">
        <f>ППД5[[#This Row],[Фикс 08.04.24]]+ППД5[[#This Row],[Наценка 16.05.24 1%
А4,А6,Б3,Б6,Б7,В2,В3,В5,В6,Г1,Г3-Г5]]</f>
        <v>94425.218842499991</v>
      </c>
      <c r="BU106" s="9"/>
      <c r="BV106" s="9">
        <f>ППД5[[#This Row],[Фикс 16.05.24]]+ППД5[[#This Row],[Наценка 24.05.24
1% - Б4, Б5,Г2,Г6
2% - А1,А3,А5,Б2,Г7]]</f>
        <v>94425.218842499991</v>
      </c>
      <c r="BW106" s="9"/>
      <c r="BX106" s="9">
        <f>ППД5[[#This Row],[Наценка 06.06.24
0К: В2,Г3 +0,5%
1К: А7, Б5/4, Г6 +0,5%
3К: В6 +0,5%
1К: А3 +1%]]+ППД5[[#This Row],[Фикс 24.05.24]]</f>
        <v>94425.218842499991</v>
      </c>
      <c r="BY106" s="9"/>
      <c r="BZ106" s="9">
        <f>ППД5[[#This Row],[Фикс 06.06.24]]+ППД5[[#This Row],[13.06.2024
3К - 2%]]</f>
        <v>94425.218842499991</v>
      </c>
      <c r="CA106" s="9"/>
      <c r="CB106" s="9">
        <f>ППД5[[#This Row],[02.07.2024: Г3 А1 А3 Б5 Б7 Г2 Г6 Б3 Б4 В3 Г7 2,5% ост 0,5-1,5%]]+ППД5[[#This Row],[Фикс 13.06.24]]</f>
        <v>94425.218842499991</v>
      </c>
      <c r="CC106" s="9"/>
      <c r="CD106" s="9">
        <f>ППД5[[#This Row],[Фикс 02.07.24]]+ППД5[[#This Row],[04.09.2024 +500
0К - Б2; 1К - А3;
2К - А6, Б4, В3, Г5]]</f>
        <v>94425.218842499991</v>
      </c>
      <c r="CE106" s="9"/>
      <c r="CF106" s="9">
        <f>ППД5[[#This Row],[Наценка 16.09.2024
1К: А1,В7,Г6/7,Г8 - 2%
2К: А4,А5,А6,Б1,Б6,Б3/4,В3,В4,Г4,Г5 - 4%
3К: 4%]]+ППД5[[#This Row],[Фикс 04.09.24]]</f>
        <v>94425.218842499991</v>
      </c>
      <c r="CG106" s="9"/>
      <c r="CH106" s="9">
        <f>ППД5[[#This Row],[Фикс 16.09.2024]]+ППД5[[#This Row],[Наценка 01.11.24
СТ: 4%
1К: 34-40м 5%; 40м+ 8%; МГН 1%
2К: 55-70м 6%; 70-73м 7%; 73-76м 8% 
3К: 5%]]</f>
        <v>94425.218842499991</v>
      </c>
      <c r="CI106" s="9"/>
      <c r="CJ106" s="9">
        <f>ППД5[[#This Row],[Наценка 06.11 13%]]+ППД5[[#This Row],[Фикс 01.11.24]]</f>
        <v>94425.218842499991</v>
      </c>
      <c r="CK106" s="9"/>
      <c r="CL106" s="9">
        <f>ППД5[[#This Row],[Фикс 06.11.24]]+ППД5[[#This Row],[Наценка 18.12.24 распределение КВ]]</f>
        <v>94425.218842499991</v>
      </c>
      <c r="CM106" s="9"/>
      <c r="CN106" s="9">
        <f>ППД5[[#This Row],[Фикс 18.12.24]]+ППД5[[#This Row],[Наценка 10.02.25 +1%
1К: А3
2К: Б3, В3]]</f>
        <v>94425.218842499991</v>
      </c>
      <c r="CO106" s="93">
        <f>ROUND(ППД5[[#This Row],[Фикс 10.02.25]],2)</f>
        <v>94425.22</v>
      </c>
      <c r="CP10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4036678.16</v>
      </c>
      <c r="CQ106" s="93">
        <f>ROUNDUP(ППД5[[#This Row],[Стоимость до скидки]]+ППД5[[#This Row],[Сумма доплаты]],-2)</f>
        <v>4036700</v>
      </c>
      <c r="CR106" s="68"/>
      <c r="CS106" s="90"/>
      <c r="CT106" s="68">
        <f>ППД5[[#This Row],[Стоимость до скидки]]*ППД5[[#This Row],[Скидка %]]+ППД5[[#This Row],[Скидка фиксированная]]</f>
        <v>0</v>
      </c>
      <c r="CU106" s="3">
        <f>ППД5[[#This Row],[Стоимость ОН без отделки со скидкой]]/ППД5[[#This Row],[Расчетная проектная площадь]]</f>
        <v>94425.22011695907</v>
      </c>
      <c r="CV106" s="3">
        <f>ROUND(ППД5[[#This Row],[Стоимость до скидки]]-ППД5[[#This Row],[Итоговая сумма скидки]],2)</f>
        <v>4036678.16</v>
      </c>
      <c r="CW10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106" s="197">
        <v>22000</v>
      </c>
      <c r="CY106" s="332">
        <f>ППД5[[#This Row],[Расхождение]]/ППД5[[#This Row],[Расчетная проектная площадь]]</f>
        <v>0</v>
      </c>
      <c r="CZ10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-3.0000000000002913E-2</v>
      </c>
      <c r="DA106" s="3">
        <f>ППД5[[#This Row],[Цена м2 без отделки со скидкой]]+ППД5[[#This Row],[Стоимость отделки]]</f>
        <v>116425.22011695907</v>
      </c>
      <c r="DB106" s="3">
        <f>ППД5[[#This Row],[Стоимость квартиры с отделкой]]-ППД5[[#This Row],[Стоимость ОН без отделки со скидкой]]</f>
        <v>940500</v>
      </c>
      <c r="DC106" s="3">
        <f>ППД5[[#This Row],[Цена м2 с отделкой]]*ППД5[[#This Row],[Расчетная проектная площадь]]</f>
        <v>4977178.16</v>
      </c>
      <c r="DD106" s="3"/>
      <c r="DF106" s="199" t="s">
        <v>172</v>
      </c>
      <c r="DG106" s="245" t="s">
        <v>172</v>
      </c>
      <c r="DH106" s="100" t="b">
        <f>EXACT(ППД5[[#This Row],[Статусы CRM]],ППД5[[#This Row],[Статус]])</f>
        <v>1</v>
      </c>
      <c r="DI106" s="213" t="s">
        <v>278</v>
      </c>
      <c r="DJ106" s="204"/>
      <c r="DK106" s="111" t="s">
        <v>76</v>
      </c>
      <c r="DL106" s="216" t="s">
        <v>14</v>
      </c>
      <c r="DM106" s="201" t="b">
        <f>ППД5[[#This Row],[Отделка CRM]]=ППД5[[#This Row],[Отделка]]</f>
        <v>1</v>
      </c>
      <c r="DN106" s="203">
        <v>4977178.16</v>
      </c>
      <c r="DO10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06" s="207" t="b">
        <f>IF(AND(ППД5[[#This Row],[Статус]]="свободно",ППД5[[#This Row],[Итоговая сумма скидки]]&lt;&gt;0),FALSE,TRUE)</f>
        <v>1</v>
      </c>
      <c r="DQ106" s="240">
        <f>_xlfn.XLOOKUP(ППД5[[#This Row],[№]],Юрист[№ кв],Юрист[Дата подачи на регистрацию]," ",0,-1)</f>
        <v>45224</v>
      </c>
      <c r="DR106" s="115" t="str">
        <f>_xlfn.XLOOKUP(ППД5[[#This Row],[№]],Юрист[№ кв],Юрист[МОП],"",0,-1)</f>
        <v>Дик</v>
      </c>
      <c r="DS106" s="333" t="s">
        <v>2504</v>
      </c>
      <c r="DT106" s="333" t="s">
        <v>2505</v>
      </c>
      <c r="DU106" s="333">
        <v>41.4</v>
      </c>
      <c r="DV106" s="111"/>
    </row>
    <row r="107" spans="1:126" hidden="1" x14ac:dyDescent="0.25">
      <c r="A107" s="112">
        <v>105</v>
      </c>
      <c r="B107" s="111" t="s">
        <v>5</v>
      </c>
      <c r="C107" s="111">
        <v>16</v>
      </c>
      <c r="D107" s="338">
        <v>1</v>
      </c>
      <c r="E107" s="111">
        <v>1</v>
      </c>
      <c r="F107" s="105">
        <v>14.68</v>
      </c>
      <c r="G107" s="105"/>
      <c r="H107" s="105"/>
      <c r="I107" s="94">
        <f>SUM(ППД5[[#This Row],[Комната 1]:[Комната 3]])</f>
        <v>14.68</v>
      </c>
      <c r="J107" s="1">
        <v>9.84</v>
      </c>
      <c r="K107" s="105">
        <v>3.63</v>
      </c>
      <c r="L107" s="105"/>
      <c r="M107" s="105"/>
      <c r="N107" s="105">
        <v>4.8899999999999997</v>
      </c>
      <c r="O107" s="105">
        <v>2.7</v>
      </c>
      <c r="P107" s="105"/>
      <c r="Q107" s="105"/>
      <c r="R107" s="105">
        <f>SUM(ППД5[[#This Row],[Лоджия 1]:[Лоджия 3]])</f>
        <v>2.7</v>
      </c>
      <c r="S107" s="7">
        <f>ROUND(SUM(ППД5[[#This Row],[Площадь по проекту жилая]:[Лоджия 3]]),2)</f>
        <v>35.74</v>
      </c>
      <c r="T107" s="7">
        <f>ROUND(ППД5[[#This Row],[Площадь по проекту(общая)]]-ППД5[[#This Row],[Летние]],2)</f>
        <v>33.04</v>
      </c>
      <c r="U107" s="92">
        <f>ROUND(ППД5[[#This Row],[Площадь по проекту(общая)]]-(SUM(ППД5[[#This Row],[Лоджия 1]:[Лоджия 3]])/2),2)</f>
        <v>34.39</v>
      </c>
      <c r="V107" s="92">
        <f>IF(ППД5[[#This Row],[Статус]]="продажа",ППД5[[#This Row],[Расчетная проектная площадь]],ППД5[[#This Row],[Расчетная ТП площадь]])</f>
        <v>34.39</v>
      </c>
      <c r="W107" s="92">
        <v>14.8</v>
      </c>
      <c r="X107" s="92"/>
      <c r="Y107" s="92"/>
      <c r="Z107" s="92">
        <f>SUM(ППД5[[#This Row],[ТП Комната 1]:[ТП Комната 3]])</f>
        <v>14.8</v>
      </c>
      <c r="AA107" s="92">
        <v>9.6999999999999993</v>
      </c>
      <c r="AB107" s="92">
        <v>3.7</v>
      </c>
      <c r="AC107" s="92"/>
      <c r="AD107" s="92"/>
      <c r="AE107" s="92">
        <v>4.8</v>
      </c>
      <c r="AF107" s="91">
        <v>1.35</v>
      </c>
      <c r="AG107" s="92"/>
      <c r="AH107" s="92"/>
      <c r="AI107" s="91">
        <f>SUM(ППД5[[#This Row],[ТП Лоджия 1]:[ТП Лоджия 3]])</f>
        <v>1.35</v>
      </c>
      <c r="AJ107" s="95">
        <v>2.7</v>
      </c>
      <c r="AK107" s="92">
        <f>SUM(ППД5[[#This Row],[Площадь по ТП жилая]:[ТП Лоджия 3]])-ППД5[[#This Row],[ТП Летние]]+ППД5[[#This Row],[кроме того прочая
(без коэффициента)]]</f>
        <v>35.700000000000003</v>
      </c>
      <c r="AL107" s="95">
        <f>ППД5[[#This Row],[ТП Площадь без летних]]+(ППД5[[#This Row],[ТП Летние]])</f>
        <v>34.35</v>
      </c>
      <c r="AM107" s="92">
        <f>ППД5[[#This Row],[ТП общая S]]-ППД5[[#This Row],[кроме того прочая
(без коэффициента)]]</f>
        <v>33</v>
      </c>
      <c r="AN107" s="95">
        <f>SUM(ППД5[[#This Row],[ТП Кухня]:[ТП Коридор]])</f>
        <v>18.2</v>
      </c>
      <c r="AO107" s="91">
        <f>ППД5[[#This Row],[Расчетная ТП площадь]]-ППД5[[#This Row],[Расчетная проектная площадь]]</f>
        <v>-3.9999999999999147E-2</v>
      </c>
      <c r="AP107" s="335">
        <f>ППД5[[#This Row],[Расчетная ТП площадь]]/ППД5[[#This Row],[Расчетная проектная площадь]]-1</f>
        <v>-1.1631288165163678E-3</v>
      </c>
      <c r="AQ107" s="92">
        <f>ППД5[[#This Row],[% расхождения]]*ППД5[[#This Row],[Стоимость до скидки]]</f>
        <v>-5922.6519337013451</v>
      </c>
      <c r="AR107" s="92">
        <f>VLOOKUP(ППД5[[#This Row],[№]],наценкад5[],COLUMN(наценкад5[[#This Row],[Цена м2 с учетом всех K]]),0)</f>
        <v>82734.75</v>
      </c>
      <c r="AS107" s="7">
        <f>ППД5[[#This Row],[м2 после К]]*5%</f>
        <v>4136.7375000000002</v>
      </c>
      <c r="AT107" s="7">
        <f>ППД5[[#This Row],[м2 после К]]+ППД5[[#This Row],[Повышение 16.08.23 - 5%]]</f>
        <v>86871.487500000003</v>
      </c>
      <c r="AU107" s="9">
        <f>ППД5[[#This Row],[Фикс 16.08.23]]*3%</f>
        <v>2606.1446249999999</v>
      </c>
      <c r="AV107" s="9">
        <f>ППД5[[#This Row],[Фикс 16.08.23]]+ППД5[[#This Row],[Повышение 29.08.23 - 3%]]</f>
        <v>89477.632125000004</v>
      </c>
      <c r="AW107" s="93">
        <f>ППД5[[#This Row],[Фикс 29.08.23]]*14%</f>
        <v>12526.868497500001</v>
      </c>
      <c r="AX107" s="9">
        <f>ППД5[[#This Row],[Фикс 29.08.23]]+ППД5[[#This Row],[Повышение 06.09.23 СТ и 1К]]</f>
        <v>102004.50062250001</v>
      </c>
      <c r="AY107" s="9"/>
      <c r="AZ107" s="9">
        <f>ППД5[[#This Row],[Повышение 23.10.23  В4 ]]+ППД5[[#This Row],[Фикс 06.09.23]]</f>
        <v>102004.50062250001</v>
      </c>
      <c r="BA107" s="93">
        <f>ППД5[[#This Row],[Фикс 23.10.23]]*5%</f>
        <v>5100.2250311250009</v>
      </c>
      <c r="BB107" s="93">
        <f>ППД5[[#This Row],[Повышение 8.11.23 1К 5%]]+ППД5[[#This Row],[Фикс 23.10.23]]</f>
        <v>107104.72565362501</v>
      </c>
      <c r="BC107" s="93"/>
      <c r="BD107" s="93">
        <f>ППД5[[#This Row],[Корректировка 24.11.23 - 1К В5, 2К А2, №233]]+ППД5[[#This Row],[Фикс 8.11.23]]</f>
        <v>107104.72565362501</v>
      </c>
      <c r="BE107" s="93">
        <f>ППД5[[#This Row],[Фикс 8.11.24]]*1%</f>
        <v>1071.0472565362502</v>
      </c>
      <c r="BF107" s="93">
        <f>ППД5[[#This Row],[Наценка за отделку 29.12.23 1%]]+ППД5[[#This Row],[Фикс 8.11.24]]</f>
        <v>108175.77291016125</v>
      </c>
      <c r="BG107" s="93">
        <f>ППД5[[#This Row],[Фикс 29.12.23]]*5%</f>
        <v>5408.7886455080625</v>
      </c>
      <c r="BH107" s="93">
        <f>ППД5[[#This Row],[Фикс 29.12.23]]+ППД5[[#This Row],[Наценка 10.01.24 5%]]</f>
        <v>113584.56155566931</v>
      </c>
      <c r="BI107" s="93"/>
      <c r="BJ107" s="93">
        <f>ППД5[[#This Row],[Наценка 26.02.24 1 Этаж]]+ППД5[[#This Row],[Фикс 10.01.24]]</f>
        <v>113584.56155566931</v>
      </c>
      <c r="BK107" s="93">
        <f>ППД5[[#This Row],[Фикс 26.02.24]]*3%</f>
        <v>3407.5368466700793</v>
      </c>
      <c r="BL107" s="93">
        <f>ППД5[[#This Row],[Фикс 26.02.24]]+ППД5[[#This Row],[Наценка 06.03.24
СТ, 1К - 3%
2К, 3К - 2%]]</f>
        <v>116992.09840233938</v>
      </c>
      <c r="BM107" s="93"/>
      <c r="BN107" s="93">
        <f>ППД5[[#This Row],[Фикс 06.03.24]]+ППД5[[#This Row],[Наценка Г2+500]]</f>
        <v>116992.09840233938</v>
      </c>
      <c r="BO107" s="93"/>
      <c r="BP107" s="93">
        <f>ППД5[[#This Row],[Фикс 13.03.25]]+ППД5[[#This Row],[Наценка 20.03.24
2К, 3К - 2%]]</f>
        <v>116992.09840233938</v>
      </c>
      <c r="BQ107" s="93"/>
      <c r="BR107" s="93">
        <f>ППД5[[#This Row],[Фикс 20.03.24]]+ППД5[[#This Row],[Наценка 08.04.24 
2К: В3 - 150
3К: Г7 +1000]]</f>
        <v>116992.09840233938</v>
      </c>
      <c r="BS107" s="93"/>
      <c r="BT107" s="93">
        <f>ППД5[[#This Row],[Фикс 08.04.24]]+ППД5[[#This Row],[Наценка 16.05.24 1%
А4,А6,Б3,Б6,Б7,В2,В3,В5,В6,Г1,Г3-Г5]]</f>
        <v>116992.09840233938</v>
      </c>
      <c r="BU107" s="93">
        <f>ППД5[[#This Row],[Фикс 16.05.24]]*2%</f>
        <v>2339.8419680467878</v>
      </c>
      <c r="BV107" s="93">
        <f>ППД5[[#This Row],[Фикс 16.05.24]]+ППД5[[#This Row],[Наценка 24.05.24
1% - Б4, Б5,Г2,Г6
2% - А1,А3,А5,Б2,Г7]]</f>
        <v>119331.94037038618</v>
      </c>
      <c r="BW107" s="93"/>
      <c r="BX107" s="93">
        <f>ППД5[[#This Row],[Наценка 06.06.24
0К: В2,Г3 +0,5%
1К: А7, Б5/4, Г6 +0,5%
3К: В6 +0,5%
1К: А3 +1%]]+ППД5[[#This Row],[Фикс 24.05.24]]</f>
        <v>119331.94037038618</v>
      </c>
      <c r="BY107" s="93"/>
      <c r="BZ107" s="93">
        <f>ППД5[[#This Row],[Фикс 06.06.24]]+ППД5[[#This Row],[13.06.2024
3К - 2%]]</f>
        <v>119331.94037038618</v>
      </c>
      <c r="CA107" s="93">
        <f>2.5%*ППД5[[#This Row],[Фикс 13.06.24]]</f>
        <v>2983.2985092596546</v>
      </c>
      <c r="CB107" s="93">
        <f>ППД5[[#This Row],[02.07.2024: Г3 А1 А3 Б5 Б7 Г2 Г6 Б3 Б4 В3 Г7 2,5% ост 0,5-1,5%]]+ППД5[[#This Row],[Фикс 13.06.24]]</f>
        <v>122315.23887964583</v>
      </c>
      <c r="CC107" s="93"/>
      <c r="CD107" s="93">
        <f>ППД5[[#This Row],[Фикс 02.07.24]]+ППД5[[#This Row],[04.09.2024 +500
0К - Б2; 1К - А3;
2К - А6, Б4, В3, Г5]]</f>
        <v>122315.23887964583</v>
      </c>
      <c r="CE107" s="93">
        <f>ППД5[[#This Row],[Фикс 04.09.24]]*2%</f>
        <v>2446.3047775929167</v>
      </c>
      <c r="CF107" s="93">
        <f>ППД5[[#This Row],[Наценка 16.09.2024
1К: А1,В7,Г6/7,Г8 - 2%
2К: А4,А5,А6,Б1,Б6,Б3/4,В3,В4,Г4,Г5 - 4%
3К: 4%]]+ППД5[[#This Row],[Фикс 04.09.24]]</f>
        <v>124761.54365723874</v>
      </c>
      <c r="CG107" s="93">
        <f>ППД5[[#This Row],[Фикс 16.09.2024]]*5%</f>
        <v>6238.0771828619372</v>
      </c>
      <c r="CH107" s="93">
        <f>ППД5[[#This Row],[Фикс 16.09.2024]]+ППД5[[#This Row],[Наценка 01.11.24
СТ: 4%
1К: 34-40м 5%; 40м+ 8%; МГН 1%
2К: 55-70м 6%; 70-73м 7%; 73-76м 8% 
3К: 5%]]</f>
        <v>130999.62084010067</v>
      </c>
      <c r="CI107" s="93">
        <f>ППД5[[#This Row],[Фикс 01.11.24]]*13%</f>
        <v>17029.950709213088</v>
      </c>
      <c r="CJ107" s="93">
        <f>ППД5[[#This Row],[Наценка 06.11 13%]]+ППД5[[#This Row],[Фикс 01.11.24]]</f>
        <v>148029.57154931375</v>
      </c>
      <c r="CK107" s="93">
        <v>35</v>
      </c>
      <c r="CL107" s="93">
        <f>ППД5[[#This Row],[Фикс 06.11.24]]+ППД5[[#This Row],[Наценка 18.12.24 распределение КВ]]</f>
        <v>148064.57154931375</v>
      </c>
      <c r="CM107" s="93"/>
      <c r="CN107" s="93">
        <f>ППД5[[#This Row],[Фикс 18.12.24]]+ППД5[[#This Row],[Наценка 10.02.25 +1%
1К: А3
2К: Б3, В3]]</f>
        <v>148064.57154931375</v>
      </c>
      <c r="CO107" s="93">
        <f>ROUND(ППД5[[#This Row],[Фикс 10.02.25]],2)</f>
        <v>148064.57</v>
      </c>
      <c r="CP10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5092000</v>
      </c>
      <c r="CQ107" s="93">
        <f>ROUNDUP(ППД5[[#This Row],[Стоимость до скидки]]+ППД5[[#This Row],[Сумма доплаты]],-2)</f>
        <v>5086100</v>
      </c>
      <c r="CR107" s="68">
        <v>793250</v>
      </c>
      <c r="CS107" s="90"/>
      <c r="CT107" s="68">
        <f>ППД5[[#This Row],[Стоимость до скидки]]*ППД5[[#This Row],[Скидка %]]+ППД5[[#This Row],[Скидка фиксированная]]</f>
        <v>793250</v>
      </c>
      <c r="CU107" s="3">
        <f>ППД5[[#This Row],[Стоимость ОН без отделки со скидкой]]/ППД5[[#This Row],[Расчетная проектная площадь]]</f>
        <v>125000</v>
      </c>
      <c r="CV107" s="3">
        <f>ROUND(ППД5[[#This Row],[Стоимость до скидки]]-ППД5[[#This Row],[Итоговая сумма скидки]],2)</f>
        <v>4298750</v>
      </c>
      <c r="CW10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107" s="197">
        <v>25000</v>
      </c>
      <c r="CY107" s="332">
        <f>ППД5[[#This Row],[Расхождение]]/ППД5[[#This Row],[Расчетная проектная площадь]]</f>
        <v>-1.1631288165164044E-3</v>
      </c>
      <c r="CZ10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-0.16000000000000014</v>
      </c>
      <c r="DA107" s="3">
        <f>ППД5[[#This Row],[Цена м2 без отделки со скидкой]]+ППД5[[#This Row],[Стоимость отделки]]</f>
        <v>150000</v>
      </c>
      <c r="DB107" s="3">
        <f>ППД5[[#This Row],[Стоимость квартиры с отделкой]]-ППД5[[#This Row],[Стоимость ОН без отделки со скидкой]]</f>
        <v>859750</v>
      </c>
      <c r="DC107" s="3">
        <f>ППД5[[#This Row],[Цена м2 с отделкой]]*ППД5[[#This Row],[Расчетная проектная площадь]]</f>
        <v>5158500</v>
      </c>
      <c r="DD107" s="3" t="s">
        <v>154</v>
      </c>
      <c r="DE107" s="111" t="s">
        <v>2199</v>
      </c>
      <c r="DF107" s="199" t="s">
        <v>172</v>
      </c>
      <c r="DG107" s="245" t="s">
        <v>172</v>
      </c>
      <c r="DH107" s="100" t="b">
        <f>EXACT(ППД5[[#This Row],[Статусы CRM]],ППД5[[#This Row],[Статус]])</f>
        <v>1</v>
      </c>
      <c r="DI107" s="213" t="s">
        <v>279</v>
      </c>
      <c r="DJ107" s="204"/>
      <c r="DK107" s="111" t="s">
        <v>763</v>
      </c>
      <c r="DL107" s="216" t="s">
        <v>14</v>
      </c>
      <c r="DM107" s="201" t="b">
        <f>ППД5[[#This Row],[Отделка CRM]]=ППД5[[#This Row],[Отделка]]</f>
        <v>1</v>
      </c>
      <c r="DN107" s="203">
        <v>5158500</v>
      </c>
      <c r="DO10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07" s="207" t="b">
        <f>IF(AND(ППД5[[#This Row],[Статус]]="свободно",ППД5[[#This Row],[Итоговая сумма скидки]]&lt;&gt;0),FALSE,TRUE)</f>
        <v>1</v>
      </c>
      <c r="DQ107" s="240">
        <f>_xlfn.XLOOKUP(ППД5[[#This Row],[№]],Юрист[№ кв],Юрист[Дата подачи на регистрацию]," ",0,-1)</f>
        <v>45823</v>
      </c>
      <c r="DR107" s="115" t="str">
        <f>_xlfn.XLOOKUP(ППД5[[#This Row],[№]],Юрист[№ кв],Юрист[МОП],"",0,-1)</f>
        <v>Дик</v>
      </c>
      <c r="DS107" s="333" t="s">
        <v>2506</v>
      </c>
      <c r="DT107" s="333" t="s">
        <v>2507</v>
      </c>
      <c r="DU107" s="333">
        <v>33</v>
      </c>
      <c r="DV107" s="111"/>
    </row>
    <row r="108" spans="1:126" hidden="1" x14ac:dyDescent="0.25">
      <c r="A108" s="112">
        <v>106</v>
      </c>
      <c r="B108" s="111" t="s">
        <v>5</v>
      </c>
      <c r="C108" s="111">
        <v>16</v>
      </c>
      <c r="D108" s="111">
        <v>2</v>
      </c>
      <c r="E108" s="111">
        <v>2</v>
      </c>
      <c r="F108" s="105">
        <v>15.82</v>
      </c>
      <c r="G108" s="156">
        <v>15.54</v>
      </c>
      <c r="H108" s="105"/>
      <c r="I108" s="94">
        <f>SUM(ППД5[[#This Row],[Комната 1]:[Комната 3]])</f>
        <v>31.36</v>
      </c>
      <c r="J108" s="105">
        <v>19.440000000000001</v>
      </c>
      <c r="K108" s="105">
        <v>4.42</v>
      </c>
      <c r="L108" s="105"/>
      <c r="M108" s="105">
        <v>3.25</v>
      </c>
      <c r="N108" s="105">
        <v>8.5299999999999994</v>
      </c>
      <c r="O108" s="105">
        <v>3</v>
      </c>
      <c r="P108" s="105"/>
      <c r="Q108" s="105"/>
      <c r="R108" s="105">
        <f>SUM(ППД5[[#This Row],[Лоджия 1]:[Лоджия 3]])</f>
        <v>3</v>
      </c>
      <c r="S108" s="7">
        <f>ROUND(SUM(ППД5[[#This Row],[Площадь по проекту жилая]:[Лоджия 3]]),2)</f>
        <v>70</v>
      </c>
      <c r="T108" s="7">
        <f>ROUND(ППД5[[#This Row],[Площадь по проекту(общая)]]-ППД5[[#This Row],[Летние]],2)</f>
        <v>67</v>
      </c>
      <c r="U108" s="92">
        <f>ROUND(ППД5[[#This Row],[Площадь по проекту(общая)]]-(SUM(ППД5[[#This Row],[Лоджия 1]:[Лоджия 3]])/2),2)</f>
        <v>68.5</v>
      </c>
      <c r="V108" s="92">
        <f>IF(ППД5[[#This Row],[Статус]]="продажа",ППД5[[#This Row],[Расчетная проектная площадь]],ППД5[[#This Row],[Расчетная ТП площадь]])</f>
        <v>68.5</v>
      </c>
      <c r="W108" s="92">
        <v>15.5</v>
      </c>
      <c r="X108" s="92">
        <v>15.9</v>
      </c>
      <c r="Y108" s="92"/>
      <c r="Z108" s="92">
        <f>SUM(ППД5[[#This Row],[ТП Комната 1]:[ТП Комната 3]])</f>
        <v>31.4</v>
      </c>
      <c r="AA108" s="92">
        <v>18.899999999999999</v>
      </c>
      <c r="AB108" s="92">
        <v>4.4000000000000004</v>
      </c>
      <c r="AC108" s="92"/>
      <c r="AD108" s="92">
        <v>3.3</v>
      </c>
      <c r="AE108" s="92">
        <v>8.4</v>
      </c>
      <c r="AF108" s="91">
        <v>1.45</v>
      </c>
      <c r="AG108" s="92"/>
      <c r="AH108" s="92"/>
      <c r="AI108" s="91">
        <f>SUM(ППД5[[#This Row],[ТП Лоджия 1]:[ТП Лоджия 3]])</f>
        <v>1.45</v>
      </c>
      <c r="AJ108" s="95">
        <v>2.9</v>
      </c>
      <c r="AK108" s="92">
        <f>SUM(ППД5[[#This Row],[Площадь по ТП жилая]:[ТП Лоджия 3]])-ППД5[[#This Row],[ТП Летние]]+ППД5[[#This Row],[кроме того прочая
(без коэффициента)]]</f>
        <v>69.3</v>
      </c>
      <c r="AL108" s="95">
        <f>ППД5[[#This Row],[ТП Площадь без летних]]+(ППД5[[#This Row],[ТП Летние]])</f>
        <v>67.849999999999994</v>
      </c>
      <c r="AM108" s="92">
        <f>ППД5[[#This Row],[ТП общая S]]-ППД5[[#This Row],[кроме того прочая
(без коэффициента)]]</f>
        <v>66.399999999999991</v>
      </c>
      <c r="AN108" s="95">
        <f>SUM(ППД5[[#This Row],[ТП Кухня]:[ТП Коридор]])</f>
        <v>35</v>
      </c>
      <c r="AO108" s="91">
        <f>ППД5[[#This Row],[Расчетная ТП площадь]]-ППД5[[#This Row],[Расчетная проектная площадь]]</f>
        <v>-0.65000000000000568</v>
      </c>
      <c r="AP108" s="335">
        <f>ППД5[[#This Row],[Расчетная ТП площадь]]/ППД5[[#This Row],[Расчетная проектная площадь]]-1</f>
        <v>-9.4890510948906215E-3</v>
      </c>
      <c r="AQ108" s="92">
        <f>ППД5[[#This Row],[% расхождения]]*ППД5[[#This Row],[Стоимость до скидки]]</f>
        <v>-65011.386861314626</v>
      </c>
      <c r="AR108" s="92">
        <f>VLOOKUP(ППД5[[#This Row],[№]],наценкад5[],COLUMN(наценкад5[[#This Row],[Цена м2 с учетом всех K]]),0)</f>
        <v>84168.819000000003</v>
      </c>
      <c r="AS108" s="7">
        <f>ППД5[[#This Row],[м2 после К]]*5%</f>
        <v>4208.4409500000002</v>
      </c>
      <c r="AT108" s="7">
        <f>ППД5[[#This Row],[м2 после К]]+ППД5[[#This Row],[Повышение 16.08.23 - 5%]]</f>
        <v>88377.259950000007</v>
      </c>
      <c r="AU108" s="9">
        <f>ППД5[[#This Row],[Фикс 16.08.23]]*3%</f>
        <v>2651.3177985000002</v>
      </c>
      <c r="AV108" s="9">
        <f>ППД5[[#This Row],[Фикс 16.08.23]]+ППД5[[#This Row],[Повышение 29.08.23 - 3%]]</f>
        <v>91028.577748500014</v>
      </c>
      <c r="AW108" s="9"/>
      <c r="AX108" s="9">
        <f>ППД5[[#This Row],[Фикс 29.08.23]]+ППД5[[#This Row],[Повышение 06.09.23 СТ и 1К]]</f>
        <v>91028.577748500014</v>
      </c>
      <c r="AY108" s="9"/>
      <c r="AZ108" s="9">
        <f>ППД5[[#This Row],[Повышение 23.10.23  В4 ]]+ППД5[[#This Row],[Фикс 06.09.23]]</f>
        <v>91028.577748500014</v>
      </c>
      <c r="BA108" s="9"/>
      <c r="BB108" s="9">
        <f>ППД5[[#This Row],[Повышение 8.11.23 1К 5%]]+ППД5[[#This Row],[Фикс 23.10.23]]</f>
        <v>91028.577748500014</v>
      </c>
      <c r="BC108" s="9">
        <v>-831</v>
      </c>
      <c r="BD108" s="9">
        <f>ППД5[[#This Row],[Корректировка 24.11.23 - 1К В5, 2К А2, №233]]+ППД5[[#This Row],[Фикс 8.11.23]]</f>
        <v>90197.577748500014</v>
      </c>
      <c r="BE108" s="93">
        <f>ППД5[[#This Row],[Фикс 8.11.24]]*1%</f>
        <v>901.97577748500021</v>
      </c>
      <c r="BF108" s="9">
        <f>ППД5[[#This Row],[Наценка за отделку 29.12.23 1%]]+ППД5[[#This Row],[Фикс 8.11.24]]</f>
        <v>91099.553525985015</v>
      </c>
      <c r="BG108" s="93">
        <f>ППД5[[#This Row],[Фикс 29.12.23]]*5%</f>
        <v>4554.9776762992506</v>
      </c>
      <c r="BH108" s="9">
        <f>ППД5[[#This Row],[Фикс 29.12.23]]+ППД5[[#This Row],[Наценка 10.01.24 5%]]</f>
        <v>95654.53120228427</v>
      </c>
      <c r="BI108" s="9"/>
      <c r="BJ108" s="9">
        <f>ППД5[[#This Row],[Наценка 26.02.24 1 Этаж]]+ППД5[[#This Row],[Фикс 10.01.24]]</f>
        <v>95654.53120228427</v>
      </c>
      <c r="BK108" s="93">
        <f>ППД5[[#This Row],[Фикс 26.02.24]]*2%</f>
        <v>1913.0906240456854</v>
      </c>
      <c r="BL108" s="9">
        <f>ППД5[[#This Row],[Фикс 26.02.24]]+ППД5[[#This Row],[Наценка 06.03.24
СТ, 1К - 3%
2К, 3К - 2%]]</f>
        <v>97567.621826329952</v>
      </c>
      <c r="BM108" s="9"/>
      <c r="BN108" s="9">
        <f>ППД5[[#This Row],[Фикс 06.03.24]]+ППД5[[#This Row],[Наценка Г2+500]]</f>
        <v>97567.621826329952</v>
      </c>
      <c r="BO108" s="9">
        <f>ППД5[[#This Row],[Фикс 13.03.25]]*2%</f>
        <v>1951.3524365265991</v>
      </c>
      <c r="BP108" s="9">
        <f>ППД5[[#This Row],[Фикс 13.03.25]]+ППД5[[#This Row],[Наценка 20.03.24
2К, 3К - 2%]]</f>
        <v>99518.974262856558</v>
      </c>
      <c r="BQ108" s="9"/>
      <c r="BR108" s="9">
        <f>ППД5[[#This Row],[Фикс 20.03.24]]+ППД5[[#This Row],[Наценка 08.04.24 
2К: В3 - 150
3К: Г7 +1000]]</f>
        <v>99518.974262856558</v>
      </c>
      <c r="BS108" s="9"/>
      <c r="BT108" s="9">
        <f>ППД5[[#This Row],[Фикс 08.04.24]]+ППД5[[#This Row],[Наценка 16.05.24 1%
А4,А6,Б3,Б6,Б7,В2,В3,В5,В6,Г1,Г3-Г5]]</f>
        <v>99518.974262856558</v>
      </c>
      <c r="BU108" s="9"/>
      <c r="BV108" s="9">
        <f>ППД5[[#This Row],[Фикс 16.05.24]]+ППД5[[#This Row],[Наценка 24.05.24
1% - Б4, Б5,Г2,Г6
2% - А1,А3,А5,Б2,Г7]]</f>
        <v>99518.974262856558</v>
      </c>
      <c r="BW108" s="9"/>
      <c r="BX108" s="9">
        <f>ППД5[[#This Row],[Наценка 06.06.24
0К: В2,Г3 +0,5%
1К: А7, Б5/4, Г6 +0,5%
3К: В6 +0,5%
1К: А3 +1%]]+ППД5[[#This Row],[Фикс 24.05.24]]</f>
        <v>99518.974262856558</v>
      </c>
      <c r="BY108" s="9"/>
      <c r="BZ108" s="9">
        <f>ППД5[[#This Row],[Фикс 06.06.24]]+ППД5[[#This Row],[13.06.2024
3К - 2%]]</f>
        <v>99518.974262856558</v>
      </c>
      <c r="CA108" s="93">
        <f>0.5%*ППД5[[#This Row],[Фикс 13.06.24]]</f>
        <v>497.59487131428278</v>
      </c>
      <c r="CB108" s="9">
        <f>ППД5[[#This Row],[02.07.2024: Г3 А1 А3 Б5 Б7 Г2 Г6 Б3 Б4 В3 Г7 2,5% ост 0,5-1,5%]]+ППД5[[#This Row],[Фикс 13.06.24]]</f>
        <v>100016.56913417084</v>
      </c>
      <c r="CC108" s="9"/>
      <c r="CD108" s="9">
        <f>ППД5[[#This Row],[Фикс 02.07.24]]+ППД5[[#This Row],[04.09.2024 +500
0К - Б2; 1К - А3;
2К - А6, Б4, В3, Г5]]</f>
        <v>100016.56913417084</v>
      </c>
      <c r="CE108" s="9"/>
      <c r="CF108" s="9">
        <f>ППД5[[#This Row],[Наценка 16.09.2024
1К: А1,В7,Г6/7,Г8 - 2%
2К: А4,А5,А6,Б1,Б6,Б3/4,В3,В4,Г4,Г5 - 4%
3К: 4%]]+ППД5[[#This Row],[Фикс 04.09.24]]</f>
        <v>100016.56913417084</v>
      </c>
      <c r="CG108" s="9"/>
      <c r="CH108" s="9">
        <f>ППД5[[#This Row],[Фикс 16.09.2024]]+ППД5[[#This Row],[Наценка 01.11.24
СТ: 4%
1К: 34-40м 5%; 40м+ 8%; МГН 1%
2К: 55-70м 6%; 70-73м 7%; 73-76м 8% 
3К: 5%]]</f>
        <v>100016.56913417084</v>
      </c>
      <c r="CI108" s="9"/>
      <c r="CJ108" s="9">
        <f>ППД5[[#This Row],[Наценка 06.11 13%]]+ППД5[[#This Row],[Фикс 01.11.24]]</f>
        <v>100016.56913417084</v>
      </c>
      <c r="CK108" s="9"/>
      <c r="CL108" s="9">
        <f>ППД5[[#This Row],[Фикс 06.11.24]]+ППД5[[#This Row],[Наценка 18.12.24 распределение КВ]]</f>
        <v>100016.56913417084</v>
      </c>
      <c r="CM108" s="9"/>
      <c r="CN108" s="9">
        <f>ППД5[[#This Row],[Фикс 18.12.24]]+ППД5[[#This Row],[Наценка 10.02.25 +1%
1К: А3
2К: Б3, В3]]</f>
        <v>100016.56913417084</v>
      </c>
      <c r="CO108" s="93">
        <f>ROUND(ППД5[[#This Row],[Фикс 10.02.25]],2)</f>
        <v>100016.57</v>
      </c>
      <c r="CP10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6851200</v>
      </c>
      <c r="CQ108" s="93">
        <f>ROUNDUP(ППД5[[#This Row],[Стоимость до скидки]]+ППД5[[#This Row],[Сумма доплаты]],-2)</f>
        <v>6786200</v>
      </c>
      <c r="CR108" s="68">
        <v>200000</v>
      </c>
      <c r="CS108" s="90"/>
      <c r="CT108" s="68">
        <f>ППД5[[#This Row],[Стоимость до скидки]]*ППД5[[#This Row],[Скидка %]]+ППД5[[#This Row],[Скидка фиксированная]]</f>
        <v>200000</v>
      </c>
      <c r="CU108" s="3">
        <f>ППД5[[#This Row],[Стоимость ОН без отделки со скидкой]]/ППД5[[#This Row],[Расчетная проектная площадь]]</f>
        <v>97097.810218978106</v>
      </c>
      <c r="CV108" s="3">
        <f>ROUND(ППД5[[#This Row],[Стоимость до скидки]]-ППД5[[#This Row],[Итоговая сумма скидки]],2)</f>
        <v>6651200</v>
      </c>
      <c r="CW10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108" s="197">
        <v>20000</v>
      </c>
      <c r="CY108" s="332">
        <f>ППД5[[#This Row],[Расхождение]]/ППД5[[#This Row],[Расчетная проектная площадь]]</f>
        <v>-9.4890510948905937E-3</v>
      </c>
      <c r="CZ10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-0.64000000000000412</v>
      </c>
      <c r="DA108" s="3">
        <f>ППД5[[#This Row],[Цена м2 без отделки со скидкой]]+ППД5[[#This Row],[Стоимость отделки]]</f>
        <v>117097.81021897811</v>
      </c>
      <c r="DB108" s="3">
        <f>ППД5[[#This Row],[Стоимость квартиры с отделкой]]-ППД5[[#This Row],[Стоимость ОН без отделки со скидкой]]</f>
        <v>1370000</v>
      </c>
      <c r="DC108" s="3">
        <f>ППД5[[#This Row],[Цена м2 с отделкой]]*ППД5[[#This Row],[Расчетная проектная площадь]]</f>
        <v>8021200</v>
      </c>
      <c r="DD108" s="3"/>
      <c r="DE108" s="111" t="s">
        <v>806</v>
      </c>
      <c r="DF108" s="199" t="s">
        <v>172</v>
      </c>
      <c r="DG108" s="245" t="s">
        <v>172</v>
      </c>
      <c r="DH108" s="100" t="b">
        <f>EXACT(ППД5[[#This Row],[Статусы CRM]],ППД5[[#This Row],[Статус]])</f>
        <v>1</v>
      </c>
      <c r="DI108" s="213" t="s">
        <v>280</v>
      </c>
      <c r="DJ108" s="204"/>
      <c r="DK108" s="111" t="s">
        <v>763</v>
      </c>
      <c r="DL108" s="216" t="s">
        <v>14</v>
      </c>
      <c r="DM108" s="201" t="b">
        <f>ППД5[[#This Row],[Отделка CRM]]=ППД5[[#This Row],[Отделка]]</f>
        <v>1</v>
      </c>
      <c r="DN108" s="203">
        <v>8021200</v>
      </c>
      <c r="DO10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08" s="207" t="b">
        <f>IF(AND(ППД5[[#This Row],[Статус]]="свободно",ППД5[[#This Row],[Итоговая сумма скидки]]&lt;&gt;0),FALSE,TRUE)</f>
        <v>1</v>
      </c>
      <c r="DQ108" s="240">
        <f>_xlfn.XLOOKUP(ППД5[[#This Row],[№]],Юрист[№ кв],Юрист[Дата подачи на регистрацию]," ",0,-1)</f>
        <v>45498</v>
      </c>
      <c r="DR108" s="115" t="str">
        <f>_xlfn.XLOOKUP(ППД5[[#This Row],[№]],Юрист[№ кв],Юрист[МОП],"",0,-1)</f>
        <v>Дик</v>
      </c>
      <c r="DS108" s="333" t="s">
        <v>2508</v>
      </c>
      <c r="DT108" s="333" t="s">
        <v>2509</v>
      </c>
      <c r="DU108" s="333">
        <v>66.400000000000006</v>
      </c>
      <c r="DV108" s="111"/>
    </row>
    <row r="109" spans="1:126" hidden="1" x14ac:dyDescent="0.25">
      <c r="A109" s="112">
        <v>107</v>
      </c>
      <c r="B109" s="111" t="s">
        <v>5</v>
      </c>
      <c r="C109" s="111">
        <v>16</v>
      </c>
      <c r="D109" s="111">
        <v>3</v>
      </c>
      <c r="E109" s="111">
        <v>1</v>
      </c>
      <c r="F109" s="105">
        <v>13.6</v>
      </c>
      <c r="G109" s="105"/>
      <c r="H109" s="105"/>
      <c r="I109" s="94">
        <f>SUM(ППД5[[#This Row],[Комната 1]:[Комната 3]])</f>
        <v>13.6</v>
      </c>
      <c r="J109" s="105">
        <v>14.97</v>
      </c>
      <c r="K109" s="105">
        <v>4.1100000000000003</v>
      </c>
      <c r="L109" s="105"/>
      <c r="M109" s="105"/>
      <c r="N109" s="105">
        <v>3.7</v>
      </c>
      <c r="O109" s="105">
        <v>2.69</v>
      </c>
      <c r="P109" s="105"/>
      <c r="Q109" s="105"/>
      <c r="R109" s="105">
        <f>SUM(ППД5[[#This Row],[Лоджия 1]:[Лоджия 3]])</f>
        <v>2.69</v>
      </c>
      <c r="S109" s="7">
        <f>ROUND(SUM(ППД5[[#This Row],[Площадь по проекту жилая]:[Лоджия 3]]),2)</f>
        <v>39.07</v>
      </c>
      <c r="T109" s="7">
        <f>ROUND(ППД5[[#This Row],[Площадь по проекту(общая)]]-ППД5[[#This Row],[Летние]],2)</f>
        <v>36.380000000000003</v>
      </c>
      <c r="U109" s="92">
        <f>ROUND(ППД5[[#This Row],[Площадь по проекту(общая)]]-(SUM(ППД5[[#This Row],[Лоджия 1]:[Лоджия 3]])/2),2)</f>
        <v>37.729999999999997</v>
      </c>
      <c r="V109" s="92">
        <f>IF(ППД5[[#This Row],[Статус]]="продажа",ППД5[[#This Row],[Расчетная проектная площадь]],ППД5[[#This Row],[Расчетная ТП площадь]])</f>
        <v>37.729999999999997</v>
      </c>
      <c r="W109" s="92">
        <v>13.7</v>
      </c>
      <c r="X109" s="92"/>
      <c r="Y109" s="92"/>
      <c r="Z109" s="92">
        <f>SUM(ППД5[[#This Row],[ТП Комната 1]:[ТП Комната 3]])</f>
        <v>13.7</v>
      </c>
      <c r="AA109" s="92">
        <v>14.8</v>
      </c>
      <c r="AB109" s="92">
        <v>4.0999999999999996</v>
      </c>
      <c r="AC109" s="92"/>
      <c r="AD109" s="92"/>
      <c r="AE109" s="92">
        <v>3.7</v>
      </c>
      <c r="AF109" s="92">
        <v>1.4</v>
      </c>
      <c r="AG109" s="92"/>
      <c r="AH109" s="92"/>
      <c r="AI109" s="91">
        <f>SUM(ППД5[[#This Row],[ТП Лоджия 1]:[ТП Лоджия 3]])</f>
        <v>1.4</v>
      </c>
      <c r="AJ109" s="95">
        <v>2.8</v>
      </c>
      <c r="AK109" s="92">
        <f>SUM(ППД5[[#This Row],[Площадь по ТП жилая]:[ТП Лоджия 3]])-ППД5[[#This Row],[ТП Летние]]+ППД5[[#This Row],[кроме того прочая
(без коэффициента)]]</f>
        <v>39.1</v>
      </c>
      <c r="AL109" s="95">
        <f>ППД5[[#This Row],[ТП Площадь без летних]]+(ППД5[[#This Row],[ТП Летние]])</f>
        <v>37.700000000000003</v>
      </c>
      <c r="AM109" s="92">
        <f>ППД5[[#This Row],[ТП общая S]]-ППД5[[#This Row],[кроме того прочая
(без коэффициента)]]</f>
        <v>36.300000000000004</v>
      </c>
      <c r="AN109" s="95">
        <f>SUM(ППД5[[#This Row],[ТП Кухня]:[ТП Коридор]])</f>
        <v>22.599999999999998</v>
      </c>
      <c r="AO109" s="91">
        <f>ППД5[[#This Row],[Расчетная ТП площадь]]-ППД5[[#This Row],[Расчетная проектная площадь]]</f>
        <v>-2.9999999999994031E-2</v>
      </c>
      <c r="AP109" s="335">
        <f>ППД5[[#This Row],[Расчетная ТП площадь]]/ППД5[[#This Row],[Расчетная проектная площадь]]-1</f>
        <v>-7.951232441026912E-4</v>
      </c>
      <c r="AQ109" s="92">
        <f>ППД5[[#This Row],[% расхождения]]*ППД5[[#This Row],[Стоимость до скидки]]</f>
        <v>-2628.0450039751377</v>
      </c>
      <c r="AR109" s="92">
        <f>VLOOKUP(ППД5[[#This Row],[№]],наценкад5[],COLUMN(наценкад5[[#This Row],[Цена м2 с учетом всех K]]),0)</f>
        <v>87601.5</v>
      </c>
      <c r="AS109" s="7"/>
      <c r="AT109" s="7">
        <f>ППД5[[#This Row],[м2 после К]]+ППД5[[#This Row],[Повышение 16.08.23 - 5%]]</f>
        <v>87601.5</v>
      </c>
      <c r="AU109" s="9"/>
      <c r="AV109" s="9">
        <f>ППД5[[#This Row],[Фикс 16.08.23]]+ППД5[[#This Row],[Повышение 29.08.23 - 3%]]</f>
        <v>87601.5</v>
      </c>
      <c r="AW109" s="9"/>
      <c r="AX109" s="9">
        <f>ППД5[[#This Row],[Фикс 29.08.23]]+ППД5[[#This Row],[Повышение 06.09.23 СТ и 1К]]</f>
        <v>87601.5</v>
      </c>
      <c r="AY109" s="9"/>
      <c r="AZ109" s="9">
        <f>ППД5[[#This Row],[Повышение 23.10.23  В4 ]]+ППД5[[#This Row],[Фикс 06.09.23]]</f>
        <v>87601.5</v>
      </c>
      <c r="BA109" s="9"/>
      <c r="BB109" s="9">
        <f>ППД5[[#This Row],[Повышение 8.11.23 1К 5%]]+ППД5[[#This Row],[Фикс 23.10.23]]</f>
        <v>87601.5</v>
      </c>
      <c r="BC109" s="9"/>
      <c r="BD109" s="9">
        <f>ППД5[[#This Row],[Корректировка 24.11.23 - 1К В5, 2К А2, №233]]+ППД5[[#This Row],[Фикс 8.11.23]]</f>
        <v>87601.5</v>
      </c>
      <c r="BE109" s="9"/>
      <c r="BF109" s="9">
        <f>ППД5[[#This Row],[Наценка за отделку 29.12.23 1%]]+ППД5[[#This Row],[Фикс 8.11.24]]</f>
        <v>87601.5</v>
      </c>
      <c r="BG109" s="9"/>
      <c r="BH109" s="9">
        <f>ППД5[[#This Row],[Фикс 29.12.23]]+ППД5[[#This Row],[Наценка 10.01.24 5%]]</f>
        <v>87601.5</v>
      </c>
      <c r="BI109" s="9"/>
      <c r="BJ109" s="9">
        <f>ППД5[[#This Row],[Наценка 26.02.24 1 Этаж]]+ППД5[[#This Row],[Фикс 10.01.24]]</f>
        <v>87601.5</v>
      </c>
      <c r="BK109" s="93"/>
      <c r="BL109" s="9">
        <f>ППД5[[#This Row],[Фикс 26.02.24]]+ППД5[[#This Row],[Наценка 06.03.24
СТ, 1К - 3%
2К, 3К - 2%]]</f>
        <v>87601.5</v>
      </c>
      <c r="BM109" s="9"/>
      <c r="BN109" s="9">
        <f>ППД5[[#This Row],[Фикс 06.03.24]]+ППД5[[#This Row],[Наценка Г2+500]]</f>
        <v>87601.5</v>
      </c>
      <c r="BO109" s="9"/>
      <c r="BP109" s="9">
        <f>ППД5[[#This Row],[Фикс 13.03.25]]+ППД5[[#This Row],[Наценка 20.03.24
2К, 3К - 2%]]</f>
        <v>87601.5</v>
      </c>
      <c r="BQ109" s="9"/>
      <c r="BR109" s="9">
        <f>ППД5[[#This Row],[Фикс 20.03.24]]+ППД5[[#This Row],[Наценка 08.04.24 
2К: В3 - 150
3К: Г7 +1000]]</f>
        <v>87601.5</v>
      </c>
      <c r="BS109" s="9"/>
      <c r="BT109" s="9">
        <f>ППД5[[#This Row],[Фикс 08.04.24]]+ППД5[[#This Row],[Наценка 16.05.24 1%
А4,А6,Б3,Б6,Б7,В2,В3,В5,В6,Г1,Г3-Г5]]</f>
        <v>87601.5</v>
      </c>
      <c r="BU109" s="9"/>
      <c r="BV109" s="9">
        <f>ППД5[[#This Row],[Фикс 16.05.24]]+ППД5[[#This Row],[Наценка 24.05.24
1% - Б4, Б5,Г2,Г6
2% - А1,А3,А5,Б2,Г7]]</f>
        <v>87601.5</v>
      </c>
      <c r="BW109" s="93"/>
      <c r="BX109" s="9">
        <f>ППД5[[#This Row],[Наценка 06.06.24
0К: В2,Г3 +0,5%
1К: А7, Б5/4, Г6 +0,5%
3К: В6 +0,5%
1К: А3 +1%]]+ППД5[[#This Row],[Фикс 24.05.24]]</f>
        <v>87601.5</v>
      </c>
      <c r="BY109" s="9"/>
      <c r="BZ109" s="9">
        <f>ППД5[[#This Row],[Фикс 06.06.24]]+ППД5[[#This Row],[13.06.2024
3К - 2%]]</f>
        <v>87601.5</v>
      </c>
      <c r="CA109" s="9"/>
      <c r="CB109" s="9">
        <f>ППД5[[#This Row],[02.07.2024: Г3 А1 А3 Б5 Б7 Г2 Г6 Б3 Б4 В3 Г7 2,5% ост 0,5-1,5%]]+ППД5[[#This Row],[Фикс 13.06.24]]</f>
        <v>87601.5</v>
      </c>
      <c r="CC109" s="9"/>
      <c r="CD109" s="9">
        <f>ППД5[[#This Row],[Фикс 02.07.24]]+ППД5[[#This Row],[04.09.2024 +500
0К - Б2; 1К - А3;
2К - А6, Б4, В3, Г5]]</f>
        <v>87601.5</v>
      </c>
      <c r="CE109" s="9"/>
      <c r="CF109" s="9">
        <f>ППД5[[#This Row],[Наценка 16.09.2024
1К: А1,В7,Г6/7,Г8 - 2%
2К: А4,А5,А6,Б1,Б6,Б3/4,В3,В4,Г4,Г5 - 4%
3К: 4%]]+ППД5[[#This Row],[Фикс 04.09.24]]</f>
        <v>87601.5</v>
      </c>
      <c r="CG109" s="9"/>
      <c r="CH109" s="9">
        <f>ППД5[[#This Row],[Фикс 16.09.2024]]+ППД5[[#This Row],[Наценка 01.11.24
СТ: 4%
1К: 34-40м 5%; 40м+ 8%; МГН 1%
2К: 55-70м 6%; 70-73м 7%; 73-76м 8% 
3К: 5%]]</f>
        <v>87601.5</v>
      </c>
      <c r="CI109" s="9"/>
      <c r="CJ109" s="9">
        <f>ППД5[[#This Row],[Наценка 06.11 13%]]+ППД5[[#This Row],[Фикс 01.11.24]]</f>
        <v>87601.5</v>
      </c>
      <c r="CK109" s="9"/>
      <c r="CL109" s="9">
        <f>ППД5[[#This Row],[Фикс 06.11.24]]+ППД5[[#This Row],[Наценка 18.12.24 распределение КВ]]</f>
        <v>87601.5</v>
      </c>
      <c r="CM109" s="93"/>
      <c r="CN109" s="9">
        <f>ППД5[[#This Row],[Фикс 18.12.24]]+ППД5[[#This Row],[Наценка 10.02.25 +1%
1К: А3
2К: Б3, В3]]</f>
        <v>87601.5</v>
      </c>
      <c r="CO109" s="93">
        <f>ROUND(ППД5[[#This Row],[Фикс 10.02.25]],2)</f>
        <v>87601.5</v>
      </c>
      <c r="CP10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3305204.6</v>
      </c>
      <c r="CQ109" s="93">
        <f>ROUNDUP(ППД5[[#This Row],[Стоимость до скидки]]+ППД5[[#This Row],[Сумма доплаты]],-2)</f>
        <v>3302600</v>
      </c>
      <c r="CR109" s="68"/>
      <c r="CS109" s="90"/>
      <c r="CT109" s="68">
        <f>ППД5[[#This Row],[Стоимость до скидки]]*ППД5[[#This Row],[Скидка %]]+ППД5[[#This Row],[Скидка фиксированная]]</f>
        <v>0</v>
      </c>
      <c r="CU109" s="3">
        <f>ППД5[[#This Row],[Стоимость ОН без отделки со скидкой]]/ППД5[[#This Row],[Расчетная проектная площадь]]</f>
        <v>87601.500132520552</v>
      </c>
      <c r="CV109" s="3">
        <f>ROUND(ППД5[[#This Row],[Стоимость до скидки]]-ППД5[[#This Row],[Итоговая сумма скидки]],2)</f>
        <v>3305204.6</v>
      </c>
      <c r="CW10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109" s="197">
        <v>4000</v>
      </c>
      <c r="CY109" s="332">
        <f>ППД5[[#This Row],[Расхождение]]/ППД5[[#This Row],[Расчетная проектная площадь]]</f>
        <v>-7.9512324410267786E-4</v>
      </c>
      <c r="CZ10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-0.18000000000000149</v>
      </c>
      <c r="DA109" s="3">
        <f>ППД5[[#This Row],[Цена м2 без отделки со скидкой]]+ППД5[[#This Row],[Стоимость отделки]]</f>
        <v>91601.500132520552</v>
      </c>
      <c r="DB109" s="3">
        <f>ППД5[[#This Row],[Стоимость квартиры с отделкой]]-ППД5[[#This Row],[Стоимость ОН без отделки со скидкой]]</f>
        <v>150920</v>
      </c>
      <c r="DC109" s="3">
        <f>ППД5[[#This Row],[Цена м2 с отделкой]]*ППД5[[#This Row],[Расчетная проектная площадь]]</f>
        <v>3456124.6</v>
      </c>
      <c r="DD109" s="3"/>
      <c r="DF109" s="199" t="s">
        <v>172</v>
      </c>
      <c r="DG109" s="245" t="s">
        <v>172</v>
      </c>
      <c r="DH109" s="100" t="b">
        <f>EXACT(ППД5[[#This Row],[Статусы CRM]],ППД5[[#This Row],[Статус]])</f>
        <v>1</v>
      </c>
      <c r="DI109" s="213" t="s">
        <v>281</v>
      </c>
      <c r="DJ109" s="204"/>
      <c r="DK109" s="111" t="s">
        <v>76</v>
      </c>
      <c r="DL109" s="216" t="s">
        <v>13</v>
      </c>
      <c r="DM109" s="201" t="b">
        <f>ППД5[[#This Row],[Отделка CRM]]=ППД5[[#This Row],[Отделка]]</f>
        <v>1</v>
      </c>
      <c r="DN109" s="203">
        <v>3456124.6</v>
      </c>
      <c r="DO10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09" s="207" t="b">
        <f>IF(AND(ППД5[[#This Row],[Статус]]="свободно",ППД5[[#This Row],[Итоговая сумма скидки]]&lt;&gt;0),FALSE,TRUE)</f>
        <v>1</v>
      </c>
      <c r="DQ109" s="240">
        <f>_xlfn.XLOOKUP(ППД5[[#This Row],[№]],Юрист[№ кв],Юрист[Дата подачи на регистрацию]," ",0,-1)</f>
        <v>45189</v>
      </c>
      <c r="DR109" s="115" t="str">
        <f>_xlfn.XLOOKUP(ППД5[[#This Row],[№]],Юрист[№ кв],Юрист[МОП],"",0,-1)</f>
        <v>Калачева</v>
      </c>
      <c r="DS109" s="333" t="s">
        <v>2510</v>
      </c>
      <c r="DT109" s="333" t="s">
        <v>2511</v>
      </c>
      <c r="DU109" s="333">
        <v>36.299999999999997</v>
      </c>
      <c r="DV109" s="111"/>
    </row>
    <row r="110" spans="1:126" hidden="1" x14ac:dyDescent="0.25">
      <c r="A110" s="112">
        <v>108</v>
      </c>
      <c r="B110" s="111" t="s">
        <v>5</v>
      </c>
      <c r="C110" s="111">
        <v>16</v>
      </c>
      <c r="D110" s="111">
        <v>4</v>
      </c>
      <c r="E110" s="111">
        <v>2</v>
      </c>
      <c r="F110" s="105">
        <v>16.61</v>
      </c>
      <c r="G110" s="105">
        <v>11.38</v>
      </c>
      <c r="H110" s="105"/>
      <c r="I110" s="94">
        <f>SUM(ППД5[[#This Row],[Комната 1]:[Комната 3]])</f>
        <v>27.990000000000002</v>
      </c>
      <c r="J110" s="105">
        <v>14.58</v>
      </c>
      <c r="K110" s="105">
        <v>4.34</v>
      </c>
      <c r="L110" s="105">
        <v>2.08</v>
      </c>
      <c r="M110" s="105"/>
      <c r="N110" s="105">
        <v>8.82</v>
      </c>
      <c r="O110" s="105">
        <v>2.56</v>
      </c>
      <c r="P110" s="105"/>
      <c r="Q110" s="105"/>
      <c r="R110" s="105">
        <f>SUM(ППД5[[#This Row],[Лоджия 1]:[Лоджия 3]])</f>
        <v>2.56</v>
      </c>
      <c r="S110" s="7">
        <f>ROUND(SUM(ППД5[[#This Row],[Площадь по проекту жилая]:[Лоджия 3]]),2)</f>
        <v>60.37</v>
      </c>
      <c r="T110" s="7">
        <f>ROUND(ППД5[[#This Row],[Площадь по проекту(общая)]]-ППД5[[#This Row],[Летние]],2)</f>
        <v>57.81</v>
      </c>
      <c r="U110" s="92">
        <f>ROUND(ППД5[[#This Row],[Площадь по проекту(общая)]]-(SUM(ППД5[[#This Row],[Лоджия 1]:[Лоджия 3]])/2),2)</f>
        <v>59.09</v>
      </c>
      <c r="V110" s="92">
        <f>IF(ППД5[[#This Row],[Статус]]="продажа",ППД5[[#This Row],[Расчетная проектная площадь]],ППД5[[#This Row],[Расчетная ТП площадь]])</f>
        <v>59.09</v>
      </c>
      <c r="W110" s="92">
        <v>16.7</v>
      </c>
      <c r="X110" s="92">
        <v>11.2</v>
      </c>
      <c r="Y110" s="92"/>
      <c r="Z110" s="92">
        <f>SUM(ППД5[[#This Row],[ТП Комната 1]:[ТП Комната 3]])</f>
        <v>27.9</v>
      </c>
      <c r="AA110" s="92">
        <v>14.5</v>
      </c>
      <c r="AB110" s="92">
        <v>4.4000000000000004</v>
      </c>
      <c r="AC110" s="92">
        <v>2</v>
      </c>
      <c r="AD110" s="92"/>
      <c r="AE110" s="92">
        <v>8.8000000000000007</v>
      </c>
      <c r="AF110" s="92">
        <v>1.3</v>
      </c>
      <c r="AG110" s="92"/>
      <c r="AH110" s="92"/>
      <c r="AI110" s="91">
        <f>SUM(ППД5[[#This Row],[ТП Лоджия 1]:[ТП Лоджия 3]])</f>
        <v>1.3</v>
      </c>
      <c r="AJ110" s="95">
        <v>2.6</v>
      </c>
      <c r="AK110" s="92">
        <f>SUM(ППД5[[#This Row],[Площадь по ТП жилая]:[ТП Лоджия 3]])-ППД5[[#This Row],[ТП Летние]]+ППД5[[#This Row],[кроме того прочая
(без коэффициента)]]</f>
        <v>60.199999999999996</v>
      </c>
      <c r="AL110" s="95">
        <f>ППД5[[#This Row],[ТП Площадь без летних]]+(ППД5[[#This Row],[ТП Летние]])</f>
        <v>58.899999999999991</v>
      </c>
      <c r="AM110" s="92">
        <f>ППД5[[#This Row],[ТП общая S]]-ППД5[[#This Row],[кроме того прочая
(без коэффициента)]]</f>
        <v>57.599999999999994</v>
      </c>
      <c r="AN110" s="95">
        <f>SUM(ППД5[[#This Row],[ТП Кухня]:[ТП Коридор]])</f>
        <v>29.7</v>
      </c>
      <c r="AO110" s="91">
        <f>ППД5[[#This Row],[Расчетная ТП площадь]]-ППД5[[#This Row],[Расчетная проектная площадь]]</f>
        <v>-0.19000000000001194</v>
      </c>
      <c r="AP110" s="335">
        <f>ППД5[[#This Row],[Расчетная ТП площадь]]/ППД5[[#This Row],[Расчетная проектная площадь]]-1</f>
        <v>-3.2154340836014761E-3</v>
      </c>
      <c r="AQ110" s="92">
        <f>ППД5[[#This Row],[% расхождения]]*ППД5[[#This Row],[Стоимость до скидки]]</f>
        <v>-23258.520900322917</v>
      </c>
      <c r="AR110" s="92">
        <f>VLOOKUP(ППД5[[#This Row],[№]],наценкад5[],COLUMN(наценкад5[[#This Row],[Цена м2 с учетом всех K]]),0)</f>
        <v>80307.864000000001</v>
      </c>
      <c r="AS110" s="7">
        <f>ППД5[[#This Row],[м2 после К]]*5%</f>
        <v>4015.3932000000004</v>
      </c>
      <c r="AT110" s="7">
        <f>ППД5[[#This Row],[м2 после К]]+ППД5[[#This Row],[Повышение 16.08.23 - 5%]]</f>
        <v>84323.257200000007</v>
      </c>
      <c r="AU110" s="9">
        <f>ППД5[[#This Row],[Фикс 16.08.23]]*3%</f>
        <v>2529.6977160000001</v>
      </c>
      <c r="AV110" s="9">
        <f>ППД5[[#This Row],[Фикс 16.08.23]]+ППД5[[#This Row],[Повышение 29.08.23 - 3%]]</f>
        <v>86852.954916000002</v>
      </c>
      <c r="AW110" s="9"/>
      <c r="AX110" s="9">
        <f>ППД5[[#This Row],[Фикс 29.08.23]]+ППД5[[#This Row],[Повышение 06.09.23 СТ и 1К]]</f>
        <v>86852.954916000002</v>
      </c>
      <c r="AY110" s="9"/>
      <c r="AZ110" s="9">
        <f>ППД5[[#This Row],[Повышение 23.10.23  В4 ]]+ППД5[[#This Row],[Фикс 06.09.23]]</f>
        <v>86852.954916000002</v>
      </c>
      <c r="BA110" s="9"/>
      <c r="BB110" s="9">
        <f>ППД5[[#This Row],[Повышение 8.11.23 1К 5%]]+ППД5[[#This Row],[Фикс 23.10.23]]</f>
        <v>86852.954916000002</v>
      </c>
      <c r="BC110" s="9"/>
      <c r="BD110" s="9">
        <f>ППД5[[#This Row],[Корректировка 24.11.23 - 1К В5, 2К А2, №233]]+ППД5[[#This Row],[Фикс 8.11.23]]</f>
        <v>86852.954916000002</v>
      </c>
      <c r="BE110" s="93">
        <f>ППД5[[#This Row],[Фикс 8.11.24]]*1%</f>
        <v>868.52954915999999</v>
      </c>
      <c r="BF110" s="9">
        <f>ППД5[[#This Row],[Наценка за отделку 29.12.23 1%]]+ППД5[[#This Row],[Фикс 8.11.24]]</f>
        <v>87721.48446516</v>
      </c>
      <c r="BG110" s="9">
        <f>ППД5[[#This Row],[Фикс 29.12.23]]*5%</f>
        <v>4386.0742232580005</v>
      </c>
      <c r="BH110" s="9">
        <f>ППД5[[#This Row],[Фикс 29.12.23]]+ППД5[[#This Row],[Наценка 10.01.24 5%]]</f>
        <v>92107.558688417994</v>
      </c>
      <c r="BI110" s="9"/>
      <c r="BJ110" s="9">
        <f>ППД5[[#This Row],[Наценка 26.02.24 1 Этаж]]+ППД5[[#This Row],[Фикс 10.01.24]]</f>
        <v>92107.558688417994</v>
      </c>
      <c r="BK110" s="93">
        <f>ППД5[[#This Row],[Фикс 26.02.24]]*2%</f>
        <v>1842.15117376836</v>
      </c>
      <c r="BL110" s="9">
        <f>ППД5[[#This Row],[Фикс 26.02.24]]+ППД5[[#This Row],[Наценка 06.03.24
СТ, 1К - 3%
2К, 3К - 2%]]</f>
        <v>93949.709862186355</v>
      </c>
      <c r="BM110" s="9"/>
      <c r="BN110" s="9">
        <f>ППД5[[#This Row],[Фикс 06.03.24]]+ППД5[[#This Row],[Наценка Г2+500]]</f>
        <v>93949.709862186355</v>
      </c>
      <c r="BO110" s="9">
        <f>ППД5[[#This Row],[Фикс 13.03.25]]*2%</f>
        <v>1878.9941972437271</v>
      </c>
      <c r="BP110" s="9">
        <f>ППД5[[#This Row],[Фикс 13.03.25]]+ППД5[[#This Row],[Наценка 20.03.24
2К, 3К - 2%]]</f>
        <v>95828.704059430078</v>
      </c>
      <c r="BQ110" s="9"/>
      <c r="BR110" s="9">
        <f>ППД5[[#This Row],[Фикс 20.03.24]]+ППД5[[#This Row],[Наценка 08.04.24 
2К: В3 - 150
3К: Г7 +1000]]</f>
        <v>95828.704059430078</v>
      </c>
      <c r="BS110" s="93">
        <f>ППД5[[#This Row],[Фикс 08.04.24]]*1%</f>
        <v>958.28704059430083</v>
      </c>
      <c r="BT110" s="9">
        <f>ППД5[[#This Row],[Фикс 08.04.24]]+ППД5[[#This Row],[Наценка 16.05.24 1%
А4,А6,Б3,Б6,Б7,В2,В3,В5,В6,Г1,Г3-Г5]]</f>
        <v>96786.991100024374</v>
      </c>
      <c r="BU110" s="9"/>
      <c r="BV110" s="9">
        <f>ППД5[[#This Row],[Фикс 16.05.24]]+ППД5[[#This Row],[Наценка 24.05.24
1% - Б4, Б5,Г2,Г6
2% - А1,А3,А5,Б2,Г7]]</f>
        <v>96786.991100024374</v>
      </c>
      <c r="BW110" s="9"/>
      <c r="BX110" s="9">
        <f>ППД5[[#This Row],[Наценка 06.06.24
0К: В2,Г3 +0,5%
1К: А7, Б5/4, Г6 +0,5%
3К: В6 +0,5%
1К: А3 +1%]]+ППД5[[#This Row],[Фикс 24.05.24]]</f>
        <v>96786.991100024374</v>
      </c>
      <c r="BY110" s="9"/>
      <c r="BZ110" s="9">
        <f>ППД5[[#This Row],[Фикс 06.06.24]]+ППД5[[#This Row],[13.06.2024
3К - 2%]]</f>
        <v>96786.991100024374</v>
      </c>
      <c r="CA110" s="9">
        <f>1.5%*ППД5[[#This Row],[Фикс 13.06.24]]</f>
        <v>1451.8048665003655</v>
      </c>
      <c r="CB110" s="9">
        <f>ППД5[[#This Row],[02.07.2024: Г3 А1 А3 Б5 Б7 Г2 Г6 Б3 Б4 В3 Г7 2,5% ост 0,5-1,5%]]+ППД5[[#This Row],[Фикс 13.06.24]]</f>
        <v>98238.795966524733</v>
      </c>
      <c r="CC110" s="9"/>
      <c r="CD110" s="9">
        <f>ППД5[[#This Row],[Фикс 02.07.24]]+ППД5[[#This Row],[04.09.2024 +500
0К - Б2; 1К - А3;
2К - А6, Б4, В3, Г5]]</f>
        <v>98238.795966524733</v>
      </c>
      <c r="CE110" s="93">
        <f>ППД5[[#This Row],[Фикс 04.09.24]]*4%</f>
        <v>3929.5518386609892</v>
      </c>
      <c r="CF110" s="9">
        <f>ППД5[[#This Row],[Наценка 16.09.2024
1К: А1,В7,Г6/7,Г8 - 2%
2К: А4,А5,А6,Б1,Б6,Б3/4,В3,В4,Г4,Г5 - 4%
3К: 4%]]+ППД5[[#This Row],[Фикс 04.09.24]]</f>
        <v>102168.34780518572</v>
      </c>
      <c r="CG110" s="93">
        <f>ППД5[[#This Row],[Фикс 16.09.2024]]*6%</f>
        <v>6130.1008683111431</v>
      </c>
      <c r="CH110" s="9">
        <f>ППД5[[#This Row],[Фикс 16.09.2024]]+ППД5[[#This Row],[Наценка 01.11.24
СТ: 4%
1К: 34-40м 5%; 40м+ 8%; МГН 1%
2К: 55-70м 6%; 70-73м 7%; 73-76м 8% 
3К: 5%]]</f>
        <v>108298.44867349687</v>
      </c>
      <c r="CI110" s="93">
        <f>ППД5[[#This Row],[Фикс 01.11.24]]*13%</f>
        <v>14078.798327554594</v>
      </c>
      <c r="CJ110" s="9">
        <f>ППД5[[#This Row],[Наценка 06.11 13%]]+ППД5[[#This Row],[Фикс 01.11.24]]</f>
        <v>122377.24700105147</v>
      </c>
      <c r="CK110" s="93">
        <v>35</v>
      </c>
      <c r="CL110" s="9">
        <f>ППД5[[#This Row],[Фикс 06.11.24]]+ППД5[[#This Row],[Наценка 18.12.24 распределение КВ]]</f>
        <v>122412.24700105147</v>
      </c>
      <c r="CM110" s="9"/>
      <c r="CN110" s="9">
        <f>ППД5[[#This Row],[Фикс 18.12.24]]+ППД5[[#This Row],[Наценка 10.02.25 +1%
1К: А3
2К: Б3, В3]]</f>
        <v>122412.24700105147</v>
      </c>
      <c r="CO110" s="93">
        <f>ROUND(ППД5[[#This Row],[Фикс 10.02.25]],2)</f>
        <v>122412.25</v>
      </c>
      <c r="CP11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7233400</v>
      </c>
      <c r="CQ110" s="93">
        <f>ROUNDUP(ППД5[[#This Row],[Стоимость до скидки]]+ППД5[[#This Row],[Сумма доплаты]],-2)</f>
        <v>7210200</v>
      </c>
      <c r="CR110" s="68">
        <v>350000</v>
      </c>
      <c r="CS110" s="90">
        <v>0.03</v>
      </c>
      <c r="CT110" s="68">
        <f>ППД5[[#This Row],[Стоимость до скидки]]*ППД5[[#This Row],[Скидка %]]+ППД5[[#This Row],[Скидка фиксированная]]</f>
        <v>567002</v>
      </c>
      <c r="CU110" s="3">
        <f>ППД5[[#This Row],[Стоимость ОН без отделки со скидкой]]/ППД5[[#This Row],[Расчетная проектная площадь]]</f>
        <v>112817.70181079708</v>
      </c>
      <c r="CV110" s="3">
        <f>ROUND(ППД5[[#This Row],[Стоимость до скидки]]-ППД5[[#This Row],[Итоговая сумма скидки]],2)</f>
        <v>6666398</v>
      </c>
      <c r="CW11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110" s="197">
        <v>25000</v>
      </c>
      <c r="CY110" s="332">
        <f>ППД5[[#This Row],[Расхождение]]/ППД5[[#This Row],[Расчетная проектная площадь]]</f>
        <v>-3.2154340836014878E-3</v>
      </c>
      <c r="CZ11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-0.12000000000000277</v>
      </c>
      <c r="DA110" s="3">
        <f>ППД5[[#This Row],[Цена м2 без отделки со скидкой]]+ППД5[[#This Row],[Стоимость отделки]]</f>
        <v>137817.70181079709</v>
      </c>
      <c r="DB110" s="3">
        <f>ППД5[[#This Row],[Стоимость квартиры с отделкой]]-ППД5[[#This Row],[Стоимость ОН без отделки со скидкой]]</f>
        <v>1477250.0000000009</v>
      </c>
      <c r="DC110" s="3">
        <f>ППД5[[#This Row],[Цена м2 с отделкой]]*ППД5[[#This Row],[Расчетная проектная площадь]]</f>
        <v>8143648.0000000009</v>
      </c>
      <c r="DD110" s="3"/>
      <c r="DE110" s="241" t="s">
        <v>2123</v>
      </c>
      <c r="DF110" s="199" t="s">
        <v>172</v>
      </c>
      <c r="DG110" s="221" t="s">
        <v>172</v>
      </c>
      <c r="DH110" s="100" t="b">
        <f>EXACT(ППД5[[#This Row],[Статусы CRM]],ППД5[[#This Row],[Статус]])</f>
        <v>1</v>
      </c>
      <c r="DI110" s="213" t="s">
        <v>282</v>
      </c>
      <c r="DJ110" s="204"/>
      <c r="DK110" s="111" t="s">
        <v>763</v>
      </c>
      <c r="DL110" s="216" t="s">
        <v>14</v>
      </c>
      <c r="DM110" s="201" t="b">
        <f>ППД5[[#This Row],[Отделка CRM]]=ППД5[[#This Row],[Отделка]]</f>
        <v>1</v>
      </c>
      <c r="DN110" s="203">
        <v>8143648</v>
      </c>
      <c r="DO11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-9.3132257461547852E-10</v>
      </c>
      <c r="DP110" s="207" t="b">
        <f>IF(AND(ППД5[[#This Row],[Статус]]="свободно",ППД5[[#This Row],[Итоговая сумма скидки]]&lt;&gt;0),FALSE,TRUE)</f>
        <v>1</v>
      </c>
      <c r="DQ110" s="240">
        <f>_xlfn.XLOOKUP(ППД5[[#This Row],[№]],Юрист[№ кв],Юрист[Дата подачи на регистрацию]," ",0,-1)</f>
        <v>45759</v>
      </c>
      <c r="DR110" s="115" t="str">
        <f>_xlfn.XLOOKUP(ППД5[[#This Row],[№]],Юрист[№ кв],Юрист[МОП],"",0,-1)</f>
        <v>Дик</v>
      </c>
      <c r="DS110" s="333" t="s">
        <v>2512</v>
      </c>
      <c r="DT110" s="333" t="s">
        <v>2513</v>
      </c>
      <c r="DU110" s="333">
        <v>57.6</v>
      </c>
      <c r="DV110" s="111"/>
    </row>
    <row r="111" spans="1:126" hidden="1" x14ac:dyDescent="0.25">
      <c r="A111" s="112">
        <v>109</v>
      </c>
      <c r="B111" s="111" t="s">
        <v>5</v>
      </c>
      <c r="C111" s="111">
        <v>16</v>
      </c>
      <c r="D111" s="111">
        <v>5</v>
      </c>
      <c r="E111" s="111">
        <v>2</v>
      </c>
      <c r="F111" s="105">
        <v>16.46</v>
      </c>
      <c r="G111" s="105">
        <v>12.47</v>
      </c>
      <c r="H111" s="105"/>
      <c r="I111" s="94">
        <f>SUM(ППД5[[#This Row],[Комната 1]:[Комната 3]])</f>
        <v>28.93</v>
      </c>
      <c r="J111" s="105">
        <v>18</v>
      </c>
      <c r="K111" s="105">
        <v>4.3499999999999996</v>
      </c>
      <c r="L111" s="105">
        <v>1.55</v>
      </c>
      <c r="M111" s="105"/>
      <c r="N111" s="105">
        <v>8</v>
      </c>
      <c r="O111" s="105">
        <v>2.67</v>
      </c>
      <c r="P111" s="105"/>
      <c r="Q111" s="105"/>
      <c r="R111" s="105">
        <f>SUM(ППД5[[#This Row],[Лоджия 1]:[Лоджия 3]])</f>
        <v>2.67</v>
      </c>
      <c r="S111" s="8">
        <f>ROUND(SUM(ППД5[[#This Row],[Площадь по проекту жилая]:[Лоджия 3]]),2)</f>
        <v>63.5</v>
      </c>
      <c r="T111" s="8">
        <f>ROUND(ППД5[[#This Row],[Площадь по проекту(общая)]]-ППД5[[#This Row],[Летние]],2)</f>
        <v>60.83</v>
      </c>
      <c r="U111" s="91">
        <f>ROUND(ППД5[[#This Row],[Площадь по проекту(общая)]]-(SUM(ППД5[[#This Row],[Лоджия 1]:[Лоджия 3]])/2),2)</f>
        <v>62.17</v>
      </c>
      <c r="V111" s="91">
        <f>IF(ППД5[[#This Row],[Статус]]="продажа",ППД5[[#This Row],[Расчетная проектная площадь]],ППД5[[#This Row],[Расчетная ТП площадь]])</f>
        <v>62.17</v>
      </c>
      <c r="W111" s="91">
        <v>16.399999999999999</v>
      </c>
      <c r="X111" s="91">
        <v>12.4</v>
      </c>
      <c r="Y111" s="91"/>
      <c r="Z111" s="91">
        <f>SUM(ППД5[[#This Row],[ТП Комната 1]:[ТП Комната 3]])</f>
        <v>28.799999999999997</v>
      </c>
      <c r="AA111" s="91">
        <v>17.899999999999999</v>
      </c>
      <c r="AB111" s="91">
        <v>4.3</v>
      </c>
      <c r="AC111" s="91">
        <v>1.6</v>
      </c>
      <c r="AD111" s="91"/>
      <c r="AE111" s="91">
        <v>7.8</v>
      </c>
      <c r="AF111" s="91">
        <v>1.35</v>
      </c>
      <c r="AG111" s="91"/>
      <c r="AH111" s="91"/>
      <c r="AI111" s="91">
        <f>SUM(ППД5[[#This Row],[ТП Лоджия 1]:[ТП Лоджия 3]])</f>
        <v>1.35</v>
      </c>
      <c r="AJ111" s="95">
        <v>2.7</v>
      </c>
      <c r="AK111" s="91">
        <f>SUM(ППД5[[#This Row],[Площадь по ТП жилая]:[ТП Лоджия 3]])-ППД5[[#This Row],[ТП Летние]]+ППД5[[#This Row],[кроме того прочая
(без коэффициента)]]</f>
        <v>63.099999999999994</v>
      </c>
      <c r="AL111" s="95">
        <f>ППД5[[#This Row],[ТП Площадь без летних]]+(ППД5[[#This Row],[ТП Летние]])</f>
        <v>61.749999999999993</v>
      </c>
      <c r="AM111" s="91">
        <f>ППД5[[#This Row],[ТП общая S]]-ППД5[[#This Row],[кроме того прочая
(без коэффициента)]]</f>
        <v>60.399999999999991</v>
      </c>
      <c r="AN111" s="95">
        <f>SUM(ППД5[[#This Row],[ТП Кухня]:[ТП Коридор]])</f>
        <v>31.6</v>
      </c>
      <c r="AO111" s="91">
        <f>ППД5[[#This Row],[Расчетная ТП площадь]]-ППД5[[#This Row],[Расчетная проектная площадь]]</f>
        <v>-0.42000000000000881</v>
      </c>
      <c r="AP111" s="335">
        <f>ППД5[[#This Row],[Расчетная ТП площадь]]/ППД5[[#This Row],[Расчетная проектная площадь]]-1</f>
        <v>-6.7556699372689488E-3</v>
      </c>
      <c r="AQ111" s="91">
        <f>ППД5[[#This Row],[% расхождения]]*ППД5[[#This Row],[Стоимость до скидки]]</f>
        <v>-41053.530641789672</v>
      </c>
      <c r="AR111" s="91">
        <f>VLOOKUP(ППД5[[#This Row],[№]],наценкад5[],COLUMN(наценкад5[[#This Row],[Цена м2 с учетом всех K]]),0)</f>
        <v>80307.864000000001</v>
      </c>
      <c r="AS111" s="8">
        <f>ППД5[[#This Row],[м2 после К]]*5%</f>
        <v>4015.3932000000004</v>
      </c>
      <c r="AT111" s="8">
        <f>ППД5[[#This Row],[м2 после К]]+ППД5[[#This Row],[Повышение 16.08.23 - 5%]]</f>
        <v>84323.257200000007</v>
      </c>
      <c r="AU111" s="93">
        <f>ППД5[[#This Row],[Фикс 16.08.23]]*3%</f>
        <v>2529.6977160000001</v>
      </c>
      <c r="AV111" s="93">
        <f>ППД5[[#This Row],[Фикс 16.08.23]]+ППД5[[#This Row],[Повышение 29.08.23 - 3%]]</f>
        <v>86852.954916000002</v>
      </c>
      <c r="AW111" s="93"/>
      <c r="AX111" s="93">
        <f>ППД5[[#This Row],[Фикс 29.08.23]]+ППД5[[#This Row],[Повышение 06.09.23 СТ и 1К]]</f>
        <v>86852.954916000002</v>
      </c>
      <c r="AY111" s="93"/>
      <c r="AZ111" s="93">
        <f>ППД5[[#This Row],[Повышение 23.10.23  В4 ]]+ППД5[[#This Row],[Фикс 06.09.23]]</f>
        <v>86852.954916000002</v>
      </c>
      <c r="BA111" s="93"/>
      <c r="BB111" s="93">
        <f>ППД5[[#This Row],[Повышение 8.11.23 1К 5%]]+ППД5[[#This Row],[Фикс 23.10.23]]</f>
        <v>86852.954916000002</v>
      </c>
      <c r="BC111" s="93"/>
      <c r="BD111" s="93">
        <f>ППД5[[#This Row],[Корректировка 24.11.23 - 1К В5, 2К А2, №233]]+ППД5[[#This Row],[Фикс 8.11.23]]</f>
        <v>86852.954916000002</v>
      </c>
      <c r="BE111" s="93">
        <f>ППД5[[#This Row],[Фикс 8.11.24]]*1%</f>
        <v>868.52954915999999</v>
      </c>
      <c r="BF111" s="93">
        <f>ППД5[[#This Row],[Наценка за отделку 29.12.23 1%]]+ППД5[[#This Row],[Фикс 8.11.24]]</f>
        <v>87721.48446516</v>
      </c>
      <c r="BG111" s="93">
        <f>ППД5[[#This Row],[Фикс 29.12.23]]*5%</f>
        <v>4386.0742232580005</v>
      </c>
      <c r="BH111" s="93">
        <f>ППД5[[#This Row],[Фикс 29.12.23]]+ППД5[[#This Row],[Наценка 10.01.24 5%]]</f>
        <v>92107.558688417994</v>
      </c>
      <c r="BI111" s="93"/>
      <c r="BJ111" s="93">
        <f>ППД5[[#This Row],[Наценка 26.02.24 1 Этаж]]+ППД5[[#This Row],[Фикс 10.01.24]]</f>
        <v>92107.558688417994</v>
      </c>
      <c r="BK111" s="93">
        <f>ППД5[[#This Row],[Фикс 26.02.24]]*2%</f>
        <v>1842.15117376836</v>
      </c>
      <c r="BL111" s="93">
        <f>ППД5[[#This Row],[Фикс 26.02.24]]+ППД5[[#This Row],[Наценка 06.03.24
СТ, 1К - 3%
2К, 3К - 2%]]</f>
        <v>93949.709862186355</v>
      </c>
      <c r="BM111" s="93"/>
      <c r="BN111" s="93">
        <f>ППД5[[#This Row],[Фикс 06.03.24]]+ППД5[[#This Row],[Наценка Г2+500]]</f>
        <v>93949.709862186355</v>
      </c>
      <c r="BO111" s="93">
        <f>ППД5[[#This Row],[Фикс 13.03.25]]*2%</f>
        <v>1878.9941972437271</v>
      </c>
      <c r="BP111" s="93">
        <f>ППД5[[#This Row],[Фикс 13.03.25]]+ППД5[[#This Row],[Наценка 20.03.24
2К, 3К - 2%]]</f>
        <v>95828.704059430078</v>
      </c>
      <c r="BQ111" s="93"/>
      <c r="BR111" s="93">
        <f>ППД5[[#This Row],[Фикс 20.03.24]]+ППД5[[#This Row],[Наценка 08.04.24 
2К: В3 - 150
3К: Г7 +1000]]</f>
        <v>95828.704059430078</v>
      </c>
      <c r="BS111" s="93"/>
      <c r="BT111" s="93">
        <f>ППД5[[#This Row],[Фикс 08.04.24]]+ППД5[[#This Row],[Наценка 16.05.24 1%
А4,А6,Б3,Б6,Б7,В2,В3,В5,В6,Г1,Г3-Г5]]</f>
        <v>95828.704059430078</v>
      </c>
      <c r="BU111" s="93">
        <f>ППД5[[#This Row],[Фикс 16.05.24]]*2%</f>
        <v>1916.5740811886017</v>
      </c>
      <c r="BV111" s="93">
        <f>ППД5[[#This Row],[Фикс 16.05.24]]+ППД5[[#This Row],[Наценка 24.05.24
1% - Б4, Б5,Г2,Г6
2% - А1,А3,А5,Б2,Г7]]</f>
        <v>97745.278140618684</v>
      </c>
      <c r="BW111" s="93"/>
      <c r="BX111" s="93">
        <f>ППД5[[#This Row],[Наценка 06.06.24
0К: В2,Г3 +0,5%
1К: А7, Б5/4, Г6 +0,5%
3К: В6 +0,5%
1К: А3 +1%]]+ППД5[[#This Row],[Фикс 24.05.24]]</f>
        <v>97745.278140618684</v>
      </c>
      <c r="BY111" s="93"/>
      <c r="BZ111" s="93">
        <f>ППД5[[#This Row],[Фикс 06.06.24]]+ППД5[[#This Row],[13.06.2024
3К - 2%]]</f>
        <v>97745.278140618684</v>
      </c>
      <c r="CA111" s="93"/>
      <c r="CB111" s="93">
        <f>ППД5[[#This Row],[02.07.2024: Г3 А1 А3 Б5 Б7 Г2 Г6 Б3 Б4 В3 Г7 2,5% ост 0,5-1,5%]]+ППД5[[#This Row],[Фикс 13.06.24]]</f>
        <v>97745.278140618684</v>
      </c>
      <c r="CC111" s="93"/>
      <c r="CD111" s="93">
        <f>ППД5[[#This Row],[Фикс 02.07.24]]+ППД5[[#This Row],[04.09.2024 +500
0К - Б2; 1К - А3;
2К - А6, Б4, В3, Г5]]</f>
        <v>97745.278140618684</v>
      </c>
      <c r="CE111" s="93"/>
      <c r="CF111" s="93">
        <f>ППД5[[#This Row],[Наценка 16.09.2024
1К: А1,В7,Г6/7,Г8 - 2%
2К: А4,А5,А6,Б1,Б6,Б3/4,В3,В4,Г4,Г5 - 4%
3К: 4%]]+ППД5[[#This Row],[Фикс 04.09.24]]</f>
        <v>97745.278140618684</v>
      </c>
      <c r="CG111" s="93"/>
      <c r="CH111" s="93">
        <f>ППД5[[#This Row],[Фикс 16.09.2024]]+ППД5[[#This Row],[Наценка 01.11.24
СТ: 4%
1К: 34-40м 5%; 40м+ 8%; МГН 1%
2К: 55-70м 6%; 70-73м 7%; 73-76м 8% 
3К: 5%]]</f>
        <v>97745.278140618684</v>
      </c>
      <c r="CI111" s="93"/>
      <c r="CJ111" s="93">
        <f>ППД5[[#This Row],[Наценка 06.11 13%]]+ППД5[[#This Row],[Фикс 01.11.24]]</f>
        <v>97745.278140618684</v>
      </c>
      <c r="CK111" s="93"/>
      <c r="CL111" s="93">
        <f>ППД5[[#This Row],[Фикс 06.11.24]]+ППД5[[#This Row],[Наценка 18.12.24 распределение КВ]]</f>
        <v>97745.278140618684</v>
      </c>
      <c r="CM111" s="93"/>
      <c r="CN111" s="93">
        <f>ППД5[[#This Row],[Фикс 18.12.24]]+ППД5[[#This Row],[Наценка 10.02.25 +1%
1К: А3
2К: Б3, В3]]</f>
        <v>97745.278140618684</v>
      </c>
      <c r="CO111" s="93">
        <f>ROUND(ППД5[[#This Row],[Фикс 10.02.25]],2)</f>
        <v>97745.279999999999</v>
      </c>
      <c r="CP11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6076900</v>
      </c>
      <c r="CQ111" s="93">
        <f>ROUNDUP(ППД5[[#This Row],[Стоимость до скидки]]+ППД5[[#This Row],[Сумма доплаты]],-2)</f>
        <v>6035900</v>
      </c>
      <c r="CR111" s="68"/>
      <c r="CS111" s="90"/>
      <c r="CT111" s="68">
        <f>ППД5[[#This Row],[Стоимость до скидки]]*ППД5[[#This Row],[Скидка %]]+ППД5[[#This Row],[Скидка фиксированная]]</f>
        <v>0</v>
      </c>
      <c r="CU111" s="3">
        <f>ППД5[[#This Row],[Стоимость ОН без отделки со скидкой]]/ППД5[[#This Row],[Расчетная проектная площадь]]</f>
        <v>97746.501528068198</v>
      </c>
      <c r="CV111" s="3">
        <f>ROUND(ППД5[[#This Row],[Стоимость до скидки]]-ППД5[[#This Row],[Итоговая сумма скидки]],2)</f>
        <v>6076900</v>
      </c>
      <c r="CW11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11" s="197"/>
      <c r="CY111" s="332">
        <f>ППД5[[#This Row],[Расхождение]]/ППД5[[#This Row],[Расчетная проектная площадь]]</f>
        <v>-6.7556699372689211E-3</v>
      </c>
      <c r="CZ11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-0.29999999999999716</v>
      </c>
      <c r="DA111" s="3">
        <f>ППД5[[#This Row],[Цена м2 без отделки со скидкой]]+ППД5[[#This Row],[Стоимость отделки]]</f>
        <v>97746.501528068198</v>
      </c>
      <c r="DB111" s="3">
        <f>ППД5[[#This Row],[Стоимость квартиры с отделкой]]-ППД5[[#This Row],[Стоимость ОН без отделки со скидкой]]</f>
        <v>0</v>
      </c>
      <c r="DC111" s="3">
        <f>ППД5[[#This Row],[Цена м2 с отделкой]]*ППД5[[#This Row],[Расчетная проектная площадь]]</f>
        <v>6076900</v>
      </c>
      <c r="DD111" s="3"/>
      <c r="DF111" s="199" t="s">
        <v>172</v>
      </c>
      <c r="DG111" s="245" t="s">
        <v>172</v>
      </c>
      <c r="DH111" s="100" t="b">
        <f>EXACT(ППД5[[#This Row],[Статусы CRM]],ППД5[[#This Row],[Статус]])</f>
        <v>1</v>
      </c>
      <c r="DI111" s="213" t="s">
        <v>283</v>
      </c>
      <c r="DJ111" s="204"/>
      <c r="DK111" s="111" t="s">
        <v>763</v>
      </c>
      <c r="DL111" s="216" t="s">
        <v>12</v>
      </c>
      <c r="DM111" s="201" t="b">
        <f>ППД5[[#This Row],[Отделка CRM]]=ППД5[[#This Row],[Отделка]]</f>
        <v>1</v>
      </c>
      <c r="DN111" s="203">
        <v>6076900</v>
      </c>
      <c r="DO11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11" s="207" t="b">
        <f>IF(AND(ППД5[[#This Row],[Статус]]="свободно",ППД5[[#This Row],[Итоговая сумма скидки]]&lt;&gt;0),FALSE,TRUE)</f>
        <v>1</v>
      </c>
      <c r="DQ111" s="240">
        <f>_xlfn.XLOOKUP(ППД5[[#This Row],[№]],Юрист[№ кв],Юрист[Дата подачи на регистрацию]," ",0,-1)</f>
        <v>45456</v>
      </c>
      <c r="DR111" s="115" t="str">
        <f>_xlfn.XLOOKUP(ППД5[[#This Row],[№]],Юрист[№ кв],Юрист[МОП],"",0,-1)</f>
        <v>Голенко</v>
      </c>
      <c r="DS111" s="333" t="s">
        <v>2514</v>
      </c>
      <c r="DT111" s="333" t="s">
        <v>2515</v>
      </c>
      <c r="DU111" s="333">
        <v>60.4</v>
      </c>
      <c r="DV111" s="111"/>
    </row>
    <row r="112" spans="1:126" hidden="1" x14ac:dyDescent="0.25">
      <c r="A112" s="112">
        <v>110</v>
      </c>
      <c r="B112" s="111" t="s">
        <v>5</v>
      </c>
      <c r="C112" s="111">
        <v>16</v>
      </c>
      <c r="D112" s="111">
        <v>6</v>
      </c>
      <c r="E112" s="111">
        <v>2</v>
      </c>
      <c r="F112" s="105">
        <v>14.64</v>
      </c>
      <c r="G112" s="105">
        <v>10.74</v>
      </c>
      <c r="H112" s="105"/>
      <c r="I112" s="94">
        <f>SUM(ППД5[[#This Row],[Комната 1]:[Комната 3]])</f>
        <v>25.380000000000003</v>
      </c>
      <c r="J112" s="105">
        <v>14.35</v>
      </c>
      <c r="K112" s="105">
        <v>4.16</v>
      </c>
      <c r="L112" s="105">
        <v>1.93</v>
      </c>
      <c r="M112" s="105"/>
      <c r="N112" s="105">
        <v>11.03</v>
      </c>
      <c r="O112" s="105">
        <v>2.6219999999999999</v>
      </c>
      <c r="P112" s="105"/>
      <c r="Q112" s="105"/>
      <c r="R112" s="105">
        <f>SUM(ППД5[[#This Row],[Лоджия 1]:[Лоджия 3]])</f>
        <v>2.6219999999999999</v>
      </c>
      <c r="S112" s="8">
        <f>ROUND(SUM(ППД5[[#This Row],[Площадь по проекту жилая]:[Лоджия 3]]),2)</f>
        <v>59.47</v>
      </c>
      <c r="T112" s="8">
        <f>ROUND(ППД5[[#This Row],[Площадь по проекту(общая)]]-ППД5[[#This Row],[Летние]],2)</f>
        <v>56.85</v>
      </c>
      <c r="U112" s="91">
        <f>ROUND(ППД5[[#This Row],[Площадь по проекту(общая)]]-(SUM(ППД5[[#This Row],[Лоджия 1]:[Лоджия 3]])/2),2)</f>
        <v>58.16</v>
      </c>
      <c r="V112" s="91">
        <f>IF(ППД5[[#This Row],[Статус]]="продажа",ППД5[[#This Row],[Расчетная проектная площадь]],ППД5[[#This Row],[Расчетная ТП площадь]])</f>
        <v>57.899999999999991</v>
      </c>
      <c r="W112" s="91">
        <v>10.6</v>
      </c>
      <c r="X112" s="91">
        <v>14.7</v>
      </c>
      <c r="Y112" s="91"/>
      <c r="Z112" s="91">
        <f>SUM(ППД5[[#This Row],[ТП Комната 1]:[ТП Комната 3]])</f>
        <v>25.299999999999997</v>
      </c>
      <c r="AA112" s="91">
        <v>14.3</v>
      </c>
      <c r="AB112" s="91">
        <v>4.0999999999999996</v>
      </c>
      <c r="AC112" s="91">
        <v>1.9</v>
      </c>
      <c r="AD112" s="91"/>
      <c r="AE112" s="91">
        <v>11</v>
      </c>
      <c r="AF112" s="91">
        <v>1.3</v>
      </c>
      <c r="AG112" s="91"/>
      <c r="AH112" s="91"/>
      <c r="AI112" s="91">
        <f>SUM(ППД5[[#This Row],[ТП Лоджия 1]:[ТП Лоджия 3]])</f>
        <v>1.3</v>
      </c>
      <c r="AJ112" s="95">
        <v>2.6</v>
      </c>
      <c r="AK112" s="91">
        <f>SUM(ППД5[[#This Row],[Площадь по ТП жилая]:[ТП Лоджия 3]])-ППД5[[#This Row],[ТП Летние]]+ППД5[[#This Row],[кроме того прочая
(без коэффициента)]]</f>
        <v>59.199999999999996</v>
      </c>
      <c r="AL112" s="95">
        <f>ППД5[[#This Row],[ТП Площадь без летних]]+(ППД5[[#This Row],[ТП Летние]])</f>
        <v>57.899999999999991</v>
      </c>
      <c r="AM112" s="91">
        <f>ППД5[[#This Row],[ТП общая S]]-ППД5[[#This Row],[кроме того прочая
(без коэффициента)]]</f>
        <v>56.599999999999994</v>
      </c>
      <c r="AN112" s="95">
        <f>SUM(ППД5[[#This Row],[ТП Кухня]:[ТП Коридор]])</f>
        <v>31.299999999999997</v>
      </c>
      <c r="AO112" s="91">
        <f>ППД5[[#This Row],[Расчетная ТП площадь]]-ППД5[[#This Row],[Расчетная проектная площадь]]</f>
        <v>-0.26000000000000512</v>
      </c>
      <c r="AP112" s="335">
        <f>ППД5[[#This Row],[Расчетная ТП площадь]]/ППД5[[#This Row],[Расчетная проектная площадь]]-1</f>
        <v>-4.4704264099038049E-3</v>
      </c>
      <c r="AQ112" s="91">
        <f>ППД5[[#This Row],[% расхождения]]*ППД5[[#This Row],[Стоимость до скидки]]</f>
        <v>-32448.143053645777</v>
      </c>
      <c r="AR112" s="91">
        <f>VLOOKUP(ППД5[[#This Row],[№]],наценкад5[],COLUMN(наценкад5[[#This Row],[Цена м2 с учетом всех K]]),0)</f>
        <v>81466.150500000003</v>
      </c>
      <c r="AS112" s="8">
        <f>ППД5[[#This Row],[м2 после К]]*5%</f>
        <v>4073.3075250000002</v>
      </c>
      <c r="AT112" s="8">
        <f>ППД5[[#This Row],[м2 после К]]+ППД5[[#This Row],[Повышение 16.08.23 - 5%]]</f>
        <v>85539.458025</v>
      </c>
      <c r="AU112" s="93">
        <f>ППД5[[#This Row],[Фикс 16.08.23]]*3%</f>
        <v>2566.1837407499997</v>
      </c>
      <c r="AV112" s="93">
        <f>ППД5[[#This Row],[Фикс 16.08.23]]+ППД5[[#This Row],[Повышение 29.08.23 - 3%]]</f>
        <v>88105.641765749999</v>
      </c>
      <c r="AW112" s="93"/>
      <c r="AX112" s="93">
        <f>ППД5[[#This Row],[Фикс 29.08.23]]+ППД5[[#This Row],[Повышение 06.09.23 СТ и 1К]]</f>
        <v>88105.641765749999</v>
      </c>
      <c r="AY112" s="93"/>
      <c r="AZ112" s="93">
        <f>ППД5[[#This Row],[Повышение 23.10.23  В4 ]]+ППД5[[#This Row],[Фикс 06.09.23]]</f>
        <v>88105.641765749999</v>
      </c>
      <c r="BA112" s="93"/>
      <c r="BB112" s="93">
        <f>ППД5[[#This Row],[Повышение 8.11.23 1К 5%]]+ППД5[[#This Row],[Фикс 23.10.23]]</f>
        <v>88105.641765749999</v>
      </c>
      <c r="BC112" s="93"/>
      <c r="BD112" s="93">
        <f>ППД5[[#This Row],[Корректировка 24.11.23 - 1К В5, 2К А2, №233]]+ППД5[[#This Row],[Фикс 8.11.23]]</f>
        <v>88105.641765749999</v>
      </c>
      <c r="BE112" s="93">
        <f>ППД5[[#This Row],[Фикс 8.11.24]]*1%</f>
        <v>881.05641765749999</v>
      </c>
      <c r="BF112" s="93">
        <f>ППД5[[#This Row],[Наценка за отделку 29.12.23 1%]]+ППД5[[#This Row],[Фикс 8.11.24]]</f>
        <v>88986.698183407498</v>
      </c>
      <c r="BG112" s="93">
        <f>ППД5[[#This Row],[Фикс 29.12.23]]*5%</f>
        <v>4449.3349091703749</v>
      </c>
      <c r="BH112" s="93">
        <f>ППД5[[#This Row],[Фикс 29.12.23]]+ППД5[[#This Row],[Наценка 10.01.24 5%]]</f>
        <v>93436.033092577869</v>
      </c>
      <c r="BI112" s="93"/>
      <c r="BJ112" s="93">
        <f>ППД5[[#This Row],[Наценка 26.02.24 1 Этаж]]+ППД5[[#This Row],[Фикс 10.01.24]]</f>
        <v>93436.033092577869</v>
      </c>
      <c r="BK112" s="93">
        <f>ППД5[[#This Row],[Фикс 26.02.24]]*2%</f>
        <v>1868.7206618515575</v>
      </c>
      <c r="BL112" s="93">
        <f>ППД5[[#This Row],[Фикс 26.02.24]]+ППД5[[#This Row],[Наценка 06.03.24
СТ, 1К - 3%
2К, 3К - 2%]]</f>
        <v>95304.753754429432</v>
      </c>
      <c r="BM112" s="93"/>
      <c r="BN112" s="93">
        <f>ППД5[[#This Row],[Фикс 06.03.24]]+ППД5[[#This Row],[Наценка Г2+500]]</f>
        <v>95304.753754429432</v>
      </c>
      <c r="BO112" s="93">
        <f>ППД5[[#This Row],[Фикс 13.03.25]]*2%</f>
        <v>1906.0950750885886</v>
      </c>
      <c r="BP112" s="93">
        <f>ППД5[[#This Row],[Фикс 13.03.25]]+ППД5[[#This Row],[Наценка 20.03.24
2К, 3К - 2%]]</f>
        <v>97210.848829518014</v>
      </c>
      <c r="BQ112" s="93"/>
      <c r="BR112" s="93">
        <f>ППД5[[#This Row],[Фикс 20.03.24]]+ППД5[[#This Row],[Наценка 08.04.24 
2К: В3 - 150
3К: Г7 +1000]]</f>
        <v>97210.848829518014</v>
      </c>
      <c r="BS112" s="93">
        <f>ППД5[[#This Row],[Фикс 08.04.24]]*1%</f>
        <v>972.10848829518011</v>
      </c>
      <c r="BT112" s="93">
        <f>ППД5[[#This Row],[Фикс 08.04.24]]+ППД5[[#This Row],[Наценка 16.05.24 1%
А4,А6,Б3,Б6,Б7,В2,В3,В5,В6,Г1,Г3-Г5]]</f>
        <v>98182.957317813198</v>
      </c>
      <c r="BU112" s="93"/>
      <c r="BV112" s="93">
        <f>ППД5[[#This Row],[Фикс 16.05.24]]+ППД5[[#This Row],[Наценка 24.05.24
1% - Б4, Б5,Г2,Г6
2% - А1,А3,А5,Б2,Г7]]</f>
        <v>98182.957317813198</v>
      </c>
      <c r="BW112" s="93"/>
      <c r="BX112" s="93">
        <f>ППД5[[#This Row],[Наценка 06.06.24
0К: В2,Г3 +0,5%
1К: А7, Б5/4, Г6 +0,5%
3К: В6 +0,5%
1К: А3 +1%]]+ППД5[[#This Row],[Фикс 24.05.24]]</f>
        <v>98182.957317813198</v>
      </c>
      <c r="BY112" s="93"/>
      <c r="BZ112" s="93">
        <f>ППД5[[#This Row],[Фикс 06.06.24]]+ППД5[[#This Row],[13.06.2024
3К - 2%]]</f>
        <v>98182.957317813198</v>
      </c>
      <c r="CA112" s="9">
        <f>1.5%*ППД5[[#This Row],[Фикс 13.06.24]]</f>
        <v>1472.7443597671979</v>
      </c>
      <c r="CB112" s="93">
        <f>ППД5[[#This Row],[02.07.2024: Г3 А1 А3 Б5 Б7 Г2 Г6 Б3 Б4 В3 Г7 2,5% ост 0,5-1,5%]]+ППД5[[#This Row],[Фикс 13.06.24]]</f>
        <v>99655.701677580393</v>
      </c>
      <c r="CC112" s="93">
        <v>500</v>
      </c>
      <c r="CD112" s="93">
        <f>ППД5[[#This Row],[Фикс 02.07.24]]+ППД5[[#This Row],[04.09.2024 +500
0К - Б2; 1К - А3;
2К - А6, Б4, В3, Г5]]</f>
        <v>100155.70167758039</v>
      </c>
      <c r="CE112" s="93">
        <f>ППД5[[#This Row],[Фикс 04.09.24]]*4%</f>
        <v>4006.2280671032158</v>
      </c>
      <c r="CF112" s="93">
        <f>ППД5[[#This Row],[Наценка 16.09.2024
1К: А1,В7,Г6/7,Г8 - 2%
2К: А4,А5,А6,Б1,Б6,Б3/4,В3,В4,Г4,Г5 - 4%
3К: 4%]]+ППД5[[#This Row],[Фикс 04.09.24]]</f>
        <v>104161.92974468361</v>
      </c>
      <c r="CG112" s="93">
        <f>ППД5[[#This Row],[Фикс 16.09.2024]]*6%</f>
        <v>6249.7157846810169</v>
      </c>
      <c r="CH112" s="93">
        <f>ППД5[[#This Row],[Фикс 16.09.2024]]+ППД5[[#This Row],[Наценка 01.11.24
СТ: 4%
1К: 34-40м 5%; 40м+ 8%; МГН 1%
2К: 55-70м 6%; 70-73м 7%; 73-76м 8% 
3К: 5%]]</f>
        <v>110411.64552936463</v>
      </c>
      <c r="CI112" s="93">
        <f>ППД5[[#This Row],[Фикс 01.11.24]]*13%</f>
        <v>14353.513918817402</v>
      </c>
      <c r="CJ112" s="93">
        <f>ППД5[[#This Row],[Наценка 06.11 13%]]+ППД5[[#This Row],[Фикс 01.11.24]]</f>
        <v>124765.15944818204</v>
      </c>
      <c r="CK112" s="93">
        <v>35</v>
      </c>
      <c r="CL112" s="93">
        <f>ППД5[[#This Row],[Фикс 06.11.24]]+ППД5[[#This Row],[Наценка 18.12.24 распределение КВ]]</f>
        <v>124800.15944818204</v>
      </c>
      <c r="CM112" s="93"/>
      <c r="CN112" s="93">
        <f>ППД5[[#This Row],[Фикс 18.12.24]]+ППД5[[#This Row],[Наценка 10.02.25 +1%
1К: А3
2К: Б3, В3]]</f>
        <v>124800.15944818204</v>
      </c>
      <c r="CO112" s="93">
        <f>ROUND(ППД5[[#This Row],[Фикс 10.02.25]],2)</f>
        <v>124800.16</v>
      </c>
      <c r="CP11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7258400</v>
      </c>
      <c r="CQ112" s="93">
        <f>ROUNDUP(ППД5[[#This Row],[Стоимость до скидки]]+ППД5[[#This Row],[Сумма доплаты]],-2)</f>
        <v>7226000</v>
      </c>
      <c r="CR112" s="68"/>
      <c r="CS112" s="90"/>
      <c r="CT112" s="68">
        <f>ППД5[[#This Row],[Стоимость до скидки]]*ППД5[[#This Row],[Скидка %]]+ППД5[[#This Row],[Скидка фиксированная]]</f>
        <v>0</v>
      </c>
      <c r="CU112" s="3">
        <f>ППД5[[#This Row],[Стоимость ОН без отделки со скидкой]]/ППД5[[#This Row],[Расчетная проектная площадь]]</f>
        <v>124800.55020632737</v>
      </c>
      <c r="CV112" s="3">
        <f>ROUND(ППД5[[#This Row],[Стоимость до скидки]]-ППД5[[#This Row],[Итоговая сумма скидки]],2)</f>
        <v>7258400</v>
      </c>
      <c r="CW11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12" s="197"/>
      <c r="CY112" s="332">
        <f>ППД5[[#This Row],[Расхождение]]/ППД5[[#This Row],[Расчетная проектная площадь]]</f>
        <v>-4.4704264099038023E-3</v>
      </c>
      <c r="CZ11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-0.17000000000000348</v>
      </c>
      <c r="DA112" s="3">
        <f>ППД5[[#This Row],[Цена м2 без отделки со скидкой]]+ППД5[[#This Row],[Стоимость отделки]]</f>
        <v>124800.55020632737</v>
      </c>
      <c r="DB112" s="3">
        <f>ППД5[[#This Row],[Стоимость квартиры с отделкой]]-ППД5[[#This Row],[Стоимость ОН без отделки со скидкой]]</f>
        <v>0</v>
      </c>
      <c r="DC112" s="3">
        <f>ППД5[[#This Row],[Цена м2 с отделкой]]*ППД5[[#This Row],[Расчетная проектная площадь]]</f>
        <v>7258400</v>
      </c>
      <c r="DD112" s="3"/>
      <c r="DF112" s="155" t="s">
        <v>157</v>
      </c>
      <c r="DG112" s="245" t="s">
        <v>157</v>
      </c>
      <c r="DH112" s="100" t="b">
        <f>EXACT(ППД5[[#This Row],[Статусы CRM]],ППД5[[#This Row],[Статус]])</f>
        <v>1</v>
      </c>
      <c r="DI112" s="213" t="s">
        <v>284</v>
      </c>
      <c r="DJ112" s="204"/>
      <c r="DK112" s="111" t="s">
        <v>763</v>
      </c>
      <c r="DL112" s="216" t="s">
        <v>12</v>
      </c>
      <c r="DM112" s="201" t="b">
        <f>ППД5[[#This Row],[Отделка CRM]]=ППД5[[#This Row],[Отделка]]</f>
        <v>1</v>
      </c>
      <c r="DN112" s="203">
        <v>7258400</v>
      </c>
      <c r="DO11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12" s="207" t="b">
        <f>IF(AND(ППД5[[#This Row],[Статус]]="свободно",ППД5[[#This Row],[Итоговая сумма скидки]]&lt;&gt;0),FALSE,TRUE)</f>
        <v>1</v>
      </c>
      <c r="DQ112" s="240" t="str">
        <f>_xlfn.XLOOKUP(ППД5[[#This Row],[№]],Юрист[№ кв],Юрист[Дата подачи на регистрацию]," ",0,-1)</f>
        <v xml:space="preserve"> </v>
      </c>
      <c r="DR112" s="115" t="str">
        <f>_xlfn.XLOOKUP(ППД5[[#This Row],[№]],Юрист[№ кв],Юрист[МОП],"",0,-1)</f>
        <v/>
      </c>
      <c r="DS112" s="333" t="s">
        <v>2516</v>
      </c>
      <c r="DT112" s="333" t="s">
        <v>2517</v>
      </c>
      <c r="DU112" s="333">
        <v>56.6</v>
      </c>
      <c r="DV112" s="111"/>
    </row>
    <row r="113" spans="1:126" hidden="1" x14ac:dyDescent="0.25">
      <c r="A113" s="112">
        <v>111</v>
      </c>
      <c r="B113" s="111" t="s">
        <v>5</v>
      </c>
      <c r="C113" s="111">
        <v>16</v>
      </c>
      <c r="D113" s="111">
        <v>7</v>
      </c>
      <c r="E113" s="111">
        <v>1</v>
      </c>
      <c r="F113" s="157">
        <v>18.489999999999998</v>
      </c>
      <c r="G113" s="105"/>
      <c r="H113" s="105"/>
      <c r="I113" s="94">
        <f>SUM(ППД5[[#This Row],[Комната 1]:[Комната 3]])</f>
        <v>18.489999999999998</v>
      </c>
      <c r="J113" s="105">
        <v>13.04</v>
      </c>
      <c r="K113" s="105">
        <v>3.9</v>
      </c>
      <c r="L113" s="105"/>
      <c r="M113" s="105"/>
      <c r="N113" s="105">
        <v>5.99</v>
      </c>
      <c r="O113" s="105">
        <v>2.65</v>
      </c>
      <c r="P113" s="105"/>
      <c r="Q113" s="105"/>
      <c r="R113" s="105">
        <f>SUM(ППД5[[#This Row],[Лоджия 1]:[Лоджия 3]])</f>
        <v>2.65</v>
      </c>
      <c r="S113" s="7">
        <f>ROUND(SUM(ППД5[[#This Row],[Площадь по проекту жилая]:[Лоджия 3]]),2)</f>
        <v>44.07</v>
      </c>
      <c r="T113" s="7">
        <f>ROUND(ППД5[[#This Row],[Площадь по проекту(общая)]]-ППД5[[#This Row],[Летние]],2)</f>
        <v>41.42</v>
      </c>
      <c r="U113" s="92">
        <f>ROUND(ППД5[[#This Row],[Площадь по проекту(общая)]]-(SUM(ППД5[[#This Row],[Лоджия 1]:[Лоджия 3]])/2),2)</f>
        <v>42.75</v>
      </c>
      <c r="V113" s="92">
        <f>IF(ППД5[[#This Row],[Статус]]="продажа",ППД5[[#This Row],[Расчетная проектная площадь]],ППД5[[#This Row],[Расчетная ТП площадь]])</f>
        <v>42.75</v>
      </c>
      <c r="W113" s="92">
        <v>18.5</v>
      </c>
      <c r="X113" s="92"/>
      <c r="Y113" s="92"/>
      <c r="Z113" s="92">
        <f>SUM(ППД5[[#This Row],[ТП Комната 1]:[ТП Комната 3]])</f>
        <v>18.5</v>
      </c>
      <c r="AA113" s="92">
        <v>13.1</v>
      </c>
      <c r="AB113" s="92">
        <v>3.8</v>
      </c>
      <c r="AC113" s="92"/>
      <c r="AD113" s="92"/>
      <c r="AE113" s="92">
        <v>6</v>
      </c>
      <c r="AF113" s="91">
        <v>1.35</v>
      </c>
      <c r="AG113" s="92"/>
      <c r="AH113" s="92"/>
      <c r="AI113" s="91">
        <f>SUM(ППД5[[#This Row],[ТП Лоджия 1]:[ТП Лоджия 3]])</f>
        <v>1.35</v>
      </c>
      <c r="AJ113" s="95">
        <v>2.7</v>
      </c>
      <c r="AK113" s="92">
        <f>SUM(ППД5[[#This Row],[Площадь по ТП жилая]:[ТП Лоджия 3]])-ППД5[[#This Row],[ТП Летние]]+ППД5[[#This Row],[кроме того прочая
(без коэффициента)]]</f>
        <v>44.1</v>
      </c>
      <c r="AL113" s="95">
        <f>ППД5[[#This Row],[ТП Площадь без летних]]+(ППД5[[#This Row],[ТП Летние]])</f>
        <v>42.75</v>
      </c>
      <c r="AM113" s="92">
        <f>ППД5[[#This Row],[ТП общая S]]-ППД5[[#This Row],[кроме того прочая
(без коэффициента)]]</f>
        <v>41.4</v>
      </c>
      <c r="AN113" s="95">
        <f>SUM(ППД5[[#This Row],[ТП Кухня]:[ТП Коридор]])</f>
        <v>22.9</v>
      </c>
      <c r="AO113" s="91">
        <f>ППД5[[#This Row],[Расчетная ТП площадь]]-ППД5[[#This Row],[Расчетная проектная площадь]]</f>
        <v>0</v>
      </c>
      <c r="AP113" s="335">
        <f>ППД5[[#This Row],[Расчетная ТП площадь]]/ППД5[[#This Row],[Расчетная проектная площадь]]-1</f>
        <v>0</v>
      </c>
      <c r="AQ113" s="92">
        <f>ППД5[[#This Row],[% расхождения]]*ППД5[[#This Row],[Стоимость до скидки]]</f>
        <v>0</v>
      </c>
      <c r="AR113" s="92">
        <f>VLOOKUP(ППД5[[#This Row],[№]],наценкад5[],COLUMN(наценкад5[[#This Row],[Цена м2 с учетом всех K]]),0)</f>
        <v>83951.4375</v>
      </c>
      <c r="AS113" s="7">
        <f>ППД5[[#This Row],[м2 после К]]*5%</f>
        <v>4197.5718750000005</v>
      </c>
      <c r="AT113" s="7">
        <f>ППД5[[#This Row],[м2 после К]]+ППД5[[#This Row],[Повышение 16.08.23 - 5%]]</f>
        <v>88149.009374999994</v>
      </c>
      <c r="AU113" s="9">
        <f>ППД5[[#This Row],[Фикс 16.08.23]]*3%</f>
        <v>2644.4702812499995</v>
      </c>
      <c r="AV113" s="9">
        <f>ППД5[[#This Row],[Фикс 16.08.23]]+ППД5[[#This Row],[Повышение 29.08.23 - 3%]]</f>
        <v>90793.479656249998</v>
      </c>
      <c r="AW113" s="93">
        <f>ППД5[[#This Row],[Фикс 29.08.23]]*4%</f>
        <v>3631.7391862499999</v>
      </c>
      <c r="AX113" s="9">
        <f>ППД5[[#This Row],[Фикс 29.08.23]]+ППД5[[#This Row],[Повышение 06.09.23 СТ и 1К]]</f>
        <v>94425.218842499991</v>
      </c>
      <c r="AY113" s="9"/>
      <c r="AZ113" s="9">
        <f>ППД5[[#This Row],[Повышение 23.10.23  В4 ]]+ППД5[[#This Row],[Фикс 06.09.23]]</f>
        <v>94425.218842499991</v>
      </c>
      <c r="BA113" s="93">
        <f>ППД5[[#This Row],[Фикс 23.10.23]]*5%</f>
        <v>4721.2609421249999</v>
      </c>
      <c r="BB113" s="93">
        <f>ППД5[[#This Row],[Повышение 8.11.23 1К 5%]]+ППД5[[#This Row],[Фикс 23.10.23]]</f>
        <v>99146.479784624986</v>
      </c>
      <c r="BC113" s="93"/>
      <c r="BD113" s="93">
        <f>ППД5[[#This Row],[Корректировка 24.11.23 - 1К В5, 2К А2, №233]]+ППД5[[#This Row],[Фикс 8.11.23]]</f>
        <v>99146.479784624986</v>
      </c>
      <c r="BE113" s="93">
        <f>ППД5[[#This Row],[Фикс 8.11.24]]*1%</f>
        <v>991.46479784624989</v>
      </c>
      <c r="BF113" s="93">
        <f>ППД5[[#This Row],[Наценка за отделку 29.12.23 1%]]+ППД5[[#This Row],[Фикс 8.11.24]]</f>
        <v>100137.94458247123</v>
      </c>
      <c r="BG113" s="93">
        <f>ППД5[[#This Row],[Фикс 29.12.23]]*5%</f>
        <v>5006.8972291235623</v>
      </c>
      <c r="BH113" s="93">
        <f>ППД5[[#This Row],[Фикс 29.12.23]]+ППД5[[#This Row],[Наценка 10.01.24 5%]]</f>
        <v>105144.84181159479</v>
      </c>
      <c r="BI113" s="93"/>
      <c r="BJ113" s="93">
        <f>ППД5[[#This Row],[Наценка 26.02.24 1 Этаж]]+ППД5[[#This Row],[Фикс 10.01.24]]</f>
        <v>105144.84181159479</v>
      </c>
      <c r="BK113" s="93">
        <f>ППД5[[#This Row],[Фикс 26.02.24]]*3%</f>
        <v>3154.3452543478434</v>
      </c>
      <c r="BL113" s="93">
        <f>ППД5[[#This Row],[Фикс 26.02.24]]+ППД5[[#This Row],[Наценка 06.03.24
СТ, 1К - 3%
2К, 3К - 2%]]</f>
        <v>108299.18706594263</v>
      </c>
      <c r="BM113" s="93"/>
      <c r="BN113" s="93">
        <f>ППД5[[#This Row],[Фикс 06.03.24]]+ППД5[[#This Row],[Наценка Г2+500]]</f>
        <v>108299.18706594263</v>
      </c>
      <c r="BO113" s="93"/>
      <c r="BP113" s="93">
        <f>ППД5[[#This Row],[Фикс 13.03.25]]+ППД5[[#This Row],[Наценка 20.03.24
2К, 3К - 2%]]</f>
        <v>108299.18706594263</v>
      </c>
      <c r="BQ113" s="93"/>
      <c r="BR113" s="93">
        <f>ППД5[[#This Row],[Фикс 20.03.24]]+ППД5[[#This Row],[Наценка 08.04.24 
2К: В3 - 150
3К: Г7 +1000]]</f>
        <v>108299.18706594263</v>
      </c>
      <c r="BS113" s="93"/>
      <c r="BT113" s="93">
        <f>ППД5[[#This Row],[Фикс 08.04.24]]+ППД5[[#This Row],[Наценка 16.05.24 1%
А4,А6,Б3,Б6,Б7,В2,В3,В5,В6,Г1,Г3-Г5]]</f>
        <v>108299.18706594263</v>
      </c>
      <c r="BU113" s="93"/>
      <c r="BV113" s="93">
        <f>ППД5[[#This Row],[Фикс 16.05.24]]+ППД5[[#This Row],[Наценка 24.05.24
1% - Б4, Б5,Г2,Г6
2% - А1,А3,А5,Б2,Г7]]</f>
        <v>108299.18706594263</v>
      </c>
      <c r="BW113" s="9">
        <f>ППД5[[#This Row],[Фикс 24.05.24]]*0.5%</f>
        <v>541.49593532971323</v>
      </c>
      <c r="BX113" s="93">
        <f>ППД5[[#This Row],[Наценка 06.06.24
0К: В2,Г3 +0,5%
1К: А7, Б5/4, Г6 +0,5%
3К: В6 +0,5%
1К: А3 +1%]]+ППД5[[#This Row],[Фикс 24.05.24]]</f>
        <v>108840.68300127235</v>
      </c>
      <c r="BY113" s="93"/>
      <c r="BZ113" s="93">
        <f>ППД5[[#This Row],[Фикс 06.06.24]]+ППД5[[#This Row],[13.06.2024
3К - 2%]]</f>
        <v>108840.68300127235</v>
      </c>
      <c r="CA113" s="93">
        <f>1.5%*ППД5[[#This Row],[Фикс 13.06.24]]</f>
        <v>1632.6102450190851</v>
      </c>
      <c r="CB113" s="93">
        <f>ППД5[[#This Row],[02.07.2024: Г3 А1 А3 Б5 Б7 Г2 Г6 Б3 Б4 В3 Г7 2,5% ост 0,5-1,5%]]+ППД5[[#This Row],[Фикс 13.06.24]]</f>
        <v>110473.29324629143</v>
      </c>
      <c r="CC113" s="93"/>
      <c r="CD113" s="93">
        <f>ППД5[[#This Row],[Фикс 02.07.24]]+ППД5[[#This Row],[04.09.2024 +500
0К - Б2; 1К - А3;
2К - А6, Б4, В3, Г5]]</f>
        <v>110473.29324629143</v>
      </c>
      <c r="CE113" s="93"/>
      <c r="CF113" s="93">
        <f>ППД5[[#This Row],[Наценка 16.09.2024
1К: А1,В7,Г6/7,Г8 - 2%
2К: А4,А5,А6,Б1,Б6,Б3/4,В3,В4,Г4,Г5 - 4%
3К: 4%]]+ППД5[[#This Row],[Фикс 04.09.24]]</f>
        <v>110473.29324629143</v>
      </c>
      <c r="CG113" s="93"/>
      <c r="CH113" s="93">
        <f>ППД5[[#This Row],[Фикс 16.09.2024]]+ППД5[[#This Row],[Наценка 01.11.24
СТ: 4%
1К: 34-40м 5%; 40м+ 8%; МГН 1%
2К: 55-70м 6%; 70-73м 7%; 73-76м 8% 
3К: 5%]]</f>
        <v>110473.29324629143</v>
      </c>
      <c r="CI113" s="93"/>
      <c r="CJ113" s="93">
        <f>ППД5[[#This Row],[Наценка 06.11 13%]]+ППД5[[#This Row],[Фикс 01.11.24]]</f>
        <v>110473.29324629143</v>
      </c>
      <c r="CK113" s="93"/>
      <c r="CL113" s="93">
        <f>ППД5[[#This Row],[Фикс 06.11.24]]+ППД5[[#This Row],[Наценка 18.12.24 распределение КВ]]</f>
        <v>110473.29324629143</v>
      </c>
      <c r="CM113" s="93"/>
      <c r="CN113" s="93">
        <f>ППД5[[#This Row],[Фикс 18.12.24]]+ППД5[[#This Row],[Наценка 10.02.25 +1%
1К: А3
2К: Б3, В3]]</f>
        <v>110473.29324629143</v>
      </c>
      <c r="CO113" s="93">
        <f>ROUND(ППД5[[#This Row],[Фикс 10.02.25]],2)</f>
        <v>110473.29</v>
      </c>
      <c r="CP11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4722800</v>
      </c>
      <c r="CQ113" s="93">
        <f>ROUNDUP(ППД5[[#This Row],[Стоимость до скидки]]+ППД5[[#This Row],[Сумма доплаты]],-2)</f>
        <v>4722800</v>
      </c>
      <c r="CR113" s="68"/>
      <c r="CS113" s="90">
        <v>0.02</v>
      </c>
      <c r="CT113" s="68">
        <f>ППД5[[#This Row],[Стоимость до скидки]]*ППД5[[#This Row],[Скидка %]]+ППД5[[#This Row],[Скидка фиксированная]]</f>
        <v>94456</v>
      </c>
      <c r="CU113" s="3">
        <f>ППД5[[#This Row],[Стоимость ОН без отделки со скидкой]]/ППД5[[#This Row],[Расчетная проектная площадь]]</f>
        <v>108265.35672514619</v>
      </c>
      <c r="CV113" s="3">
        <f>ROUND(ППД5[[#This Row],[Стоимость до скидки]]-ППД5[[#This Row],[Итоговая сумма скидки]],2)</f>
        <v>4628344</v>
      </c>
      <c r="CW11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113" s="197">
        <v>8000</v>
      </c>
      <c r="CY113" s="332">
        <f>ППД5[[#This Row],[Расхождение]]/ППД5[[#This Row],[Расчетная проектная площадь]]</f>
        <v>0</v>
      </c>
      <c r="CZ11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-3.0000000000002913E-2</v>
      </c>
      <c r="DA113" s="3">
        <f>ППД5[[#This Row],[Цена м2 без отделки со скидкой]]+ППД5[[#This Row],[Стоимость отделки]]</f>
        <v>116265.35672514619</v>
      </c>
      <c r="DB113" s="3">
        <f>ППД5[[#This Row],[Стоимость квартиры с отделкой]]-ППД5[[#This Row],[Стоимость ОН без отделки со скидкой]]</f>
        <v>342000</v>
      </c>
      <c r="DC113" s="3">
        <f>ППД5[[#This Row],[Цена м2 с отделкой]]*ППД5[[#This Row],[Расчетная проектная площадь]]</f>
        <v>4970344</v>
      </c>
      <c r="DD113" s="3"/>
      <c r="DE113" s="111" t="s">
        <v>757</v>
      </c>
      <c r="DF113" s="199" t="s">
        <v>172</v>
      </c>
      <c r="DG113" s="245" t="s">
        <v>172</v>
      </c>
      <c r="DH113" s="100" t="b">
        <f>EXACT(ППД5[[#This Row],[Статусы CRM]],ППД5[[#This Row],[Статус]])</f>
        <v>1</v>
      </c>
      <c r="DI113" s="213" t="s">
        <v>285</v>
      </c>
      <c r="DJ113" s="204"/>
      <c r="DK113" s="111" t="s">
        <v>763</v>
      </c>
      <c r="DL113" s="216" t="s">
        <v>780</v>
      </c>
      <c r="DM113" s="201" t="b">
        <f>ППД5[[#This Row],[Отделка CRM]]=ППД5[[#This Row],[Отделка]]</f>
        <v>1</v>
      </c>
      <c r="DN113" s="203">
        <v>4970344</v>
      </c>
      <c r="DO11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13" s="207" t="b">
        <f>IF(AND(ППД5[[#This Row],[Статус]]="свободно",ППД5[[#This Row],[Итоговая сумма скидки]]&lt;&gt;0),FALSE,TRUE)</f>
        <v>1</v>
      </c>
      <c r="DQ113" s="240">
        <f>_xlfn.XLOOKUP(ППД5[[#This Row],[№]],Юрист[№ кв],Юрист[Дата подачи на регистрацию]," ",0,-1)</f>
        <v>45588</v>
      </c>
      <c r="DR113" s="115" t="str">
        <f>_xlfn.XLOOKUP(ППД5[[#This Row],[№]],Юрист[№ кв],Юрист[МОП],"",0,-1)</f>
        <v>Дик</v>
      </c>
      <c r="DS113" s="333" t="s">
        <v>2518</v>
      </c>
      <c r="DT113" s="333" t="s">
        <v>2519</v>
      </c>
      <c r="DU113" s="333">
        <v>41.4</v>
      </c>
      <c r="DV113" s="111"/>
    </row>
    <row r="114" spans="1:126" hidden="1" x14ac:dyDescent="0.25">
      <c r="A114" s="112">
        <v>112</v>
      </c>
      <c r="B114" s="111" t="s">
        <v>4</v>
      </c>
      <c r="C114" s="111">
        <v>1</v>
      </c>
      <c r="D114" s="338">
        <v>1</v>
      </c>
      <c r="E114" s="151">
        <v>2</v>
      </c>
      <c r="F114" s="152">
        <v>15.91</v>
      </c>
      <c r="G114" s="152">
        <v>12.02</v>
      </c>
      <c r="H114" s="105"/>
      <c r="I114" s="94">
        <f>SUM(ППД5[[#This Row],[Комната 1]:[Комната 3]])</f>
        <v>27.93</v>
      </c>
      <c r="J114" s="105">
        <v>15.31</v>
      </c>
      <c r="K114" s="105">
        <v>3.85</v>
      </c>
      <c r="L114" s="105">
        <v>2.2999999999999998</v>
      </c>
      <c r="M114" s="105"/>
      <c r="N114" s="105">
        <v>9.4499999999999993</v>
      </c>
      <c r="O114" s="105">
        <v>2.75</v>
      </c>
      <c r="P114" s="105"/>
      <c r="Q114" s="105"/>
      <c r="R114" s="105">
        <f>SUM(ППД5[[#This Row],[Лоджия 1]:[Лоджия 3]])</f>
        <v>2.75</v>
      </c>
      <c r="S114" s="107">
        <f>ROUND(SUM(ППД5[[#This Row],[Площадь по проекту жилая]:[Лоджия 3]]),2)</f>
        <v>61.59</v>
      </c>
      <c r="T114" s="107">
        <f>ROUND(ППД5[[#This Row],[Площадь по проекту(общая)]]-ППД5[[#This Row],[Летние]],2)</f>
        <v>58.84</v>
      </c>
      <c r="U114" s="92">
        <f>ROUND(ППД5[[#This Row],[Площадь по проекту(общая)]]-(SUM(ППД5[[#This Row],[Лоджия 1]:[Лоджия 3]])/2),2)</f>
        <v>60.22</v>
      </c>
      <c r="V114" s="92">
        <f>IF(ППД5[[#This Row],[Статус]]="продажа",ППД5[[#This Row],[Расчетная проектная площадь]],ППД5[[#This Row],[Расчетная ТП площадь]])</f>
        <v>60.25</v>
      </c>
      <c r="W114" s="92">
        <v>15.9</v>
      </c>
      <c r="X114" s="92">
        <v>12</v>
      </c>
      <c r="Y114" s="92"/>
      <c r="Z114" s="92">
        <f>SUM(ППД5[[#This Row],[ТП Комната 1]:[ТП Комната 3]])</f>
        <v>27.9</v>
      </c>
      <c r="AA114" s="92">
        <v>15.3</v>
      </c>
      <c r="AB114" s="92">
        <v>3.8</v>
      </c>
      <c r="AC114" s="92">
        <v>2.2999999999999998</v>
      </c>
      <c r="AD114" s="92"/>
      <c r="AE114" s="92">
        <v>9.6</v>
      </c>
      <c r="AF114" s="91">
        <v>1.35</v>
      </c>
      <c r="AG114" s="92"/>
      <c r="AH114" s="92"/>
      <c r="AI114" s="91">
        <f>SUM(ППД5[[#This Row],[ТП Лоджия 1]:[ТП Лоджия 3]])</f>
        <v>1.35</v>
      </c>
      <c r="AJ114" s="95">
        <v>2.7</v>
      </c>
      <c r="AK114" s="106">
        <f>SUM(ППД5[[#This Row],[Площадь по ТП жилая]:[ТП Лоджия 3]])-ППД5[[#This Row],[ТП Летние]]+ППД5[[#This Row],[кроме того прочая
(без коэффициента)]]</f>
        <v>61.6</v>
      </c>
      <c r="AL114" s="95">
        <f>ППД5[[#This Row],[ТП Площадь без летних]]+(ППД5[[#This Row],[ТП Летние]])</f>
        <v>60.25</v>
      </c>
      <c r="AM114" s="106">
        <f>ППД5[[#This Row],[ТП общая S]]-ППД5[[#This Row],[кроме того прочая
(без коэффициента)]]</f>
        <v>58.9</v>
      </c>
      <c r="AN114" s="95">
        <f>SUM(ППД5[[#This Row],[ТП Кухня]:[ТП Коридор]])</f>
        <v>31</v>
      </c>
      <c r="AO114" s="91">
        <f>ППД5[[#This Row],[Расчетная ТП площадь]]-ППД5[[#This Row],[Расчетная проектная площадь]]</f>
        <v>3.0000000000001137E-2</v>
      </c>
      <c r="AP114" s="335">
        <f>ППД5[[#This Row],[Расчетная ТП площадь]]/ППД5[[#This Row],[Расчетная проектная площадь]]-1</f>
        <v>4.9817336433077841E-4</v>
      </c>
      <c r="AQ114" s="106">
        <f>ППД5[[#This Row],[% расхождения]]*ППД5[[#This Row],[Стоимость до скидки]]</f>
        <v>3947.5257389570879</v>
      </c>
      <c r="AR114" s="92">
        <f>VLOOKUP(ППД5[[#This Row],[№]],наценкад5[],COLUMN(наценкад5[[#This Row],[Цена м2 с учетом всех K]]),0)</f>
        <v>81466.150500000003</v>
      </c>
      <c r="AS114" s="107">
        <f>ППД5[[#This Row],[м2 после К]]*5%</f>
        <v>4073.3075250000002</v>
      </c>
      <c r="AT114" s="107">
        <f>ППД5[[#This Row],[м2 после К]]+ППД5[[#This Row],[Повышение 16.08.23 - 5%]]</f>
        <v>85539.458025</v>
      </c>
      <c r="AU114" s="9">
        <f>ППД5[[#This Row],[Фикс 16.08.23]]*3%</f>
        <v>2566.1837407499997</v>
      </c>
      <c r="AV114" s="9">
        <f>ППД5[[#This Row],[Фикс 16.08.23]]+ППД5[[#This Row],[Повышение 29.08.23 - 3%]]</f>
        <v>88105.641765749999</v>
      </c>
      <c r="AW114" s="9"/>
      <c r="AX114" s="9">
        <f>ППД5[[#This Row],[Фикс 29.08.23]]+ППД5[[#This Row],[Повышение 06.09.23 СТ и 1К]]</f>
        <v>88105.641765749999</v>
      </c>
      <c r="AY114" s="9"/>
      <c r="AZ114" s="9">
        <f>ППД5[[#This Row],[Повышение 23.10.23  В4 ]]+ППД5[[#This Row],[Фикс 06.09.23]]</f>
        <v>88105.641765749999</v>
      </c>
      <c r="BA114" s="9"/>
      <c r="BB114" s="9">
        <f>ППД5[[#This Row],[Повышение 8.11.23 1К 5%]]+ППД5[[#This Row],[Фикс 23.10.23]]</f>
        <v>88105.641765749999</v>
      </c>
      <c r="BC114" s="9"/>
      <c r="BD114" s="9">
        <f>ППД5[[#This Row],[Корректировка 24.11.23 - 1К В5, 2К А2, №233]]+ППД5[[#This Row],[Фикс 8.11.23]]</f>
        <v>88105.641765749999</v>
      </c>
      <c r="BE114" s="93">
        <f>ППД5[[#This Row],[Фикс 8.11.24]]*1%</f>
        <v>881.05641765749999</v>
      </c>
      <c r="BF114" s="9">
        <f>ППД5[[#This Row],[Наценка за отделку 29.12.23 1%]]+ППД5[[#This Row],[Фикс 8.11.24]]</f>
        <v>88986.698183407498</v>
      </c>
      <c r="BG114" s="93">
        <f>ППД5[[#This Row],[Фикс 29.12.23]]*5%</f>
        <v>4449.3349091703749</v>
      </c>
      <c r="BH114" s="9">
        <f>ППД5[[#This Row],[Фикс 29.12.23]]+ППД5[[#This Row],[Наценка 10.01.24 5%]]</f>
        <v>93436.033092577869</v>
      </c>
      <c r="BI114" s="93">
        <f>100000-ППД5[[#This Row],[Фикс 10.01.24]]</f>
        <v>6563.966907422131</v>
      </c>
      <c r="BJ114" s="9">
        <f>ППД5[[#This Row],[Наценка 26.02.24 1 Этаж]]+ППД5[[#This Row],[Фикс 10.01.24]]</f>
        <v>100000</v>
      </c>
      <c r="BK114" s="93">
        <f>ППД5[[#This Row],[Фикс 26.02.24]]*2%</f>
        <v>2000</v>
      </c>
      <c r="BL114" s="9">
        <f>ППД5[[#This Row],[Фикс 26.02.24]]+ППД5[[#This Row],[Наценка 06.03.24
СТ, 1К - 3%
2К, 3К - 2%]]</f>
        <v>102000</v>
      </c>
      <c r="BM114" s="9"/>
      <c r="BN114" s="9">
        <f>ППД5[[#This Row],[Фикс 06.03.24]]+ППД5[[#This Row],[Наценка Г2+500]]</f>
        <v>102000</v>
      </c>
      <c r="BO114" s="9">
        <f>ППД5[[#This Row],[Фикс 13.03.25]]*2%</f>
        <v>2040</v>
      </c>
      <c r="BP114" s="9">
        <f>ППД5[[#This Row],[Фикс 13.03.25]]+ППД5[[#This Row],[Наценка 20.03.24
2К, 3К - 2%]]</f>
        <v>104040</v>
      </c>
      <c r="BQ114" s="9"/>
      <c r="BR114" s="9">
        <f>ППД5[[#This Row],[Фикс 20.03.24]]+ППД5[[#This Row],[Наценка 08.04.24 
2К: В3 - 150
3К: Г7 +1000]]</f>
        <v>104040</v>
      </c>
      <c r="BS114" s="9"/>
      <c r="BT114" s="9">
        <f>ППД5[[#This Row],[Фикс 08.04.24]]+ППД5[[#This Row],[Наценка 16.05.24 1%
А4,А6,Б3,Б6,Б7,В2,В3,В5,В6,Г1,Г3-Г5]]</f>
        <v>104040</v>
      </c>
      <c r="BU114" s="9"/>
      <c r="BV114" s="9">
        <f>ППД5[[#This Row],[Фикс 16.05.24]]+ППД5[[#This Row],[Наценка 24.05.24
1% - Б4, Б5,Г2,Г6
2% - А1,А3,А5,Б2,Г7]]</f>
        <v>104040</v>
      </c>
      <c r="BW114" s="9"/>
      <c r="BX114" s="9">
        <f>ППД5[[#This Row],[Наценка 06.06.24
0К: В2,Г3 +0,5%
1К: А7, Б5/4, Г6 +0,5%
3К: В6 +0,5%
1К: А3 +1%]]+ППД5[[#This Row],[Фикс 24.05.24]]</f>
        <v>104040</v>
      </c>
      <c r="BY114" s="9"/>
      <c r="BZ114" s="9">
        <f>ППД5[[#This Row],[Фикс 06.06.24]]+ППД5[[#This Row],[13.06.2024
3К - 2%]]</f>
        <v>104040</v>
      </c>
      <c r="CA114" s="9">
        <f>1.5%*ППД5[[#This Row],[Фикс 13.06.24]]</f>
        <v>1560.6</v>
      </c>
      <c r="CB114" s="9">
        <f>ППД5[[#This Row],[02.07.2024: Г3 А1 А3 Б5 Б7 Г2 Г6 Б3 Б4 В3 Г7 2,5% ост 0,5-1,5%]]+ППД5[[#This Row],[Фикс 13.06.24]]</f>
        <v>105600.6</v>
      </c>
      <c r="CC114" s="9"/>
      <c r="CD114" s="9">
        <f>ППД5[[#This Row],[Фикс 02.07.24]]+ППД5[[#This Row],[04.09.2024 +500
0К - Б2; 1К - А3;
2К - А6, Б4, В3, Г5]]</f>
        <v>105600.6</v>
      </c>
      <c r="CE114" s="93">
        <f>ППД5[[#This Row],[Фикс 04.09.24]]*4%</f>
        <v>4224.0240000000003</v>
      </c>
      <c r="CF114" s="9">
        <f>ППД5[[#This Row],[Наценка 16.09.2024
1К: А1,В7,Г6/7,Г8 - 2%
2К: А4,А5,А6,Б1,Б6,Б3/4,В3,В4,Г4,Г5 - 4%
3К: 4%]]+ППД5[[#This Row],[Фикс 04.09.24]]</f>
        <v>109824.62400000001</v>
      </c>
      <c r="CG114" s="93">
        <f>ППД5[[#This Row],[Фикс 16.09.2024]]*6%</f>
        <v>6589.4774400000006</v>
      </c>
      <c r="CH114" s="9">
        <f>ППД5[[#This Row],[Фикс 16.09.2024]]+ППД5[[#This Row],[Наценка 01.11.24
СТ: 4%
1К: 34-40м 5%; 40м+ 8%; МГН 1%
2К: 55-70м 6%; 70-73м 7%; 73-76м 8% 
3К: 5%]]</f>
        <v>116414.10144000001</v>
      </c>
      <c r="CI114" s="93">
        <f>ППД5[[#This Row],[Фикс 01.11.24]]*13%</f>
        <v>15133.833187200002</v>
      </c>
      <c r="CJ114" s="9">
        <f>ППД5[[#This Row],[Наценка 06.11 13%]]+ППД5[[#This Row],[Фикс 01.11.24]]</f>
        <v>131547.93462720001</v>
      </c>
      <c r="CK114" s="93">
        <v>35</v>
      </c>
      <c r="CL114" s="9">
        <f>ППД5[[#This Row],[Фикс 06.11.24]]+ППД5[[#This Row],[Наценка 18.12.24 распределение КВ]]</f>
        <v>131582.93462720001</v>
      </c>
      <c r="CM114" s="9"/>
      <c r="CN114" s="9">
        <f>ППД5[[#This Row],[Фикс 18.12.24]]+ППД5[[#This Row],[Наценка 10.02.25 +1%
1К: А3
2К: Б3, В3]]</f>
        <v>131582.93462720001</v>
      </c>
      <c r="CO114" s="97">
        <f>ROUND(ППД5[[#This Row],[Фикс 10.02.25]],2)</f>
        <v>131582.93</v>
      </c>
      <c r="CP11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7924000</v>
      </c>
      <c r="CQ114" s="93">
        <f>ROUNDUP(ППД5[[#This Row],[Стоимость до скидки]]+ППД5[[#This Row],[Сумма доплаты]],-2)</f>
        <v>7928000</v>
      </c>
      <c r="CR114" s="68"/>
      <c r="CS114" s="90"/>
      <c r="CT114" s="68">
        <f>ППД5[[#This Row],[Стоимость до скидки]]*ППД5[[#This Row],[Скидка %]]+ППД5[[#This Row],[Скидка фиксированная]]</f>
        <v>0</v>
      </c>
      <c r="CU114" s="3">
        <f>ППД5[[#This Row],[Стоимость ОН без отделки со скидкой]]/ППД5[[#This Row],[Расчетная проектная площадь]]</f>
        <v>131584.19129857191</v>
      </c>
      <c r="CV114" s="3">
        <f>ROUND(ППД5[[#This Row],[Стоимость до скидки]]-ППД5[[#This Row],[Итоговая сумма скидки]],2)</f>
        <v>7924000</v>
      </c>
      <c r="CW11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14" s="197"/>
      <c r="CY114" s="332">
        <f>ППД5[[#This Row],[Расхождение]]/ППД5[[#This Row],[Расчетная проектная площадь]]</f>
        <v>4.9817336433080595E-4</v>
      </c>
      <c r="CZ11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8.9999999999999858E-2</v>
      </c>
      <c r="DA114" s="3">
        <f>ППД5[[#This Row],[Цена м2 без отделки со скидкой]]+ППД5[[#This Row],[Стоимость отделки]]</f>
        <v>131584.19129857191</v>
      </c>
      <c r="DB114" s="3">
        <f>ППД5[[#This Row],[Стоимость квартиры с отделкой]]-ППД5[[#This Row],[Стоимость ОН без отделки со скидкой]]</f>
        <v>0</v>
      </c>
      <c r="DC114" s="3">
        <f>ППД5[[#This Row],[Цена м2 с отделкой]]*ППД5[[#This Row],[Расчетная проектная площадь]]</f>
        <v>7924000</v>
      </c>
      <c r="DD114" s="98"/>
      <c r="DE114" s="99"/>
      <c r="DF114" s="155" t="s">
        <v>157</v>
      </c>
      <c r="DG114" s="245" t="s">
        <v>157</v>
      </c>
      <c r="DH114" s="100" t="b">
        <f>EXACT(ППД5[[#This Row],[Статусы CRM]],ППД5[[#This Row],[Статус]])</f>
        <v>1</v>
      </c>
      <c r="DI114" s="213" t="s">
        <v>286</v>
      </c>
      <c r="DJ114" s="204"/>
      <c r="DK114" s="111" t="s">
        <v>763</v>
      </c>
      <c r="DL114" s="216" t="s">
        <v>12</v>
      </c>
      <c r="DM114" s="201" t="b">
        <f>ППД5[[#This Row],[Отделка CRM]]=ППД5[[#This Row],[Отделка]]</f>
        <v>1</v>
      </c>
      <c r="DN114" s="203">
        <v>7924000</v>
      </c>
      <c r="DO11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14" s="207" t="b">
        <f>IF(AND(ППД5[[#This Row],[Статус]]="свободно",ППД5[[#This Row],[Итоговая сумма скидки]]&lt;&gt;0),FALSE,TRUE)</f>
        <v>1</v>
      </c>
      <c r="DQ114" s="240" t="str">
        <f>_xlfn.XLOOKUP(ППД5[[#This Row],[№]],Юрист[№ кв],Юрист[Дата подачи на регистрацию]," ",0,-1)</f>
        <v xml:space="preserve"> </v>
      </c>
      <c r="DR114" s="115" t="str">
        <f>_xlfn.XLOOKUP(ППД5[[#This Row],[№]],Юрист[№ кв],Юрист[МОП],"",0,-1)</f>
        <v/>
      </c>
      <c r="DS114" s="333" t="s">
        <v>2520</v>
      </c>
      <c r="DT114" s="333" t="s">
        <v>2521</v>
      </c>
      <c r="DU114" s="333">
        <v>58.9</v>
      </c>
      <c r="DV114" s="111"/>
    </row>
    <row r="115" spans="1:126" s="110" customFormat="1" hidden="1" x14ac:dyDescent="0.25">
      <c r="A115" s="112">
        <v>113</v>
      </c>
      <c r="B115" s="111" t="s">
        <v>4</v>
      </c>
      <c r="C115" s="111">
        <v>1</v>
      </c>
      <c r="D115" s="111">
        <v>2</v>
      </c>
      <c r="E115" s="151">
        <v>0</v>
      </c>
      <c r="F115" s="152">
        <v>7.13</v>
      </c>
      <c r="G115" s="152"/>
      <c r="H115" s="105"/>
      <c r="I115" s="105">
        <f>SUM(ППД5[[#This Row],[Комната 1]:[Комната 3]])</f>
        <v>7.13</v>
      </c>
      <c r="J115" s="105">
        <v>5.12</v>
      </c>
      <c r="K115" s="105">
        <v>3.65</v>
      </c>
      <c r="L115" s="105"/>
      <c r="M115" s="105"/>
      <c r="N115" s="105">
        <v>6.92</v>
      </c>
      <c r="O115" s="105">
        <v>2.91</v>
      </c>
      <c r="P115" s="105"/>
      <c r="Q115" s="105"/>
      <c r="R115" s="105">
        <f>SUM(ППД5[[#This Row],[Лоджия 1]:[Лоджия 3]])</f>
        <v>2.91</v>
      </c>
      <c r="S115" s="153">
        <f>ROUND(SUM(ППД5[[#This Row],[Площадь по проекту жилая]:[Лоджия 3]]),2)</f>
        <v>25.73</v>
      </c>
      <c r="T115" s="153">
        <f>ROUND(ППД5[[#This Row],[Площадь по проекту(общая)]]-ППД5[[#This Row],[Летние]],2)</f>
        <v>22.82</v>
      </c>
      <c r="U115" s="154">
        <f>ROUND(ППД5[[#This Row],[Площадь по проекту(общая)]]-(SUM(ППД5[[#This Row],[Лоджия 1]:[Лоджия 3]])/2),2)</f>
        <v>24.28</v>
      </c>
      <c r="V115" s="154">
        <f>IF(ППД5[[#This Row],[Статус]]="продажа",ППД5[[#This Row],[Расчетная проектная площадь]],ППД5[[#This Row],[Расчетная ТП площадь]])</f>
        <v>24.28</v>
      </c>
      <c r="W115" s="92">
        <v>7.1</v>
      </c>
      <c r="X115" s="92"/>
      <c r="Y115" s="154"/>
      <c r="Z115" s="92">
        <f>SUM(ППД5[[#This Row],[ТП Комната 1]:[ТП Комната 3]])</f>
        <v>7.1</v>
      </c>
      <c r="AA115" s="154">
        <v>5.2</v>
      </c>
      <c r="AB115" s="154">
        <v>3.6</v>
      </c>
      <c r="AC115" s="154"/>
      <c r="AD115" s="154"/>
      <c r="AE115" s="154">
        <v>6.9</v>
      </c>
      <c r="AF115" s="91">
        <v>1.45</v>
      </c>
      <c r="AG115" s="154"/>
      <c r="AH115" s="154"/>
      <c r="AI115" s="91">
        <f>SUM(ППД5[[#This Row],[ТП Лоджия 1]:[ТП Лоджия 3]])</f>
        <v>1.45</v>
      </c>
      <c r="AJ115" s="95">
        <v>2.9</v>
      </c>
      <c r="AK115" s="154">
        <f>SUM(ППД5[[#This Row],[Площадь по ТП жилая]:[ТП Лоджия 3]])-ППД5[[#This Row],[ТП Летние]]+ППД5[[#This Row],[кроме того прочая
(без коэффициента)]]</f>
        <v>25.7</v>
      </c>
      <c r="AL115" s="95">
        <f>ППД5[[#This Row],[ТП Площадь без летних]]+(ППД5[[#This Row],[ТП Летние]])</f>
        <v>24.25</v>
      </c>
      <c r="AM115" s="154">
        <f>ППД5[[#This Row],[ТП общая S]]-ППД5[[#This Row],[кроме того прочая
(без коэффициента)]]</f>
        <v>22.8</v>
      </c>
      <c r="AN115" s="95">
        <f>SUM(ППД5[[#This Row],[ТП Кухня]:[ТП Коридор]])</f>
        <v>15.700000000000001</v>
      </c>
      <c r="AO115" s="91">
        <f>ППД5[[#This Row],[Расчетная ТП площадь]]-ППД5[[#This Row],[Расчетная проектная площадь]]</f>
        <v>-3.0000000000001137E-2</v>
      </c>
      <c r="AP115" s="335">
        <f>ППД5[[#This Row],[Расчетная ТП площадь]]/ППД5[[#This Row],[Расчетная проектная площадь]]-1</f>
        <v>-1.2355848434926209E-3</v>
      </c>
      <c r="AQ115" s="154">
        <f>ППД5[[#This Row],[% расхождения]]*ППД5[[#This Row],[Стоимость до скидки]]</f>
        <v>-3118.175399505853</v>
      </c>
      <c r="AR115" s="92">
        <f>VLOOKUP(ППД5[[#This Row],[№]],наценкад5[],COLUMN(наценкад5[[#This Row],[Цена м2 с учетом всех K]]),0)</f>
        <v>98989.695000000007</v>
      </c>
      <c r="AS115" s="107">
        <f>ППД5[[#This Row],[м2 после К]]*5%</f>
        <v>4949.4847500000005</v>
      </c>
      <c r="AT115" s="107">
        <f>ППД5[[#This Row],[м2 после К]]+ППД5[[#This Row],[Повышение 16.08.23 - 5%]]</f>
        <v>103939.17975000001</v>
      </c>
      <c r="AU115" s="9"/>
      <c r="AV115" s="9">
        <f>ППД5[[#This Row],[Фикс 16.08.23]]+ППД5[[#This Row],[Повышение 29.08.23 - 3%]]</f>
        <v>103939.17975000001</v>
      </c>
      <c r="AW115" s="9"/>
      <c r="AX115" s="9">
        <f>ППД5[[#This Row],[Фикс 29.08.23]]+ППД5[[#This Row],[Повышение 06.09.23 СТ и 1К]]</f>
        <v>103939.17975000001</v>
      </c>
      <c r="AY115" s="9"/>
      <c r="AZ115" s="9">
        <f>ППД5[[#This Row],[Повышение 23.10.23  В4 ]]+ППД5[[#This Row],[Фикс 06.09.23]]</f>
        <v>103939.17975000001</v>
      </c>
      <c r="BA115" s="9"/>
      <c r="BB115" s="9">
        <f>ППД5[[#This Row],[Повышение 8.11.23 1К 5%]]+ППД5[[#This Row],[Фикс 23.10.23]]</f>
        <v>103939.17975000001</v>
      </c>
      <c r="BC115" s="9"/>
      <c r="BD115" s="9">
        <f>ППД5[[#This Row],[Корректировка 24.11.23 - 1К В5, 2К А2, №233]]+ППД5[[#This Row],[Фикс 8.11.23]]</f>
        <v>103939.17975000001</v>
      </c>
      <c r="BE115" s="9"/>
      <c r="BF115" s="9">
        <f>ППД5[[#This Row],[Наценка за отделку 29.12.23 1%]]+ППД5[[#This Row],[Фикс 8.11.24]]</f>
        <v>103939.17975000001</v>
      </c>
      <c r="BG115" s="9"/>
      <c r="BH115" s="9">
        <f>ППД5[[#This Row],[Фикс 29.12.23]]+ППД5[[#This Row],[Наценка 10.01.24 5%]]</f>
        <v>103939.17975000001</v>
      </c>
      <c r="BI115" s="9"/>
      <c r="BJ115" s="9">
        <f>ППД5[[#This Row],[Наценка 26.02.24 1 Этаж]]+ППД5[[#This Row],[Фикс 10.01.24]]</f>
        <v>103939.17975000001</v>
      </c>
      <c r="BK115" s="93"/>
      <c r="BL115" s="9">
        <f>ППД5[[#This Row],[Фикс 26.02.24]]+ППД5[[#This Row],[Наценка 06.03.24
СТ, 1К - 3%
2К, 3К - 2%]]</f>
        <v>103939.17975000001</v>
      </c>
      <c r="BM115" s="9"/>
      <c r="BN115" s="9">
        <f>ППД5[[#This Row],[Фикс 06.03.24]]+ППД5[[#This Row],[Наценка Г2+500]]</f>
        <v>103939.17975000001</v>
      </c>
      <c r="BO115" s="9"/>
      <c r="BP115" s="9">
        <f>ППД5[[#This Row],[Фикс 13.03.25]]+ППД5[[#This Row],[Наценка 20.03.24
2К, 3К - 2%]]</f>
        <v>103939.17975000001</v>
      </c>
      <c r="BQ115" s="9"/>
      <c r="BR115" s="9">
        <f>ППД5[[#This Row],[Фикс 20.03.24]]+ППД5[[#This Row],[Наценка 08.04.24 
2К: В3 - 150
3К: Г7 +1000]]</f>
        <v>103939.17975000001</v>
      </c>
      <c r="BS115" s="9"/>
      <c r="BT115" s="9">
        <f>ППД5[[#This Row],[Фикс 08.04.24]]+ППД5[[#This Row],[Наценка 16.05.24 1%
А4,А6,Б3,Б6,Б7,В2,В3,В5,В6,Г1,Г3-Г5]]</f>
        <v>103939.17975000001</v>
      </c>
      <c r="BU115" s="9"/>
      <c r="BV115" s="9">
        <f>ППД5[[#This Row],[Фикс 16.05.24]]+ППД5[[#This Row],[Наценка 24.05.24
1% - Б4, Б5,Г2,Г6
2% - А1,А3,А5,Б2,Г7]]</f>
        <v>103939.17975000001</v>
      </c>
      <c r="BW115" s="9"/>
      <c r="BX115" s="9">
        <f>ППД5[[#This Row],[Наценка 06.06.24
0К: В2,Г3 +0,5%
1К: А7, Б5/4, Г6 +0,5%
3К: В6 +0,5%
1К: А3 +1%]]+ППД5[[#This Row],[Фикс 24.05.24]]</f>
        <v>103939.17975000001</v>
      </c>
      <c r="BY115" s="9"/>
      <c r="BZ115" s="9">
        <f>ППД5[[#This Row],[Фикс 06.06.24]]+ППД5[[#This Row],[13.06.2024
3К - 2%]]</f>
        <v>103939.17975000001</v>
      </c>
      <c r="CA115" s="9"/>
      <c r="CB115" s="9">
        <f>ППД5[[#This Row],[02.07.2024: Г3 А1 А3 Б5 Б7 Г2 Г6 Б3 Б4 В3 Г7 2,5% ост 0,5-1,5%]]+ППД5[[#This Row],[Фикс 13.06.24]]</f>
        <v>103939.17975000001</v>
      </c>
      <c r="CC115" s="9"/>
      <c r="CD115" s="9">
        <f>ППД5[[#This Row],[Фикс 02.07.24]]+ППД5[[#This Row],[04.09.2024 +500
0К - Б2; 1К - А3;
2К - А6, Б4, В3, Г5]]</f>
        <v>103939.17975000001</v>
      </c>
      <c r="CE115" s="9"/>
      <c r="CF115" s="9">
        <f>ППД5[[#This Row],[Наценка 16.09.2024
1К: А1,В7,Г6/7,Г8 - 2%
2К: А4,А5,А6,Б1,Б6,Б3/4,В3,В4,Г4,Г5 - 4%
3К: 4%]]+ППД5[[#This Row],[Фикс 04.09.24]]</f>
        <v>103939.17975000001</v>
      </c>
      <c r="CG115" s="9"/>
      <c r="CH115" s="9">
        <f>ППД5[[#This Row],[Фикс 16.09.2024]]+ППД5[[#This Row],[Наценка 01.11.24
СТ: 4%
1К: 34-40м 5%; 40м+ 8%; МГН 1%
2К: 55-70м 6%; 70-73м 7%; 73-76м 8% 
3К: 5%]]</f>
        <v>103939.17975000001</v>
      </c>
      <c r="CI115" s="9"/>
      <c r="CJ115" s="9">
        <f>ППД5[[#This Row],[Наценка 06.11 13%]]+ППД5[[#This Row],[Фикс 01.11.24]]</f>
        <v>103939.17975000001</v>
      </c>
      <c r="CK115" s="9"/>
      <c r="CL115" s="9">
        <f>ППД5[[#This Row],[Фикс 06.11.24]]+ППД5[[#This Row],[Наценка 18.12.24 распределение КВ]]</f>
        <v>103939.17975000001</v>
      </c>
      <c r="CM115" s="9"/>
      <c r="CN115" s="9">
        <f>ППД5[[#This Row],[Фикс 18.12.24]]+ППД5[[#This Row],[Наценка 10.02.25 +1%
1К: А3
2К: Б3, В3]]</f>
        <v>103939.17975000001</v>
      </c>
      <c r="CO115" s="47">
        <f>ROUND(ППД5[[#This Row],[Фикс 10.02.25]],2)</f>
        <v>103939.18</v>
      </c>
      <c r="CP115" s="47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2523643.29</v>
      </c>
      <c r="CQ115" s="47">
        <f>ROUNDUP(ППД5[[#This Row],[Стоимость до скидки]]+ППД5[[#This Row],[Сумма доплаты]],-2)</f>
        <v>2520600</v>
      </c>
      <c r="CR115" s="68"/>
      <c r="CS115" s="90"/>
      <c r="CT115" s="68">
        <f>ППД5[[#This Row],[Стоимость до скидки]]*ППД5[[#This Row],[Скидка %]]+ППД5[[#This Row],[Скидка фиксированная]]</f>
        <v>0</v>
      </c>
      <c r="CU115" s="3">
        <f>ППД5[[#This Row],[Стоимость ОН без отделки со скидкой]]/ППД5[[#This Row],[Расчетная проектная площадь]]</f>
        <v>103939.17998352554</v>
      </c>
      <c r="CV115" s="3">
        <f>ROUND(ППД5[[#This Row],[Стоимость до скидки]]-ППД5[[#This Row],[Итоговая сумма скидки]],2)</f>
        <v>2523643.29</v>
      </c>
      <c r="CW11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15" s="197"/>
      <c r="CY115" s="332">
        <f>ППД5[[#This Row],[Расхождение]]/ППД5[[#This Row],[Расчетная проектная площадь]]</f>
        <v>-1.2355848434926332E-3</v>
      </c>
      <c r="CZ11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1.0000000000000675E-2</v>
      </c>
      <c r="DA115" s="3">
        <f>ППД5[[#This Row],[Цена м2 без отделки со скидкой]]+ППД5[[#This Row],[Стоимость отделки]]</f>
        <v>103939.17998352554</v>
      </c>
      <c r="DB115" s="3">
        <f>ППД5[[#This Row],[Стоимость квартиры с отделкой]]-ППД5[[#This Row],[Стоимость ОН без отделки со скидкой]]</f>
        <v>0</v>
      </c>
      <c r="DC115" s="3">
        <f>ППД5[[#This Row],[Цена м2 с отделкой]]*ППД5[[#This Row],[Расчетная проектная площадь]]</f>
        <v>2523643.29</v>
      </c>
      <c r="DD115" s="68"/>
      <c r="DE115" s="111"/>
      <c r="DF115" s="199" t="s">
        <v>172</v>
      </c>
      <c r="DG115" s="245" t="s">
        <v>172</v>
      </c>
      <c r="DH115" s="100" t="b">
        <f>EXACT(ППД5[[#This Row],[Статусы CRM]],ППД5[[#This Row],[Статус]])</f>
        <v>1</v>
      </c>
      <c r="DI115" s="213" t="s">
        <v>287</v>
      </c>
      <c r="DJ115" s="204"/>
      <c r="DK115" s="111" t="s">
        <v>76</v>
      </c>
      <c r="DL115" s="216" t="s">
        <v>12</v>
      </c>
      <c r="DM115" s="201" t="b">
        <f>ППД5[[#This Row],[Отделка CRM]]=ППД5[[#This Row],[Отделка]]</f>
        <v>1</v>
      </c>
      <c r="DN115" s="203">
        <v>2523643.29</v>
      </c>
      <c r="DO11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15" s="207" t="b">
        <f>IF(AND(ППД5[[#This Row],[Статус]]="свободно",ППД5[[#This Row],[Итоговая сумма скидки]]&lt;&gt;0),FALSE,TRUE)</f>
        <v>1</v>
      </c>
      <c r="DQ115" s="240">
        <f>_xlfn.XLOOKUP(ППД5[[#This Row],[№]],Юрист[№ кв],Юрист[Дата подачи на регистрацию]," ",0,-1)</f>
        <v>45188</v>
      </c>
      <c r="DR115" s="115" t="str">
        <f>_xlfn.XLOOKUP(ППД5[[#This Row],[№]],Юрист[№ кв],Юрист[МОП],"",0,-1)</f>
        <v>Дик</v>
      </c>
      <c r="DS115" s="333" t="s">
        <v>2522</v>
      </c>
      <c r="DT115" s="333" t="s">
        <v>2523</v>
      </c>
      <c r="DU115" s="333">
        <v>22.8</v>
      </c>
      <c r="DV115" s="111"/>
    </row>
    <row r="116" spans="1:126" hidden="1" x14ac:dyDescent="0.25">
      <c r="A116" s="112">
        <v>114</v>
      </c>
      <c r="B116" s="111" t="s">
        <v>4</v>
      </c>
      <c r="C116" s="111">
        <v>1</v>
      </c>
      <c r="D116" s="111">
        <v>3</v>
      </c>
      <c r="E116" s="111">
        <v>2</v>
      </c>
      <c r="F116" s="339">
        <v>14.6</v>
      </c>
      <c r="G116" s="105">
        <v>13.12</v>
      </c>
      <c r="H116" s="105"/>
      <c r="I116" s="94">
        <f>SUM(ППД5[[#This Row],[Комната 1]:[Комната 3]])</f>
        <v>27.72</v>
      </c>
      <c r="J116" s="105">
        <v>14.35</v>
      </c>
      <c r="K116" s="105">
        <v>3.68</v>
      </c>
      <c r="L116" s="105">
        <v>2.57</v>
      </c>
      <c r="M116" s="105"/>
      <c r="N116" s="105">
        <v>7.95</v>
      </c>
      <c r="O116" s="105">
        <v>2.65</v>
      </c>
      <c r="P116" s="105"/>
      <c r="Q116" s="105"/>
      <c r="R116" s="105">
        <f>SUM(ППД5[[#This Row],[Лоджия 1]:[Лоджия 3]])</f>
        <v>2.65</v>
      </c>
      <c r="S116" s="107">
        <f>ROUND(SUM(ППД5[[#This Row],[Площадь по проекту жилая]:[Лоджия 3]]),2)</f>
        <v>58.92</v>
      </c>
      <c r="T116" s="107">
        <f>ROUND(ППД5[[#This Row],[Площадь по проекту(общая)]]-ППД5[[#This Row],[Летние]],2)</f>
        <v>56.27</v>
      </c>
      <c r="U116" s="92">
        <f>ROUND(ППД5[[#This Row],[Площадь по проекту(общая)]]-(SUM(ППД5[[#This Row],[Лоджия 1]:[Лоджия 3]])/2),2)</f>
        <v>57.6</v>
      </c>
      <c r="V116" s="92">
        <f>IF(ППД5[[#This Row],[Статус]]="продажа",ППД5[[#This Row],[Расчетная проектная площадь]],ППД5[[#This Row],[Расчетная ТП площадь]])</f>
        <v>57.35</v>
      </c>
      <c r="W116" s="92">
        <v>13</v>
      </c>
      <c r="X116" s="92">
        <v>14.5</v>
      </c>
      <c r="Y116" s="91"/>
      <c r="Z116" s="92">
        <f>SUM(ППД5[[#This Row],[ТП Комната 1]:[ТП Комната 3]])</f>
        <v>27.5</v>
      </c>
      <c r="AA116" s="92">
        <v>14.2</v>
      </c>
      <c r="AB116" s="92">
        <v>2.6</v>
      </c>
      <c r="AC116" s="92">
        <v>3.8</v>
      </c>
      <c r="AD116" s="92"/>
      <c r="AE116" s="92">
        <v>7.9</v>
      </c>
      <c r="AF116" s="91">
        <v>1.35</v>
      </c>
      <c r="AG116" s="92"/>
      <c r="AH116" s="92"/>
      <c r="AI116" s="91">
        <f>SUM(ППД5[[#This Row],[ТП Лоджия 1]:[ТП Лоджия 3]])</f>
        <v>1.35</v>
      </c>
      <c r="AJ116" s="95">
        <v>2.7</v>
      </c>
      <c r="AK116" s="106">
        <f>SUM(ППД5[[#This Row],[Площадь по ТП жилая]:[ТП Лоджия 3]])-ППД5[[#This Row],[ТП Летние]]+ППД5[[#This Row],[кроме того прочая
(без коэффициента)]]</f>
        <v>58.7</v>
      </c>
      <c r="AL116" s="95">
        <f>ППД5[[#This Row],[ТП Площадь без летних]]+(ППД5[[#This Row],[ТП Летние]])</f>
        <v>57.35</v>
      </c>
      <c r="AM116" s="106">
        <f>ППД5[[#This Row],[ТП общая S]]-ППД5[[#This Row],[кроме того прочая
(без коэффициента)]]</f>
        <v>56</v>
      </c>
      <c r="AN116" s="95">
        <f>SUM(ППД5[[#This Row],[ТП Кухня]:[ТП Коридор]])</f>
        <v>28.5</v>
      </c>
      <c r="AO116" s="91">
        <f>ППД5[[#This Row],[Расчетная ТП площадь]]-ППД5[[#This Row],[Расчетная проектная площадь]]</f>
        <v>-0.25</v>
      </c>
      <c r="AP116" s="335">
        <f>ППД5[[#This Row],[Расчетная ТП площадь]]/ППД5[[#This Row],[Расчетная проектная площадь]]-1</f>
        <v>-4.3402777777777901E-3</v>
      </c>
      <c r="AQ116" s="106">
        <f>ППД5[[#This Row],[% расхождения]]*ППД5[[#This Row],[Стоимость до скидки]]</f>
        <v>-33887.586805555649</v>
      </c>
      <c r="AR116" s="92">
        <f>VLOOKUP(ППД5[[#This Row],[№]],наценкад5[],COLUMN(наценкад5[[#This Row],[Цена м2 с учетом всех K]]),0)</f>
        <v>79921.768500000006</v>
      </c>
      <c r="AS116" s="107">
        <f>ППД5[[#This Row],[м2 после К]]*5%</f>
        <v>3996.0884250000004</v>
      </c>
      <c r="AT116" s="107">
        <f>ППД5[[#This Row],[м2 после К]]+ППД5[[#This Row],[Повышение 16.08.23 - 5%]]</f>
        <v>83917.856925</v>
      </c>
      <c r="AU116" s="9">
        <f>ППД5[[#This Row],[Фикс 16.08.23]]*3%</f>
        <v>2517.5357077499998</v>
      </c>
      <c r="AV116" s="9">
        <f>ППД5[[#This Row],[Фикс 16.08.23]]+ППД5[[#This Row],[Повышение 29.08.23 - 3%]]</f>
        <v>86435.392632749994</v>
      </c>
      <c r="AW116" s="9"/>
      <c r="AX116" s="9">
        <f>ППД5[[#This Row],[Фикс 29.08.23]]+ППД5[[#This Row],[Повышение 06.09.23 СТ и 1К]]</f>
        <v>86435.392632749994</v>
      </c>
      <c r="AY116" s="9"/>
      <c r="AZ116" s="9">
        <f>ППД5[[#This Row],[Повышение 23.10.23  В4 ]]+ППД5[[#This Row],[Фикс 06.09.23]]</f>
        <v>86435.392632749994</v>
      </c>
      <c r="BA116" s="9"/>
      <c r="BB116" s="9">
        <f>ППД5[[#This Row],[Повышение 8.11.23 1К 5%]]+ППД5[[#This Row],[Фикс 23.10.23]]</f>
        <v>86435.392632749994</v>
      </c>
      <c r="BC116" s="9"/>
      <c r="BD116" s="9">
        <f>ППД5[[#This Row],[Корректировка 24.11.23 - 1К В5, 2К А2, №233]]+ППД5[[#This Row],[Фикс 8.11.23]]</f>
        <v>86435.392632749994</v>
      </c>
      <c r="BE116" s="93">
        <f>ППД5[[#This Row],[Фикс 8.11.24]]*1%</f>
        <v>864.35392632749995</v>
      </c>
      <c r="BF116" s="9">
        <f>ППД5[[#This Row],[Наценка за отделку 29.12.23 1%]]+ППД5[[#This Row],[Фикс 8.11.24]]</f>
        <v>87299.746559077495</v>
      </c>
      <c r="BG116" s="93">
        <f>ППД5[[#This Row],[Фикс 29.12.23]]*5%</f>
        <v>4364.9873279538751</v>
      </c>
      <c r="BH116" s="9">
        <f>ППД5[[#This Row],[Фикс 29.12.23]]+ППД5[[#This Row],[Наценка 10.01.24 5%]]</f>
        <v>91664.733887031369</v>
      </c>
      <c r="BI116" s="93">
        <f>100000-ППД5[[#This Row],[Фикс 10.01.24]]</f>
        <v>8335.2661129686312</v>
      </c>
      <c r="BJ116" s="9">
        <f>ППД5[[#This Row],[Наценка 26.02.24 1 Этаж]]+ППД5[[#This Row],[Фикс 10.01.24]]</f>
        <v>100000</v>
      </c>
      <c r="BK116" s="93">
        <f>ППД5[[#This Row],[Фикс 26.02.24]]*2%</f>
        <v>2000</v>
      </c>
      <c r="BL116" s="9">
        <f>ППД5[[#This Row],[Фикс 26.02.24]]+ППД5[[#This Row],[Наценка 06.03.24
СТ, 1К - 3%
2К, 3К - 2%]]</f>
        <v>102000</v>
      </c>
      <c r="BM116" s="9"/>
      <c r="BN116" s="9">
        <f>ППД5[[#This Row],[Фикс 06.03.24]]+ППД5[[#This Row],[Наценка Г2+500]]</f>
        <v>102000</v>
      </c>
      <c r="BO116" s="9">
        <f>ППД5[[#This Row],[Фикс 13.03.25]]*2%</f>
        <v>2040</v>
      </c>
      <c r="BP116" s="9">
        <f>ППД5[[#This Row],[Фикс 13.03.25]]+ППД5[[#This Row],[Наценка 20.03.24
2К, 3К - 2%]]</f>
        <v>104040</v>
      </c>
      <c r="BQ116" s="9"/>
      <c r="BR116" s="9">
        <f>ППД5[[#This Row],[Фикс 20.03.24]]+ППД5[[#This Row],[Наценка 08.04.24 
2К: В3 - 150
3К: Г7 +1000]]</f>
        <v>104040</v>
      </c>
      <c r="BS116" s="9">
        <f>ППД5[[#This Row],[Фикс 08.04.24]]*1%</f>
        <v>1040.4000000000001</v>
      </c>
      <c r="BT116" s="9">
        <f>ППД5[[#This Row],[Фикс 08.04.24]]+ППД5[[#This Row],[Наценка 16.05.24 1%
А4,А6,Б3,Б6,Б7,В2,В3,В5,В6,Г1,Г3-Г5]]</f>
        <v>105080.4</v>
      </c>
      <c r="BU116" s="9"/>
      <c r="BV116" s="9">
        <f>ППД5[[#This Row],[Фикс 16.05.24]]+ППД5[[#This Row],[Наценка 24.05.24
1% - Б4, Б5,Г2,Г6
2% - А1,А3,А5,Б2,Г7]]</f>
        <v>105080.4</v>
      </c>
      <c r="BW116" s="9"/>
      <c r="BX116" s="9">
        <f>ППД5[[#This Row],[Наценка 06.06.24
0К: В2,Г3 +0,5%
1К: А7, Б5/4, Г6 +0,5%
3К: В6 +0,5%
1К: А3 +1%]]+ППД5[[#This Row],[Фикс 24.05.24]]</f>
        <v>105080.4</v>
      </c>
      <c r="BY116" s="9"/>
      <c r="BZ116" s="9">
        <f>ППД5[[#This Row],[Фикс 06.06.24]]+ППД5[[#This Row],[13.06.2024
3К - 2%]]</f>
        <v>105080.4</v>
      </c>
      <c r="CA116" s="9">
        <f>2.5%*ППД5[[#This Row],[Фикс 13.06.24]]</f>
        <v>2627.01</v>
      </c>
      <c r="CB116" s="9">
        <f>ППД5[[#This Row],[02.07.2024: Г3 А1 А3 Б5 Б7 Г2 Г6 Б3 Б4 В3 Г7 2,5% ост 0,5-1,5%]]+ППД5[[#This Row],[Фикс 13.06.24]]</f>
        <v>107707.40999999999</v>
      </c>
      <c r="CC116" s="9"/>
      <c r="CD116" s="9">
        <f>ППД5[[#This Row],[Фикс 02.07.24]]+ППД5[[#This Row],[04.09.2024 +500
0К - Б2; 1К - А3;
2К - А6, Б4, В3, Г5]]</f>
        <v>107707.40999999999</v>
      </c>
      <c r="CE116" s="93">
        <f>ППД5[[#This Row],[Фикс 04.09.24]]*4%</f>
        <v>4308.2963999999993</v>
      </c>
      <c r="CF116" s="9">
        <f>ППД5[[#This Row],[Наценка 16.09.2024
1К: А1,В7,Г6/7,Г8 - 2%
2К: А4,А5,А6,Б1,Б6,Б3/4,В3,В4,Г4,Г5 - 4%
3К: 4%]]+ППД5[[#This Row],[Фикс 04.09.24]]</f>
        <v>112015.7064</v>
      </c>
      <c r="CG116" s="93">
        <f>ППД5[[#This Row],[Фикс 16.09.2024]]*6%</f>
        <v>6720.942383999999</v>
      </c>
      <c r="CH116" s="9">
        <f>ППД5[[#This Row],[Фикс 16.09.2024]]+ППД5[[#This Row],[Наценка 01.11.24
СТ: 4%
1К: 34-40м 5%; 40м+ 8%; МГН 1%
2К: 55-70м 6%; 70-73м 7%; 73-76м 8% 
3К: 5%]]</f>
        <v>118736.64878399999</v>
      </c>
      <c r="CI116" s="93">
        <f>ППД5[[#This Row],[Фикс 01.11.24]]*13%</f>
        <v>15435.764341919999</v>
      </c>
      <c r="CJ116" s="9">
        <f>ППД5[[#This Row],[Наценка 06.11 13%]]+ППД5[[#This Row],[Фикс 01.11.24]]</f>
        <v>134172.41312591999</v>
      </c>
      <c r="CK116" s="93">
        <v>35</v>
      </c>
      <c r="CL116" s="9">
        <f>ППД5[[#This Row],[Фикс 06.11.24]]+ППД5[[#This Row],[Наценка 18.12.24 распределение КВ]]</f>
        <v>134207.41312591999</v>
      </c>
      <c r="CM116" s="93">
        <f>ППД5[[#This Row],[Фикс 18.12.24]]*1%</f>
        <v>1342.0741312591999</v>
      </c>
      <c r="CN116" s="9">
        <f>ППД5[[#This Row],[Фикс 18.12.24]]+ППД5[[#This Row],[Наценка 10.02.25 +1%
1К: А3
2К: Б3, В3]]</f>
        <v>135549.48725717919</v>
      </c>
      <c r="CO116" s="97">
        <f>ROUND(ППД5[[#This Row],[Фикс 10.02.25]],2)</f>
        <v>135549.49</v>
      </c>
      <c r="CP11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7807700</v>
      </c>
      <c r="CQ116" s="93">
        <f>ROUNDUP(ППД5[[#This Row],[Стоимость до скидки]]+ППД5[[#This Row],[Сумма доплаты]],-2)</f>
        <v>7773900</v>
      </c>
      <c r="CR116" s="68"/>
      <c r="CS116" s="90"/>
      <c r="CT116" s="68">
        <f>ППД5[[#This Row],[Стоимость до скидки]]*ППД5[[#This Row],[Скидка %]]+ППД5[[#This Row],[Скидка фиксированная]]</f>
        <v>0</v>
      </c>
      <c r="CU116" s="3">
        <f>ППД5[[#This Row],[Стоимость ОН без отделки со скидкой]]/ППД5[[#This Row],[Расчетная проектная площадь]]</f>
        <v>135550.34722222222</v>
      </c>
      <c r="CV116" s="3">
        <f>ROUND(ППД5[[#This Row],[Стоимость до скидки]]-ППД5[[#This Row],[Итоговая сумма скидки]],2)</f>
        <v>7807700</v>
      </c>
      <c r="CW11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16" s="197"/>
      <c r="CY116" s="332">
        <f>ППД5[[#This Row],[Расхождение]]/ППД5[[#This Row],[Расчетная проектная площадь]]</f>
        <v>-4.340277777777778E-3</v>
      </c>
      <c r="CZ11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-4.9999999999998934E-2</v>
      </c>
      <c r="DA116" s="3">
        <f>ППД5[[#This Row],[Цена м2 без отделки со скидкой]]+ППД5[[#This Row],[Стоимость отделки]]</f>
        <v>135550.34722222222</v>
      </c>
      <c r="DB116" s="3">
        <f>ППД5[[#This Row],[Стоимость квартиры с отделкой]]-ППД5[[#This Row],[Стоимость ОН без отделки со скидкой]]</f>
        <v>0</v>
      </c>
      <c r="DC116" s="3">
        <f>ППД5[[#This Row],[Цена м2 с отделкой]]*ППД5[[#This Row],[Расчетная проектная площадь]]</f>
        <v>7807700</v>
      </c>
      <c r="DD116" s="3" t="s">
        <v>154</v>
      </c>
      <c r="DE116" s="99"/>
      <c r="DF116" s="155" t="s">
        <v>157</v>
      </c>
      <c r="DG116" s="245" t="s">
        <v>157</v>
      </c>
      <c r="DH116" s="100" t="b">
        <f>EXACT(ППД5[[#This Row],[Статусы CRM]],ППД5[[#This Row],[Статус]])</f>
        <v>1</v>
      </c>
      <c r="DI116" s="213" t="s">
        <v>288</v>
      </c>
      <c r="DJ116" s="204"/>
      <c r="DK116" s="111" t="s">
        <v>763</v>
      </c>
      <c r="DL116" s="216" t="s">
        <v>12</v>
      </c>
      <c r="DM116" s="201" t="b">
        <f>ППД5[[#This Row],[Отделка CRM]]=ППД5[[#This Row],[Отделка]]</f>
        <v>1</v>
      </c>
      <c r="DN116" s="203">
        <v>7807700</v>
      </c>
      <c r="DO11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16" s="207" t="b">
        <f>IF(AND(ППД5[[#This Row],[Статус]]="свободно",ППД5[[#This Row],[Итоговая сумма скидки]]&lt;&gt;0),FALSE,TRUE)</f>
        <v>1</v>
      </c>
      <c r="DQ116" s="240" t="str">
        <f>_xlfn.XLOOKUP(ППД5[[#This Row],[№]],Юрист[№ кв],Юрист[Дата подачи на регистрацию]," ",0,-1)</f>
        <v xml:space="preserve"> </v>
      </c>
      <c r="DR116" s="115" t="str">
        <f>_xlfn.XLOOKUP(ППД5[[#This Row],[№]],Юрист[№ кв],Юрист[МОП],"",0,-1)</f>
        <v/>
      </c>
      <c r="DS116" s="333" t="s">
        <v>2524</v>
      </c>
      <c r="DT116" s="333" t="s">
        <v>2525</v>
      </c>
      <c r="DU116" s="333">
        <v>56</v>
      </c>
      <c r="DV116" s="111"/>
    </row>
    <row r="117" spans="1:126" hidden="1" x14ac:dyDescent="0.25">
      <c r="A117" s="112">
        <v>115</v>
      </c>
      <c r="B117" s="111" t="s">
        <v>4</v>
      </c>
      <c r="C117" s="111">
        <v>1</v>
      </c>
      <c r="D117" s="111">
        <v>4</v>
      </c>
      <c r="E117" s="111">
        <v>1</v>
      </c>
      <c r="F117" s="339">
        <v>12.06</v>
      </c>
      <c r="G117" s="105"/>
      <c r="H117" s="105"/>
      <c r="I117" s="94">
        <f>SUM(ППД5[[#This Row],[Комната 1]:[Комната 3]])</f>
        <v>12.06</v>
      </c>
      <c r="J117" s="105">
        <v>13.18</v>
      </c>
      <c r="K117" s="105">
        <v>4.1100000000000003</v>
      </c>
      <c r="L117" s="105"/>
      <c r="M117" s="105"/>
      <c r="N117" s="105">
        <v>7.09</v>
      </c>
      <c r="O117" s="105">
        <v>2.84</v>
      </c>
      <c r="P117" s="105"/>
      <c r="Q117" s="105"/>
      <c r="R117" s="105">
        <f>SUM(ППД5[[#This Row],[Лоджия 1]:[Лоджия 3]])</f>
        <v>2.84</v>
      </c>
      <c r="S117" s="107">
        <f>ROUND(SUM(ППД5[[#This Row],[Площадь по проекту жилая]:[Лоджия 3]]),2)</f>
        <v>39.28</v>
      </c>
      <c r="T117" s="107">
        <f>ROUND(ППД5[[#This Row],[Площадь по проекту(общая)]]-ППД5[[#This Row],[Летние]],2)</f>
        <v>36.44</v>
      </c>
      <c r="U117" s="92">
        <f>ROUND(ППД5[[#This Row],[Площадь по проекту(общая)]]-(SUM(ППД5[[#This Row],[Лоджия 1]:[Лоджия 3]])/2),2)</f>
        <v>37.86</v>
      </c>
      <c r="V117" s="92">
        <f>IF(ППД5[[#This Row],[Статус]]="продажа",ППД5[[#This Row],[Расчетная проектная площадь]],ППД5[[#This Row],[Расчетная ТП площадь]])</f>
        <v>37.799999999999997</v>
      </c>
      <c r="W117" s="92">
        <v>12</v>
      </c>
      <c r="X117" s="92"/>
      <c r="Y117" s="92"/>
      <c r="Z117" s="92">
        <f>SUM(ППД5[[#This Row],[ТП Комната 1]:[ТП Комната 3]])</f>
        <v>12</v>
      </c>
      <c r="AA117" s="92">
        <v>13.2</v>
      </c>
      <c r="AB117" s="92">
        <v>4.0999999999999996</v>
      </c>
      <c r="AC117" s="92"/>
      <c r="AD117" s="92"/>
      <c r="AE117" s="92">
        <v>7.1</v>
      </c>
      <c r="AF117" s="92">
        <v>1.4</v>
      </c>
      <c r="AG117" s="92"/>
      <c r="AH117" s="92"/>
      <c r="AI117" s="91">
        <f>SUM(ППД5[[#This Row],[ТП Лоджия 1]:[ТП Лоджия 3]])</f>
        <v>1.4</v>
      </c>
      <c r="AJ117" s="95">
        <v>2.8</v>
      </c>
      <c r="AK117" s="106">
        <f>SUM(ППД5[[#This Row],[Площадь по ТП жилая]:[ТП Лоджия 3]])-ППД5[[#This Row],[ТП Летние]]+ППД5[[#This Row],[кроме того прочая
(без коэффициента)]]</f>
        <v>39.199999999999996</v>
      </c>
      <c r="AL117" s="95">
        <f>ППД5[[#This Row],[ТП Площадь без летних]]+(ППД5[[#This Row],[ТП Летние]])</f>
        <v>37.799999999999997</v>
      </c>
      <c r="AM117" s="106">
        <f>ППД5[[#This Row],[ТП общая S]]-ППД5[[#This Row],[кроме того прочая
(без коэффициента)]]</f>
        <v>36.4</v>
      </c>
      <c r="AN117" s="95">
        <f>SUM(ППД5[[#This Row],[ТП Кухня]:[ТП Коридор]])</f>
        <v>24.4</v>
      </c>
      <c r="AO117" s="91">
        <f>ППД5[[#This Row],[Расчетная ТП площадь]]-ППД5[[#This Row],[Расчетная проектная площадь]]</f>
        <v>-6.0000000000002274E-2</v>
      </c>
      <c r="AP117" s="335">
        <f>ППД5[[#This Row],[Расчетная ТП площадь]]/ППД5[[#This Row],[Расчетная проектная площадь]]-1</f>
        <v>-1.5847860538827918E-3</v>
      </c>
      <c r="AQ117" s="106">
        <f>ППД5[[#This Row],[% расхождения]]*ППД5[[#This Row],[Стоимость до скидки]]</f>
        <v>-9067.6703645011694</v>
      </c>
      <c r="AR117" s="92">
        <f>VLOOKUP(ППД5[[#This Row],[№]],наценкад5[],COLUMN(наценкад5[[#This Row],[Цена м2 с учетом всех K]]),0)</f>
        <v>91657.125</v>
      </c>
      <c r="AS117" s="107">
        <f>ППД5[[#This Row],[м2 после К]]*5%</f>
        <v>4582.8562499999998</v>
      </c>
      <c r="AT117" s="107">
        <f>ППД5[[#This Row],[м2 после К]]+ППД5[[#This Row],[Повышение 16.08.23 - 5%]]</f>
        <v>96239.981249999997</v>
      </c>
      <c r="AU117" s="9">
        <f>ППД5[[#This Row],[Фикс 16.08.23]]*3%</f>
        <v>2887.1994374999999</v>
      </c>
      <c r="AV117" s="9">
        <f>ППД5[[#This Row],[Фикс 16.08.23]]+ППД5[[#This Row],[Повышение 29.08.23 - 3%]]</f>
        <v>99127.180687500004</v>
      </c>
      <c r="AW117" s="93">
        <f>ППД5[[#This Row],[Фикс 29.08.23]]*4.5%</f>
        <v>4460.7231309375002</v>
      </c>
      <c r="AX117" s="9">
        <f>ППД5[[#This Row],[Фикс 29.08.23]]+ППД5[[#This Row],[Повышение 06.09.23 СТ и 1К]]</f>
        <v>103587.90381843751</v>
      </c>
      <c r="AY117" s="9"/>
      <c r="AZ117" s="9">
        <f>ППД5[[#This Row],[Повышение 23.10.23  В4 ]]+ППД5[[#This Row],[Фикс 06.09.23]]</f>
        <v>103587.90381843751</v>
      </c>
      <c r="BA117" s="93">
        <f>ППД5[[#This Row],[Фикс 23.10.23]]*5%</f>
        <v>5179.3951909218758</v>
      </c>
      <c r="BB117" s="93">
        <f>ППД5[[#This Row],[Повышение 8.11.23 1К 5%]]+ППД5[[#This Row],[Фикс 23.10.23]]</f>
        <v>108767.29900935938</v>
      </c>
      <c r="BC117" s="93"/>
      <c r="BD117" s="93">
        <f>ППД5[[#This Row],[Корректировка 24.11.23 - 1К В5, 2К А2, №233]]+ППД5[[#This Row],[Фикс 8.11.23]]</f>
        <v>108767.29900935938</v>
      </c>
      <c r="BE117" s="93">
        <f>ППД5[[#This Row],[Фикс 8.11.24]]*1%</f>
        <v>1087.6729900935939</v>
      </c>
      <c r="BF117" s="93">
        <f>ППД5[[#This Row],[Наценка за отделку 29.12.23 1%]]+ППД5[[#This Row],[Фикс 8.11.24]]</f>
        <v>109854.97199945297</v>
      </c>
      <c r="BG117" s="93">
        <f>ППД5[[#This Row],[Фикс 29.12.23]]*5%</f>
        <v>5492.7485999726487</v>
      </c>
      <c r="BH117" s="93">
        <f>ППД5[[#This Row],[Фикс 29.12.23]]+ППД5[[#This Row],[Наценка 10.01.24 5%]]</f>
        <v>115347.72059942562</v>
      </c>
      <c r="BI117" s="93">
        <f>120000-ППД5[[#This Row],[Фикс 10.01.24]]</f>
        <v>4652.2794005743781</v>
      </c>
      <c r="BJ117" s="93">
        <f>ППД5[[#This Row],[Наценка 26.02.24 1 Этаж]]+ППД5[[#This Row],[Фикс 10.01.24]]</f>
        <v>120000</v>
      </c>
      <c r="BK117" s="93">
        <f>ППД5[[#This Row],[Фикс 26.02.24]]*3%</f>
        <v>3600</v>
      </c>
      <c r="BL117" s="93">
        <f>ППД5[[#This Row],[Фикс 26.02.24]]+ППД5[[#This Row],[Наценка 06.03.24
СТ, 1К - 3%
2К, 3К - 2%]]</f>
        <v>123600</v>
      </c>
      <c r="BM117" s="93"/>
      <c r="BN117" s="93">
        <f>ППД5[[#This Row],[Фикс 06.03.24]]+ППД5[[#This Row],[Наценка Г2+500]]</f>
        <v>123600</v>
      </c>
      <c r="BO117" s="93"/>
      <c r="BP117" s="93">
        <f>ППД5[[#This Row],[Фикс 13.03.25]]+ППД5[[#This Row],[Наценка 20.03.24
2К, 3К - 2%]]</f>
        <v>123600</v>
      </c>
      <c r="BQ117" s="93"/>
      <c r="BR117" s="93">
        <f>ППД5[[#This Row],[Фикс 20.03.24]]+ППД5[[#This Row],[Наценка 08.04.24 
2К: В3 - 150
3К: Г7 +1000]]</f>
        <v>123600</v>
      </c>
      <c r="BS117" s="93"/>
      <c r="BT117" s="93">
        <f>ППД5[[#This Row],[Фикс 08.04.24]]+ППД5[[#This Row],[Наценка 16.05.24 1%
А4,А6,Б3,Б6,Б7,В2,В3,В5,В6,Г1,Г3-Г5]]</f>
        <v>123600</v>
      </c>
      <c r="BU117" s="93">
        <f>ППД5[[#This Row],[Фикс 16.05.24]]*1%</f>
        <v>1236</v>
      </c>
      <c r="BV117" s="93">
        <f>ППД5[[#This Row],[Фикс 16.05.24]]+ППД5[[#This Row],[Наценка 24.05.24
1% - Б4, Б5,Г2,Г6
2% - А1,А3,А5,Б2,Г7]]</f>
        <v>124836</v>
      </c>
      <c r="BW117" s="93">
        <f>ППД5[[#This Row],[Фикс 24.05.24]]*0.5%</f>
        <v>624.18000000000006</v>
      </c>
      <c r="BX117" s="93">
        <f>ППД5[[#This Row],[Наценка 06.06.24
0К: В2,Г3 +0,5%
1К: А7, Б5/4, Г6 +0,5%
3К: В6 +0,5%
1К: А3 +1%]]+ППД5[[#This Row],[Фикс 24.05.24]]</f>
        <v>125460.18</v>
      </c>
      <c r="BY117" s="93"/>
      <c r="BZ117" s="93">
        <f>ППД5[[#This Row],[Фикс 06.06.24]]+ППД5[[#This Row],[13.06.2024
3К - 2%]]</f>
        <v>125460.18</v>
      </c>
      <c r="CA117" s="93">
        <f>1.5%*ППД5[[#This Row],[Фикс 13.06.24]]</f>
        <v>1881.9026999999999</v>
      </c>
      <c r="CB117" s="93">
        <f>ППД5[[#This Row],[02.07.2024: Г3 А1 А3 Б5 Б7 Г2 Г6 Б3 Б4 В3 Г7 2,5% ост 0,5-1,5%]]+ППД5[[#This Row],[Фикс 13.06.24]]</f>
        <v>127342.0827</v>
      </c>
      <c r="CC117" s="93"/>
      <c r="CD117" s="93">
        <f>ППД5[[#This Row],[Фикс 02.07.24]]+ППД5[[#This Row],[04.09.2024 +500
0К - Б2; 1К - А3;
2К - А6, Б4, В3, Г5]]</f>
        <v>127342.0827</v>
      </c>
      <c r="CE117" s="93"/>
      <c r="CF117" s="93">
        <f>ППД5[[#This Row],[Наценка 16.09.2024
1К: А1,В7,Г6/7,Г8 - 2%
2К: А4,А5,А6,Б1,Б6,Б3/4,В3,В4,Г4,Г5 - 4%
3К: 4%]]+ППД5[[#This Row],[Фикс 04.09.24]]</f>
        <v>127342.0827</v>
      </c>
      <c r="CG117" s="93">
        <f>ППД5[[#This Row],[Фикс 16.09.2024]]*5%</f>
        <v>6367.1041350000005</v>
      </c>
      <c r="CH117" s="93">
        <f>ППД5[[#This Row],[Фикс 16.09.2024]]+ППД5[[#This Row],[Наценка 01.11.24
СТ: 4%
1К: 34-40м 5%; 40м+ 8%; МГН 1%
2К: 55-70м 6%; 70-73м 7%; 73-76м 8% 
3К: 5%]]</f>
        <v>133709.186835</v>
      </c>
      <c r="CI117" s="93">
        <f>ППД5[[#This Row],[Фикс 01.11.24]]*13%</f>
        <v>17382.194288549999</v>
      </c>
      <c r="CJ117" s="93">
        <f>ППД5[[#This Row],[Наценка 06.11 13%]]+ППД5[[#This Row],[Фикс 01.11.24]]</f>
        <v>151091.38112355</v>
      </c>
      <c r="CK117" s="93">
        <v>35</v>
      </c>
      <c r="CL117" s="93">
        <f>ППД5[[#This Row],[Фикс 06.11.24]]+ППД5[[#This Row],[Наценка 18.12.24 распределение КВ]]</f>
        <v>151126.38112355</v>
      </c>
      <c r="CM117" s="93"/>
      <c r="CN117" s="93">
        <f>ППД5[[#This Row],[Фикс 18.12.24]]+ППД5[[#This Row],[Наценка 10.02.25 +1%
1К: А3
2К: Б3, В3]]</f>
        <v>151126.38112355</v>
      </c>
      <c r="CO117" s="97">
        <f>ROUND(ППД5[[#This Row],[Фикс 10.02.25]],2)</f>
        <v>151126.38</v>
      </c>
      <c r="CP11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5721700</v>
      </c>
      <c r="CQ117" s="93">
        <f>ROUNDUP(ППД5[[#This Row],[Стоимость до скидки]]+ППД5[[#This Row],[Сумма доплаты]],-2)</f>
        <v>5712700</v>
      </c>
      <c r="CR117" s="68"/>
      <c r="CS117" s="90"/>
      <c r="CT117" s="68">
        <f>ППД5[[#This Row],[Стоимость до скидки]]*ППД5[[#This Row],[Скидка %]]+ППД5[[#This Row],[Скидка фиксированная]]</f>
        <v>0</v>
      </c>
      <c r="CU117" s="3">
        <f>ППД5[[#This Row],[Стоимость ОН без отделки со скидкой]]/ППД5[[#This Row],[Расчетная проектная площадь]]</f>
        <v>151127.83940834654</v>
      </c>
      <c r="CV117" s="3">
        <f>ROUND(ППД5[[#This Row],[Стоимость до скидки]]-ППД5[[#This Row],[Итоговая сумма скидки]],2)</f>
        <v>5721700</v>
      </c>
      <c r="CW11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17" s="197"/>
      <c r="CY117" s="332">
        <f>ППД5[[#This Row],[Расхождение]]/ППД5[[#This Row],[Расчетная проектная площадь]]</f>
        <v>-1.584786053882786E-3</v>
      </c>
      <c r="CZ11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1.9999999999999574E-2</v>
      </c>
      <c r="DA117" s="3">
        <f>ППД5[[#This Row],[Цена м2 без отделки со скидкой]]+ППД5[[#This Row],[Стоимость отделки]]</f>
        <v>151127.83940834654</v>
      </c>
      <c r="DB117" s="3">
        <f>ППД5[[#This Row],[Стоимость квартиры с отделкой]]-ППД5[[#This Row],[Стоимость ОН без отделки со скидкой]]</f>
        <v>0</v>
      </c>
      <c r="DC117" s="3">
        <f>ППД5[[#This Row],[Цена м2 с отделкой]]*ППД5[[#This Row],[Расчетная проектная площадь]]</f>
        <v>5721700</v>
      </c>
      <c r="DD117" s="98"/>
      <c r="DE117" s="99"/>
      <c r="DF117" s="155" t="s">
        <v>157</v>
      </c>
      <c r="DG117" s="221" t="s">
        <v>157</v>
      </c>
      <c r="DH117" s="100" t="b">
        <f>EXACT(ППД5[[#This Row],[Статусы CRM]],ППД5[[#This Row],[Статус]])</f>
        <v>1</v>
      </c>
      <c r="DI117" s="213" t="s">
        <v>289</v>
      </c>
      <c r="DJ117" s="204"/>
      <c r="DK117" s="111" t="s">
        <v>763</v>
      </c>
      <c r="DL117" s="216" t="s">
        <v>12</v>
      </c>
      <c r="DM117" s="201" t="b">
        <f>ППД5[[#This Row],[Отделка CRM]]=ППД5[[#This Row],[Отделка]]</f>
        <v>1</v>
      </c>
      <c r="DN117" s="203">
        <v>5721700</v>
      </c>
      <c r="DO11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17" s="207" t="b">
        <f>IF(AND(ППД5[[#This Row],[Статус]]="свободно",ППД5[[#This Row],[Итоговая сумма скидки]]&lt;&gt;0),FALSE,TRUE)</f>
        <v>1</v>
      </c>
      <c r="DQ117" s="240" t="str">
        <f>_xlfn.XLOOKUP(ППД5[[#This Row],[№]],Юрист[№ кв],Юрист[Дата подачи на регистрацию]," ",0,-1)</f>
        <v xml:space="preserve"> </v>
      </c>
      <c r="DR117" s="115" t="str">
        <f>_xlfn.XLOOKUP(ППД5[[#This Row],[№]],Юрист[№ кв],Юрист[МОП],"",0,-1)</f>
        <v/>
      </c>
      <c r="DS117" s="333" t="s">
        <v>2526</v>
      </c>
      <c r="DT117" s="333" t="s">
        <v>2527</v>
      </c>
      <c r="DU117" s="333">
        <v>36.4</v>
      </c>
      <c r="DV117" s="111"/>
    </row>
    <row r="118" spans="1:126" hidden="1" x14ac:dyDescent="0.25">
      <c r="A118" s="112">
        <v>116</v>
      </c>
      <c r="B118" s="111" t="s">
        <v>4</v>
      </c>
      <c r="C118" s="111">
        <v>1</v>
      </c>
      <c r="D118" s="111">
        <v>5</v>
      </c>
      <c r="E118" s="111">
        <v>2</v>
      </c>
      <c r="F118" s="339">
        <v>17.2</v>
      </c>
      <c r="G118" s="105">
        <v>14.31</v>
      </c>
      <c r="H118" s="105"/>
      <c r="I118" s="94">
        <f>SUM(ППД5[[#This Row],[Комната 1]:[Комната 3]])</f>
        <v>31.509999999999998</v>
      </c>
      <c r="J118" s="105">
        <v>13.39</v>
      </c>
      <c r="K118" s="105">
        <v>4.2</v>
      </c>
      <c r="L118" s="105"/>
      <c r="M118" s="105"/>
      <c r="N118" s="105">
        <v>13.21</v>
      </c>
      <c r="O118" s="105">
        <v>2.79</v>
      </c>
      <c r="P118" s="105">
        <v>2.68</v>
      </c>
      <c r="Q118" s="105"/>
      <c r="R118" s="105">
        <f>SUM(ППД5[[#This Row],[Лоджия 1]:[Лоджия 3]])</f>
        <v>5.4700000000000006</v>
      </c>
      <c r="S118" s="107">
        <f>ROUND(SUM(ППД5[[#This Row],[Площадь по проекту жилая]:[Лоджия 3]]),2)</f>
        <v>67.78</v>
      </c>
      <c r="T118" s="107">
        <f>ROUND(ППД5[[#This Row],[Площадь по проекту(общая)]]-ППД5[[#This Row],[Летние]],2)</f>
        <v>62.31</v>
      </c>
      <c r="U118" s="92">
        <f>ROUND(ППД5[[#This Row],[Площадь по проекту(общая)]]-(SUM(ППД5[[#This Row],[Лоджия 1]:[Лоджия 3]])/2),2)</f>
        <v>65.05</v>
      </c>
      <c r="V118" s="92">
        <f>IF(ППД5[[#This Row],[Статус]]="продажа",ППД5[[#This Row],[Расчетная проектная площадь]],ППД5[[#This Row],[Расчетная ТП площадь]])</f>
        <v>65.05</v>
      </c>
      <c r="W118" s="92">
        <v>14.3</v>
      </c>
      <c r="X118" s="92">
        <v>17.3</v>
      </c>
      <c r="Y118" s="92"/>
      <c r="Z118" s="92">
        <f>SUM(ППД5[[#This Row],[ТП Комната 1]:[ТП Комната 3]])</f>
        <v>31.6</v>
      </c>
      <c r="AA118" s="92">
        <v>13.2</v>
      </c>
      <c r="AB118" s="92">
        <v>4.2</v>
      </c>
      <c r="AC118" s="92"/>
      <c r="AD118" s="92"/>
      <c r="AE118" s="92">
        <v>13.1</v>
      </c>
      <c r="AF118" s="92">
        <v>1.4</v>
      </c>
      <c r="AG118" s="92">
        <v>1.35</v>
      </c>
      <c r="AH118" s="92"/>
      <c r="AI118" s="91">
        <f>SUM(ППД5[[#This Row],[ТП Лоджия 1]:[ТП Лоджия 3]])</f>
        <v>2.75</v>
      </c>
      <c r="AJ118" s="95">
        <v>5.5</v>
      </c>
      <c r="AK118" s="106">
        <f>SUM(ППД5[[#This Row],[Площадь по ТП жилая]:[ТП Лоджия 3]])-ППД5[[#This Row],[ТП Летние]]+ППД5[[#This Row],[кроме того прочая
(без коэффициента)]]</f>
        <v>67.599999999999994</v>
      </c>
      <c r="AL118" s="95">
        <f>ППД5[[#This Row],[ТП Площадь без летних]]+(ППД5[[#This Row],[ТП Летние]])</f>
        <v>64.849999999999994</v>
      </c>
      <c r="AM118" s="106">
        <f>ППД5[[#This Row],[ТП общая S]]-ППД5[[#This Row],[кроме того прочая
(без коэффициента)]]</f>
        <v>62.099999999999994</v>
      </c>
      <c r="AN118" s="95">
        <f>SUM(ППД5[[#This Row],[ТП Кухня]:[ТП Коридор]])</f>
        <v>30.5</v>
      </c>
      <c r="AO118" s="91">
        <f>ППД5[[#This Row],[Расчетная ТП площадь]]-ППД5[[#This Row],[Расчетная проектная площадь]]</f>
        <v>-0.20000000000000284</v>
      </c>
      <c r="AP118" s="335">
        <f>ППД5[[#This Row],[Расчетная ТП площадь]]/ППД5[[#This Row],[Расчетная проектная площадь]]-1</f>
        <v>-3.0745580322828481E-3</v>
      </c>
      <c r="AQ118" s="106">
        <f>ППД5[[#This Row],[% расхождения]]*ППД5[[#This Row],[Стоимость до скидки]]</f>
        <v>-16953.028009223613</v>
      </c>
      <c r="AR118" s="92">
        <f>VLOOKUP(ППД5[[#This Row],[№]],наценкад5[],COLUMN(наценкад5[[#This Row],[Цена м2 с учетом всех K]]),0)</f>
        <v>78377.386500000008</v>
      </c>
      <c r="AS118" s="107">
        <f>ППД5[[#This Row],[м2 после К]]*5%</f>
        <v>3918.8693250000006</v>
      </c>
      <c r="AT118" s="107">
        <f>ППД5[[#This Row],[м2 после К]]+ППД5[[#This Row],[Повышение 16.08.23 - 5%]]</f>
        <v>82296.255825000015</v>
      </c>
      <c r="AU118" s="9">
        <f>ППД5[[#This Row],[Фикс 16.08.23]]*3%</f>
        <v>2468.8876747500003</v>
      </c>
      <c r="AV118" s="9">
        <f>ППД5[[#This Row],[Фикс 16.08.23]]+ППД5[[#This Row],[Повышение 29.08.23 - 3%]]</f>
        <v>84765.143499750018</v>
      </c>
      <c r="AW118" s="9"/>
      <c r="AX118" s="9">
        <f>ППД5[[#This Row],[Фикс 29.08.23]]+ППД5[[#This Row],[Повышение 06.09.23 СТ и 1К]]</f>
        <v>84765.143499750018</v>
      </c>
      <c r="AY118" s="9"/>
      <c r="AZ118" s="9">
        <f>ППД5[[#This Row],[Повышение 23.10.23  В4 ]]+ППД5[[#This Row],[Фикс 06.09.23]]</f>
        <v>84765.143499750018</v>
      </c>
      <c r="BA118" s="9"/>
      <c r="BB118" s="9">
        <f>ППД5[[#This Row],[Повышение 8.11.23 1К 5%]]+ППД5[[#This Row],[Фикс 23.10.23]]</f>
        <v>84765.143499750018</v>
      </c>
      <c r="BC118" s="9"/>
      <c r="BD118" s="9">
        <f>ППД5[[#This Row],[Корректировка 24.11.23 - 1К В5, 2К А2, №233]]+ППД5[[#This Row],[Фикс 8.11.23]]</f>
        <v>84765.143499750018</v>
      </c>
      <c r="BE118" s="9"/>
      <c r="BF118" s="9">
        <f>ППД5[[#This Row],[Наценка за отделку 29.12.23 1%]]+ППД5[[#This Row],[Фикс 8.11.24]]</f>
        <v>84765.143499750018</v>
      </c>
      <c r="BG118" s="9"/>
      <c r="BH118" s="9">
        <f>ППД5[[#This Row],[Фикс 29.12.23]]+ППД5[[#This Row],[Наценка 10.01.24 5%]]</f>
        <v>84765.143499750018</v>
      </c>
      <c r="BI118" s="9"/>
      <c r="BJ118" s="9">
        <f>ППД5[[#This Row],[Наценка 26.02.24 1 Этаж]]+ППД5[[#This Row],[Фикс 10.01.24]]</f>
        <v>84765.143499750018</v>
      </c>
      <c r="BK118" s="93"/>
      <c r="BL118" s="9">
        <f>ППД5[[#This Row],[Фикс 26.02.24]]+ППД5[[#This Row],[Наценка 06.03.24
СТ, 1К - 3%
2К, 3К - 2%]]</f>
        <v>84765.143499750018</v>
      </c>
      <c r="BM118" s="9"/>
      <c r="BN118" s="9">
        <f>ППД5[[#This Row],[Фикс 06.03.24]]+ППД5[[#This Row],[Наценка Г2+500]]</f>
        <v>84765.143499750018</v>
      </c>
      <c r="BO118" s="9"/>
      <c r="BP118" s="9">
        <f>ППД5[[#This Row],[Фикс 13.03.25]]+ППД5[[#This Row],[Наценка 20.03.24
2К, 3К - 2%]]</f>
        <v>84765.143499750018</v>
      </c>
      <c r="BQ118" s="9"/>
      <c r="BR118" s="9">
        <f>ППД5[[#This Row],[Фикс 20.03.24]]+ППД5[[#This Row],[Наценка 08.04.24 
2К: В3 - 150
3К: Г7 +1000]]</f>
        <v>84765.143499750018</v>
      </c>
      <c r="BS118" s="9"/>
      <c r="BT118" s="9">
        <f>ППД5[[#This Row],[Фикс 08.04.24]]+ППД5[[#This Row],[Наценка 16.05.24 1%
А4,А6,Б3,Б6,Б7,В2,В3,В5,В6,Г1,Г3-Г5]]</f>
        <v>84765.143499750018</v>
      </c>
      <c r="BU118" s="9"/>
      <c r="BV118" s="9">
        <f>ППД5[[#This Row],[Фикс 16.05.24]]+ППД5[[#This Row],[Наценка 24.05.24
1% - Б4, Б5,Г2,Г6
2% - А1,А3,А5,Б2,Г7]]</f>
        <v>84765.143499750018</v>
      </c>
      <c r="BW118" s="9"/>
      <c r="BX118" s="9">
        <f>ППД5[[#This Row],[Наценка 06.06.24
0К: В2,Г3 +0,5%
1К: А7, Б5/4, Г6 +0,5%
3К: В6 +0,5%
1К: А3 +1%]]+ППД5[[#This Row],[Фикс 24.05.24]]</f>
        <v>84765.143499750018</v>
      </c>
      <c r="BY118" s="9"/>
      <c r="BZ118" s="9">
        <f>ППД5[[#This Row],[Фикс 06.06.24]]+ППД5[[#This Row],[13.06.2024
3К - 2%]]</f>
        <v>84765.143499750018</v>
      </c>
      <c r="CA118" s="9"/>
      <c r="CB118" s="9">
        <f>ППД5[[#This Row],[02.07.2024: Г3 А1 А3 Б5 Б7 Г2 Г6 Б3 Б4 В3 Г7 2,5% ост 0,5-1,5%]]+ППД5[[#This Row],[Фикс 13.06.24]]</f>
        <v>84765.143499750018</v>
      </c>
      <c r="CC118" s="9"/>
      <c r="CD118" s="9">
        <f>ППД5[[#This Row],[Фикс 02.07.24]]+ППД5[[#This Row],[04.09.2024 +500
0К - Б2; 1К - А3;
2К - А6, Б4, В3, Г5]]</f>
        <v>84765.143499750018</v>
      </c>
      <c r="CE118" s="9"/>
      <c r="CF118" s="9">
        <f>ППД5[[#This Row],[Наценка 16.09.2024
1К: А1,В7,Г6/7,Г8 - 2%
2К: А4,А5,А6,Б1,Б6,Б3/4,В3,В4,Г4,Г5 - 4%
3К: 4%]]+ППД5[[#This Row],[Фикс 04.09.24]]</f>
        <v>84765.143499750018</v>
      </c>
      <c r="CG118" s="9"/>
      <c r="CH118" s="9">
        <f>ППД5[[#This Row],[Фикс 16.09.2024]]+ППД5[[#This Row],[Наценка 01.11.24
СТ: 4%
1К: 34-40м 5%; 40м+ 8%; МГН 1%
2К: 55-70м 6%; 70-73м 7%; 73-76м 8% 
3К: 5%]]</f>
        <v>84765.143499750018</v>
      </c>
      <c r="CI118" s="9"/>
      <c r="CJ118" s="9">
        <f>ППД5[[#This Row],[Наценка 06.11 13%]]+ППД5[[#This Row],[Фикс 01.11.24]]</f>
        <v>84765.143499750018</v>
      </c>
      <c r="CK118" s="9"/>
      <c r="CL118" s="9">
        <f>ППД5[[#This Row],[Фикс 06.11.24]]+ППД5[[#This Row],[Наценка 18.12.24 распределение КВ]]</f>
        <v>84765.143499750018</v>
      </c>
      <c r="CM118" s="9"/>
      <c r="CN118" s="9">
        <f>ППД5[[#This Row],[Фикс 18.12.24]]+ППД5[[#This Row],[Наценка 10.02.25 +1%
1К: А3
2К: Б3, В3]]</f>
        <v>84765.143499750018</v>
      </c>
      <c r="CO118" s="97">
        <f>ROUND(ППД5[[#This Row],[Фикс 10.02.25]],2)</f>
        <v>84765.14</v>
      </c>
      <c r="CP11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5513972.3600000003</v>
      </c>
      <c r="CQ118" s="93">
        <f>ROUNDUP(ППД5[[#This Row],[Стоимость до скидки]]+ППД5[[#This Row],[Сумма доплаты]],-2)</f>
        <v>5497100</v>
      </c>
      <c r="CR118" s="68"/>
      <c r="CS118" s="90">
        <v>0.02</v>
      </c>
      <c r="CT118" s="68">
        <f>ППД5[[#This Row],[Стоимость до скидки]]*ППД5[[#This Row],[Скидка %]]+ППД5[[#This Row],[Скидка фиксированная]]</f>
        <v>110279.44720000001</v>
      </c>
      <c r="CU118" s="3">
        <f>ППД5[[#This Row],[Стоимость ОН без отделки со скидкой]]/ППД5[[#This Row],[Расчетная проектная площадь]]</f>
        <v>83069.837202152194</v>
      </c>
      <c r="CV118" s="3">
        <f>ROUND(ППД5[[#This Row],[Стоимость до скидки]]-ППД5[[#This Row],[Итоговая сумма скидки]],2)</f>
        <v>5403692.9100000001</v>
      </c>
      <c r="CW11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18" s="197"/>
      <c r="CY118" s="332">
        <f>ППД5[[#This Row],[Расхождение]]/ППД5[[#This Row],[Расчетная проектная площадь]]</f>
        <v>-3.0745580322829032E-3</v>
      </c>
      <c r="CZ11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-0.30000000000000071</v>
      </c>
      <c r="DA118" s="3">
        <f>ППД5[[#This Row],[Цена м2 без отделки со скидкой]]+ППД5[[#This Row],[Стоимость отделки]]</f>
        <v>83069.837202152194</v>
      </c>
      <c r="DB118" s="3">
        <f>ППД5[[#This Row],[Стоимость квартиры с отделкой]]-ППД5[[#This Row],[Стоимость ОН без отделки со скидкой]]</f>
        <v>0</v>
      </c>
      <c r="DC118" s="3">
        <f>ППД5[[#This Row],[Цена м2 с отделкой]]*ППД5[[#This Row],[Расчетная проектная площадь]]</f>
        <v>5403692.9100000001</v>
      </c>
      <c r="DD118" s="98"/>
      <c r="DE118" s="111" t="s">
        <v>757</v>
      </c>
      <c r="DF118" s="199" t="s">
        <v>172</v>
      </c>
      <c r="DG118" s="245" t="s">
        <v>172</v>
      </c>
      <c r="DH118" s="100" t="b">
        <f>EXACT(ППД5[[#This Row],[Статусы CRM]],ППД5[[#This Row],[Статус]])</f>
        <v>1</v>
      </c>
      <c r="DI118" s="213" t="s">
        <v>290</v>
      </c>
      <c r="DJ118" s="204"/>
      <c r="DK118" s="111" t="s">
        <v>76</v>
      </c>
      <c r="DL118" s="216" t="s">
        <v>12</v>
      </c>
      <c r="DM118" s="201" t="b">
        <f>ППД5[[#This Row],[Отделка CRM]]=ППД5[[#This Row],[Отделка]]</f>
        <v>1</v>
      </c>
      <c r="DN118" s="203">
        <v>5403692.9100000001</v>
      </c>
      <c r="DO11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18" s="207" t="b">
        <f>IF(AND(ППД5[[#This Row],[Статус]]="свободно",ППД5[[#This Row],[Итоговая сумма скидки]]&lt;&gt;0),FALSE,TRUE)</f>
        <v>1</v>
      </c>
      <c r="DQ118" s="240">
        <f>_xlfn.XLOOKUP(ППД5[[#This Row],[№]],Юрист[№ кв],Юрист[Дата подачи на регистрацию]," ",0,-1)</f>
        <v>45258</v>
      </c>
      <c r="DR118" s="115" t="str">
        <f>_xlfn.XLOOKUP(ППД5[[#This Row],[№]],Юрист[№ кв],Юрист[МОП],"",0,-1)</f>
        <v>Дик</v>
      </c>
      <c r="DS118" s="333" t="s">
        <v>2528</v>
      </c>
      <c r="DT118" s="333" t="s">
        <v>2529</v>
      </c>
      <c r="DU118" s="333">
        <v>62.1</v>
      </c>
      <c r="DV118" s="111"/>
    </row>
    <row r="119" spans="1:126" hidden="1" x14ac:dyDescent="0.25">
      <c r="A119" s="112">
        <v>117</v>
      </c>
      <c r="B119" s="111" t="s">
        <v>4</v>
      </c>
      <c r="C119" s="111">
        <v>1</v>
      </c>
      <c r="D119" s="111">
        <v>6</v>
      </c>
      <c r="E119" s="111">
        <v>2</v>
      </c>
      <c r="F119" s="105">
        <v>17.48</v>
      </c>
      <c r="G119" s="105">
        <v>16.54</v>
      </c>
      <c r="H119" s="105"/>
      <c r="I119" s="94">
        <f>SUM(ППД5[[#This Row],[Комната 1]:[Комната 3]])</f>
        <v>34.019999999999996</v>
      </c>
      <c r="J119" s="105">
        <v>13.04</v>
      </c>
      <c r="K119" s="105">
        <v>3.9</v>
      </c>
      <c r="L119" s="105"/>
      <c r="M119" s="105"/>
      <c r="N119" s="105">
        <v>9.8800000000000008</v>
      </c>
      <c r="O119" s="105">
        <v>2.65</v>
      </c>
      <c r="P119" s="105"/>
      <c r="Q119" s="105"/>
      <c r="R119" s="105">
        <f>SUM(ППД5[[#This Row],[Лоджия 1]:[Лоджия 3]])</f>
        <v>2.65</v>
      </c>
      <c r="S119" s="1">
        <f>ROUND(SUM(ППД5[[#This Row],[Площадь по проекту жилая]:[Лоджия 3]]),2)</f>
        <v>63.49</v>
      </c>
      <c r="T119" s="7">
        <f>ROUND(ППД5[[#This Row],[Площадь по проекту(общая)]]-ППД5[[#This Row],[Летние]],2)</f>
        <v>60.84</v>
      </c>
      <c r="U119" s="91">
        <f>ROUND(ППД5[[#This Row],[Площадь по проекту(общая)]]-(SUM(ППД5[[#This Row],[Лоджия 1]:[Лоджия 3]])/2),2)</f>
        <v>62.17</v>
      </c>
      <c r="V119" s="91">
        <f>IF(ППД5[[#This Row],[Статус]]="продажа",ППД5[[#This Row],[Расчетная проектная площадь]],ППД5[[#This Row],[Расчетная ТП площадь]])</f>
        <v>62.25</v>
      </c>
      <c r="W119" s="92">
        <v>17.5</v>
      </c>
      <c r="X119" s="92">
        <v>16.5</v>
      </c>
      <c r="Y119" s="91"/>
      <c r="Z119" s="91">
        <f>SUM(ППД5[[#This Row],[ТП Комната 1]:[ТП Комната 3]])</f>
        <v>34</v>
      </c>
      <c r="AA119" s="91">
        <v>13</v>
      </c>
      <c r="AB119" s="91">
        <v>3.9</v>
      </c>
      <c r="AC119" s="91"/>
      <c r="AD119" s="91"/>
      <c r="AE119" s="91">
        <v>10</v>
      </c>
      <c r="AF119" s="91">
        <v>1.35</v>
      </c>
      <c r="AG119" s="91"/>
      <c r="AH119" s="91"/>
      <c r="AI119" s="91">
        <f>SUM(ППД5[[#This Row],[ТП Лоджия 1]:[ТП Лоджия 3]])</f>
        <v>1.35</v>
      </c>
      <c r="AJ119" s="95">
        <v>2.7</v>
      </c>
      <c r="AK119" s="91">
        <f>SUM(ППД5[[#This Row],[Площадь по ТП жилая]:[ТП Лоджия 3]])-ППД5[[#This Row],[ТП Летние]]+ППД5[[#This Row],[кроме того прочая
(без коэффициента)]]</f>
        <v>63.6</v>
      </c>
      <c r="AL119" s="95">
        <f>ППД5[[#This Row],[ТП Площадь без летних]]+(ППД5[[#This Row],[ТП Летние]])</f>
        <v>62.25</v>
      </c>
      <c r="AM119" s="91">
        <f>ППД5[[#This Row],[ТП общая S]]-ППД5[[#This Row],[кроме того прочая
(без коэффициента)]]</f>
        <v>60.9</v>
      </c>
      <c r="AN119" s="95">
        <f>SUM(ППД5[[#This Row],[ТП Кухня]:[ТП Коридор]])</f>
        <v>26.9</v>
      </c>
      <c r="AO119" s="91">
        <f>ППД5[[#This Row],[Расчетная ТП площадь]]-ППД5[[#This Row],[Расчетная проектная площадь]]</f>
        <v>7.9999999999998295E-2</v>
      </c>
      <c r="AP119" s="335">
        <f>ППД5[[#This Row],[Расчетная ТП площадь]]/ППД5[[#This Row],[Расчетная проектная площадь]]-1</f>
        <v>1.2867942737655458E-3</v>
      </c>
      <c r="AQ119" s="91">
        <f>ППД5[[#This Row],[% расхождения]]*ППД5[[#This Row],[Стоимость до скидки]]</f>
        <v>10631.880328133069</v>
      </c>
      <c r="AR119" s="91">
        <f>VLOOKUP(ППД5[[#This Row],[№]],наценкад5[],COLUMN(наценкад5[[#This Row],[Цена м2 с учетом всех K]]),0)</f>
        <v>79921.768500000006</v>
      </c>
      <c r="AS119" s="113">
        <f>ППД5[[#This Row],[м2 после К]]*5%</f>
        <v>3996.0884250000004</v>
      </c>
      <c r="AT119" s="113">
        <f>ППД5[[#This Row],[м2 после К]]+ППД5[[#This Row],[Повышение 16.08.23 - 5%]]</f>
        <v>83917.856925</v>
      </c>
      <c r="AU119" s="47">
        <f>ППД5[[#This Row],[Фикс 16.08.23]]*3%</f>
        <v>2517.5357077499998</v>
      </c>
      <c r="AV119" s="47">
        <f>ППД5[[#This Row],[Фикс 16.08.23]]+ППД5[[#This Row],[Повышение 29.08.23 - 3%]]</f>
        <v>86435.392632749994</v>
      </c>
      <c r="AW119" s="47"/>
      <c r="AX119" s="47">
        <f>ППД5[[#This Row],[Фикс 29.08.23]]+ППД5[[#This Row],[Повышение 06.09.23 СТ и 1К]]</f>
        <v>86435.392632749994</v>
      </c>
      <c r="AY119" s="47"/>
      <c r="AZ119" s="47">
        <f>ППД5[[#This Row],[Повышение 23.10.23  В4 ]]+ППД5[[#This Row],[Фикс 06.09.23]]</f>
        <v>86435.392632749994</v>
      </c>
      <c r="BA119" s="47"/>
      <c r="BB119" s="47">
        <f>ППД5[[#This Row],[Повышение 8.11.23 1К 5%]]+ППД5[[#This Row],[Фикс 23.10.23]]</f>
        <v>86435.392632749994</v>
      </c>
      <c r="BC119" s="47"/>
      <c r="BD119" s="47">
        <f>ППД5[[#This Row],[Корректировка 24.11.23 - 1К В5, 2К А2, №233]]+ППД5[[#This Row],[Фикс 8.11.23]]</f>
        <v>86435.392632749994</v>
      </c>
      <c r="BE119" s="93">
        <f>ППД5[[#This Row],[Фикс 8.11.24]]*1%</f>
        <v>864.35392632749995</v>
      </c>
      <c r="BF119" s="47">
        <f>ППД5[[#This Row],[Наценка за отделку 29.12.23 1%]]+ППД5[[#This Row],[Фикс 8.11.24]]</f>
        <v>87299.746559077495</v>
      </c>
      <c r="BG119" s="93">
        <f>ППД5[[#This Row],[Фикс 29.12.23]]*5%</f>
        <v>4364.9873279538751</v>
      </c>
      <c r="BH119" s="47">
        <f>ППД5[[#This Row],[Фикс 29.12.23]]+ППД5[[#This Row],[Наценка 10.01.24 5%]]</f>
        <v>91664.733887031369</v>
      </c>
      <c r="BI119" s="93">
        <f>100000-ППД5[[#This Row],[Фикс 10.01.24]]</f>
        <v>8335.2661129686312</v>
      </c>
      <c r="BJ119" s="47">
        <f>ППД5[[#This Row],[Наценка 26.02.24 1 Этаж]]+ППД5[[#This Row],[Фикс 10.01.24]]</f>
        <v>100000</v>
      </c>
      <c r="BK119" s="93">
        <f>ППД5[[#This Row],[Фикс 26.02.24]]*2%</f>
        <v>2000</v>
      </c>
      <c r="BL119" s="47">
        <f>ППД5[[#This Row],[Фикс 26.02.24]]+ППД5[[#This Row],[Наценка 06.03.24
СТ, 1К - 3%
2К, 3К - 2%]]</f>
        <v>102000</v>
      </c>
      <c r="BM119" s="47"/>
      <c r="BN119" s="47">
        <f>ППД5[[#This Row],[Фикс 06.03.24]]+ППД5[[#This Row],[Наценка Г2+500]]</f>
        <v>102000</v>
      </c>
      <c r="BO119" s="47">
        <f>ППД5[[#This Row],[Фикс 13.03.25]]*2%</f>
        <v>2040</v>
      </c>
      <c r="BP119" s="47">
        <f>ППД5[[#This Row],[Фикс 13.03.25]]+ППД5[[#This Row],[Наценка 20.03.24
2К, 3К - 2%]]</f>
        <v>104040</v>
      </c>
      <c r="BQ119" s="47"/>
      <c r="BR119" s="47">
        <f>ППД5[[#This Row],[Фикс 20.03.24]]+ППД5[[#This Row],[Наценка 08.04.24 
2К: В3 - 150
3К: Г7 +1000]]</f>
        <v>104040</v>
      </c>
      <c r="BS119" s="9">
        <f>ППД5[[#This Row],[Фикс 08.04.24]]*1%</f>
        <v>1040.4000000000001</v>
      </c>
      <c r="BT119" s="47">
        <f>ППД5[[#This Row],[Фикс 08.04.24]]+ППД5[[#This Row],[Наценка 16.05.24 1%
А4,А6,Б3,Б6,Б7,В2,В3,В5,В6,Г1,Г3-Г5]]</f>
        <v>105080.4</v>
      </c>
      <c r="BU119" s="47"/>
      <c r="BV119" s="47">
        <f>ППД5[[#This Row],[Фикс 16.05.24]]+ППД5[[#This Row],[Наценка 24.05.24
1% - Б4, Б5,Г2,Г6
2% - А1,А3,А5,Б2,Г7]]</f>
        <v>105080.4</v>
      </c>
      <c r="BW119" s="47"/>
      <c r="BX119" s="47">
        <f>ППД5[[#This Row],[Наценка 06.06.24
0К: В2,Г3 +0,5%
1К: А7, Б5/4, Г6 +0,5%
3К: В6 +0,5%
1К: А3 +1%]]+ППД5[[#This Row],[Фикс 24.05.24]]</f>
        <v>105080.4</v>
      </c>
      <c r="BY119" s="47"/>
      <c r="BZ119" s="47">
        <f>ППД5[[#This Row],[Фикс 06.06.24]]+ППД5[[#This Row],[13.06.2024
3К - 2%]]</f>
        <v>105080.4</v>
      </c>
      <c r="CA119" s="47">
        <f>1.5%*ППД5[[#This Row],[Фикс 13.06.24]]</f>
        <v>1576.2059999999999</v>
      </c>
      <c r="CB119" s="47">
        <f>ППД5[[#This Row],[02.07.2024: Г3 А1 А3 Б5 Б7 Г2 Г6 Б3 Б4 В3 Г7 2,5% ост 0,5-1,5%]]+ППД5[[#This Row],[Фикс 13.06.24]]</f>
        <v>106656.606</v>
      </c>
      <c r="CC119" s="47"/>
      <c r="CD119" s="47">
        <f>ППД5[[#This Row],[Фикс 02.07.24]]+ППД5[[#This Row],[04.09.2024 +500
0К - Б2; 1К - А3;
2К - А6, Б4, В3, Г5]]</f>
        <v>106656.606</v>
      </c>
      <c r="CE119" s="93">
        <f>ППД5[[#This Row],[Фикс 04.09.24]]*4%</f>
        <v>4266.2642400000004</v>
      </c>
      <c r="CF119" s="47">
        <f>ППД5[[#This Row],[Наценка 16.09.2024
1К: А1,В7,Г6/7,Г8 - 2%
2К: А4,А5,А6,Б1,Б6,Б3/4,В3,В4,Г4,Г5 - 4%
3К: 4%]]+ППД5[[#This Row],[Фикс 04.09.24]]</f>
        <v>110922.87024</v>
      </c>
      <c r="CG119" s="93">
        <f>ППД5[[#This Row],[Фикс 16.09.2024]]*6%</f>
        <v>6655.3722144000003</v>
      </c>
      <c r="CH119" s="47">
        <f>ППД5[[#This Row],[Фикс 16.09.2024]]+ППД5[[#This Row],[Наценка 01.11.24
СТ: 4%
1К: 34-40м 5%; 40м+ 8%; МГН 1%
2К: 55-70м 6%; 70-73м 7%; 73-76м 8% 
3К: 5%]]</f>
        <v>117578.24245440001</v>
      </c>
      <c r="CI119" s="93">
        <f>ППД5[[#This Row],[Фикс 01.11.24]]*13%</f>
        <v>15285.171519072002</v>
      </c>
      <c r="CJ119" s="47">
        <f>ППД5[[#This Row],[Наценка 06.11 13%]]+ППД5[[#This Row],[Фикс 01.11.24]]</f>
        <v>132863.41397347202</v>
      </c>
      <c r="CK119" s="93">
        <v>35</v>
      </c>
      <c r="CL119" s="47">
        <f>ППД5[[#This Row],[Фикс 06.11.24]]+ППД5[[#This Row],[Наценка 18.12.24 распределение КВ]]</f>
        <v>132898.41397347202</v>
      </c>
      <c r="CM119" s="47"/>
      <c r="CN119" s="47">
        <f>ППД5[[#This Row],[Фикс 18.12.24]]+ППД5[[#This Row],[Наценка 10.02.25 +1%
1К: А3
2К: Б3, В3]]</f>
        <v>132898.41397347202</v>
      </c>
      <c r="CO119" s="47">
        <f>ROUND(ППД5[[#This Row],[Фикс 10.02.25]],2)</f>
        <v>132898.41</v>
      </c>
      <c r="CP11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8262300</v>
      </c>
      <c r="CQ119" s="93">
        <f>ROUNDUP(ППД5[[#This Row],[Стоимость до скидки]]+ППД5[[#This Row],[Сумма доплаты]],-2)</f>
        <v>8273000</v>
      </c>
      <c r="CR119" s="114"/>
      <c r="CS119" s="90"/>
      <c r="CT119" s="114">
        <f>ППД5[[#This Row],[Стоимость до скидки]]*ППД5[[#This Row],[Скидка %]]+ППД5[[#This Row],[Скидка фиксированная]]</f>
        <v>0</v>
      </c>
      <c r="CU119" s="3">
        <f>ППД5[[#This Row],[Стоимость ОН без отделки со скидкой]]/ППД5[[#This Row],[Расчетная проектная площадь]]</f>
        <v>132898.50410165676</v>
      </c>
      <c r="CV119" s="3">
        <f>ROUND(ППД5[[#This Row],[Стоимость до скидки]]-ППД5[[#This Row],[Итоговая сумма скидки]],2)</f>
        <v>8262300</v>
      </c>
      <c r="CW11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119" s="197">
        <v>25000</v>
      </c>
      <c r="CY119" s="332">
        <f>ППД5[[#This Row],[Расхождение]]/ППД5[[#This Row],[Расчетная проектная площадь]]</f>
        <v>1.2867942737654543E-3</v>
      </c>
      <c r="CZ11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7.9999999999996518E-2</v>
      </c>
      <c r="DA119" s="3">
        <f>ППД5[[#This Row],[Цена м2 без отделки со скидкой]]+ППД5[[#This Row],[Стоимость отделки]]</f>
        <v>157898.50410165676</v>
      </c>
      <c r="DB119" s="3">
        <f>ППД5[[#This Row],[Стоимость квартиры с отделкой]]-ППД5[[#This Row],[Стоимость ОН без отделки со скидкой]]</f>
        <v>1554250</v>
      </c>
      <c r="DC119" s="3">
        <f>ППД5[[#This Row],[Цена м2 с отделкой]]*ППД5[[#This Row],[Расчетная проектная площадь]]</f>
        <v>9816550</v>
      </c>
      <c r="DD119" s="3"/>
      <c r="DF119" s="199" t="s">
        <v>157</v>
      </c>
      <c r="DG119" s="245" t="s">
        <v>157</v>
      </c>
      <c r="DH119" s="100" t="b">
        <f>EXACT(ППД5[[#This Row],[Статусы CRM]],ППД5[[#This Row],[Статус]])</f>
        <v>1</v>
      </c>
      <c r="DI119" s="213" t="s">
        <v>291</v>
      </c>
      <c r="DJ119" s="204"/>
      <c r="DK119" s="111" t="s">
        <v>763</v>
      </c>
      <c r="DL119" s="216" t="s">
        <v>14</v>
      </c>
      <c r="DM119" s="201" t="b">
        <f>ППД5[[#This Row],[Отделка CRM]]=ППД5[[#This Row],[Отделка]]</f>
        <v>1</v>
      </c>
      <c r="DN119" s="203">
        <v>9816550</v>
      </c>
      <c r="DO11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19" s="207" t="b">
        <f>IF(AND(ППД5[[#This Row],[Статус]]="свободно",ППД5[[#This Row],[Итоговая сумма скидки]]&lt;&gt;0),FALSE,TRUE)</f>
        <v>1</v>
      </c>
      <c r="DQ119" s="240" t="str">
        <f>_xlfn.XLOOKUP(ППД5[[#This Row],[№]],Юрист[№ кв],Юрист[Дата подачи на регистрацию]," ",0,-1)</f>
        <v xml:space="preserve"> </v>
      </c>
      <c r="DR119" s="115" t="str">
        <f>_xlfn.XLOOKUP(ППД5[[#This Row],[№]],Юрист[№ кв],Юрист[МОП],"",0,-1)</f>
        <v/>
      </c>
      <c r="DS119" s="333" t="s">
        <v>2530</v>
      </c>
      <c r="DT119" s="333" t="s">
        <v>2531</v>
      </c>
      <c r="DU119" s="333">
        <v>60.9</v>
      </c>
      <c r="DV119" s="111"/>
    </row>
    <row r="120" spans="1:126" hidden="1" x14ac:dyDescent="0.25">
      <c r="A120" s="112">
        <v>118</v>
      </c>
      <c r="B120" s="111" t="s">
        <v>4</v>
      </c>
      <c r="C120" s="111">
        <v>2</v>
      </c>
      <c r="D120" s="338">
        <v>1</v>
      </c>
      <c r="E120" s="111">
        <v>2</v>
      </c>
      <c r="F120" s="105">
        <v>15.91</v>
      </c>
      <c r="G120" s="105">
        <v>12.02</v>
      </c>
      <c r="H120" s="105"/>
      <c r="I120" s="94">
        <f>SUM(ППД5[[#This Row],[Комната 1]:[Комната 3]])</f>
        <v>27.93</v>
      </c>
      <c r="J120" s="105">
        <v>15.31</v>
      </c>
      <c r="K120" s="105">
        <v>3.85</v>
      </c>
      <c r="L120" s="105">
        <v>2.2999999999999998</v>
      </c>
      <c r="M120" s="105"/>
      <c r="N120" s="105">
        <v>9.4499999999999993</v>
      </c>
      <c r="O120" s="105">
        <v>2.75</v>
      </c>
      <c r="P120" s="105"/>
      <c r="Q120" s="105"/>
      <c r="R120" s="105">
        <f>SUM(ППД5[[#This Row],[Лоджия 1]:[Лоджия 3]])</f>
        <v>2.75</v>
      </c>
      <c r="S120" s="8">
        <f>ROUND(SUM(ППД5[[#This Row],[Площадь по проекту жилая]:[Лоджия 3]]),2)</f>
        <v>61.59</v>
      </c>
      <c r="T120" s="8">
        <f>ROUND(ППД5[[#This Row],[Площадь по проекту(общая)]]-ППД5[[#This Row],[Летние]],2)</f>
        <v>58.84</v>
      </c>
      <c r="U120" s="91">
        <f>ROUND(ППД5[[#This Row],[Площадь по проекту(общая)]]-(SUM(ППД5[[#This Row],[Лоджия 1]:[Лоджия 3]])/2),2)</f>
        <v>60.22</v>
      </c>
      <c r="V120" s="91">
        <f>IF(ППД5[[#This Row],[Статус]]="продажа",ППД5[[#This Row],[Расчетная проектная площадь]],ППД5[[#This Row],[Расчетная ТП площадь]])</f>
        <v>60.29999999999999</v>
      </c>
      <c r="W120" s="91">
        <v>15.8</v>
      </c>
      <c r="X120" s="91">
        <v>12.1</v>
      </c>
      <c r="Y120" s="91"/>
      <c r="Z120" s="91">
        <f>SUM(ППД5[[#This Row],[ТП Комната 1]:[ТП Комната 3]])</f>
        <v>27.9</v>
      </c>
      <c r="AA120" s="91">
        <v>15.4</v>
      </c>
      <c r="AB120" s="91">
        <v>3.8</v>
      </c>
      <c r="AC120" s="91">
        <v>2.4</v>
      </c>
      <c r="AD120" s="91"/>
      <c r="AE120" s="91">
        <v>9.4</v>
      </c>
      <c r="AF120" s="91">
        <v>1.4</v>
      </c>
      <c r="AG120" s="91"/>
      <c r="AH120" s="91"/>
      <c r="AI120" s="91">
        <f>SUM(ППД5[[#This Row],[ТП Лоджия 1]:[ТП Лоджия 3]])</f>
        <v>1.4</v>
      </c>
      <c r="AJ120" s="95">
        <v>2.8</v>
      </c>
      <c r="AK120" s="91">
        <f>SUM(ППД5[[#This Row],[Площадь по ТП жилая]:[ТП Лоджия 3]])-ППД5[[#This Row],[ТП Летние]]+ППД5[[#This Row],[кроме того прочая
(без коэффициента)]]</f>
        <v>61.699999999999989</v>
      </c>
      <c r="AL120" s="95">
        <f>ППД5[[#This Row],[ТП Площадь без летних]]+(ППД5[[#This Row],[ТП Летние]])</f>
        <v>60.29999999999999</v>
      </c>
      <c r="AM120" s="91">
        <f>ППД5[[#This Row],[ТП общая S]]-ППД5[[#This Row],[кроме того прочая
(без коэффициента)]]</f>
        <v>58.899999999999991</v>
      </c>
      <c r="AN120" s="95">
        <f>SUM(ППД5[[#This Row],[ТП Кухня]:[ТП Коридор]])</f>
        <v>31</v>
      </c>
      <c r="AO120" s="91">
        <f>ППД5[[#This Row],[Расчетная ТП площадь]]-ППД5[[#This Row],[Расчетная проектная площадь]]</f>
        <v>7.9999999999991189E-2</v>
      </c>
      <c r="AP120" s="335">
        <f>ППД5[[#This Row],[Расчетная ТП площадь]]/ППД5[[#This Row],[Расчетная проектная площадь]]-1</f>
        <v>1.3284623048819277E-3</v>
      </c>
      <c r="AQ120" s="91">
        <f>ППД5[[#This Row],[% расхождения]]*ППД5[[#This Row],[Стоимость до скидки]]</f>
        <v>9789.3058784444365</v>
      </c>
      <c r="AR120" s="91">
        <f>VLOOKUP(ППД5[[#This Row],[№]],наценкад5[],COLUMN(наценкад5[[#This Row],[Цена м2 с учетом всех K]]),0)</f>
        <v>81080.055000000008</v>
      </c>
      <c r="AS120" s="8">
        <f>ППД5[[#This Row],[м2 после К]]*5%</f>
        <v>4054.0027500000006</v>
      </c>
      <c r="AT120" s="8">
        <f>ППД5[[#This Row],[м2 после К]]+ППД5[[#This Row],[Повышение 16.08.23 - 5%]]</f>
        <v>85134.057750000007</v>
      </c>
      <c r="AU120" s="93">
        <f>ППД5[[#This Row],[Фикс 16.08.23]]*3%</f>
        <v>2554.0217325000003</v>
      </c>
      <c r="AV120" s="93">
        <f>ППД5[[#This Row],[Фикс 16.08.23]]+ППД5[[#This Row],[Повышение 29.08.23 - 3%]]</f>
        <v>87688.079482500005</v>
      </c>
      <c r="AW120" s="93"/>
      <c r="AX120" s="93">
        <f>ППД5[[#This Row],[Фикс 29.08.23]]+ППД5[[#This Row],[Повышение 06.09.23 СТ и 1К]]</f>
        <v>87688.079482500005</v>
      </c>
      <c r="AY120" s="93"/>
      <c r="AZ120" s="93">
        <f>ППД5[[#This Row],[Повышение 23.10.23  В4 ]]+ППД5[[#This Row],[Фикс 06.09.23]]</f>
        <v>87688.079482500005</v>
      </c>
      <c r="BA120" s="93"/>
      <c r="BB120" s="93">
        <f>ППД5[[#This Row],[Повышение 8.11.23 1К 5%]]+ППД5[[#This Row],[Фикс 23.10.23]]</f>
        <v>87688.079482500005</v>
      </c>
      <c r="BC120" s="93"/>
      <c r="BD120" s="93">
        <f>ППД5[[#This Row],[Корректировка 24.11.23 - 1К В5, 2К А2, №233]]+ППД5[[#This Row],[Фикс 8.11.23]]</f>
        <v>87688.079482500005</v>
      </c>
      <c r="BE120" s="93">
        <f>ППД5[[#This Row],[Фикс 8.11.24]]*1%</f>
        <v>876.88079482500007</v>
      </c>
      <c r="BF120" s="93">
        <f>ППД5[[#This Row],[Наценка за отделку 29.12.23 1%]]+ППД5[[#This Row],[Фикс 8.11.24]]</f>
        <v>88564.960277325008</v>
      </c>
      <c r="BG120" s="93">
        <f>ППД5[[#This Row],[Фикс 29.12.23]]*5%</f>
        <v>4428.2480138662504</v>
      </c>
      <c r="BH120" s="93">
        <f>ППД5[[#This Row],[Фикс 29.12.23]]+ППД5[[#This Row],[Наценка 10.01.24 5%]]</f>
        <v>92993.208291191258</v>
      </c>
      <c r="BI120" s="93"/>
      <c r="BJ120" s="93">
        <f>ППД5[[#This Row],[Наценка 26.02.24 1 Этаж]]+ППД5[[#This Row],[Фикс 10.01.24]]</f>
        <v>92993.208291191258</v>
      </c>
      <c r="BK120" s="93">
        <f>ППД5[[#This Row],[Фикс 26.02.24]]*2%</f>
        <v>1859.8641658238253</v>
      </c>
      <c r="BL120" s="93">
        <f>ППД5[[#This Row],[Фикс 26.02.24]]+ППД5[[#This Row],[Наценка 06.03.24
СТ, 1К - 3%
2К, 3К - 2%]]</f>
        <v>94853.072457015078</v>
      </c>
      <c r="BM120" s="93"/>
      <c r="BN120" s="93">
        <f>ППД5[[#This Row],[Фикс 06.03.24]]+ППД5[[#This Row],[Наценка Г2+500]]</f>
        <v>94853.072457015078</v>
      </c>
      <c r="BO120" s="93">
        <f>ППД5[[#This Row],[Фикс 13.03.25]]*2%</f>
        <v>1897.0614491403016</v>
      </c>
      <c r="BP120" s="93">
        <f>ППД5[[#This Row],[Фикс 13.03.25]]+ППД5[[#This Row],[Наценка 20.03.24
2К, 3К - 2%]]</f>
        <v>96750.133906155374</v>
      </c>
      <c r="BQ120" s="93"/>
      <c r="BR120" s="93">
        <f>ППД5[[#This Row],[Фикс 20.03.24]]+ППД5[[#This Row],[Наценка 08.04.24 
2К: В3 - 150
3К: Г7 +1000]]</f>
        <v>96750.133906155374</v>
      </c>
      <c r="BS120" s="93"/>
      <c r="BT120" s="93">
        <f>ППД5[[#This Row],[Фикс 08.04.24]]+ППД5[[#This Row],[Наценка 16.05.24 1%
А4,А6,Б3,Б6,Б7,В2,В3,В5,В6,Г1,Г3-Г5]]</f>
        <v>96750.133906155374</v>
      </c>
      <c r="BU120" s="93"/>
      <c r="BV120" s="93">
        <f>ППД5[[#This Row],[Фикс 16.05.24]]+ППД5[[#This Row],[Наценка 24.05.24
1% - Б4, Б5,Г2,Г6
2% - А1,А3,А5,Б2,Г7]]</f>
        <v>96750.133906155374</v>
      </c>
      <c r="BW120" s="93"/>
      <c r="BX120" s="93">
        <f>ППД5[[#This Row],[Наценка 06.06.24
0К: В2,Г3 +0,5%
1К: А7, Б5/4, Г6 +0,5%
3К: В6 +0,5%
1К: А3 +1%]]+ППД5[[#This Row],[Фикс 24.05.24]]</f>
        <v>96750.133906155374</v>
      </c>
      <c r="BY120" s="93"/>
      <c r="BZ120" s="93">
        <f>ППД5[[#This Row],[Фикс 06.06.24]]+ППД5[[#This Row],[13.06.2024
3К - 2%]]</f>
        <v>96750.133906155374</v>
      </c>
      <c r="CA120" s="47">
        <f>1.5%*ППД5[[#This Row],[Фикс 13.06.24]]</f>
        <v>1451.2520085923306</v>
      </c>
      <c r="CB120" s="93">
        <f>ППД5[[#This Row],[02.07.2024: Г3 А1 А3 Б5 Б7 Г2 Г6 Б3 Б4 В3 Г7 2,5% ост 0,5-1,5%]]+ППД5[[#This Row],[Фикс 13.06.24]]</f>
        <v>98201.385914747705</v>
      </c>
      <c r="CC120" s="93"/>
      <c r="CD120" s="93">
        <f>ППД5[[#This Row],[Фикс 02.07.24]]+ППД5[[#This Row],[04.09.2024 +500
0К - Б2; 1К - А3;
2К - А6, Б4, В3, Г5]]</f>
        <v>98201.385914747705</v>
      </c>
      <c r="CE120" s="93">
        <f>ППД5[[#This Row],[Фикс 04.09.24]]*4%</f>
        <v>3928.0554365899084</v>
      </c>
      <c r="CF120" s="93">
        <f>ППД5[[#This Row],[Наценка 16.09.2024
1К: А1,В7,Г6/7,Г8 - 2%
2К: А4,А5,А6,Б1,Б6,Б3/4,В3,В4,Г4,Г5 - 4%
3К: 4%]]+ППД5[[#This Row],[Фикс 04.09.24]]</f>
        <v>102129.44135133762</v>
      </c>
      <c r="CG120" s="93">
        <f>ППД5[[#This Row],[Фикс 16.09.2024]]*6%</f>
        <v>6127.7664810802571</v>
      </c>
      <c r="CH120" s="93">
        <f>ППД5[[#This Row],[Фикс 16.09.2024]]+ППД5[[#This Row],[Наценка 01.11.24
СТ: 4%
1К: 34-40м 5%; 40м+ 8%; МГН 1%
2К: 55-70м 6%; 70-73м 7%; 73-76м 8% 
3К: 5%]]</f>
        <v>108257.20783241787</v>
      </c>
      <c r="CI120" s="93">
        <f>ППД5[[#This Row],[Фикс 01.11.24]]*13%</f>
        <v>14073.437018214325</v>
      </c>
      <c r="CJ120" s="93">
        <f>ППД5[[#This Row],[Наценка 06.11 13%]]+ППД5[[#This Row],[Фикс 01.11.24]]</f>
        <v>122330.6448506322</v>
      </c>
      <c r="CK120" s="93">
        <v>35</v>
      </c>
      <c r="CL120" s="93">
        <f>ППД5[[#This Row],[Фикс 06.11.24]]+ППД5[[#This Row],[Наценка 18.12.24 распределение КВ]]</f>
        <v>122365.6448506322</v>
      </c>
      <c r="CM120" s="93"/>
      <c r="CN120" s="93">
        <f>ППД5[[#This Row],[Фикс 18.12.24]]+ППД5[[#This Row],[Наценка 10.02.25 +1%
1К: А3
2К: Б3, В3]]</f>
        <v>122365.6448506322</v>
      </c>
      <c r="CO120" s="93">
        <f>ROUND(ППД5[[#This Row],[Фикс 10.02.25]],2)</f>
        <v>122365.64</v>
      </c>
      <c r="CP12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7368900</v>
      </c>
      <c r="CQ120" s="93">
        <f>ROUNDUP(ППД5[[#This Row],[Стоимость до скидки]]+ППД5[[#This Row],[Сумма доплаты]],-2)</f>
        <v>7378700</v>
      </c>
      <c r="CR120" s="68"/>
      <c r="CS120" s="90"/>
      <c r="CT120" s="68">
        <f>ППД5[[#This Row],[Стоимость до скидки]]*ППД5[[#This Row],[Скидка %]]+ППД5[[#This Row],[Скидка фиксированная]]</f>
        <v>0</v>
      </c>
      <c r="CU120" s="3">
        <f>ППД5[[#This Row],[Стоимость ОН без отделки со скидкой]]/ППД5[[#This Row],[Расчетная проектная площадь]]</f>
        <v>122366.32348057124</v>
      </c>
      <c r="CV120" s="3">
        <f>ROUND(ППД5[[#This Row],[Стоимость до скидки]]-ППД5[[#This Row],[Итоговая сумма скидки]],2)</f>
        <v>7368900</v>
      </c>
      <c r="CW12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120" s="218">
        <v>10000</v>
      </c>
      <c r="CY120" s="332">
        <f>ППД5[[#This Row],[Расхождение]]/ППД5[[#This Row],[Расчетная проектная площадь]]</f>
        <v>1.3284623048819527E-3</v>
      </c>
      <c r="CZ120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8.9999999999999858E-2</v>
      </c>
      <c r="DA120" s="3">
        <f>ППД5[[#This Row],[Цена м2 без отделки со скидкой]]+ППД5[[#This Row],[Стоимость отделки]]</f>
        <v>132366.32348057124</v>
      </c>
      <c r="DB120" s="3">
        <f>ППД5[[#This Row],[Стоимость квартиры с отделкой]]-ППД5[[#This Row],[Стоимость ОН без отделки со скидкой]]</f>
        <v>602200</v>
      </c>
      <c r="DC120" s="3">
        <f>ППД5[[#This Row],[Цена м2 с отделкой]]*ППД5[[#This Row],[Расчетная проектная площадь]]</f>
        <v>7971100</v>
      </c>
      <c r="DD120" s="3"/>
      <c r="DF120" s="199" t="s">
        <v>157</v>
      </c>
      <c r="DG120" s="245" t="s">
        <v>157</v>
      </c>
      <c r="DH120" s="100" t="b">
        <f>EXACT(ППД5[[#This Row],[Статусы CRM]],ППД5[[#This Row],[Статус]])</f>
        <v>1</v>
      </c>
      <c r="DI120" s="213" t="s">
        <v>292</v>
      </c>
      <c r="DJ120" s="204"/>
      <c r="DK120" s="111" t="s">
        <v>763</v>
      </c>
      <c r="DL120" s="216" t="s">
        <v>780</v>
      </c>
      <c r="DM120" s="201" t="b">
        <f>ППД5[[#This Row],[Отделка CRM]]=ППД5[[#This Row],[Отделка]]</f>
        <v>1</v>
      </c>
      <c r="DN120" s="203">
        <v>7971100</v>
      </c>
      <c r="DO12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20" s="207" t="b">
        <f>IF(AND(ППД5[[#This Row],[Статус]]="свободно",ППД5[[#This Row],[Итоговая сумма скидки]]&lt;&gt;0),FALSE,TRUE)</f>
        <v>1</v>
      </c>
      <c r="DQ120" s="240" t="str">
        <f>_xlfn.XLOOKUP(ППД5[[#This Row],[№]],Юрист[№ кв],Юрист[Дата подачи на регистрацию]," ",0,-1)</f>
        <v xml:space="preserve"> </v>
      </c>
      <c r="DR120" s="115" t="str">
        <f>_xlfn.XLOOKUP(ППД5[[#This Row],[№]],Юрист[№ кв],Юрист[МОП],"",0,-1)</f>
        <v/>
      </c>
      <c r="DS120" s="333" t="s">
        <v>2532</v>
      </c>
      <c r="DT120" s="333" t="s">
        <v>2533</v>
      </c>
      <c r="DU120" s="333">
        <v>58.9</v>
      </c>
      <c r="DV120" s="111"/>
    </row>
    <row r="121" spans="1:126" hidden="1" x14ac:dyDescent="0.25">
      <c r="A121" s="112">
        <v>119</v>
      </c>
      <c r="B121" s="111" t="s">
        <v>4</v>
      </c>
      <c r="C121" s="111">
        <v>2</v>
      </c>
      <c r="D121" s="111">
        <v>2</v>
      </c>
      <c r="E121" s="111">
        <v>0</v>
      </c>
      <c r="F121" s="105">
        <v>7.13</v>
      </c>
      <c r="G121" s="105"/>
      <c r="H121" s="105"/>
      <c r="I121" s="94">
        <f>SUM(ППД5[[#This Row],[Комната 1]:[Комната 3]])</f>
        <v>7.13</v>
      </c>
      <c r="J121" s="105">
        <v>5.12</v>
      </c>
      <c r="K121" s="105">
        <v>3.65</v>
      </c>
      <c r="L121" s="105"/>
      <c r="M121" s="105"/>
      <c r="N121" s="105">
        <v>6.92</v>
      </c>
      <c r="O121" s="105">
        <v>2.91</v>
      </c>
      <c r="P121" s="105"/>
      <c r="Q121" s="105"/>
      <c r="R121" s="105">
        <f>SUM(ППД5[[#This Row],[Лоджия 1]:[Лоджия 3]])</f>
        <v>2.91</v>
      </c>
      <c r="S121" s="8">
        <f>ROUND(SUM(ППД5[[#This Row],[Площадь по проекту жилая]:[Лоджия 3]]),2)</f>
        <v>25.73</v>
      </c>
      <c r="T121" s="8">
        <f>ROUND(ППД5[[#This Row],[Площадь по проекту(общая)]]-ППД5[[#This Row],[Летние]],2)</f>
        <v>22.82</v>
      </c>
      <c r="U121" s="91">
        <f>ROUND(ППД5[[#This Row],[Площадь по проекту(общая)]]-(SUM(ППД5[[#This Row],[Лоджия 1]:[Лоджия 3]])/2),2)</f>
        <v>24.28</v>
      </c>
      <c r="V121" s="91">
        <f>IF(ППД5[[#This Row],[Статус]]="продажа",ППД5[[#This Row],[Расчетная проектная площадь]],ППД5[[#This Row],[Расчетная ТП площадь]])</f>
        <v>24.28</v>
      </c>
      <c r="W121" s="91">
        <v>7.1</v>
      </c>
      <c r="X121" s="91"/>
      <c r="Y121" s="91"/>
      <c r="Z121" s="91">
        <f>SUM(ППД5[[#This Row],[ТП Комната 1]:[ТП Комната 3]])</f>
        <v>7.1</v>
      </c>
      <c r="AA121" s="91">
        <v>5.0999999999999996</v>
      </c>
      <c r="AB121" s="91">
        <v>3.5</v>
      </c>
      <c r="AC121" s="91"/>
      <c r="AD121" s="91"/>
      <c r="AE121" s="91">
        <v>7</v>
      </c>
      <c r="AF121" s="91">
        <v>1.45</v>
      </c>
      <c r="AG121" s="91"/>
      <c r="AH121" s="91"/>
      <c r="AI121" s="91">
        <f>SUM(ППД5[[#This Row],[ТП Лоджия 1]:[ТП Лоджия 3]])</f>
        <v>1.45</v>
      </c>
      <c r="AJ121" s="95">
        <v>2.9</v>
      </c>
      <c r="AK121" s="91">
        <f>SUM(ППД5[[#This Row],[Площадь по ТП жилая]:[ТП Лоджия 3]])-ППД5[[#This Row],[ТП Летние]]+ППД5[[#This Row],[кроме того прочая
(без коэффициента)]]</f>
        <v>25.599999999999998</v>
      </c>
      <c r="AL121" s="95">
        <f>ППД5[[#This Row],[ТП Площадь без летних]]+(ППД5[[#This Row],[ТП Летние]])</f>
        <v>24.15</v>
      </c>
      <c r="AM121" s="91">
        <f>ППД5[[#This Row],[ТП общая S]]-ППД5[[#This Row],[кроме того прочая
(без коэффициента)]]</f>
        <v>22.7</v>
      </c>
      <c r="AN121" s="95">
        <f>SUM(ППД5[[#This Row],[ТП Кухня]:[ТП Коридор]])</f>
        <v>15.6</v>
      </c>
      <c r="AO121" s="91">
        <f>ППД5[[#This Row],[Расчетная ТП площадь]]-ППД5[[#This Row],[Расчетная проектная площадь]]</f>
        <v>-0.13000000000000256</v>
      </c>
      <c r="AP121" s="335">
        <f>ППД5[[#This Row],[Расчетная ТП площадь]]/ППД5[[#This Row],[Расчетная проектная площадь]]-1</f>
        <v>-5.3542009884679498E-3</v>
      </c>
      <c r="AQ121" s="91">
        <f>ППД5[[#This Row],[% расхождения]]*ППД5[[#This Row],[Стоимость до скидки]]</f>
        <v>-11843.722817133608</v>
      </c>
      <c r="AR121" s="91">
        <f>VLOOKUP(ППД5[[#This Row],[№]],наценкад5[],COLUMN(наценкад5[[#This Row],[Цена м2 с учетом всех K]]),0)</f>
        <v>91105.56</v>
      </c>
      <c r="AS121" s="8"/>
      <c r="AT121" s="8">
        <f>ППД5[[#This Row],[м2 после К]]+ППД5[[#This Row],[Повышение 16.08.23 - 5%]]</f>
        <v>91105.56</v>
      </c>
      <c r="AU121" s="93"/>
      <c r="AV121" s="93">
        <f>ППД5[[#This Row],[Фикс 16.08.23]]+ППД5[[#This Row],[Повышение 29.08.23 - 3%]]</f>
        <v>91105.56</v>
      </c>
      <c r="AW121" s="93"/>
      <c r="AX121" s="93">
        <f>ППД5[[#This Row],[Фикс 29.08.23]]+ППД5[[#This Row],[Повышение 06.09.23 СТ и 1К]]</f>
        <v>91105.56</v>
      </c>
      <c r="AY121" s="93"/>
      <c r="AZ121" s="93">
        <f>ППД5[[#This Row],[Повышение 23.10.23  В4 ]]+ППД5[[#This Row],[Фикс 06.09.23]]</f>
        <v>91105.56</v>
      </c>
      <c r="BA121" s="93"/>
      <c r="BB121" s="93">
        <f>ППД5[[#This Row],[Повышение 8.11.23 1К 5%]]+ППД5[[#This Row],[Фикс 23.10.23]]</f>
        <v>91105.56</v>
      </c>
      <c r="BC121" s="93"/>
      <c r="BD121" s="93">
        <f>ППД5[[#This Row],[Корректировка 24.11.23 - 1К В5, 2К А2, №233]]+ППД5[[#This Row],[Фикс 8.11.23]]</f>
        <v>91105.56</v>
      </c>
      <c r="BE121" s="93"/>
      <c r="BF121" s="93">
        <f>ППД5[[#This Row],[Наценка за отделку 29.12.23 1%]]+ППД5[[#This Row],[Фикс 8.11.24]]</f>
        <v>91105.56</v>
      </c>
      <c r="BG121" s="93"/>
      <c r="BH121" s="93">
        <f>ППД5[[#This Row],[Фикс 29.12.23]]+ППД5[[#This Row],[Наценка 10.01.24 5%]]</f>
        <v>91105.56</v>
      </c>
      <c r="BI121" s="93"/>
      <c r="BJ121" s="93">
        <f>ППД5[[#This Row],[Наценка 26.02.24 1 Этаж]]+ППД5[[#This Row],[Фикс 10.01.24]]</f>
        <v>91105.56</v>
      </c>
      <c r="BK121" s="93"/>
      <c r="BL121" s="93">
        <f>ППД5[[#This Row],[Фикс 26.02.24]]+ППД5[[#This Row],[Наценка 06.03.24
СТ, 1К - 3%
2К, 3К - 2%]]</f>
        <v>91105.56</v>
      </c>
      <c r="BM121" s="93"/>
      <c r="BN121" s="93">
        <f>ППД5[[#This Row],[Фикс 06.03.24]]+ППД5[[#This Row],[Наценка Г2+500]]</f>
        <v>91105.56</v>
      </c>
      <c r="BO121" s="93"/>
      <c r="BP121" s="93">
        <f>ППД5[[#This Row],[Фикс 13.03.25]]+ППД5[[#This Row],[Наценка 20.03.24
2К, 3К - 2%]]</f>
        <v>91105.56</v>
      </c>
      <c r="BQ121" s="93"/>
      <c r="BR121" s="93">
        <f>ППД5[[#This Row],[Фикс 20.03.24]]+ППД5[[#This Row],[Наценка 08.04.24 
2К: В3 - 150
3К: Г7 +1000]]</f>
        <v>91105.56</v>
      </c>
      <c r="BS121" s="93"/>
      <c r="BT121" s="93">
        <f>ППД5[[#This Row],[Фикс 08.04.24]]+ППД5[[#This Row],[Наценка 16.05.24 1%
А4,А6,Б3,Б6,Б7,В2,В3,В5,В6,Г1,Г3-Г5]]</f>
        <v>91105.56</v>
      </c>
      <c r="BU121" s="93"/>
      <c r="BV121" s="93">
        <f>ППД5[[#This Row],[Фикс 16.05.24]]+ППД5[[#This Row],[Наценка 24.05.24
1% - Б4, Б5,Г2,Г6
2% - А1,А3,А5,Б2,Г7]]</f>
        <v>91105.56</v>
      </c>
      <c r="BW121" s="93"/>
      <c r="BX121" s="93">
        <f>ППД5[[#This Row],[Наценка 06.06.24
0К: В2,Г3 +0,5%
1К: А7, Б5/4, Г6 +0,5%
3К: В6 +0,5%
1К: А3 +1%]]+ППД5[[#This Row],[Фикс 24.05.24]]</f>
        <v>91105.56</v>
      </c>
      <c r="BY121" s="93"/>
      <c r="BZ121" s="93">
        <f>ППД5[[#This Row],[Фикс 06.06.24]]+ППД5[[#This Row],[13.06.2024
3К - 2%]]</f>
        <v>91105.56</v>
      </c>
      <c r="CA121" s="93"/>
      <c r="CB121" s="93">
        <f>ППД5[[#This Row],[02.07.2024: Г3 А1 А3 Б5 Б7 Г2 Г6 Б3 Б4 В3 Г7 2,5% ост 0,5-1,5%]]+ППД5[[#This Row],[Фикс 13.06.24]]</f>
        <v>91105.56</v>
      </c>
      <c r="CC121" s="93"/>
      <c r="CD121" s="93">
        <f>ППД5[[#This Row],[Фикс 02.07.24]]+ППД5[[#This Row],[04.09.2024 +500
0К - Б2; 1К - А3;
2К - А6, Б4, В3, Г5]]</f>
        <v>91105.56</v>
      </c>
      <c r="CE121" s="93"/>
      <c r="CF121" s="93">
        <f>ППД5[[#This Row],[Наценка 16.09.2024
1К: А1,В7,Г6/7,Г8 - 2%
2К: А4,А5,А6,Б1,Б6,Б3/4,В3,В4,Г4,Г5 - 4%
3К: 4%]]+ППД5[[#This Row],[Фикс 04.09.24]]</f>
        <v>91105.56</v>
      </c>
      <c r="CG121" s="93"/>
      <c r="CH121" s="93">
        <f>ППД5[[#This Row],[Фикс 16.09.2024]]+ППД5[[#This Row],[Наценка 01.11.24
СТ: 4%
1К: 34-40м 5%; 40м+ 8%; МГН 1%
2К: 55-70м 6%; 70-73м 7%; 73-76м 8% 
3К: 5%]]</f>
        <v>91105.56</v>
      </c>
      <c r="CI121" s="93"/>
      <c r="CJ121" s="93">
        <f>ППД5[[#This Row],[Наценка 06.11 13%]]+ППД5[[#This Row],[Фикс 01.11.24]]</f>
        <v>91105.56</v>
      </c>
      <c r="CK121" s="93"/>
      <c r="CL121" s="93">
        <f>ППД5[[#This Row],[Фикс 06.11.24]]+ППД5[[#This Row],[Наценка 18.12.24 распределение КВ]]</f>
        <v>91105.56</v>
      </c>
      <c r="CM121" s="93"/>
      <c r="CN121" s="93">
        <f>ППД5[[#This Row],[Фикс 18.12.24]]+ППД5[[#This Row],[Наценка 10.02.25 +1%
1К: А3
2К: Б3, В3]]</f>
        <v>91105.56</v>
      </c>
      <c r="CO121" s="93">
        <f>ROUND(ППД5[[#This Row],[Фикс 10.02.25]],2)</f>
        <v>91105.56</v>
      </c>
      <c r="CP12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2212043</v>
      </c>
      <c r="CQ121" s="93">
        <f>ROUNDUP(ППД5[[#This Row],[Стоимость до скидки]]+ППД5[[#This Row],[Сумма доплаты]],-2)</f>
        <v>2200200</v>
      </c>
      <c r="CR121" s="68"/>
      <c r="CS121" s="90"/>
      <c r="CT121" s="68">
        <f>ППД5[[#This Row],[Стоимость до скидки]]*ППД5[[#This Row],[Скидка %]]+ППД5[[#This Row],[Скидка фиксированная]]</f>
        <v>0</v>
      </c>
      <c r="CU121" s="3">
        <f>ППД5[[#This Row],[Стоимость ОН без отделки со скидкой]]/ППД5[[#This Row],[Расчетная проектная площадь]]</f>
        <v>91105.560131795719</v>
      </c>
      <c r="CV121" s="3">
        <f>ROUND(ППД5[[#This Row],[Стоимость до скидки]]-ППД5[[#This Row],[Итоговая сумма скидки]],2)</f>
        <v>2212043</v>
      </c>
      <c r="CW12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121" s="197">
        <v>15500</v>
      </c>
      <c r="CY121" s="332">
        <f>ППД5[[#This Row],[Расхождение]]/ППД5[[#This Row],[Расчетная проектная площадь]]</f>
        <v>-5.3542009884679801E-3</v>
      </c>
      <c r="CZ12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-9.0000000000000746E-2</v>
      </c>
      <c r="DA121" s="3">
        <f>ППД5[[#This Row],[Цена м2 без отделки со скидкой]]+ППД5[[#This Row],[Стоимость отделки]]</f>
        <v>106605.56013179572</v>
      </c>
      <c r="DB121" s="3">
        <f>ППД5[[#This Row],[Стоимость квартиры с отделкой]]-ППД5[[#This Row],[Стоимость ОН без отделки со скидкой]]</f>
        <v>376340</v>
      </c>
      <c r="DC121" s="3">
        <f>ППД5[[#This Row],[Цена м2 с отделкой]]*ППД5[[#This Row],[Расчетная проектная площадь]]</f>
        <v>2588383</v>
      </c>
      <c r="DD121" s="3"/>
      <c r="DF121" s="199" t="s">
        <v>172</v>
      </c>
      <c r="DG121" s="245" t="s">
        <v>172</v>
      </c>
      <c r="DH121" s="100" t="b">
        <f>EXACT(ППД5[[#This Row],[Статусы CRM]],ППД5[[#This Row],[Статус]])</f>
        <v>1</v>
      </c>
      <c r="DI121" s="213" t="s">
        <v>293</v>
      </c>
      <c r="DJ121" s="204"/>
      <c r="DK121" s="111" t="s">
        <v>76</v>
      </c>
      <c r="DL121" s="216" t="s">
        <v>14</v>
      </c>
      <c r="DM121" s="201" t="b">
        <f>ППД5[[#This Row],[Отделка CRM]]=ППД5[[#This Row],[Отделка]]</f>
        <v>1</v>
      </c>
      <c r="DN121" s="203">
        <v>2588383</v>
      </c>
      <c r="DO12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21" s="207" t="b">
        <f>IF(AND(ППД5[[#This Row],[Статус]]="свободно",ППД5[[#This Row],[Итоговая сумма скидки]]&lt;&gt;0),FALSE,TRUE)</f>
        <v>1</v>
      </c>
      <c r="DQ121" s="240">
        <f>_xlfn.XLOOKUP(ППД5[[#This Row],[№]],Юрист[№ кв],Юрист[Дата подачи на регистрацию]," ",0,-1)</f>
        <v>45195</v>
      </c>
      <c r="DR121" s="115" t="str">
        <f>_xlfn.XLOOKUP(ППД5[[#This Row],[№]],Юрист[№ кв],Юрист[МОП],"",0,-1)</f>
        <v>Калачева</v>
      </c>
      <c r="DS121" s="333" t="s">
        <v>2534</v>
      </c>
      <c r="DT121" s="333" t="s">
        <v>2535</v>
      </c>
      <c r="DU121" s="333">
        <v>22.7</v>
      </c>
      <c r="DV121" s="111"/>
    </row>
    <row r="122" spans="1:126" hidden="1" x14ac:dyDescent="0.25">
      <c r="A122" s="112">
        <v>120</v>
      </c>
      <c r="B122" s="111" t="s">
        <v>4</v>
      </c>
      <c r="C122" s="111">
        <v>2</v>
      </c>
      <c r="D122" s="111">
        <v>3</v>
      </c>
      <c r="E122" s="111">
        <v>2</v>
      </c>
      <c r="F122" s="105">
        <v>14.6</v>
      </c>
      <c r="G122" s="105">
        <v>13.12</v>
      </c>
      <c r="H122" s="105"/>
      <c r="I122" s="94">
        <f>SUM(ППД5[[#This Row],[Комната 1]:[Комната 3]])</f>
        <v>27.72</v>
      </c>
      <c r="J122" s="105">
        <v>14.35</v>
      </c>
      <c r="K122" s="105">
        <v>3.68</v>
      </c>
      <c r="L122" s="105">
        <v>2.57</v>
      </c>
      <c r="M122" s="105"/>
      <c r="N122" s="105">
        <v>7.95</v>
      </c>
      <c r="O122" s="105">
        <v>2.65</v>
      </c>
      <c r="P122" s="105"/>
      <c r="Q122" s="105"/>
      <c r="R122" s="105">
        <f>SUM(ППД5[[#This Row],[Лоджия 1]:[Лоджия 3]])</f>
        <v>2.65</v>
      </c>
      <c r="S122" s="8">
        <f>ROUND(SUM(ППД5[[#This Row],[Площадь по проекту жилая]:[Лоджия 3]]),2)</f>
        <v>58.92</v>
      </c>
      <c r="T122" s="8">
        <f>ROUND(ППД5[[#This Row],[Площадь по проекту(общая)]]-ППД5[[#This Row],[Летние]],2)</f>
        <v>56.27</v>
      </c>
      <c r="U122" s="91">
        <f>ROUND(ППД5[[#This Row],[Площадь по проекту(общая)]]-(SUM(ППД5[[#This Row],[Лоджия 1]:[Лоджия 3]])/2),2)</f>
        <v>57.6</v>
      </c>
      <c r="V122" s="91">
        <f>IF(ППД5[[#This Row],[Статус]]="продажа",ППД5[[#This Row],[Расчетная проектная площадь]],ППД5[[#This Row],[Расчетная ТП площадь]])</f>
        <v>57.6</v>
      </c>
      <c r="W122" s="91">
        <v>13</v>
      </c>
      <c r="X122" s="91">
        <v>14.7</v>
      </c>
      <c r="Y122" s="91"/>
      <c r="Z122" s="91">
        <f>SUM(ППД5[[#This Row],[ТП Комната 1]:[ТП Комната 3]])</f>
        <v>27.7</v>
      </c>
      <c r="AA122" s="91">
        <v>14.2</v>
      </c>
      <c r="AB122" s="91">
        <v>2.6</v>
      </c>
      <c r="AC122" s="91">
        <v>3.9</v>
      </c>
      <c r="AD122" s="91"/>
      <c r="AE122" s="91">
        <v>8</v>
      </c>
      <c r="AF122" s="91">
        <v>1.35</v>
      </c>
      <c r="AG122" s="91"/>
      <c r="AH122" s="91"/>
      <c r="AI122" s="91">
        <f>SUM(ППД5[[#This Row],[ТП Лоджия 1]:[ТП Лоджия 3]])</f>
        <v>1.35</v>
      </c>
      <c r="AJ122" s="95">
        <v>2.7</v>
      </c>
      <c r="AK122" s="91">
        <f>SUM(ППД5[[#This Row],[Площадь по ТП жилая]:[ТП Лоджия 3]])-ППД5[[#This Row],[ТП Летние]]+ППД5[[#This Row],[кроме того прочая
(без коэффициента)]]</f>
        <v>59.1</v>
      </c>
      <c r="AL122" s="95">
        <f>ППД5[[#This Row],[ТП Площадь без летних]]+(ППД5[[#This Row],[ТП Летние]])</f>
        <v>57.75</v>
      </c>
      <c r="AM122" s="91">
        <f>ППД5[[#This Row],[ТП общая S]]-ППД5[[#This Row],[кроме того прочая
(без коэффициента)]]</f>
        <v>56.4</v>
      </c>
      <c r="AN122" s="95">
        <f>SUM(ППД5[[#This Row],[ТП Кухня]:[ТП Коридор]])</f>
        <v>28.7</v>
      </c>
      <c r="AO122" s="91">
        <f>ППД5[[#This Row],[Расчетная ТП площадь]]-ППД5[[#This Row],[Расчетная проектная площадь]]</f>
        <v>0.14999999999999858</v>
      </c>
      <c r="AP122" s="335">
        <f>ППД5[[#This Row],[Расчетная ТП площадь]]/ППД5[[#This Row],[Расчетная проектная площадь]]-1</f>
        <v>2.6041666666667407E-3</v>
      </c>
      <c r="AQ122" s="91">
        <f>ППД5[[#This Row],[% расхождения]]*ППД5[[#This Row],[Стоимость до скидки]]</f>
        <v>18359.37500000052</v>
      </c>
      <c r="AR122" s="91">
        <f>VLOOKUP(ППД5[[#This Row],[№]],наценкад5[],COLUMN(наценкад5[[#This Row],[Цена м2 с учетом всех K]]),0)</f>
        <v>79535.67300000001</v>
      </c>
      <c r="AS122" s="8">
        <f>ППД5[[#This Row],[м2 после К]]*5%</f>
        <v>3976.7836500000008</v>
      </c>
      <c r="AT122" s="8">
        <f>ППД5[[#This Row],[м2 после К]]+ППД5[[#This Row],[Повышение 16.08.23 - 5%]]</f>
        <v>83512.456650000007</v>
      </c>
      <c r="AU122" s="93">
        <f>ППД5[[#This Row],[Фикс 16.08.23]]*3%</f>
        <v>2505.3736994999999</v>
      </c>
      <c r="AV122" s="93">
        <f>ППД5[[#This Row],[Фикс 16.08.23]]+ППД5[[#This Row],[Повышение 29.08.23 - 3%]]</f>
        <v>86017.8303495</v>
      </c>
      <c r="AW122" s="93"/>
      <c r="AX122" s="93">
        <f>ППД5[[#This Row],[Фикс 29.08.23]]+ППД5[[#This Row],[Повышение 06.09.23 СТ и 1К]]</f>
        <v>86017.8303495</v>
      </c>
      <c r="AY122" s="93"/>
      <c r="AZ122" s="93">
        <f>ППД5[[#This Row],[Повышение 23.10.23  В4 ]]+ППД5[[#This Row],[Фикс 06.09.23]]</f>
        <v>86017.8303495</v>
      </c>
      <c r="BA122" s="93"/>
      <c r="BB122" s="93">
        <f>ППД5[[#This Row],[Повышение 8.11.23 1К 5%]]+ППД5[[#This Row],[Фикс 23.10.23]]</f>
        <v>86017.8303495</v>
      </c>
      <c r="BC122" s="93"/>
      <c r="BD122" s="93">
        <f>ППД5[[#This Row],[Корректировка 24.11.23 - 1К В5, 2К А2, №233]]+ППД5[[#This Row],[Фикс 8.11.23]]</f>
        <v>86017.8303495</v>
      </c>
      <c r="BE122" s="93">
        <f>ППД5[[#This Row],[Фикс 8.11.24]]*1%</f>
        <v>860.17830349500002</v>
      </c>
      <c r="BF122" s="93">
        <f>ППД5[[#This Row],[Наценка за отделку 29.12.23 1%]]+ППД5[[#This Row],[Фикс 8.11.24]]</f>
        <v>86878.008652995006</v>
      </c>
      <c r="BG122" s="93">
        <f>ППД5[[#This Row],[Фикс 29.12.23]]*5%</f>
        <v>4343.9004326497507</v>
      </c>
      <c r="BH122" s="93">
        <f>ППД5[[#This Row],[Фикс 29.12.23]]+ППД5[[#This Row],[Наценка 10.01.24 5%]]</f>
        <v>91221.909085644758</v>
      </c>
      <c r="BI122" s="93"/>
      <c r="BJ122" s="93">
        <f>ППД5[[#This Row],[Наценка 26.02.24 1 Этаж]]+ППД5[[#This Row],[Фикс 10.01.24]]</f>
        <v>91221.909085644758</v>
      </c>
      <c r="BK122" s="93">
        <f>ППД5[[#This Row],[Фикс 26.02.24]]*2%</f>
        <v>1824.4381817128951</v>
      </c>
      <c r="BL122" s="93">
        <f>ППД5[[#This Row],[Фикс 26.02.24]]+ППД5[[#This Row],[Наценка 06.03.24
СТ, 1К - 3%
2К, 3К - 2%]]</f>
        <v>93046.347267357647</v>
      </c>
      <c r="BM122" s="93"/>
      <c r="BN122" s="93">
        <f>ППД5[[#This Row],[Фикс 06.03.24]]+ППД5[[#This Row],[Наценка Г2+500]]</f>
        <v>93046.347267357647</v>
      </c>
      <c r="BO122" s="93">
        <f>ППД5[[#This Row],[Фикс 13.03.25]]*2%</f>
        <v>1860.9269453471529</v>
      </c>
      <c r="BP122" s="93">
        <f>ППД5[[#This Row],[Фикс 13.03.25]]+ППД5[[#This Row],[Наценка 20.03.24
2К, 3К - 2%]]</f>
        <v>94907.274212704797</v>
      </c>
      <c r="BQ122" s="93"/>
      <c r="BR122" s="93">
        <f>ППД5[[#This Row],[Фикс 20.03.24]]+ППД5[[#This Row],[Наценка 08.04.24 
2К: В3 - 150
3К: Г7 +1000]]</f>
        <v>94907.274212704797</v>
      </c>
      <c r="BS122" s="9">
        <f>ППД5[[#This Row],[Фикс 08.04.24]]*1%</f>
        <v>949.07274212704795</v>
      </c>
      <c r="BT122" s="93">
        <f>ППД5[[#This Row],[Фикс 08.04.24]]+ППД5[[#This Row],[Наценка 16.05.24 1%
А4,А6,Б3,Б6,Б7,В2,В3,В5,В6,Г1,Г3-Г5]]</f>
        <v>95856.346954831839</v>
      </c>
      <c r="BU122" s="93"/>
      <c r="BV122" s="93">
        <f>ППД5[[#This Row],[Фикс 16.05.24]]+ППД5[[#This Row],[Наценка 24.05.24
1% - Б4, Б5,Г2,Г6
2% - А1,А3,А5,Б2,Г7]]</f>
        <v>95856.346954831839</v>
      </c>
      <c r="BW122" s="93"/>
      <c r="BX122" s="93">
        <f>ППД5[[#This Row],[Наценка 06.06.24
0К: В2,Г3 +0,5%
1К: А7, Б5/4, Г6 +0,5%
3К: В6 +0,5%
1К: А3 +1%]]+ППД5[[#This Row],[Фикс 24.05.24]]</f>
        <v>95856.346954831839</v>
      </c>
      <c r="BY122" s="93"/>
      <c r="BZ122" s="93">
        <f>ППД5[[#This Row],[Фикс 06.06.24]]+ППД5[[#This Row],[13.06.2024
3К - 2%]]</f>
        <v>95856.346954831839</v>
      </c>
      <c r="CA122" s="93">
        <f>2.5%*ППД5[[#This Row],[Фикс 13.06.24]]</f>
        <v>2396.4086738707961</v>
      </c>
      <c r="CB122" s="93">
        <f>ППД5[[#This Row],[02.07.2024: Г3 А1 А3 Б5 Б7 Г2 Г6 Б3 Б4 В3 Г7 2,5% ост 0,5-1,5%]]+ППД5[[#This Row],[Фикс 13.06.24]]</f>
        <v>98252.755628702638</v>
      </c>
      <c r="CC122" s="93"/>
      <c r="CD122" s="93">
        <f>ППД5[[#This Row],[Фикс 02.07.24]]+ППД5[[#This Row],[04.09.2024 +500
0К - Б2; 1К - А3;
2К - А6, Б4, В3, Г5]]</f>
        <v>98252.755628702638</v>
      </c>
      <c r="CE122" s="93">
        <f>ППД5[[#This Row],[Фикс 04.09.24]]*4%</f>
        <v>3930.1102251481057</v>
      </c>
      <c r="CF122" s="93">
        <f>ППД5[[#This Row],[Наценка 16.09.2024
1К: А1,В7,Г6/7,Г8 - 2%
2К: А4,А5,А6,Б1,Б6,Б3/4,В3,В4,Г4,Г5 - 4%
3К: 4%]]+ППД5[[#This Row],[Фикс 04.09.24]]</f>
        <v>102182.86585385074</v>
      </c>
      <c r="CG122" s="93">
        <f>ППД5[[#This Row],[Фикс 16.09.2024]]*6%</f>
        <v>6130.9719512310448</v>
      </c>
      <c r="CH122" s="93">
        <f>ППД5[[#This Row],[Фикс 16.09.2024]]+ППД5[[#This Row],[Наценка 01.11.24
СТ: 4%
1К: 34-40м 5%; 40м+ 8%; МГН 1%
2К: 55-70м 6%; 70-73м 7%; 73-76м 8% 
3К: 5%]]</f>
        <v>108313.83780508178</v>
      </c>
      <c r="CI122" s="93">
        <f>ППД5[[#This Row],[Фикс 01.11.24]]*13%</f>
        <v>14080.798914660632</v>
      </c>
      <c r="CJ122" s="93">
        <f>ППД5[[#This Row],[Наценка 06.11 13%]]+ППД5[[#This Row],[Фикс 01.11.24]]</f>
        <v>122394.63671974241</v>
      </c>
      <c r="CK122" s="93"/>
      <c r="CL122" s="93">
        <f>ППД5[[#This Row],[Фикс 06.11.24]]+ППД5[[#This Row],[Наценка 18.12.24 распределение КВ]]</f>
        <v>122394.63671974241</v>
      </c>
      <c r="CM122" s="93"/>
      <c r="CN122" s="93">
        <f>ППД5[[#This Row],[Фикс 18.12.24]]+ППД5[[#This Row],[Наценка 10.02.25 +1%
1К: А3
2К: Б3, В3]]</f>
        <v>122394.63671974241</v>
      </c>
      <c r="CO122" s="93">
        <f>ROUND(ППД5[[#This Row],[Фикс 10.02.25]],2)</f>
        <v>122394.64</v>
      </c>
      <c r="CP12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7050000</v>
      </c>
      <c r="CQ122" s="93">
        <f>ROUNDUP(ППД5[[#This Row],[Стоимость до скидки]]+ППД5[[#This Row],[Сумма доплаты]],-2)</f>
        <v>7068400</v>
      </c>
      <c r="CR122" s="68"/>
      <c r="CS122" s="90">
        <v>0.03</v>
      </c>
      <c r="CT122" s="68">
        <f>ППД5[[#This Row],[Стоимость до скидки]]*ППД5[[#This Row],[Скидка %]]+ППД5[[#This Row],[Скидка фиксированная]]</f>
        <v>211500</v>
      </c>
      <c r="CU122" s="3">
        <f>ППД5[[#This Row],[Стоимость ОН без отделки со скидкой]]/ППД5[[#This Row],[Расчетная проектная площадь]]</f>
        <v>118723.95833333333</v>
      </c>
      <c r="CV122" s="3">
        <f>ROUND(ППД5[[#This Row],[Стоимость до скидки]]-ППД5[[#This Row],[Итоговая сумма скидки]],2)</f>
        <v>6838500</v>
      </c>
      <c r="CW12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122" s="218">
        <v>10000</v>
      </c>
      <c r="CY122" s="332">
        <f>ППД5[[#This Row],[Расхождение]]/ППД5[[#This Row],[Расчетная проектная площадь]]</f>
        <v>2.6041666666666418E-3</v>
      </c>
      <c r="CZ122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0.15000000000000036</v>
      </c>
      <c r="DA122" s="3">
        <f>ППД5[[#This Row],[Цена м2 без отделки со скидкой]]+ППД5[[#This Row],[Стоимость отделки]]</f>
        <v>128723.95833333333</v>
      </c>
      <c r="DB122" s="3">
        <f>ППД5[[#This Row],[Стоимость квартиры с отделкой]]-ППД5[[#This Row],[Стоимость ОН без отделки со скидкой]]</f>
        <v>576000</v>
      </c>
      <c r="DC122" s="3">
        <f>ППД5[[#This Row],[Цена м2 с отделкой]]*ППД5[[#This Row],[Расчетная проектная площадь]]</f>
        <v>7414500</v>
      </c>
      <c r="DD122" s="3" t="s">
        <v>154</v>
      </c>
      <c r="DE122" s="111" t="s">
        <v>767</v>
      </c>
      <c r="DF122" s="199" t="s">
        <v>172</v>
      </c>
      <c r="DG122" s="245" t="s">
        <v>172</v>
      </c>
      <c r="DH122" s="100" t="b">
        <f>EXACT(ППД5[[#This Row],[Статусы CRM]],ППД5[[#This Row],[Статус]])</f>
        <v>1</v>
      </c>
      <c r="DI122" s="213" t="s">
        <v>294</v>
      </c>
      <c r="DJ122" s="204"/>
      <c r="DK122" s="111" t="s">
        <v>763</v>
      </c>
      <c r="DL122" s="216" t="s">
        <v>780</v>
      </c>
      <c r="DM122" s="201" t="b">
        <f>ППД5[[#This Row],[Отделка CRM]]=ППД5[[#This Row],[Отделка]]</f>
        <v>1</v>
      </c>
      <c r="DN122" s="203">
        <v>7414500</v>
      </c>
      <c r="DO12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22" s="207" t="b">
        <f>IF(AND(ППД5[[#This Row],[Статус]]="свободно",ППД5[[#This Row],[Итоговая сумма скидки]]&lt;&gt;0),FALSE,TRUE)</f>
        <v>1</v>
      </c>
      <c r="DQ122" s="240">
        <f>_xlfn.XLOOKUP(ППД5[[#This Row],[№]],Юрист[№ кв],Юрист[Дата подачи на регистрацию]," ",0,-1)</f>
        <v>45643</v>
      </c>
      <c r="DR122" s="115" t="str">
        <f>_xlfn.XLOOKUP(ППД5[[#This Row],[№]],Юрист[№ кв],Юрист[МОП],"",0,-1)</f>
        <v>Никишов</v>
      </c>
      <c r="DS122" s="333" t="s">
        <v>2536</v>
      </c>
      <c r="DT122" s="333" t="s">
        <v>2537</v>
      </c>
      <c r="DU122" s="333">
        <v>56.4</v>
      </c>
      <c r="DV122" s="111"/>
    </row>
    <row r="123" spans="1:126" hidden="1" x14ac:dyDescent="0.25">
      <c r="A123" s="112">
        <v>121</v>
      </c>
      <c r="B123" s="111" t="s">
        <v>4</v>
      </c>
      <c r="C123" s="111">
        <v>2</v>
      </c>
      <c r="D123" s="111">
        <v>4</v>
      </c>
      <c r="E123" s="111">
        <v>2</v>
      </c>
      <c r="F123" s="105">
        <v>15.45</v>
      </c>
      <c r="G123" s="105">
        <v>14.5</v>
      </c>
      <c r="H123" s="105"/>
      <c r="I123" s="94">
        <f>SUM(ППД5[[#This Row],[Комната 1]:[Комната 3]])</f>
        <v>29.95</v>
      </c>
      <c r="J123" s="105">
        <v>11.95</v>
      </c>
      <c r="K123" s="105">
        <v>3.86</v>
      </c>
      <c r="L123" s="105">
        <v>2.37</v>
      </c>
      <c r="M123" s="105"/>
      <c r="N123" s="105">
        <v>8.8699999999999992</v>
      </c>
      <c r="O123" s="105">
        <v>2.62</v>
      </c>
      <c r="P123" s="105"/>
      <c r="Q123" s="105"/>
      <c r="R123" s="105">
        <f>SUM(ППД5[[#This Row],[Лоджия 1]:[Лоджия 3]])</f>
        <v>2.62</v>
      </c>
      <c r="S123" s="8">
        <f>ROUND(SUM(ППД5[[#This Row],[Площадь по проекту жилая]:[Лоджия 3]]),2)</f>
        <v>59.62</v>
      </c>
      <c r="T123" s="8">
        <f>ROUND(ППД5[[#This Row],[Площадь по проекту(общая)]]-ППД5[[#This Row],[Летние]],2)</f>
        <v>57</v>
      </c>
      <c r="U123" s="91">
        <f>ROUND(ППД5[[#This Row],[Площадь по проекту(общая)]]-(SUM(ППД5[[#This Row],[Лоджия 1]:[Лоджия 3]])/2),2)</f>
        <v>58.31</v>
      </c>
      <c r="V123" s="91">
        <f>IF(ППД5[[#This Row],[Статус]]="продажа",ППД5[[#This Row],[Расчетная проектная площадь]],ППД5[[#This Row],[Расчетная ТП площадь]])</f>
        <v>58.199999999999996</v>
      </c>
      <c r="W123" s="91">
        <v>14.5</v>
      </c>
      <c r="X123" s="91">
        <v>15.7</v>
      </c>
      <c r="Y123" s="91"/>
      <c r="Z123" s="91">
        <f>SUM(ППД5[[#This Row],[ТП Комната 1]:[ТП Комната 3]])</f>
        <v>30.2</v>
      </c>
      <c r="AA123" s="91">
        <v>12</v>
      </c>
      <c r="AB123" s="91">
        <v>3.8</v>
      </c>
      <c r="AC123" s="91">
        <v>2.2999999999999998</v>
      </c>
      <c r="AD123" s="91"/>
      <c r="AE123" s="91">
        <v>8.6</v>
      </c>
      <c r="AF123" s="91">
        <v>1.3</v>
      </c>
      <c r="AG123" s="91"/>
      <c r="AH123" s="91"/>
      <c r="AI123" s="91">
        <f>SUM(ППД5[[#This Row],[ТП Лоджия 1]:[ТП Лоджия 3]])</f>
        <v>1.3</v>
      </c>
      <c r="AJ123" s="95">
        <v>2.6</v>
      </c>
      <c r="AK123" s="91">
        <f>SUM(ППД5[[#This Row],[Площадь по ТП жилая]:[ТП Лоджия 3]])-ППД5[[#This Row],[ТП Летние]]+ППД5[[#This Row],[кроме того прочая
(без коэффициента)]]</f>
        <v>59.5</v>
      </c>
      <c r="AL123" s="95">
        <f>ППД5[[#This Row],[ТП Площадь без летних]]+(ППД5[[#This Row],[ТП Летние]])</f>
        <v>58.199999999999996</v>
      </c>
      <c r="AM123" s="91">
        <f>ППД5[[#This Row],[ТП общая S]]-ППД5[[#This Row],[кроме того прочая
(без коэффициента)]]</f>
        <v>56.9</v>
      </c>
      <c r="AN123" s="95">
        <f>SUM(ППД5[[#This Row],[ТП Кухня]:[ТП Коридор]])</f>
        <v>26.700000000000003</v>
      </c>
      <c r="AO123" s="91">
        <f>ППД5[[#This Row],[Расчетная ТП площадь]]-ППД5[[#This Row],[Расчетная проектная площадь]]</f>
        <v>-0.11000000000000654</v>
      </c>
      <c r="AP123" s="335">
        <f>ППД5[[#This Row],[Расчетная ТП площадь]]/ППД5[[#This Row],[Расчетная проектная площадь]]-1</f>
        <v>-1.8864688732637136E-3</v>
      </c>
      <c r="AQ123" s="91">
        <f>ППД5[[#This Row],[% расхождения]]*ППД5[[#This Row],[Стоимость до скидки]]</f>
        <v>-13731.984222261224</v>
      </c>
      <c r="AR123" s="91">
        <f>VLOOKUP(ППД5[[#This Row],[№]],наценкад5[],COLUMN(наценкад5[[#This Row],[Цена м2 с учетом всех K]]),0)</f>
        <v>80693.959500000012</v>
      </c>
      <c r="AS123" s="8">
        <f>ППД5[[#This Row],[м2 после К]]*5%</f>
        <v>4034.697975000001</v>
      </c>
      <c r="AT123" s="8">
        <f>ППД5[[#This Row],[м2 после К]]+ППД5[[#This Row],[Повышение 16.08.23 - 5%]]</f>
        <v>84728.657475000015</v>
      </c>
      <c r="AU123" s="93">
        <f>ППД5[[#This Row],[Фикс 16.08.23]]*3%</f>
        <v>2541.8597242500005</v>
      </c>
      <c r="AV123" s="93">
        <f>ППД5[[#This Row],[Фикс 16.08.23]]+ППД5[[#This Row],[Повышение 29.08.23 - 3%]]</f>
        <v>87270.517199250011</v>
      </c>
      <c r="AW123" s="93"/>
      <c r="AX123" s="93">
        <f>ППД5[[#This Row],[Фикс 29.08.23]]+ППД5[[#This Row],[Повышение 06.09.23 СТ и 1К]]</f>
        <v>87270.517199250011</v>
      </c>
      <c r="AY123" s="93"/>
      <c r="AZ123" s="93">
        <f>ППД5[[#This Row],[Повышение 23.10.23  В4 ]]+ППД5[[#This Row],[Фикс 06.09.23]]</f>
        <v>87270.517199250011</v>
      </c>
      <c r="BA123" s="93"/>
      <c r="BB123" s="93">
        <f>ППД5[[#This Row],[Повышение 8.11.23 1К 5%]]+ППД5[[#This Row],[Фикс 23.10.23]]</f>
        <v>87270.517199250011</v>
      </c>
      <c r="BC123" s="93"/>
      <c r="BD123" s="93">
        <f>ППД5[[#This Row],[Корректировка 24.11.23 - 1К В5, 2К А2, №233]]+ППД5[[#This Row],[Фикс 8.11.23]]</f>
        <v>87270.517199250011</v>
      </c>
      <c r="BE123" s="93">
        <f>ППД5[[#This Row],[Фикс 8.11.24]]*1%</f>
        <v>872.70517199250014</v>
      </c>
      <c r="BF123" s="93">
        <f>ППД5[[#This Row],[Наценка за отделку 29.12.23 1%]]+ППД5[[#This Row],[Фикс 8.11.24]]</f>
        <v>88143.222371242504</v>
      </c>
      <c r="BG123" s="93">
        <f>ППД5[[#This Row],[Фикс 29.12.23]]*5%</f>
        <v>4407.161118562125</v>
      </c>
      <c r="BH123" s="93">
        <f>ППД5[[#This Row],[Фикс 29.12.23]]+ППД5[[#This Row],[Наценка 10.01.24 5%]]</f>
        <v>92550.383489804633</v>
      </c>
      <c r="BI123" s="93"/>
      <c r="BJ123" s="93">
        <f>ППД5[[#This Row],[Наценка 26.02.24 1 Этаж]]+ППД5[[#This Row],[Фикс 10.01.24]]</f>
        <v>92550.383489804633</v>
      </c>
      <c r="BK123" s="93">
        <f>ППД5[[#This Row],[Фикс 26.02.24]]*2%</f>
        <v>1851.0076697960926</v>
      </c>
      <c r="BL123" s="93">
        <f>ППД5[[#This Row],[Фикс 26.02.24]]+ППД5[[#This Row],[Наценка 06.03.24
СТ, 1К - 3%
2К, 3К - 2%]]</f>
        <v>94401.391159600724</v>
      </c>
      <c r="BM123" s="93"/>
      <c r="BN123" s="93">
        <f>ППД5[[#This Row],[Фикс 06.03.24]]+ППД5[[#This Row],[Наценка Г2+500]]</f>
        <v>94401.391159600724</v>
      </c>
      <c r="BO123" s="93">
        <f>ППД5[[#This Row],[Фикс 13.03.25]]*2%</f>
        <v>1888.0278231920145</v>
      </c>
      <c r="BP123" s="93">
        <f>ППД5[[#This Row],[Фикс 13.03.25]]+ППД5[[#This Row],[Наценка 20.03.24
2К, 3К - 2%]]</f>
        <v>96289.418982792733</v>
      </c>
      <c r="BQ123" s="93"/>
      <c r="BR123" s="93">
        <f>ППД5[[#This Row],[Фикс 20.03.24]]+ППД5[[#This Row],[Наценка 08.04.24 
2К: В3 - 150
3К: Г7 +1000]]</f>
        <v>96289.418982792733</v>
      </c>
      <c r="BS123" s="93"/>
      <c r="BT123" s="93">
        <f>ППД5[[#This Row],[Фикс 08.04.24]]+ППД5[[#This Row],[Наценка 16.05.24 1%
А4,А6,Б3,Б6,Б7,В2,В3,В5,В6,Г1,Г3-Г5]]</f>
        <v>96289.418982792733</v>
      </c>
      <c r="BU123" s="93">
        <f>ППД5[[#This Row],[Фикс 16.05.24]]*1%</f>
        <v>962.89418982792733</v>
      </c>
      <c r="BV123" s="93">
        <f>ППД5[[#This Row],[Фикс 16.05.24]]+ППД5[[#This Row],[Наценка 24.05.24
1% - Б4, Б5,Г2,Г6
2% - А1,А3,А5,Б2,Г7]]</f>
        <v>97252.313172620663</v>
      </c>
      <c r="BW123" s="93"/>
      <c r="BX123" s="93">
        <f>ППД5[[#This Row],[Наценка 06.06.24
0К: В2,Г3 +0,5%
1К: А7, Б5/4, Г6 +0,5%
3К: В6 +0,5%
1К: А3 +1%]]+ППД5[[#This Row],[Фикс 24.05.24]]</f>
        <v>97252.313172620663</v>
      </c>
      <c r="BY123" s="93"/>
      <c r="BZ123" s="93">
        <f>ППД5[[#This Row],[Фикс 06.06.24]]+ППД5[[#This Row],[13.06.2024
3К - 2%]]</f>
        <v>97252.313172620663</v>
      </c>
      <c r="CA123" s="93">
        <f>2.5%*ППД5[[#This Row],[Фикс 13.06.24]]</f>
        <v>2431.3078293155168</v>
      </c>
      <c r="CB123" s="93">
        <f>ППД5[[#This Row],[02.07.2024: Г3 А1 А3 Б5 Б7 Г2 Г6 Б3 Б4 В3 Г7 2,5% ост 0,5-1,5%]]+ППД5[[#This Row],[Фикс 13.06.24]]</f>
        <v>99683.621001936175</v>
      </c>
      <c r="CC123" s="93">
        <v>500</v>
      </c>
      <c r="CD123" s="93">
        <f>ППД5[[#This Row],[Фикс 02.07.24]]+ППД5[[#This Row],[04.09.2024 +500
0К - Б2; 1К - А3;
2К - А6, Б4, В3, Г5]]</f>
        <v>100183.62100193618</v>
      </c>
      <c r="CE123" s="93">
        <f>ППД5[[#This Row],[Фикс 04.09.24]]*4%</f>
        <v>4007.3448400774473</v>
      </c>
      <c r="CF123" s="93">
        <f>ППД5[[#This Row],[Наценка 16.09.2024
1К: А1,В7,Г6/7,Г8 - 2%
2К: А4,А5,А6,Б1,Б6,Б3/4,В3,В4,Г4,Г5 - 4%
3К: 4%]]+ППД5[[#This Row],[Фикс 04.09.24]]</f>
        <v>104190.96584201363</v>
      </c>
      <c r="CG123" s="93">
        <f>ППД5[[#This Row],[Фикс 16.09.2024]]*6%</f>
        <v>6251.4579505208176</v>
      </c>
      <c r="CH123" s="93">
        <f>ППД5[[#This Row],[Фикс 16.09.2024]]+ППД5[[#This Row],[Наценка 01.11.24
СТ: 4%
1К: 34-40м 5%; 40м+ 8%; МГН 1%
2К: 55-70м 6%; 70-73м 7%; 73-76м 8% 
3К: 5%]]</f>
        <v>110442.42379253445</v>
      </c>
      <c r="CI123" s="93">
        <f>ППД5[[#This Row],[Фикс 01.11.24]]*13%</f>
        <v>14357.515093029479</v>
      </c>
      <c r="CJ123" s="93">
        <f>ППД5[[#This Row],[Наценка 06.11 13%]]+ППД5[[#This Row],[Фикс 01.11.24]]</f>
        <v>124799.93888556393</v>
      </c>
      <c r="CK123" s="93">
        <v>35</v>
      </c>
      <c r="CL123" s="93">
        <f>ППД5[[#This Row],[Фикс 06.11.24]]+ППД5[[#This Row],[Наценка 18.12.24 распределение КВ]]</f>
        <v>124834.93888556393</v>
      </c>
      <c r="CM123" s="93"/>
      <c r="CN123" s="93">
        <f>ППД5[[#This Row],[Фикс 18.12.24]]+ППД5[[#This Row],[Наценка 10.02.25 +1%
1К: А3
2К: Б3, В3]]</f>
        <v>124834.93888556393</v>
      </c>
      <c r="CO123" s="93">
        <f>ROUND(ППД5[[#This Row],[Фикс 10.02.25]],2)</f>
        <v>124834.94</v>
      </c>
      <c r="CP12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7279200</v>
      </c>
      <c r="CQ123" s="93">
        <f>ROUNDUP(ППД5[[#This Row],[Стоимость до скидки]]+ППД5[[#This Row],[Сумма доплаты]],-2)</f>
        <v>7265500</v>
      </c>
      <c r="CR123" s="68"/>
      <c r="CS123" s="90"/>
      <c r="CT123" s="68">
        <f>ППД5[[#This Row],[Стоимость до скидки]]*ППД5[[#This Row],[Скидка %]]+ППД5[[#This Row],[Скидка фиксированная]]</f>
        <v>0</v>
      </c>
      <c r="CU123" s="3">
        <f>ППД5[[#This Row],[Стоимость ОН без отделки со скидкой]]/ППД5[[#This Row],[Расчетная проектная площадь]]</f>
        <v>124836.22020236666</v>
      </c>
      <c r="CV123" s="3">
        <f>ROUND(ППД5[[#This Row],[Стоимость до скидки]]-ППД5[[#This Row],[Итоговая сумма скидки]],2)</f>
        <v>7279200</v>
      </c>
      <c r="CW12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123" s="218">
        <v>10000</v>
      </c>
      <c r="CY123" s="332">
        <f>ППД5[[#This Row],[Расхождение]]/ППД5[[#This Row],[Расчетная проектная площадь]]</f>
        <v>-1.8864688732637032E-3</v>
      </c>
      <c r="CZ123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-0.34999999999999432</v>
      </c>
      <c r="DA123" s="3">
        <f>ППД5[[#This Row],[Цена м2 без отделки со скидкой]]+ППД5[[#This Row],[Стоимость отделки]]</f>
        <v>134836.22020236665</v>
      </c>
      <c r="DB123" s="3">
        <f>ППД5[[#This Row],[Стоимость квартиры с отделкой]]-ППД5[[#This Row],[Стоимость ОН без отделки со скидкой]]</f>
        <v>583099.99999999907</v>
      </c>
      <c r="DC123" s="3">
        <f>ППД5[[#This Row],[Цена м2 с отделкой]]*ППД5[[#This Row],[Расчетная проектная площадь]]</f>
        <v>7862299.9999999991</v>
      </c>
      <c r="DD123" s="3"/>
      <c r="DF123" s="155" t="s">
        <v>157</v>
      </c>
      <c r="DG123" s="221" t="s">
        <v>157</v>
      </c>
      <c r="DH123" s="100" t="b">
        <f>EXACT(ППД5[[#This Row],[Статусы CRM]],ППД5[[#This Row],[Статус]])</f>
        <v>1</v>
      </c>
      <c r="DI123" s="213" t="s">
        <v>295</v>
      </c>
      <c r="DJ123" s="204"/>
      <c r="DK123" s="111" t="s">
        <v>763</v>
      </c>
      <c r="DL123" s="216" t="s">
        <v>780</v>
      </c>
      <c r="DM123" s="201" t="b">
        <f>ППД5[[#This Row],[Отделка CRM]]=ППД5[[#This Row],[Отделка]]</f>
        <v>1</v>
      </c>
      <c r="DN123" s="203">
        <v>7862300</v>
      </c>
      <c r="DO12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9.3132257461547852E-10</v>
      </c>
      <c r="DP123" s="207" t="b">
        <f>IF(AND(ППД5[[#This Row],[Статус]]="свободно",ППД5[[#This Row],[Итоговая сумма скидки]]&lt;&gt;0),FALSE,TRUE)</f>
        <v>1</v>
      </c>
      <c r="DQ123" s="240" t="str">
        <f>_xlfn.XLOOKUP(ППД5[[#This Row],[№]],Юрист[№ кв],Юрист[Дата подачи на регистрацию]," ",0,-1)</f>
        <v xml:space="preserve"> </v>
      </c>
      <c r="DR123" s="115" t="str">
        <f>_xlfn.XLOOKUP(ППД5[[#This Row],[№]],Юрист[№ кв],Юрист[МОП],"",0,-1)</f>
        <v/>
      </c>
      <c r="DS123" s="333" t="s">
        <v>2538</v>
      </c>
      <c r="DT123" s="333" t="s">
        <v>2539</v>
      </c>
      <c r="DU123" s="333">
        <v>56.9</v>
      </c>
      <c r="DV123" s="111"/>
    </row>
    <row r="124" spans="1:126" hidden="1" x14ac:dyDescent="0.25">
      <c r="A124" s="112">
        <v>122</v>
      </c>
      <c r="B124" s="111" t="s">
        <v>4</v>
      </c>
      <c r="C124" s="111">
        <v>2</v>
      </c>
      <c r="D124" s="111">
        <v>5</v>
      </c>
      <c r="E124" s="111">
        <v>1</v>
      </c>
      <c r="F124" s="105">
        <v>12.06</v>
      </c>
      <c r="G124" s="105"/>
      <c r="H124" s="105"/>
      <c r="I124" s="94">
        <f>SUM(ППД5[[#This Row],[Комната 1]:[Комната 3]])</f>
        <v>12.06</v>
      </c>
      <c r="J124" s="105">
        <v>13.18</v>
      </c>
      <c r="K124" s="105">
        <v>4.1100000000000003</v>
      </c>
      <c r="L124" s="105"/>
      <c r="M124" s="105"/>
      <c r="N124" s="105">
        <v>7.09</v>
      </c>
      <c r="O124" s="105">
        <v>2.84</v>
      </c>
      <c r="P124" s="105"/>
      <c r="Q124" s="105"/>
      <c r="R124" s="105">
        <f>SUM(ППД5[[#This Row],[Лоджия 1]:[Лоджия 3]])</f>
        <v>2.84</v>
      </c>
      <c r="S124" s="8">
        <f>ROUND(SUM(ППД5[[#This Row],[Площадь по проекту жилая]:[Лоджия 3]]),2)</f>
        <v>39.28</v>
      </c>
      <c r="T124" s="8">
        <f>ROUND(ППД5[[#This Row],[Площадь по проекту(общая)]]-ППД5[[#This Row],[Летние]],2)</f>
        <v>36.44</v>
      </c>
      <c r="U124" s="91">
        <f>ROUND(ППД5[[#This Row],[Площадь по проекту(общая)]]-(SUM(ППД5[[#This Row],[Лоджия 1]:[Лоджия 3]])/2),2)</f>
        <v>37.86</v>
      </c>
      <c r="V124" s="91">
        <f>IF(ППД5[[#This Row],[Статус]]="продажа",ППД5[[#This Row],[Расчетная проектная площадь]],ППД5[[#This Row],[Расчетная ТП площадь]])</f>
        <v>37.86</v>
      </c>
      <c r="W124" s="91">
        <v>12.5</v>
      </c>
      <c r="X124" s="91"/>
      <c r="Y124" s="91"/>
      <c r="Z124" s="91">
        <f>SUM(ППД5[[#This Row],[ТП Комната 1]:[ТП Комната 3]])</f>
        <v>12.5</v>
      </c>
      <c r="AA124" s="91">
        <v>12.6</v>
      </c>
      <c r="AB124" s="91">
        <v>4.0999999999999996</v>
      </c>
      <c r="AC124" s="91"/>
      <c r="AD124" s="91"/>
      <c r="AE124" s="91">
        <v>6.9</v>
      </c>
      <c r="AF124" s="91">
        <v>1.45</v>
      </c>
      <c r="AG124" s="91"/>
      <c r="AH124" s="91"/>
      <c r="AI124" s="91">
        <f>SUM(ППД5[[#This Row],[ТП Лоджия 1]:[ТП Лоджия 3]])</f>
        <v>1.45</v>
      </c>
      <c r="AJ124" s="95">
        <v>2.9</v>
      </c>
      <c r="AK124" s="91">
        <f>SUM(ППД5[[#This Row],[Площадь по ТП жилая]:[ТП Лоджия 3]])-ППД5[[#This Row],[ТП Летние]]+ППД5[[#This Row],[кроме того прочая
(без коэффициента)]]</f>
        <v>39</v>
      </c>
      <c r="AL124" s="95">
        <f>ППД5[[#This Row],[ТП Площадь без летних]]+(ППД5[[#This Row],[ТП Летние]])</f>
        <v>37.550000000000004</v>
      </c>
      <c r="AM124" s="91">
        <f>ППД5[[#This Row],[ТП общая S]]-ППД5[[#This Row],[кроме того прочая
(без коэффициента)]]</f>
        <v>36.1</v>
      </c>
      <c r="AN124" s="95">
        <f>SUM(ППД5[[#This Row],[ТП Кухня]:[ТП Коридор]])</f>
        <v>23.6</v>
      </c>
      <c r="AO124" s="91">
        <f>ППД5[[#This Row],[Расчетная ТП площадь]]-ППД5[[#This Row],[Расчетная проектная площадь]]</f>
        <v>-0.30999999999999517</v>
      </c>
      <c r="AP124" s="335">
        <f>ППД5[[#This Row],[Расчетная ТП площадь]]/ППД5[[#This Row],[Расчетная проектная площадь]]-1</f>
        <v>-8.1880612783939988E-3</v>
      </c>
      <c r="AQ124" s="91">
        <f>ППД5[[#This Row],[% расхождения]]*ППД5[[#This Row],[Стоимость до скидки]]</f>
        <v>-36963.365029054032</v>
      </c>
      <c r="AR124" s="91">
        <f>VLOOKUP(ППД5[[#This Row],[№]],наценкад5[],COLUMN(наценкад5[[#This Row],[Цена м2 с учетом всех K]]),0)</f>
        <v>88412.625</v>
      </c>
      <c r="AS124" s="8">
        <f>ППД5[[#This Row],[м2 после К]]*5%</f>
        <v>4420.6312500000004</v>
      </c>
      <c r="AT124" s="8">
        <f>ППД5[[#This Row],[м2 после К]]+ППД5[[#This Row],[Повышение 16.08.23 - 5%]]</f>
        <v>92833.256250000006</v>
      </c>
      <c r="AU124" s="93">
        <f>ППД5[[#This Row],[Фикс 16.08.23]]*3%</f>
        <v>2784.9976875000002</v>
      </c>
      <c r="AV124" s="93">
        <f>ППД5[[#This Row],[Фикс 16.08.23]]+ППД5[[#This Row],[Повышение 29.08.23 - 3%]]</f>
        <v>95618.253937500005</v>
      </c>
      <c r="AW124" s="93">
        <f>ППД5[[#This Row],[Фикс 29.08.23]]*4.5%</f>
        <v>4302.8214271875004</v>
      </c>
      <c r="AX124" s="93">
        <f>ППД5[[#This Row],[Фикс 29.08.23]]+ППД5[[#This Row],[Повышение 06.09.23 СТ и 1К]]</f>
        <v>99921.075364687509</v>
      </c>
      <c r="AY124" s="93"/>
      <c r="AZ124" s="93">
        <f>ППД5[[#This Row],[Повышение 23.10.23  В4 ]]+ППД5[[#This Row],[Фикс 06.09.23]]</f>
        <v>99921.075364687509</v>
      </c>
      <c r="BA124" s="93">
        <f>ППД5[[#This Row],[Фикс 23.10.23]]*5%</f>
        <v>4996.0537682343756</v>
      </c>
      <c r="BB124" s="93">
        <f>ППД5[[#This Row],[Повышение 8.11.23 1К 5%]]+ППД5[[#This Row],[Фикс 23.10.23]]</f>
        <v>104917.12913292188</v>
      </c>
      <c r="BC124" s="93"/>
      <c r="BD124" s="93">
        <f>ППД5[[#This Row],[Корректировка 24.11.23 - 1К В5, 2К А2, №233]]+ППД5[[#This Row],[Фикс 8.11.23]]</f>
        <v>104917.12913292188</v>
      </c>
      <c r="BE124" s="93">
        <f>ППД5[[#This Row],[Фикс 8.11.24]]*1%</f>
        <v>1049.1712913292188</v>
      </c>
      <c r="BF124" s="93">
        <f>ППД5[[#This Row],[Наценка за отделку 29.12.23 1%]]+ППД5[[#This Row],[Фикс 8.11.24]]</f>
        <v>105966.30042425109</v>
      </c>
      <c r="BG124" s="93">
        <f>ППД5[[#This Row],[Фикс 29.12.23]]*5%</f>
        <v>5298.3150212125547</v>
      </c>
      <c r="BH124" s="93">
        <f>ППД5[[#This Row],[Фикс 29.12.23]]+ППД5[[#This Row],[Наценка 10.01.24 5%]]</f>
        <v>111264.61544546366</v>
      </c>
      <c r="BI124" s="93"/>
      <c r="BJ124" s="93">
        <f>ППД5[[#This Row],[Наценка 26.02.24 1 Этаж]]+ППД5[[#This Row],[Фикс 10.01.24]]</f>
        <v>111264.61544546366</v>
      </c>
      <c r="BK124" s="93">
        <f>ППД5[[#This Row],[Фикс 26.02.24]]*3%</f>
        <v>3337.9384633639097</v>
      </c>
      <c r="BL124" s="93">
        <f>ППД5[[#This Row],[Фикс 26.02.24]]+ППД5[[#This Row],[Наценка 06.03.24
СТ, 1К - 3%
2К, 3К - 2%]]</f>
        <v>114602.55390882757</v>
      </c>
      <c r="BM124" s="93"/>
      <c r="BN124" s="93">
        <f>ППД5[[#This Row],[Фикс 06.03.24]]+ППД5[[#This Row],[Наценка Г2+500]]</f>
        <v>114602.55390882757</v>
      </c>
      <c r="BO124" s="93"/>
      <c r="BP124" s="93">
        <f>ППД5[[#This Row],[Фикс 13.03.25]]+ППД5[[#This Row],[Наценка 20.03.24
2К, 3К - 2%]]</f>
        <v>114602.55390882757</v>
      </c>
      <c r="BQ124" s="93"/>
      <c r="BR124" s="93">
        <f>ППД5[[#This Row],[Фикс 20.03.24]]+ППД5[[#This Row],[Наценка 08.04.24 
2К: В3 - 150
3К: Г7 +1000]]</f>
        <v>114602.55390882757</v>
      </c>
      <c r="BS124" s="93"/>
      <c r="BT124" s="93">
        <f>ППД5[[#This Row],[Фикс 08.04.24]]+ППД5[[#This Row],[Наценка 16.05.24 1%
А4,А6,Б3,Б6,Б7,В2,В3,В5,В6,Г1,Г3-Г5]]</f>
        <v>114602.55390882757</v>
      </c>
      <c r="BU124" s="93">
        <f>ППД5[[#This Row],[Фикс 16.05.24]]*1%</f>
        <v>1146.0255390882758</v>
      </c>
      <c r="BV124" s="93">
        <f>ППД5[[#This Row],[Фикс 16.05.24]]+ППД5[[#This Row],[Наценка 24.05.24
1% - Б4, Б5,Г2,Г6
2% - А1,А3,А5,Б2,Г7]]</f>
        <v>115748.57944791585</v>
      </c>
      <c r="BW124" s="93">
        <f>ППД5[[#This Row],[Фикс 24.05.24]]*0.5%</f>
        <v>578.74289723957929</v>
      </c>
      <c r="BX124" s="93">
        <f>ППД5[[#This Row],[Наценка 06.06.24
0К: В2,Г3 +0,5%
1К: А7, Б5/4, Г6 +0,5%
3К: В6 +0,5%
1К: А3 +1%]]+ППД5[[#This Row],[Фикс 24.05.24]]</f>
        <v>116327.32234515544</v>
      </c>
      <c r="BY124" s="93"/>
      <c r="BZ124" s="93">
        <f>ППД5[[#This Row],[Фикс 06.06.24]]+ППД5[[#This Row],[13.06.2024
3К - 2%]]</f>
        <v>116327.32234515544</v>
      </c>
      <c r="CA124" s="93">
        <f>2.5%*ППД5[[#This Row],[Фикс 13.06.24]]</f>
        <v>2908.1830586288861</v>
      </c>
      <c r="CB124" s="93">
        <f>ППД5[[#This Row],[02.07.2024: Г3 А1 А3 Б5 Б7 Г2 Г6 Б3 Б4 В3 Г7 2,5% ост 0,5-1,5%]]+ППД5[[#This Row],[Фикс 13.06.24]]</f>
        <v>119235.50540378432</v>
      </c>
      <c r="CC124" s="93"/>
      <c r="CD124" s="93">
        <f>ППД5[[#This Row],[Фикс 02.07.24]]+ППД5[[#This Row],[04.09.2024 +500
0К - Б2; 1К - А3;
2К - А6, Б4, В3, Г5]]</f>
        <v>119235.50540378432</v>
      </c>
      <c r="CE124" s="93"/>
      <c r="CF124" s="93">
        <f>ППД5[[#This Row],[Наценка 16.09.2024
1К: А1,В7,Г6/7,Г8 - 2%
2К: А4,А5,А6,Б1,Б6,Б3/4,В3,В4,Г4,Г5 - 4%
3К: 4%]]+ППД5[[#This Row],[Фикс 04.09.24]]</f>
        <v>119235.50540378432</v>
      </c>
      <c r="CG124" s="93"/>
      <c r="CH124" s="93">
        <f>ППД5[[#This Row],[Фикс 16.09.2024]]+ППД5[[#This Row],[Наценка 01.11.24
СТ: 4%
1К: 34-40м 5%; 40м+ 8%; МГН 1%
2К: 55-70м 6%; 70-73м 7%; 73-76м 8% 
3К: 5%]]</f>
        <v>119235.50540378432</v>
      </c>
      <c r="CI124" s="93"/>
      <c r="CJ124" s="93">
        <f>ППД5[[#This Row],[Наценка 06.11 13%]]+ППД5[[#This Row],[Фикс 01.11.24]]</f>
        <v>119235.50540378432</v>
      </c>
      <c r="CK124" s="93"/>
      <c r="CL124" s="93">
        <f>ППД5[[#This Row],[Фикс 06.11.24]]+ППД5[[#This Row],[Наценка 18.12.24 распределение КВ]]</f>
        <v>119235.50540378432</v>
      </c>
      <c r="CM124" s="93"/>
      <c r="CN124" s="93">
        <f>ППД5[[#This Row],[Фикс 18.12.24]]+ППД5[[#This Row],[Наценка 10.02.25 +1%
1К: А3
2К: Б3, В3]]</f>
        <v>119235.50540378432</v>
      </c>
      <c r="CO124" s="93">
        <f>ROUND(ППД5[[#This Row],[Фикс 10.02.25]],2)</f>
        <v>119235.51</v>
      </c>
      <c r="CP12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4514300</v>
      </c>
      <c r="CQ124" s="93">
        <f>ROUNDUP(ППД5[[#This Row],[Стоимость до скидки]]+ППД5[[#This Row],[Сумма доплаты]],-2)</f>
        <v>4477400</v>
      </c>
      <c r="CR124" s="68"/>
      <c r="CS124" s="90">
        <v>0.02</v>
      </c>
      <c r="CT124" s="68">
        <f>ППД5[[#This Row],[Стоимость до скидки]]*ППД5[[#This Row],[Скидка %]]+ППД5[[#This Row],[Скидка фиксированная]]</f>
        <v>90286</v>
      </c>
      <c r="CU124" s="3">
        <f>ППД5[[#This Row],[Стоимость ОН без отделки со скидкой]]/ППД5[[#This Row],[Расчетная проектная площадь]]</f>
        <v>116851.92815636555</v>
      </c>
      <c r="CV124" s="3">
        <f>ROUND(ППД5[[#This Row],[Стоимость до скидки]]-ППД5[[#This Row],[Итоговая сумма скидки]],2)</f>
        <v>4424014</v>
      </c>
      <c r="CW12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124" s="197">
        <v>8000</v>
      </c>
      <c r="CY124" s="332">
        <f>ППД5[[#This Row],[Расхождение]]/ППД5[[#This Row],[Расчетная проектная площадь]]</f>
        <v>-8.1880612783939554E-3</v>
      </c>
      <c r="CZ12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-0.77999999999999758</v>
      </c>
      <c r="DA124" s="3">
        <f>ППД5[[#This Row],[Цена м2 без отделки со скидкой]]+ППД5[[#This Row],[Стоимость отделки]]</f>
        <v>124851.92815636555</v>
      </c>
      <c r="DB124" s="3">
        <f>ППД5[[#This Row],[Стоимость квартиры с отделкой]]-ППД5[[#This Row],[Стоимость ОН без отделки со скидкой]]</f>
        <v>302880</v>
      </c>
      <c r="DC124" s="3">
        <f>ППД5[[#This Row],[Цена м2 с отделкой]]*ППД5[[#This Row],[Расчетная проектная площадь]]</f>
        <v>4726894</v>
      </c>
      <c r="DD124" s="3"/>
      <c r="DE124" s="111" t="s">
        <v>757</v>
      </c>
      <c r="DF124" s="199" t="s">
        <v>172</v>
      </c>
      <c r="DG124" s="245" t="s">
        <v>172</v>
      </c>
      <c r="DH124" s="100" t="b">
        <f>EXACT(ППД5[[#This Row],[Статусы CRM]],ППД5[[#This Row],[Статус]])</f>
        <v>1</v>
      </c>
      <c r="DI124" s="213" t="s">
        <v>296</v>
      </c>
      <c r="DJ124" s="204"/>
      <c r="DK124" s="111" t="s">
        <v>763</v>
      </c>
      <c r="DL124" s="216" t="s">
        <v>780</v>
      </c>
      <c r="DM124" s="201" t="b">
        <f>ППД5[[#This Row],[Отделка CRM]]=ППД5[[#This Row],[Отделка]]</f>
        <v>1</v>
      </c>
      <c r="DN124" s="203">
        <v>4726894</v>
      </c>
      <c r="DO12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24" s="207" t="b">
        <f>IF(AND(ППД5[[#This Row],[Статус]]="свободно",ППД5[[#This Row],[Итоговая сумма скидки]]&lt;&gt;0),FALSE,TRUE)</f>
        <v>1</v>
      </c>
      <c r="DQ124" s="240">
        <f>_xlfn.XLOOKUP(ППД5[[#This Row],[№]],Юрист[№ кв],Юрист[Дата подачи на регистрацию]," ",0,-1)</f>
        <v>45576</v>
      </c>
      <c r="DR124" s="115" t="str">
        <f>_xlfn.XLOOKUP(ППД5[[#This Row],[№]],Юрист[№ кв],Юрист[МОП],"",0,-1)</f>
        <v>Дик</v>
      </c>
      <c r="DS124" s="333" t="s">
        <v>2540</v>
      </c>
      <c r="DT124" s="333" t="s">
        <v>2541</v>
      </c>
      <c r="DU124" s="333">
        <v>36.1</v>
      </c>
      <c r="DV124" s="111"/>
    </row>
    <row r="125" spans="1:126" hidden="1" x14ac:dyDescent="0.25">
      <c r="A125" s="112">
        <v>123</v>
      </c>
      <c r="B125" s="111" t="s">
        <v>4</v>
      </c>
      <c r="C125" s="111">
        <v>2</v>
      </c>
      <c r="D125" s="111">
        <v>6</v>
      </c>
      <c r="E125" s="111">
        <v>3</v>
      </c>
      <c r="F125" s="105">
        <v>17.89</v>
      </c>
      <c r="G125" s="105">
        <v>17.2</v>
      </c>
      <c r="H125" s="105">
        <v>14.31</v>
      </c>
      <c r="I125" s="94">
        <f>SUM(ППД5[[#This Row],[Комната 1]:[Комната 3]])</f>
        <v>49.400000000000006</v>
      </c>
      <c r="J125" s="105">
        <v>13.39</v>
      </c>
      <c r="K125" s="105">
        <v>4.2</v>
      </c>
      <c r="L125" s="105">
        <v>2.0499999999999998</v>
      </c>
      <c r="M125" s="105"/>
      <c r="N125" s="105">
        <v>13.21</v>
      </c>
      <c r="O125" s="105">
        <v>2.79</v>
      </c>
      <c r="P125" s="105">
        <v>2.68</v>
      </c>
      <c r="Q125" s="105"/>
      <c r="R125" s="105">
        <f>SUM(ППД5[[#This Row],[Лоджия 1]:[Лоджия 3]])</f>
        <v>5.4700000000000006</v>
      </c>
      <c r="S125" s="8">
        <f>ROUND(SUM(ППД5[[#This Row],[Площадь по проекту жилая]:[Лоджия 3]]),2)</f>
        <v>87.72</v>
      </c>
      <c r="T125" s="8">
        <f>ROUND(ППД5[[#This Row],[Площадь по проекту(общая)]]-ППД5[[#This Row],[Летние]],2)</f>
        <v>82.25</v>
      </c>
      <c r="U125" s="91">
        <f>ROUND(ППД5[[#This Row],[Площадь по проекту(общая)]]-(SUM(ППД5[[#This Row],[Лоджия 1]:[Лоджия 3]])/2),2)</f>
        <v>84.99</v>
      </c>
      <c r="V125" s="91">
        <f>IF(ППД5[[#This Row],[Статус]]="продажа",ППД5[[#This Row],[Расчетная проектная площадь]],ППД5[[#This Row],[Расчетная ТП площадь]])</f>
        <v>84.99</v>
      </c>
      <c r="W125" s="91">
        <v>14.1</v>
      </c>
      <c r="X125" s="91">
        <v>18.100000000000001</v>
      </c>
      <c r="Y125" s="91">
        <v>17.2</v>
      </c>
      <c r="Z125" s="91">
        <f>SUM(ППД5[[#This Row],[ТП Комната 1]:[ТП Комната 3]])</f>
        <v>49.400000000000006</v>
      </c>
      <c r="AA125" s="91">
        <v>13.4</v>
      </c>
      <c r="AB125" s="91">
        <v>4.2</v>
      </c>
      <c r="AC125" s="91">
        <v>2</v>
      </c>
      <c r="AD125" s="91"/>
      <c r="AE125" s="91">
        <v>13</v>
      </c>
      <c r="AF125" s="91">
        <v>1.45</v>
      </c>
      <c r="AG125" s="91">
        <v>1.35</v>
      </c>
      <c r="AH125" s="91"/>
      <c r="AI125" s="91">
        <f>SUM(ППД5[[#This Row],[ТП Лоджия 1]:[ТП Лоджия 3]])</f>
        <v>2.8</v>
      </c>
      <c r="AJ125" s="95">
        <v>5.6</v>
      </c>
      <c r="AK125" s="91">
        <f>SUM(ППД5[[#This Row],[Площадь по ТП жилая]:[ТП Лоджия 3]])-ППД5[[#This Row],[ТП Летние]]+ППД5[[#This Row],[кроме того прочая
(без коэффициента)]]</f>
        <v>87.6</v>
      </c>
      <c r="AL125" s="95">
        <f>ППД5[[#This Row],[ТП Площадь без летних]]+(ППД5[[#This Row],[ТП Летние]])</f>
        <v>84.8</v>
      </c>
      <c r="AM125" s="91">
        <f>ППД5[[#This Row],[ТП общая S]]-ППД5[[#This Row],[кроме того прочая
(без коэффициента)]]</f>
        <v>82</v>
      </c>
      <c r="AN125" s="95">
        <f>SUM(ППД5[[#This Row],[ТП Кухня]:[ТП Коридор]])</f>
        <v>32.6</v>
      </c>
      <c r="AO125" s="91">
        <f>ППД5[[#This Row],[Расчетная ТП площадь]]-ППД5[[#This Row],[Расчетная проектная площадь]]</f>
        <v>-0.18999999999999773</v>
      </c>
      <c r="AP125" s="335">
        <f>ППД5[[#This Row],[Расчетная ТП площадь]]/ППД5[[#This Row],[Расчетная проектная площадь]]-1</f>
        <v>-2.2355571243675154E-3</v>
      </c>
      <c r="AQ125" s="91">
        <f>ППД5[[#This Row],[% расхождения]]*ППД5[[#This Row],[Стоимость до скидки]]</f>
        <v>-21305.306506647295</v>
      </c>
      <c r="AR125" s="91">
        <f>VLOOKUP(ППД5[[#This Row],[№]],наценкад5[],COLUMN(наценкад5[[#This Row],[Цена м2 с учетом всех K]]),0)</f>
        <v>72806.580000000016</v>
      </c>
      <c r="AS125" s="8">
        <f>ППД5[[#This Row],[м2 после К]]*5%</f>
        <v>3640.3290000000011</v>
      </c>
      <c r="AT125" s="8">
        <f>ППД5[[#This Row],[м2 после К]]+ППД5[[#This Row],[Повышение 16.08.23 - 5%]]</f>
        <v>76446.909000000014</v>
      </c>
      <c r="AU125" s="93">
        <f>ППД5[[#This Row],[Фикс 16.08.23]]*3%</f>
        <v>2293.4072700000002</v>
      </c>
      <c r="AV125" s="93">
        <f>ППД5[[#This Row],[Фикс 16.08.23]]+ППД5[[#This Row],[Повышение 29.08.23 - 3%]]</f>
        <v>78740.31627000001</v>
      </c>
      <c r="AW125" s="93"/>
      <c r="AX125" s="93">
        <f>ППД5[[#This Row],[Фикс 29.08.23]]+ППД5[[#This Row],[Повышение 06.09.23 СТ и 1К]]</f>
        <v>78740.31627000001</v>
      </c>
      <c r="AY125" s="93"/>
      <c r="AZ125" s="93">
        <f>ППД5[[#This Row],[Повышение 23.10.23  В4 ]]+ППД5[[#This Row],[Фикс 06.09.23]]</f>
        <v>78740.31627000001</v>
      </c>
      <c r="BA125" s="93"/>
      <c r="BB125" s="93">
        <f>ППД5[[#This Row],[Повышение 8.11.23 1К 5%]]+ППД5[[#This Row],[Фикс 23.10.23]]</f>
        <v>78740.31627000001</v>
      </c>
      <c r="BC125" s="93"/>
      <c r="BD125" s="93">
        <f>ППД5[[#This Row],[Корректировка 24.11.23 - 1К В5, 2К А2, №233]]+ППД5[[#This Row],[Фикс 8.11.23]]</f>
        <v>78740.31627000001</v>
      </c>
      <c r="BE125" s="93">
        <f>ППД5[[#This Row],[Фикс 8.11.24]]*1%</f>
        <v>787.40316270000017</v>
      </c>
      <c r="BF125" s="93">
        <f>ППД5[[#This Row],[Наценка за отделку 29.12.23 1%]]+ППД5[[#This Row],[Фикс 8.11.24]]</f>
        <v>79527.719432700003</v>
      </c>
      <c r="BG125" s="93">
        <f>ППД5[[#This Row],[Фикс 29.12.23]]*5%</f>
        <v>3976.3859716350003</v>
      </c>
      <c r="BH125" s="93">
        <f>ППД5[[#This Row],[Фикс 29.12.23]]+ППД5[[#This Row],[Наценка 10.01.24 5%]]</f>
        <v>83504.105404335001</v>
      </c>
      <c r="BI125" s="93"/>
      <c r="BJ125" s="93">
        <f>ППД5[[#This Row],[Наценка 26.02.24 1 Этаж]]+ППД5[[#This Row],[Фикс 10.01.24]]</f>
        <v>83504.105404335001</v>
      </c>
      <c r="BK125" s="93">
        <f>ППД5[[#This Row],[Фикс 26.02.24]]*2%</f>
        <v>1670.0821080867001</v>
      </c>
      <c r="BL125" s="93">
        <f>ППД5[[#This Row],[Фикс 26.02.24]]+ППД5[[#This Row],[Наценка 06.03.24
СТ, 1К - 3%
2К, 3К - 2%]]</f>
        <v>85174.187512421704</v>
      </c>
      <c r="BM125" s="93"/>
      <c r="BN125" s="93">
        <f>ППД5[[#This Row],[Фикс 06.03.24]]+ППД5[[#This Row],[Наценка Г2+500]]</f>
        <v>85174.187512421704</v>
      </c>
      <c r="BO125" s="93">
        <f>ППД5[[#This Row],[Фикс 13.03.25]]*2%</f>
        <v>1703.483750248434</v>
      </c>
      <c r="BP125" s="93">
        <f>ППД5[[#This Row],[Фикс 13.03.25]]+ППД5[[#This Row],[Наценка 20.03.24
2К, 3К - 2%]]</f>
        <v>86877.671262670134</v>
      </c>
      <c r="BQ125" s="93"/>
      <c r="BR125" s="93">
        <f>ППД5[[#This Row],[Фикс 20.03.24]]+ППД5[[#This Row],[Наценка 08.04.24 
2К: В3 - 150
3К: Г7 +1000]]</f>
        <v>86877.671262670134</v>
      </c>
      <c r="BS125" s="9">
        <f>ППД5[[#This Row],[Фикс 08.04.24]]*1%</f>
        <v>868.7767126267014</v>
      </c>
      <c r="BT125" s="93">
        <f>ППД5[[#This Row],[Фикс 08.04.24]]+ППД5[[#This Row],[Наценка 16.05.24 1%
А4,А6,Б3,Б6,Б7,В2,В3,В5,В6,Г1,Г3-Г5]]</f>
        <v>87746.447975296833</v>
      </c>
      <c r="BU125" s="93"/>
      <c r="BV125" s="93">
        <f>ППД5[[#This Row],[Фикс 16.05.24]]+ППД5[[#This Row],[Наценка 24.05.24
1% - Б4, Б5,Г2,Г6
2% - А1,А3,А5,Б2,Г7]]</f>
        <v>87746.447975296833</v>
      </c>
      <c r="BW125" s="93"/>
      <c r="BX125" s="93">
        <f>ППД5[[#This Row],[Наценка 06.06.24
0К: В2,Г3 +0,5%
1К: А7, Б5/4, Г6 +0,5%
3К: В6 +0,5%
1К: А3 +1%]]+ППД5[[#This Row],[Фикс 24.05.24]]</f>
        <v>87746.447975296833</v>
      </c>
      <c r="BY125" s="93">
        <f>ППД5[[#This Row],[Фикс 06.06.24]]*2%</f>
        <v>1754.9289595059367</v>
      </c>
      <c r="BZ125" s="93">
        <f>ППД5[[#This Row],[Фикс 06.06.24]]+ППД5[[#This Row],[13.06.2024
3К - 2%]]</f>
        <v>89501.376934802771</v>
      </c>
      <c r="CA125" s="93">
        <f>1.5%*ППД5[[#This Row],[Фикс 13.06.24]]</f>
        <v>1342.5206540220415</v>
      </c>
      <c r="CB125" s="93">
        <f>ППД5[[#This Row],[02.07.2024: Г3 А1 А3 Б5 Б7 Г2 Г6 Б3 Б4 В3 Г7 2,5% ост 0,5-1,5%]]+ППД5[[#This Row],[Фикс 13.06.24]]</f>
        <v>90843.89758882481</v>
      </c>
      <c r="CC125" s="93"/>
      <c r="CD125" s="93">
        <f>ППД5[[#This Row],[Фикс 02.07.24]]+ППД5[[#This Row],[04.09.2024 +500
0К - Б2; 1К - А3;
2К - А6, Б4, В3, Г5]]</f>
        <v>90843.89758882481</v>
      </c>
      <c r="CE125" s="93">
        <f>ППД5[[#This Row],[Фикс 04.09.24]]*4%</f>
        <v>3633.7559035529925</v>
      </c>
      <c r="CF125" s="93">
        <f>ППД5[[#This Row],[Наценка 16.09.2024
1К: А1,В7,Г6/7,Г8 - 2%
2К: А4,А5,А6,Б1,Б6,Б3/4,В3,В4,Г4,Г5 - 4%
3К: 4%]]+ППД5[[#This Row],[Фикс 04.09.24]]</f>
        <v>94477.653492377809</v>
      </c>
      <c r="CG125" s="93">
        <f>ППД5[[#This Row],[Фикс 16.09.2024]]*5%</f>
        <v>4723.8826746188906</v>
      </c>
      <c r="CH125" s="93">
        <f>ППД5[[#This Row],[Фикс 16.09.2024]]+ППД5[[#This Row],[Наценка 01.11.24
СТ: 4%
1К: 34-40м 5%; 40м+ 8%; МГН 1%
2К: 55-70м 6%; 70-73м 7%; 73-76м 8% 
3К: 5%]]</f>
        <v>99201.536166996695</v>
      </c>
      <c r="CI125" s="93">
        <f>ППД5[[#This Row],[Фикс 01.11.24]]*13%</f>
        <v>12896.199701709571</v>
      </c>
      <c r="CJ125" s="93">
        <f>ППД5[[#This Row],[Наценка 06.11 13%]]+ППД5[[#This Row],[Фикс 01.11.24]]</f>
        <v>112097.73586870627</v>
      </c>
      <c r="CK125" s="93">
        <v>35</v>
      </c>
      <c r="CL125" s="93">
        <f>ППД5[[#This Row],[Фикс 06.11.24]]+ППД5[[#This Row],[Наценка 18.12.24 распределение КВ]]</f>
        <v>112132.73586870627</v>
      </c>
      <c r="CM125" s="93"/>
      <c r="CN125" s="93">
        <f>ППД5[[#This Row],[Фикс 18.12.24]]+ППД5[[#This Row],[Наценка 10.02.25 +1%
1К: А3
2К: Б3, В3]]</f>
        <v>112132.73586870627</v>
      </c>
      <c r="CO125" s="93">
        <f>ROUND(ППД5[[#This Row],[Фикс 10.02.25]],2)</f>
        <v>112132.74</v>
      </c>
      <c r="CP12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9530200</v>
      </c>
      <c r="CQ125" s="93">
        <f>ROUNDUP(ППД5[[#This Row],[Стоимость до скидки]]+ППД5[[#This Row],[Сумма доплаты]],-2)</f>
        <v>9508900</v>
      </c>
      <c r="CR125" s="68">
        <v>400000</v>
      </c>
      <c r="CS125" s="90">
        <v>0.03</v>
      </c>
      <c r="CT125" s="68">
        <f>ППД5[[#This Row],[Стоимость до скидки]]*ППД5[[#This Row],[Скидка %]]+ППД5[[#This Row],[Скидка фиксированная]]</f>
        <v>685906</v>
      </c>
      <c r="CU125" s="3">
        <f>ППД5[[#This Row],[Стоимость ОН без отделки со скидкой]]/ППД5[[#This Row],[Расчетная проектная площадь]]</f>
        <v>104062.7603247441</v>
      </c>
      <c r="CV125" s="3">
        <f>ROUND(ППД5[[#This Row],[Стоимость до скидки]]-ППД5[[#This Row],[Итоговая сумма скидки]],2)</f>
        <v>8844294</v>
      </c>
      <c r="CW12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25" s="197"/>
      <c r="CY125" s="332">
        <f>ППД5[[#This Row],[Расхождение]]/ППД5[[#This Row],[Расчетная проектная площадь]]</f>
        <v>-2.2355571243675462E-3</v>
      </c>
      <c r="CZ12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-0.25</v>
      </c>
      <c r="DA125" s="3">
        <f>ППД5[[#This Row],[Цена м2 без отделки со скидкой]]+ППД5[[#This Row],[Стоимость отделки]]</f>
        <v>104062.7603247441</v>
      </c>
      <c r="DB125" s="3">
        <f>ППД5[[#This Row],[Стоимость квартиры с отделкой]]-ППД5[[#This Row],[Стоимость ОН без отделки со скидкой]]</f>
        <v>0</v>
      </c>
      <c r="DC125" s="3">
        <f>ППД5[[#This Row],[Цена м2 с отделкой]]*ППД5[[#This Row],[Расчетная проектная площадь]]</f>
        <v>8844294</v>
      </c>
      <c r="DD125" s="3"/>
      <c r="DE125" s="111" t="s">
        <v>2113</v>
      </c>
      <c r="DF125" s="155" t="s">
        <v>172</v>
      </c>
      <c r="DG125" s="221" t="s">
        <v>172</v>
      </c>
      <c r="DH125" s="100" t="b">
        <f>EXACT(ППД5[[#This Row],[Статусы CRM]],ППД5[[#This Row],[Статус]])</f>
        <v>1</v>
      </c>
      <c r="DI125" s="213" t="s">
        <v>297</v>
      </c>
      <c r="DJ125" s="204"/>
      <c r="DK125" s="111" t="s">
        <v>763</v>
      </c>
      <c r="DL125" s="216" t="s">
        <v>12</v>
      </c>
      <c r="DM125" s="201" t="b">
        <f>ППД5[[#This Row],[Отделка CRM]]=ППД5[[#This Row],[Отделка]]</f>
        <v>1</v>
      </c>
      <c r="DN125" s="203">
        <v>8844294</v>
      </c>
      <c r="DO12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25" s="207" t="b">
        <f>IF(AND(ППД5[[#This Row],[Статус]]="свободно",ППД5[[#This Row],[Итоговая сумма скидки]]&lt;&gt;0),FALSE,TRUE)</f>
        <v>1</v>
      </c>
      <c r="DQ125" s="240">
        <f>_xlfn.XLOOKUP(ППД5[[#This Row],[№]],Юрист[№ кв],Юрист[Дата подачи на регистрацию]," ",0,-1)</f>
        <v>45800</v>
      </c>
      <c r="DR125" s="115" t="str">
        <f>_xlfn.XLOOKUP(ППД5[[#This Row],[№]],Юрист[№ кв],Юрист[МОП],"",0,-1)</f>
        <v>Нуждина</v>
      </c>
      <c r="DS125" s="333" t="s">
        <v>2542</v>
      </c>
      <c r="DT125" s="333" t="s">
        <v>2543</v>
      </c>
      <c r="DU125" s="333">
        <v>82</v>
      </c>
      <c r="DV125" s="111"/>
    </row>
    <row r="126" spans="1:126" hidden="1" x14ac:dyDescent="0.25">
      <c r="A126" s="112">
        <v>124</v>
      </c>
      <c r="B126" s="111" t="s">
        <v>4</v>
      </c>
      <c r="C126" s="111">
        <v>2</v>
      </c>
      <c r="D126" s="111">
        <v>7</v>
      </c>
      <c r="E126" s="111">
        <v>1</v>
      </c>
      <c r="F126" s="105">
        <v>17.89</v>
      </c>
      <c r="G126" s="105"/>
      <c r="H126" s="105"/>
      <c r="I126" s="94">
        <f>SUM(ППД5[[#This Row],[Комната 1]:[Комната 3]])</f>
        <v>17.89</v>
      </c>
      <c r="J126" s="105">
        <v>13.04</v>
      </c>
      <c r="K126" s="105">
        <v>3.9</v>
      </c>
      <c r="L126" s="105"/>
      <c r="M126" s="105"/>
      <c r="N126" s="105">
        <v>6.12</v>
      </c>
      <c r="O126" s="105">
        <v>2.65</v>
      </c>
      <c r="P126" s="105"/>
      <c r="Q126" s="105"/>
      <c r="R126" s="105">
        <f>SUM(ППД5[[#This Row],[Лоджия 1]:[Лоджия 3]])</f>
        <v>2.65</v>
      </c>
      <c r="S126" s="8">
        <f>ROUND(SUM(ППД5[[#This Row],[Площадь по проекту жилая]:[Лоджия 3]]),2)</f>
        <v>43.6</v>
      </c>
      <c r="T126" s="8">
        <f>ROUND(ППД5[[#This Row],[Площадь по проекту(общая)]]-ППД5[[#This Row],[Летние]],2)</f>
        <v>40.950000000000003</v>
      </c>
      <c r="U126" s="91">
        <f>ROUND(ППД5[[#This Row],[Площадь по проекту(общая)]]-(SUM(ППД5[[#This Row],[Лоджия 1]:[Лоджия 3]])/2),2)</f>
        <v>42.28</v>
      </c>
      <c r="V126" s="91">
        <f>IF(ППД5[[#This Row],[Статус]]="продажа",ППД5[[#This Row],[Расчетная проектная площадь]],ППД5[[#This Row],[Расчетная ТП площадь]])</f>
        <v>42.28</v>
      </c>
      <c r="W126" s="91">
        <v>17.899999999999999</v>
      </c>
      <c r="X126" s="91"/>
      <c r="Y126" s="91"/>
      <c r="Z126" s="91">
        <f>SUM(ППД5[[#This Row],[ТП Комната 1]:[ТП Комната 3]])</f>
        <v>17.899999999999999</v>
      </c>
      <c r="AA126" s="91">
        <v>13</v>
      </c>
      <c r="AB126" s="91">
        <v>3.9</v>
      </c>
      <c r="AC126" s="91"/>
      <c r="AD126" s="91"/>
      <c r="AE126" s="91">
        <v>6.1</v>
      </c>
      <c r="AF126" s="91">
        <v>1.35</v>
      </c>
      <c r="AG126" s="91"/>
      <c r="AH126" s="91"/>
      <c r="AI126" s="91">
        <f>SUM(ППД5[[#This Row],[ТП Лоджия 1]:[ТП Лоджия 3]])</f>
        <v>1.35</v>
      </c>
      <c r="AJ126" s="95">
        <v>2.7</v>
      </c>
      <c r="AK126" s="91">
        <f>SUM(ППД5[[#This Row],[Площадь по ТП жилая]:[ТП Лоджия 3]])-ППД5[[#This Row],[ТП Летние]]+ППД5[[#This Row],[кроме того прочая
(без коэффициента)]]</f>
        <v>43.6</v>
      </c>
      <c r="AL126" s="95">
        <f>ППД5[[#This Row],[ТП Площадь без летних]]+(ППД5[[#This Row],[ТП Летние]])</f>
        <v>42.25</v>
      </c>
      <c r="AM126" s="91">
        <f>ППД5[[#This Row],[ТП общая S]]-ППД5[[#This Row],[кроме того прочая
(без коэффициента)]]</f>
        <v>40.9</v>
      </c>
      <c r="AN126" s="95">
        <f>SUM(ППД5[[#This Row],[ТП Кухня]:[ТП Коридор]])</f>
        <v>23</v>
      </c>
      <c r="AO126" s="91">
        <f>ППД5[[#This Row],[Расчетная ТП площадь]]-ППД5[[#This Row],[Расчетная проектная площадь]]</f>
        <v>-3.0000000000001137E-2</v>
      </c>
      <c r="AP126" s="335">
        <f>ППД5[[#This Row],[Расчетная ТП площадь]]/ППД5[[#This Row],[Расчетная проектная площадь]]-1</f>
        <v>-7.0955534531691455E-4</v>
      </c>
      <c r="AQ126" s="91">
        <f>ППД5[[#This Row],[% расхождения]]*ППД5[[#This Row],[Стоимость до скидки]]</f>
        <v>-2542.8768022705049</v>
      </c>
      <c r="AR126" s="91">
        <f>VLOOKUP(ППД5[[#This Row],[№]],наценкад5[],COLUMN(наценкад5[[#This Row],[Цена м2 с учетом всех K]]),0)</f>
        <v>84762.5625</v>
      </c>
      <c r="AS126" s="8"/>
      <c r="AT126" s="8">
        <f>ППД5[[#This Row],[м2 после К]]+ППД5[[#This Row],[Повышение 16.08.23 - 5%]]</f>
        <v>84762.5625</v>
      </c>
      <c r="AU126" s="93"/>
      <c r="AV126" s="93">
        <f>ППД5[[#This Row],[Фикс 16.08.23]]+ППД5[[#This Row],[Повышение 29.08.23 - 3%]]</f>
        <v>84762.5625</v>
      </c>
      <c r="AW126" s="93"/>
      <c r="AX126" s="93">
        <f>ППД5[[#This Row],[Фикс 29.08.23]]+ППД5[[#This Row],[Повышение 06.09.23 СТ и 1К]]</f>
        <v>84762.5625</v>
      </c>
      <c r="AY126" s="93"/>
      <c r="AZ126" s="93">
        <f>ППД5[[#This Row],[Повышение 23.10.23  В4 ]]+ППД5[[#This Row],[Фикс 06.09.23]]</f>
        <v>84762.5625</v>
      </c>
      <c r="BA126" s="93"/>
      <c r="BB126" s="93">
        <f>ППД5[[#This Row],[Повышение 8.11.23 1К 5%]]+ППД5[[#This Row],[Фикс 23.10.23]]</f>
        <v>84762.5625</v>
      </c>
      <c r="BC126" s="93"/>
      <c r="BD126" s="93">
        <f>ППД5[[#This Row],[Корректировка 24.11.23 - 1К В5, 2К А2, №233]]+ППД5[[#This Row],[Фикс 8.11.23]]</f>
        <v>84762.5625</v>
      </c>
      <c r="BE126" s="93"/>
      <c r="BF126" s="93">
        <f>ППД5[[#This Row],[Наценка за отделку 29.12.23 1%]]+ППД5[[#This Row],[Фикс 8.11.24]]</f>
        <v>84762.5625</v>
      </c>
      <c r="BG126" s="93"/>
      <c r="BH126" s="93">
        <f>ППД5[[#This Row],[Фикс 29.12.23]]+ППД5[[#This Row],[Наценка 10.01.24 5%]]</f>
        <v>84762.5625</v>
      </c>
      <c r="BI126" s="93"/>
      <c r="BJ126" s="93">
        <f>ППД5[[#This Row],[Наценка 26.02.24 1 Этаж]]+ППД5[[#This Row],[Фикс 10.01.24]]</f>
        <v>84762.5625</v>
      </c>
      <c r="BK126" s="93"/>
      <c r="BL126" s="93">
        <f>ППД5[[#This Row],[Фикс 26.02.24]]+ППД5[[#This Row],[Наценка 06.03.24
СТ, 1К - 3%
2К, 3К - 2%]]</f>
        <v>84762.5625</v>
      </c>
      <c r="BM126" s="93"/>
      <c r="BN126" s="93">
        <f>ППД5[[#This Row],[Фикс 06.03.24]]+ППД5[[#This Row],[Наценка Г2+500]]</f>
        <v>84762.5625</v>
      </c>
      <c r="BO126" s="93"/>
      <c r="BP126" s="93">
        <f>ППД5[[#This Row],[Фикс 13.03.25]]+ППД5[[#This Row],[Наценка 20.03.24
2К, 3К - 2%]]</f>
        <v>84762.5625</v>
      </c>
      <c r="BQ126" s="93"/>
      <c r="BR126" s="93">
        <f>ППД5[[#This Row],[Фикс 20.03.24]]+ППД5[[#This Row],[Наценка 08.04.24 
2К: В3 - 150
3К: Г7 +1000]]</f>
        <v>84762.5625</v>
      </c>
      <c r="BS126" s="9"/>
      <c r="BT126" s="93">
        <f>ППД5[[#This Row],[Фикс 08.04.24]]+ППД5[[#This Row],[Наценка 16.05.24 1%
А4,А6,Б3,Б6,Б7,В2,В3,В5,В6,Г1,Г3-Г5]]</f>
        <v>84762.5625</v>
      </c>
      <c r="BU126" s="93"/>
      <c r="BV126" s="93">
        <f>ППД5[[#This Row],[Фикс 16.05.24]]+ППД5[[#This Row],[Наценка 24.05.24
1% - Б4, Б5,Г2,Г6
2% - А1,А3,А5,Б2,Г7]]</f>
        <v>84762.5625</v>
      </c>
      <c r="BW126" s="93"/>
      <c r="BX126" s="93">
        <f>ППД5[[#This Row],[Наценка 06.06.24
0К: В2,Г3 +0,5%
1К: А7, Б5/4, Г6 +0,5%
3К: В6 +0,5%
1К: А3 +1%]]+ППД5[[#This Row],[Фикс 24.05.24]]</f>
        <v>84762.5625</v>
      </c>
      <c r="BY126" s="93"/>
      <c r="BZ126" s="93">
        <f>ППД5[[#This Row],[Фикс 06.06.24]]+ППД5[[#This Row],[13.06.2024
3К - 2%]]</f>
        <v>84762.5625</v>
      </c>
      <c r="CA126" s="93"/>
      <c r="CB126" s="93">
        <f>ППД5[[#This Row],[02.07.2024: Г3 А1 А3 Б5 Б7 Г2 Г6 Б3 Б4 В3 Г7 2,5% ост 0,5-1,5%]]+ППД5[[#This Row],[Фикс 13.06.24]]</f>
        <v>84762.5625</v>
      </c>
      <c r="CC126" s="93"/>
      <c r="CD126" s="93">
        <f>ППД5[[#This Row],[Фикс 02.07.24]]+ППД5[[#This Row],[04.09.2024 +500
0К - Б2; 1К - А3;
2К - А6, Б4, В3, Г5]]</f>
        <v>84762.5625</v>
      </c>
      <c r="CE126" s="93"/>
      <c r="CF126" s="93">
        <f>ППД5[[#This Row],[Наценка 16.09.2024
1К: А1,В7,Г6/7,Г8 - 2%
2К: А4,А5,А6,Б1,Б6,Б3/4,В3,В4,Г4,Г5 - 4%
3К: 4%]]+ППД5[[#This Row],[Фикс 04.09.24]]</f>
        <v>84762.5625</v>
      </c>
      <c r="CG126" s="93"/>
      <c r="CH126" s="93">
        <f>ППД5[[#This Row],[Фикс 16.09.2024]]+ППД5[[#This Row],[Наценка 01.11.24
СТ: 4%
1К: 34-40м 5%; 40м+ 8%; МГН 1%
2К: 55-70м 6%; 70-73м 7%; 73-76м 8% 
3К: 5%]]</f>
        <v>84762.5625</v>
      </c>
      <c r="CI126" s="93"/>
      <c r="CJ126" s="93">
        <f>ППД5[[#This Row],[Наценка 06.11 13%]]+ППД5[[#This Row],[Фикс 01.11.24]]</f>
        <v>84762.5625</v>
      </c>
      <c r="CK126" s="93"/>
      <c r="CL126" s="93">
        <f>ППД5[[#This Row],[Фикс 06.11.24]]+ППД5[[#This Row],[Наценка 18.12.24 распределение КВ]]</f>
        <v>84762.5625</v>
      </c>
      <c r="CM126" s="93"/>
      <c r="CN126" s="93">
        <f>ППД5[[#This Row],[Фикс 18.12.24]]+ППД5[[#This Row],[Наценка 10.02.25 +1%
1К: А3
2К: Б3, В3]]</f>
        <v>84762.5625</v>
      </c>
      <c r="CO126" s="93">
        <f>ROUND(ППД5[[#This Row],[Фикс 10.02.25]],2)</f>
        <v>84762.559999999998</v>
      </c>
      <c r="CP12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3583761.04</v>
      </c>
      <c r="CQ126" s="93">
        <f>ROUNDUP(ППД5[[#This Row],[Стоимость до скидки]]+ППД5[[#This Row],[Сумма доплаты]],-2)</f>
        <v>3581300</v>
      </c>
      <c r="CR126" s="68"/>
      <c r="CS126" s="90"/>
      <c r="CT126" s="68">
        <f>ППД5[[#This Row],[Стоимость до скидки]]*ППД5[[#This Row],[Скидка %]]+ППД5[[#This Row],[Скидка фиксированная]]</f>
        <v>0</v>
      </c>
      <c r="CU126" s="3">
        <f>ППД5[[#This Row],[Стоимость ОН без отделки со скидкой]]/ППД5[[#This Row],[Расчетная проектная площадь]]</f>
        <v>84762.560075685906</v>
      </c>
      <c r="CV126" s="3">
        <f>ROUND(ППД5[[#This Row],[Стоимость до скидки]]-ППД5[[#This Row],[Итоговая сумма скидки]],2)</f>
        <v>3583761.04</v>
      </c>
      <c r="CW12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126" s="197">
        <v>4500</v>
      </c>
      <c r="CY126" s="332">
        <f>ППД5[[#This Row],[Расхождение]]/ППД5[[#This Row],[Расчетная проектная площадь]]</f>
        <v>-7.0955534531696161E-4</v>
      </c>
      <c r="CZ12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-6.0000000000000497E-2</v>
      </c>
      <c r="DA126" s="3">
        <f>ППД5[[#This Row],[Цена м2 без отделки со скидкой]]+ППД5[[#This Row],[Стоимость отделки]]</f>
        <v>89262.560075685906</v>
      </c>
      <c r="DB126" s="3">
        <f>ППД5[[#This Row],[Стоимость квартиры с отделкой]]-ППД5[[#This Row],[Стоимость ОН без отделки со скидкой]]</f>
        <v>190260</v>
      </c>
      <c r="DC126" s="3">
        <f>ППД5[[#This Row],[Цена м2 с отделкой]]*ППД5[[#This Row],[Расчетная проектная площадь]]</f>
        <v>3774021.04</v>
      </c>
      <c r="DD126" s="3"/>
      <c r="DF126" s="199" t="s">
        <v>172</v>
      </c>
      <c r="DG126" s="245" t="s">
        <v>172</v>
      </c>
      <c r="DH126" s="100" t="b">
        <f>EXACT(ППД5[[#This Row],[Статусы CRM]],ППД5[[#This Row],[Статус]])</f>
        <v>1</v>
      </c>
      <c r="DI126" s="213" t="s">
        <v>298</v>
      </c>
      <c r="DJ126" s="204"/>
      <c r="DK126" s="111" t="s">
        <v>76</v>
      </c>
      <c r="DL126" s="216" t="s">
        <v>13</v>
      </c>
      <c r="DM126" s="201" t="b">
        <f>ППД5[[#This Row],[Отделка CRM]]=ППД5[[#This Row],[Отделка]]</f>
        <v>1</v>
      </c>
      <c r="DN126" s="203">
        <v>3774021.04</v>
      </c>
      <c r="DO12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26" s="207" t="b">
        <f>IF(AND(ППД5[[#This Row],[Статус]]="свободно",ППД5[[#This Row],[Итоговая сумма скидки]]&lt;&gt;0),FALSE,TRUE)</f>
        <v>1</v>
      </c>
      <c r="DQ126" s="240">
        <f>_xlfn.XLOOKUP(ППД5[[#This Row],[№]],Юрист[№ кв],Юрист[Дата подачи на регистрацию]," ",0,-1)</f>
        <v>45185</v>
      </c>
      <c r="DR126" s="115" t="str">
        <f>_xlfn.XLOOKUP(ППД5[[#This Row],[№]],Юрист[№ кв],Юрист[МОП],"",0,-1)</f>
        <v>Никишов</v>
      </c>
      <c r="DS126" s="333" t="s">
        <v>2544</v>
      </c>
      <c r="DT126" s="333" t="s">
        <v>2545</v>
      </c>
      <c r="DU126" s="333">
        <v>40.9</v>
      </c>
      <c r="DV126" s="111"/>
    </row>
    <row r="127" spans="1:126" hidden="1" x14ac:dyDescent="0.25">
      <c r="A127" s="112">
        <v>125</v>
      </c>
      <c r="B127" s="111" t="s">
        <v>4</v>
      </c>
      <c r="C127" s="111">
        <v>3</v>
      </c>
      <c r="D127" s="338">
        <v>1</v>
      </c>
      <c r="E127" s="111">
        <v>2</v>
      </c>
      <c r="F127" s="105">
        <v>15.91</v>
      </c>
      <c r="G127" s="105">
        <v>12.02</v>
      </c>
      <c r="H127" s="105"/>
      <c r="I127" s="94">
        <f>SUM(ППД5[[#This Row],[Комната 1]:[Комната 3]])</f>
        <v>27.93</v>
      </c>
      <c r="J127" s="105">
        <v>15.31</v>
      </c>
      <c r="K127" s="105">
        <v>3.85</v>
      </c>
      <c r="L127" s="105">
        <v>2.2999999999999998</v>
      </c>
      <c r="M127" s="105"/>
      <c r="N127" s="105">
        <v>9.4499999999999993</v>
      </c>
      <c r="O127" s="105">
        <v>2.75</v>
      </c>
      <c r="P127" s="105"/>
      <c r="Q127" s="105"/>
      <c r="R127" s="105">
        <f>SUM(ППД5[[#This Row],[Лоджия 1]:[Лоджия 3]])</f>
        <v>2.75</v>
      </c>
      <c r="S127" s="8">
        <f>ROUND(SUM(ППД5[[#This Row],[Площадь по проекту жилая]:[Лоджия 3]]),2)</f>
        <v>61.59</v>
      </c>
      <c r="T127" s="8">
        <f>ROUND(ППД5[[#This Row],[Площадь по проекту(общая)]]-ППД5[[#This Row],[Летние]],2)</f>
        <v>58.84</v>
      </c>
      <c r="U127" s="91">
        <f>ROUND(ППД5[[#This Row],[Площадь по проекту(общая)]]-(SUM(ППД5[[#This Row],[Лоджия 1]:[Лоджия 3]])/2),2)</f>
        <v>60.22</v>
      </c>
      <c r="V127" s="91">
        <f>IF(ППД5[[#This Row],[Статус]]="продажа",ППД5[[#This Row],[Расчетная проектная площадь]],ППД5[[#This Row],[Расчетная ТП площадь]])</f>
        <v>60.22</v>
      </c>
      <c r="W127" s="91">
        <v>15.9</v>
      </c>
      <c r="X127" s="91">
        <v>12</v>
      </c>
      <c r="Y127" s="91"/>
      <c r="Z127" s="91">
        <f>SUM(ППД5[[#This Row],[ТП Комната 1]:[ТП Комната 3]])</f>
        <v>27.9</v>
      </c>
      <c r="AA127" s="91">
        <v>15.2</v>
      </c>
      <c r="AB127" s="91">
        <v>3.8</v>
      </c>
      <c r="AC127" s="91">
        <v>2.2999999999999998</v>
      </c>
      <c r="AD127" s="91"/>
      <c r="AE127" s="91">
        <v>9.6</v>
      </c>
      <c r="AF127" s="91">
        <v>1.4</v>
      </c>
      <c r="AG127" s="91"/>
      <c r="AH127" s="91"/>
      <c r="AI127" s="91">
        <f>SUM(ППД5[[#This Row],[ТП Лоджия 1]:[ТП Лоджия 3]])</f>
        <v>1.4</v>
      </c>
      <c r="AJ127" s="95">
        <v>2.8</v>
      </c>
      <c r="AK127" s="91">
        <f>SUM(ППД5[[#This Row],[Площадь по ТП жилая]:[ТП Лоджия 3]])-ППД5[[#This Row],[ТП Летние]]+ППД5[[#This Row],[кроме того прочая
(без коэффициента)]]</f>
        <v>61.599999999999987</v>
      </c>
      <c r="AL127" s="95">
        <f>ППД5[[#This Row],[ТП Площадь без летних]]+(ППД5[[#This Row],[ТП Летние]])</f>
        <v>60.199999999999989</v>
      </c>
      <c r="AM127" s="91">
        <f>ППД5[[#This Row],[ТП общая S]]-ППД5[[#This Row],[кроме того прочая
(без коэффициента)]]</f>
        <v>58.79999999999999</v>
      </c>
      <c r="AN127" s="95">
        <f>SUM(ППД5[[#This Row],[ТП Кухня]:[ТП Коридор]])</f>
        <v>30.9</v>
      </c>
      <c r="AO127" s="91">
        <f>ППД5[[#This Row],[Расчетная ТП площадь]]-ППД5[[#This Row],[Расчетная проектная площадь]]</f>
        <v>-2.0000000000010232E-2</v>
      </c>
      <c r="AP127" s="335">
        <f>ППД5[[#This Row],[Расчетная ТП площадь]]/ППД5[[#This Row],[Расчетная проектная площадь]]-1</f>
        <v>-3.3211557622070398E-4</v>
      </c>
      <c r="AQ127" s="91">
        <f>ППД5[[#This Row],[% расхождения]]*ППД5[[#This Row],[Стоимость до скидки]]</f>
        <v>-2447.3264696127458</v>
      </c>
      <c r="AR127" s="91">
        <f>VLOOKUP(ППД5[[#This Row],[№]],наценкад5[],COLUMN(наценкад5[[#This Row],[Цена м2 с учетом всех K]]),0)</f>
        <v>81080.055000000008</v>
      </c>
      <c r="AS127" s="8">
        <f>ППД5[[#This Row],[м2 после К]]*5%</f>
        <v>4054.0027500000006</v>
      </c>
      <c r="AT127" s="8">
        <f>ППД5[[#This Row],[м2 после К]]+ППД5[[#This Row],[Повышение 16.08.23 - 5%]]</f>
        <v>85134.057750000007</v>
      </c>
      <c r="AU127" s="93">
        <f>ППД5[[#This Row],[Фикс 16.08.23]]*3%</f>
        <v>2554.0217325000003</v>
      </c>
      <c r="AV127" s="93">
        <f>ППД5[[#This Row],[Фикс 16.08.23]]+ППД5[[#This Row],[Повышение 29.08.23 - 3%]]</f>
        <v>87688.079482500005</v>
      </c>
      <c r="AW127" s="93"/>
      <c r="AX127" s="93">
        <f>ППД5[[#This Row],[Фикс 29.08.23]]+ППД5[[#This Row],[Повышение 06.09.23 СТ и 1К]]</f>
        <v>87688.079482500005</v>
      </c>
      <c r="AY127" s="93"/>
      <c r="AZ127" s="93">
        <f>ППД5[[#This Row],[Повышение 23.10.23  В4 ]]+ППД5[[#This Row],[Фикс 06.09.23]]</f>
        <v>87688.079482500005</v>
      </c>
      <c r="BA127" s="93"/>
      <c r="BB127" s="93">
        <f>ППД5[[#This Row],[Повышение 8.11.23 1К 5%]]+ППД5[[#This Row],[Фикс 23.10.23]]</f>
        <v>87688.079482500005</v>
      </c>
      <c r="BC127" s="93"/>
      <c r="BD127" s="93">
        <f>ППД5[[#This Row],[Корректировка 24.11.23 - 1К В5, 2К А2, №233]]+ППД5[[#This Row],[Фикс 8.11.23]]</f>
        <v>87688.079482500005</v>
      </c>
      <c r="BE127" s="93">
        <f>ППД5[[#This Row],[Фикс 8.11.24]]*1%</f>
        <v>876.88079482500007</v>
      </c>
      <c r="BF127" s="93">
        <f>ППД5[[#This Row],[Наценка за отделку 29.12.23 1%]]+ППД5[[#This Row],[Фикс 8.11.24]]</f>
        <v>88564.960277325008</v>
      </c>
      <c r="BG127" s="93">
        <f>ППД5[[#This Row],[Фикс 29.12.23]]*5%</f>
        <v>4428.2480138662504</v>
      </c>
      <c r="BH127" s="93">
        <f>ППД5[[#This Row],[Фикс 29.12.23]]+ППД5[[#This Row],[Наценка 10.01.24 5%]]</f>
        <v>92993.208291191258</v>
      </c>
      <c r="BI127" s="93"/>
      <c r="BJ127" s="93">
        <f>ППД5[[#This Row],[Наценка 26.02.24 1 Этаж]]+ППД5[[#This Row],[Фикс 10.01.24]]</f>
        <v>92993.208291191258</v>
      </c>
      <c r="BK127" s="93">
        <f>ППД5[[#This Row],[Фикс 26.02.24]]*2%</f>
        <v>1859.8641658238253</v>
      </c>
      <c r="BL127" s="93">
        <f>ППД5[[#This Row],[Фикс 26.02.24]]+ППД5[[#This Row],[Наценка 06.03.24
СТ, 1К - 3%
2К, 3К - 2%]]</f>
        <v>94853.072457015078</v>
      </c>
      <c r="BM127" s="93"/>
      <c r="BN127" s="93">
        <f>ППД5[[#This Row],[Фикс 06.03.24]]+ППД5[[#This Row],[Наценка Г2+500]]</f>
        <v>94853.072457015078</v>
      </c>
      <c r="BO127" s="93">
        <f>ППД5[[#This Row],[Фикс 13.03.25]]*2%</f>
        <v>1897.0614491403016</v>
      </c>
      <c r="BP127" s="93">
        <f>ППД5[[#This Row],[Фикс 13.03.25]]+ППД5[[#This Row],[Наценка 20.03.24
2К, 3К - 2%]]</f>
        <v>96750.133906155374</v>
      </c>
      <c r="BQ127" s="93"/>
      <c r="BR127" s="93">
        <f>ППД5[[#This Row],[Фикс 20.03.24]]+ППД5[[#This Row],[Наценка 08.04.24 
2К: В3 - 150
3К: Г7 +1000]]</f>
        <v>96750.133906155374</v>
      </c>
      <c r="BS127" s="93"/>
      <c r="BT127" s="93">
        <f>ППД5[[#This Row],[Фикс 08.04.24]]+ППД5[[#This Row],[Наценка 16.05.24 1%
А4,А6,Б3,Б6,Б7,В2,В3,В5,В6,Г1,Г3-Г5]]</f>
        <v>96750.133906155374</v>
      </c>
      <c r="BU127" s="93"/>
      <c r="BV127" s="93">
        <f>ППД5[[#This Row],[Фикс 16.05.24]]+ППД5[[#This Row],[Наценка 24.05.24
1% - Б4, Б5,Г2,Г6
2% - А1,А3,А5,Б2,Г7]]</f>
        <v>96750.133906155374</v>
      </c>
      <c r="BW127" s="93"/>
      <c r="BX127" s="93">
        <f>ППД5[[#This Row],[Наценка 06.06.24
0К: В2,Г3 +0,5%
1К: А7, Б5/4, Г6 +0,5%
3К: В6 +0,5%
1К: А3 +1%]]+ППД5[[#This Row],[Фикс 24.05.24]]</f>
        <v>96750.133906155374</v>
      </c>
      <c r="BY127" s="93"/>
      <c r="BZ127" s="93">
        <f>ППД5[[#This Row],[Фикс 06.06.24]]+ППД5[[#This Row],[13.06.2024
3К - 2%]]</f>
        <v>96750.133906155374</v>
      </c>
      <c r="CA127" s="47">
        <f>1.5%*ППД5[[#This Row],[Фикс 13.06.24]]</f>
        <v>1451.2520085923306</v>
      </c>
      <c r="CB127" s="93">
        <f>ППД5[[#This Row],[02.07.2024: Г3 А1 А3 Б5 Б7 Г2 Г6 Б3 Б4 В3 Г7 2,5% ост 0,5-1,5%]]+ППД5[[#This Row],[Фикс 13.06.24]]</f>
        <v>98201.385914747705</v>
      </c>
      <c r="CC127" s="93"/>
      <c r="CD127" s="93">
        <f>ППД5[[#This Row],[Фикс 02.07.24]]+ППД5[[#This Row],[04.09.2024 +500
0К - Б2; 1К - А3;
2К - А6, Б4, В3, Г5]]</f>
        <v>98201.385914747705</v>
      </c>
      <c r="CE127" s="93">
        <f>ППД5[[#This Row],[Фикс 04.09.24]]*4%</f>
        <v>3928.0554365899084</v>
      </c>
      <c r="CF127" s="93">
        <f>ППД5[[#This Row],[Наценка 16.09.2024
1К: А1,В7,Г6/7,Г8 - 2%
2К: А4,А5,А6,Б1,Б6,Б3/4,В3,В4,Г4,Г5 - 4%
3К: 4%]]+ППД5[[#This Row],[Фикс 04.09.24]]</f>
        <v>102129.44135133762</v>
      </c>
      <c r="CG127" s="93">
        <f>ППД5[[#This Row],[Фикс 16.09.2024]]*6%</f>
        <v>6127.7664810802571</v>
      </c>
      <c r="CH127" s="93">
        <f>ППД5[[#This Row],[Фикс 16.09.2024]]+ППД5[[#This Row],[Наценка 01.11.24
СТ: 4%
1К: 34-40м 5%; 40м+ 8%; МГН 1%
2К: 55-70м 6%; 70-73м 7%; 73-76м 8% 
3К: 5%]]</f>
        <v>108257.20783241787</v>
      </c>
      <c r="CI127" s="93">
        <f>ППД5[[#This Row],[Фикс 01.11.24]]*13%</f>
        <v>14073.437018214325</v>
      </c>
      <c r="CJ127" s="93">
        <f>ППД5[[#This Row],[Наценка 06.11 13%]]+ППД5[[#This Row],[Фикс 01.11.24]]</f>
        <v>122330.6448506322</v>
      </c>
      <c r="CK127" s="93">
        <v>35</v>
      </c>
      <c r="CL127" s="93">
        <f>ППД5[[#This Row],[Фикс 06.11.24]]+ППД5[[#This Row],[Наценка 18.12.24 распределение КВ]]</f>
        <v>122365.6448506322</v>
      </c>
      <c r="CM127" s="93"/>
      <c r="CN127" s="93">
        <f>ППД5[[#This Row],[Фикс 18.12.24]]+ППД5[[#This Row],[Наценка 10.02.25 +1%
1К: А3
2К: Б3, В3]]</f>
        <v>122365.6448506322</v>
      </c>
      <c r="CO127" s="93">
        <f>ROUND(ППД5[[#This Row],[Фикс 10.02.25]],2)</f>
        <v>122365.64</v>
      </c>
      <c r="CP12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7368900</v>
      </c>
      <c r="CQ127" s="93">
        <f>ROUNDUP(ППД5[[#This Row],[Стоимость до скидки]]+ППД5[[#This Row],[Сумма доплаты]],-2)</f>
        <v>7366500</v>
      </c>
      <c r="CR127" s="68"/>
      <c r="CS127" s="90"/>
      <c r="CT127" s="68">
        <f>ППД5[[#This Row],[Стоимость до скидки]]*ППД5[[#This Row],[Скидка %]]+ППД5[[#This Row],[Скидка фиксированная]]</f>
        <v>0</v>
      </c>
      <c r="CU127" s="3">
        <f>ППД5[[#This Row],[Стоимость ОН без отделки со скидкой]]/ППД5[[#This Row],[Расчетная проектная площадь]]</f>
        <v>122366.32348057124</v>
      </c>
      <c r="CV127" s="3">
        <f>ROUND(ППД5[[#This Row],[Стоимость до скидки]]-ППД5[[#This Row],[Итоговая сумма скидки]],2)</f>
        <v>7368900</v>
      </c>
      <c r="CW12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27" s="197"/>
      <c r="CY127" s="332">
        <f>ППД5[[#This Row],[Расхождение]]/ППД5[[#This Row],[Расчетная проектная площадь]]</f>
        <v>-3.3211557622069465E-4</v>
      </c>
      <c r="CZ12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-1.0000000000001563E-2</v>
      </c>
      <c r="DA127" s="3">
        <f>ППД5[[#This Row],[Цена м2 без отделки со скидкой]]+ППД5[[#This Row],[Стоимость отделки]]</f>
        <v>122366.32348057124</v>
      </c>
      <c r="DB127" s="3">
        <f>ППД5[[#This Row],[Стоимость квартиры с отделкой]]-ППД5[[#This Row],[Стоимость ОН без отделки со скидкой]]</f>
        <v>0</v>
      </c>
      <c r="DC127" s="3">
        <f>ППД5[[#This Row],[Цена м2 с отделкой]]*ППД5[[#This Row],[Расчетная проектная площадь]]</f>
        <v>7368900</v>
      </c>
      <c r="DD127" s="3"/>
      <c r="DF127" s="199" t="s">
        <v>172</v>
      </c>
      <c r="DG127" s="245" t="s">
        <v>172</v>
      </c>
      <c r="DH127" s="100" t="b">
        <f>EXACT(ППД5[[#This Row],[Статусы CRM]],ППД5[[#This Row],[Статус]])</f>
        <v>1</v>
      </c>
      <c r="DI127" s="213" t="s">
        <v>299</v>
      </c>
      <c r="DJ127" s="204"/>
      <c r="DK127" s="111" t="s">
        <v>763</v>
      </c>
      <c r="DL127" s="216" t="s">
        <v>12</v>
      </c>
      <c r="DM127" s="201" t="b">
        <f>ППД5[[#This Row],[Отделка CRM]]=ППД5[[#This Row],[Отделка]]</f>
        <v>1</v>
      </c>
      <c r="DN127" s="203">
        <v>7368900</v>
      </c>
      <c r="DO12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27" s="207" t="b">
        <f>IF(AND(ППД5[[#This Row],[Статус]]="свободно",ППД5[[#This Row],[Итоговая сумма скидки]]&lt;&gt;0),FALSE,TRUE)</f>
        <v>1</v>
      </c>
      <c r="DQ127" s="240">
        <f>_xlfn.XLOOKUP(ППД5[[#This Row],[№]],Юрист[№ кв],Юрист[Дата подачи на регистрацию]," ",0,-1)</f>
        <v>45698</v>
      </c>
      <c r="DR127" s="115" t="str">
        <f>_xlfn.XLOOKUP(ППД5[[#This Row],[№]],Юрист[№ кв],Юрист[МОП],"",0,-1)</f>
        <v>Дик</v>
      </c>
      <c r="DS127" s="333" t="s">
        <v>2546</v>
      </c>
      <c r="DT127" s="333" t="s">
        <v>2547</v>
      </c>
      <c r="DU127" s="333">
        <v>58.8</v>
      </c>
      <c r="DV127" s="111"/>
    </row>
    <row r="128" spans="1:126" hidden="1" x14ac:dyDescent="0.25">
      <c r="A128" s="112">
        <v>126</v>
      </c>
      <c r="B128" s="111" t="s">
        <v>4</v>
      </c>
      <c r="C128" s="111">
        <v>3</v>
      </c>
      <c r="D128" s="111">
        <v>2</v>
      </c>
      <c r="E128" s="111">
        <v>0</v>
      </c>
      <c r="F128" s="105">
        <v>7.13</v>
      </c>
      <c r="G128" s="105"/>
      <c r="H128" s="105"/>
      <c r="I128" s="94">
        <f>SUM(ППД5[[#This Row],[Комната 1]:[Комната 3]])</f>
        <v>7.13</v>
      </c>
      <c r="J128" s="105">
        <v>5.12</v>
      </c>
      <c r="K128" s="105">
        <v>3.65</v>
      </c>
      <c r="L128" s="105"/>
      <c r="M128" s="105"/>
      <c r="N128" s="105">
        <v>6.92</v>
      </c>
      <c r="O128" s="105">
        <v>2.91</v>
      </c>
      <c r="P128" s="105"/>
      <c r="Q128" s="105"/>
      <c r="R128" s="105">
        <f>SUM(ППД5[[#This Row],[Лоджия 1]:[Лоджия 3]])</f>
        <v>2.91</v>
      </c>
      <c r="S128" s="8">
        <f>ROUND(SUM(ППД5[[#This Row],[Площадь по проекту жилая]:[Лоджия 3]]),2)</f>
        <v>25.73</v>
      </c>
      <c r="T128" s="8">
        <f>ROUND(ППД5[[#This Row],[Площадь по проекту(общая)]]-ППД5[[#This Row],[Летние]],2)</f>
        <v>22.82</v>
      </c>
      <c r="U128" s="91">
        <f>ROUND(ППД5[[#This Row],[Площадь по проекту(общая)]]-(SUM(ППД5[[#This Row],[Лоджия 1]:[Лоджия 3]])/2),2)</f>
        <v>24.28</v>
      </c>
      <c r="V128" s="91">
        <f>IF(ППД5[[#This Row],[Статус]]="продажа",ППД5[[#This Row],[Расчетная проектная площадь]],ППД5[[#This Row],[Расчетная ТП площадь]])</f>
        <v>24.28</v>
      </c>
      <c r="W128" s="91">
        <v>7.1</v>
      </c>
      <c r="X128" s="91"/>
      <c r="Y128" s="91"/>
      <c r="Z128" s="91">
        <f>SUM(ППД5[[#This Row],[ТП Комната 1]:[ТП Комната 3]])</f>
        <v>7.1</v>
      </c>
      <c r="AA128" s="91">
        <v>5.2</v>
      </c>
      <c r="AB128" s="91">
        <v>3.6</v>
      </c>
      <c r="AC128" s="91"/>
      <c r="AD128" s="91"/>
      <c r="AE128" s="91">
        <v>6.9</v>
      </c>
      <c r="AF128" s="91">
        <v>1.5</v>
      </c>
      <c r="AG128" s="91"/>
      <c r="AH128" s="91"/>
      <c r="AI128" s="91">
        <f>SUM(ППД5[[#This Row],[ТП Лоджия 1]:[ТП Лоджия 3]])</f>
        <v>1.5</v>
      </c>
      <c r="AJ128" s="95">
        <v>3</v>
      </c>
      <c r="AK128" s="91">
        <f>SUM(ППД5[[#This Row],[Площадь по ТП жилая]:[ТП Лоджия 3]])-ППД5[[#This Row],[ТП Летние]]+ППД5[[#This Row],[кроме того прочая
(без коэффициента)]]</f>
        <v>25.8</v>
      </c>
      <c r="AL128" s="95">
        <f>ППД5[[#This Row],[ТП Площадь без летних]]+(ППД5[[#This Row],[ТП Летние]])</f>
        <v>24.3</v>
      </c>
      <c r="AM128" s="91">
        <f>ППД5[[#This Row],[ТП общая S]]-ППД5[[#This Row],[кроме того прочая
(без коэффициента)]]</f>
        <v>22.8</v>
      </c>
      <c r="AN128" s="95">
        <f>SUM(ППД5[[#This Row],[ТП Кухня]:[ТП Коридор]])</f>
        <v>15.700000000000001</v>
      </c>
      <c r="AO128" s="91">
        <f>ППД5[[#This Row],[Расчетная ТП площадь]]-ППД5[[#This Row],[Расчетная проектная площадь]]</f>
        <v>1.9999999999999574E-2</v>
      </c>
      <c r="AP128" s="335">
        <f>ППД5[[#This Row],[Расчетная ТП площадь]]/ППД5[[#This Row],[Расчетная проектная площадь]]-1</f>
        <v>8.2372322899493255E-4</v>
      </c>
      <c r="AQ128" s="91">
        <f>ППД5[[#This Row],[% расхождения]]*ППД5[[#This Row],[Стоимость до скидки]]</f>
        <v>2572.8171334427725</v>
      </c>
      <c r="AR128" s="91">
        <f>VLOOKUP(ППД5[[#This Row],[№]],наценкад5[],COLUMN(наценкад5[[#This Row],[Цена м2 с учетом всех K]]),0)</f>
        <v>91105.56</v>
      </c>
      <c r="AS128" s="8">
        <f>ППД5[[#This Row],[м2 после К]]*5%</f>
        <v>4555.2780000000002</v>
      </c>
      <c r="AT128" s="8">
        <f>ППД5[[#This Row],[м2 после К]]+ППД5[[#This Row],[Повышение 16.08.23 - 5%]]</f>
        <v>95660.838000000003</v>
      </c>
      <c r="AU128" s="93">
        <f>ППД5[[#This Row],[Фикс 16.08.23]]*3%</f>
        <v>2869.8251399999999</v>
      </c>
      <c r="AV128" s="93">
        <f>ППД5[[#This Row],[Фикс 16.08.23]]+ППД5[[#This Row],[Повышение 29.08.23 - 3%]]</f>
        <v>98530.663140000004</v>
      </c>
      <c r="AW128" s="93">
        <f>ППД5[[#This Row],[Фикс 29.08.23]]*15%</f>
        <v>14779.599471</v>
      </c>
      <c r="AX128" s="93">
        <f>ППД5[[#This Row],[Фикс 29.08.23]]+ППД5[[#This Row],[Повышение 06.09.23 СТ и 1К]]</f>
        <v>113310.262611</v>
      </c>
      <c r="AY128" s="93"/>
      <c r="AZ128" s="93">
        <f>ППД5[[#This Row],[Повышение 23.10.23  В4 ]]+ППД5[[#This Row],[Фикс 06.09.23]]</f>
        <v>113310.262611</v>
      </c>
      <c r="BA128" s="93"/>
      <c r="BB128" s="93">
        <f>ППД5[[#This Row],[Повышение 8.11.23 1К 5%]]+ППД5[[#This Row],[Фикс 23.10.23]]</f>
        <v>113310.262611</v>
      </c>
      <c r="BC128" s="93"/>
      <c r="BD128" s="93">
        <f>ППД5[[#This Row],[Корректировка 24.11.23 - 1К В5, 2К А2, №233]]+ППД5[[#This Row],[Фикс 8.11.23]]</f>
        <v>113310.262611</v>
      </c>
      <c r="BE128" s="93">
        <f>ППД5[[#This Row],[Фикс 8.11.24]]*1%</f>
        <v>1133.1026261100001</v>
      </c>
      <c r="BF128" s="93">
        <f>ППД5[[#This Row],[Наценка за отделку 29.12.23 1%]]+ППД5[[#This Row],[Фикс 8.11.24]]</f>
        <v>114443.36523711</v>
      </c>
      <c r="BG128" s="93">
        <f>ППД5[[#This Row],[Фикс 29.12.23]]*5%</f>
        <v>5722.1682618555005</v>
      </c>
      <c r="BH128" s="93">
        <f>ППД5[[#This Row],[Фикс 29.12.23]]+ППД5[[#This Row],[Наценка 10.01.24 5%]]</f>
        <v>120165.53349896551</v>
      </c>
      <c r="BI128" s="93"/>
      <c r="BJ128" s="93">
        <f>ППД5[[#This Row],[Наценка 26.02.24 1 Этаж]]+ППД5[[#This Row],[Фикс 10.01.24]]</f>
        <v>120165.53349896551</v>
      </c>
      <c r="BK128" s="93">
        <f>ППД5[[#This Row],[Фикс 26.02.24]]*3%</f>
        <v>3604.9660049689651</v>
      </c>
      <c r="BL128" s="93">
        <f>ППД5[[#This Row],[Фикс 26.02.24]]+ППД5[[#This Row],[Наценка 06.03.24
СТ, 1К - 3%
2К, 3К - 2%]]</f>
        <v>123770.49950393448</v>
      </c>
      <c r="BM128" s="93"/>
      <c r="BN128" s="93">
        <f>ППД5[[#This Row],[Фикс 06.03.24]]+ППД5[[#This Row],[Наценка Г2+500]]</f>
        <v>123770.49950393448</v>
      </c>
      <c r="BO128" s="93"/>
      <c r="BP128" s="93">
        <f>ППД5[[#This Row],[Фикс 13.03.25]]+ППД5[[#This Row],[Наценка 20.03.24
2К, 3К - 2%]]</f>
        <v>123770.49950393448</v>
      </c>
      <c r="BQ128" s="93"/>
      <c r="BR128" s="93">
        <f>ППД5[[#This Row],[Фикс 20.03.24]]+ППД5[[#This Row],[Наценка 08.04.24 
2К: В3 - 150
3К: Г7 +1000]]</f>
        <v>123770.49950393448</v>
      </c>
      <c r="BS128" s="93"/>
      <c r="BT128" s="93">
        <f>ППД5[[#This Row],[Фикс 08.04.24]]+ППД5[[#This Row],[Наценка 16.05.24 1%
А4,А6,Б3,Б6,Б7,В2,В3,В5,В6,Г1,Г3-Г5]]</f>
        <v>123770.49950393448</v>
      </c>
      <c r="BU128" s="93">
        <f>ППД5[[#This Row],[Фикс 16.05.24]]*2%</f>
        <v>2475.4099900786896</v>
      </c>
      <c r="BV128" s="93">
        <f>ППД5[[#This Row],[Фикс 16.05.24]]+ППД5[[#This Row],[Наценка 24.05.24
1% - Б4, Б5,Г2,Г6
2% - А1,А3,А5,Б2,Г7]]</f>
        <v>126245.90949401318</v>
      </c>
      <c r="BW128" s="93"/>
      <c r="BX128" s="93">
        <f>ППД5[[#This Row],[Наценка 06.06.24
0К: В2,Г3 +0,5%
1К: А7, Б5/4, Г6 +0,5%
3К: В6 +0,5%
1К: А3 +1%]]+ППД5[[#This Row],[Фикс 24.05.24]]</f>
        <v>126245.90949401318</v>
      </c>
      <c r="BY128" s="93"/>
      <c r="BZ128" s="93">
        <f>ППД5[[#This Row],[Фикс 06.06.24]]+ППД5[[#This Row],[13.06.2024
3К - 2%]]</f>
        <v>126245.90949401318</v>
      </c>
      <c r="CA128" s="93">
        <f>1.5%*ППД5[[#This Row],[Фикс 13.06.24]]</f>
        <v>1893.6886424101976</v>
      </c>
      <c r="CB128" s="93">
        <f>ППД5[[#This Row],[02.07.2024: Г3 А1 А3 Б5 Б7 Г2 Г6 Б3 Б4 В3 Г7 2,5% ост 0,5-1,5%]]+ППД5[[#This Row],[Фикс 13.06.24]]</f>
        <v>128139.59813642337</v>
      </c>
      <c r="CC128" s="93">
        <v>500</v>
      </c>
      <c r="CD128" s="93">
        <f>ППД5[[#This Row],[Фикс 02.07.24]]+ППД5[[#This Row],[04.09.2024 +500
0К - Б2; 1К - А3;
2К - А6, Б4, В3, Г5]]</f>
        <v>128639.59813642337</v>
      </c>
      <c r="CE128" s="93"/>
      <c r="CF128" s="93">
        <f>ППД5[[#This Row],[Наценка 16.09.2024
1К: А1,В7,Г6/7,Г8 - 2%
2К: А4,А5,А6,Б1,Б6,Б3/4,В3,В4,Г4,Г5 - 4%
3К: 4%]]+ППД5[[#This Row],[Фикс 04.09.24]]</f>
        <v>128639.59813642337</v>
      </c>
      <c r="CG128" s="93"/>
      <c r="CH128" s="93">
        <f>ППД5[[#This Row],[Фикс 16.09.2024]]+ППД5[[#This Row],[Наценка 01.11.24
СТ: 4%
1К: 34-40м 5%; 40м+ 8%; МГН 1%
2К: 55-70м 6%; 70-73м 7%; 73-76м 8% 
3К: 5%]]</f>
        <v>128639.59813642337</v>
      </c>
      <c r="CI128" s="93"/>
      <c r="CJ128" s="93">
        <f>ППД5[[#This Row],[Наценка 06.11 13%]]+ППД5[[#This Row],[Фикс 01.11.24]]</f>
        <v>128639.59813642337</v>
      </c>
      <c r="CK128" s="93"/>
      <c r="CL128" s="93">
        <f>ППД5[[#This Row],[Фикс 06.11.24]]+ППД5[[#This Row],[Наценка 18.12.24 распределение КВ]]</f>
        <v>128639.59813642337</v>
      </c>
      <c r="CM128" s="93"/>
      <c r="CN128" s="93">
        <f>ППД5[[#This Row],[Фикс 18.12.24]]+ППД5[[#This Row],[Наценка 10.02.25 +1%
1К: А3
2К: Б3, В3]]</f>
        <v>128639.59813642337</v>
      </c>
      <c r="CO128" s="93">
        <f>ROUND(ППД5[[#This Row],[Фикс 10.02.25]],2)</f>
        <v>128639.6</v>
      </c>
      <c r="CP12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3123400</v>
      </c>
      <c r="CQ128" s="93">
        <f>ROUNDUP(ППД5[[#This Row],[Стоимость до скидки]]+ППД5[[#This Row],[Сумма доплаты]],-2)</f>
        <v>3126000</v>
      </c>
      <c r="CR128" s="68"/>
      <c r="CS128" s="90">
        <v>0.02</v>
      </c>
      <c r="CT128" s="68">
        <f>ППД5[[#This Row],[Стоимость до скидки]]*ППД5[[#This Row],[Скидка %]]+ППД5[[#This Row],[Скидка фиксированная]]</f>
        <v>62468</v>
      </c>
      <c r="CU128" s="3">
        <f>ППД5[[#This Row],[Стоимость ОН без отделки со скидкой]]/ППД5[[#This Row],[Расчетная проектная площадь]]</f>
        <v>126068.03953871499</v>
      </c>
      <c r="CV128" s="3">
        <f>ROUND(ППД5[[#This Row],[Стоимость до скидки]]-ППД5[[#This Row],[Итоговая сумма скидки]],2)</f>
        <v>3060932</v>
      </c>
      <c r="CW12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128" s="197">
        <v>24000</v>
      </c>
      <c r="CY128" s="332">
        <f>ППД5[[#This Row],[Расхождение]]/ППД5[[#This Row],[Расчетная проектная площадь]]</f>
        <v>8.2372322899504011E-4</v>
      </c>
      <c r="CZ12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1.0000000000000675E-2</v>
      </c>
      <c r="DA128" s="3">
        <f>ППД5[[#This Row],[Цена м2 без отделки со скидкой]]+ППД5[[#This Row],[Стоимость отделки]]</f>
        <v>150068.03953871498</v>
      </c>
      <c r="DB128" s="3">
        <f>ППД5[[#This Row],[Стоимость квартиры с отделкой]]-ППД5[[#This Row],[Стоимость ОН без отделки со скидкой]]</f>
        <v>582720</v>
      </c>
      <c r="DC128" s="3">
        <f>ППД5[[#This Row],[Цена м2 с отделкой]]*ППД5[[#This Row],[Расчетная проектная площадь]]</f>
        <v>3643652</v>
      </c>
      <c r="DD128" s="3"/>
      <c r="DE128" s="111" t="s">
        <v>757</v>
      </c>
      <c r="DF128" s="211" t="s">
        <v>172</v>
      </c>
      <c r="DG128" s="245" t="s">
        <v>172</v>
      </c>
      <c r="DH128" s="100" t="b">
        <f>EXACT(ППД5[[#This Row],[Статусы CRM]],ППД5[[#This Row],[Статус]])</f>
        <v>1</v>
      </c>
      <c r="DI128" s="213" t="s">
        <v>300</v>
      </c>
      <c r="DJ128" s="204"/>
      <c r="DK128" s="111" t="s">
        <v>763</v>
      </c>
      <c r="DL128" s="216" t="s">
        <v>14</v>
      </c>
      <c r="DM128" s="201" t="b">
        <f>ППД5[[#This Row],[Отделка CRM]]=ППД5[[#This Row],[Отделка]]</f>
        <v>1</v>
      </c>
      <c r="DN128" s="203">
        <v>3643652</v>
      </c>
      <c r="DO12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28" s="207" t="b">
        <f>IF(AND(ППД5[[#This Row],[Статус]]="свободно",ППД5[[#This Row],[Итоговая сумма скидки]]&lt;&gt;0),FALSE,TRUE)</f>
        <v>1</v>
      </c>
      <c r="DQ128" s="240">
        <f>_xlfn.XLOOKUP(ППД5[[#This Row],[№]],Юрист[№ кв],Юрист[Дата подачи на регистрацию]," ",0,-1)</f>
        <v>45588</v>
      </c>
      <c r="DR128" s="115" t="str">
        <f>_xlfn.XLOOKUP(ППД5[[#This Row],[№]],Юрист[№ кв],Юрист[МОП],"",0,-1)</f>
        <v>Полехович</v>
      </c>
      <c r="DS128" s="333" t="s">
        <v>2548</v>
      </c>
      <c r="DT128" s="333" t="s">
        <v>2549</v>
      </c>
      <c r="DU128" s="333">
        <v>22.8</v>
      </c>
      <c r="DV128" s="111"/>
    </row>
    <row r="129" spans="1:126" hidden="1" x14ac:dyDescent="0.25">
      <c r="A129" s="112">
        <v>127</v>
      </c>
      <c r="B129" s="111" t="s">
        <v>4</v>
      </c>
      <c r="C129" s="111">
        <v>3</v>
      </c>
      <c r="D129" s="111">
        <v>3</v>
      </c>
      <c r="E129" s="111">
        <v>2</v>
      </c>
      <c r="F129" s="105">
        <v>14.6</v>
      </c>
      <c r="G129" s="105">
        <v>13.12</v>
      </c>
      <c r="H129" s="105"/>
      <c r="I129" s="94">
        <f>SUM(ППД5[[#This Row],[Комната 1]:[Комната 3]])</f>
        <v>27.72</v>
      </c>
      <c r="J129" s="105">
        <v>14.35</v>
      </c>
      <c r="K129" s="105">
        <v>3.68</v>
      </c>
      <c r="L129" s="105">
        <v>2.57</v>
      </c>
      <c r="M129" s="105"/>
      <c r="N129" s="105">
        <v>7.95</v>
      </c>
      <c r="O129" s="105">
        <v>2.65</v>
      </c>
      <c r="P129" s="105"/>
      <c r="Q129" s="105"/>
      <c r="R129" s="105">
        <f>SUM(ППД5[[#This Row],[Лоджия 1]:[Лоджия 3]])</f>
        <v>2.65</v>
      </c>
      <c r="S129" s="8">
        <f>ROUND(SUM(ППД5[[#This Row],[Площадь по проекту жилая]:[Лоджия 3]]),2)</f>
        <v>58.92</v>
      </c>
      <c r="T129" s="8">
        <f>ROUND(ППД5[[#This Row],[Площадь по проекту(общая)]]-ППД5[[#This Row],[Летние]],2)</f>
        <v>56.27</v>
      </c>
      <c r="U129" s="91">
        <f>ROUND(ППД5[[#This Row],[Площадь по проекту(общая)]]-(SUM(ППД5[[#This Row],[Лоджия 1]:[Лоджия 3]])/2),2)</f>
        <v>57.6</v>
      </c>
      <c r="V129" s="91">
        <f>IF(ППД5[[#This Row],[Статус]]="продажа",ППД5[[#This Row],[Расчетная проектная площадь]],ППД5[[#This Row],[Расчетная ТП площадь]])</f>
        <v>57.6</v>
      </c>
      <c r="W129" s="91">
        <v>13</v>
      </c>
      <c r="X129" s="91">
        <v>14.7</v>
      </c>
      <c r="Y129" s="91"/>
      <c r="Z129" s="91">
        <f>SUM(ППД5[[#This Row],[ТП Комната 1]:[ТП Комната 3]])</f>
        <v>27.7</v>
      </c>
      <c r="AA129" s="91">
        <v>14.3</v>
      </c>
      <c r="AB129" s="91">
        <v>2.6</v>
      </c>
      <c r="AC129" s="91">
        <v>3.8</v>
      </c>
      <c r="AD129" s="91"/>
      <c r="AE129" s="91">
        <v>7.9</v>
      </c>
      <c r="AF129" s="91">
        <v>1.35</v>
      </c>
      <c r="AG129" s="91"/>
      <c r="AH129" s="91"/>
      <c r="AI129" s="91">
        <f>SUM(ППД5[[#This Row],[ТП Лоджия 1]:[ТП Лоджия 3]])</f>
        <v>1.35</v>
      </c>
      <c r="AJ129" s="95">
        <v>2.7</v>
      </c>
      <c r="AK129" s="91">
        <f>SUM(ППД5[[#This Row],[Площадь по ТП жилая]:[ТП Лоджия 3]])-ППД5[[#This Row],[ТП Летние]]+ППД5[[#This Row],[кроме того прочая
(без коэффициента)]]</f>
        <v>59</v>
      </c>
      <c r="AL129" s="95">
        <f>ППД5[[#This Row],[ТП Площадь без летних]]+(ППД5[[#This Row],[ТП Летние]])</f>
        <v>57.65</v>
      </c>
      <c r="AM129" s="91">
        <f>ППД5[[#This Row],[ТП общая S]]-ППД5[[#This Row],[кроме того прочая
(без коэффициента)]]</f>
        <v>56.3</v>
      </c>
      <c r="AN129" s="95">
        <f>SUM(ППД5[[#This Row],[ТП Кухня]:[ТП Коридор]])</f>
        <v>28.6</v>
      </c>
      <c r="AO129" s="91">
        <f>ППД5[[#This Row],[Расчетная ТП площадь]]-ППД5[[#This Row],[Расчетная проектная площадь]]</f>
        <v>4.9999999999997158E-2</v>
      </c>
      <c r="AP129" s="335">
        <f>ППД5[[#This Row],[Расчетная ТП площадь]]/ППД5[[#This Row],[Расчетная проектная площадь]]-1</f>
        <v>8.6805555555558023E-4</v>
      </c>
      <c r="AQ129" s="91">
        <f>ППД5[[#This Row],[% расхождения]]*ППД5[[#This Row],[Стоимость до скидки]]</f>
        <v>4792.8819444445808</v>
      </c>
      <c r="AR129" s="91">
        <f>VLOOKUP(ППД5[[#This Row],[№]],наценкад5[],COLUMN(наценкад5[[#This Row],[Цена м2 с учетом всех K]]),0)</f>
        <v>79535.67300000001</v>
      </c>
      <c r="AS129" s="8">
        <f>ППД5[[#This Row],[м2 после К]]*5%</f>
        <v>3976.7836500000008</v>
      </c>
      <c r="AT129" s="8">
        <f>ППД5[[#This Row],[м2 после К]]+ППД5[[#This Row],[Повышение 16.08.23 - 5%]]</f>
        <v>83512.456650000007</v>
      </c>
      <c r="AU129" s="93">
        <f>ППД5[[#This Row],[Фикс 16.08.23]]*3%</f>
        <v>2505.3736994999999</v>
      </c>
      <c r="AV129" s="93">
        <f>ППД5[[#This Row],[Фикс 16.08.23]]+ППД5[[#This Row],[Повышение 29.08.23 - 3%]]</f>
        <v>86017.8303495</v>
      </c>
      <c r="AW129" s="93"/>
      <c r="AX129" s="93">
        <f>ППД5[[#This Row],[Фикс 29.08.23]]+ППД5[[#This Row],[Повышение 06.09.23 СТ и 1К]]</f>
        <v>86017.8303495</v>
      </c>
      <c r="AY129" s="93"/>
      <c r="AZ129" s="93">
        <f>ППД5[[#This Row],[Повышение 23.10.23  В4 ]]+ППД5[[#This Row],[Фикс 06.09.23]]</f>
        <v>86017.8303495</v>
      </c>
      <c r="BA129" s="93"/>
      <c r="BB129" s="93">
        <f>ППД5[[#This Row],[Повышение 8.11.23 1К 5%]]+ППД5[[#This Row],[Фикс 23.10.23]]</f>
        <v>86017.8303495</v>
      </c>
      <c r="BC129" s="93"/>
      <c r="BD129" s="93">
        <f>ППД5[[#This Row],[Корректировка 24.11.23 - 1К В5, 2К А2, №233]]+ППД5[[#This Row],[Фикс 8.11.23]]</f>
        <v>86017.8303495</v>
      </c>
      <c r="BE129" s="93">
        <f>ППД5[[#This Row],[Фикс 8.11.24]]*1%</f>
        <v>860.17830349500002</v>
      </c>
      <c r="BF129" s="93">
        <f>ППД5[[#This Row],[Наценка за отделку 29.12.23 1%]]+ППД5[[#This Row],[Фикс 8.11.24]]</f>
        <v>86878.008652995006</v>
      </c>
      <c r="BG129" s="93">
        <f>ППД5[[#This Row],[Фикс 29.12.23]]*5%</f>
        <v>4343.9004326497507</v>
      </c>
      <c r="BH129" s="93">
        <f>ППД5[[#This Row],[Фикс 29.12.23]]+ППД5[[#This Row],[Наценка 10.01.24 5%]]</f>
        <v>91221.909085644758</v>
      </c>
      <c r="BI129" s="93"/>
      <c r="BJ129" s="93">
        <f>ППД5[[#This Row],[Наценка 26.02.24 1 Этаж]]+ППД5[[#This Row],[Фикс 10.01.24]]</f>
        <v>91221.909085644758</v>
      </c>
      <c r="BK129" s="93">
        <f>ППД5[[#This Row],[Фикс 26.02.24]]*2%</f>
        <v>1824.4381817128951</v>
      </c>
      <c r="BL129" s="93">
        <f>ППД5[[#This Row],[Фикс 26.02.24]]+ППД5[[#This Row],[Наценка 06.03.24
СТ, 1К - 3%
2К, 3К - 2%]]</f>
        <v>93046.347267357647</v>
      </c>
      <c r="BM129" s="93"/>
      <c r="BN129" s="93">
        <f>ППД5[[#This Row],[Фикс 06.03.24]]+ППД5[[#This Row],[Наценка Г2+500]]</f>
        <v>93046.347267357647</v>
      </c>
      <c r="BO129" s="93">
        <f>ППД5[[#This Row],[Фикс 13.03.25]]*2%</f>
        <v>1860.9269453471529</v>
      </c>
      <c r="BP129" s="93">
        <f>ППД5[[#This Row],[Фикс 13.03.25]]+ППД5[[#This Row],[Наценка 20.03.24
2К, 3К - 2%]]</f>
        <v>94907.274212704797</v>
      </c>
      <c r="BQ129" s="93"/>
      <c r="BR129" s="93">
        <f>ППД5[[#This Row],[Фикс 20.03.24]]+ППД5[[#This Row],[Наценка 08.04.24 
2К: В3 - 150
3К: Г7 +1000]]</f>
        <v>94907.274212704797</v>
      </c>
      <c r="BS129" s="47">
        <f>ППД5[[#This Row],[Фикс 08.04.24]]*1%</f>
        <v>949.07274212704795</v>
      </c>
      <c r="BT129" s="93">
        <f>ППД5[[#This Row],[Фикс 08.04.24]]+ППД5[[#This Row],[Наценка 16.05.24 1%
А4,А6,Б3,Б6,Б7,В2,В3,В5,В6,Г1,Г3-Г5]]</f>
        <v>95856.346954831839</v>
      </c>
      <c r="BU129" s="93"/>
      <c r="BV129" s="93">
        <f>ППД5[[#This Row],[Фикс 16.05.24]]+ППД5[[#This Row],[Наценка 24.05.24
1% - Б4, Б5,Г2,Г6
2% - А1,А3,А5,Б2,Г7]]</f>
        <v>95856.346954831839</v>
      </c>
      <c r="BW129" s="93"/>
      <c r="BX129" s="93">
        <f>ППД5[[#This Row],[Наценка 06.06.24
0К: В2,Г3 +0,5%
1К: А7, Б5/4, Г6 +0,5%
3К: В6 +0,5%
1К: А3 +1%]]+ППД5[[#This Row],[Фикс 24.05.24]]</f>
        <v>95856.346954831839</v>
      </c>
      <c r="BY129" s="93"/>
      <c r="BZ129" s="93">
        <f>ППД5[[#This Row],[Фикс 06.06.24]]+ППД5[[#This Row],[13.06.2024
3К - 2%]]</f>
        <v>95856.346954831839</v>
      </c>
      <c r="CA129" s="93"/>
      <c r="CB129" s="93">
        <f>ППД5[[#This Row],[02.07.2024: Г3 А1 А3 Б5 Б7 Г2 Г6 Б3 Б4 В3 Г7 2,5% ост 0,5-1,5%]]+ППД5[[#This Row],[Фикс 13.06.24]]</f>
        <v>95856.346954831839</v>
      </c>
      <c r="CC129" s="93"/>
      <c r="CD129" s="93">
        <f>ППД5[[#This Row],[Фикс 02.07.24]]+ППД5[[#This Row],[04.09.2024 +500
0К - Б2; 1К - А3;
2К - А6, Б4, В3, Г5]]</f>
        <v>95856.346954831839</v>
      </c>
      <c r="CE129" s="93"/>
      <c r="CF129" s="93">
        <f>ППД5[[#This Row],[Наценка 16.09.2024
1К: А1,В7,Г6/7,Г8 - 2%
2К: А4,А5,А6,Б1,Б6,Б3/4,В3,В4,Г4,Г5 - 4%
3К: 4%]]+ППД5[[#This Row],[Фикс 04.09.24]]</f>
        <v>95856.346954831839</v>
      </c>
      <c r="CG129" s="93"/>
      <c r="CH129" s="93">
        <f>ППД5[[#This Row],[Фикс 16.09.2024]]+ППД5[[#This Row],[Наценка 01.11.24
СТ: 4%
1К: 34-40м 5%; 40м+ 8%; МГН 1%
2К: 55-70м 6%; 70-73м 7%; 73-76м 8% 
3К: 5%]]</f>
        <v>95856.346954831839</v>
      </c>
      <c r="CI129" s="93"/>
      <c r="CJ129" s="93">
        <f>ППД5[[#This Row],[Наценка 06.11 13%]]+ППД5[[#This Row],[Фикс 01.11.24]]</f>
        <v>95856.346954831839</v>
      </c>
      <c r="CK129" s="93"/>
      <c r="CL129" s="93">
        <f>ППД5[[#This Row],[Фикс 06.11.24]]+ППД5[[#This Row],[Наценка 18.12.24 распределение КВ]]</f>
        <v>95856.346954831839</v>
      </c>
      <c r="CM129" s="93"/>
      <c r="CN129" s="93">
        <f>ППД5[[#This Row],[Фикс 18.12.24]]+ППД5[[#This Row],[Наценка 10.02.25 +1%
1К: А3
2К: Б3, В3]]</f>
        <v>95856.346954831839</v>
      </c>
      <c r="CO129" s="93">
        <f>ROUND(ППД5[[#This Row],[Фикс 10.02.25]],2)</f>
        <v>95856.35</v>
      </c>
      <c r="CP12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5521400</v>
      </c>
      <c r="CQ129" s="93">
        <f>ROUNDUP(ППД5[[#This Row],[Стоимость до скидки]]+ППД5[[#This Row],[Сумма доплаты]],-2)</f>
        <v>5526200</v>
      </c>
      <c r="CR129" s="68"/>
      <c r="CS129" s="90"/>
      <c r="CT129" s="68">
        <f>ППД5[[#This Row],[Стоимость до скидки]]*ППД5[[#This Row],[Скидка %]]+ППД5[[#This Row],[Скидка фиксированная]]</f>
        <v>0</v>
      </c>
      <c r="CU129" s="3">
        <f>ППД5[[#This Row],[Стоимость ОН без отделки со скидкой]]/ППД5[[#This Row],[Расчетная проектная площадь]]</f>
        <v>95857.638888888891</v>
      </c>
      <c r="CV129" s="3">
        <f>ROUND(ППД5[[#This Row],[Стоимость до скидки]]-ППД5[[#This Row],[Итоговая сумма скидки]],2)</f>
        <v>5521400</v>
      </c>
      <c r="CW12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29" s="197"/>
      <c r="CY129" s="332">
        <f>ППД5[[#This Row],[Расхождение]]/ППД5[[#This Row],[Расчетная проектная площадь]]</f>
        <v>8.6805555555550618E-4</v>
      </c>
      <c r="CZ12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5.0000000000002487E-2</v>
      </c>
      <c r="DA129" s="3">
        <f>ППД5[[#This Row],[Цена м2 без отделки со скидкой]]+ППД5[[#This Row],[Стоимость отделки]]</f>
        <v>95857.638888888891</v>
      </c>
      <c r="DB129" s="3">
        <f>ППД5[[#This Row],[Стоимость квартиры с отделкой]]-ППД5[[#This Row],[Стоимость ОН без отделки со скидкой]]</f>
        <v>0</v>
      </c>
      <c r="DC129" s="3">
        <f>ППД5[[#This Row],[Цена м2 с отделкой]]*ППД5[[#This Row],[Расчетная проектная площадь]]</f>
        <v>5521400</v>
      </c>
      <c r="DD129" s="3" t="s">
        <v>154</v>
      </c>
      <c r="DF129" s="199" t="s">
        <v>172</v>
      </c>
      <c r="DG129" s="245" t="s">
        <v>172</v>
      </c>
      <c r="DH129" s="100" t="b">
        <f>EXACT(ППД5[[#This Row],[Статусы CRM]],ППД5[[#This Row],[Статус]])</f>
        <v>1</v>
      </c>
      <c r="DI129" s="213" t="s">
        <v>301</v>
      </c>
      <c r="DJ129" s="204"/>
      <c r="DK129" s="111" t="s">
        <v>763</v>
      </c>
      <c r="DL129" s="216" t="s">
        <v>12</v>
      </c>
      <c r="DM129" s="201" t="b">
        <f>ППД5[[#This Row],[Отделка CRM]]=ППД5[[#This Row],[Отделка]]</f>
        <v>1</v>
      </c>
      <c r="DN129" s="203">
        <v>5521400</v>
      </c>
      <c r="DO12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29" s="207" t="b">
        <f>IF(AND(ППД5[[#This Row],[Статус]]="свободно",ППД5[[#This Row],[Итоговая сумма скидки]]&lt;&gt;0),FALSE,TRUE)</f>
        <v>1</v>
      </c>
      <c r="DQ129" s="240">
        <f>_xlfn.XLOOKUP(ППД5[[#This Row],[№]],Юрист[№ кв],Юрист[Дата подачи на регистрацию]," ",0,-1)</f>
        <v>45471</v>
      </c>
      <c r="DR129" s="115" t="str">
        <f>_xlfn.XLOOKUP(ППД5[[#This Row],[№]],Юрист[№ кв],Юрист[МОП],"",0,-1)</f>
        <v>Полехович</v>
      </c>
      <c r="DS129" s="333" t="s">
        <v>2550</v>
      </c>
      <c r="DT129" s="333" t="s">
        <v>2551</v>
      </c>
      <c r="DU129" s="333">
        <v>56.3</v>
      </c>
      <c r="DV129" s="111"/>
    </row>
    <row r="130" spans="1:126" hidden="1" x14ac:dyDescent="0.25">
      <c r="A130" s="112">
        <v>128</v>
      </c>
      <c r="B130" s="111" t="s">
        <v>4</v>
      </c>
      <c r="C130" s="111">
        <v>3</v>
      </c>
      <c r="D130" s="111">
        <v>4</v>
      </c>
      <c r="E130" s="111">
        <v>2</v>
      </c>
      <c r="F130" s="105">
        <v>15.45</v>
      </c>
      <c r="G130" s="105">
        <v>14.5</v>
      </c>
      <c r="H130" s="105"/>
      <c r="I130" s="94">
        <f>SUM(ППД5[[#This Row],[Комната 1]:[Комната 3]])</f>
        <v>29.95</v>
      </c>
      <c r="J130" s="105">
        <v>11.95</v>
      </c>
      <c r="K130" s="105">
        <v>3.86</v>
      </c>
      <c r="L130" s="105">
        <v>2.37</v>
      </c>
      <c r="M130" s="105"/>
      <c r="N130" s="105">
        <v>8.8699999999999992</v>
      </c>
      <c r="O130" s="105">
        <v>2.62</v>
      </c>
      <c r="P130" s="105"/>
      <c r="Q130" s="105"/>
      <c r="R130" s="105">
        <f>SUM(ППД5[[#This Row],[Лоджия 1]:[Лоджия 3]])</f>
        <v>2.62</v>
      </c>
      <c r="S130" s="8">
        <f>ROUND(SUM(ППД5[[#This Row],[Площадь по проекту жилая]:[Лоджия 3]]),2)</f>
        <v>59.62</v>
      </c>
      <c r="T130" s="8">
        <f>ROUND(ППД5[[#This Row],[Площадь по проекту(общая)]]-ППД5[[#This Row],[Летние]],2)</f>
        <v>57</v>
      </c>
      <c r="U130" s="91">
        <f>ROUND(ППД5[[#This Row],[Площадь по проекту(общая)]]-(SUM(ППД5[[#This Row],[Лоджия 1]:[Лоджия 3]])/2),2)</f>
        <v>58.31</v>
      </c>
      <c r="V130" s="91">
        <f>IF(ППД5[[#This Row],[Статус]]="продажа",ППД5[[#This Row],[Расчетная проектная площадь]],ППД5[[#This Row],[Расчетная ТП площадь]])</f>
        <v>58.31</v>
      </c>
      <c r="W130" s="91">
        <v>14.4</v>
      </c>
      <c r="X130" s="91">
        <v>15.4</v>
      </c>
      <c r="Y130" s="91"/>
      <c r="Z130" s="91">
        <f>SUM(ППД5[[#This Row],[ТП Комната 1]:[ТП Комната 3]])</f>
        <v>29.8</v>
      </c>
      <c r="AA130" s="91">
        <v>11.9</v>
      </c>
      <c r="AB130" s="91">
        <v>3.9</v>
      </c>
      <c r="AC130" s="91">
        <v>2.5</v>
      </c>
      <c r="AD130" s="91"/>
      <c r="AE130" s="91">
        <v>8.6999999999999993</v>
      </c>
      <c r="AF130" s="91">
        <v>1.35</v>
      </c>
      <c r="AG130" s="91"/>
      <c r="AH130" s="91"/>
      <c r="AI130" s="91">
        <f>SUM(ППД5[[#This Row],[ТП Лоджия 1]:[ТП Лоджия 3]])</f>
        <v>1.35</v>
      </c>
      <c r="AJ130" s="95">
        <v>2.7</v>
      </c>
      <c r="AK130" s="91">
        <f>SUM(ППД5[[#This Row],[Площадь по ТП жилая]:[ТП Лоджия 3]])-ППД5[[#This Row],[ТП Летние]]+ППД5[[#This Row],[кроме того прочая
(без коэффициента)]]</f>
        <v>59.5</v>
      </c>
      <c r="AL130" s="95">
        <f>ППД5[[#This Row],[ТП Площадь без летних]]+(ППД5[[#This Row],[ТП Летние]])</f>
        <v>58.15</v>
      </c>
      <c r="AM130" s="91">
        <f>ППД5[[#This Row],[ТП общая S]]-ППД5[[#This Row],[кроме того прочая
(без коэффициента)]]</f>
        <v>56.8</v>
      </c>
      <c r="AN130" s="95">
        <f>SUM(ППД5[[#This Row],[ТП Кухня]:[ТП Коридор]])</f>
        <v>27</v>
      </c>
      <c r="AO130" s="91">
        <f>ППД5[[#This Row],[Расчетная ТП площадь]]-ППД5[[#This Row],[Расчетная проектная площадь]]</f>
        <v>-0.16000000000000369</v>
      </c>
      <c r="AP130" s="335">
        <f>ППД5[[#This Row],[Расчетная ТП площадь]]/ППД5[[#This Row],[Расчетная проектная площадь]]-1</f>
        <v>-2.7439547247470886E-3</v>
      </c>
      <c r="AQ130" s="91">
        <f>ППД5[[#This Row],[% расхождения]]*ППД5[[#This Row],[Стоимость до скидки]]</f>
        <v>-15104.373177842825</v>
      </c>
      <c r="AR130" s="91">
        <f>VLOOKUP(ППД5[[#This Row],[№]],наценкад5[],COLUMN(наценкад5[[#This Row],[Цена м2 с учетом всех K]]),0)</f>
        <v>80693.959500000012</v>
      </c>
      <c r="AS130" s="8">
        <f>ППД5[[#This Row],[м2 после К]]*5%</f>
        <v>4034.697975000001</v>
      </c>
      <c r="AT130" s="8">
        <f>ППД5[[#This Row],[м2 после К]]+ППД5[[#This Row],[Повышение 16.08.23 - 5%]]</f>
        <v>84728.657475000015</v>
      </c>
      <c r="AU130" s="93">
        <f>ППД5[[#This Row],[Фикс 16.08.23]]*3%</f>
        <v>2541.8597242500005</v>
      </c>
      <c r="AV130" s="93">
        <f>ППД5[[#This Row],[Фикс 16.08.23]]+ППД5[[#This Row],[Повышение 29.08.23 - 3%]]</f>
        <v>87270.517199250011</v>
      </c>
      <c r="AW130" s="93"/>
      <c r="AX130" s="93">
        <f>ППД5[[#This Row],[Фикс 29.08.23]]+ППД5[[#This Row],[Повышение 06.09.23 СТ и 1К]]</f>
        <v>87270.517199250011</v>
      </c>
      <c r="AY130" s="93"/>
      <c r="AZ130" s="93">
        <f>ППД5[[#This Row],[Повышение 23.10.23  В4 ]]+ППД5[[#This Row],[Фикс 06.09.23]]</f>
        <v>87270.517199250011</v>
      </c>
      <c r="BA130" s="93"/>
      <c r="BB130" s="93">
        <f>ППД5[[#This Row],[Повышение 8.11.23 1К 5%]]+ППД5[[#This Row],[Фикс 23.10.23]]</f>
        <v>87270.517199250011</v>
      </c>
      <c r="BC130" s="93"/>
      <c r="BD130" s="93">
        <f>ППД5[[#This Row],[Корректировка 24.11.23 - 1К В5, 2К А2, №233]]+ППД5[[#This Row],[Фикс 8.11.23]]</f>
        <v>87270.517199250011</v>
      </c>
      <c r="BE130" s="93">
        <f>ППД5[[#This Row],[Фикс 8.11.24]]*1%</f>
        <v>872.70517199250014</v>
      </c>
      <c r="BF130" s="93">
        <f>ППД5[[#This Row],[Наценка за отделку 29.12.23 1%]]+ППД5[[#This Row],[Фикс 8.11.24]]</f>
        <v>88143.222371242504</v>
      </c>
      <c r="BG130" s="93">
        <f>ППД5[[#This Row],[Фикс 29.12.23]]*5%</f>
        <v>4407.161118562125</v>
      </c>
      <c r="BH130" s="93">
        <f>ППД5[[#This Row],[Фикс 29.12.23]]+ППД5[[#This Row],[Наценка 10.01.24 5%]]</f>
        <v>92550.383489804633</v>
      </c>
      <c r="BI130" s="93"/>
      <c r="BJ130" s="93">
        <f>ППД5[[#This Row],[Наценка 26.02.24 1 Этаж]]+ППД5[[#This Row],[Фикс 10.01.24]]</f>
        <v>92550.383489804633</v>
      </c>
      <c r="BK130" s="93">
        <f>ППД5[[#This Row],[Фикс 26.02.24]]*2%</f>
        <v>1851.0076697960926</v>
      </c>
      <c r="BL130" s="93">
        <f>ППД5[[#This Row],[Фикс 26.02.24]]+ППД5[[#This Row],[Наценка 06.03.24
СТ, 1К - 3%
2К, 3К - 2%]]</f>
        <v>94401.391159600724</v>
      </c>
      <c r="BM130" s="93"/>
      <c r="BN130" s="93">
        <f>ППД5[[#This Row],[Фикс 06.03.24]]+ППД5[[#This Row],[Наценка Г2+500]]</f>
        <v>94401.391159600724</v>
      </c>
      <c r="BO130" s="93"/>
      <c r="BP130" s="93">
        <f>ППД5[[#This Row],[Фикс 13.03.25]]+ППД5[[#This Row],[Наценка 20.03.24
2К, 3К - 2%]]</f>
        <v>94401.391159600724</v>
      </c>
      <c r="BQ130" s="93"/>
      <c r="BR130" s="93">
        <f>ППД5[[#This Row],[Фикс 20.03.24]]+ППД5[[#This Row],[Наценка 08.04.24 
2К: В3 - 150
3К: Г7 +1000]]</f>
        <v>94401.391159600724</v>
      </c>
      <c r="BS130" s="93"/>
      <c r="BT130" s="93">
        <f>ППД5[[#This Row],[Фикс 08.04.24]]+ППД5[[#This Row],[Наценка 16.05.24 1%
А4,А6,Б3,Б6,Б7,В2,В3,В5,В6,Г1,Г3-Г5]]</f>
        <v>94401.391159600724</v>
      </c>
      <c r="BU130" s="93"/>
      <c r="BV130" s="93">
        <f>ППД5[[#This Row],[Фикс 16.05.24]]+ППД5[[#This Row],[Наценка 24.05.24
1% - Б4, Б5,Г2,Г6
2% - А1,А3,А5,Б2,Г7]]</f>
        <v>94401.391159600724</v>
      </c>
      <c r="BW130" s="93"/>
      <c r="BX130" s="93">
        <f>ППД5[[#This Row],[Наценка 06.06.24
0К: В2,Г3 +0,5%
1К: А7, Б5/4, Г6 +0,5%
3К: В6 +0,5%
1К: А3 +1%]]+ППД5[[#This Row],[Фикс 24.05.24]]</f>
        <v>94401.391159600724</v>
      </c>
      <c r="BY130" s="93"/>
      <c r="BZ130" s="93">
        <f>ППД5[[#This Row],[Фикс 06.06.24]]+ППД5[[#This Row],[13.06.2024
3К - 2%]]</f>
        <v>94401.391159600724</v>
      </c>
      <c r="CA130" s="93"/>
      <c r="CB130" s="93">
        <f>ППД5[[#This Row],[02.07.2024: Г3 А1 А3 Б5 Б7 Г2 Г6 Б3 Б4 В3 Г7 2,5% ост 0,5-1,5%]]+ППД5[[#This Row],[Фикс 13.06.24]]</f>
        <v>94401.391159600724</v>
      </c>
      <c r="CC130" s="93"/>
      <c r="CD130" s="93">
        <f>ППД5[[#This Row],[Фикс 02.07.24]]+ППД5[[#This Row],[04.09.2024 +500
0К - Б2; 1К - А3;
2К - А6, Б4, В3, Г5]]</f>
        <v>94401.391159600724</v>
      </c>
      <c r="CE130" s="93"/>
      <c r="CF130" s="93">
        <f>ППД5[[#This Row],[Наценка 16.09.2024
1К: А1,В7,Г6/7,Г8 - 2%
2К: А4,А5,А6,Б1,Б6,Б3/4,В3,В4,Г4,Г5 - 4%
3К: 4%]]+ППД5[[#This Row],[Фикс 04.09.24]]</f>
        <v>94401.391159600724</v>
      </c>
      <c r="CG130" s="93"/>
      <c r="CH130" s="93">
        <f>ППД5[[#This Row],[Фикс 16.09.2024]]+ППД5[[#This Row],[Наценка 01.11.24
СТ: 4%
1К: 34-40м 5%; 40м+ 8%; МГН 1%
2К: 55-70м 6%; 70-73м 7%; 73-76м 8% 
3К: 5%]]</f>
        <v>94401.391159600724</v>
      </c>
      <c r="CI130" s="93"/>
      <c r="CJ130" s="93">
        <f>ППД5[[#This Row],[Наценка 06.11 13%]]+ППД5[[#This Row],[Фикс 01.11.24]]</f>
        <v>94401.391159600724</v>
      </c>
      <c r="CK130" s="93"/>
      <c r="CL130" s="93">
        <f>ППД5[[#This Row],[Фикс 06.11.24]]+ППД5[[#This Row],[Наценка 18.12.24 распределение КВ]]</f>
        <v>94401.391159600724</v>
      </c>
      <c r="CM130" s="93"/>
      <c r="CN130" s="93">
        <f>ППД5[[#This Row],[Фикс 18.12.24]]+ППД5[[#This Row],[Наценка 10.02.25 +1%
1К: А3
2К: Б3, В3]]</f>
        <v>94401.391159600724</v>
      </c>
      <c r="CO130" s="93">
        <f>ROUND(ППД5[[#This Row],[Фикс 10.02.25]],2)</f>
        <v>94401.39</v>
      </c>
      <c r="CP13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5504600</v>
      </c>
      <c r="CQ130" s="93">
        <f>ROUNDUP(ППД5[[#This Row],[Стоимость до скидки]]+ППД5[[#This Row],[Сумма доплаты]],-2)</f>
        <v>5489500</v>
      </c>
      <c r="CR130" s="68">
        <v>88888</v>
      </c>
      <c r="CS130" s="90"/>
      <c r="CT130" s="68">
        <f>ППД5[[#This Row],[Стоимость до скидки]]*ППД5[[#This Row],[Скидка %]]+ППД5[[#This Row],[Скидка фиксированная]]</f>
        <v>88888</v>
      </c>
      <c r="CU130" s="3">
        <f>ППД5[[#This Row],[Стоимость ОН без отделки со скидкой]]/ППД5[[#This Row],[Расчетная проектная площадь]]</f>
        <v>92877.928314182805</v>
      </c>
      <c r="CV130" s="3">
        <f>ROUND(ППД5[[#This Row],[Стоимость до скидки]]-ППД5[[#This Row],[Итоговая сумма скидки]],2)</f>
        <v>5415712</v>
      </c>
      <c r="CW13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130" s="197">
        <v>7000</v>
      </c>
      <c r="CY130" s="332">
        <f>ППД5[[#This Row],[Расхождение]]/ППД5[[#This Row],[Расчетная проектная площадь]]</f>
        <v>-2.743954724747105E-3</v>
      </c>
      <c r="CZ13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-4.9999999999997158E-2</v>
      </c>
      <c r="DA130" s="3">
        <f>ППД5[[#This Row],[Цена м2 без отделки со скидкой]]+ППД5[[#This Row],[Стоимость отделки]]</f>
        <v>99877.928314182805</v>
      </c>
      <c r="DB130" s="3">
        <f>ППД5[[#This Row],[Стоимость квартиры с отделкой]]-ППД5[[#This Row],[Стоимость ОН без отделки со скидкой]]</f>
        <v>408170</v>
      </c>
      <c r="DC130" s="3">
        <f>ППД5[[#This Row],[Цена м2 с отделкой]]*ППД5[[#This Row],[Расчетная проектная площадь]]</f>
        <v>5823882</v>
      </c>
      <c r="DD130" s="3"/>
      <c r="DE130" s="111" t="s">
        <v>781</v>
      </c>
      <c r="DF130" s="199" t="s">
        <v>172</v>
      </c>
      <c r="DG130" s="245" t="s">
        <v>172</v>
      </c>
      <c r="DH130" s="100" t="b">
        <f>EXACT(ППД5[[#This Row],[Статусы CRM]],ППД5[[#This Row],[Статус]])</f>
        <v>1</v>
      </c>
      <c r="DI130" s="213" t="s">
        <v>302</v>
      </c>
      <c r="DJ130" s="204"/>
      <c r="DK130" s="111" t="s">
        <v>763</v>
      </c>
      <c r="DL130" s="216" t="s">
        <v>780</v>
      </c>
      <c r="DM130" s="201" t="b">
        <f>ППД5[[#This Row],[Отделка CRM]]=ППД5[[#This Row],[Отделка]]</f>
        <v>1</v>
      </c>
      <c r="DN130" s="203">
        <v>5823882</v>
      </c>
      <c r="DO13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30" s="207" t="b">
        <f>IF(AND(ППД5[[#This Row],[Статус]]="свободно",ППД5[[#This Row],[Итоговая сумма скидки]]&lt;&gt;0),FALSE,TRUE)</f>
        <v>1</v>
      </c>
      <c r="DQ130" s="240">
        <f>_xlfn.XLOOKUP(ППД5[[#This Row],[№]],Юрист[№ кв],Юрист[Дата подачи на регистрацию]," ",0,-1)</f>
        <v>45372</v>
      </c>
      <c r="DR130" s="115" t="str">
        <f>_xlfn.XLOOKUP(ППД5[[#This Row],[№]],Юрист[№ кв],Юрист[МОП],"",0,-1)</f>
        <v>Полехович</v>
      </c>
      <c r="DS130" s="333" t="s">
        <v>2552</v>
      </c>
      <c r="DT130" s="333" t="s">
        <v>2553</v>
      </c>
      <c r="DU130" s="333">
        <v>56.8</v>
      </c>
      <c r="DV130" s="111"/>
    </row>
    <row r="131" spans="1:126" hidden="1" x14ac:dyDescent="0.25">
      <c r="A131" s="112">
        <v>129</v>
      </c>
      <c r="B131" s="111" t="s">
        <v>4</v>
      </c>
      <c r="C131" s="111">
        <v>3</v>
      </c>
      <c r="D131" s="111">
        <v>5</v>
      </c>
      <c r="E131" s="111">
        <v>1</v>
      </c>
      <c r="F131" s="105">
        <v>12.06</v>
      </c>
      <c r="G131" s="105"/>
      <c r="H131" s="105"/>
      <c r="I131" s="94">
        <f>SUM(ППД5[[#This Row],[Комната 1]:[Комната 3]])</f>
        <v>12.06</v>
      </c>
      <c r="J131" s="105">
        <v>13.18</v>
      </c>
      <c r="K131" s="105">
        <v>4.1100000000000003</v>
      </c>
      <c r="L131" s="105"/>
      <c r="M131" s="105"/>
      <c r="N131" s="105">
        <v>7.09</v>
      </c>
      <c r="O131" s="105">
        <v>2.84</v>
      </c>
      <c r="P131" s="105"/>
      <c r="Q131" s="105"/>
      <c r="R131" s="105">
        <f>SUM(ППД5[[#This Row],[Лоджия 1]:[Лоджия 3]])</f>
        <v>2.84</v>
      </c>
      <c r="S131" s="8">
        <f>ROUND(SUM(ППД5[[#This Row],[Площадь по проекту жилая]:[Лоджия 3]]),2)</f>
        <v>39.28</v>
      </c>
      <c r="T131" s="8">
        <f>ROUND(ППД5[[#This Row],[Площадь по проекту(общая)]]-ППД5[[#This Row],[Летние]],2)</f>
        <v>36.44</v>
      </c>
      <c r="U131" s="91">
        <f>ROUND(ППД5[[#This Row],[Площадь по проекту(общая)]]-(SUM(ППД5[[#This Row],[Лоджия 1]:[Лоджия 3]])/2),2)</f>
        <v>37.86</v>
      </c>
      <c r="V131" s="91">
        <f>IF(ППД5[[#This Row],[Статус]]="продажа",ППД5[[#This Row],[Расчетная проектная площадь]],ППД5[[#This Row],[Расчетная ТП площадь]])</f>
        <v>37.86</v>
      </c>
      <c r="W131" s="91">
        <v>12.4</v>
      </c>
      <c r="X131" s="91"/>
      <c r="Y131" s="91"/>
      <c r="Z131" s="91">
        <f>SUM(ППД5[[#This Row],[ТП Комната 1]:[ТП Комната 3]])</f>
        <v>12.4</v>
      </c>
      <c r="AA131" s="91">
        <v>12.7</v>
      </c>
      <c r="AB131" s="91">
        <v>4</v>
      </c>
      <c r="AC131" s="91"/>
      <c r="AD131" s="91"/>
      <c r="AE131" s="91">
        <v>7.2</v>
      </c>
      <c r="AF131" s="91">
        <v>1.45</v>
      </c>
      <c r="AG131" s="91"/>
      <c r="AH131" s="91"/>
      <c r="AI131" s="91">
        <f>SUM(ППД5[[#This Row],[ТП Лоджия 1]:[ТП Лоджия 3]])</f>
        <v>1.45</v>
      </c>
      <c r="AJ131" s="95">
        <v>2.9</v>
      </c>
      <c r="AK131" s="91">
        <f>SUM(ППД5[[#This Row],[Площадь по ТП жилая]:[ТП Лоджия 3]])-ППД5[[#This Row],[ТП Летние]]+ППД5[[#This Row],[кроме того прочая
(без коэффициента)]]</f>
        <v>39.200000000000003</v>
      </c>
      <c r="AL131" s="95">
        <f>ППД5[[#This Row],[ТП Площадь без летних]]+(ППД5[[#This Row],[ТП Летние]])</f>
        <v>37.750000000000007</v>
      </c>
      <c r="AM131" s="91">
        <f>ППД5[[#This Row],[ТП общая S]]-ППД5[[#This Row],[кроме того прочая
(без коэффициента)]]</f>
        <v>36.300000000000004</v>
      </c>
      <c r="AN131" s="95">
        <f>SUM(ППД5[[#This Row],[ТП Кухня]:[ТП Коридор]])</f>
        <v>23.9</v>
      </c>
      <c r="AO131" s="91">
        <f>ППД5[[#This Row],[Расчетная ТП площадь]]-ППД5[[#This Row],[Расчетная проектная площадь]]</f>
        <v>-0.10999999999999233</v>
      </c>
      <c r="AP131" s="335">
        <f>ППД5[[#This Row],[Расчетная ТП площадь]]/ППД5[[#This Row],[Расчетная проектная площадь]]-1</f>
        <v>-2.9054410987847668E-3</v>
      </c>
      <c r="AQ131" s="91">
        <f>ППД5[[#This Row],[% расхождения]]*ППД5[[#This Row],[Стоимость до скидки]]</f>
        <v>-9725.389294769433</v>
      </c>
      <c r="AR131" s="91">
        <f>VLOOKUP(ППД5[[#This Row],[№]],наценкад5[],COLUMN(наценкад5[[#This Row],[Цена м2 с учетом всех K]]),0)</f>
        <v>88412.625</v>
      </c>
      <c r="AS131" s="8"/>
      <c r="AT131" s="8">
        <f>ППД5[[#This Row],[м2 после К]]+ППД5[[#This Row],[Повышение 16.08.23 - 5%]]</f>
        <v>88412.625</v>
      </c>
      <c r="AU131" s="93"/>
      <c r="AV131" s="93">
        <f>ППД5[[#This Row],[Фикс 16.08.23]]+ППД5[[#This Row],[Повышение 29.08.23 - 3%]]</f>
        <v>88412.625</v>
      </c>
      <c r="AW131" s="93"/>
      <c r="AX131" s="93">
        <f>ППД5[[#This Row],[Фикс 29.08.23]]+ППД5[[#This Row],[Повышение 06.09.23 СТ и 1К]]</f>
        <v>88412.625</v>
      </c>
      <c r="AY131" s="93"/>
      <c r="AZ131" s="93">
        <f>ППД5[[#This Row],[Повышение 23.10.23  В4 ]]+ППД5[[#This Row],[Фикс 06.09.23]]</f>
        <v>88412.625</v>
      </c>
      <c r="BA131" s="93"/>
      <c r="BB131" s="93">
        <f>ППД5[[#This Row],[Повышение 8.11.23 1К 5%]]+ППД5[[#This Row],[Фикс 23.10.23]]</f>
        <v>88412.625</v>
      </c>
      <c r="BC131" s="93"/>
      <c r="BD131" s="93">
        <f>ППД5[[#This Row],[Корректировка 24.11.23 - 1К В5, 2К А2, №233]]+ППД5[[#This Row],[Фикс 8.11.23]]</f>
        <v>88412.625</v>
      </c>
      <c r="BE131" s="93"/>
      <c r="BF131" s="93">
        <f>ППД5[[#This Row],[Наценка за отделку 29.12.23 1%]]+ППД5[[#This Row],[Фикс 8.11.24]]</f>
        <v>88412.625</v>
      </c>
      <c r="BG131" s="93"/>
      <c r="BH131" s="93">
        <f>ППД5[[#This Row],[Фикс 29.12.23]]+ППД5[[#This Row],[Наценка 10.01.24 5%]]</f>
        <v>88412.625</v>
      </c>
      <c r="BI131" s="93"/>
      <c r="BJ131" s="93">
        <f>ППД5[[#This Row],[Наценка 26.02.24 1 Этаж]]+ППД5[[#This Row],[Фикс 10.01.24]]</f>
        <v>88412.625</v>
      </c>
      <c r="BK131" s="93"/>
      <c r="BL131" s="93">
        <f>ППД5[[#This Row],[Фикс 26.02.24]]+ППД5[[#This Row],[Наценка 06.03.24
СТ, 1К - 3%
2К, 3К - 2%]]</f>
        <v>88412.625</v>
      </c>
      <c r="BM131" s="93"/>
      <c r="BN131" s="93">
        <f>ППД5[[#This Row],[Фикс 06.03.24]]+ППД5[[#This Row],[Наценка Г2+500]]</f>
        <v>88412.625</v>
      </c>
      <c r="BO131" s="93"/>
      <c r="BP131" s="93">
        <f>ППД5[[#This Row],[Фикс 13.03.25]]+ППД5[[#This Row],[Наценка 20.03.24
2К, 3К - 2%]]</f>
        <v>88412.625</v>
      </c>
      <c r="BQ131" s="93"/>
      <c r="BR131" s="93">
        <f>ППД5[[#This Row],[Фикс 20.03.24]]+ППД5[[#This Row],[Наценка 08.04.24 
2К: В3 - 150
3К: Г7 +1000]]</f>
        <v>88412.625</v>
      </c>
      <c r="BS131" s="93"/>
      <c r="BT131" s="93">
        <f>ППД5[[#This Row],[Фикс 08.04.24]]+ППД5[[#This Row],[Наценка 16.05.24 1%
А4,А6,Б3,Б6,Б7,В2,В3,В5,В6,Г1,Г3-Г5]]</f>
        <v>88412.625</v>
      </c>
      <c r="BU131" s="93"/>
      <c r="BV131" s="93">
        <f>ППД5[[#This Row],[Фикс 16.05.24]]+ППД5[[#This Row],[Наценка 24.05.24
1% - Б4, Б5,Г2,Г6
2% - А1,А3,А5,Б2,Г7]]</f>
        <v>88412.625</v>
      </c>
      <c r="BW131" s="93"/>
      <c r="BX131" s="93">
        <f>ППД5[[#This Row],[Наценка 06.06.24
0К: В2,Г3 +0,5%
1К: А7, Б5/4, Г6 +0,5%
3К: В6 +0,5%
1К: А3 +1%]]+ППД5[[#This Row],[Фикс 24.05.24]]</f>
        <v>88412.625</v>
      </c>
      <c r="BY131" s="93"/>
      <c r="BZ131" s="93">
        <f>ППД5[[#This Row],[Фикс 06.06.24]]+ППД5[[#This Row],[13.06.2024
3К - 2%]]</f>
        <v>88412.625</v>
      </c>
      <c r="CA131" s="93"/>
      <c r="CB131" s="93">
        <f>ППД5[[#This Row],[02.07.2024: Г3 А1 А3 Б5 Б7 Г2 Г6 Б3 Б4 В3 Г7 2,5% ост 0,5-1,5%]]+ППД5[[#This Row],[Фикс 13.06.24]]</f>
        <v>88412.625</v>
      </c>
      <c r="CC131" s="93"/>
      <c r="CD131" s="93">
        <f>ППД5[[#This Row],[Фикс 02.07.24]]+ППД5[[#This Row],[04.09.2024 +500
0К - Б2; 1К - А3;
2К - А6, Б4, В3, Г5]]</f>
        <v>88412.625</v>
      </c>
      <c r="CE131" s="93"/>
      <c r="CF131" s="93">
        <f>ППД5[[#This Row],[Наценка 16.09.2024
1К: А1,В7,Г6/7,Г8 - 2%
2К: А4,А5,А6,Б1,Б6,Б3/4,В3,В4,Г4,Г5 - 4%
3К: 4%]]+ППД5[[#This Row],[Фикс 04.09.24]]</f>
        <v>88412.625</v>
      </c>
      <c r="CG131" s="93"/>
      <c r="CH131" s="93">
        <f>ППД5[[#This Row],[Фикс 16.09.2024]]+ППД5[[#This Row],[Наценка 01.11.24
СТ: 4%
1К: 34-40м 5%; 40м+ 8%; МГН 1%
2К: 55-70м 6%; 70-73м 7%; 73-76м 8% 
3К: 5%]]</f>
        <v>88412.625</v>
      </c>
      <c r="CI131" s="93"/>
      <c r="CJ131" s="93">
        <f>ППД5[[#This Row],[Наценка 06.11 13%]]+ППД5[[#This Row],[Фикс 01.11.24]]</f>
        <v>88412.625</v>
      </c>
      <c r="CK131" s="93"/>
      <c r="CL131" s="93">
        <f>ППД5[[#This Row],[Фикс 06.11.24]]+ППД5[[#This Row],[Наценка 18.12.24 распределение КВ]]</f>
        <v>88412.625</v>
      </c>
      <c r="CM131" s="93"/>
      <c r="CN131" s="93">
        <f>ППД5[[#This Row],[Фикс 18.12.24]]+ППД5[[#This Row],[Наценка 10.02.25 +1%
1К: А3
2К: Б3, В3]]</f>
        <v>88412.625</v>
      </c>
      <c r="CO131" s="93">
        <f>ROUND(ППД5[[#This Row],[Фикс 10.02.25]],2)</f>
        <v>88412.63</v>
      </c>
      <c r="CP13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3347302.17</v>
      </c>
      <c r="CQ131" s="93">
        <f>ROUNDUP(ППД5[[#This Row],[Стоимость до скидки]]+ППД5[[#This Row],[Сумма доплаты]],-2)</f>
        <v>3337600</v>
      </c>
      <c r="CR131" s="68"/>
      <c r="CS131" s="90">
        <v>0.06</v>
      </c>
      <c r="CT131" s="68">
        <f>ППД5[[#This Row],[Стоимость до скидки]]*ППД5[[#This Row],[Скидка %]]+ППД5[[#This Row],[Скидка фиксированная]]</f>
        <v>200838.13019999999</v>
      </c>
      <c r="CU131" s="3">
        <f>ППД5[[#This Row],[Стоимость ОН без отделки со скидкой]]/ППД5[[#This Row],[Расчетная проектная площадь]]</f>
        <v>83107.872160591651</v>
      </c>
      <c r="CV131" s="3">
        <f>ROUND(ППД5[[#This Row],[Стоимость до скидки]]-ППД5[[#This Row],[Итоговая сумма скидки]],2)</f>
        <v>3146464.04</v>
      </c>
      <c r="CW13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31" s="197"/>
      <c r="CY131" s="332">
        <f>ППД5[[#This Row],[Расхождение]]/ППД5[[#This Row],[Расчетная проектная площадь]]</f>
        <v>-2.9054410987847945E-3</v>
      </c>
      <c r="CZ13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-0.48000000000000043</v>
      </c>
      <c r="DA131" s="3">
        <f>ППД5[[#This Row],[Цена м2 без отделки со скидкой]]+ППД5[[#This Row],[Стоимость отделки]]</f>
        <v>83107.872160591651</v>
      </c>
      <c r="DB131" s="3">
        <f>ППД5[[#This Row],[Стоимость квартиры с отделкой]]-ППД5[[#This Row],[Стоимость ОН без отделки со скидкой]]</f>
        <v>0</v>
      </c>
      <c r="DC131" s="3">
        <f>ППД5[[#This Row],[Цена м2 с отделкой]]*ППД5[[#This Row],[Расчетная проектная площадь]]</f>
        <v>3146464.04</v>
      </c>
      <c r="DD131" s="3"/>
      <c r="DE131" s="111" t="s">
        <v>162</v>
      </c>
      <c r="DF131" s="199" t="s">
        <v>172</v>
      </c>
      <c r="DG131" s="245" t="s">
        <v>172</v>
      </c>
      <c r="DH131" s="100" t="b">
        <f>EXACT(ППД5[[#This Row],[Статусы CRM]],ППД5[[#This Row],[Статус]])</f>
        <v>1</v>
      </c>
      <c r="DI131" s="213" t="s">
        <v>303</v>
      </c>
      <c r="DJ131" s="204"/>
      <c r="DK131" s="111" t="s">
        <v>76</v>
      </c>
      <c r="DL131" s="216" t="s">
        <v>12</v>
      </c>
      <c r="DM131" s="201" t="b">
        <f>ППД5[[#This Row],[Отделка CRM]]=ППД5[[#This Row],[Отделка]]</f>
        <v>1</v>
      </c>
      <c r="DN131" s="203">
        <v>3146464.04</v>
      </c>
      <c r="DO13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31" s="207" t="b">
        <f>IF(AND(ППД5[[#This Row],[Статус]]="свободно",ППД5[[#This Row],[Итоговая сумма скидки]]&lt;&gt;0),FALSE,TRUE)</f>
        <v>1</v>
      </c>
      <c r="DQ131" s="240">
        <f>_xlfn.XLOOKUP(ППД5[[#This Row],[№]],Юрист[№ кв],Юрист[Дата подачи на регистрацию]," ",0,-1)</f>
        <v>45188</v>
      </c>
      <c r="DR131" s="115" t="str">
        <f>_xlfn.XLOOKUP(ППД5[[#This Row],[№]],Юрист[№ кв],Юрист[МОП],"",0,-1)</f>
        <v>Гайганова</v>
      </c>
      <c r="DS131" s="333" t="s">
        <v>2554</v>
      </c>
      <c r="DT131" s="333" t="s">
        <v>2555</v>
      </c>
      <c r="DU131" s="333">
        <v>36.299999999999997</v>
      </c>
      <c r="DV131" s="111"/>
    </row>
    <row r="132" spans="1:126" hidden="1" x14ac:dyDescent="0.25">
      <c r="A132" s="112">
        <v>130</v>
      </c>
      <c r="B132" s="111" t="s">
        <v>4</v>
      </c>
      <c r="C132" s="111">
        <v>3</v>
      </c>
      <c r="D132" s="111">
        <v>6</v>
      </c>
      <c r="E132" s="111">
        <v>3</v>
      </c>
      <c r="F132" s="105">
        <v>17.89</v>
      </c>
      <c r="G132" s="105">
        <v>17.2</v>
      </c>
      <c r="H132" s="105">
        <v>14.31</v>
      </c>
      <c r="I132" s="94">
        <f>SUM(ППД5[[#This Row],[Комната 1]:[Комната 3]])</f>
        <v>49.400000000000006</v>
      </c>
      <c r="J132" s="105">
        <v>13.39</v>
      </c>
      <c r="K132" s="105">
        <v>4.2</v>
      </c>
      <c r="L132" s="105">
        <v>2.0499999999999998</v>
      </c>
      <c r="M132" s="105"/>
      <c r="N132" s="105">
        <v>13.21</v>
      </c>
      <c r="O132" s="105">
        <v>2.79</v>
      </c>
      <c r="P132" s="105">
        <v>2.68</v>
      </c>
      <c r="Q132" s="105"/>
      <c r="R132" s="105">
        <f>SUM(ППД5[[#This Row],[Лоджия 1]:[Лоджия 3]])</f>
        <v>5.4700000000000006</v>
      </c>
      <c r="S132" s="8">
        <f>ROUND(SUM(ППД5[[#This Row],[Площадь по проекту жилая]:[Лоджия 3]]),2)</f>
        <v>87.72</v>
      </c>
      <c r="T132" s="8">
        <f>ROUND(ППД5[[#This Row],[Площадь по проекту(общая)]]-ППД5[[#This Row],[Летние]],2)</f>
        <v>82.25</v>
      </c>
      <c r="U132" s="91">
        <f>ROUND(ППД5[[#This Row],[Площадь по проекту(общая)]]-(SUM(ППД5[[#This Row],[Лоджия 1]:[Лоджия 3]])/2),2)</f>
        <v>84.99</v>
      </c>
      <c r="V132" s="91">
        <f>IF(ППД5[[#This Row],[Статус]]="продажа",ППД5[[#This Row],[Расчетная проектная площадь]],ППД5[[#This Row],[Расчетная ТП площадь]])</f>
        <v>84.75</v>
      </c>
      <c r="W132" s="91">
        <v>14.4</v>
      </c>
      <c r="X132" s="91">
        <v>17.899999999999999</v>
      </c>
      <c r="Y132" s="91">
        <v>17.2</v>
      </c>
      <c r="Z132" s="91">
        <f>SUM(ППД5[[#This Row],[ТП Комната 1]:[ТП Комната 3]])</f>
        <v>49.5</v>
      </c>
      <c r="AA132" s="91">
        <v>13.2</v>
      </c>
      <c r="AB132" s="91">
        <v>4.2</v>
      </c>
      <c r="AC132" s="91">
        <v>2</v>
      </c>
      <c r="AD132" s="91"/>
      <c r="AE132" s="91">
        <v>13.1</v>
      </c>
      <c r="AF132" s="91">
        <v>1.4</v>
      </c>
      <c r="AG132" s="92">
        <v>1.35</v>
      </c>
      <c r="AH132" s="91"/>
      <c r="AI132" s="91">
        <f>SUM(ППД5[[#This Row],[ТП Лоджия 1]:[ТП Лоджия 3]])</f>
        <v>2.75</v>
      </c>
      <c r="AJ132" s="95">
        <v>5.5</v>
      </c>
      <c r="AK132" s="91">
        <f>SUM(ППД5[[#This Row],[Площадь по ТП жилая]:[ТП Лоджия 3]])-ППД5[[#This Row],[ТП Летние]]+ППД5[[#This Row],[кроме того прочая
(без коэффициента)]]</f>
        <v>87.5</v>
      </c>
      <c r="AL132" s="95">
        <f>ППД5[[#This Row],[ТП Площадь без летних]]+(ППД5[[#This Row],[ТП Летние]])</f>
        <v>84.75</v>
      </c>
      <c r="AM132" s="91">
        <f>ППД5[[#This Row],[ТП общая S]]-ППД5[[#This Row],[кроме того прочая
(без коэффициента)]]</f>
        <v>82</v>
      </c>
      <c r="AN132" s="95">
        <f>SUM(ППД5[[#This Row],[ТП Кухня]:[ТП Коридор]])</f>
        <v>32.5</v>
      </c>
      <c r="AO132" s="91">
        <f>ППД5[[#This Row],[Расчетная ТП площадь]]-ППД5[[#This Row],[Расчетная проектная площадь]]</f>
        <v>-0.23999999999999488</v>
      </c>
      <c r="AP132" s="335">
        <f>ППД5[[#This Row],[Расчетная ТП площадь]]/ППД5[[#This Row],[Расчетная проектная площадь]]-1</f>
        <v>-2.8238616307800779E-3</v>
      </c>
      <c r="AQ132" s="91">
        <f>ППД5[[#This Row],[% расхождения]]*ППД5[[#This Row],[Стоимость до скидки]]</f>
        <v>-26911.966113660299</v>
      </c>
      <c r="AR132" s="91">
        <f>VLOOKUP(ППД5[[#This Row],[№]],наценкад5[],COLUMN(наценкад5[[#This Row],[Цена м2 с учетом всех K]]),0)</f>
        <v>72806.580000000016</v>
      </c>
      <c r="AS132" s="8">
        <f>ППД5[[#This Row],[м2 после К]]*5%</f>
        <v>3640.3290000000011</v>
      </c>
      <c r="AT132" s="8">
        <f>ППД5[[#This Row],[м2 после К]]+ППД5[[#This Row],[Повышение 16.08.23 - 5%]]</f>
        <v>76446.909000000014</v>
      </c>
      <c r="AU132" s="93">
        <f>ППД5[[#This Row],[Фикс 16.08.23]]*3%</f>
        <v>2293.4072700000002</v>
      </c>
      <c r="AV132" s="93">
        <f>ППД5[[#This Row],[Фикс 16.08.23]]+ППД5[[#This Row],[Повышение 29.08.23 - 3%]]</f>
        <v>78740.31627000001</v>
      </c>
      <c r="AW132" s="93"/>
      <c r="AX132" s="93">
        <f>ППД5[[#This Row],[Фикс 29.08.23]]+ППД5[[#This Row],[Повышение 06.09.23 СТ и 1К]]</f>
        <v>78740.31627000001</v>
      </c>
      <c r="AY132" s="93"/>
      <c r="AZ132" s="93">
        <f>ППД5[[#This Row],[Повышение 23.10.23  В4 ]]+ППД5[[#This Row],[Фикс 06.09.23]]</f>
        <v>78740.31627000001</v>
      </c>
      <c r="BA132" s="93"/>
      <c r="BB132" s="93">
        <f>ППД5[[#This Row],[Повышение 8.11.23 1К 5%]]+ППД5[[#This Row],[Фикс 23.10.23]]</f>
        <v>78740.31627000001</v>
      </c>
      <c r="BC132" s="93"/>
      <c r="BD132" s="93">
        <f>ППД5[[#This Row],[Корректировка 24.11.23 - 1К В5, 2К А2, №233]]+ППД5[[#This Row],[Фикс 8.11.23]]</f>
        <v>78740.31627000001</v>
      </c>
      <c r="BE132" s="93">
        <f>ППД5[[#This Row],[Фикс 8.11.24]]*1%</f>
        <v>787.40316270000017</v>
      </c>
      <c r="BF132" s="93">
        <f>ППД5[[#This Row],[Наценка за отделку 29.12.23 1%]]+ППД5[[#This Row],[Фикс 8.11.24]]</f>
        <v>79527.719432700003</v>
      </c>
      <c r="BG132" s="93">
        <f>ППД5[[#This Row],[Фикс 29.12.23]]*5%</f>
        <v>3976.3859716350003</v>
      </c>
      <c r="BH132" s="93">
        <f>ППД5[[#This Row],[Фикс 29.12.23]]+ППД5[[#This Row],[Наценка 10.01.24 5%]]</f>
        <v>83504.105404335001</v>
      </c>
      <c r="BI132" s="93"/>
      <c r="BJ132" s="93">
        <f>ППД5[[#This Row],[Наценка 26.02.24 1 Этаж]]+ППД5[[#This Row],[Фикс 10.01.24]]</f>
        <v>83504.105404335001</v>
      </c>
      <c r="BK132" s="93">
        <f>ППД5[[#This Row],[Фикс 26.02.24]]*2%</f>
        <v>1670.0821080867001</v>
      </c>
      <c r="BL132" s="93">
        <f>ППД5[[#This Row],[Фикс 26.02.24]]+ППД5[[#This Row],[Наценка 06.03.24
СТ, 1К - 3%
2К, 3К - 2%]]</f>
        <v>85174.187512421704</v>
      </c>
      <c r="BM132" s="93"/>
      <c r="BN132" s="93">
        <f>ППД5[[#This Row],[Фикс 06.03.24]]+ППД5[[#This Row],[Наценка Г2+500]]</f>
        <v>85174.187512421704</v>
      </c>
      <c r="BO132" s="93">
        <f>ППД5[[#This Row],[Фикс 13.03.25]]*2%</f>
        <v>1703.483750248434</v>
      </c>
      <c r="BP132" s="93">
        <f>ППД5[[#This Row],[Фикс 13.03.25]]+ППД5[[#This Row],[Наценка 20.03.24
2К, 3К - 2%]]</f>
        <v>86877.671262670134</v>
      </c>
      <c r="BQ132" s="93"/>
      <c r="BR132" s="93">
        <f>ППД5[[#This Row],[Фикс 20.03.24]]+ППД5[[#This Row],[Наценка 08.04.24 
2К: В3 - 150
3К: Г7 +1000]]</f>
        <v>86877.671262670134</v>
      </c>
      <c r="BS132" s="9">
        <f>ППД5[[#This Row],[Фикс 08.04.24]]*1%</f>
        <v>868.7767126267014</v>
      </c>
      <c r="BT132" s="93">
        <f>ППД5[[#This Row],[Фикс 08.04.24]]+ППД5[[#This Row],[Наценка 16.05.24 1%
А4,А6,Б3,Б6,Б7,В2,В3,В5,В6,Г1,Г3-Г5]]</f>
        <v>87746.447975296833</v>
      </c>
      <c r="BU132" s="93"/>
      <c r="BV132" s="93">
        <f>ППД5[[#This Row],[Фикс 16.05.24]]+ППД5[[#This Row],[Наценка 24.05.24
1% - Б4, Б5,Г2,Г6
2% - А1,А3,А5,Б2,Г7]]</f>
        <v>87746.447975296833</v>
      </c>
      <c r="BW132" s="93"/>
      <c r="BX132" s="93">
        <f>ППД5[[#This Row],[Наценка 06.06.24
0К: В2,Г3 +0,5%
1К: А7, Б5/4, Г6 +0,5%
3К: В6 +0,5%
1К: А3 +1%]]+ППД5[[#This Row],[Фикс 24.05.24]]</f>
        <v>87746.447975296833</v>
      </c>
      <c r="BY132" s="93">
        <f>ППД5[[#This Row],[Фикс 06.06.24]]*2%</f>
        <v>1754.9289595059367</v>
      </c>
      <c r="BZ132" s="93">
        <f>ППД5[[#This Row],[Фикс 06.06.24]]+ППД5[[#This Row],[13.06.2024
3К - 2%]]</f>
        <v>89501.376934802771</v>
      </c>
      <c r="CA132" s="93">
        <f>1.5%*ППД5[[#This Row],[Фикс 13.06.24]]</f>
        <v>1342.5206540220415</v>
      </c>
      <c r="CB132" s="93">
        <f>ППД5[[#This Row],[02.07.2024: Г3 А1 А3 Б5 Б7 Г2 Г6 Б3 Б4 В3 Г7 2,5% ост 0,5-1,5%]]+ППД5[[#This Row],[Фикс 13.06.24]]</f>
        <v>90843.89758882481</v>
      </c>
      <c r="CC132" s="93"/>
      <c r="CD132" s="93">
        <f>ППД5[[#This Row],[Фикс 02.07.24]]+ППД5[[#This Row],[04.09.2024 +500
0К - Б2; 1К - А3;
2К - А6, Б4, В3, Г5]]</f>
        <v>90843.89758882481</v>
      </c>
      <c r="CE132" s="93">
        <f>ППД5[[#This Row],[Фикс 04.09.24]]*4%</f>
        <v>3633.7559035529925</v>
      </c>
      <c r="CF132" s="93">
        <f>ППД5[[#This Row],[Наценка 16.09.2024
1К: А1,В7,Г6/7,Г8 - 2%
2К: А4,А5,А6,Б1,Б6,Б3/4,В3,В4,Г4,Г5 - 4%
3К: 4%]]+ППД5[[#This Row],[Фикс 04.09.24]]</f>
        <v>94477.653492377809</v>
      </c>
      <c r="CG132" s="93">
        <f>5%*ППД5[[#This Row],[Фикс 16.09.2024]]</f>
        <v>4723.8826746188906</v>
      </c>
      <c r="CH132" s="93">
        <f>ППД5[[#This Row],[Фикс 16.09.2024]]+ППД5[[#This Row],[Наценка 01.11.24
СТ: 4%
1К: 34-40м 5%; 40м+ 8%; МГН 1%
2К: 55-70м 6%; 70-73м 7%; 73-76м 8% 
3К: 5%]]</f>
        <v>99201.536166996695</v>
      </c>
      <c r="CI132" s="93">
        <f>ППД5[[#This Row],[Фикс 01.11.24]]*13%</f>
        <v>12896.199701709571</v>
      </c>
      <c r="CJ132" s="93">
        <f>ППД5[[#This Row],[Наценка 06.11 13%]]+ППД5[[#This Row],[Фикс 01.11.24]]</f>
        <v>112097.73586870627</v>
      </c>
      <c r="CK132" s="93">
        <v>35</v>
      </c>
      <c r="CL132" s="93">
        <f>ППД5[[#This Row],[Фикс 06.11.24]]+ППД5[[#This Row],[Наценка 18.12.24 распределение КВ]]</f>
        <v>112132.73586870627</v>
      </c>
      <c r="CM132" s="93"/>
      <c r="CN132" s="93">
        <f>ППД5[[#This Row],[Фикс 18.12.24]]+ППД5[[#This Row],[Наценка 10.02.25 +1%
1К: А3
2К: Б3, В3]]</f>
        <v>112132.73586870627</v>
      </c>
      <c r="CO132" s="93">
        <f>ROUND(ППД5[[#This Row],[Фикс 10.02.25]],2)</f>
        <v>112132.74</v>
      </c>
      <c r="CP13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9530200</v>
      </c>
      <c r="CQ132" s="93">
        <f>ROUNDUP(ППД5[[#This Row],[Стоимость до скидки]]+ППД5[[#This Row],[Сумма доплаты]],-2)</f>
        <v>9503300</v>
      </c>
      <c r="CR132" s="68"/>
      <c r="CS132" s="90"/>
      <c r="CT132" s="68">
        <f>ППД5[[#This Row],[Стоимость до скидки]]*ППД5[[#This Row],[Скидка %]]+ППД5[[#This Row],[Скидка фиксированная]]</f>
        <v>0</v>
      </c>
      <c r="CU132" s="3">
        <f>ППД5[[#This Row],[Стоимость ОН без отделки со скидкой]]/ППД5[[#This Row],[Расчетная проектная площадь]]</f>
        <v>112133.19214025181</v>
      </c>
      <c r="CV132" s="3">
        <f>ROUND(ППД5[[#This Row],[Стоимость до скидки]]-ППД5[[#This Row],[Итоговая сумма скидки]],2)</f>
        <v>9530200</v>
      </c>
      <c r="CW13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132" s="218">
        <v>10000</v>
      </c>
      <c r="CY132" s="332">
        <f>ППД5[[#This Row],[Расхождение]]/ППД5[[#This Row],[Расчетная проектная площадь]]</f>
        <v>-2.8238616307800319E-3</v>
      </c>
      <c r="CZ132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-0.35000000000000142</v>
      </c>
      <c r="DA132" s="3">
        <f>ППД5[[#This Row],[Цена м2 без отделки со скидкой]]+ППД5[[#This Row],[Стоимость отделки]]</f>
        <v>122133.19214025181</v>
      </c>
      <c r="DB132" s="3">
        <f>ППД5[[#This Row],[Стоимость квартиры с отделкой]]-ППД5[[#This Row],[Стоимость ОН без отделки со скидкой]]</f>
        <v>849900</v>
      </c>
      <c r="DC132" s="3">
        <f>ППД5[[#This Row],[Цена м2 с отделкой]]*ППД5[[#This Row],[Расчетная проектная площадь]]</f>
        <v>10380100</v>
      </c>
      <c r="DD132" s="3"/>
      <c r="DF132" s="199" t="s">
        <v>157</v>
      </c>
      <c r="DG132" s="245" t="s">
        <v>157</v>
      </c>
      <c r="DH132" s="100" t="b">
        <f>EXACT(ППД5[[#This Row],[Статусы CRM]],ППД5[[#This Row],[Статус]])</f>
        <v>1</v>
      </c>
      <c r="DI132" s="213" t="s">
        <v>304</v>
      </c>
      <c r="DJ132" s="204"/>
      <c r="DK132" s="111" t="s">
        <v>763</v>
      </c>
      <c r="DL132" s="216" t="s">
        <v>780</v>
      </c>
      <c r="DM132" s="201" t="b">
        <f>ППД5[[#This Row],[Отделка CRM]]=ППД5[[#This Row],[Отделка]]</f>
        <v>1</v>
      </c>
      <c r="DN132" s="203">
        <v>10380100</v>
      </c>
      <c r="DO13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32" s="207" t="b">
        <f>IF(AND(ППД5[[#This Row],[Статус]]="свободно",ППД5[[#This Row],[Итоговая сумма скидки]]&lt;&gt;0),FALSE,TRUE)</f>
        <v>1</v>
      </c>
      <c r="DQ132" s="240" t="str">
        <f>_xlfn.XLOOKUP(ППД5[[#This Row],[№]],Юрист[№ кв],Юрист[Дата подачи на регистрацию]," ",0,-1)</f>
        <v xml:space="preserve"> </v>
      </c>
      <c r="DR132" s="115" t="str">
        <f>_xlfn.XLOOKUP(ППД5[[#This Row],[№]],Юрист[№ кв],Юрист[МОП],"",0,-1)</f>
        <v/>
      </c>
      <c r="DS132" s="333" t="s">
        <v>2556</v>
      </c>
      <c r="DT132" s="333" t="s">
        <v>2557</v>
      </c>
      <c r="DU132" s="333">
        <v>82</v>
      </c>
      <c r="DV132" s="111"/>
    </row>
    <row r="133" spans="1:126" hidden="1" x14ac:dyDescent="0.25">
      <c r="A133" s="112">
        <v>131</v>
      </c>
      <c r="B133" s="111" t="s">
        <v>4</v>
      </c>
      <c r="C133" s="111">
        <v>3</v>
      </c>
      <c r="D133" s="111">
        <v>7</v>
      </c>
      <c r="E133" s="111">
        <v>1</v>
      </c>
      <c r="F133" s="105">
        <v>17.89</v>
      </c>
      <c r="G133" s="105"/>
      <c r="H133" s="105"/>
      <c r="I133" s="94">
        <f>SUM(ППД5[[#This Row],[Комната 1]:[Комната 3]])</f>
        <v>17.89</v>
      </c>
      <c r="J133" s="105">
        <v>13.04</v>
      </c>
      <c r="K133" s="105">
        <v>3.9</v>
      </c>
      <c r="L133" s="105"/>
      <c r="M133" s="105"/>
      <c r="N133" s="105">
        <v>6.12</v>
      </c>
      <c r="O133" s="105">
        <v>2.65</v>
      </c>
      <c r="P133" s="105"/>
      <c r="Q133" s="105"/>
      <c r="R133" s="105">
        <f>SUM(ППД5[[#This Row],[Лоджия 1]:[Лоджия 3]])</f>
        <v>2.65</v>
      </c>
      <c r="S133" s="8">
        <f>ROUND(SUM(ППД5[[#This Row],[Площадь по проекту жилая]:[Лоджия 3]]),2)</f>
        <v>43.6</v>
      </c>
      <c r="T133" s="8">
        <f>ROUND(ППД5[[#This Row],[Площадь по проекту(общая)]]-ППД5[[#This Row],[Летние]],2)</f>
        <v>40.950000000000003</v>
      </c>
      <c r="U133" s="91">
        <f>ROUND(ППД5[[#This Row],[Площадь по проекту(общая)]]-(SUM(ППД5[[#This Row],[Лоджия 1]:[Лоджия 3]])/2),2)</f>
        <v>42.28</v>
      </c>
      <c r="V133" s="91">
        <f>IF(ППД5[[#This Row],[Статус]]="продажа",ППД5[[#This Row],[Расчетная проектная площадь]],ППД5[[#This Row],[Расчетная ТП площадь]])</f>
        <v>42.28</v>
      </c>
      <c r="W133" s="91">
        <v>17.8</v>
      </c>
      <c r="X133" s="91"/>
      <c r="Y133" s="91"/>
      <c r="Z133" s="91">
        <f>SUM(ППД5[[#This Row],[ТП Комната 1]:[ТП Комната 3]])</f>
        <v>17.8</v>
      </c>
      <c r="AA133" s="91">
        <v>12.9</v>
      </c>
      <c r="AB133" s="91">
        <v>3.9</v>
      </c>
      <c r="AC133" s="91"/>
      <c r="AD133" s="91"/>
      <c r="AE133" s="91">
        <v>6.1</v>
      </c>
      <c r="AF133" s="91">
        <v>1.3</v>
      </c>
      <c r="AG133" s="91"/>
      <c r="AH133" s="91"/>
      <c r="AI133" s="91">
        <f>SUM(ППД5[[#This Row],[ТП Лоджия 1]:[ТП Лоджия 3]])</f>
        <v>1.3</v>
      </c>
      <c r="AJ133" s="95">
        <v>2.6</v>
      </c>
      <c r="AK133" s="91">
        <f>SUM(ППД5[[#This Row],[Площадь по ТП жилая]:[ТП Лоджия 3]])-ППД5[[#This Row],[ТП Летние]]+ППД5[[#This Row],[кроме того прочая
(без коэффициента)]]</f>
        <v>43.300000000000004</v>
      </c>
      <c r="AL133" s="95">
        <f>ППД5[[#This Row],[ТП Площадь без летних]]+(ППД5[[#This Row],[ТП Летние]])</f>
        <v>42</v>
      </c>
      <c r="AM133" s="91">
        <f>ППД5[[#This Row],[ТП общая S]]-ППД5[[#This Row],[кроме того прочая
(без коэффициента)]]</f>
        <v>40.700000000000003</v>
      </c>
      <c r="AN133" s="95">
        <f>SUM(ППД5[[#This Row],[ТП Кухня]:[ТП Коридор]])</f>
        <v>22.9</v>
      </c>
      <c r="AO133" s="91">
        <f>ППД5[[#This Row],[Расчетная ТП площадь]]-ППД5[[#This Row],[Расчетная проектная площадь]]</f>
        <v>-0.28000000000000114</v>
      </c>
      <c r="AP133" s="335">
        <f>ППД5[[#This Row],[Расчетная ТП площадь]]/ППД5[[#This Row],[Расчетная проектная площадь]]-1</f>
        <v>-6.6225165562914245E-3</v>
      </c>
      <c r="AQ133" s="91">
        <f>ППД5[[#This Row],[% расхождения]]*ППД5[[#This Row],[Стоимость до скидки]]</f>
        <v>-23733.516821192174</v>
      </c>
      <c r="AR133" s="91">
        <f>VLOOKUP(ППД5[[#This Row],[№]],наценкад5[],COLUMN(наценкад5[[#This Row],[Цена м2 с учетом всех K]]),0)</f>
        <v>84762.5625</v>
      </c>
      <c r="AS133" s="8"/>
      <c r="AT133" s="8">
        <f>ППД5[[#This Row],[м2 после К]]+ППД5[[#This Row],[Повышение 16.08.23 - 5%]]</f>
        <v>84762.5625</v>
      </c>
      <c r="AU133" s="93"/>
      <c r="AV133" s="93">
        <f>ППД5[[#This Row],[Фикс 16.08.23]]+ППД5[[#This Row],[Повышение 29.08.23 - 3%]]</f>
        <v>84762.5625</v>
      </c>
      <c r="AW133" s="93"/>
      <c r="AX133" s="93">
        <f>ППД5[[#This Row],[Фикс 29.08.23]]+ППД5[[#This Row],[Повышение 06.09.23 СТ и 1К]]</f>
        <v>84762.5625</v>
      </c>
      <c r="AY133" s="93"/>
      <c r="AZ133" s="93">
        <f>ППД5[[#This Row],[Повышение 23.10.23  В4 ]]+ППД5[[#This Row],[Фикс 06.09.23]]</f>
        <v>84762.5625</v>
      </c>
      <c r="BA133" s="93"/>
      <c r="BB133" s="93">
        <f>ППД5[[#This Row],[Повышение 8.11.23 1К 5%]]+ППД5[[#This Row],[Фикс 23.10.23]]</f>
        <v>84762.5625</v>
      </c>
      <c r="BC133" s="93"/>
      <c r="BD133" s="93">
        <f>ППД5[[#This Row],[Корректировка 24.11.23 - 1К В5, 2К А2, №233]]+ППД5[[#This Row],[Фикс 8.11.23]]</f>
        <v>84762.5625</v>
      </c>
      <c r="BE133" s="93"/>
      <c r="BF133" s="93">
        <f>ППД5[[#This Row],[Наценка за отделку 29.12.23 1%]]+ППД5[[#This Row],[Фикс 8.11.24]]</f>
        <v>84762.5625</v>
      </c>
      <c r="BG133" s="93"/>
      <c r="BH133" s="93">
        <f>ППД5[[#This Row],[Фикс 29.12.23]]+ППД5[[#This Row],[Наценка 10.01.24 5%]]</f>
        <v>84762.5625</v>
      </c>
      <c r="BI133" s="93"/>
      <c r="BJ133" s="93">
        <f>ППД5[[#This Row],[Наценка 26.02.24 1 Этаж]]+ППД5[[#This Row],[Фикс 10.01.24]]</f>
        <v>84762.5625</v>
      </c>
      <c r="BK133" s="93"/>
      <c r="BL133" s="93">
        <f>ППД5[[#This Row],[Фикс 26.02.24]]+ППД5[[#This Row],[Наценка 06.03.24
СТ, 1К - 3%
2К, 3К - 2%]]</f>
        <v>84762.5625</v>
      </c>
      <c r="BM133" s="93"/>
      <c r="BN133" s="93">
        <f>ППД5[[#This Row],[Фикс 06.03.24]]+ППД5[[#This Row],[Наценка Г2+500]]</f>
        <v>84762.5625</v>
      </c>
      <c r="BO133" s="93"/>
      <c r="BP133" s="93">
        <f>ППД5[[#This Row],[Фикс 13.03.25]]+ППД5[[#This Row],[Наценка 20.03.24
2К, 3К - 2%]]</f>
        <v>84762.5625</v>
      </c>
      <c r="BQ133" s="93"/>
      <c r="BR133" s="93">
        <f>ППД5[[#This Row],[Фикс 20.03.24]]+ППД5[[#This Row],[Наценка 08.04.24 
2К: В3 - 150
3К: Г7 +1000]]</f>
        <v>84762.5625</v>
      </c>
      <c r="BS133" s="9"/>
      <c r="BT133" s="93">
        <f>ППД5[[#This Row],[Фикс 08.04.24]]+ППД5[[#This Row],[Наценка 16.05.24 1%
А4,А6,Б3,Б6,Б7,В2,В3,В5,В6,Г1,Г3-Г5]]</f>
        <v>84762.5625</v>
      </c>
      <c r="BU133" s="93"/>
      <c r="BV133" s="93">
        <f>ППД5[[#This Row],[Фикс 16.05.24]]+ППД5[[#This Row],[Наценка 24.05.24
1% - Б4, Б5,Г2,Г6
2% - А1,А3,А5,Б2,Г7]]</f>
        <v>84762.5625</v>
      </c>
      <c r="BW133" s="93"/>
      <c r="BX133" s="93">
        <f>ППД5[[#This Row],[Наценка 06.06.24
0К: В2,Г3 +0,5%
1К: А7, Б5/4, Г6 +0,5%
3К: В6 +0,5%
1К: А3 +1%]]+ППД5[[#This Row],[Фикс 24.05.24]]</f>
        <v>84762.5625</v>
      </c>
      <c r="BY133" s="93"/>
      <c r="BZ133" s="93">
        <f>ППД5[[#This Row],[Фикс 06.06.24]]+ППД5[[#This Row],[13.06.2024
3К - 2%]]</f>
        <v>84762.5625</v>
      </c>
      <c r="CA133" s="93"/>
      <c r="CB133" s="93">
        <f>ППД5[[#This Row],[02.07.2024: Г3 А1 А3 Б5 Б7 Г2 Г6 Б3 Б4 В3 Г7 2,5% ост 0,5-1,5%]]+ППД5[[#This Row],[Фикс 13.06.24]]</f>
        <v>84762.5625</v>
      </c>
      <c r="CC133" s="93"/>
      <c r="CD133" s="93">
        <f>ППД5[[#This Row],[Фикс 02.07.24]]+ППД5[[#This Row],[04.09.2024 +500
0К - Б2; 1К - А3;
2К - А6, Б4, В3, Г5]]</f>
        <v>84762.5625</v>
      </c>
      <c r="CE133" s="93"/>
      <c r="CF133" s="93">
        <f>ППД5[[#This Row],[Наценка 16.09.2024
1К: А1,В7,Г6/7,Г8 - 2%
2К: А4,А5,А6,Б1,Б6,Б3/4,В3,В4,Г4,Г5 - 4%
3К: 4%]]+ППД5[[#This Row],[Фикс 04.09.24]]</f>
        <v>84762.5625</v>
      </c>
      <c r="CG133" s="93"/>
      <c r="CH133" s="93">
        <f>ППД5[[#This Row],[Фикс 16.09.2024]]+ППД5[[#This Row],[Наценка 01.11.24
СТ: 4%
1К: 34-40м 5%; 40м+ 8%; МГН 1%
2К: 55-70м 6%; 70-73м 7%; 73-76м 8% 
3К: 5%]]</f>
        <v>84762.5625</v>
      </c>
      <c r="CI133" s="93"/>
      <c r="CJ133" s="93">
        <f>ППД5[[#This Row],[Наценка 06.11 13%]]+ППД5[[#This Row],[Фикс 01.11.24]]</f>
        <v>84762.5625</v>
      </c>
      <c r="CK133" s="93"/>
      <c r="CL133" s="93">
        <f>ППД5[[#This Row],[Фикс 06.11.24]]+ППД5[[#This Row],[Наценка 18.12.24 распределение КВ]]</f>
        <v>84762.5625</v>
      </c>
      <c r="CM133" s="93"/>
      <c r="CN133" s="93">
        <f>ППД5[[#This Row],[Фикс 18.12.24]]+ППД5[[#This Row],[Наценка 10.02.25 +1%
1К: А3
2К: Б3, В3]]</f>
        <v>84762.5625</v>
      </c>
      <c r="CO133" s="93">
        <f>ROUND(ППД5[[#This Row],[Фикс 10.02.25]],2)</f>
        <v>84762.559999999998</v>
      </c>
      <c r="CP13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3583761.04</v>
      </c>
      <c r="CQ133" s="93">
        <f>ROUNDUP(ППД5[[#This Row],[Стоимость до скидки]]+ППД5[[#This Row],[Сумма доплаты]],-2)</f>
        <v>3560100</v>
      </c>
      <c r="CR133" s="68"/>
      <c r="CS133" s="90"/>
      <c r="CT133" s="68">
        <f>ППД5[[#This Row],[Стоимость до скидки]]*ППД5[[#This Row],[Скидка %]]+ППД5[[#This Row],[Скидка фиксированная]]</f>
        <v>0</v>
      </c>
      <c r="CU133" s="3">
        <f>ППД5[[#This Row],[Стоимость ОН без отделки со скидкой]]/ППД5[[#This Row],[Расчетная проектная площадь]]</f>
        <v>84762.560075685906</v>
      </c>
      <c r="CV133" s="3">
        <f>ROUND(ППД5[[#This Row],[Стоимость до скидки]]-ППД5[[#This Row],[Итоговая сумма скидки]],2)</f>
        <v>3583761.04</v>
      </c>
      <c r="CW13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133" s="197">
        <v>4500</v>
      </c>
      <c r="CY133" s="332">
        <f>ППД5[[#This Row],[Расхождение]]/ППД5[[#This Row],[Расчетная проектная площадь]]</f>
        <v>-6.6225165562914176E-3</v>
      </c>
      <c r="CZ13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-0.16000000000000192</v>
      </c>
      <c r="DA133" s="3">
        <f>ППД5[[#This Row],[Цена м2 без отделки со скидкой]]+ППД5[[#This Row],[Стоимость отделки]]</f>
        <v>89262.560075685906</v>
      </c>
      <c r="DB133" s="3">
        <f>ППД5[[#This Row],[Стоимость квартиры с отделкой]]-ППД5[[#This Row],[Стоимость ОН без отделки со скидкой]]</f>
        <v>190260</v>
      </c>
      <c r="DC133" s="3">
        <f>ППД5[[#This Row],[Цена м2 с отделкой]]*ППД5[[#This Row],[Расчетная проектная площадь]]</f>
        <v>3774021.04</v>
      </c>
      <c r="DD133" s="3"/>
      <c r="DF133" s="199" t="s">
        <v>172</v>
      </c>
      <c r="DG133" s="245" t="s">
        <v>172</v>
      </c>
      <c r="DH133" s="100" t="b">
        <f>EXACT(ППД5[[#This Row],[Статусы CRM]],ППД5[[#This Row],[Статус]])</f>
        <v>1</v>
      </c>
      <c r="DI133" s="213" t="s">
        <v>305</v>
      </c>
      <c r="DJ133" s="204"/>
      <c r="DK133" s="111" t="s">
        <v>76</v>
      </c>
      <c r="DL133" s="216" t="s">
        <v>13</v>
      </c>
      <c r="DM133" s="201" t="b">
        <f>ППД5[[#This Row],[Отделка CRM]]=ППД5[[#This Row],[Отделка]]</f>
        <v>1</v>
      </c>
      <c r="DN133" s="203">
        <v>3774021.04</v>
      </c>
      <c r="DO13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33" s="207" t="b">
        <f>IF(AND(ППД5[[#This Row],[Статус]]="свободно",ППД5[[#This Row],[Итоговая сумма скидки]]&lt;&gt;0),FALSE,TRUE)</f>
        <v>1</v>
      </c>
      <c r="DQ133" s="240">
        <f>_xlfn.XLOOKUP(ППД5[[#This Row],[№]],Юрист[№ кв],Юрист[Дата подачи на регистрацию]," ",0,-1)</f>
        <v>45185</v>
      </c>
      <c r="DR133" s="115" t="str">
        <f>_xlfn.XLOOKUP(ППД5[[#This Row],[№]],Юрист[№ кв],Юрист[МОП],"",0,-1)</f>
        <v>Никишов</v>
      </c>
      <c r="DS133" s="333" t="s">
        <v>2558</v>
      </c>
      <c r="DT133" s="333" t="s">
        <v>2559</v>
      </c>
      <c r="DU133" s="333">
        <v>40.700000000000003</v>
      </c>
      <c r="DV133" s="111"/>
    </row>
    <row r="134" spans="1:126" hidden="1" x14ac:dyDescent="0.25">
      <c r="A134" s="112">
        <v>132</v>
      </c>
      <c r="B134" s="111" t="s">
        <v>4</v>
      </c>
      <c r="C134" s="111">
        <v>4</v>
      </c>
      <c r="D134" s="338">
        <v>1</v>
      </c>
      <c r="E134" s="111">
        <v>2</v>
      </c>
      <c r="F134" s="105">
        <v>15.91</v>
      </c>
      <c r="G134" s="105">
        <v>12.02</v>
      </c>
      <c r="H134" s="105"/>
      <c r="I134" s="94">
        <f>SUM(ППД5[[#This Row],[Комната 1]:[Комната 3]])</f>
        <v>27.93</v>
      </c>
      <c r="J134" s="105">
        <v>15.31</v>
      </c>
      <c r="K134" s="105">
        <v>3.85</v>
      </c>
      <c r="L134" s="105">
        <v>2.2999999999999998</v>
      </c>
      <c r="M134" s="105"/>
      <c r="N134" s="105">
        <v>9.4499999999999993</v>
      </c>
      <c r="O134" s="105">
        <v>2.75</v>
      </c>
      <c r="P134" s="105"/>
      <c r="Q134" s="105"/>
      <c r="R134" s="105">
        <f>SUM(ППД5[[#This Row],[Лоджия 1]:[Лоджия 3]])</f>
        <v>2.75</v>
      </c>
      <c r="S134" s="8">
        <f>ROUND(SUM(ППД5[[#This Row],[Площадь по проекту жилая]:[Лоджия 3]]),2)</f>
        <v>61.59</v>
      </c>
      <c r="T134" s="8">
        <f>ROUND(ППД5[[#This Row],[Площадь по проекту(общая)]]-ППД5[[#This Row],[Летние]],2)</f>
        <v>58.84</v>
      </c>
      <c r="U134" s="91">
        <f>ROUND(ППД5[[#This Row],[Площадь по проекту(общая)]]-(SUM(ППД5[[#This Row],[Лоджия 1]:[Лоджия 3]])/2),2)</f>
        <v>60.22</v>
      </c>
      <c r="V134" s="91">
        <f>IF(ППД5[[#This Row],[Статус]]="продажа",ППД5[[#This Row],[Расчетная проектная площадь]],ППД5[[#This Row],[Расчетная ТП площадь]])</f>
        <v>60.22</v>
      </c>
      <c r="W134" s="91">
        <v>15.8</v>
      </c>
      <c r="X134" s="91">
        <v>12</v>
      </c>
      <c r="Y134" s="91"/>
      <c r="Z134" s="91">
        <f>SUM(ППД5[[#This Row],[ТП Комната 1]:[ТП Комната 3]])</f>
        <v>27.8</v>
      </c>
      <c r="AA134" s="91">
        <v>15.3</v>
      </c>
      <c r="AB134" s="91">
        <v>3.9</v>
      </c>
      <c r="AC134" s="91">
        <v>2.2000000000000002</v>
      </c>
      <c r="AD134" s="91"/>
      <c r="AE134" s="91">
        <v>9.5</v>
      </c>
      <c r="AF134" s="91">
        <v>1.4</v>
      </c>
      <c r="AG134" s="91"/>
      <c r="AH134" s="91"/>
      <c r="AI134" s="91">
        <f>SUM(ППД5[[#This Row],[ТП Лоджия 1]:[ТП Лоджия 3]])</f>
        <v>1.4</v>
      </c>
      <c r="AJ134" s="95">
        <v>2.8</v>
      </c>
      <c r="AK134" s="91">
        <f>SUM(ППД5[[#This Row],[Площадь по ТП жилая]:[ТП Лоджия 3]])-ППД5[[#This Row],[ТП Летние]]+ППД5[[#This Row],[кроме того прочая
(без коэффициента)]]</f>
        <v>61.5</v>
      </c>
      <c r="AL134" s="95">
        <f>ППД5[[#This Row],[ТП Площадь без летних]]+(ППД5[[#This Row],[ТП Летние]])</f>
        <v>60.1</v>
      </c>
      <c r="AM134" s="91">
        <f>ППД5[[#This Row],[ТП общая S]]-ППД5[[#This Row],[кроме того прочая
(без коэффициента)]]</f>
        <v>58.7</v>
      </c>
      <c r="AN134" s="95">
        <f>SUM(ППД5[[#This Row],[ТП Кухня]:[ТП Коридор]])</f>
        <v>30.9</v>
      </c>
      <c r="AO134" s="91">
        <f>ППД5[[#This Row],[Расчетная ТП площадь]]-ППД5[[#This Row],[Расчетная проектная площадь]]</f>
        <v>-0.11999999999999744</v>
      </c>
      <c r="AP134" s="335">
        <f>ППД5[[#This Row],[Расчетная ТП площадь]]/ППД5[[#This Row],[Расчетная проектная площадь]]-1</f>
        <v>-1.9926934573231136E-3</v>
      </c>
      <c r="AQ134" s="91">
        <f>ППД5[[#This Row],[% расхождения]]*ППД5[[#This Row],[Стоимость до скидки]]</f>
        <v>-11371.903022251545</v>
      </c>
      <c r="AR134" s="91">
        <f>VLOOKUP(ППД5[[#This Row],[№]],наценкад5[],COLUMN(наценкад5[[#This Row],[Цена м2 с учетом всех K]]),0)</f>
        <v>82624.437000000005</v>
      </c>
      <c r="AS134" s="8">
        <f>ППД5[[#This Row],[м2 после К]]*5%</f>
        <v>4131.2218500000008</v>
      </c>
      <c r="AT134" s="8">
        <f>ППД5[[#This Row],[м2 после К]]+ППД5[[#This Row],[Повышение 16.08.23 - 5%]]</f>
        <v>86755.658850000007</v>
      </c>
      <c r="AU134" s="93">
        <f>ППД5[[#This Row],[Фикс 16.08.23]]*3%</f>
        <v>2602.6697655000003</v>
      </c>
      <c r="AV134" s="93">
        <f>ППД5[[#This Row],[Фикс 16.08.23]]+ППД5[[#This Row],[Повышение 29.08.23 - 3%]]</f>
        <v>89358.32861550001</v>
      </c>
      <c r="AW134" s="93"/>
      <c r="AX134" s="93">
        <f>ППД5[[#This Row],[Фикс 29.08.23]]+ППД5[[#This Row],[Повышение 06.09.23 СТ и 1К]]</f>
        <v>89358.32861550001</v>
      </c>
      <c r="AY134" s="93"/>
      <c r="AZ134" s="93">
        <f>ППД5[[#This Row],[Повышение 23.10.23  В4 ]]+ППД5[[#This Row],[Фикс 06.09.23]]</f>
        <v>89358.32861550001</v>
      </c>
      <c r="BA134" s="93"/>
      <c r="BB134" s="93">
        <f>ППД5[[#This Row],[Повышение 8.11.23 1К 5%]]+ППД5[[#This Row],[Фикс 23.10.23]]</f>
        <v>89358.32861550001</v>
      </c>
      <c r="BC134" s="93"/>
      <c r="BD134" s="93">
        <f>ППД5[[#This Row],[Корректировка 24.11.23 - 1К В5, 2К А2, №233]]+ППД5[[#This Row],[Фикс 8.11.23]]</f>
        <v>89358.32861550001</v>
      </c>
      <c r="BE134" s="93">
        <f>ППД5[[#This Row],[Фикс 8.11.24]]*1%</f>
        <v>893.58328615500011</v>
      </c>
      <c r="BF134" s="93">
        <f>ППД5[[#This Row],[Наценка за отделку 29.12.23 1%]]+ППД5[[#This Row],[Фикс 8.11.24]]</f>
        <v>90251.91190165501</v>
      </c>
      <c r="BG134" s="93">
        <f>ППД5[[#This Row],[Фикс 29.12.23]]*5%</f>
        <v>4512.5955950827511</v>
      </c>
      <c r="BH134" s="93">
        <f>ППД5[[#This Row],[Фикс 29.12.23]]+ППД5[[#This Row],[Наценка 10.01.24 5%]]</f>
        <v>94764.507496737759</v>
      </c>
      <c r="BI134" s="93"/>
      <c r="BJ134" s="93">
        <f>ППД5[[#This Row],[Наценка 26.02.24 1 Этаж]]+ППД5[[#This Row],[Фикс 10.01.24]]</f>
        <v>94764.507496737759</v>
      </c>
      <c r="BK134" s="93"/>
      <c r="BL134" s="93">
        <f>ППД5[[#This Row],[Фикс 26.02.24]]+ППД5[[#This Row],[Наценка 06.03.24
СТ, 1К - 3%
2К, 3К - 2%]]</f>
        <v>94764.507496737759</v>
      </c>
      <c r="BM134" s="93"/>
      <c r="BN134" s="93">
        <f>ППД5[[#This Row],[Фикс 06.03.24]]+ППД5[[#This Row],[Наценка Г2+500]]</f>
        <v>94764.507496737759</v>
      </c>
      <c r="BO134" s="93"/>
      <c r="BP134" s="93">
        <f>ППД5[[#This Row],[Фикс 13.03.25]]+ППД5[[#This Row],[Наценка 20.03.24
2К, 3К - 2%]]</f>
        <v>94764.507496737759</v>
      </c>
      <c r="BQ134" s="93"/>
      <c r="BR134" s="93">
        <f>ППД5[[#This Row],[Фикс 20.03.24]]+ППД5[[#This Row],[Наценка 08.04.24 
2К: В3 - 150
3К: Г7 +1000]]</f>
        <v>94764.507496737759</v>
      </c>
      <c r="BS134" s="93"/>
      <c r="BT134" s="93">
        <f>ППД5[[#This Row],[Фикс 08.04.24]]+ППД5[[#This Row],[Наценка 16.05.24 1%
А4,А6,Б3,Б6,Б7,В2,В3,В5,В6,Г1,Г3-Г5]]</f>
        <v>94764.507496737759</v>
      </c>
      <c r="BU134" s="93"/>
      <c r="BV134" s="93">
        <f>ППД5[[#This Row],[Фикс 16.05.24]]+ППД5[[#This Row],[Наценка 24.05.24
1% - Б4, Б5,Г2,Г6
2% - А1,А3,А5,Б2,Г7]]</f>
        <v>94764.507496737759</v>
      </c>
      <c r="BW134" s="93"/>
      <c r="BX134" s="93">
        <f>ППД5[[#This Row],[Наценка 06.06.24
0К: В2,Г3 +0,5%
1К: А7, Б5/4, Г6 +0,5%
3К: В6 +0,5%
1К: А3 +1%]]+ППД5[[#This Row],[Фикс 24.05.24]]</f>
        <v>94764.507496737759</v>
      </c>
      <c r="BY134" s="93"/>
      <c r="BZ134" s="93">
        <f>ППД5[[#This Row],[Фикс 06.06.24]]+ППД5[[#This Row],[13.06.2024
3К - 2%]]</f>
        <v>94764.507496737759</v>
      </c>
      <c r="CA134" s="93"/>
      <c r="CB134" s="93">
        <f>ППД5[[#This Row],[02.07.2024: Г3 А1 А3 Б5 Б7 Г2 Г6 Б3 Б4 В3 Г7 2,5% ост 0,5-1,5%]]+ППД5[[#This Row],[Фикс 13.06.24]]</f>
        <v>94764.507496737759</v>
      </c>
      <c r="CC134" s="93"/>
      <c r="CD134" s="93">
        <f>ППД5[[#This Row],[Фикс 02.07.24]]+ППД5[[#This Row],[04.09.2024 +500
0К - Б2; 1К - А3;
2К - А6, Б4, В3, Г5]]</f>
        <v>94764.507496737759</v>
      </c>
      <c r="CE134" s="93"/>
      <c r="CF134" s="93">
        <f>ППД5[[#This Row],[Наценка 16.09.2024
1К: А1,В7,Г6/7,Г8 - 2%
2К: А4,А5,А6,Б1,Б6,Б3/4,В3,В4,Г4,Г5 - 4%
3К: 4%]]+ППД5[[#This Row],[Фикс 04.09.24]]</f>
        <v>94764.507496737759</v>
      </c>
      <c r="CG134" s="93"/>
      <c r="CH134" s="93">
        <f>ППД5[[#This Row],[Фикс 16.09.2024]]+ППД5[[#This Row],[Наценка 01.11.24
СТ: 4%
1К: 34-40м 5%; 40м+ 8%; МГН 1%
2К: 55-70м 6%; 70-73м 7%; 73-76м 8% 
3К: 5%]]</f>
        <v>94764.507496737759</v>
      </c>
      <c r="CI134" s="93"/>
      <c r="CJ134" s="93">
        <f>ППД5[[#This Row],[Наценка 06.11 13%]]+ППД5[[#This Row],[Фикс 01.11.24]]</f>
        <v>94764.507496737759</v>
      </c>
      <c r="CK134" s="93"/>
      <c r="CL134" s="93">
        <f>ППД5[[#This Row],[Фикс 06.11.24]]+ППД5[[#This Row],[Наценка 18.12.24 распределение КВ]]</f>
        <v>94764.507496737759</v>
      </c>
      <c r="CM134" s="93"/>
      <c r="CN134" s="93">
        <f>ППД5[[#This Row],[Фикс 18.12.24]]+ППД5[[#This Row],[Наценка 10.02.25 +1%
1К: А3
2К: Б3, В3]]</f>
        <v>94764.507496737759</v>
      </c>
      <c r="CO134" s="93">
        <f>ROUND(ППД5[[#This Row],[Фикс 10.02.25]],2)</f>
        <v>94764.51</v>
      </c>
      <c r="CP13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5706800</v>
      </c>
      <c r="CQ134" s="93">
        <f>ROUNDUP(ППД5[[#This Row],[Стоимость до скидки]]+ППД5[[#This Row],[Сумма доплаты]],-2)</f>
        <v>5695500</v>
      </c>
      <c r="CR134" s="68"/>
      <c r="CS134" s="90">
        <v>0.03</v>
      </c>
      <c r="CT134" s="68">
        <f>ППД5[[#This Row],[Стоимость до скидки]]*ППД5[[#This Row],[Скидка %]]+ППД5[[#This Row],[Скидка фиксированная]]</f>
        <v>171204</v>
      </c>
      <c r="CU134" s="3">
        <f>ППД5[[#This Row],[Стоимость ОН без отделки со скидкой]]/ППД5[[#This Row],[Расчетная проектная площадь]]</f>
        <v>91922.882763201589</v>
      </c>
      <c r="CV134" s="3">
        <f>ROUND(ППД5[[#This Row],[Стоимость до скидки]]-ППД5[[#This Row],[Итоговая сумма скидки]],2)</f>
        <v>5535596</v>
      </c>
      <c r="CW13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134" s="197">
        <v>20000</v>
      </c>
      <c r="CY134" s="332">
        <f>ППД5[[#This Row],[Расхождение]]/ППД5[[#This Row],[Расчетная проектная площадь]]</f>
        <v>-1.9926934573231058E-3</v>
      </c>
      <c r="CZ13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-1.0000000000001563E-2</v>
      </c>
      <c r="DA134" s="3">
        <f>ППД5[[#This Row],[Цена м2 без отделки со скидкой]]+ППД5[[#This Row],[Стоимость отделки]]</f>
        <v>111922.88276320159</v>
      </c>
      <c r="DB134" s="3">
        <f>ППД5[[#This Row],[Стоимость квартиры с отделкой]]-ППД5[[#This Row],[Стоимость ОН без отделки со скидкой]]</f>
        <v>1204400</v>
      </c>
      <c r="DC134" s="3">
        <f>ППД5[[#This Row],[Цена м2 с отделкой]]*ППД5[[#This Row],[Расчетная проектная площадь]]</f>
        <v>6739996</v>
      </c>
      <c r="DD134" s="3"/>
      <c r="DE134" s="111" t="s">
        <v>162</v>
      </c>
      <c r="DF134" s="199" t="s">
        <v>172</v>
      </c>
      <c r="DG134" s="245" t="s">
        <v>172</v>
      </c>
      <c r="DH134" s="100" t="b">
        <f>EXACT(ППД5[[#This Row],[Статусы CRM]],ППД5[[#This Row],[Статус]])</f>
        <v>1</v>
      </c>
      <c r="DI134" s="213" t="s">
        <v>306</v>
      </c>
      <c r="DJ134" s="204"/>
      <c r="DK134" s="111" t="s">
        <v>763</v>
      </c>
      <c r="DL134" s="216" t="s">
        <v>14</v>
      </c>
      <c r="DM134" s="201" t="b">
        <f>ППД5[[#This Row],[Отделка CRM]]=ППД5[[#This Row],[Отделка]]</f>
        <v>1</v>
      </c>
      <c r="DN134" s="203">
        <v>6739996</v>
      </c>
      <c r="DO13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34" s="207" t="b">
        <f>IF(AND(ППД5[[#This Row],[Статус]]="свободно",ППД5[[#This Row],[Итоговая сумма скидки]]&lt;&gt;0),FALSE,TRUE)</f>
        <v>1</v>
      </c>
      <c r="DQ134" s="240">
        <f>_xlfn.XLOOKUP(ППД5[[#This Row],[№]],Юрист[№ кв],Юрист[Дата подачи на регистрацию]," ",0,-1)</f>
        <v>45344</v>
      </c>
      <c r="DR134" s="115" t="str">
        <f>_xlfn.XLOOKUP(ППД5[[#This Row],[№]],Юрист[№ кв],Юрист[МОП],"",0,-1)</f>
        <v>Дик</v>
      </c>
      <c r="DS134" s="333" t="s">
        <v>2560</v>
      </c>
      <c r="DT134" s="333" t="s">
        <v>2561</v>
      </c>
      <c r="DU134" s="333">
        <v>58.7</v>
      </c>
      <c r="DV134" s="111"/>
    </row>
    <row r="135" spans="1:126" hidden="1" x14ac:dyDescent="0.25">
      <c r="A135" s="112">
        <v>133</v>
      </c>
      <c r="B135" s="111" t="s">
        <v>4</v>
      </c>
      <c r="C135" s="111">
        <v>4</v>
      </c>
      <c r="D135" s="111">
        <v>2</v>
      </c>
      <c r="E135" s="111">
        <v>0</v>
      </c>
      <c r="F135" s="105">
        <v>7.13</v>
      </c>
      <c r="G135" s="105"/>
      <c r="H135" s="105"/>
      <c r="I135" s="94">
        <f>SUM(ППД5[[#This Row],[Комната 1]:[Комната 3]])</f>
        <v>7.13</v>
      </c>
      <c r="J135" s="105">
        <v>5.12</v>
      </c>
      <c r="K135" s="105">
        <v>3.65</v>
      </c>
      <c r="L135" s="105"/>
      <c r="M135" s="105"/>
      <c r="N135" s="105">
        <v>6.92</v>
      </c>
      <c r="O135" s="105">
        <v>2.91</v>
      </c>
      <c r="P135" s="105"/>
      <c r="Q135" s="105"/>
      <c r="R135" s="105">
        <f>SUM(ППД5[[#This Row],[Лоджия 1]:[Лоджия 3]])</f>
        <v>2.91</v>
      </c>
      <c r="S135" s="8">
        <f>ROUND(SUM(ППД5[[#This Row],[Площадь по проекту жилая]:[Лоджия 3]]),2)</f>
        <v>25.73</v>
      </c>
      <c r="T135" s="8">
        <f>ROUND(ППД5[[#This Row],[Площадь по проекту(общая)]]-ППД5[[#This Row],[Летние]],2)</f>
        <v>22.82</v>
      </c>
      <c r="U135" s="91">
        <f>ROUND(ППД5[[#This Row],[Площадь по проекту(общая)]]-(SUM(ППД5[[#This Row],[Лоджия 1]:[Лоджия 3]])/2),2)</f>
        <v>24.28</v>
      </c>
      <c r="V135" s="91">
        <f>IF(ППД5[[#This Row],[Статус]]="продажа",ППД5[[#This Row],[Расчетная проектная площадь]],ППД5[[#This Row],[Расчетная ТП площадь]])</f>
        <v>24.28</v>
      </c>
      <c r="W135" s="91">
        <v>7.1</v>
      </c>
      <c r="X135" s="91"/>
      <c r="Y135" s="91"/>
      <c r="Z135" s="91">
        <f>SUM(ППД5[[#This Row],[ТП Комната 1]:[ТП Комната 3]])</f>
        <v>7.1</v>
      </c>
      <c r="AA135" s="91">
        <v>5.0999999999999996</v>
      </c>
      <c r="AB135" s="91">
        <v>3.7</v>
      </c>
      <c r="AC135" s="91"/>
      <c r="AD135" s="91"/>
      <c r="AE135" s="91">
        <v>7</v>
      </c>
      <c r="AF135" s="91">
        <v>1.45</v>
      </c>
      <c r="AG135" s="91"/>
      <c r="AH135" s="91"/>
      <c r="AI135" s="91">
        <f>SUM(ППД5[[#This Row],[ТП Лоджия 1]:[ТП Лоджия 3]])</f>
        <v>1.45</v>
      </c>
      <c r="AJ135" s="95">
        <v>2.9</v>
      </c>
      <c r="AK135" s="91">
        <f>SUM(ППД5[[#This Row],[Площадь по ТП жилая]:[ТП Лоджия 3]])-ППД5[[#This Row],[ТП Летние]]+ППД5[[#This Row],[кроме того прочая
(без коэффициента)]]</f>
        <v>25.799999999999997</v>
      </c>
      <c r="AL135" s="95">
        <f>ППД5[[#This Row],[ТП Площадь без летних]]+(ППД5[[#This Row],[ТП Летние]])</f>
        <v>24.349999999999998</v>
      </c>
      <c r="AM135" s="91">
        <f>ППД5[[#This Row],[ТП общая S]]-ППД5[[#This Row],[кроме того прочая
(без коэффициента)]]</f>
        <v>22.9</v>
      </c>
      <c r="AN135" s="95">
        <f>SUM(ППД5[[#This Row],[ТП Кухня]:[ТП Коридор]])</f>
        <v>15.8</v>
      </c>
      <c r="AO135" s="91">
        <f>ППД5[[#This Row],[Расчетная ТП площадь]]-ППД5[[#This Row],[Расчетная проектная площадь]]</f>
        <v>6.9999999999996732E-2</v>
      </c>
      <c r="AP135" s="335">
        <f>ППД5[[#This Row],[Расчетная ТП площадь]]/ППД5[[#This Row],[Расчетная проектная площадь]]-1</f>
        <v>2.883031301482486E-3</v>
      </c>
      <c r="AQ135" s="91">
        <f>ППД5[[#This Row],[% расхождения]]*ППД5[[#This Row],[Стоимость до скидки]]</f>
        <v>6500.0313138380634</v>
      </c>
      <c r="AR135" s="91">
        <f>VLOOKUP(ППД5[[#This Row],[№]],наценкад5[],COLUMN(наценкад5[[#This Row],[Цена м2 с учетом всех K]]),0)</f>
        <v>92857.59</v>
      </c>
      <c r="AS135" s="8"/>
      <c r="AT135" s="8">
        <f>ППД5[[#This Row],[м2 после К]]+ППД5[[#This Row],[Повышение 16.08.23 - 5%]]</f>
        <v>92857.59</v>
      </c>
      <c r="AU135" s="93"/>
      <c r="AV135" s="93">
        <f>ППД5[[#This Row],[Фикс 16.08.23]]+ППД5[[#This Row],[Повышение 29.08.23 - 3%]]</f>
        <v>92857.59</v>
      </c>
      <c r="AW135" s="93"/>
      <c r="AX135" s="93">
        <f>ППД5[[#This Row],[Фикс 29.08.23]]+ППД5[[#This Row],[Повышение 06.09.23 СТ и 1К]]</f>
        <v>92857.59</v>
      </c>
      <c r="AY135" s="93"/>
      <c r="AZ135" s="93">
        <f>ППД5[[#This Row],[Повышение 23.10.23  В4 ]]+ППД5[[#This Row],[Фикс 06.09.23]]</f>
        <v>92857.59</v>
      </c>
      <c r="BA135" s="93"/>
      <c r="BB135" s="93">
        <f>ППД5[[#This Row],[Повышение 8.11.23 1К 5%]]+ППД5[[#This Row],[Фикс 23.10.23]]</f>
        <v>92857.59</v>
      </c>
      <c r="BC135" s="93"/>
      <c r="BD135" s="93">
        <f>ППД5[[#This Row],[Корректировка 24.11.23 - 1К В5, 2К А2, №233]]+ППД5[[#This Row],[Фикс 8.11.23]]</f>
        <v>92857.59</v>
      </c>
      <c r="BE135" s="93"/>
      <c r="BF135" s="93">
        <f>ППД5[[#This Row],[Наценка за отделку 29.12.23 1%]]+ППД5[[#This Row],[Фикс 8.11.24]]</f>
        <v>92857.59</v>
      </c>
      <c r="BG135" s="93"/>
      <c r="BH135" s="93">
        <f>ППД5[[#This Row],[Фикс 29.12.23]]+ППД5[[#This Row],[Наценка 10.01.24 5%]]</f>
        <v>92857.59</v>
      </c>
      <c r="BI135" s="93"/>
      <c r="BJ135" s="93">
        <f>ППД5[[#This Row],[Наценка 26.02.24 1 Этаж]]+ППД5[[#This Row],[Фикс 10.01.24]]</f>
        <v>92857.59</v>
      </c>
      <c r="BK135" s="93"/>
      <c r="BL135" s="93">
        <f>ППД5[[#This Row],[Фикс 26.02.24]]+ППД5[[#This Row],[Наценка 06.03.24
СТ, 1К - 3%
2К, 3К - 2%]]</f>
        <v>92857.59</v>
      </c>
      <c r="BM135" s="93"/>
      <c r="BN135" s="93">
        <f>ППД5[[#This Row],[Фикс 06.03.24]]+ППД5[[#This Row],[Наценка Г2+500]]</f>
        <v>92857.59</v>
      </c>
      <c r="BO135" s="93"/>
      <c r="BP135" s="93">
        <f>ППД5[[#This Row],[Фикс 13.03.25]]+ППД5[[#This Row],[Наценка 20.03.24
2К, 3К - 2%]]</f>
        <v>92857.59</v>
      </c>
      <c r="BQ135" s="93"/>
      <c r="BR135" s="93">
        <f>ППД5[[#This Row],[Фикс 20.03.24]]+ППД5[[#This Row],[Наценка 08.04.24 
2К: В3 - 150
3К: Г7 +1000]]</f>
        <v>92857.59</v>
      </c>
      <c r="BS135" s="93"/>
      <c r="BT135" s="93">
        <f>ППД5[[#This Row],[Фикс 08.04.24]]+ППД5[[#This Row],[Наценка 16.05.24 1%
А4,А6,Б3,Б6,Б7,В2,В3,В5,В6,Г1,Г3-Г5]]</f>
        <v>92857.59</v>
      </c>
      <c r="BU135" s="93"/>
      <c r="BV135" s="93">
        <f>ППД5[[#This Row],[Фикс 16.05.24]]+ППД5[[#This Row],[Наценка 24.05.24
1% - Б4, Б5,Г2,Г6
2% - А1,А3,А5,Б2,Г7]]</f>
        <v>92857.59</v>
      </c>
      <c r="BW135" s="93"/>
      <c r="BX135" s="93">
        <f>ППД5[[#This Row],[Наценка 06.06.24
0К: В2,Г3 +0,5%
1К: А7, Б5/4, Г6 +0,5%
3К: В6 +0,5%
1К: А3 +1%]]+ППД5[[#This Row],[Фикс 24.05.24]]</f>
        <v>92857.59</v>
      </c>
      <c r="BY135" s="93"/>
      <c r="BZ135" s="93">
        <f>ППД5[[#This Row],[Фикс 06.06.24]]+ППД5[[#This Row],[13.06.2024
3К - 2%]]</f>
        <v>92857.59</v>
      </c>
      <c r="CA135" s="93"/>
      <c r="CB135" s="93">
        <f>ППД5[[#This Row],[02.07.2024: Г3 А1 А3 Б5 Б7 Г2 Г6 Б3 Б4 В3 Г7 2,5% ост 0,5-1,5%]]+ППД5[[#This Row],[Фикс 13.06.24]]</f>
        <v>92857.59</v>
      </c>
      <c r="CC135" s="93"/>
      <c r="CD135" s="93">
        <f>ППД5[[#This Row],[Фикс 02.07.24]]+ППД5[[#This Row],[04.09.2024 +500
0К - Б2; 1К - А3;
2К - А6, Б4, В3, Г5]]</f>
        <v>92857.59</v>
      </c>
      <c r="CE135" s="93"/>
      <c r="CF135" s="93">
        <f>ППД5[[#This Row],[Наценка 16.09.2024
1К: А1,В7,Г6/7,Г8 - 2%
2К: А4,А5,А6,Б1,Б6,Б3/4,В3,В4,Г4,Г5 - 4%
3К: 4%]]+ППД5[[#This Row],[Фикс 04.09.24]]</f>
        <v>92857.59</v>
      </c>
      <c r="CG135" s="93"/>
      <c r="CH135" s="93">
        <f>ППД5[[#This Row],[Фикс 16.09.2024]]+ППД5[[#This Row],[Наценка 01.11.24
СТ: 4%
1К: 34-40м 5%; 40м+ 8%; МГН 1%
2К: 55-70м 6%; 70-73м 7%; 73-76м 8% 
3К: 5%]]</f>
        <v>92857.59</v>
      </c>
      <c r="CI135" s="93"/>
      <c r="CJ135" s="93">
        <f>ППД5[[#This Row],[Наценка 06.11 13%]]+ППД5[[#This Row],[Фикс 01.11.24]]</f>
        <v>92857.59</v>
      </c>
      <c r="CK135" s="93"/>
      <c r="CL135" s="93">
        <f>ППД5[[#This Row],[Фикс 06.11.24]]+ППД5[[#This Row],[Наценка 18.12.24 распределение КВ]]</f>
        <v>92857.59</v>
      </c>
      <c r="CM135" s="93"/>
      <c r="CN135" s="93">
        <f>ППД5[[#This Row],[Фикс 18.12.24]]+ППД5[[#This Row],[Наценка 10.02.25 +1%
1К: А3
2К: Б3, В3]]</f>
        <v>92857.59</v>
      </c>
      <c r="CO135" s="93">
        <f>ROUND(ППД5[[#This Row],[Фикс 10.02.25]],2)</f>
        <v>92857.59</v>
      </c>
      <c r="CP13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2254582.29</v>
      </c>
      <c r="CQ135" s="93">
        <f>ROUNDUP(ППД5[[#This Row],[Стоимость до скидки]]+ППД5[[#This Row],[Сумма доплаты]],-2)</f>
        <v>2261100</v>
      </c>
      <c r="CR135" s="68"/>
      <c r="CS135" s="90"/>
      <c r="CT135" s="68">
        <f>ППД5[[#This Row],[Стоимость до скидки]]*ППД5[[#This Row],[Скидка %]]+ППД5[[#This Row],[Скидка фиксированная]]</f>
        <v>0</v>
      </c>
      <c r="CU135" s="3">
        <f>ППД5[[#This Row],[Стоимость ОН без отделки со скидкой]]/ППД5[[#This Row],[Расчетная проектная площадь]]</f>
        <v>92857.590197693571</v>
      </c>
      <c r="CV135" s="3">
        <f>ROUND(ППД5[[#This Row],[Стоимость до скидки]]-ППД5[[#This Row],[Итоговая сумма скидки]],2)</f>
        <v>2254582.29</v>
      </c>
      <c r="CW13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135" s="197">
        <v>4500</v>
      </c>
      <c r="CY135" s="332">
        <f>ППД5[[#This Row],[Расхождение]]/ППД5[[#This Row],[Расчетная проектная площадь]]</f>
        <v>2.8830313014825671E-3</v>
      </c>
      <c r="CZ13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0.11000000000000032</v>
      </c>
      <c r="DA135" s="3">
        <f>ППД5[[#This Row],[Цена м2 без отделки со скидкой]]+ППД5[[#This Row],[Стоимость отделки]]</f>
        <v>97357.590197693571</v>
      </c>
      <c r="DB135" s="3">
        <f>ППД5[[#This Row],[Стоимость квартиры с отделкой]]-ППД5[[#This Row],[Стоимость ОН без отделки со скидкой]]</f>
        <v>109260</v>
      </c>
      <c r="DC135" s="3">
        <f>ППД5[[#This Row],[Цена м2 с отделкой]]*ППД5[[#This Row],[Расчетная проектная площадь]]</f>
        <v>2363842.29</v>
      </c>
      <c r="DD135" s="3"/>
      <c r="DF135" s="199" t="s">
        <v>172</v>
      </c>
      <c r="DG135" s="245" t="s">
        <v>172</v>
      </c>
      <c r="DH135" s="100" t="b">
        <f>EXACT(ППД5[[#This Row],[Статусы CRM]],ППД5[[#This Row],[Статус]])</f>
        <v>1</v>
      </c>
      <c r="DI135" s="213" t="s">
        <v>307</v>
      </c>
      <c r="DJ135" s="204"/>
      <c r="DK135" s="111" t="s">
        <v>76</v>
      </c>
      <c r="DL135" s="216" t="s">
        <v>13</v>
      </c>
      <c r="DM135" s="201" t="b">
        <f>ППД5[[#This Row],[Отделка CRM]]=ППД5[[#This Row],[Отделка]]</f>
        <v>1</v>
      </c>
      <c r="DN135" s="203">
        <v>2363842.29</v>
      </c>
      <c r="DO13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35" s="207" t="b">
        <f>IF(AND(ППД5[[#This Row],[Статус]]="свободно",ППД5[[#This Row],[Итоговая сумма скидки]]&lt;&gt;0),FALSE,TRUE)</f>
        <v>1</v>
      </c>
      <c r="DQ135" s="240">
        <f>_xlfn.XLOOKUP(ППД5[[#This Row],[№]],Юрист[№ кв],Юрист[Дата подачи на регистрацию]," ",0,-1)</f>
        <v>45188</v>
      </c>
      <c r="DR135" s="115" t="str">
        <f>_xlfn.XLOOKUP(ППД5[[#This Row],[№]],Юрист[№ кв],Юрист[МОП],"",0,-1)</f>
        <v>Кофанова</v>
      </c>
      <c r="DS135" s="333" t="s">
        <v>2562</v>
      </c>
      <c r="DT135" s="333" t="s">
        <v>2563</v>
      </c>
      <c r="DU135" s="333">
        <v>22.9</v>
      </c>
      <c r="DV135" s="111"/>
    </row>
    <row r="136" spans="1:126" hidden="1" x14ac:dyDescent="0.25">
      <c r="A136" s="112">
        <v>134</v>
      </c>
      <c r="B136" s="111" t="s">
        <v>4</v>
      </c>
      <c r="C136" s="111">
        <v>4</v>
      </c>
      <c r="D136" s="111">
        <v>3</v>
      </c>
      <c r="E136" s="111">
        <v>2</v>
      </c>
      <c r="F136" s="105">
        <v>14.6</v>
      </c>
      <c r="G136" s="105">
        <v>13.12</v>
      </c>
      <c r="H136" s="105"/>
      <c r="I136" s="94">
        <f>SUM(ППД5[[#This Row],[Комната 1]:[Комната 3]])</f>
        <v>27.72</v>
      </c>
      <c r="J136" s="105">
        <v>14.35</v>
      </c>
      <c r="K136" s="105">
        <v>3.68</v>
      </c>
      <c r="L136" s="105">
        <v>2.57</v>
      </c>
      <c r="M136" s="105"/>
      <c r="N136" s="105">
        <v>7.95</v>
      </c>
      <c r="O136" s="105">
        <v>2.65</v>
      </c>
      <c r="P136" s="105"/>
      <c r="Q136" s="105"/>
      <c r="R136" s="105">
        <f>SUM(ППД5[[#This Row],[Лоджия 1]:[Лоджия 3]])</f>
        <v>2.65</v>
      </c>
      <c r="S136" s="8">
        <f>ROUND(SUM(ППД5[[#This Row],[Площадь по проекту жилая]:[Лоджия 3]]),2)</f>
        <v>58.92</v>
      </c>
      <c r="T136" s="8">
        <f>ROUND(ППД5[[#This Row],[Площадь по проекту(общая)]]-ППД5[[#This Row],[Летние]],2)</f>
        <v>56.27</v>
      </c>
      <c r="U136" s="91">
        <f>ROUND(ППД5[[#This Row],[Площадь по проекту(общая)]]-(SUM(ППД5[[#This Row],[Лоджия 1]:[Лоджия 3]])/2),2)</f>
        <v>57.6</v>
      </c>
      <c r="V136" s="91">
        <f>IF(ППД5[[#This Row],[Статус]]="продажа",ППД5[[#This Row],[Расчетная проектная площадь]],ППД5[[#This Row],[Расчетная ТП площадь]])</f>
        <v>57.6</v>
      </c>
      <c r="W136" s="91">
        <v>12.9</v>
      </c>
      <c r="X136" s="91">
        <v>14.5</v>
      </c>
      <c r="Y136" s="91"/>
      <c r="Z136" s="91">
        <f>SUM(ППД5[[#This Row],[ТП Комната 1]:[ТП Комната 3]])</f>
        <v>27.4</v>
      </c>
      <c r="AA136" s="91">
        <v>14.4</v>
      </c>
      <c r="AB136" s="91">
        <v>2.7</v>
      </c>
      <c r="AC136" s="91">
        <v>3.9</v>
      </c>
      <c r="AD136" s="91"/>
      <c r="AE136" s="91">
        <v>8.1</v>
      </c>
      <c r="AF136" s="91">
        <v>1.35</v>
      </c>
      <c r="AG136" s="91"/>
      <c r="AH136" s="91"/>
      <c r="AI136" s="91">
        <f>SUM(ППД5[[#This Row],[ТП Лоджия 1]:[ТП Лоджия 3]])</f>
        <v>1.35</v>
      </c>
      <c r="AJ136" s="95">
        <v>2.7</v>
      </c>
      <c r="AK136" s="91">
        <f>SUM(ППД5[[#This Row],[Площадь по ТП жилая]:[ТП Лоджия 3]])-ППД5[[#This Row],[ТП Летние]]+ППД5[[#This Row],[кроме того прочая
(без коэффициента)]]</f>
        <v>59.2</v>
      </c>
      <c r="AL136" s="95">
        <f>ППД5[[#This Row],[ТП Площадь без летних]]+(ППД5[[#This Row],[ТП Летние]])</f>
        <v>57.85</v>
      </c>
      <c r="AM136" s="91">
        <f>ППД5[[#This Row],[ТП общая S]]-ППД5[[#This Row],[кроме того прочая
(без коэффициента)]]</f>
        <v>56.5</v>
      </c>
      <c r="AN136" s="95">
        <f>SUM(ППД5[[#This Row],[ТП Кухня]:[ТП Коридор]])</f>
        <v>29.1</v>
      </c>
      <c r="AO136" s="91">
        <f>ППД5[[#This Row],[Расчетная ТП площадь]]-ППД5[[#This Row],[Расчетная проектная площадь]]</f>
        <v>0.25</v>
      </c>
      <c r="AP136" s="335">
        <f>ППД5[[#This Row],[Расчетная ТП площадь]]/ППД5[[#This Row],[Расчетная проектная площадь]]-1</f>
        <v>4.3402777777776791E-3</v>
      </c>
      <c r="AQ136" s="91">
        <f>ППД5[[#This Row],[% расхождения]]*ППД5[[#This Row],[Стоимость до скидки]]</f>
        <v>24429.687499999443</v>
      </c>
      <c r="AR136" s="91">
        <f>VLOOKUP(ППД5[[#This Row],[№]],наценкад5[],COLUMN(наценкад5[[#This Row],[Цена м2 с учетом всех K]]),0)</f>
        <v>81080.055000000008</v>
      </c>
      <c r="AS136" s="8">
        <f>ППД5[[#This Row],[м2 после К]]*5%</f>
        <v>4054.0027500000006</v>
      </c>
      <c r="AT136" s="8">
        <f>ППД5[[#This Row],[м2 после К]]+ППД5[[#This Row],[Повышение 16.08.23 - 5%]]</f>
        <v>85134.057750000007</v>
      </c>
      <c r="AU136" s="93">
        <f>ППД5[[#This Row],[Фикс 16.08.23]]*3%</f>
        <v>2554.0217325000003</v>
      </c>
      <c r="AV136" s="93">
        <f>ППД5[[#This Row],[Фикс 16.08.23]]+ППД5[[#This Row],[Повышение 29.08.23 - 3%]]</f>
        <v>87688.079482500005</v>
      </c>
      <c r="AW136" s="93"/>
      <c r="AX136" s="93">
        <f>ППД5[[#This Row],[Фикс 29.08.23]]+ППД5[[#This Row],[Повышение 06.09.23 СТ и 1К]]</f>
        <v>87688.079482500005</v>
      </c>
      <c r="AY136" s="93"/>
      <c r="AZ136" s="93">
        <f>ППД5[[#This Row],[Повышение 23.10.23  В4 ]]+ППД5[[#This Row],[Фикс 06.09.23]]</f>
        <v>87688.079482500005</v>
      </c>
      <c r="BA136" s="93"/>
      <c r="BB136" s="93">
        <f>ППД5[[#This Row],[Повышение 8.11.23 1К 5%]]+ППД5[[#This Row],[Фикс 23.10.23]]</f>
        <v>87688.079482500005</v>
      </c>
      <c r="BC136" s="93"/>
      <c r="BD136" s="93">
        <f>ППД5[[#This Row],[Корректировка 24.11.23 - 1К В5, 2К А2, №233]]+ППД5[[#This Row],[Фикс 8.11.23]]</f>
        <v>87688.079482500005</v>
      </c>
      <c r="BE136" s="93">
        <f>ППД5[[#This Row],[Фикс 8.11.24]]*1%</f>
        <v>876.88079482500007</v>
      </c>
      <c r="BF136" s="93">
        <f>ППД5[[#This Row],[Наценка за отделку 29.12.23 1%]]+ППД5[[#This Row],[Фикс 8.11.24]]</f>
        <v>88564.960277325008</v>
      </c>
      <c r="BG136" s="93">
        <f>ППД5[[#This Row],[Фикс 29.12.23]]*5%</f>
        <v>4428.2480138662504</v>
      </c>
      <c r="BH136" s="93">
        <f>ППД5[[#This Row],[Фикс 29.12.23]]+ППД5[[#This Row],[Наценка 10.01.24 5%]]</f>
        <v>92993.208291191258</v>
      </c>
      <c r="BI136" s="93"/>
      <c r="BJ136" s="93">
        <f>ППД5[[#This Row],[Наценка 26.02.24 1 Этаж]]+ППД5[[#This Row],[Фикс 10.01.24]]</f>
        <v>92993.208291191258</v>
      </c>
      <c r="BK136" s="93">
        <f>ППД5[[#This Row],[Фикс 26.02.24]]*2%</f>
        <v>1859.8641658238253</v>
      </c>
      <c r="BL136" s="93">
        <f>ППД5[[#This Row],[Фикс 26.02.24]]+ППД5[[#This Row],[Наценка 06.03.24
СТ, 1К - 3%
2К, 3К - 2%]]</f>
        <v>94853.072457015078</v>
      </c>
      <c r="BM136" s="93"/>
      <c r="BN136" s="93">
        <f>ППД5[[#This Row],[Фикс 06.03.24]]+ППД5[[#This Row],[Наценка Г2+500]]</f>
        <v>94853.072457015078</v>
      </c>
      <c r="BO136" s="93">
        <f>ППД5[[#This Row],[Фикс 13.03.25]]*2%</f>
        <v>1897.0614491403016</v>
      </c>
      <c r="BP136" s="93">
        <f>ППД5[[#This Row],[Фикс 13.03.25]]+ППД5[[#This Row],[Наценка 20.03.24
2К, 3К - 2%]]</f>
        <v>96750.133906155374</v>
      </c>
      <c r="BQ136" s="93"/>
      <c r="BR136" s="93">
        <f>ППД5[[#This Row],[Фикс 20.03.24]]+ППД5[[#This Row],[Наценка 08.04.24 
2К: В3 - 150
3К: Г7 +1000]]</f>
        <v>96750.133906155374</v>
      </c>
      <c r="BS136" s="9">
        <f>ППД5[[#This Row],[Фикс 08.04.24]]*1%</f>
        <v>967.50133906155372</v>
      </c>
      <c r="BT136" s="93">
        <f>ППД5[[#This Row],[Фикс 08.04.24]]+ППД5[[#This Row],[Наценка 16.05.24 1%
А4,А6,Б3,Б6,Б7,В2,В3,В5,В6,Г1,Г3-Г5]]</f>
        <v>97717.635245216923</v>
      </c>
      <c r="BU136" s="93"/>
      <c r="BV136" s="93">
        <f>ППД5[[#This Row],[Фикс 16.05.24]]+ППД5[[#This Row],[Наценка 24.05.24
1% - Б4, Б5,Г2,Г6
2% - А1,А3,А5,Б2,Г7]]</f>
        <v>97717.635245216923</v>
      </c>
      <c r="BW136" s="93"/>
      <c r="BX136" s="93">
        <f>ППД5[[#This Row],[Наценка 06.06.24
0К: В2,Г3 +0,5%
1К: А7, Б5/4, Г6 +0,5%
3К: В6 +0,5%
1К: А3 +1%]]+ППД5[[#This Row],[Фикс 24.05.24]]</f>
        <v>97717.635245216923</v>
      </c>
      <c r="BY136" s="93"/>
      <c r="BZ136" s="93">
        <f>ППД5[[#This Row],[Фикс 06.06.24]]+ППД5[[#This Row],[13.06.2024
3К - 2%]]</f>
        <v>97717.635245216923</v>
      </c>
      <c r="CA136" s="93"/>
      <c r="CB136" s="93">
        <f>ППД5[[#This Row],[02.07.2024: Г3 А1 А3 Б5 Б7 Г2 Г6 Б3 Б4 В3 Г7 2,5% ост 0,5-1,5%]]+ППД5[[#This Row],[Фикс 13.06.24]]</f>
        <v>97717.635245216923</v>
      </c>
      <c r="CC136" s="93"/>
      <c r="CD136" s="93">
        <f>ППД5[[#This Row],[Фикс 02.07.24]]+ППД5[[#This Row],[04.09.2024 +500
0К - Б2; 1К - А3;
2К - А6, Б4, В3, Г5]]</f>
        <v>97717.635245216923</v>
      </c>
      <c r="CE136" s="93"/>
      <c r="CF136" s="93">
        <f>ППД5[[#This Row],[Наценка 16.09.2024
1К: А1,В7,Г6/7,Г8 - 2%
2К: А4,А5,А6,Б1,Б6,Б3/4,В3,В4,Г4,Г5 - 4%
3К: 4%]]+ППД5[[#This Row],[Фикс 04.09.24]]</f>
        <v>97717.635245216923</v>
      </c>
      <c r="CG136" s="93"/>
      <c r="CH136" s="93">
        <f>ППД5[[#This Row],[Фикс 16.09.2024]]+ППД5[[#This Row],[Наценка 01.11.24
СТ: 4%
1К: 34-40м 5%; 40м+ 8%; МГН 1%
2К: 55-70м 6%; 70-73м 7%; 73-76м 8% 
3К: 5%]]</f>
        <v>97717.635245216923</v>
      </c>
      <c r="CI136" s="93"/>
      <c r="CJ136" s="93">
        <f>ППД5[[#This Row],[Наценка 06.11 13%]]+ППД5[[#This Row],[Фикс 01.11.24]]</f>
        <v>97717.635245216923</v>
      </c>
      <c r="CK136" s="93"/>
      <c r="CL136" s="93">
        <f>ППД5[[#This Row],[Фикс 06.11.24]]+ППД5[[#This Row],[Наценка 18.12.24 распределение КВ]]</f>
        <v>97717.635245216923</v>
      </c>
      <c r="CM136" s="93"/>
      <c r="CN136" s="93">
        <f>ППД5[[#This Row],[Фикс 18.12.24]]+ППД5[[#This Row],[Наценка 10.02.25 +1%
1К: А3
2К: Б3, В3]]</f>
        <v>97717.635245216923</v>
      </c>
      <c r="CO136" s="93">
        <f>ROUND(ППД5[[#This Row],[Фикс 10.02.25]],2)</f>
        <v>97717.64</v>
      </c>
      <c r="CP13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5628600</v>
      </c>
      <c r="CQ136" s="93">
        <f>ROUNDUP(ППД5[[#This Row],[Стоимость до скидки]]+ППД5[[#This Row],[Сумма доплаты]],-2)</f>
        <v>5653100</v>
      </c>
      <c r="CR136" s="68"/>
      <c r="CS136" s="90">
        <v>0.03</v>
      </c>
      <c r="CT136" s="68">
        <f>ППД5[[#This Row],[Стоимость до скидки]]*ППД5[[#This Row],[Скидка %]]+ППД5[[#This Row],[Скидка фиксированная]]</f>
        <v>168858</v>
      </c>
      <c r="CU136" s="3">
        <f>ППД5[[#This Row],[Стоимость ОН без отделки со скидкой]]/ППД5[[#This Row],[Расчетная проектная площадь]]</f>
        <v>94787.1875</v>
      </c>
      <c r="CV136" s="3">
        <f>ROUND(ППД5[[#This Row],[Стоимость до скидки]]-ППД5[[#This Row],[Итоговая сумма скидки]],2)</f>
        <v>5459742</v>
      </c>
      <c r="CW13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136" s="197">
        <v>20000</v>
      </c>
      <c r="CY136" s="332">
        <f>ППД5[[#This Row],[Расхождение]]/ППД5[[#This Row],[Расчетная проектная площадь]]</f>
        <v>4.340277777777778E-3</v>
      </c>
      <c r="CZ13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0.55000000000000249</v>
      </c>
      <c r="DA136" s="3">
        <f>ППД5[[#This Row],[Цена м2 без отделки со скидкой]]+ППД5[[#This Row],[Стоимость отделки]]</f>
        <v>114787.1875</v>
      </c>
      <c r="DB136" s="3">
        <f>ППД5[[#This Row],[Стоимость квартиры с отделкой]]-ППД5[[#This Row],[Стоимость ОН без отделки со скидкой]]</f>
        <v>1152000</v>
      </c>
      <c r="DC136" s="3">
        <f>ППД5[[#This Row],[Цена м2 с отделкой]]*ППД5[[#This Row],[Расчетная проектная площадь]]</f>
        <v>6611742</v>
      </c>
      <c r="DD136" s="3" t="s">
        <v>154</v>
      </c>
      <c r="DE136" s="111" t="s">
        <v>162</v>
      </c>
      <c r="DF136" s="199" t="s">
        <v>172</v>
      </c>
      <c r="DG136" s="245" t="s">
        <v>172</v>
      </c>
      <c r="DH136" s="100" t="b">
        <f>EXACT(ППД5[[#This Row],[Статусы CRM]],ППД5[[#This Row],[Статус]])</f>
        <v>1</v>
      </c>
      <c r="DI136" s="213" t="s">
        <v>308</v>
      </c>
      <c r="DJ136" s="204"/>
      <c r="DK136" s="111" t="s">
        <v>763</v>
      </c>
      <c r="DL136" s="216" t="s">
        <v>14</v>
      </c>
      <c r="DM136" s="201" t="b">
        <f>ППД5[[#This Row],[Отделка CRM]]=ППД5[[#This Row],[Отделка]]</f>
        <v>1</v>
      </c>
      <c r="DN136" s="203">
        <v>6611742</v>
      </c>
      <c r="DO13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36" s="207" t="b">
        <f>IF(AND(ППД5[[#This Row],[Статус]]="свободно",ППД5[[#This Row],[Итоговая сумма скидки]]&lt;&gt;0),FALSE,TRUE)</f>
        <v>1</v>
      </c>
      <c r="DQ136" s="240">
        <f>_xlfn.XLOOKUP(ППД5[[#This Row],[№]],Юрист[№ кв],Юрист[Дата подачи на регистрацию]," ",0,-1)</f>
        <v>45466</v>
      </c>
      <c r="DR136" s="115" t="str">
        <f>_xlfn.XLOOKUP(ППД5[[#This Row],[№]],Юрист[№ кв],Юрист[МОП],"",0,-1)</f>
        <v>Никишов</v>
      </c>
      <c r="DS136" s="333" t="s">
        <v>2564</v>
      </c>
      <c r="DT136" s="333" t="s">
        <v>2565</v>
      </c>
      <c r="DU136" s="333">
        <v>56.5</v>
      </c>
      <c r="DV136" s="111"/>
    </row>
    <row r="137" spans="1:126" hidden="1" x14ac:dyDescent="0.25">
      <c r="A137" s="112">
        <v>135</v>
      </c>
      <c r="B137" s="111" t="s">
        <v>4</v>
      </c>
      <c r="C137" s="111">
        <v>4</v>
      </c>
      <c r="D137" s="111">
        <v>4</v>
      </c>
      <c r="E137" s="111">
        <v>2</v>
      </c>
      <c r="F137" s="105">
        <v>15.45</v>
      </c>
      <c r="G137" s="105">
        <v>14.5</v>
      </c>
      <c r="H137" s="105"/>
      <c r="I137" s="94">
        <f>SUM(ППД5[[#This Row],[Комната 1]:[Комната 3]])</f>
        <v>29.95</v>
      </c>
      <c r="J137" s="105">
        <v>11.95</v>
      </c>
      <c r="K137" s="105">
        <v>3.86</v>
      </c>
      <c r="L137" s="105">
        <v>2.37</v>
      </c>
      <c r="M137" s="105"/>
      <c r="N137" s="105">
        <v>8.8699999999999992</v>
      </c>
      <c r="O137" s="105">
        <v>2.62</v>
      </c>
      <c r="P137" s="105"/>
      <c r="Q137" s="105"/>
      <c r="R137" s="105">
        <f>SUM(ППД5[[#This Row],[Лоджия 1]:[Лоджия 3]])</f>
        <v>2.62</v>
      </c>
      <c r="S137" s="8">
        <f>ROUND(SUM(ППД5[[#This Row],[Площадь по проекту жилая]:[Лоджия 3]]),2)</f>
        <v>59.62</v>
      </c>
      <c r="T137" s="8">
        <f>ROUND(ППД5[[#This Row],[Площадь по проекту(общая)]]-ППД5[[#This Row],[Летние]],2)</f>
        <v>57</v>
      </c>
      <c r="U137" s="91">
        <f>ROUND(ППД5[[#This Row],[Площадь по проекту(общая)]]-(SUM(ППД5[[#This Row],[Лоджия 1]:[Лоджия 3]])/2),2)</f>
        <v>58.31</v>
      </c>
      <c r="V137" s="91">
        <f>IF(ППД5[[#This Row],[Статус]]="продажа",ППД5[[#This Row],[Расчетная проектная площадь]],ППД5[[#This Row],[Расчетная ТП площадь]])</f>
        <v>58.31</v>
      </c>
      <c r="W137" s="91">
        <v>14.4</v>
      </c>
      <c r="X137" s="91">
        <v>15.4</v>
      </c>
      <c r="Y137" s="91"/>
      <c r="Z137" s="91">
        <f>SUM(ППД5[[#This Row],[ТП Комната 1]:[ТП Комната 3]])</f>
        <v>29.8</v>
      </c>
      <c r="AA137" s="91">
        <v>11.8</v>
      </c>
      <c r="AB137" s="91">
        <v>3.9</v>
      </c>
      <c r="AC137" s="91">
        <v>2.6</v>
      </c>
      <c r="AD137" s="91"/>
      <c r="AE137" s="91">
        <v>8.9</v>
      </c>
      <c r="AF137" s="91">
        <v>1.35</v>
      </c>
      <c r="AG137" s="91"/>
      <c r="AH137" s="91"/>
      <c r="AI137" s="91">
        <f>SUM(ППД5[[#This Row],[ТП Лоджия 1]:[ТП Лоджия 3]])</f>
        <v>1.35</v>
      </c>
      <c r="AJ137" s="95">
        <v>2.7</v>
      </c>
      <c r="AK137" s="91">
        <f>SUM(ППД5[[#This Row],[Площадь по ТП жилая]:[ТП Лоджия 3]])-ППД5[[#This Row],[ТП Летние]]+ППД5[[#This Row],[кроме того прочая
(без коэффициента)]]</f>
        <v>59.7</v>
      </c>
      <c r="AL137" s="95">
        <f>ППД5[[#This Row],[ТП Площадь без летних]]+(ППД5[[#This Row],[ТП Летние]])</f>
        <v>58.35</v>
      </c>
      <c r="AM137" s="91">
        <f>ППД5[[#This Row],[ТП общая S]]-ППД5[[#This Row],[кроме того прочая
(без коэффициента)]]</f>
        <v>57</v>
      </c>
      <c r="AN137" s="95">
        <f>SUM(ППД5[[#This Row],[ТП Кухня]:[ТП Коридор]])</f>
        <v>27.200000000000003</v>
      </c>
      <c r="AO137" s="91">
        <f>ППД5[[#This Row],[Расчетная ТП площадь]]-ППД5[[#This Row],[Расчетная проектная площадь]]</f>
        <v>3.9999999999999147E-2</v>
      </c>
      <c r="AP137" s="335">
        <f>ППД5[[#This Row],[Расчетная ТП площадь]]/ППД5[[#This Row],[Расчетная проектная площадь]]-1</f>
        <v>6.8598868118674439E-4</v>
      </c>
      <c r="AQ137" s="91">
        <f>ППД5[[#This Row],[% расхождения]]*ППД5[[#This Row],[Стоимость до скидки]]</f>
        <v>3557.6308008917022</v>
      </c>
      <c r="AR137" s="91">
        <f>VLOOKUP(ППД5[[#This Row],[№]],наценкад5[],COLUMN(наценкад5[[#This Row],[Цена м2 с учетом всех K]]),0)</f>
        <v>82238.34150000001</v>
      </c>
      <c r="AS137" s="8">
        <f>ППД5[[#This Row],[м2 после К]]*5%</f>
        <v>4111.9170750000003</v>
      </c>
      <c r="AT137" s="8">
        <f>ППД5[[#This Row],[м2 после К]]+ППД5[[#This Row],[Повышение 16.08.23 - 5%]]</f>
        <v>86350.258575000014</v>
      </c>
      <c r="AU137" s="93">
        <f>ППД5[[#This Row],[Фикс 16.08.23]]*3%</f>
        <v>2590.5077572500004</v>
      </c>
      <c r="AV137" s="93">
        <f>ППД5[[#This Row],[Фикс 16.08.23]]+ППД5[[#This Row],[Повышение 29.08.23 - 3%]]</f>
        <v>88940.766332250016</v>
      </c>
      <c r="AW137" s="93"/>
      <c r="AX137" s="93">
        <f>ППД5[[#This Row],[Фикс 29.08.23]]+ППД5[[#This Row],[Повышение 06.09.23 СТ и 1К]]</f>
        <v>88940.766332250016</v>
      </c>
      <c r="AY137" s="93"/>
      <c r="AZ137" s="93">
        <f>ППД5[[#This Row],[Повышение 23.10.23  В4 ]]+ППД5[[#This Row],[Фикс 06.09.23]]</f>
        <v>88940.766332250016</v>
      </c>
      <c r="BA137" s="93"/>
      <c r="BB137" s="93">
        <f>ППД5[[#This Row],[Повышение 8.11.23 1К 5%]]+ППД5[[#This Row],[Фикс 23.10.23]]</f>
        <v>88940.766332250016</v>
      </c>
      <c r="BC137" s="93"/>
      <c r="BD137" s="93">
        <f>ППД5[[#This Row],[Корректировка 24.11.23 - 1К В5, 2К А2, №233]]+ППД5[[#This Row],[Фикс 8.11.23]]</f>
        <v>88940.766332250016</v>
      </c>
      <c r="BE137" s="93"/>
      <c r="BF137" s="93">
        <f>ППД5[[#This Row],[Наценка за отделку 29.12.23 1%]]+ППД5[[#This Row],[Фикс 8.11.24]]</f>
        <v>88940.766332250016</v>
      </c>
      <c r="BG137" s="93"/>
      <c r="BH137" s="93">
        <f>ППД5[[#This Row],[Фикс 29.12.23]]+ППД5[[#This Row],[Наценка 10.01.24 5%]]</f>
        <v>88940.766332250016</v>
      </c>
      <c r="BI137" s="93"/>
      <c r="BJ137" s="93">
        <f>ППД5[[#This Row],[Наценка 26.02.24 1 Этаж]]+ППД5[[#This Row],[Фикс 10.01.24]]</f>
        <v>88940.766332250016</v>
      </c>
      <c r="BK137" s="93"/>
      <c r="BL137" s="93">
        <f>ППД5[[#This Row],[Фикс 26.02.24]]+ППД5[[#This Row],[Наценка 06.03.24
СТ, 1К - 3%
2К, 3К - 2%]]</f>
        <v>88940.766332250016</v>
      </c>
      <c r="BM137" s="93"/>
      <c r="BN137" s="93">
        <f>ППД5[[#This Row],[Фикс 06.03.24]]+ППД5[[#This Row],[Наценка Г2+500]]</f>
        <v>88940.766332250016</v>
      </c>
      <c r="BO137" s="93"/>
      <c r="BP137" s="93">
        <f>ППД5[[#This Row],[Фикс 13.03.25]]+ППД5[[#This Row],[Наценка 20.03.24
2К, 3К - 2%]]</f>
        <v>88940.766332250016</v>
      </c>
      <c r="BQ137" s="93"/>
      <c r="BR137" s="93">
        <f>ППД5[[#This Row],[Фикс 20.03.24]]+ППД5[[#This Row],[Наценка 08.04.24 
2К: В3 - 150
3К: Г7 +1000]]</f>
        <v>88940.766332250016</v>
      </c>
      <c r="BS137" s="93"/>
      <c r="BT137" s="93">
        <f>ППД5[[#This Row],[Фикс 08.04.24]]+ППД5[[#This Row],[Наценка 16.05.24 1%
А4,А6,Б3,Б6,Б7,В2,В3,В5,В6,Г1,Г3-Г5]]</f>
        <v>88940.766332250016</v>
      </c>
      <c r="BU137" s="93"/>
      <c r="BV137" s="93">
        <f>ППД5[[#This Row],[Фикс 16.05.24]]+ППД5[[#This Row],[Наценка 24.05.24
1% - Б4, Б5,Г2,Г6
2% - А1,А3,А5,Б2,Г7]]</f>
        <v>88940.766332250016</v>
      </c>
      <c r="BW137" s="93"/>
      <c r="BX137" s="93">
        <f>ППД5[[#This Row],[Наценка 06.06.24
0К: В2,Г3 +0,5%
1К: А7, Б5/4, Г6 +0,5%
3К: В6 +0,5%
1К: А3 +1%]]+ППД5[[#This Row],[Фикс 24.05.24]]</f>
        <v>88940.766332250016</v>
      </c>
      <c r="BY137" s="93"/>
      <c r="BZ137" s="93">
        <f>ППД5[[#This Row],[Фикс 06.06.24]]+ППД5[[#This Row],[13.06.2024
3К - 2%]]</f>
        <v>88940.766332250016</v>
      </c>
      <c r="CA137" s="93"/>
      <c r="CB137" s="93">
        <f>ППД5[[#This Row],[02.07.2024: Г3 А1 А3 Б5 Б7 Г2 Г6 Б3 Б4 В3 Г7 2,5% ост 0,5-1,5%]]+ППД5[[#This Row],[Фикс 13.06.24]]</f>
        <v>88940.766332250016</v>
      </c>
      <c r="CC137" s="93"/>
      <c r="CD137" s="93">
        <f>ППД5[[#This Row],[Фикс 02.07.24]]+ППД5[[#This Row],[04.09.2024 +500
0К - Б2; 1К - А3;
2К - А6, Б4, В3, Г5]]</f>
        <v>88940.766332250016</v>
      </c>
      <c r="CE137" s="93"/>
      <c r="CF137" s="93">
        <f>ППД5[[#This Row],[Наценка 16.09.2024
1К: А1,В7,Г6/7,Г8 - 2%
2К: А4,А5,А6,Б1,Б6,Б3/4,В3,В4,Г4,Г5 - 4%
3К: 4%]]+ППД5[[#This Row],[Фикс 04.09.24]]</f>
        <v>88940.766332250016</v>
      </c>
      <c r="CG137" s="93"/>
      <c r="CH137" s="93">
        <f>ППД5[[#This Row],[Фикс 16.09.2024]]+ППД5[[#This Row],[Наценка 01.11.24
СТ: 4%
1К: 34-40м 5%; 40м+ 8%; МГН 1%
2К: 55-70м 6%; 70-73м 7%; 73-76м 8% 
3К: 5%]]</f>
        <v>88940.766332250016</v>
      </c>
      <c r="CI137" s="93"/>
      <c r="CJ137" s="93">
        <f>ППД5[[#This Row],[Наценка 06.11 13%]]+ППД5[[#This Row],[Фикс 01.11.24]]</f>
        <v>88940.766332250016</v>
      </c>
      <c r="CK137" s="93"/>
      <c r="CL137" s="93">
        <f>ППД5[[#This Row],[Фикс 06.11.24]]+ППД5[[#This Row],[Наценка 18.12.24 распределение КВ]]</f>
        <v>88940.766332250016</v>
      </c>
      <c r="CM137" s="93"/>
      <c r="CN137" s="93">
        <f>ППД5[[#This Row],[Фикс 18.12.24]]+ППД5[[#This Row],[Наценка 10.02.25 +1%
1К: А3
2К: Б3, В3]]</f>
        <v>88940.766332250016</v>
      </c>
      <c r="CO137" s="93">
        <f>ROUND(ППД5[[#This Row],[Фикс 10.02.25]],2)</f>
        <v>88940.77</v>
      </c>
      <c r="CP13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5186136.3</v>
      </c>
      <c r="CQ137" s="93">
        <f>ROUNDUP(ППД5[[#This Row],[Стоимость до скидки]]+ППД5[[#This Row],[Сумма доплаты]],-2)</f>
        <v>5189700</v>
      </c>
      <c r="CR137" s="68"/>
      <c r="CS137" s="90">
        <v>0.02</v>
      </c>
      <c r="CT137" s="68">
        <f>ППД5[[#This Row],[Стоимость до скидки]]*ППД5[[#This Row],[Скидка %]]+ППД5[[#This Row],[Скидка фиксированная]]</f>
        <v>103722.726</v>
      </c>
      <c r="CU137" s="3">
        <f>ППД5[[#This Row],[Стоимость ОН без отделки со скидкой]]/ППД5[[#This Row],[Расчетная проектная площадь]]</f>
        <v>87161.954553249874</v>
      </c>
      <c r="CV137" s="3">
        <f>ROUND(ППД5[[#This Row],[Стоимость до скидки]]-ППД5[[#This Row],[Итоговая сумма скидки]],2)</f>
        <v>5082413.57</v>
      </c>
      <c r="CW13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137" s="197">
        <v>22000</v>
      </c>
      <c r="CY137" s="332">
        <f>ППД5[[#This Row],[Расхождение]]/ППД5[[#This Row],[Расчетная проектная площадь]]</f>
        <v>6.859886811867458E-4</v>
      </c>
      <c r="CZ13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0.15000000000000568</v>
      </c>
      <c r="DA137" s="3">
        <f>ППД5[[#This Row],[Цена м2 без отделки со скидкой]]+ППД5[[#This Row],[Стоимость отделки]]</f>
        <v>109161.95455324987</v>
      </c>
      <c r="DB137" s="3">
        <f>ППД5[[#This Row],[Стоимость квартиры с отделкой]]-ППД5[[#This Row],[Стоимость ОН без отделки со скидкой]]</f>
        <v>1282820</v>
      </c>
      <c r="DC137" s="3">
        <f>ППД5[[#This Row],[Цена м2 с отделкой]]*ППД5[[#This Row],[Расчетная проектная площадь]]</f>
        <v>6365233.5700000003</v>
      </c>
      <c r="DD137" s="3"/>
      <c r="DE137" s="111" t="s">
        <v>757</v>
      </c>
      <c r="DF137" s="199" t="s">
        <v>172</v>
      </c>
      <c r="DG137" s="245" t="s">
        <v>172</v>
      </c>
      <c r="DH137" s="100" t="b">
        <f>EXACT(ППД5[[#This Row],[Статусы CRM]],ППД5[[#This Row],[Статус]])</f>
        <v>1</v>
      </c>
      <c r="DI137" s="213" t="s">
        <v>309</v>
      </c>
      <c r="DJ137" s="204"/>
      <c r="DK137" s="111" t="s">
        <v>76</v>
      </c>
      <c r="DL137" s="216" t="s">
        <v>14</v>
      </c>
      <c r="DM137" s="201" t="b">
        <f>ППД5[[#This Row],[Отделка CRM]]=ППД5[[#This Row],[Отделка]]</f>
        <v>1</v>
      </c>
      <c r="DN137" s="203">
        <v>6365233.5700000003</v>
      </c>
      <c r="DO13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37" s="207" t="b">
        <f>IF(AND(ППД5[[#This Row],[Статус]]="свободно",ППД5[[#This Row],[Итоговая сумма скидки]]&lt;&gt;0),FALSE,TRUE)</f>
        <v>1</v>
      </c>
      <c r="DQ137" s="240">
        <f>_xlfn.XLOOKUP(ППД5[[#This Row],[№]],Юрист[№ кв],Юрист[Дата подачи на регистрацию]," ",0,-1)</f>
        <v>45230</v>
      </c>
      <c r="DR137" s="115" t="str">
        <f>_xlfn.XLOOKUP(ППД5[[#This Row],[№]],Юрист[№ кв],Юрист[МОП],"",0,-1)</f>
        <v>Кофанова</v>
      </c>
      <c r="DS137" s="333" t="s">
        <v>2566</v>
      </c>
      <c r="DT137" s="333" t="s">
        <v>2567</v>
      </c>
      <c r="DU137" s="333">
        <v>57</v>
      </c>
      <c r="DV137" s="111"/>
    </row>
    <row r="138" spans="1:126" hidden="1" x14ac:dyDescent="0.25">
      <c r="A138" s="112">
        <v>136</v>
      </c>
      <c r="B138" s="111" t="s">
        <v>4</v>
      </c>
      <c r="C138" s="111">
        <v>4</v>
      </c>
      <c r="D138" s="111">
        <v>5</v>
      </c>
      <c r="E138" s="111">
        <v>1</v>
      </c>
      <c r="F138" s="105">
        <v>12.06</v>
      </c>
      <c r="G138" s="105"/>
      <c r="H138" s="105"/>
      <c r="I138" s="94">
        <f>SUM(ППД5[[#This Row],[Комната 1]:[Комната 3]])</f>
        <v>12.06</v>
      </c>
      <c r="J138" s="105">
        <v>13.18</v>
      </c>
      <c r="K138" s="105">
        <v>4.1100000000000003</v>
      </c>
      <c r="L138" s="105"/>
      <c r="M138" s="105"/>
      <c r="N138" s="105">
        <v>7.09</v>
      </c>
      <c r="O138" s="105">
        <v>2.84</v>
      </c>
      <c r="P138" s="105"/>
      <c r="Q138" s="105"/>
      <c r="R138" s="105">
        <f>SUM(ППД5[[#This Row],[Лоджия 1]:[Лоджия 3]])</f>
        <v>2.84</v>
      </c>
      <c r="S138" s="8">
        <f>ROUND(SUM(ППД5[[#This Row],[Площадь по проекту жилая]:[Лоджия 3]]),2)</f>
        <v>39.28</v>
      </c>
      <c r="T138" s="8">
        <f>ROUND(ППД5[[#This Row],[Площадь по проекту(общая)]]-ППД5[[#This Row],[Летние]],2)</f>
        <v>36.44</v>
      </c>
      <c r="U138" s="91">
        <f>ROUND(ППД5[[#This Row],[Площадь по проекту(общая)]]-(SUM(ППД5[[#This Row],[Лоджия 1]:[Лоджия 3]])/2),2)</f>
        <v>37.86</v>
      </c>
      <c r="V138" s="91">
        <f>IF(ППД5[[#This Row],[Статус]]="продажа",ППД5[[#This Row],[Расчетная проектная площадь]],ППД5[[#This Row],[Расчетная ТП площадь]])</f>
        <v>37.86</v>
      </c>
      <c r="W138" s="91">
        <v>12.5</v>
      </c>
      <c r="X138" s="91"/>
      <c r="Y138" s="91"/>
      <c r="Z138" s="91">
        <f>SUM(ППД5[[#This Row],[ТП Комната 1]:[ТП Комната 3]])</f>
        <v>12.5</v>
      </c>
      <c r="AA138" s="91">
        <v>12.6</v>
      </c>
      <c r="AB138" s="91">
        <v>4.0999999999999996</v>
      </c>
      <c r="AC138" s="91"/>
      <c r="AD138" s="91"/>
      <c r="AE138" s="91">
        <v>7</v>
      </c>
      <c r="AF138" s="91">
        <v>1.4</v>
      </c>
      <c r="AG138" s="91"/>
      <c r="AH138" s="91"/>
      <c r="AI138" s="91">
        <f>SUM(ППД5[[#This Row],[ТП Лоджия 1]:[ТП Лоджия 3]])</f>
        <v>1.4</v>
      </c>
      <c r="AJ138" s="95">
        <v>2.8</v>
      </c>
      <c r="AK138" s="91">
        <f>SUM(ППД5[[#This Row],[Площадь по ТП жилая]:[ТП Лоджия 3]])-ППД5[[#This Row],[ТП Летние]]+ППД5[[#This Row],[кроме того прочая
(без коэффициента)]]</f>
        <v>39</v>
      </c>
      <c r="AL138" s="95">
        <f>ППД5[[#This Row],[ТП Площадь без летних]]+(ППД5[[#This Row],[ТП Летние]])</f>
        <v>37.6</v>
      </c>
      <c r="AM138" s="91">
        <f>ППД5[[#This Row],[ТП общая S]]-ППД5[[#This Row],[кроме того прочая
(без коэффициента)]]</f>
        <v>36.200000000000003</v>
      </c>
      <c r="AN138" s="95">
        <f>SUM(ППД5[[#This Row],[ТП Кухня]:[ТП Коридор]])</f>
        <v>23.7</v>
      </c>
      <c r="AO138" s="91">
        <f>ППД5[[#This Row],[Расчетная ТП площадь]]-ППД5[[#This Row],[Расчетная проектная площадь]]</f>
        <v>-0.25999999999999801</v>
      </c>
      <c r="AP138" s="335">
        <f>ППД5[[#This Row],[Расчетная ТП площадь]]/ППД5[[#This Row],[Расчетная проектная площадь]]-1</f>
        <v>-6.8674062334918018E-3</v>
      </c>
      <c r="AQ138" s="91">
        <f>ППД5[[#This Row],[% расхождения]]*ППД5[[#This Row],[Стоимость до скидки]]</f>
        <v>-24579.521178024264</v>
      </c>
      <c r="AR138" s="91">
        <f>VLOOKUP(ППД5[[#This Row],[№]],наценкад5[],COLUMN(наценкад5[[#This Row],[Цена м2 с учетом всех K]]),0)</f>
        <v>90034.875</v>
      </c>
      <c r="AS138" s="8">
        <f>ППД5[[#This Row],[м2 после К]]*5%</f>
        <v>4501.7437500000005</v>
      </c>
      <c r="AT138" s="8">
        <f>ППД5[[#This Row],[м2 после К]]+ППД5[[#This Row],[Повышение 16.08.23 - 5%]]</f>
        <v>94536.618749999994</v>
      </c>
      <c r="AU138" s="93"/>
      <c r="AV138" s="93">
        <f>ППД5[[#This Row],[Фикс 16.08.23]]+ППД5[[#This Row],[Повышение 29.08.23 - 3%]]</f>
        <v>94536.618749999994</v>
      </c>
      <c r="AW138" s="93"/>
      <c r="AX138" s="93">
        <f>ППД5[[#This Row],[Фикс 29.08.23]]+ППД5[[#This Row],[Повышение 06.09.23 СТ и 1К]]</f>
        <v>94536.618749999994</v>
      </c>
      <c r="AY138" s="93"/>
      <c r="AZ138" s="93">
        <f>ППД5[[#This Row],[Повышение 23.10.23  В4 ]]+ППД5[[#This Row],[Фикс 06.09.23]]</f>
        <v>94536.618749999994</v>
      </c>
      <c r="BA138" s="93"/>
      <c r="BB138" s="93">
        <f>ППД5[[#This Row],[Повышение 8.11.23 1К 5%]]+ППД5[[#This Row],[Фикс 23.10.23]]</f>
        <v>94536.618749999994</v>
      </c>
      <c r="BC138" s="93"/>
      <c r="BD138" s="93">
        <f>ППД5[[#This Row],[Корректировка 24.11.23 - 1К В5, 2К А2, №233]]+ППД5[[#This Row],[Фикс 8.11.23]]</f>
        <v>94536.618749999994</v>
      </c>
      <c r="BE138" s="93"/>
      <c r="BF138" s="93">
        <f>ППД5[[#This Row],[Наценка за отделку 29.12.23 1%]]+ППД5[[#This Row],[Фикс 8.11.24]]</f>
        <v>94536.618749999994</v>
      </c>
      <c r="BG138" s="93"/>
      <c r="BH138" s="93">
        <f>ППД5[[#This Row],[Фикс 29.12.23]]+ППД5[[#This Row],[Наценка 10.01.24 5%]]</f>
        <v>94536.618749999994</v>
      </c>
      <c r="BI138" s="93"/>
      <c r="BJ138" s="93">
        <f>ППД5[[#This Row],[Наценка 26.02.24 1 Этаж]]+ППД5[[#This Row],[Фикс 10.01.24]]</f>
        <v>94536.618749999994</v>
      </c>
      <c r="BK138" s="93"/>
      <c r="BL138" s="93">
        <f>ППД5[[#This Row],[Фикс 26.02.24]]+ППД5[[#This Row],[Наценка 06.03.24
СТ, 1К - 3%
2К, 3К - 2%]]</f>
        <v>94536.618749999994</v>
      </c>
      <c r="BM138" s="93"/>
      <c r="BN138" s="93">
        <f>ППД5[[#This Row],[Фикс 06.03.24]]+ППД5[[#This Row],[Наценка Г2+500]]</f>
        <v>94536.618749999994</v>
      </c>
      <c r="BO138" s="93"/>
      <c r="BP138" s="93">
        <f>ППД5[[#This Row],[Фикс 13.03.25]]+ППД5[[#This Row],[Наценка 20.03.24
2К, 3К - 2%]]</f>
        <v>94536.618749999994</v>
      </c>
      <c r="BQ138" s="93"/>
      <c r="BR138" s="93">
        <f>ППД5[[#This Row],[Фикс 20.03.24]]+ППД5[[#This Row],[Наценка 08.04.24 
2К: В3 - 150
3К: Г7 +1000]]</f>
        <v>94536.618749999994</v>
      </c>
      <c r="BS138" s="93"/>
      <c r="BT138" s="93">
        <f>ППД5[[#This Row],[Фикс 08.04.24]]+ППД5[[#This Row],[Наценка 16.05.24 1%
А4,А6,Б3,Б6,Б7,В2,В3,В5,В6,Г1,Г3-Г5]]</f>
        <v>94536.618749999994</v>
      </c>
      <c r="BU138" s="93"/>
      <c r="BV138" s="93">
        <f>ППД5[[#This Row],[Фикс 16.05.24]]+ППД5[[#This Row],[Наценка 24.05.24
1% - Б4, Б5,Г2,Г6
2% - А1,А3,А5,Б2,Г7]]</f>
        <v>94536.618749999994</v>
      </c>
      <c r="BW138" s="93"/>
      <c r="BX138" s="93">
        <f>ППД5[[#This Row],[Наценка 06.06.24
0К: В2,Г3 +0,5%
1К: А7, Б5/4, Г6 +0,5%
3К: В6 +0,5%
1К: А3 +1%]]+ППД5[[#This Row],[Фикс 24.05.24]]</f>
        <v>94536.618749999994</v>
      </c>
      <c r="BY138" s="93"/>
      <c r="BZ138" s="93">
        <f>ППД5[[#This Row],[Фикс 06.06.24]]+ППД5[[#This Row],[13.06.2024
3К - 2%]]</f>
        <v>94536.618749999994</v>
      </c>
      <c r="CA138" s="93"/>
      <c r="CB138" s="93">
        <f>ППД5[[#This Row],[02.07.2024: Г3 А1 А3 Б5 Б7 Г2 Г6 Б3 Б4 В3 Г7 2,5% ост 0,5-1,5%]]+ППД5[[#This Row],[Фикс 13.06.24]]</f>
        <v>94536.618749999994</v>
      </c>
      <c r="CC138" s="93"/>
      <c r="CD138" s="93">
        <f>ППД5[[#This Row],[Фикс 02.07.24]]+ППД5[[#This Row],[04.09.2024 +500
0К - Б2; 1К - А3;
2К - А6, Б4, В3, Г5]]</f>
        <v>94536.618749999994</v>
      </c>
      <c r="CE138" s="93"/>
      <c r="CF138" s="93">
        <f>ППД5[[#This Row],[Наценка 16.09.2024
1К: А1,В7,Г6/7,Г8 - 2%
2К: А4,А5,А6,Б1,Б6,Б3/4,В3,В4,Г4,Г5 - 4%
3К: 4%]]+ППД5[[#This Row],[Фикс 04.09.24]]</f>
        <v>94536.618749999994</v>
      </c>
      <c r="CG138" s="93"/>
      <c r="CH138" s="93">
        <f>ППД5[[#This Row],[Фикс 16.09.2024]]+ППД5[[#This Row],[Наценка 01.11.24
СТ: 4%
1К: 34-40м 5%; 40м+ 8%; МГН 1%
2К: 55-70м 6%; 70-73м 7%; 73-76м 8% 
3К: 5%]]</f>
        <v>94536.618749999994</v>
      </c>
      <c r="CI138" s="93"/>
      <c r="CJ138" s="93">
        <f>ППД5[[#This Row],[Наценка 06.11 13%]]+ППД5[[#This Row],[Фикс 01.11.24]]</f>
        <v>94536.618749999994</v>
      </c>
      <c r="CK138" s="93"/>
      <c r="CL138" s="93">
        <f>ППД5[[#This Row],[Фикс 06.11.24]]+ППД5[[#This Row],[Наценка 18.12.24 распределение КВ]]</f>
        <v>94536.618749999994</v>
      </c>
      <c r="CM138" s="93"/>
      <c r="CN138" s="93">
        <f>ППД5[[#This Row],[Фикс 18.12.24]]+ППД5[[#This Row],[Наценка 10.02.25 +1%
1К: А3
2К: Б3, В3]]</f>
        <v>94536.618749999994</v>
      </c>
      <c r="CO138" s="93">
        <f>ROUND(ППД5[[#This Row],[Фикс 10.02.25]],2)</f>
        <v>94536.62</v>
      </c>
      <c r="CP13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3579156.43</v>
      </c>
      <c r="CQ138" s="93">
        <f>ROUNDUP(ППД5[[#This Row],[Стоимость до скидки]]+ППД5[[#This Row],[Сумма доплаты]],-2)</f>
        <v>3554600</v>
      </c>
      <c r="CR138" s="68"/>
      <c r="CS138" s="90">
        <v>0.02</v>
      </c>
      <c r="CT138" s="68">
        <f>ППД5[[#This Row],[Стоимость до скидки]]*ППД5[[#This Row],[Скидка %]]+ППД5[[#This Row],[Скидка фиксированная]]</f>
        <v>71583.128600000011</v>
      </c>
      <c r="CU138" s="3">
        <f>ППД5[[#This Row],[Стоимость ОН без отделки со скидкой]]/ППД5[[#This Row],[Расчетная проектная площадь]]</f>
        <v>92645.887480190169</v>
      </c>
      <c r="CV138" s="3">
        <f>ROUND(ППД5[[#This Row],[Стоимость до скидки]]-ППД5[[#This Row],[Итоговая сумма скидки]],2)</f>
        <v>3507573.3</v>
      </c>
      <c r="CW13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38" s="197"/>
      <c r="CY138" s="332">
        <f>ППД5[[#This Row],[Расхождение]]/ППД5[[#This Row],[Расчетная проектная площадь]]</f>
        <v>-6.8674062334917593E-3</v>
      </c>
      <c r="CZ13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-0.67999999999999972</v>
      </c>
      <c r="DA138" s="3">
        <f>ППД5[[#This Row],[Цена м2 без отделки со скидкой]]+ППД5[[#This Row],[Стоимость отделки]]</f>
        <v>92645.887480190169</v>
      </c>
      <c r="DB138" s="3">
        <f>ППД5[[#This Row],[Стоимость квартиры с отделкой]]-ППД5[[#This Row],[Стоимость ОН без отделки со скидкой]]</f>
        <v>0</v>
      </c>
      <c r="DC138" s="3">
        <f>ППД5[[#This Row],[Цена м2 с отделкой]]*ППД5[[#This Row],[Расчетная проектная площадь]]</f>
        <v>3507573.3</v>
      </c>
      <c r="DD138" s="3"/>
      <c r="DE138" s="111" t="s">
        <v>170</v>
      </c>
      <c r="DF138" s="199" t="s">
        <v>172</v>
      </c>
      <c r="DG138" s="245" t="s">
        <v>172</v>
      </c>
      <c r="DH138" s="100" t="b">
        <f>EXACT(ППД5[[#This Row],[Статусы CRM]],ППД5[[#This Row],[Статус]])</f>
        <v>1</v>
      </c>
      <c r="DI138" s="213" t="s">
        <v>310</v>
      </c>
      <c r="DJ138" s="204"/>
      <c r="DK138" s="111" t="s">
        <v>76</v>
      </c>
      <c r="DL138" s="216" t="s">
        <v>12</v>
      </c>
      <c r="DM138" s="201" t="b">
        <f>ППД5[[#This Row],[Отделка CRM]]=ППД5[[#This Row],[Отделка]]</f>
        <v>1</v>
      </c>
      <c r="DN138" s="203">
        <v>3507573.3</v>
      </c>
      <c r="DO13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38" s="207" t="b">
        <f>IF(AND(ППД5[[#This Row],[Статус]]="свободно",ППД5[[#This Row],[Итоговая сумма скидки]]&lt;&gt;0),FALSE,TRUE)</f>
        <v>1</v>
      </c>
      <c r="DQ138" s="240">
        <f>_xlfn.XLOOKUP(ППД5[[#This Row],[№]],Юрист[№ кв],Юрист[Дата подачи на регистрацию]," ",0,-1)</f>
        <v>45188</v>
      </c>
      <c r="DR138" s="115" t="str">
        <f>_xlfn.XLOOKUP(ППД5[[#This Row],[№]],Юрист[№ кв],Юрист[МОП],"",0,-1)</f>
        <v>Калачева</v>
      </c>
      <c r="DS138" s="333" t="s">
        <v>2568</v>
      </c>
      <c r="DT138" s="333" t="s">
        <v>2569</v>
      </c>
      <c r="DU138" s="333">
        <v>36.200000000000003</v>
      </c>
      <c r="DV138" s="111"/>
    </row>
    <row r="139" spans="1:126" hidden="1" x14ac:dyDescent="0.25">
      <c r="A139" s="112">
        <v>137</v>
      </c>
      <c r="B139" s="111" t="s">
        <v>4</v>
      </c>
      <c r="C139" s="111">
        <v>4</v>
      </c>
      <c r="D139" s="111">
        <v>6</v>
      </c>
      <c r="E139" s="111">
        <v>3</v>
      </c>
      <c r="F139" s="105">
        <v>17.89</v>
      </c>
      <c r="G139" s="105">
        <v>17.2</v>
      </c>
      <c r="H139" s="105">
        <v>14.31</v>
      </c>
      <c r="I139" s="94">
        <f>SUM(ППД5[[#This Row],[Комната 1]:[Комната 3]])</f>
        <v>49.400000000000006</v>
      </c>
      <c r="J139" s="105">
        <v>13.39</v>
      </c>
      <c r="K139" s="105">
        <v>4.2</v>
      </c>
      <c r="L139" s="105">
        <v>2.0499999999999998</v>
      </c>
      <c r="M139" s="105"/>
      <c r="N139" s="105">
        <v>13.21</v>
      </c>
      <c r="O139" s="105">
        <v>2.79</v>
      </c>
      <c r="P139" s="105">
        <v>2.68</v>
      </c>
      <c r="Q139" s="105"/>
      <c r="R139" s="105">
        <f>SUM(ППД5[[#This Row],[Лоджия 1]:[Лоджия 3]])</f>
        <v>5.4700000000000006</v>
      </c>
      <c r="S139" s="8">
        <f>ROUND(SUM(ППД5[[#This Row],[Площадь по проекту жилая]:[Лоджия 3]]),2)</f>
        <v>87.72</v>
      </c>
      <c r="T139" s="8">
        <f>ROUND(ППД5[[#This Row],[Площадь по проекту(общая)]]-ППД5[[#This Row],[Летние]],2)</f>
        <v>82.25</v>
      </c>
      <c r="U139" s="91">
        <f>ROUND(ППД5[[#This Row],[Площадь по проекту(общая)]]-(SUM(ППД5[[#This Row],[Лоджия 1]:[Лоджия 3]])/2),2)</f>
        <v>84.99</v>
      </c>
      <c r="V139" s="91">
        <f>IF(ППД5[[#This Row],[Статус]]="продажа",ППД5[[#This Row],[Расчетная проектная площадь]],ППД5[[#This Row],[Расчетная ТП площадь]])</f>
        <v>84.99</v>
      </c>
      <c r="W139" s="91">
        <v>14.2</v>
      </c>
      <c r="X139" s="91">
        <v>17.8</v>
      </c>
      <c r="Y139" s="91">
        <v>17.2</v>
      </c>
      <c r="Z139" s="91">
        <f>SUM(ППД5[[#This Row],[ТП Комната 1]:[ТП Комната 3]])</f>
        <v>49.2</v>
      </c>
      <c r="AA139" s="91">
        <v>13.3</v>
      </c>
      <c r="AB139" s="91">
        <v>4.0999999999999996</v>
      </c>
      <c r="AC139" s="91">
        <v>2</v>
      </c>
      <c r="AD139" s="91"/>
      <c r="AE139" s="91">
        <v>13.1</v>
      </c>
      <c r="AF139" s="91">
        <v>1.45</v>
      </c>
      <c r="AG139" s="91">
        <v>1.35</v>
      </c>
      <c r="AH139" s="91"/>
      <c r="AI139" s="91">
        <f>SUM(ППД5[[#This Row],[ТП Лоджия 1]:[ТП Лоджия 3]])</f>
        <v>2.8</v>
      </c>
      <c r="AJ139" s="95">
        <v>5.6</v>
      </c>
      <c r="AK139" s="91">
        <f>SUM(ППД5[[#This Row],[Площадь по ТП жилая]:[ТП Лоджия 3]])-ППД5[[#This Row],[ТП Летние]]+ППД5[[#This Row],[кроме того прочая
(без коэффициента)]]</f>
        <v>87.299999999999983</v>
      </c>
      <c r="AL139" s="95">
        <f>ППД5[[#This Row],[ТП Площадь без летних]]+(ППД5[[#This Row],[ТП Летние]])</f>
        <v>84.499999999999986</v>
      </c>
      <c r="AM139" s="91">
        <f>ППД5[[#This Row],[ТП общая S]]-ППД5[[#This Row],[кроме того прочая
(без коэффициента)]]</f>
        <v>81.699999999999989</v>
      </c>
      <c r="AN139" s="95">
        <f>SUM(ППД5[[#This Row],[ТП Кухня]:[ТП Коридор]])</f>
        <v>32.5</v>
      </c>
      <c r="AO139" s="91">
        <f>ППД5[[#This Row],[Расчетная ТП площадь]]-ППД5[[#This Row],[Расчетная проектная площадь]]</f>
        <v>-0.49000000000000909</v>
      </c>
      <c r="AP139" s="335">
        <f>ППД5[[#This Row],[Расчетная ТП площадь]]/ППД5[[#This Row],[Расчетная проектная площадь]]-1</f>
        <v>-5.7653841628427793E-3</v>
      </c>
      <c r="AQ139" s="91">
        <f>ППД5[[#This Row],[% расхождения]]*ППД5[[#This Row],[Стоимость до скидки]]</f>
        <v>-39339.277613837548</v>
      </c>
      <c r="AR139" s="91">
        <f>VLOOKUP(ППД5[[#This Row],[№]],наценкад5[],COLUMN(наценкад5[[#This Row],[Цена м2 с учетом всех K]]),0)</f>
        <v>74234.160000000018</v>
      </c>
      <c r="AS139" s="8">
        <f>ППД5[[#This Row],[м2 после К]]*5%</f>
        <v>3711.708000000001</v>
      </c>
      <c r="AT139" s="8">
        <f>ППД5[[#This Row],[м2 после К]]+ППД5[[#This Row],[Повышение 16.08.23 - 5%]]</f>
        <v>77945.868000000017</v>
      </c>
      <c r="AU139" s="93">
        <f>ППД5[[#This Row],[Фикс 16.08.23]]*3%</f>
        <v>2338.3760400000006</v>
      </c>
      <c r="AV139" s="93">
        <f>ППД5[[#This Row],[Фикс 16.08.23]]+ППД5[[#This Row],[Повышение 29.08.23 - 3%]]</f>
        <v>80284.24404000002</v>
      </c>
      <c r="AW139" s="93"/>
      <c r="AX139" s="93">
        <f>ППД5[[#This Row],[Фикс 29.08.23]]+ППД5[[#This Row],[Повышение 06.09.23 СТ и 1К]]</f>
        <v>80284.24404000002</v>
      </c>
      <c r="AY139" s="93"/>
      <c r="AZ139" s="93">
        <f>ППД5[[#This Row],[Повышение 23.10.23  В4 ]]+ППД5[[#This Row],[Фикс 06.09.23]]</f>
        <v>80284.24404000002</v>
      </c>
      <c r="BA139" s="93"/>
      <c r="BB139" s="93">
        <f>ППД5[[#This Row],[Повышение 8.11.23 1К 5%]]+ППД5[[#This Row],[Фикс 23.10.23]]</f>
        <v>80284.24404000002</v>
      </c>
      <c r="BC139" s="93"/>
      <c r="BD139" s="93">
        <f>ППД5[[#This Row],[Корректировка 24.11.23 - 1К В5, 2К А2, №233]]+ППД5[[#This Row],[Фикс 8.11.23]]</f>
        <v>80284.24404000002</v>
      </c>
      <c r="BE139" s="93"/>
      <c r="BF139" s="93">
        <f>ППД5[[#This Row],[Наценка за отделку 29.12.23 1%]]+ППД5[[#This Row],[Фикс 8.11.24]]</f>
        <v>80284.24404000002</v>
      </c>
      <c r="BG139" s="93"/>
      <c r="BH139" s="93">
        <f>ППД5[[#This Row],[Фикс 29.12.23]]+ППД5[[#This Row],[Наценка 10.01.24 5%]]</f>
        <v>80284.24404000002</v>
      </c>
      <c r="BI139" s="93"/>
      <c r="BJ139" s="93">
        <f>ППД5[[#This Row],[Наценка 26.02.24 1 Этаж]]+ППД5[[#This Row],[Фикс 10.01.24]]</f>
        <v>80284.24404000002</v>
      </c>
      <c r="BK139" s="93"/>
      <c r="BL139" s="93">
        <f>ППД5[[#This Row],[Фикс 26.02.24]]+ППД5[[#This Row],[Наценка 06.03.24
СТ, 1К - 3%
2К, 3К - 2%]]</f>
        <v>80284.24404000002</v>
      </c>
      <c r="BM139" s="93"/>
      <c r="BN139" s="93">
        <f>ППД5[[#This Row],[Фикс 06.03.24]]+ППД5[[#This Row],[Наценка Г2+500]]</f>
        <v>80284.24404000002</v>
      </c>
      <c r="BO139" s="93"/>
      <c r="BP139" s="93">
        <f>ППД5[[#This Row],[Фикс 13.03.25]]+ППД5[[#This Row],[Наценка 20.03.24
2К, 3К - 2%]]</f>
        <v>80284.24404000002</v>
      </c>
      <c r="BQ139" s="93"/>
      <c r="BR139" s="93">
        <f>ППД5[[#This Row],[Фикс 20.03.24]]+ППД5[[#This Row],[Наценка 08.04.24 
2К: В3 - 150
3К: Г7 +1000]]</f>
        <v>80284.24404000002</v>
      </c>
      <c r="BS139" s="9"/>
      <c r="BT139" s="93">
        <f>ППД5[[#This Row],[Фикс 08.04.24]]+ППД5[[#This Row],[Наценка 16.05.24 1%
А4,А6,Б3,Б6,Б7,В2,В3,В5,В6,Г1,Г3-Г5]]</f>
        <v>80284.24404000002</v>
      </c>
      <c r="BU139" s="93"/>
      <c r="BV139" s="93">
        <f>ППД5[[#This Row],[Фикс 16.05.24]]+ППД5[[#This Row],[Наценка 24.05.24
1% - Б4, Б5,Г2,Г6
2% - А1,А3,А5,Б2,Г7]]</f>
        <v>80284.24404000002</v>
      </c>
      <c r="BW139" s="93"/>
      <c r="BX139" s="93">
        <f>ППД5[[#This Row],[Наценка 06.06.24
0К: В2,Г3 +0,5%
1К: А7, Б5/4, Г6 +0,5%
3К: В6 +0,5%
1К: А3 +1%]]+ППД5[[#This Row],[Фикс 24.05.24]]</f>
        <v>80284.24404000002</v>
      </c>
      <c r="BY139" s="93"/>
      <c r="BZ139" s="93">
        <f>ППД5[[#This Row],[Фикс 06.06.24]]+ППД5[[#This Row],[13.06.2024
3К - 2%]]</f>
        <v>80284.24404000002</v>
      </c>
      <c r="CA139" s="93"/>
      <c r="CB139" s="93">
        <f>ППД5[[#This Row],[02.07.2024: Г3 А1 А3 Б5 Б7 Г2 Г6 Б3 Б4 В3 Г7 2,5% ост 0,5-1,5%]]+ППД5[[#This Row],[Фикс 13.06.24]]</f>
        <v>80284.24404000002</v>
      </c>
      <c r="CC139" s="93"/>
      <c r="CD139" s="93">
        <f>ППД5[[#This Row],[Фикс 02.07.24]]+ППД5[[#This Row],[04.09.2024 +500
0К - Б2; 1К - А3;
2К - А6, Б4, В3, Г5]]</f>
        <v>80284.24404000002</v>
      </c>
      <c r="CE139" s="93"/>
      <c r="CF139" s="93">
        <f>ППД5[[#This Row],[Наценка 16.09.2024
1К: А1,В7,Г6/7,Г8 - 2%
2К: А4,А5,А6,Б1,Б6,Б3/4,В3,В4,Г4,Г5 - 4%
3К: 4%]]+ППД5[[#This Row],[Фикс 04.09.24]]</f>
        <v>80284.24404000002</v>
      </c>
      <c r="CG139" s="93"/>
      <c r="CH139" s="93">
        <f>ППД5[[#This Row],[Фикс 16.09.2024]]+ППД5[[#This Row],[Наценка 01.11.24
СТ: 4%
1К: 34-40м 5%; 40м+ 8%; МГН 1%
2К: 55-70м 6%; 70-73м 7%; 73-76м 8% 
3К: 5%]]</f>
        <v>80284.24404000002</v>
      </c>
      <c r="CI139" s="93"/>
      <c r="CJ139" s="93">
        <f>ППД5[[#This Row],[Наценка 06.11 13%]]+ППД5[[#This Row],[Фикс 01.11.24]]</f>
        <v>80284.24404000002</v>
      </c>
      <c r="CK139" s="93"/>
      <c r="CL139" s="93">
        <f>ППД5[[#This Row],[Фикс 06.11.24]]+ППД5[[#This Row],[Наценка 18.12.24 распределение КВ]]</f>
        <v>80284.24404000002</v>
      </c>
      <c r="CM139" s="93"/>
      <c r="CN139" s="93">
        <f>ППД5[[#This Row],[Фикс 18.12.24]]+ППД5[[#This Row],[Наценка 10.02.25 +1%
1К: А3
2К: Б3, В3]]</f>
        <v>80284.24404000002</v>
      </c>
      <c r="CO139" s="93">
        <f>ROUND(ППД5[[#This Row],[Фикс 10.02.25]],2)</f>
        <v>80284.240000000005</v>
      </c>
      <c r="CP13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6823357.5599999996</v>
      </c>
      <c r="CQ139" s="93">
        <f>ROUNDUP(ППД5[[#This Row],[Стоимость до скидки]]+ППД5[[#This Row],[Сумма доплаты]],-2)</f>
        <v>6784100</v>
      </c>
      <c r="CR139" s="68"/>
      <c r="CS139" s="90">
        <v>0.03</v>
      </c>
      <c r="CT139" s="68">
        <f>ППД5[[#This Row],[Стоимость до скидки]]*ППД5[[#This Row],[Скидка %]]+ППД5[[#This Row],[Скидка фиксированная]]</f>
        <v>204700.72679999997</v>
      </c>
      <c r="CU139" s="3">
        <f>ППД5[[#This Row],[Стоимость ОН без отделки со скидкой]]/ППД5[[#This Row],[Расчетная проектная площадь]]</f>
        <v>77875.712789739977</v>
      </c>
      <c r="CV139" s="3">
        <f>ROUND(ППД5[[#This Row],[Стоимость до скидки]]-ППД5[[#This Row],[Итоговая сумма скидки]],2)</f>
        <v>6618656.8300000001</v>
      </c>
      <c r="CW13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139" s="197">
        <v>7500</v>
      </c>
      <c r="CY139" s="332">
        <f>ППД5[[#This Row],[Расхождение]]/ППД5[[#This Row],[Расчетная проектная площадь]]</f>
        <v>-5.7653841628427949E-3</v>
      </c>
      <c r="CZ13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-0.35000000000000142</v>
      </c>
      <c r="DA139" s="3">
        <f>ППД5[[#This Row],[Цена м2 без отделки со скидкой]]+ППД5[[#This Row],[Стоимость отделки]]</f>
        <v>85375.712789739977</v>
      </c>
      <c r="DB139" s="3">
        <f>ППД5[[#This Row],[Стоимость квартиры с отделкой]]-ППД5[[#This Row],[Стоимость ОН без отделки со скидкой]]</f>
        <v>637425</v>
      </c>
      <c r="DC139" s="3">
        <f>ППД5[[#This Row],[Цена м2 с отделкой]]*ППД5[[#This Row],[Расчетная проектная площадь]]</f>
        <v>7256081.8300000001</v>
      </c>
      <c r="DD139" s="3"/>
      <c r="DE139" s="111" t="s">
        <v>809</v>
      </c>
      <c r="DF139" s="199" t="s">
        <v>172</v>
      </c>
      <c r="DG139" s="245" t="s">
        <v>172</v>
      </c>
      <c r="DH139" s="100" t="b">
        <f>EXACT(ППД5[[#This Row],[Статусы CRM]],ППД5[[#This Row],[Статус]])</f>
        <v>1</v>
      </c>
      <c r="DI139" s="213" t="s">
        <v>311</v>
      </c>
      <c r="DJ139" s="204"/>
      <c r="DK139" s="111" t="s">
        <v>76</v>
      </c>
      <c r="DL139" s="216" t="s">
        <v>13</v>
      </c>
      <c r="DM139" s="201" t="b">
        <f>ППД5[[#This Row],[Отделка CRM]]=ППД5[[#This Row],[Отделка]]</f>
        <v>1</v>
      </c>
      <c r="DN139" s="203">
        <v>7256081.8300000001</v>
      </c>
      <c r="DO13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39" s="207" t="b">
        <f>IF(AND(ППД5[[#This Row],[Статус]]="свободно",ППД5[[#This Row],[Итоговая сумма скидки]]&lt;&gt;0),FALSE,TRUE)</f>
        <v>1</v>
      </c>
      <c r="DQ139" s="240">
        <f>_xlfn.XLOOKUP(ППД5[[#This Row],[№]],Юрист[№ кв],Юрист[Дата подачи на регистрацию]," ",0,-1)</f>
        <v>45188</v>
      </c>
      <c r="DR139" s="115" t="str">
        <f>_xlfn.XLOOKUP(ППД5[[#This Row],[№]],Юрист[№ кв],Юрист[МОП],"",0,-1)</f>
        <v>Никишов</v>
      </c>
      <c r="DS139" s="333" t="s">
        <v>2570</v>
      </c>
      <c r="DT139" s="333" t="s">
        <v>2571</v>
      </c>
      <c r="DU139" s="333">
        <v>81.7</v>
      </c>
      <c r="DV139" s="111"/>
    </row>
    <row r="140" spans="1:126" hidden="1" x14ac:dyDescent="0.25">
      <c r="A140" s="112">
        <v>138</v>
      </c>
      <c r="B140" s="111" t="s">
        <v>4</v>
      </c>
      <c r="C140" s="111">
        <v>4</v>
      </c>
      <c r="D140" s="111">
        <v>7</v>
      </c>
      <c r="E140" s="111">
        <v>1</v>
      </c>
      <c r="F140" s="105">
        <v>17.89</v>
      </c>
      <c r="G140" s="105"/>
      <c r="H140" s="105"/>
      <c r="I140" s="94">
        <f>SUM(ППД5[[#This Row],[Комната 1]:[Комната 3]])</f>
        <v>17.89</v>
      </c>
      <c r="J140" s="105">
        <v>13.04</v>
      </c>
      <c r="K140" s="105">
        <v>3.9</v>
      </c>
      <c r="L140" s="105"/>
      <c r="M140" s="105"/>
      <c r="N140" s="105">
        <v>6.12</v>
      </c>
      <c r="O140" s="105">
        <v>2.65</v>
      </c>
      <c r="P140" s="105"/>
      <c r="Q140" s="105"/>
      <c r="R140" s="105">
        <f>SUM(ППД5[[#This Row],[Лоджия 1]:[Лоджия 3]])</f>
        <v>2.65</v>
      </c>
      <c r="S140" s="8">
        <f>ROUND(SUM(ППД5[[#This Row],[Площадь по проекту жилая]:[Лоджия 3]]),2)</f>
        <v>43.6</v>
      </c>
      <c r="T140" s="8">
        <f>ROUND(ППД5[[#This Row],[Площадь по проекту(общая)]]-ППД5[[#This Row],[Летние]],2)</f>
        <v>40.950000000000003</v>
      </c>
      <c r="U140" s="91">
        <f>ROUND(ППД5[[#This Row],[Площадь по проекту(общая)]]-(SUM(ППД5[[#This Row],[Лоджия 1]:[Лоджия 3]])/2),2)</f>
        <v>42.28</v>
      </c>
      <c r="V140" s="91">
        <f>IF(ППД5[[#This Row],[Статус]]="продажа",ППД5[[#This Row],[Расчетная проектная площадь]],ППД5[[#This Row],[Расчетная ТП площадь]])</f>
        <v>42.28</v>
      </c>
      <c r="W140" s="91">
        <v>17.899999999999999</v>
      </c>
      <c r="X140" s="91"/>
      <c r="Y140" s="91"/>
      <c r="Z140" s="91">
        <f>SUM(ППД5[[#This Row],[ТП Комната 1]:[ТП Комната 3]])</f>
        <v>17.899999999999999</v>
      </c>
      <c r="AA140" s="91">
        <v>13</v>
      </c>
      <c r="AB140" s="91">
        <v>3.8</v>
      </c>
      <c r="AC140" s="91"/>
      <c r="AD140" s="91"/>
      <c r="AE140" s="91">
        <v>6.1</v>
      </c>
      <c r="AF140" s="91">
        <v>1.35</v>
      </c>
      <c r="AG140" s="91"/>
      <c r="AH140" s="91"/>
      <c r="AI140" s="91">
        <f>SUM(ППД5[[#This Row],[ТП Лоджия 1]:[ТП Лоджия 3]])</f>
        <v>1.35</v>
      </c>
      <c r="AJ140" s="95">
        <v>2.7</v>
      </c>
      <c r="AK140" s="91">
        <f>SUM(ППД5[[#This Row],[Площадь по ТП жилая]:[ТП Лоджия 3]])-ППД5[[#This Row],[ТП Летние]]+ППД5[[#This Row],[кроме того прочая
(без коэффициента)]]</f>
        <v>43.5</v>
      </c>
      <c r="AL140" s="95">
        <f>ППД5[[#This Row],[ТП Площадь без летних]]+(ППД5[[#This Row],[ТП Летние]])</f>
        <v>42.15</v>
      </c>
      <c r="AM140" s="91">
        <f>ППД5[[#This Row],[ТП общая S]]-ППД5[[#This Row],[кроме того прочая
(без коэффициента)]]</f>
        <v>40.799999999999997</v>
      </c>
      <c r="AN140" s="95">
        <f>SUM(ППД5[[#This Row],[ТП Кухня]:[ТП Коридор]])</f>
        <v>22.9</v>
      </c>
      <c r="AO140" s="91">
        <f>ППД5[[#This Row],[Расчетная ТП площадь]]-ППД5[[#This Row],[Расчетная проектная площадь]]</f>
        <v>-0.13000000000000256</v>
      </c>
      <c r="AP140" s="335">
        <f>ППД5[[#This Row],[Расчетная ТП площадь]]/ППД5[[#This Row],[Расчетная проектная площадь]]-1</f>
        <v>-3.0747398297067408E-3</v>
      </c>
      <c r="AQ140" s="91">
        <f>ППД5[[#This Row],[% расхождения]]*ППД5[[#This Row],[Стоимость до скидки]]</f>
        <v>-14491.24881740787</v>
      </c>
      <c r="AR140" s="91">
        <f>VLOOKUP(ППД5[[#This Row],[№]],наценкад5[],COLUMN(наценкад5[[#This Row],[Цена м2 с учетом всех K]]),0)</f>
        <v>86384.8125</v>
      </c>
      <c r="AS140" s="8">
        <f>ППД5[[#This Row],[м2 после К]]*5%</f>
        <v>4319.2406250000004</v>
      </c>
      <c r="AT140" s="8">
        <f>ППД5[[#This Row],[м2 после К]]+ППД5[[#This Row],[Повышение 16.08.23 - 5%]]</f>
        <v>90704.053125000006</v>
      </c>
      <c r="AU140" s="93">
        <f>ППД5[[#This Row],[Фикс 16.08.23]]*3%</f>
        <v>2721.1215937500001</v>
      </c>
      <c r="AV140" s="93">
        <f>ППД5[[#This Row],[Фикс 16.08.23]]+ППД5[[#This Row],[Повышение 29.08.23 - 3%]]</f>
        <v>93425.17471875</v>
      </c>
      <c r="AW140" s="93">
        <f>ППД5[[#This Row],[Фикс 29.08.23]]*3%</f>
        <v>2802.7552415625</v>
      </c>
      <c r="AX140" s="93">
        <f>ППД5[[#This Row],[Фикс 29.08.23]]+ППД5[[#This Row],[Повышение 06.09.23 СТ и 1К]]</f>
        <v>96227.929960312496</v>
      </c>
      <c r="AY140" s="93"/>
      <c r="AZ140" s="93">
        <f>ППД5[[#This Row],[Повышение 23.10.23  В4 ]]+ППД5[[#This Row],[Фикс 06.09.23]]</f>
        <v>96227.929960312496</v>
      </c>
      <c r="BA140" s="93">
        <f>ППД5[[#This Row],[Фикс 23.10.23]]*5%</f>
        <v>4811.3964980156252</v>
      </c>
      <c r="BB140" s="93">
        <f>ППД5[[#This Row],[Повышение 8.11.23 1К 5%]]+ППД5[[#This Row],[Фикс 23.10.23]]</f>
        <v>101039.32645832813</v>
      </c>
      <c r="BC140" s="93"/>
      <c r="BD140" s="93">
        <f>ППД5[[#This Row],[Корректировка 24.11.23 - 1К В5, 2К А2, №233]]+ППД5[[#This Row],[Фикс 8.11.23]]</f>
        <v>101039.32645832813</v>
      </c>
      <c r="BE140" s="93">
        <f>ППД5[[#This Row],[Фикс 8.11.24]]*1%</f>
        <v>1010.3932645832813</v>
      </c>
      <c r="BF140" s="93">
        <f>ППД5[[#This Row],[Наценка за отделку 29.12.23 1%]]+ППД5[[#This Row],[Фикс 8.11.24]]</f>
        <v>102049.71972291141</v>
      </c>
      <c r="BG140" s="9">
        <f>ППД5[[#This Row],[Фикс 29.12.23]]*5%</f>
        <v>5102.4859861455707</v>
      </c>
      <c r="BH140" s="93">
        <f>ППД5[[#This Row],[Фикс 29.12.23]]+ППД5[[#This Row],[Наценка 10.01.24 5%]]</f>
        <v>107152.20570905699</v>
      </c>
      <c r="BI140" s="93"/>
      <c r="BJ140" s="93">
        <f>ППД5[[#This Row],[Наценка 26.02.24 1 Этаж]]+ППД5[[#This Row],[Фикс 10.01.24]]</f>
        <v>107152.20570905699</v>
      </c>
      <c r="BK140" s="93">
        <f>ППД5[[#This Row],[Фикс 26.02.24]]*3%</f>
        <v>3214.5661712717097</v>
      </c>
      <c r="BL140" s="93">
        <f>ППД5[[#This Row],[Фикс 26.02.24]]+ППД5[[#This Row],[Наценка 06.03.24
СТ, 1К - 3%
2К, 3К - 2%]]</f>
        <v>110366.7718803287</v>
      </c>
      <c r="BM140" s="93"/>
      <c r="BN140" s="93">
        <f>ППД5[[#This Row],[Фикс 06.03.24]]+ППД5[[#This Row],[Наценка Г2+500]]</f>
        <v>110366.7718803287</v>
      </c>
      <c r="BO140" s="93"/>
      <c r="BP140" s="93">
        <f>ППД5[[#This Row],[Фикс 13.03.25]]+ППД5[[#This Row],[Наценка 20.03.24
2К, 3К - 2%]]</f>
        <v>110366.7718803287</v>
      </c>
      <c r="BQ140" s="93"/>
      <c r="BR140" s="93">
        <f>ППД5[[#This Row],[Фикс 20.03.24]]+ППД5[[#This Row],[Наценка 08.04.24 
2К: В3 - 150
3К: Г7 +1000]]</f>
        <v>110366.7718803287</v>
      </c>
      <c r="BS140" s="9">
        <f>ППД5[[#This Row],[Фикс 08.04.24]]*1%</f>
        <v>1103.667718803287</v>
      </c>
      <c r="BT140" s="93">
        <f>ППД5[[#This Row],[Фикс 08.04.24]]+ППД5[[#This Row],[Наценка 16.05.24 1%
А4,А6,Б3,Б6,Б7,В2,В3,В5,В6,Г1,Г3-Г5]]</f>
        <v>111470.43959913199</v>
      </c>
      <c r="BU140" s="93"/>
      <c r="BV140" s="93">
        <f>ППД5[[#This Row],[Фикс 16.05.24]]+ППД5[[#This Row],[Наценка 24.05.24
1% - Б4, Б5,Г2,Г6
2% - А1,А3,А5,Б2,Г7]]</f>
        <v>111470.43959913199</v>
      </c>
      <c r="BW140" s="93"/>
      <c r="BX140" s="93">
        <f>ППД5[[#This Row],[Наценка 06.06.24
0К: В2,Г3 +0,5%
1К: А7, Б5/4, Г6 +0,5%
3К: В6 +0,5%
1К: А3 +1%]]+ППД5[[#This Row],[Фикс 24.05.24]]</f>
        <v>111470.43959913199</v>
      </c>
      <c r="BY140" s="93"/>
      <c r="BZ140" s="93">
        <f>ППД5[[#This Row],[Фикс 06.06.24]]+ППД5[[#This Row],[13.06.2024
3К - 2%]]</f>
        <v>111470.43959913199</v>
      </c>
      <c r="CA140" s="93"/>
      <c r="CB140" s="93">
        <f>ППД5[[#This Row],[02.07.2024: Г3 А1 А3 Б5 Б7 Г2 Г6 Б3 Б4 В3 Г7 2,5% ост 0,5-1,5%]]+ППД5[[#This Row],[Фикс 13.06.24]]</f>
        <v>111470.43959913199</v>
      </c>
      <c r="CC140" s="93"/>
      <c r="CD140" s="93">
        <f>ППД5[[#This Row],[Фикс 02.07.24]]+ППД5[[#This Row],[04.09.2024 +500
0К - Б2; 1К - А3;
2К - А6, Б4, В3, Г5]]</f>
        <v>111470.43959913199</v>
      </c>
      <c r="CE140" s="93"/>
      <c r="CF140" s="93">
        <f>ППД5[[#This Row],[Наценка 16.09.2024
1К: А1,В7,Г6/7,Г8 - 2%
2К: А4,А5,А6,Б1,Б6,Б3/4,В3,В4,Г4,Г5 - 4%
3К: 4%]]+ППД5[[#This Row],[Фикс 04.09.24]]</f>
        <v>111470.43959913199</v>
      </c>
      <c r="CG140" s="93"/>
      <c r="CH140" s="93">
        <f>ППД5[[#This Row],[Фикс 16.09.2024]]+ППД5[[#This Row],[Наценка 01.11.24
СТ: 4%
1К: 34-40м 5%; 40м+ 8%; МГН 1%
2К: 55-70м 6%; 70-73м 7%; 73-76м 8% 
3К: 5%]]</f>
        <v>111470.43959913199</v>
      </c>
      <c r="CI140" s="93"/>
      <c r="CJ140" s="93">
        <f>ППД5[[#This Row],[Наценка 06.11 13%]]+ППД5[[#This Row],[Фикс 01.11.24]]</f>
        <v>111470.43959913199</v>
      </c>
      <c r="CK140" s="93"/>
      <c r="CL140" s="93">
        <f>ППД5[[#This Row],[Фикс 06.11.24]]+ППД5[[#This Row],[Наценка 18.12.24 распределение КВ]]</f>
        <v>111470.43959913199</v>
      </c>
      <c r="CM140" s="93"/>
      <c r="CN140" s="93">
        <f>ППД5[[#This Row],[Фикс 18.12.24]]+ППД5[[#This Row],[Наценка 10.02.25 +1%
1К: А3
2К: Б3, В3]]</f>
        <v>111470.43959913199</v>
      </c>
      <c r="CO140" s="93">
        <f>ROUND(ППД5[[#This Row],[Фикс 10.02.25]],2)</f>
        <v>111470.44</v>
      </c>
      <c r="CP14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4713000</v>
      </c>
      <c r="CQ140" s="93">
        <f>ROUNDUP(ППД5[[#This Row],[Стоимость до скидки]]+ППД5[[#This Row],[Сумма доплаты]],-2)</f>
        <v>4698600</v>
      </c>
      <c r="CR140" s="68"/>
      <c r="CS140" s="90"/>
      <c r="CT140" s="68">
        <f>ППД5[[#This Row],[Стоимость до скидки]]*ППД5[[#This Row],[Скидка %]]+ППД5[[#This Row],[Скидка фиксированная]]</f>
        <v>0</v>
      </c>
      <c r="CU140" s="3">
        <f>ППД5[[#This Row],[Стоимость ОН без отделки со скидкой]]/ППД5[[#This Row],[Расчетная проектная площадь]]</f>
        <v>111471.14474929044</v>
      </c>
      <c r="CV140" s="3">
        <f>ROUND(ППД5[[#This Row],[Стоимость до скидки]]-ППД5[[#This Row],[Итоговая сумма скидки]],2)</f>
        <v>4713000</v>
      </c>
      <c r="CW14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140" s="197">
        <v>20000</v>
      </c>
      <c r="CY140" s="332">
        <f>ППД5[[#This Row],[Расхождение]]/ППД5[[#This Row],[Расчетная проектная площадь]]</f>
        <v>-3.0747398297067776E-3</v>
      </c>
      <c r="CZ14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-0.16000000000000192</v>
      </c>
      <c r="DA140" s="3">
        <f>ППД5[[#This Row],[Цена м2 без отделки со скидкой]]+ППД5[[#This Row],[Стоимость отделки]]</f>
        <v>131471.14474929043</v>
      </c>
      <c r="DB140" s="3">
        <f>ППД5[[#This Row],[Стоимость квартиры с отделкой]]-ППД5[[#This Row],[Стоимость ОН без отделки со скидкой]]</f>
        <v>845599.99999999907</v>
      </c>
      <c r="DC140" s="3">
        <f>ППД5[[#This Row],[Цена м2 с отделкой]]*ППД5[[#This Row],[Расчетная проектная площадь]]</f>
        <v>5558599.9999999991</v>
      </c>
      <c r="DD140" s="3"/>
      <c r="DF140" s="199" t="s">
        <v>172</v>
      </c>
      <c r="DG140" s="245" t="s">
        <v>172</v>
      </c>
      <c r="DH140" s="100" t="b">
        <f>EXACT(ППД5[[#This Row],[Статусы CRM]],ППД5[[#This Row],[Статус]])</f>
        <v>1</v>
      </c>
      <c r="DI140" s="213" t="s">
        <v>312</v>
      </c>
      <c r="DJ140" s="204"/>
      <c r="DK140" s="111" t="s">
        <v>763</v>
      </c>
      <c r="DL140" s="216" t="s">
        <v>14</v>
      </c>
      <c r="DM140" s="201" t="b">
        <f>ППД5[[#This Row],[Отделка CRM]]=ППД5[[#This Row],[Отделка]]</f>
        <v>1</v>
      </c>
      <c r="DN140" s="203">
        <v>5558600</v>
      </c>
      <c r="DO14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9.3132257461547852E-10</v>
      </c>
      <c r="DP140" s="207" t="b">
        <f>IF(AND(ППД5[[#This Row],[Статус]]="свободно",ППД5[[#This Row],[Итоговая сумма скидки]]&lt;&gt;0),FALSE,TRUE)</f>
        <v>1</v>
      </c>
      <c r="DQ140" s="240">
        <f>_xlfn.XLOOKUP(ППД5[[#This Row],[№]],Юрист[№ кв],Юрист[Дата подачи на регистрацию]," ",0,-1)</f>
        <v>45457</v>
      </c>
      <c r="DR140" s="115" t="str">
        <f>_xlfn.XLOOKUP(ППД5[[#This Row],[№]],Юрист[№ кв],Юрист[МОП],"",0,-1)</f>
        <v>Дик</v>
      </c>
      <c r="DS140" s="333" t="s">
        <v>2572</v>
      </c>
      <c r="DT140" s="333" t="s">
        <v>2573</v>
      </c>
      <c r="DU140" s="333">
        <v>40.799999999999997</v>
      </c>
      <c r="DV140" s="111"/>
    </row>
    <row r="141" spans="1:126" hidden="1" x14ac:dyDescent="0.25">
      <c r="A141" s="112">
        <v>139</v>
      </c>
      <c r="B141" s="111" t="s">
        <v>4</v>
      </c>
      <c r="C141" s="111">
        <v>5</v>
      </c>
      <c r="D141" s="338">
        <v>1</v>
      </c>
      <c r="E141" s="111">
        <v>2</v>
      </c>
      <c r="F141" s="105">
        <v>15.91</v>
      </c>
      <c r="G141" s="105">
        <v>12.02</v>
      </c>
      <c r="H141" s="105"/>
      <c r="I141" s="94">
        <f>SUM(ППД5[[#This Row],[Комната 1]:[Комната 3]])</f>
        <v>27.93</v>
      </c>
      <c r="J141" s="105">
        <v>15.31</v>
      </c>
      <c r="K141" s="105">
        <v>3.85</v>
      </c>
      <c r="L141" s="105">
        <v>2.2999999999999998</v>
      </c>
      <c r="M141" s="105"/>
      <c r="N141" s="105">
        <v>9.4499999999999993</v>
      </c>
      <c r="O141" s="105">
        <v>2.75</v>
      </c>
      <c r="P141" s="105"/>
      <c r="Q141" s="105"/>
      <c r="R141" s="105">
        <f>SUM(ППД5[[#This Row],[Лоджия 1]:[Лоджия 3]])</f>
        <v>2.75</v>
      </c>
      <c r="S141" s="8">
        <f>ROUND(SUM(ППД5[[#This Row],[Площадь по проекту жилая]:[Лоджия 3]]),2)</f>
        <v>61.59</v>
      </c>
      <c r="T141" s="8">
        <f>ROUND(ППД5[[#This Row],[Площадь по проекту(общая)]]-ППД5[[#This Row],[Летние]],2)</f>
        <v>58.84</v>
      </c>
      <c r="U141" s="91">
        <f>ROUND(ППД5[[#This Row],[Площадь по проекту(общая)]]-(SUM(ППД5[[#This Row],[Лоджия 1]:[Лоджия 3]])/2),2)</f>
        <v>60.22</v>
      </c>
      <c r="V141" s="91">
        <f>IF(ППД5[[#This Row],[Статус]]="продажа",ППД5[[#This Row],[Расчетная проектная площадь]],ППД5[[#This Row],[Расчетная ТП площадь]])</f>
        <v>60.22</v>
      </c>
      <c r="W141" s="91">
        <v>15.7</v>
      </c>
      <c r="X141" s="91">
        <v>11.9</v>
      </c>
      <c r="Y141" s="91"/>
      <c r="Z141" s="91">
        <f>SUM(ППД5[[#This Row],[ТП Комната 1]:[ТП Комната 3]])</f>
        <v>27.6</v>
      </c>
      <c r="AA141" s="91">
        <v>15.1</v>
      </c>
      <c r="AB141" s="91">
        <v>3.9</v>
      </c>
      <c r="AC141" s="91">
        <v>2.2000000000000002</v>
      </c>
      <c r="AD141" s="91"/>
      <c r="AE141" s="91">
        <v>9.4</v>
      </c>
      <c r="AF141" s="91">
        <v>1.4</v>
      </c>
      <c r="AG141" s="91"/>
      <c r="AH141" s="91"/>
      <c r="AI141" s="91">
        <f>SUM(ППД5[[#This Row],[ТП Лоджия 1]:[ТП Лоджия 3]])</f>
        <v>1.4</v>
      </c>
      <c r="AJ141" s="95">
        <v>2.8</v>
      </c>
      <c r="AK141" s="91">
        <f>SUM(ППД5[[#This Row],[Площадь по ТП жилая]:[ТП Лоджия 3]])-ППД5[[#This Row],[ТП Летние]]+ППД5[[#This Row],[кроме того прочая
(без коэффициента)]]</f>
        <v>61</v>
      </c>
      <c r="AL141" s="95">
        <f>ППД5[[#This Row],[ТП Площадь без летних]]+(ППД5[[#This Row],[ТП Летние]])</f>
        <v>59.6</v>
      </c>
      <c r="AM141" s="91">
        <f>ППД5[[#This Row],[ТП общая S]]-ППД5[[#This Row],[кроме того прочая
(без коэффициента)]]</f>
        <v>58.2</v>
      </c>
      <c r="AN141" s="95">
        <f>SUM(ППД5[[#This Row],[ТП Кухня]:[ТП Коридор]])</f>
        <v>30.6</v>
      </c>
      <c r="AO141" s="91">
        <f>ППД5[[#This Row],[Расчетная ТП площадь]]-ППД5[[#This Row],[Расчетная проектная площадь]]</f>
        <v>-0.61999999999999744</v>
      </c>
      <c r="AP141" s="335">
        <f>ППД5[[#This Row],[Расчетная ТП площадь]]/ППД5[[#This Row],[Расчетная проектная площадь]]-1</f>
        <v>-1.0295582862836272E-2</v>
      </c>
      <c r="AQ141" s="91">
        <f>ППД5[[#This Row],[% расхождения]]*ППД5[[#This Row],[Стоимость до скидки]]</f>
        <v>-60305.347060777181</v>
      </c>
      <c r="AR141" s="91">
        <f>VLOOKUP(ППД5[[#This Row],[№]],наценкад5[],COLUMN(наценкад5[[#This Row],[Цена м2 с учетом всех K]]),0)</f>
        <v>80307.864000000001</v>
      </c>
      <c r="AS141" s="8">
        <f>ППД5[[#This Row],[м2 после К]]*5%</f>
        <v>4015.3932000000004</v>
      </c>
      <c r="AT141" s="8">
        <f>ППД5[[#This Row],[м2 после К]]+ППД5[[#This Row],[Повышение 16.08.23 - 5%]]</f>
        <v>84323.257200000007</v>
      </c>
      <c r="AU141" s="93">
        <f>ППД5[[#This Row],[Фикс 16.08.23]]*3%</f>
        <v>2529.6977160000001</v>
      </c>
      <c r="AV141" s="93">
        <f>ППД5[[#This Row],[Фикс 16.08.23]]+ППД5[[#This Row],[Повышение 29.08.23 - 3%]]</f>
        <v>86852.954916000002</v>
      </c>
      <c r="AW141" s="93"/>
      <c r="AX141" s="93">
        <f>ППД5[[#This Row],[Фикс 29.08.23]]+ППД5[[#This Row],[Повышение 06.09.23 СТ и 1К]]</f>
        <v>86852.954916000002</v>
      </c>
      <c r="AY141" s="93"/>
      <c r="AZ141" s="93">
        <f>ППД5[[#This Row],[Повышение 23.10.23  В4 ]]+ППД5[[#This Row],[Фикс 06.09.23]]</f>
        <v>86852.954916000002</v>
      </c>
      <c r="BA141" s="93"/>
      <c r="BB141" s="93">
        <f>ППД5[[#This Row],[Повышение 8.11.23 1К 5%]]+ППД5[[#This Row],[Фикс 23.10.23]]</f>
        <v>86852.954916000002</v>
      </c>
      <c r="BC141" s="93"/>
      <c r="BD141" s="93">
        <f>ППД5[[#This Row],[Корректировка 24.11.23 - 1К В5, 2К А2, №233]]+ППД5[[#This Row],[Фикс 8.11.23]]</f>
        <v>86852.954916000002</v>
      </c>
      <c r="BE141" s="93">
        <f>ППД5[[#This Row],[Фикс 8.11.24]]*1%</f>
        <v>868.52954915999999</v>
      </c>
      <c r="BF141" s="93">
        <f>ППД5[[#This Row],[Наценка за отделку 29.12.23 1%]]+ППД5[[#This Row],[Фикс 8.11.24]]</f>
        <v>87721.48446516</v>
      </c>
      <c r="BG141" s="93">
        <f>ППД5[[#This Row],[Фикс 29.12.23]]*5%</f>
        <v>4386.0742232580005</v>
      </c>
      <c r="BH141" s="93">
        <f>ППД5[[#This Row],[Фикс 29.12.23]]+ППД5[[#This Row],[Наценка 10.01.24 5%]]</f>
        <v>92107.558688417994</v>
      </c>
      <c r="BI141" s="93"/>
      <c r="BJ141" s="93">
        <f>ППД5[[#This Row],[Наценка 26.02.24 1 Этаж]]+ППД5[[#This Row],[Фикс 10.01.24]]</f>
        <v>92107.558688417994</v>
      </c>
      <c r="BK141" s="93">
        <f>ППД5[[#This Row],[Фикс 26.02.24]]*2%</f>
        <v>1842.15117376836</v>
      </c>
      <c r="BL141" s="93">
        <f>ППД5[[#This Row],[Фикс 26.02.24]]+ППД5[[#This Row],[Наценка 06.03.24
СТ, 1К - 3%
2К, 3К - 2%]]</f>
        <v>93949.709862186355</v>
      </c>
      <c r="BM141" s="93"/>
      <c r="BN141" s="93">
        <f>ППД5[[#This Row],[Фикс 06.03.24]]+ППД5[[#This Row],[Наценка Г2+500]]</f>
        <v>93949.709862186355</v>
      </c>
      <c r="BO141" s="93">
        <f>ППД5[[#This Row],[Фикс 13.03.25]]*2%</f>
        <v>1878.9941972437271</v>
      </c>
      <c r="BP141" s="93">
        <f>ППД5[[#This Row],[Фикс 13.03.25]]+ППД5[[#This Row],[Наценка 20.03.24
2К, 3К - 2%]]</f>
        <v>95828.704059430078</v>
      </c>
      <c r="BQ141" s="93"/>
      <c r="BR141" s="93">
        <f>ППД5[[#This Row],[Фикс 20.03.24]]+ППД5[[#This Row],[Наценка 08.04.24 
2К: В3 - 150
3К: Г7 +1000]]</f>
        <v>95828.704059430078</v>
      </c>
      <c r="BS141" s="93"/>
      <c r="BT141" s="93">
        <f>ППД5[[#This Row],[Фикс 08.04.24]]+ППД5[[#This Row],[Наценка 16.05.24 1%
А4,А6,Б3,Б6,Б7,В2,В3,В5,В6,Г1,Г3-Г5]]</f>
        <v>95828.704059430078</v>
      </c>
      <c r="BU141" s="93"/>
      <c r="BV141" s="93">
        <f>ППД5[[#This Row],[Фикс 16.05.24]]+ППД5[[#This Row],[Наценка 24.05.24
1% - Б4, Б5,Г2,Г6
2% - А1,А3,А5,Б2,Г7]]</f>
        <v>95828.704059430078</v>
      </c>
      <c r="BW141" s="93"/>
      <c r="BX141" s="93">
        <f>ППД5[[#This Row],[Наценка 06.06.24
0К: В2,Г3 +0,5%
1К: А7, Б5/4, Г6 +0,5%
3К: В6 +0,5%
1К: А3 +1%]]+ППД5[[#This Row],[Фикс 24.05.24]]</f>
        <v>95828.704059430078</v>
      </c>
      <c r="BY141" s="93"/>
      <c r="BZ141" s="93">
        <f>ППД5[[#This Row],[Фикс 06.06.24]]+ППД5[[#This Row],[13.06.2024
3К - 2%]]</f>
        <v>95828.704059430078</v>
      </c>
      <c r="CA141" s="93">
        <f>ППД5[[#This Row],[Фикс 13.06.24]]*1.5%</f>
        <v>1437.430560891451</v>
      </c>
      <c r="CB141" s="93">
        <f>ППД5[[#This Row],[02.07.2024: Г3 А1 А3 Б5 Б7 Г2 Г6 Б3 Б4 В3 Г7 2,5% ост 0,5-1,5%]]+ППД5[[#This Row],[Фикс 13.06.24]]</f>
        <v>97266.134620321536</v>
      </c>
      <c r="CC141" s="93"/>
      <c r="CD141" s="93">
        <f>ППД5[[#This Row],[Фикс 02.07.24]]+ППД5[[#This Row],[04.09.2024 +500
0К - Б2; 1К - А3;
2К - А6, Б4, В3, Г5]]</f>
        <v>97266.134620321536</v>
      </c>
      <c r="CE141" s="93"/>
      <c r="CF141" s="93">
        <f>ППД5[[#This Row],[Наценка 16.09.2024
1К: А1,В7,Г6/7,Г8 - 2%
2К: А4,А5,А6,Б1,Б6,Б3/4,В3,В4,Г4,Г5 - 4%
3К: 4%]]+ППД5[[#This Row],[Фикс 04.09.24]]</f>
        <v>97266.134620321536</v>
      </c>
      <c r="CG141" s="93"/>
      <c r="CH141" s="93">
        <f>ППД5[[#This Row],[Фикс 16.09.2024]]+ППД5[[#This Row],[Наценка 01.11.24
СТ: 4%
1К: 34-40м 5%; 40м+ 8%; МГН 1%
2К: 55-70м 6%; 70-73м 7%; 73-76м 8% 
3К: 5%]]</f>
        <v>97266.134620321536</v>
      </c>
      <c r="CI141" s="93"/>
      <c r="CJ141" s="93">
        <f>ППД5[[#This Row],[Наценка 06.11 13%]]+ППД5[[#This Row],[Фикс 01.11.24]]</f>
        <v>97266.134620321536</v>
      </c>
      <c r="CK141" s="93"/>
      <c r="CL141" s="93">
        <f>ППД5[[#This Row],[Фикс 06.11.24]]+ППД5[[#This Row],[Наценка 18.12.24 распределение КВ]]</f>
        <v>97266.134620321536</v>
      </c>
      <c r="CM141" s="93"/>
      <c r="CN141" s="93">
        <f>ППД5[[#This Row],[Фикс 18.12.24]]+ППД5[[#This Row],[Наценка 10.02.25 +1%
1К: А3
2К: Б3, В3]]</f>
        <v>97266.134620321536</v>
      </c>
      <c r="CO141" s="93">
        <f>ROUND(ППД5[[#This Row],[Фикс 10.02.25]],2)</f>
        <v>97266.13</v>
      </c>
      <c r="CP14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5857400</v>
      </c>
      <c r="CQ141" s="93">
        <f>ROUNDUP(ППД5[[#This Row],[Стоимость до скидки]]+ППД5[[#This Row],[Сумма доплаты]],-2)</f>
        <v>5797100</v>
      </c>
      <c r="CR141" s="68"/>
      <c r="CS141" s="90"/>
      <c r="CT141" s="68">
        <f>ППД5[[#This Row],[Стоимость до скидки]]*ППД5[[#This Row],[Скидка %]]+ППД5[[#This Row],[Скидка фиксированная]]</f>
        <v>0</v>
      </c>
      <c r="CU141" s="3">
        <f>ППД5[[#This Row],[Стоимость ОН без отделки со скидкой]]/ППД5[[#This Row],[Расчетная проектная площадь]]</f>
        <v>97266.688807705083</v>
      </c>
      <c r="CV141" s="3">
        <f>ROUND(ППД5[[#This Row],[Стоимость до скидки]]-ППД5[[#This Row],[Итоговая сумма скидки]],2)</f>
        <v>5857400</v>
      </c>
      <c r="CW14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141" s="197">
        <v>7000</v>
      </c>
      <c r="CY141" s="332">
        <f>ППД5[[#This Row],[Расхождение]]/ППД5[[#This Row],[Расчетная проектная площадь]]</f>
        <v>-1.0295582862836225E-2</v>
      </c>
      <c r="CZ14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-0.30999999999999872</v>
      </c>
      <c r="DA141" s="3">
        <f>ППД5[[#This Row],[Цена м2 без отделки со скидкой]]+ППД5[[#This Row],[Стоимость отделки]]</f>
        <v>104266.68880770508</v>
      </c>
      <c r="DB141" s="3">
        <f>ППД5[[#This Row],[Стоимость квартиры с отделкой]]-ППД5[[#This Row],[Стоимость ОН без отделки со скидкой]]</f>
        <v>421540</v>
      </c>
      <c r="DC141" s="3">
        <f>ППД5[[#This Row],[Цена м2 с отделкой]]*ППД5[[#This Row],[Расчетная проектная площадь]]</f>
        <v>6278940</v>
      </c>
      <c r="DD141" s="3"/>
      <c r="DF141" s="199" t="s">
        <v>172</v>
      </c>
      <c r="DG141" s="245" t="s">
        <v>172</v>
      </c>
      <c r="DH141" s="100" t="b">
        <f>EXACT(ППД5[[#This Row],[Статусы CRM]],ППД5[[#This Row],[Статус]])</f>
        <v>1</v>
      </c>
      <c r="DI141" s="213" t="s">
        <v>313</v>
      </c>
      <c r="DJ141" s="204"/>
      <c r="DK141" s="111" t="s">
        <v>763</v>
      </c>
      <c r="DL141" s="216" t="s">
        <v>780</v>
      </c>
      <c r="DM141" s="201" t="b">
        <f>ППД5[[#This Row],[Отделка CRM]]=ППД5[[#This Row],[Отделка]]</f>
        <v>1</v>
      </c>
      <c r="DN141" s="203">
        <v>6278940</v>
      </c>
      <c r="DO14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41" s="207" t="b">
        <f>IF(AND(ППД5[[#This Row],[Статус]]="свободно",ППД5[[#This Row],[Итоговая сумма скидки]]&lt;&gt;0),FALSE,TRUE)</f>
        <v>1</v>
      </c>
      <c r="DQ141" s="240">
        <f>_xlfn.XLOOKUP(ППД5[[#This Row],[№]],Юрист[№ кв],Юрист[Дата подачи на регистрацию]," ",0,-1)</f>
        <v>45492</v>
      </c>
      <c r="DR141" s="115" t="str">
        <f>_xlfn.XLOOKUP(ППД5[[#This Row],[№]],Юрист[№ кв],Юрист[МОП],"",0,-1)</f>
        <v>Полехович</v>
      </c>
      <c r="DS141" s="333" t="s">
        <v>2574</v>
      </c>
      <c r="DT141" s="333" t="s">
        <v>2575</v>
      </c>
      <c r="DU141" s="333">
        <v>58.2</v>
      </c>
      <c r="DV141" s="111"/>
    </row>
    <row r="142" spans="1:126" hidden="1" x14ac:dyDescent="0.25">
      <c r="A142" s="112">
        <v>140</v>
      </c>
      <c r="B142" s="111" t="s">
        <v>4</v>
      </c>
      <c r="C142" s="111">
        <v>5</v>
      </c>
      <c r="D142" s="111">
        <v>2</v>
      </c>
      <c r="E142" s="111">
        <v>0</v>
      </c>
      <c r="F142" s="105">
        <v>7.13</v>
      </c>
      <c r="G142" s="105"/>
      <c r="H142" s="105"/>
      <c r="I142" s="94">
        <f>SUM(ППД5[[#This Row],[Комната 1]:[Комната 3]])</f>
        <v>7.13</v>
      </c>
      <c r="J142" s="105">
        <v>5.12</v>
      </c>
      <c r="K142" s="105">
        <v>3.65</v>
      </c>
      <c r="L142" s="105"/>
      <c r="M142" s="105"/>
      <c r="N142" s="105">
        <v>6.92</v>
      </c>
      <c r="O142" s="105">
        <v>2.91</v>
      </c>
      <c r="P142" s="105"/>
      <c r="Q142" s="105"/>
      <c r="R142" s="105">
        <f>SUM(ППД5[[#This Row],[Лоджия 1]:[Лоджия 3]])</f>
        <v>2.91</v>
      </c>
      <c r="S142" s="8">
        <f>ROUND(SUM(ППД5[[#This Row],[Площадь по проекту жилая]:[Лоджия 3]]),2)</f>
        <v>25.73</v>
      </c>
      <c r="T142" s="8">
        <f>ROUND(ППД5[[#This Row],[Площадь по проекту(общая)]]-ППД5[[#This Row],[Летние]],2)</f>
        <v>22.82</v>
      </c>
      <c r="U142" s="91">
        <f>ROUND(ППД5[[#This Row],[Площадь по проекту(общая)]]-(SUM(ППД5[[#This Row],[Лоджия 1]:[Лоджия 3]])/2),2)</f>
        <v>24.28</v>
      </c>
      <c r="V142" s="91">
        <f>IF(ППД5[[#This Row],[Статус]]="продажа",ППД5[[#This Row],[Расчетная проектная площадь]],ППД5[[#This Row],[Расчетная ТП площадь]])</f>
        <v>24.28</v>
      </c>
      <c r="W142" s="91">
        <v>7.1</v>
      </c>
      <c r="X142" s="91"/>
      <c r="Y142" s="91"/>
      <c r="Z142" s="91">
        <f>SUM(ППД5[[#This Row],[ТП Комната 1]:[ТП Комната 3]])</f>
        <v>7.1</v>
      </c>
      <c r="AA142" s="91">
        <v>5.0999999999999996</v>
      </c>
      <c r="AB142" s="91">
        <v>3.7</v>
      </c>
      <c r="AC142" s="91"/>
      <c r="AD142" s="91"/>
      <c r="AE142" s="91">
        <v>7.1</v>
      </c>
      <c r="AF142" s="91">
        <v>1.45</v>
      </c>
      <c r="AG142" s="91"/>
      <c r="AH142" s="91"/>
      <c r="AI142" s="91">
        <f>SUM(ППД5[[#This Row],[ТП Лоджия 1]:[ТП Лоджия 3]])</f>
        <v>1.45</v>
      </c>
      <c r="AJ142" s="95">
        <v>2.9</v>
      </c>
      <c r="AK142" s="91">
        <f>SUM(ППД5[[#This Row],[Площадь по ТП жилая]:[ТП Лоджия 3]])-ППД5[[#This Row],[ТП Летние]]+ППД5[[#This Row],[кроме того прочая
(без коэффициента)]]</f>
        <v>25.9</v>
      </c>
      <c r="AL142" s="95">
        <f>ППД5[[#This Row],[ТП Площадь без летних]]+(ППД5[[#This Row],[ТП Летние]])</f>
        <v>24.45</v>
      </c>
      <c r="AM142" s="91">
        <f>ППД5[[#This Row],[ТП общая S]]-ППД5[[#This Row],[кроме того прочая
(без коэффициента)]]</f>
        <v>23</v>
      </c>
      <c r="AN142" s="95">
        <f>SUM(ППД5[[#This Row],[ТП Кухня]:[ТП Коридор]])</f>
        <v>15.9</v>
      </c>
      <c r="AO142" s="91">
        <f>ППД5[[#This Row],[Расчетная ТП площадь]]-ППД5[[#This Row],[Расчетная проектная площадь]]</f>
        <v>0.16999999999999815</v>
      </c>
      <c r="AP142" s="335">
        <f>ППД5[[#This Row],[Расчетная ТП площадь]]/ППД5[[#This Row],[Расчетная проектная площадь]]-1</f>
        <v>7.0016474464578149E-3</v>
      </c>
      <c r="AQ142" s="91">
        <f>ППД5[[#This Row],[% расхождения]]*ППД5[[#This Row],[Стоимость до скидки]]</f>
        <v>25460.090609554551</v>
      </c>
      <c r="AR142" s="91">
        <f>VLOOKUP(ППД5[[#This Row],[№]],наценкад5[],COLUMN(наценкад5[[#This Row],[Цена м2 с учетом всех K]]),0)</f>
        <v>90229.544999999998</v>
      </c>
      <c r="AS142" s="8">
        <f>ППД5[[#This Row],[м2 после К]]*5%</f>
        <v>4511.4772499999999</v>
      </c>
      <c r="AT142" s="8">
        <f>ППД5[[#This Row],[м2 после К]]+ППД5[[#This Row],[Повышение 16.08.23 - 5%]]</f>
        <v>94741.022249999995</v>
      </c>
      <c r="AU142" s="93">
        <f>ППД5[[#This Row],[Фикс 16.08.23]]*3%</f>
        <v>2842.2306674999995</v>
      </c>
      <c r="AV142" s="93">
        <f>ППД5[[#This Row],[Фикс 16.08.23]]+ППД5[[#This Row],[Повышение 29.08.23 - 3%]]</f>
        <v>97583.252917499995</v>
      </c>
      <c r="AW142" s="47">
        <f>ППД5[[#This Row],[Фикс 29.08.23]]*15%</f>
        <v>14637.487937624999</v>
      </c>
      <c r="AX142" s="93">
        <f>ППД5[[#This Row],[Фикс 29.08.23]]+ППД5[[#This Row],[Повышение 06.09.23 СТ и 1К]]</f>
        <v>112220.740855125</v>
      </c>
      <c r="AY142" s="93"/>
      <c r="AZ142" s="93">
        <f>ППД5[[#This Row],[Повышение 23.10.23  В4 ]]+ППД5[[#This Row],[Фикс 06.09.23]]</f>
        <v>112220.740855125</v>
      </c>
      <c r="BA142" s="93"/>
      <c r="BB142" s="93">
        <f>ППД5[[#This Row],[Повышение 8.11.23 1К 5%]]+ППД5[[#This Row],[Фикс 23.10.23]]</f>
        <v>112220.740855125</v>
      </c>
      <c r="BC142" s="93"/>
      <c r="BD142" s="93">
        <f>ППД5[[#This Row],[Корректировка 24.11.23 - 1К В5, 2К А2, №233]]+ППД5[[#This Row],[Фикс 8.11.23]]</f>
        <v>112220.740855125</v>
      </c>
      <c r="BE142" s="93">
        <f>ППД5[[#This Row],[Фикс 8.11.24]]*1%</f>
        <v>1122.20740855125</v>
      </c>
      <c r="BF142" s="93">
        <f>ППД5[[#This Row],[Наценка за отделку 29.12.23 1%]]+ППД5[[#This Row],[Фикс 8.11.24]]</f>
        <v>113342.94826367624</v>
      </c>
      <c r="BG142" s="93">
        <f>ППД5[[#This Row],[Фикс 29.12.23]]*5%</f>
        <v>5667.1474131838122</v>
      </c>
      <c r="BH142" s="93">
        <f>ППД5[[#This Row],[Фикс 29.12.23]]+ППД5[[#This Row],[Наценка 10.01.24 5%]]</f>
        <v>119010.09567686006</v>
      </c>
      <c r="BI142" s="93"/>
      <c r="BJ142" s="93">
        <f>ППД5[[#This Row],[Наценка 26.02.24 1 Этаж]]+ППД5[[#This Row],[Фикс 10.01.24]]</f>
        <v>119010.09567686006</v>
      </c>
      <c r="BK142" s="93">
        <f>ППД5[[#This Row],[Фикс 26.02.24]]*3%</f>
        <v>3570.3028703058017</v>
      </c>
      <c r="BL142" s="93">
        <f>ППД5[[#This Row],[Фикс 26.02.24]]+ППД5[[#This Row],[Наценка 06.03.24
СТ, 1К - 3%
2К, 3К - 2%]]</f>
        <v>122580.39854716587</v>
      </c>
      <c r="BM142" s="93"/>
      <c r="BN142" s="93">
        <f>ППД5[[#This Row],[Фикс 06.03.24]]+ППД5[[#This Row],[Наценка Г2+500]]</f>
        <v>122580.39854716587</v>
      </c>
      <c r="BO142" s="93"/>
      <c r="BP142" s="93">
        <f>ППД5[[#This Row],[Фикс 13.03.25]]+ППД5[[#This Row],[Наценка 20.03.24
2К, 3К - 2%]]</f>
        <v>122580.39854716587</v>
      </c>
      <c r="BQ142" s="93"/>
      <c r="BR142" s="93">
        <f>ППД5[[#This Row],[Фикс 20.03.24]]+ППД5[[#This Row],[Наценка 08.04.24 
2К: В3 - 150
3К: Г7 +1000]]</f>
        <v>122580.39854716587</v>
      </c>
      <c r="BS142" s="93"/>
      <c r="BT142" s="93">
        <f>ППД5[[#This Row],[Фикс 08.04.24]]+ППД5[[#This Row],[Наценка 16.05.24 1%
А4,А6,Б3,Б6,Б7,В2,В3,В5,В6,Г1,Г3-Г5]]</f>
        <v>122580.39854716587</v>
      </c>
      <c r="BU142" s="93">
        <f>ППД5[[#This Row],[Фикс 16.05.24]]*2%</f>
        <v>2451.6079709433175</v>
      </c>
      <c r="BV142" s="93">
        <f>ППД5[[#This Row],[Фикс 16.05.24]]+ППД5[[#This Row],[Наценка 24.05.24
1% - Б4, Б5,Г2,Г6
2% - А1,А3,А5,Б2,Г7]]</f>
        <v>125032.00651810918</v>
      </c>
      <c r="BW142" s="93"/>
      <c r="BX142" s="93">
        <f>ППД5[[#This Row],[Наценка 06.06.24
0К: В2,Г3 +0,5%
1К: А7, Б5/4, Г6 +0,5%
3К: В6 +0,5%
1К: А3 +1%]]+ППД5[[#This Row],[Фикс 24.05.24]]</f>
        <v>125032.00651810918</v>
      </c>
      <c r="BY142" s="93"/>
      <c r="BZ142" s="93">
        <f>ППД5[[#This Row],[Фикс 06.06.24]]+ППД5[[#This Row],[13.06.2024
3К - 2%]]</f>
        <v>125032.00651810918</v>
      </c>
      <c r="CA142" s="93">
        <f>1.5%*ППД5[[#This Row],[Фикс 13.06.24]]</f>
        <v>1875.4800977716377</v>
      </c>
      <c r="CB142" s="93">
        <f>ППД5[[#This Row],[02.07.2024: Г3 А1 А3 Б5 Б7 Г2 Г6 Б3 Б4 В3 Г7 2,5% ост 0,5-1,5%]]+ППД5[[#This Row],[Фикс 13.06.24]]</f>
        <v>126907.48661588081</v>
      </c>
      <c r="CC142" s="93">
        <v>500</v>
      </c>
      <c r="CD142" s="93">
        <f>ППД5[[#This Row],[Фикс 02.07.24]]+ППД5[[#This Row],[04.09.2024 +500
0К - Б2; 1К - А3;
2К - А6, Б4, В3, Г5]]</f>
        <v>127407.48661588081</v>
      </c>
      <c r="CE142" s="93"/>
      <c r="CF142" s="93">
        <f>ППД5[[#This Row],[Наценка 16.09.2024
1К: А1,В7,Г6/7,Г8 - 2%
2К: А4,А5,А6,Б1,Б6,Б3/4,В3,В4,Г4,Г5 - 4%
3К: 4%]]+ППД5[[#This Row],[Фикс 04.09.24]]</f>
        <v>127407.48661588081</v>
      </c>
      <c r="CG142" s="93">
        <f>ППД5[[#This Row],[Фикс 16.09.2024]]*4%</f>
        <v>5096.2994646352327</v>
      </c>
      <c r="CH142" s="93">
        <f>ППД5[[#This Row],[Фикс 16.09.2024]]+ППД5[[#This Row],[Наценка 01.11.24
СТ: 4%
1К: 34-40м 5%; 40м+ 8%; МГН 1%
2К: 55-70м 6%; 70-73м 7%; 73-76м 8% 
3К: 5%]]</f>
        <v>132503.78608051606</v>
      </c>
      <c r="CI142" s="93">
        <f>ППД5[[#This Row],[Фикс 01.11.24]]*13%</f>
        <v>17225.492190467088</v>
      </c>
      <c r="CJ142" s="93">
        <f>ППД5[[#This Row],[Наценка 06.11 13%]]+ППД5[[#This Row],[Фикс 01.11.24]]</f>
        <v>149729.27827098314</v>
      </c>
      <c r="CK142" s="93">
        <v>35</v>
      </c>
      <c r="CL142" s="93">
        <f>ППД5[[#This Row],[Фикс 06.11.24]]+ППД5[[#This Row],[Наценка 18.12.24 распределение КВ]]</f>
        <v>149764.27827098314</v>
      </c>
      <c r="CM142" s="93"/>
      <c r="CN142" s="93">
        <f>ППД5[[#This Row],[Фикс 18.12.24]]+ППД5[[#This Row],[Наценка 10.02.25 +1%
1К: А3
2К: Б3, В3]]</f>
        <v>149764.27827098314</v>
      </c>
      <c r="CO142" s="93">
        <f>ROUND(ППД5[[#This Row],[Фикс 10.02.25]],2)</f>
        <v>149764.28</v>
      </c>
      <c r="CP14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3636300</v>
      </c>
      <c r="CQ142" s="93">
        <f>ROUNDUP(ППД5[[#This Row],[Стоимость до скидки]]+ППД5[[#This Row],[Сумма доплаты]],-2)</f>
        <v>3661800</v>
      </c>
      <c r="CR142" s="68">
        <f>ППД5[[#This Row],[Расчетная проектная площадь]]*8000</f>
        <v>194240</v>
      </c>
      <c r="CS142" s="90"/>
      <c r="CT142" s="68">
        <f>ППД5[[#This Row],[Стоимость до скидки]]*ППД5[[#This Row],[Скидка %]]+ППД5[[#This Row],[Скидка фиксированная]]</f>
        <v>194240</v>
      </c>
      <c r="CU142" s="3">
        <f>ППД5[[#This Row],[Стоимость ОН без отделки со скидкой]]/ППД5[[#This Row],[Расчетная проектная площадь]]</f>
        <v>141765.2388797364</v>
      </c>
      <c r="CV142" s="3">
        <f>ROUND(ППД5[[#This Row],[Стоимость до скидки]]-ППД5[[#This Row],[Итоговая сумма скидки]],2)</f>
        <v>3442060</v>
      </c>
      <c r="CW14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42" s="197"/>
      <c r="CY142" s="332">
        <f>ППД5[[#This Row],[Расхождение]]/ППД5[[#This Row],[Расчетная проектная площадь]]</f>
        <v>7.0016474464579138E-3</v>
      </c>
      <c r="CZ14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0.20999999999999996</v>
      </c>
      <c r="DA142" s="3">
        <f>ППД5[[#This Row],[Цена м2 без отделки со скидкой]]+ППД5[[#This Row],[Стоимость отделки]]</f>
        <v>141765.2388797364</v>
      </c>
      <c r="DB142" s="3">
        <f>ППД5[[#This Row],[Стоимость квартиры с отделкой]]-ППД5[[#This Row],[Стоимость ОН без отделки со скидкой]]</f>
        <v>0</v>
      </c>
      <c r="DC142" s="3">
        <f>ППД5[[#This Row],[Цена м2 с отделкой]]*ППД5[[#This Row],[Расчетная проектная площадь]]</f>
        <v>3442060</v>
      </c>
      <c r="DD142" s="3"/>
      <c r="DE142" s="111" t="s">
        <v>2122</v>
      </c>
      <c r="DF142" s="199" t="s">
        <v>172</v>
      </c>
      <c r="DG142" s="221" t="s">
        <v>172</v>
      </c>
      <c r="DH142" s="100" t="b">
        <f>EXACT(ППД5[[#This Row],[Статусы CRM]],ППД5[[#This Row],[Статус]])</f>
        <v>1</v>
      </c>
      <c r="DI142" s="213" t="s">
        <v>314</v>
      </c>
      <c r="DJ142" s="204"/>
      <c r="DK142" s="111" t="s">
        <v>763</v>
      </c>
      <c r="DL142" s="216" t="s">
        <v>12</v>
      </c>
      <c r="DM142" s="201" t="b">
        <f>ППД5[[#This Row],[Отделка CRM]]=ППД5[[#This Row],[Отделка]]</f>
        <v>1</v>
      </c>
      <c r="DN142" s="203">
        <v>3442060</v>
      </c>
      <c r="DO14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42" s="207" t="b">
        <f>IF(AND(ППД5[[#This Row],[Статус]]="свободно",ППД5[[#This Row],[Итоговая сумма скидки]]&lt;&gt;0),FALSE,TRUE)</f>
        <v>1</v>
      </c>
      <c r="DQ142" s="240">
        <f>_xlfn.XLOOKUP(ППД5[[#This Row],[№]],Юрист[№ кв],Юрист[Дата подачи на регистрацию]," ",0,-1)</f>
        <v>45772</v>
      </c>
      <c r="DR142" s="115" t="str">
        <f>_xlfn.XLOOKUP(ППД5[[#This Row],[№]],Юрист[№ кв],Юрист[МОП],"",0,-1)</f>
        <v>Нуждина</v>
      </c>
      <c r="DS142" s="333" t="s">
        <v>2576</v>
      </c>
      <c r="DT142" s="333" t="s">
        <v>2577</v>
      </c>
      <c r="DU142" s="333">
        <v>23</v>
      </c>
      <c r="DV142" s="111"/>
    </row>
    <row r="143" spans="1:126" hidden="1" x14ac:dyDescent="0.25">
      <c r="A143" s="112">
        <v>141</v>
      </c>
      <c r="B143" s="111" t="s">
        <v>4</v>
      </c>
      <c r="C143" s="111">
        <v>5</v>
      </c>
      <c r="D143" s="111">
        <v>3</v>
      </c>
      <c r="E143" s="111">
        <v>2</v>
      </c>
      <c r="F143" s="105">
        <v>14.6</v>
      </c>
      <c r="G143" s="105">
        <v>13.12</v>
      </c>
      <c r="H143" s="105"/>
      <c r="I143" s="94">
        <f>SUM(ППД5[[#This Row],[Комната 1]:[Комната 3]])</f>
        <v>27.72</v>
      </c>
      <c r="J143" s="105">
        <v>14.35</v>
      </c>
      <c r="K143" s="105">
        <v>3.68</v>
      </c>
      <c r="L143" s="105">
        <v>2.57</v>
      </c>
      <c r="M143" s="105"/>
      <c r="N143" s="105">
        <v>7.95</v>
      </c>
      <c r="O143" s="105">
        <v>2.65</v>
      </c>
      <c r="P143" s="105"/>
      <c r="Q143" s="105"/>
      <c r="R143" s="105">
        <f>SUM(ППД5[[#This Row],[Лоджия 1]:[Лоджия 3]])</f>
        <v>2.65</v>
      </c>
      <c r="S143" s="8">
        <f>ROUND(SUM(ППД5[[#This Row],[Площадь по проекту жилая]:[Лоджия 3]]),2)</f>
        <v>58.92</v>
      </c>
      <c r="T143" s="8">
        <f>ROUND(ППД5[[#This Row],[Площадь по проекту(общая)]]-ППД5[[#This Row],[Летние]],2)</f>
        <v>56.27</v>
      </c>
      <c r="U143" s="91">
        <f>ROUND(ППД5[[#This Row],[Площадь по проекту(общая)]]-(SUM(ППД5[[#This Row],[Лоджия 1]:[Лоджия 3]])/2),2)</f>
        <v>57.6</v>
      </c>
      <c r="V143" s="91">
        <f>IF(ППД5[[#This Row],[Статус]]="продажа",ППД5[[#This Row],[Расчетная проектная площадь]],ППД5[[#This Row],[Расчетная ТП площадь]])</f>
        <v>57.6</v>
      </c>
      <c r="W143" s="91">
        <v>12.9</v>
      </c>
      <c r="X143" s="91">
        <v>14.6</v>
      </c>
      <c r="Y143" s="91"/>
      <c r="Z143" s="91">
        <f>SUM(ППД5[[#This Row],[ТП Комната 1]:[ТП Комната 3]])</f>
        <v>27.5</v>
      </c>
      <c r="AA143" s="91">
        <v>14.3</v>
      </c>
      <c r="AB143" s="91">
        <v>2.6</v>
      </c>
      <c r="AC143" s="91">
        <v>3.9</v>
      </c>
      <c r="AD143" s="91"/>
      <c r="AE143" s="91">
        <v>8.1</v>
      </c>
      <c r="AF143" s="91">
        <v>1.3</v>
      </c>
      <c r="AG143" s="91"/>
      <c r="AH143" s="91"/>
      <c r="AI143" s="91">
        <f>SUM(ППД5[[#This Row],[ТП Лоджия 1]:[ТП Лоджия 3]])</f>
        <v>1.3</v>
      </c>
      <c r="AJ143" s="95">
        <v>2.6</v>
      </c>
      <c r="AK143" s="91">
        <f>SUM(ППД5[[#This Row],[Площадь по ТП жилая]:[ТП Лоджия 3]])-ППД5[[#This Row],[ТП Летние]]+ППД5[[#This Row],[кроме того прочая
(без коэффициента)]]</f>
        <v>59</v>
      </c>
      <c r="AL143" s="95">
        <f>ППД5[[#This Row],[ТП Площадь без летних]]+(ППД5[[#This Row],[ТП Летние]])</f>
        <v>57.699999999999996</v>
      </c>
      <c r="AM143" s="91">
        <f>ППД5[[#This Row],[ТП общая S]]-ППД5[[#This Row],[кроме того прочая
(без коэффициента)]]</f>
        <v>56.4</v>
      </c>
      <c r="AN143" s="95">
        <f>SUM(ППД5[[#This Row],[ТП Кухня]:[ТП Коридор]])</f>
        <v>28.9</v>
      </c>
      <c r="AO143" s="91">
        <f>ППД5[[#This Row],[Расчетная ТП площадь]]-ППД5[[#This Row],[Расчетная проектная площадь]]</f>
        <v>9.9999999999994316E-2</v>
      </c>
      <c r="AP143" s="335">
        <f>ППД5[[#This Row],[Расчетная ТП площадь]]/ППД5[[#This Row],[Расчетная проектная площадь]]-1</f>
        <v>1.7361111111109384E-3</v>
      </c>
      <c r="AQ143" s="91">
        <f>ППД5[[#This Row],[% расхождения]]*ППД5[[#This Row],[Стоимость до скидки]]</f>
        <v>8518.4027777769297</v>
      </c>
      <c r="AR143" s="91">
        <f>VLOOKUP(ППД5[[#This Row],[№]],наценкад5[],COLUMN(наценкад5[[#This Row],[Цена м2 с учетом всех K]]),0)</f>
        <v>78763.482000000004</v>
      </c>
      <c r="AS143" s="8">
        <f>ППД5[[#This Row],[м2 после К]]*5%</f>
        <v>3938.1741000000002</v>
      </c>
      <c r="AT143" s="8">
        <f>ППД5[[#This Row],[м2 после К]]+ППД5[[#This Row],[Повышение 16.08.23 - 5%]]</f>
        <v>82701.656100000007</v>
      </c>
      <c r="AU143" s="93">
        <f>ППД5[[#This Row],[Фикс 16.08.23]]*3%</f>
        <v>2481.0496830000002</v>
      </c>
      <c r="AV143" s="93">
        <f>ППД5[[#This Row],[Фикс 16.08.23]]+ППД5[[#This Row],[Повышение 29.08.23 - 3%]]</f>
        <v>85182.705783000012</v>
      </c>
      <c r="AW143" s="93"/>
      <c r="AX143" s="93">
        <f>ППД5[[#This Row],[Фикс 29.08.23]]+ППД5[[#This Row],[Повышение 06.09.23 СТ и 1К]]</f>
        <v>85182.705783000012</v>
      </c>
      <c r="AY143" s="93"/>
      <c r="AZ143" s="93">
        <f>ППД5[[#This Row],[Повышение 23.10.23  В4 ]]+ППД5[[#This Row],[Фикс 06.09.23]]</f>
        <v>85182.705783000012</v>
      </c>
      <c r="BA143" s="93"/>
      <c r="BB143" s="93">
        <f>ППД5[[#This Row],[Повышение 8.11.23 1К 5%]]+ППД5[[#This Row],[Фикс 23.10.23]]</f>
        <v>85182.705783000012</v>
      </c>
      <c r="BC143" s="93"/>
      <c r="BD143" s="93">
        <f>ППД5[[#This Row],[Корректировка 24.11.23 - 1К В5, 2К А2, №233]]+ППД5[[#This Row],[Фикс 8.11.23]]</f>
        <v>85182.705783000012</v>
      </c>
      <c r="BE143" s="93"/>
      <c r="BF143" s="93">
        <f>ППД5[[#This Row],[Наценка за отделку 29.12.23 1%]]+ППД5[[#This Row],[Фикс 8.11.24]]</f>
        <v>85182.705783000012</v>
      </c>
      <c r="BG143" s="93"/>
      <c r="BH143" s="93">
        <f>ППД5[[#This Row],[Фикс 29.12.23]]+ППД5[[#This Row],[Наценка 10.01.24 5%]]</f>
        <v>85182.705783000012</v>
      </c>
      <c r="BI143" s="93"/>
      <c r="BJ143" s="93">
        <f>ППД5[[#This Row],[Наценка 26.02.24 1 Этаж]]+ППД5[[#This Row],[Фикс 10.01.24]]</f>
        <v>85182.705783000012</v>
      </c>
      <c r="BK143" s="93"/>
      <c r="BL143" s="93">
        <f>ППД5[[#This Row],[Фикс 26.02.24]]+ППД5[[#This Row],[Наценка 06.03.24
СТ, 1К - 3%
2К, 3К - 2%]]</f>
        <v>85182.705783000012</v>
      </c>
      <c r="BM143" s="93"/>
      <c r="BN143" s="93">
        <f>ППД5[[#This Row],[Фикс 06.03.24]]+ППД5[[#This Row],[Наценка Г2+500]]</f>
        <v>85182.705783000012</v>
      </c>
      <c r="BO143" s="93"/>
      <c r="BP143" s="93">
        <f>ППД5[[#This Row],[Фикс 13.03.25]]+ППД5[[#This Row],[Наценка 20.03.24
2К, 3К - 2%]]</f>
        <v>85182.705783000012</v>
      </c>
      <c r="BQ143" s="93"/>
      <c r="BR143" s="93">
        <f>ППД5[[#This Row],[Фикс 20.03.24]]+ППД5[[#This Row],[Наценка 08.04.24 
2К: В3 - 150
3К: Г7 +1000]]</f>
        <v>85182.705783000012</v>
      </c>
      <c r="BS143" s="9"/>
      <c r="BT143" s="93">
        <f>ППД5[[#This Row],[Фикс 08.04.24]]+ППД5[[#This Row],[Наценка 16.05.24 1%
А4,А6,Б3,Б6,Б7,В2,В3,В5,В6,Г1,Г3-Г5]]</f>
        <v>85182.705783000012</v>
      </c>
      <c r="BU143" s="93"/>
      <c r="BV143" s="93">
        <f>ППД5[[#This Row],[Фикс 16.05.24]]+ППД5[[#This Row],[Наценка 24.05.24
1% - Б4, Б5,Г2,Г6
2% - А1,А3,А5,Б2,Г7]]</f>
        <v>85182.705783000012</v>
      </c>
      <c r="BW143" s="93"/>
      <c r="BX143" s="93">
        <f>ППД5[[#This Row],[Наценка 06.06.24
0К: В2,Г3 +0,5%
1К: А7, Б5/4, Г6 +0,5%
3К: В6 +0,5%
1К: А3 +1%]]+ППД5[[#This Row],[Фикс 24.05.24]]</f>
        <v>85182.705783000012</v>
      </c>
      <c r="BY143" s="93"/>
      <c r="BZ143" s="93">
        <f>ППД5[[#This Row],[Фикс 06.06.24]]+ППД5[[#This Row],[13.06.2024
3К - 2%]]</f>
        <v>85182.705783000012</v>
      </c>
      <c r="CA143" s="93"/>
      <c r="CB143" s="93">
        <f>ППД5[[#This Row],[02.07.2024: Г3 А1 А3 Б5 Б7 Г2 Г6 Б3 Б4 В3 Г7 2,5% ост 0,5-1,5%]]+ППД5[[#This Row],[Фикс 13.06.24]]</f>
        <v>85182.705783000012</v>
      </c>
      <c r="CC143" s="93"/>
      <c r="CD143" s="93">
        <f>ППД5[[#This Row],[Фикс 02.07.24]]+ППД5[[#This Row],[04.09.2024 +500
0К - Б2; 1К - А3;
2К - А6, Б4, В3, Г5]]</f>
        <v>85182.705783000012</v>
      </c>
      <c r="CE143" s="93"/>
      <c r="CF143" s="93">
        <f>ППД5[[#This Row],[Наценка 16.09.2024
1К: А1,В7,Г6/7,Г8 - 2%
2К: А4,А5,А6,Б1,Б6,Б3/4,В3,В4,Г4,Г5 - 4%
3К: 4%]]+ППД5[[#This Row],[Фикс 04.09.24]]</f>
        <v>85182.705783000012</v>
      </c>
      <c r="CG143" s="93"/>
      <c r="CH143" s="93">
        <f>ППД5[[#This Row],[Фикс 16.09.2024]]+ППД5[[#This Row],[Наценка 01.11.24
СТ: 4%
1К: 34-40м 5%; 40м+ 8%; МГН 1%
2К: 55-70м 6%; 70-73м 7%; 73-76м 8% 
3К: 5%]]</f>
        <v>85182.705783000012</v>
      </c>
      <c r="CI143" s="93"/>
      <c r="CJ143" s="93">
        <f>ППД5[[#This Row],[Наценка 06.11 13%]]+ППД5[[#This Row],[Фикс 01.11.24]]</f>
        <v>85182.705783000012</v>
      </c>
      <c r="CK143" s="93"/>
      <c r="CL143" s="93">
        <f>ППД5[[#This Row],[Фикс 06.11.24]]+ППД5[[#This Row],[Наценка 18.12.24 распределение КВ]]</f>
        <v>85182.705783000012</v>
      </c>
      <c r="CM143" s="93"/>
      <c r="CN143" s="93">
        <f>ППД5[[#This Row],[Фикс 18.12.24]]+ППД5[[#This Row],[Наценка 10.02.25 +1%
1К: А3
2К: Б3, В3]]</f>
        <v>85182.705783000012</v>
      </c>
      <c r="CO143" s="93">
        <f>ROUND(ППД5[[#This Row],[Фикс 10.02.25]],2)</f>
        <v>85182.71</v>
      </c>
      <c r="CP14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4906600</v>
      </c>
      <c r="CQ143" s="93">
        <f>ROUNDUP(ППД5[[#This Row],[Стоимость до скидки]]+ППД5[[#This Row],[Сумма доплаты]],-2)</f>
        <v>4915200</v>
      </c>
      <c r="CR143" s="68">
        <v>30000</v>
      </c>
      <c r="CS143" s="90"/>
      <c r="CT143" s="68">
        <f>ППД5[[#This Row],[Стоимость до скидки]]*ППД5[[#This Row],[Скидка %]]+ППД5[[#This Row],[Скидка фиксированная]]</f>
        <v>30000</v>
      </c>
      <c r="CU143" s="3">
        <f>ППД5[[#This Row],[Стоимость ОН без отделки со скидкой]]/ППД5[[#This Row],[Расчетная проектная площадь]]</f>
        <v>84663.194444444438</v>
      </c>
      <c r="CV143" s="3">
        <f>ROUND(ППД5[[#This Row],[Стоимость до скидки]]-ППД5[[#This Row],[Итоговая сумма скидки]],2)</f>
        <v>4876600</v>
      </c>
      <c r="CW14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43" s="197"/>
      <c r="CY143" s="332">
        <f>ППД5[[#This Row],[Расхождение]]/ППД5[[#This Row],[Расчетная проектная площадь]]</f>
        <v>1.7361111111110124E-3</v>
      </c>
      <c r="CZ14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0.34999999999999964</v>
      </c>
      <c r="DA143" s="3">
        <f>ППД5[[#This Row],[Цена м2 без отделки со скидкой]]+ППД5[[#This Row],[Стоимость отделки]]</f>
        <v>84663.194444444438</v>
      </c>
      <c r="DB143" s="3">
        <f>ППД5[[#This Row],[Стоимость квартиры с отделкой]]-ППД5[[#This Row],[Стоимость ОН без отделки со скидкой]]</f>
        <v>0</v>
      </c>
      <c r="DC143" s="3">
        <f>ППД5[[#This Row],[Цена м2 с отделкой]]*ППД5[[#This Row],[Расчетная проектная площадь]]</f>
        <v>4876600</v>
      </c>
      <c r="DD143" s="3" t="s">
        <v>154</v>
      </c>
      <c r="DE143" s="111" t="s">
        <v>766</v>
      </c>
      <c r="DF143" s="199" t="s">
        <v>172</v>
      </c>
      <c r="DG143" s="245" t="s">
        <v>172</v>
      </c>
      <c r="DH143" s="100" t="b">
        <f>EXACT(ППД5[[#This Row],[Статусы CRM]],ППД5[[#This Row],[Статус]])</f>
        <v>1</v>
      </c>
      <c r="DI143" s="213" t="s">
        <v>315</v>
      </c>
      <c r="DJ143" s="204"/>
      <c r="DK143" s="111" t="s">
        <v>763</v>
      </c>
      <c r="DL143" s="216" t="s">
        <v>12</v>
      </c>
      <c r="DM143" s="201" t="b">
        <f>ППД5[[#This Row],[Отделка CRM]]=ППД5[[#This Row],[Отделка]]</f>
        <v>1</v>
      </c>
      <c r="DN143" s="203">
        <v>4876600</v>
      </c>
      <c r="DO14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43" s="207" t="b">
        <f>IF(AND(ППД5[[#This Row],[Статус]]="свободно",ППД5[[#This Row],[Итоговая сумма скидки]]&lt;&gt;0),FALSE,TRUE)</f>
        <v>1</v>
      </c>
      <c r="DQ143" s="240">
        <f>_xlfn.XLOOKUP(ППД5[[#This Row],[№]],Юрист[№ кв],Юрист[Дата подачи на регистрацию]," ",0,-1)</f>
        <v>45281</v>
      </c>
      <c r="DR143" s="115" t="str">
        <f>_xlfn.XLOOKUP(ППД5[[#This Row],[№]],Юрист[№ кв],Юрист[МОП],"",0,-1)</f>
        <v>Полехович</v>
      </c>
      <c r="DS143" s="333" t="s">
        <v>2578</v>
      </c>
      <c r="DT143" s="333" t="s">
        <v>2579</v>
      </c>
      <c r="DU143" s="333">
        <v>56.4</v>
      </c>
      <c r="DV143" s="111"/>
    </row>
    <row r="144" spans="1:126" hidden="1" x14ac:dyDescent="0.25">
      <c r="A144" s="112">
        <v>142</v>
      </c>
      <c r="B144" s="111" t="s">
        <v>4</v>
      </c>
      <c r="C144" s="111">
        <v>5</v>
      </c>
      <c r="D144" s="111">
        <v>4</v>
      </c>
      <c r="E144" s="111">
        <v>2</v>
      </c>
      <c r="F144" s="105">
        <v>15.45</v>
      </c>
      <c r="G144" s="105">
        <v>14.5</v>
      </c>
      <c r="H144" s="105"/>
      <c r="I144" s="94">
        <f>SUM(ППД5[[#This Row],[Комната 1]:[Комната 3]])</f>
        <v>29.95</v>
      </c>
      <c r="J144" s="105">
        <v>11.95</v>
      </c>
      <c r="K144" s="105">
        <v>3.86</v>
      </c>
      <c r="L144" s="105">
        <v>2.37</v>
      </c>
      <c r="M144" s="105"/>
      <c r="N144" s="105">
        <v>8.8699999999999992</v>
      </c>
      <c r="O144" s="105">
        <v>2.62</v>
      </c>
      <c r="P144" s="105"/>
      <c r="Q144" s="105"/>
      <c r="R144" s="105">
        <f>SUM(ППД5[[#This Row],[Лоджия 1]:[Лоджия 3]])</f>
        <v>2.62</v>
      </c>
      <c r="S144" s="8">
        <f>ROUND(SUM(ППД5[[#This Row],[Площадь по проекту жилая]:[Лоджия 3]]),2)</f>
        <v>59.62</v>
      </c>
      <c r="T144" s="8">
        <f>ROUND(ППД5[[#This Row],[Площадь по проекту(общая)]]-ППД5[[#This Row],[Летние]],2)</f>
        <v>57</v>
      </c>
      <c r="U144" s="91">
        <f>ROUND(ППД5[[#This Row],[Площадь по проекту(общая)]]-(SUM(ППД5[[#This Row],[Лоджия 1]:[Лоджия 3]])/2),2)</f>
        <v>58.31</v>
      </c>
      <c r="V144" s="91">
        <f>IF(ППД5[[#This Row],[Статус]]="продажа",ППД5[[#This Row],[Расчетная проектная площадь]],ППД5[[#This Row],[Расчетная ТП площадь]])</f>
        <v>58.31</v>
      </c>
      <c r="W144" s="91">
        <v>14.4</v>
      </c>
      <c r="X144" s="91">
        <v>15.3</v>
      </c>
      <c r="Y144" s="91"/>
      <c r="Z144" s="91">
        <f>SUM(ППД5[[#This Row],[ТП Комната 1]:[ТП Комната 3]])</f>
        <v>29.700000000000003</v>
      </c>
      <c r="AA144" s="91">
        <v>11.8</v>
      </c>
      <c r="AB144" s="91">
        <v>3.9</v>
      </c>
      <c r="AC144" s="91">
        <v>2.5</v>
      </c>
      <c r="AD144" s="91"/>
      <c r="AE144" s="91">
        <v>8.9</v>
      </c>
      <c r="AF144" s="91">
        <v>1.35</v>
      </c>
      <c r="AG144" s="91"/>
      <c r="AH144" s="91"/>
      <c r="AI144" s="91">
        <f>SUM(ППД5[[#This Row],[ТП Лоджия 1]:[ТП Лоджия 3]])</f>
        <v>1.35</v>
      </c>
      <c r="AJ144" s="95">
        <v>2.7</v>
      </c>
      <c r="AK144" s="91">
        <f>SUM(ППД5[[#This Row],[Площадь по ТП жилая]:[ТП Лоджия 3]])-ППД5[[#This Row],[ТП Летние]]+ППД5[[#This Row],[кроме того прочая
(без коэффициента)]]</f>
        <v>59.5</v>
      </c>
      <c r="AL144" s="95">
        <f>ППД5[[#This Row],[ТП Площадь без летних]]+(ППД5[[#This Row],[ТП Летние]])</f>
        <v>58.15</v>
      </c>
      <c r="AM144" s="91">
        <f>ППД5[[#This Row],[ТП общая S]]-ППД5[[#This Row],[кроме того прочая
(без коэффициента)]]</f>
        <v>56.8</v>
      </c>
      <c r="AN144" s="95">
        <f>SUM(ППД5[[#This Row],[ТП Кухня]:[ТП Коридор]])</f>
        <v>27.1</v>
      </c>
      <c r="AO144" s="91">
        <f>ППД5[[#This Row],[Расчетная ТП площадь]]-ППД5[[#This Row],[Расчетная проектная площадь]]</f>
        <v>-0.16000000000000369</v>
      </c>
      <c r="AP144" s="335">
        <f>ППД5[[#This Row],[Расчетная ТП площадь]]/ППД5[[#This Row],[Расчетная проектная площадь]]-1</f>
        <v>-2.7439547247470886E-3</v>
      </c>
      <c r="AQ144" s="91">
        <f>ППД5[[#This Row],[% расхождения]]*ППД5[[#This Row],[Стоимость до скидки]]</f>
        <v>-16512.021951638078</v>
      </c>
      <c r="AR144" s="91">
        <f>VLOOKUP(ППД5[[#This Row],[№]],наценкад5[],COLUMN(наценкад5[[#This Row],[Цена м2 с учетом всех K]]),0)</f>
        <v>79921.768500000006</v>
      </c>
      <c r="AS144" s="8">
        <f>ППД5[[#This Row],[м2 после К]]*5%</f>
        <v>3996.0884250000004</v>
      </c>
      <c r="AT144" s="8">
        <f>ППД5[[#This Row],[м2 после К]]+ППД5[[#This Row],[Повышение 16.08.23 - 5%]]</f>
        <v>83917.856925</v>
      </c>
      <c r="AU144" s="93">
        <f>ППД5[[#This Row],[Фикс 16.08.23]]*3%</f>
        <v>2517.5357077499998</v>
      </c>
      <c r="AV144" s="93">
        <f>ППД5[[#This Row],[Фикс 16.08.23]]+ППД5[[#This Row],[Повышение 29.08.23 - 3%]]</f>
        <v>86435.392632749994</v>
      </c>
      <c r="AW144" s="93"/>
      <c r="AX144" s="93">
        <f>ППД5[[#This Row],[Фикс 29.08.23]]+ППД5[[#This Row],[Повышение 06.09.23 СТ и 1К]]</f>
        <v>86435.392632749994</v>
      </c>
      <c r="AY144" s="93"/>
      <c r="AZ144" s="93">
        <f>ППД5[[#This Row],[Повышение 23.10.23  В4 ]]+ППД5[[#This Row],[Фикс 06.09.23]]</f>
        <v>86435.392632749994</v>
      </c>
      <c r="BA144" s="93"/>
      <c r="BB144" s="93">
        <f>ППД5[[#This Row],[Повышение 8.11.23 1К 5%]]+ППД5[[#This Row],[Фикс 23.10.23]]</f>
        <v>86435.392632749994</v>
      </c>
      <c r="BC144" s="93"/>
      <c r="BD144" s="93">
        <f>ППД5[[#This Row],[Корректировка 24.11.23 - 1К В5, 2К А2, №233]]+ППД5[[#This Row],[Фикс 8.11.23]]</f>
        <v>86435.392632749994</v>
      </c>
      <c r="BE144" s="93">
        <f>ППД5[[#This Row],[Фикс 8.11.24]]*1%</f>
        <v>864.35392632749995</v>
      </c>
      <c r="BF144" s="93">
        <f>ППД5[[#This Row],[Наценка за отделку 29.12.23 1%]]+ППД5[[#This Row],[Фикс 8.11.24]]</f>
        <v>87299.746559077495</v>
      </c>
      <c r="BG144" s="93">
        <f>ППД5[[#This Row],[Фикс 29.12.23]]*5%</f>
        <v>4364.9873279538751</v>
      </c>
      <c r="BH144" s="93">
        <f>ППД5[[#This Row],[Фикс 29.12.23]]+ППД5[[#This Row],[Наценка 10.01.24 5%]]</f>
        <v>91664.733887031369</v>
      </c>
      <c r="BI144" s="93"/>
      <c r="BJ144" s="93">
        <f>ППД5[[#This Row],[Наценка 26.02.24 1 Этаж]]+ППД5[[#This Row],[Фикс 10.01.24]]</f>
        <v>91664.733887031369</v>
      </c>
      <c r="BK144" s="93">
        <f>ППД5[[#This Row],[Фикс 26.02.24]]*2%</f>
        <v>1833.2946777406273</v>
      </c>
      <c r="BL144" s="93">
        <f>ППД5[[#This Row],[Фикс 26.02.24]]+ППД5[[#This Row],[Наценка 06.03.24
СТ, 1К - 3%
2К, 3К - 2%]]</f>
        <v>93498.028564772001</v>
      </c>
      <c r="BM144" s="93"/>
      <c r="BN144" s="93">
        <f>ППД5[[#This Row],[Фикс 06.03.24]]+ППД5[[#This Row],[Наценка Г2+500]]</f>
        <v>93498.028564772001</v>
      </c>
      <c r="BO144" s="93">
        <f>ППД5[[#This Row],[Фикс 13.03.25]]*2%</f>
        <v>1869.9605712954401</v>
      </c>
      <c r="BP144" s="93">
        <f>ППД5[[#This Row],[Фикс 13.03.25]]+ППД5[[#This Row],[Наценка 20.03.24
2К, 3К - 2%]]</f>
        <v>95367.989136067437</v>
      </c>
      <c r="BQ144" s="93"/>
      <c r="BR144" s="93">
        <f>ППД5[[#This Row],[Фикс 20.03.24]]+ППД5[[#This Row],[Наценка 08.04.24 
2К: В3 - 150
3К: Г7 +1000]]</f>
        <v>95367.989136067437</v>
      </c>
      <c r="BS144" s="93"/>
      <c r="BT144" s="93">
        <f>ППД5[[#This Row],[Фикс 08.04.24]]+ППД5[[#This Row],[Наценка 16.05.24 1%
А4,А6,Б3,Б6,Б7,В2,В3,В5,В6,Г1,Г3-Г5]]</f>
        <v>95367.989136067437</v>
      </c>
      <c r="BU144" s="93">
        <f>ППД5[[#This Row],[Фикс 16.05.24]]*1%</f>
        <v>953.67989136067445</v>
      </c>
      <c r="BV144" s="93">
        <f>ППД5[[#This Row],[Фикс 16.05.24]]+ППД5[[#This Row],[Наценка 24.05.24
1% - Б4, Б5,Г2,Г6
2% - А1,А3,А5,Б2,Г7]]</f>
        <v>96321.669027428114</v>
      </c>
      <c r="BW144" s="93"/>
      <c r="BX144" s="93">
        <f>ППД5[[#This Row],[Наценка 06.06.24
0К: В2,Г3 +0,5%
1К: А7, Б5/4, Г6 +0,5%
3К: В6 +0,5%
1К: А3 +1%]]+ППД5[[#This Row],[Фикс 24.05.24]]</f>
        <v>96321.669027428114</v>
      </c>
      <c r="BY144" s="93"/>
      <c r="BZ144" s="93">
        <f>ППД5[[#This Row],[Фикс 06.06.24]]+ППД5[[#This Row],[13.06.2024
3К - 2%]]</f>
        <v>96321.669027428114</v>
      </c>
      <c r="CA144" s="93">
        <f>2.5%*ППД5[[#This Row],[Фикс 13.06.24]]</f>
        <v>2408.0417256857031</v>
      </c>
      <c r="CB144" s="93">
        <f>ППД5[[#This Row],[02.07.2024: Г3 А1 А3 Б5 Б7 Г2 Г6 Б3 Б4 В3 Г7 2,5% ост 0,5-1,5%]]+ППД5[[#This Row],[Фикс 13.06.24]]</f>
        <v>98729.710753113817</v>
      </c>
      <c r="CC144" s="93">
        <v>500</v>
      </c>
      <c r="CD144" s="93">
        <f>ППД5[[#This Row],[Фикс 02.07.24]]+ППД5[[#This Row],[04.09.2024 +500
0К - Б2; 1К - А3;
2К - А6, Б4, В3, Г5]]</f>
        <v>99229.710753113817</v>
      </c>
      <c r="CE144" s="93">
        <f>ППД5[[#This Row],[Фикс 04.09.24]]*4%</f>
        <v>3969.1884301245527</v>
      </c>
      <c r="CF144" s="93">
        <f>ППД5[[#This Row],[Наценка 16.09.2024
1К: А1,В7,Г6/7,Г8 - 2%
2К: А4,А5,А6,Б1,Б6,Б3/4,В3,В4,Г4,Г5 - 4%
3К: 4%]]+ППД5[[#This Row],[Фикс 04.09.24]]</f>
        <v>103198.89918323838</v>
      </c>
      <c r="CG144" s="93"/>
      <c r="CH144" s="93">
        <f>ППД5[[#This Row],[Фикс 16.09.2024]]+ППД5[[#This Row],[Наценка 01.11.24
СТ: 4%
1К: 34-40м 5%; 40м+ 8%; МГН 1%
2К: 55-70м 6%; 70-73м 7%; 73-76м 8% 
3К: 5%]]</f>
        <v>103198.89918323838</v>
      </c>
      <c r="CI144" s="93"/>
      <c r="CJ144" s="93">
        <f>ППД5[[#This Row],[Наценка 06.11 13%]]+ППД5[[#This Row],[Фикс 01.11.24]]</f>
        <v>103198.89918323838</v>
      </c>
      <c r="CK144" s="93"/>
      <c r="CL144" s="93">
        <f>ППД5[[#This Row],[Фикс 06.11.24]]+ППД5[[#This Row],[Наценка 18.12.24 распределение КВ]]</f>
        <v>103198.89918323838</v>
      </c>
      <c r="CM144" s="93"/>
      <c r="CN144" s="93">
        <f>ППД5[[#This Row],[Фикс 18.12.24]]+ППД5[[#This Row],[Наценка 10.02.25 +1%
1К: А3
2К: Б3, В3]]</f>
        <v>103198.89918323838</v>
      </c>
      <c r="CO144" s="93">
        <f>ROUND(ППД5[[#This Row],[Фикс 10.02.25]],2)</f>
        <v>103198.9</v>
      </c>
      <c r="CP14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6017600</v>
      </c>
      <c r="CQ144" s="93">
        <f>ROUNDUP(ППД5[[#This Row],[Стоимость до скидки]]+ППД5[[#This Row],[Сумма доплаты]],-2)</f>
        <v>6001100</v>
      </c>
      <c r="CR144" s="68"/>
      <c r="CS144" s="90"/>
      <c r="CT144" s="68">
        <f>ППД5[[#This Row],[Стоимость до скидки]]*ППД5[[#This Row],[Скидка %]]+ППД5[[#This Row],[Скидка фиксированная]]</f>
        <v>0</v>
      </c>
      <c r="CU144" s="3">
        <f>ППД5[[#This Row],[Стоимость ОН без отделки со скидкой]]/ППД5[[#This Row],[Расчетная проектная площадь]]</f>
        <v>103200.13719773623</v>
      </c>
      <c r="CV144" s="3">
        <f>ROUND(ППД5[[#This Row],[Стоимость до скидки]]-ППД5[[#This Row],[Итоговая сумма скидки]],2)</f>
        <v>6017600</v>
      </c>
      <c r="CW14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44" s="197"/>
      <c r="CY144" s="332">
        <f>ППД5[[#This Row],[Расхождение]]/ППД5[[#This Row],[Расчетная проектная площадь]]</f>
        <v>-2.743954724747105E-3</v>
      </c>
      <c r="CZ14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5.0000000000004263E-2</v>
      </c>
      <c r="DA144" s="3">
        <f>ППД5[[#This Row],[Цена м2 без отделки со скидкой]]+ППД5[[#This Row],[Стоимость отделки]]</f>
        <v>103200.13719773623</v>
      </c>
      <c r="DB144" s="3">
        <f>ППД5[[#This Row],[Стоимость квартиры с отделкой]]-ППД5[[#This Row],[Стоимость ОН без отделки со скидкой]]</f>
        <v>0</v>
      </c>
      <c r="DC144" s="3">
        <f>ППД5[[#This Row],[Цена м2 с отделкой]]*ППД5[[#This Row],[Расчетная проектная площадь]]</f>
        <v>6017600</v>
      </c>
      <c r="DD144" s="3"/>
      <c r="DF144" s="199" t="s">
        <v>172</v>
      </c>
      <c r="DG144" s="245" t="s">
        <v>172</v>
      </c>
      <c r="DH144" s="100" t="b">
        <f>EXACT(ППД5[[#This Row],[Статусы CRM]],ППД5[[#This Row],[Статус]])</f>
        <v>1</v>
      </c>
      <c r="DI144" s="213" t="s">
        <v>316</v>
      </c>
      <c r="DJ144" s="204"/>
      <c r="DK144" s="111" t="s">
        <v>763</v>
      </c>
      <c r="DL144" s="216" t="s">
        <v>12</v>
      </c>
      <c r="DM144" s="201" t="b">
        <f>ППД5[[#This Row],[Отделка CRM]]=ППД5[[#This Row],[Отделка]]</f>
        <v>1</v>
      </c>
      <c r="DN144" s="203">
        <v>6017600</v>
      </c>
      <c r="DO14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44" s="207" t="b">
        <f>IF(AND(ППД5[[#This Row],[Статус]]="свободно",ППД5[[#This Row],[Итоговая сумма скидки]]&lt;&gt;0),FALSE,TRUE)</f>
        <v>1</v>
      </c>
      <c r="DQ144" s="240">
        <f>_xlfn.XLOOKUP(ППД5[[#This Row],[№]],Юрист[№ кв],Юрист[Дата подачи на регистрацию]," ",0,-1)</f>
        <v>45594</v>
      </c>
      <c r="DR144" s="115" t="str">
        <f>_xlfn.XLOOKUP(ППД5[[#This Row],[№]],Юрист[№ кв],Юрист[МОП],"",0,-1)</f>
        <v>Дик</v>
      </c>
      <c r="DS144" s="333" t="s">
        <v>2580</v>
      </c>
      <c r="DT144" s="333" t="s">
        <v>2581</v>
      </c>
      <c r="DU144" s="333">
        <v>56.8</v>
      </c>
      <c r="DV144" s="111"/>
    </row>
    <row r="145" spans="1:126" hidden="1" x14ac:dyDescent="0.25">
      <c r="A145" s="112">
        <v>143</v>
      </c>
      <c r="B145" s="111" t="s">
        <v>4</v>
      </c>
      <c r="C145" s="111">
        <v>5</v>
      </c>
      <c r="D145" s="111">
        <v>5</v>
      </c>
      <c r="E145" s="111">
        <v>1</v>
      </c>
      <c r="F145" s="105">
        <v>12.06</v>
      </c>
      <c r="G145" s="105"/>
      <c r="H145" s="105"/>
      <c r="I145" s="94">
        <f>SUM(ППД5[[#This Row],[Комната 1]:[Комната 3]])</f>
        <v>12.06</v>
      </c>
      <c r="J145" s="105">
        <v>13.18</v>
      </c>
      <c r="K145" s="105">
        <v>4.1100000000000003</v>
      </c>
      <c r="L145" s="105"/>
      <c r="M145" s="105"/>
      <c r="N145" s="105">
        <v>7.09</v>
      </c>
      <c r="O145" s="105">
        <v>2.84</v>
      </c>
      <c r="P145" s="105"/>
      <c r="Q145" s="105"/>
      <c r="R145" s="105">
        <f>SUM(ППД5[[#This Row],[Лоджия 1]:[Лоджия 3]])</f>
        <v>2.84</v>
      </c>
      <c r="S145" s="8">
        <f>ROUND(SUM(ППД5[[#This Row],[Площадь по проекту жилая]:[Лоджия 3]]),2)</f>
        <v>39.28</v>
      </c>
      <c r="T145" s="8">
        <f>ROUND(ППД5[[#This Row],[Площадь по проекту(общая)]]-ППД5[[#This Row],[Летние]],2)</f>
        <v>36.44</v>
      </c>
      <c r="U145" s="91">
        <f>ROUND(ППД5[[#This Row],[Площадь по проекту(общая)]]-(SUM(ППД5[[#This Row],[Лоджия 1]:[Лоджия 3]])/2),2)</f>
        <v>37.86</v>
      </c>
      <c r="V145" s="91">
        <f>IF(ППД5[[#This Row],[Статус]]="продажа",ППД5[[#This Row],[Расчетная проектная площадь]],ППД5[[#This Row],[Расчетная ТП площадь]])</f>
        <v>37.700000000000003</v>
      </c>
      <c r="W145" s="91">
        <v>12.4</v>
      </c>
      <c r="X145" s="91"/>
      <c r="Y145" s="91"/>
      <c r="Z145" s="91">
        <f>SUM(ППД5[[#This Row],[ТП Комната 1]:[ТП Комната 3]])</f>
        <v>12.4</v>
      </c>
      <c r="AA145" s="91">
        <v>12.6</v>
      </c>
      <c r="AB145" s="91">
        <v>4.0999999999999996</v>
      </c>
      <c r="AC145" s="91"/>
      <c r="AD145" s="91"/>
      <c r="AE145" s="91">
        <v>7.2</v>
      </c>
      <c r="AF145" s="91">
        <v>1.4</v>
      </c>
      <c r="AG145" s="91"/>
      <c r="AH145" s="91"/>
      <c r="AI145" s="91">
        <f>SUM(ППД5[[#This Row],[ТП Лоджия 1]:[ТП Лоджия 3]])</f>
        <v>1.4</v>
      </c>
      <c r="AJ145" s="95">
        <v>2.8</v>
      </c>
      <c r="AK145" s="91">
        <f>SUM(ППД5[[#This Row],[Площадь по ТП жилая]:[ТП Лоджия 3]])-ППД5[[#This Row],[ТП Летние]]+ППД5[[#This Row],[кроме того прочая
(без коэффициента)]]</f>
        <v>39.1</v>
      </c>
      <c r="AL145" s="95">
        <f>ППД5[[#This Row],[ТП Площадь без летних]]+(ППД5[[#This Row],[ТП Летние]])</f>
        <v>37.700000000000003</v>
      </c>
      <c r="AM145" s="91">
        <f>ППД5[[#This Row],[ТП общая S]]-ППД5[[#This Row],[кроме того прочая
(без коэффициента)]]</f>
        <v>36.300000000000004</v>
      </c>
      <c r="AN145" s="95">
        <f>SUM(ППД5[[#This Row],[ТП Кухня]:[ТП Коридор]])</f>
        <v>23.9</v>
      </c>
      <c r="AO145" s="91">
        <f>ППД5[[#This Row],[Расчетная ТП площадь]]-ППД5[[#This Row],[Расчетная проектная площадь]]</f>
        <v>-0.15999999999999659</v>
      </c>
      <c r="AP145" s="335">
        <f>ППД5[[#This Row],[Расчетная ТП площадь]]/ППД5[[#This Row],[Расчетная проектная площадь]]-1</f>
        <v>-4.2260961436871858E-3</v>
      </c>
      <c r="AQ145" s="91">
        <f>ППД5[[#This Row],[% расхождения]]*ППД5[[#This Row],[Стоимость до скидки]]</f>
        <v>-22433.808769149058</v>
      </c>
      <c r="AR145" s="91">
        <f>VLOOKUP(ППД5[[#This Row],[№]],наценкад5[],COLUMN(наценкад5[[#This Row],[Цена м2 с учетом всех K]]),0)</f>
        <v>87601.5</v>
      </c>
      <c r="AS145" s="8">
        <f>ППД5[[#This Row],[м2 после К]]*5%</f>
        <v>4380.0749999999998</v>
      </c>
      <c r="AT145" s="8">
        <f>ППД5[[#This Row],[м2 после К]]+ППД5[[#This Row],[Повышение 16.08.23 - 5%]]</f>
        <v>91981.574999999997</v>
      </c>
      <c r="AU145" s="93">
        <f>ППД5[[#This Row],[Фикс 16.08.23]]*3%</f>
        <v>2759.4472499999997</v>
      </c>
      <c r="AV145" s="93">
        <f>ППД5[[#This Row],[Фикс 16.08.23]]+ППД5[[#This Row],[Повышение 29.08.23 - 3%]]</f>
        <v>94741.022249999995</v>
      </c>
      <c r="AW145" s="93">
        <f>ППД5[[#This Row],[Фикс 29.08.23]]*4.5%</f>
        <v>4263.34600125</v>
      </c>
      <c r="AX145" s="93">
        <f>ППД5[[#This Row],[Фикс 29.08.23]]+ППД5[[#This Row],[Повышение 06.09.23 СТ и 1К]]</f>
        <v>99004.368251249995</v>
      </c>
      <c r="AY145" s="93"/>
      <c r="AZ145" s="93">
        <f>ППД5[[#This Row],[Повышение 23.10.23  В4 ]]+ППД5[[#This Row],[Фикс 06.09.23]]</f>
        <v>99004.368251249995</v>
      </c>
      <c r="BA145" s="93">
        <f>ППД5[[#This Row],[Фикс 23.10.23]]*5%</f>
        <v>4950.2184125624999</v>
      </c>
      <c r="BB145" s="93">
        <f>ППД5[[#This Row],[Повышение 8.11.23 1К 5%]]+ППД5[[#This Row],[Фикс 23.10.23]]</f>
        <v>103954.5866638125</v>
      </c>
      <c r="BC145" s="93"/>
      <c r="BD145" s="93">
        <f>ППД5[[#This Row],[Корректировка 24.11.23 - 1К В5, 2К А2, №233]]+ППД5[[#This Row],[Фикс 8.11.23]]</f>
        <v>103954.5866638125</v>
      </c>
      <c r="BE145" s="93">
        <f>ППД5[[#This Row],[Фикс 8.11.24]]*1%</f>
        <v>1039.5458666381251</v>
      </c>
      <c r="BF145" s="93">
        <f>ППД5[[#This Row],[Наценка за отделку 29.12.23 1%]]+ППД5[[#This Row],[Фикс 8.11.24]]</f>
        <v>104994.13253045063</v>
      </c>
      <c r="BG145" s="93">
        <f>ППД5[[#This Row],[Фикс 29.12.23]]*5%</f>
        <v>5249.7066265225321</v>
      </c>
      <c r="BH145" s="93">
        <f>ППД5[[#This Row],[Фикс 29.12.23]]+ППД5[[#This Row],[Наценка 10.01.24 5%]]</f>
        <v>110243.83915697316</v>
      </c>
      <c r="BI145" s="93"/>
      <c r="BJ145" s="93">
        <f>ППД5[[#This Row],[Наценка 26.02.24 1 Этаж]]+ППД5[[#This Row],[Фикс 10.01.24]]</f>
        <v>110243.83915697316</v>
      </c>
      <c r="BK145" s="93">
        <f>ППД5[[#This Row],[Фикс 26.02.24]]*3%</f>
        <v>3307.3151747091947</v>
      </c>
      <c r="BL145" s="93">
        <f>ППД5[[#This Row],[Фикс 26.02.24]]+ППД5[[#This Row],[Наценка 06.03.24
СТ, 1К - 3%
2К, 3К - 2%]]</f>
        <v>113551.15433168235</v>
      </c>
      <c r="BM145" s="93"/>
      <c r="BN145" s="93">
        <f>ППД5[[#This Row],[Фикс 06.03.24]]+ППД5[[#This Row],[Наценка Г2+500]]</f>
        <v>113551.15433168235</v>
      </c>
      <c r="BO145" s="93"/>
      <c r="BP145" s="93">
        <f>ППД5[[#This Row],[Фикс 13.03.25]]+ППД5[[#This Row],[Наценка 20.03.24
2К, 3К - 2%]]</f>
        <v>113551.15433168235</v>
      </c>
      <c r="BQ145" s="93"/>
      <c r="BR145" s="93">
        <f>ППД5[[#This Row],[Фикс 20.03.24]]+ППД5[[#This Row],[Наценка 08.04.24 
2К: В3 - 150
3К: Г7 +1000]]</f>
        <v>113551.15433168235</v>
      </c>
      <c r="BS145" s="93"/>
      <c r="BT145" s="93">
        <f>ППД5[[#This Row],[Фикс 08.04.24]]+ППД5[[#This Row],[Наценка 16.05.24 1%
А4,А6,Б3,Б6,Б7,В2,В3,В5,В6,Г1,Г3-Г5]]</f>
        <v>113551.15433168235</v>
      </c>
      <c r="BU145" s="93">
        <f>ППД5[[#This Row],[Фикс 16.05.24]]*1%</f>
        <v>1135.5115433168235</v>
      </c>
      <c r="BV145" s="93">
        <f>ППД5[[#This Row],[Фикс 16.05.24]]+ППД5[[#This Row],[Наценка 24.05.24
1% - Б4, Б5,Г2,Г6
2% - А1,А3,А5,Б2,Г7]]</f>
        <v>114686.66587499918</v>
      </c>
      <c r="BW145" s="93">
        <f>ППД5[[#This Row],[Фикс 24.05.24]]*0.5%</f>
        <v>573.43332937499588</v>
      </c>
      <c r="BX145" s="93">
        <f>ППД5[[#This Row],[Наценка 06.06.24
0К: В2,Г3 +0,5%
1К: А7, Б5/4, Г6 +0,5%
3К: В6 +0,5%
1К: А3 +1%]]+ППД5[[#This Row],[Фикс 24.05.24]]</f>
        <v>115260.09920437417</v>
      </c>
      <c r="BY145" s="93"/>
      <c r="BZ145" s="93">
        <f>ППД5[[#This Row],[Фикс 06.06.24]]+ППД5[[#This Row],[13.06.2024
3К - 2%]]</f>
        <v>115260.09920437417</v>
      </c>
      <c r="CA145" s="93">
        <f>2.5%*ППД5[[#This Row],[Фикс 13.06.24]]</f>
        <v>2881.5024801093546</v>
      </c>
      <c r="CB145" s="93">
        <f>ППД5[[#This Row],[02.07.2024: Г3 А1 А3 Б5 Б7 Г2 Г6 Б3 Б4 В3 Г7 2,5% ост 0,5-1,5%]]+ППД5[[#This Row],[Фикс 13.06.24]]</f>
        <v>118141.60168448352</v>
      </c>
      <c r="CC145" s="93"/>
      <c r="CD145" s="93">
        <f>ППД5[[#This Row],[Фикс 02.07.24]]+ППД5[[#This Row],[04.09.2024 +500
0К - Б2; 1К - А3;
2К - А6, Б4, В3, Г5]]</f>
        <v>118141.60168448352</v>
      </c>
      <c r="CE145" s="93"/>
      <c r="CF145" s="93">
        <f>ППД5[[#This Row],[Наценка 16.09.2024
1К: А1,В7,Г6/7,Г8 - 2%
2К: А4,А5,А6,Б1,Б6,Б3/4,В3,В4,Г4,Г5 - 4%
3К: 4%]]+ППД5[[#This Row],[Фикс 04.09.24]]</f>
        <v>118141.60168448352</v>
      </c>
      <c r="CG145" s="93">
        <f>ППД5[[#This Row],[Фикс 16.09.2024]]*5%</f>
        <v>5907.080084224177</v>
      </c>
      <c r="CH145" s="93">
        <f>ППД5[[#This Row],[Фикс 16.09.2024]]+ППД5[[#This Row],[Наценка 01.11.24
СТ: 4%
1К: 34-40м 5%; 40м+ 8%; МГН 1%
2К: 55-70м 6%; 70-73м 7%; 73-76м 8% 
3К: 5%]]</f>
        <v>124048.6817687077</v>
      </c>
      <c r="CI145" s="93">
        <f>ППД5[[#This Row],[Фикс 01.11.24]]*13%</f>
        <v>16126.328629932001</v>
      </c>
      <c r="CJ145" s="93">
        <f>ППД5[[#This Row],[Наценка 06.11 13%]]+ППД5[[#This Row],[Фикс 01.11.24]]</f>
        <v>140175.01039863969</v>
      </c>
      <c r="CK145" s="93">
        <v>35</v>
      </c>
      <c r="CL145" s="93">
        <f>ППД5[[#This Row],[Фикс 06.11.24]]+ППД5[[#This Row],[Наценка 18.12.24 распределение КВ]]</f>
        <v>140210.01039863969</v>
      </c>
      <c r="CM145" s="93"/>
      <c r="CN145" s="93">
        <f>ППД5[[#This Row],[Фикс 18.12.24]]+ППД5[[#This Row],[Наценка 10.02.25 +1%
1К: А3
2К: Б3, В3]]</f>
        <v>140210.01039863969</v>
      </c>
      <c r="CO145" s="93">
        <f>ROUND(ППД5[[#This Row],[Фикс 10.02.25]],2)</f>
        <v>140210.01</v>
      </c>
      <c r="CP14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5308400</v>
      </c>
      <c r="CQ145" s="93">
        <f>ROUNDUP(ППД5[[#This Row],[Стоимость до скидки]]+ППД5[[#This Row],[Сумма доплаты]],-2)</f>
        <v>5286000</v>
      </c>
      <c r="CR145" s="68"/>
      <c r="CS145" s="90"/>
      <c r="CT145" s="68">
        <f>ППД5[[#This Row],[Стоимость до скидки]]*ППД5[[#This Row],[Скидка %]]+ППД5[[#This Row],[Скидка фиксированная]]</f>
        <v>0</v>
      </c>
      <c r="CU145" s="3">
        <f>ППД5[[#This Row],[Стоимость ОН без отделки со скидкой]]/ППД5[[#This Row],[Расчетная проектная площадь]]</f>
        <v>140211.30480718435</v>
      </c>
      <c r="CV145" s="3">
        <f>ROUND(ППД5[[#This Row],[Стоимость до скидки]]-ППД5[[#This Row],[Итоговая сумма скидки]],2)</f>
        <v>5308400</v>
      </c>
      <c r="CW14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145" s="218">
        <v>10000</v>
      </c>
      <c r="CY145" s="332">
        <f>ППД5[[#This Row],[Расхождение]]/ППД5[[#This Row],[Расчетная проектная площадь]]</f>
        <v>-4.2260961436871788E-3</v>
      </c>
      <c r="CZ145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-0.48000000000000043</v>
      </c>
      <c r="DA145" s="3">
        <f>ППД5[[#This Row],[Цена м2 без отделки со скидкой]]+ППД5[[#This Row],[Стоимость отделки]]</f>
        <v>150211.30480718435</v>
      </c>
      <c r="DB145" s="3">
        <f>ППД5[[#This Row],[Стоимость квартиры с отделкой]]-ППД5[[#This Row],[Стоимость ОН без отделки со скидкой]]</f>
        <v>378599.99999999907</v>
      </c>
      <c r="DC145" s="3">
        <f>ППД5[[#This Row],[Цена м2 с отделкой]]*ППД5[[#This Row],[Расчетная проектная площадь]]</f>
        <v>5686999.9999999991</v>
      </c>
      <c r="DD145" s="3"/>
      <c r="DF145" s="199" t="s">
        <v>157</v>
      </c>
      <c r="DG145" s="245" t="s">
        <v>157</v>
      </c>
      <c r="DH145" s="100" t="b">
        <f>EXACT(ППД5[[#This Row],[Статусы CRM]],ППД5[[#This Row],[Статус]])</f>
        <v>1</v>
      </c>
      <c r="DI145" s="213" t="s">
        <v>317</v>
      </c>
      <c r="DJ145" s="204"/>
      <c r="DK145" s="111" t="s">
        <v>763</v>
      </c>
      <c r="DL145" s="216" t="s">
        <v>780</v>
      </c>
      <c r="DM145" s="201" t="b">
        <f>ППД5[[#This Row],[Отделка CRM]]=ППД5[[#This Row],[Отделка]]</f>
        <v>1</v>
      </c>
      <c r="DN145" s="203">
        <v>5687000</v>
      </c>
      <c r="DO14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9.3132257461547852E-10</v>
      </c>
      <c r="DP145" s="207" t="b">
        <f>IF(AND(ППД5[[#This Row],[Статус]]="свободно",ППД5[[#This Row],[Итоговая сумма скидки]]&lt;&gt;0),FALSE,TRUE)</f>
        <v>1</v>
      </c>
      <c r="DQ145" s="240" t="str">
        <f>_xlfn.XLOOKUP(ППД5[[#This Row],[№]],Юрист[№ кв],Юрист[Дата подачи на регистрацию]," ",0,-1)</f>
        <v xml:space="preserve"> </v>
      </c>
      <c r="DR145" s="115" t="str">
        <f>_xlfn.XLOOKUP(ППД5[[#This Row],[№]],Юрист[№ кв],Юрист[МОП],"",0,-1)</f>
        <v/>
      </c>
      <c r="DS145" s="333" t="s">
        <v>2582</v>
      </c>
      <c r="DT145" s="333" t="s">
        <v>2583</v>
      </c>
      <c r="DU145" s="333">
        <v>36.299999999999997</v>
      </c>
      <c r="DV145" s="111"/>
    </row>
    <row r="146" spans="1:126" hidden="1" x14ac:dyDescent="0.25">
      <c r="A146" s="112">
        <v>144</v>
      </c>
      <c r="B146" s="111" t="s">
        <v>4</v>
      </c>
      <c r="C146" s="111">
        <v>5</v>
      </c>
      <c r="D146" s="111">
        <v>6</v>
      </c>
      <c r="E146" s="111">
        <v>3</v>
      </c>
      <c r="F146" s="105">
        <v>17.89</v>
      </c>
      <c r="G146" s="105">
        <v>17.2</v>
      </c>
      <c r="H146" s="105">
        <v>14.31</v>
      </c>
      <c r="I146" s="94">
        <f>SUM(ППД5[[#This Row],[Комната 1]:[Комната 3]])</f>
        <v>49.400000000000006</v>
      </c>
      <c r="J146" s="105">
        <v>13.39</v>
      </c>
      <c r="K146" s="105">
        <v>4.2</v>
      </c>
      <c r="L146" s="105">
        <v>2.0499999999999998</v>
      </c>
      <c r="M146" s="105"/>
      <c r="N146" s="105">
        <v>13.21</v>
      </c>
      <c r="O146" s="105">
        <v>2.79</v>
      </c>
      <c r="P146" s="105">
        <v>2.68</v>
      </c>
      <c r="Q146" s="105"/>
      <c r="R146" s="105">
        <f>SUM(ППД5[[#This Row],[Лоджия 1]:[Лоджия 3]])</f>
        <v>5.4700000000000006</v>
      </c>
      <c r="S146" s="8">
        <f>ROUND(SUM(ППД5[[#This Row],[Площадь по проекту жилая]:[Лоджия 3]]),2)</f>
        <v>87.72</v>
      </c>
      <c r="T146" s="8">
        <f>ROUND(ППД5[[#This Row],[Площадь по проекту(общая)]]-ППД5[[#This Row],[Летние]],2)</f>
        <v>82.25</v>
      </c>
      <c r="U146" s="91">
        <f>ROUND(ППД5[[#This Row],[Площадь по проекту(общая)]]-(SUM(ППД5[[#This Row],[Лоджия 1]:[Лоджия 3]])/2),2)</f>
        <v>84.99</v>
      </c>
      <c r="V146" s="91">
        <f>IF(ППД5[[#This Row],[Статус]]="продажа",ППД5[[#This Row],[Расчетная проектная площадь]],ППД5[[#This Row],[Расчетная ТП площадь]])</f>
        <v>84.45</v>
      </c>
      <c r="W146" s="91">
        <v>14.2</v>
      </c>
      <c r="X146" s="91">
        <v>17.8</v>
      </c>
      <c r="Y146" s="91">
        <v>17.3</v>
      </c>
      <c r="Z146" s="91">
        <f>SUM(ППД5[[#This Row],[ТП Комната 1]:[ТП Комната 3]])</f>
        <v>49.3</v>
      </c>
      <c r="AA146" s="91">
        <v>13.2</v>
      </c>
      <c r="AB146" s="91">
        <v>4.2</v>
      </c>
      <c r="AC146" s="91">
        <v>2</v>
      </c>
      <c r="AD146" s="91"/>
      <c r="AE146" s="91">
        <v>13</v>
      </c>
      <c r="AF146" s="91">
        <v>1.4</v>
      </c>
      <c r="AG146" s="92">
        <v>1.35</v>
      </c>
      <c r="AH146" s="91"/>
      <c r="AI146" s="91">
        <f>SUM(ППД5[[#This Row],[ТП Лоджия 1]:[ТП Лоджия 3]])</f>
        <v>2.75</v>
      </c>
      <c r="AJ146" s="95">
        <v>5.5</v>
      </c>
      <c r="AK146" s="91">
        <f>SUM(ППД5[[#This Row],[Площадь по ТП жилая]:[ТП Лоджия 3]])-ППД5[[#This Row],[ТП Летние]]+ППД5[[#This Row],[кроме того прочая
(без коэффициента)]]</f>
        <v>87.2</v>
      </c>
      <c r="AL146" s="95">
        <f>ППД5[[#This Row],[ТП Площадь без летних]]+(ППД5[[#This Row],[ТП Летние]])</f>
        <v>84.45</v>
      </c>
      <c r="AM146" s="91">
        <f>ППД5[[#This Row],[ТП общая S]]-ППД5[[#This Row],[кроме того прочая
(без коэффициента)]]</f>
        <v>81.7</v>
      </c>
      <c r="AN146" s="95">
        <f>SUM(ППД5[[#This Row],[ТП Кухня]:[ТП Коридор]])</f>
        <v>32.4</v>
      </c>
      <c r="AO146" s="91">
        <f>ППД5[[#This Row],[Расчетная ТП площадь]]-ППД5[[#This Row],[Расчетная проектная площадь]]</f>
        <v>-0.53999999999999204</v>
      </c>
      <c r="AP146" s="335">
        <f>ППД5[[#This Row],[Расчетная ТП площадь]]/ППД5[[#This Row],[Расчетная проектная площадь]]-1</f>
        <v>-6.3536886692551198E-3</v>
      </c>
      <c r="AQ146" s="91">
        <f>ППД5[[#This Row],[% расхождения]]*ППД5[[#This Row],[Стоимость до скидки]]</f>
        <v>-59958.489234026711</v>
      </c>
      <c r="AR146" s="91">
        <f>VLOOKUP(ППД5[[#This Row],[№]],наценкад5[],COLUMN(наценкад5[[#This Row],[Цена м2 с учетом всех K]]),0)</f>
        <v>72092.790000000008</v>
      </c>
      <c r="AS146" s="8">
        <f>ППД5[[#This Row],[м2 после К]]*5%</f>
        <v>3604.6395000000007</v>
      </c>
      <c r="AT146" s="8">
        <f>ППД5[[#This Row],[м2 после К]]+ППД5[[#This Row],[Повышение 16.08.23 - 5%]]</f>
        <v>75697.429500000013</v>
      </c>
      <c r="AU146" s="93">
        <f>ППД5[[#This Row],[Фикс 16.08.23]]*3%</f>
        <v>2270.9228850000004</v>
      </c>
      <c r="AV146" s="93">
        <f>ППД5[[#This Row],[Фикс 16.08.23]]+ППД5[[#This Row],[Повышение 29.08.23 - 3%]]</f>
        <v>77968.35238500002</v>
      </c>
      <c r="AW146" s="93"/>
      <c r="AX146" s="93">
        <f>ППД5[[#This Row],[Фикс 29.08.23]]+ППД5[[#This Row],[Повышение 06.09.23 СТ и 1К]]</f>
        <v>77968.35238500002</v>
      </c>
      <c r="AY146" s="93"/>
      <c r="AZ146" s="93">
        <f>ППД5[[#This Row],[Повышение 23.10.23  В4 ]]+ППД5[[#This Row],[Фикс 06.09.23]]</f>
        <v>77968.35238500002</v>
      </c>
      <c r="BA146" s="93"/>
      <c r="BB146" s="93">
        <f>ППД5[[#This Row],[Повышение 8.11.23 1К 5%]]+ППД5[[#This Row],[Фикс 23.10.23]]</f>
        <v>77968.35238500002</v>
      </c>
      <c r="BC146" s="93"/>
      <c r="BD146" s="93">
        <f>ППД5[[#This Row],[Корректировка 24.11.23 - 1К В5, 2К А2, №233]]+ППД5[[#This Row],[Фикс 8.11.23]]</f>
        <v>77968.35238500002</v>
      </c>
      <c r="BE146" s="93">
        <f>ППД5[[#This Row],[Фикс 8.11.24]]*1%</f>
        <v>779.68352385000026</v>
      </c>
      <c r="BF146" s="93">
        <f>ППД5[[#This Row],[Наценка за отделку 29.12.23 1%]]+ППД5[[#This Row],[Фикс 8.11.24]]</f>
        <v>78748.035908850026</v>
      </c>
      <c r="BG146" s="93">
        <f>ППД5[[#This Row],[Фикс 29.12.23]]*5%</f>
        <v>3937.4017954425017</v>
      </c>
      <c r="BH146" s="93">
        <f>ППД5[[#This Row],[Фикс 29.12.23]]+ППД5[[#This Row],[Наценка 10.01.24 5%]]</f>
        <v>82685.437704292533</v>
      </c>
      <c r="BI146" s="93"/>
      <c r="BJ146" s="93">
        <f>ППД5[[#This Row],[Наценка 26.02.24 1 Этаж]]+ППД5[[#This Row],[Фикс 10.01.24]]</f>
        <v>82685.437704292533</v>
      </c>
      <c r="BK146" s="93">
        <f>ППД5[[#This Row],[Фикс 26.02.24]]*2%</f>
        <v>1653.7087540858506</v>
      </c>
      <c r="BL146" s="93">
        <f>ППД5[[#This Row],[Фикс 26.02.24]]+ППД5[[#This Row],[Наценка 06.03.24
СТ, 1К - 3%
2К, 3К - 2%]]</f>
        <v>84339.146458378382</v>
      </c>
      <c r="BM146" s="93"/>
      <c r="BN146" s="93">
        <f>ППД5[[#This Row],[Фикс 06.03.24]]+ППД5[[#This Row],[Наценка Г2+500]]</f>
        <v>84339.146458378382</v>
      </c>
      <c r="BO146" s="93">
        <f>ППД5[[#This Row],[Фикс 13.03.25]]*2%</f>
        <v>1686.7829291675678</v>
      </c>
      <c r="BP146" s="93">
        <f>ППД5[[#This Row],[Фикс 13.03.25]]+ППД5[[#This Row],[Наценка 20.03.24
2К, 3К - 2%]]</f>
        <v>86025.929387545955</v>
      </c>
      <c r="BQ146" s="93"/>
      <c r="BR146" s="93">
        <f>ППД5[[#This Row],[Фикс 20.03.24]]+ППД5[[#This Row],[Наценка 08.04.24 
2К: В3 - 150
3К: Г7 +1000]]</f>
        <v>86025.929387545955</v>
      </c>
      <c r="BS146" s="9">
        <f>ППД5[[#This Row],[Фикс 08.04.24]]*1%</f>
        <v>860.25929387545955</v>
      </c>
      <c r="BT146" s="93">
        <f>ППД5[[#This Row],[Фикс 08.04.24]]+ППД5[[#This Row],[Наценка 16.05.24 1%
А4,А6,Б3,Б6,Б7,В2,В3,В5,В6,Г1,Г3-Г5]]</f>
        <v>86886.188681421409</v>
      </c>
      <c r="BU146" s="93"/>
      <c r="BV146" s="93">
        <f>ППД5[[#This Row],[Фикс 16.05.24]]+ППД5[[#This Row],[Наценка 24.05.24
1% - Б4, Б5,Г2,Г6
2% - А1,А3,А5,Б2,Г7]]</f>
        <v>86886.188681421409</v>
      </c>
      <c r="BW146" s="93"/>
      <c r="BX146" s="93">
        <f>ППД5[[#This Row],[Наценка 06.06.24
0К: В2,Г3 +0,5%
1К: А7, Б5/4, Г6 +0,5%
3К: В6 +0,5%
1К: А3 +1%]]+ППД5[[#This Row],[Фикс 24.05.24]]</f>
        <v>86886.188681421409</v>
      </c>
      <c r="BY146" s="93">
        <f>ППД5[[#This Row],[Фикс 06.06.24]]*2%</f>
        <v>1737.7237736284283</v>
      </c>
      <c r="BZ146" s="93">
        <f>ППД5[[#This Row],[Фикс 06.06.24]]+ППД5[[#This Row],[13.06.2024
3К - 2%]]</f>
        <v>88623.912455049838</v>
      </c>
      <c r="CA146" s="93">
        <f>1.5%*ППД5[[#This Row],[Фикс 13.06.24]]</f>
        <v>1329.3586868257476</v>
      </c>
      <c r="CB146" s="93">
        <f>ППД5[[#This Row],[02.07.2024: Г3 А1 А3 Б5 Б7 Г2 Г6 Б3 Б4 В3 Г7 2,5% ост 0,5-1,5%]]+ППД5[[#This Row],[Фикс 13.06.24]]</f>
        <v>89953.271141875579</v>
      </c>
      <c r="CC146" s="93"/>
      <c r="CD146" s="93">
        <f>ППД5[[#This Row],[Фикс 02.07.24]]+ППД5[[#This Row],[04.09.2024 +500
0К - Б2; 1К - А3;
2К - А6, Б4, В3, Г5]]</f>
        <v>89953.271141875579</v>
      </c>
      <c r="CE146" s="93">
        <f>ППД5[[#This Row],[Фикс 04.09.24]]*4%</f>
        <v>3598.130845675023</v>
      </c>
      <c r="CF146" s="93">
        <f>ППД5[[#This Row],[Наценка 16.09.2024
1К: А1,В7,Г6/7,Г8 - 2%
2К: А4,А5,А6,Б1,Б6,Б3/4,В3,В4,Г4,Г5 - 4%
3К: 4%]]+ППД5[[#This Row],[Фикс 04.09.24]]</f>
        <v>93551.401987550606</v>
      </c>
      <c r="CG146" s="93">
        <f>ППД5[[#This Row],[Фикс 16.09.2024]]*5%</f>
        <v>4677.5700993775308</v>
      </c>
      <c r="CH146" s="93">
        <f>ППД5[[#This Row],[Фикс 16.09.2024]]+ППД5[[#This Row],[Наценка 01.11.24
СТ: 4%
1К: 34-40м 5%; 40м+ 8%; МГН 1%
2К: 55-70м 6%; 70-73м 7%; 73-76м 8% 
3К: 5%]]</f>
        <v>98228.97208692813</v>
      </c>
      <c r="CI146" s="93">
        <f>ППД5[[#This Row],[Фикс 01.11.24]]*13%</f>
        <v>12769.766371300657</v>
      </c>
      <c r="CJ146" s="93">
        <f>ППД5[[#This Row],[Наценка 06.11 13%]]+ППД5[[#This Row],[Фикс 01.11.24]]</f>
        <v>110998.73845822879</v>
      </c>
      <c r="CK146" s="93">
        <v>35</v>
      </c>
      <c r="CL146" s="93">
        <f>ППД5[[#This Row],[Фикс 06.11.24]]+ППД5[[#This Row],[Наценка 18.12.24 распределение КВ]]</f>
        <v>111033.73845822879</v>
      </c>
      <c r="CM146" s="93"/>
      <c r="CN146" s="93">
        <f>ППД5[[#This Row],[Фикс 18.12.24]]+ППД5[[#This Row],[Наценка 10.02.25 +1%
1К: А3
2К: Б3, В3]]</f>
        <v>111033.73845822879</v>
      </c>
      <c r="CO146" s="93">
        <f>ROUND(ППД5[[#This Row],[Фикс 10.02.25]],2)</f>
        <v>111033.74</v>
      </c>
      <c r="CP14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9436800</v>
      </c>
      <c r="CQ146" s="93">
        <f>ROUNDUP(ППД5[[#This Row],[Стоимость до скидки]]+ППД5[[#This Row],[Сумма доплаты]],-2)</f>
        <v>9376900</v>
      </c>
      <c r="CR146" s="68"/>
      <c r="CS146" s="90"/>
      <c r="CT146" s="68">
        <f>ППД5[[#This Row],[Стоимость до скидки]]*ППД5[[#This Row],[Скидка %]]+ППД5[[#This Row],[Скидка фиксированная]]</f>
        <v>0</v>
      </c>
      <c r="CU146" s="3">
        <f>ППД5[[#This Row],[Стоимость ОН без отделки со скидкой]]/ППД5[[#This Row],[Расчетная проектная площадь]]</f>
        <v>111034.23932227322</v>
      </c>
      <c r="CV146" s="3">
        <f>ROUND(ППД5[[#This Row],[Стоимость до скидки]]-ППД5[[#This Row],[Итоговая сумма скидки]],2)</f>
        <v>9436800</v>
      </c>
      <c r="CW14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146" s="218">
        <v>10000</v>
      </c>
      <c r="CY146" s="332">
        <f>ППД5[[#This Row],[Расхождение]]/ППД5[[#This Row],[Расчетная проектная площадь]]</f>
        <v>-6.3536886692551128E-3</v>
      </c>
      <c r="CZ146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-0.45000000000000284</v>
      </c>
      <c r="DA146" s="3">
        <f>ППД5[[#This Row],[Цена м2 без отделки со скидкой]]+ППД5[[#This Row],[Стоимость отделки]]</f>
        <v>121034.23932227322</v>
      </c>
      <c r="DB146" s="3">
        <f>ППД5[[#This Row],[Стоимость квартиры с отделкой]]-ППД5[[#This Row],[Стоимость ОН без отделки со скидкой]]</f>
        <v>849900</v>
      </c>
      <c r="DC146" s="3">
        <f>ППД5[[#This Row],[Цена м2 с отделкой]]*ППД5[[#This Row],[Расчетная проектная площадь]]</f>
        <v>10286700</v>
      </c>
      <c r="DD146" s="3"/>
      <c r="DF146" s="199" t="s">
        <v>157</v>
      </c>
      <c r="DG146" s="245" t="s">
        <v>157</v>
      </c>
      <c r="DH146" s="100" t="b">
        <f>EXACT(ППД5[[#This Row],[Статусы CRM]],ППД5[[#This Row],[Статус]])</f>
        <v>1</v>
      </c>
      <c r="DI146" s="213" t="s">
        <v>318</v>
      </c>
      <c r="DJ146" s="204"/>
      <c r="DK146" s="111" t="s">
        <v>763</v>
      </c>
      <c r="DL146" s="216" t="s">
        <v>780</v>
      </c>
      <c r="DM146" s="201" t="b">
        <f>ППД5[[#This Row],[Отделка CRM]]=ППД5[[#This Row],[Отделка]]</f>
        <v>1</v>
      </c>
      <c r="DN146" s="203">
        <v>10286700</v>
      </c>
      <c r="DO14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46" s="207" t="b">
        <f>IF(AND(ППД5[[#This Row],[Статус]]="свободно",ППД5[[#This Row],[Итоговая сумма скидки]]&lt;&gt;0),FALSE,TRUE)</f>
        <v>1</v>
      </c>
      <c r="DQ146" s="240" t="str">
        <f>_xlfn.XLOOKUP(ППД5[[#This Row],[№]],Юрист[№ кв],Юрист[Дата подачи на регистрацию]," ",0,-1)</f>
        <v xml:space="preserve"> </v>
      </c>
      <c r="DR146" s="115" t="str">
        <f>_xlfn.XLOOKUP(ППД5[[#This Row],[№]],Юрист[№ кв],Юрист[МОП],"",0,-1)</f>
        <v/>
      </c>
      <c r="DS146" s="333" t="s">
        <v>2584</v>
      </c>
      <c r="DT146" s="333" t="s">
        <v>2585</v>
      </c>
      <c r="DU146" s="333">
        <v>81.7</v>
      </c>
      <c r="DV146" s="111"/>
    </row>
    <row r="147" spans="1:126" hidden="1" x14ac:dyDescent="0.25">
      <c r="A147" s="112">
        <v>145</v>
      </c>
      <c r="B147" s="111" t="s">
        <v>4</v>
      </c>
      <c r="C147" s="111">
        <v>5</v>
      </c>
      <c r="D147" s="111">
        <v>7</v>
      </c>
      <c r="E147" s="111">
        <v>1</v>
      </c>
      <c r="F147" s="105">
        <v>17.89</v>
      </c>
      <c r="G147" s="105"/>
      <c r="H147" s="105"/>
      <c r="I147" s="94">
        <f>SUM(ППД5[[#This Row],[Комната 1]:[Комната 3]])</f>
        <v>17.89</v>
      </c>
      <c r="J147" s="105">
        <v>13.04</v>
      </c>
      <c r="K147" s="105">
        <v>3.9</v>
      </c>
      <c r="L147" s="105"/>
      <c r="M147" s="105"/>
      <c r="N147" s="105">
        <v>6.12</v>
      </c>
      <c r="O147" s="105">
        <v>2.65</v>
      </c>
      <c r="P147" s="105"/>
      <c r="Q147" s="105"/>
      <c r="R147" s="105">
        <f>SUM(ППД5[[#This Row],[Лоджия 1]:[Лоджия 3]])</f>
        <v>2.65</v>
      </c>
      <c r="S147" s="8">
        <f>ROUND(SUM(ППД5[[#This Row],[Площадь по проекту жилая]:[Лоджия 3]]),2)</f>
        <v>43.6</v>
      </c>
      <c r="T147" s="8">
        <f>ROUND(ППД5[[#This Row],[Площадь по проекту(общая)]]-ППД5[[#This Row],[Летние]],2)</f>
        <v>40.950000000000003</v>
      </c>
      <c r="U147" s="91">
        <f>ROUND(ППД5[[#This Row],[Площадь по проекту(общая)]]-(SUM(ППД5[[#This Row],[Лоджия 1]:[Лоджия 3]])/2),2)</f>
        <v>42.28</v>
      </c>
      <c r="V147" s="91">
        <f>IF(ППД5[[#This Row],[Статус]]="продажа",ППД5[[#This Row],[Расчетная проектная площадь]],ППД5[[#This Row],[Расчетная ТП площадь]])</f>
        <v>42.28</v>
      </c>
      <c r="W147" s="91">
        <v>17.8</v>
      </c>
      <c r="X147" s="91"/>
      <c r="Y147" s="91"/>
      <c r="Z147" s="91">
        <f>SUM(ППД5[[#This Row],[ТП Комната 1]:[ТП Комната 3]])</f>
        <v>17.8</v>
      </c>
      <c r="AA147" s="91">
        <v>13.1</v>
      </c>
      <c r="AB147" s="91">
        <v>3.8</v>
      </c>
      <c r="AC147" s="91"/>
      <c r="AD147" s="91"/>
      <c r="AE147" s="91">
        <v>6.1</v>
      </c>
      <c r="AF147" s="91">
        <v>1.3</v>
      </c>
      <c r="AG147" s="91"/>
      <c r="AH147" s="91"/>
      <c r="AI147" s="91">
        <f>SUM(ППД5[[#This Row],[ТП Лоджия 1]:[ТП Лоджия 3]])</f>
        <v>1.3</v>
      </c>
      <c r="AJ147" s="95">
        <v>2.6</v>
      </c>
      <c r="AK147" s="91">
        <f>SUM(ППД5[[#This Row],[Площадь по ТП жилая]:[ТП Лоджия 3]])-ППД5[[#This Row],[ТП Летние]]+ППД5[[#This Row],[кроме того прочая
(без коэффициента)]]</f>
        <v>43.4</v>
      </c>
      <c r="AL147" s="95">
        <f>ППД5[[#This Row],[ТП Площадь без летних]]+(ППД5[[#This Row],[ТП Летние]])</f>
        <v>42.099999999999994</v>
      </c>
      <c r="AM147" s="91">
        <f>ППД5[[#This Row],[ТП общая S]]-ППД5[[#This Row],[кроме того прочая
(без коэффициента)]]</f>
        <v>40.799999999999997</v>
      </c>
      <c r="AN147" s="95">
        <f>SUM(ППД5[[#This Row],[ТП Кухня]:[ТП Коридор]])</f>
        <v>23</v>
      </c>
      <c r="AO147" s="91">
        <f>ППД5[[#This Row],[Расчетная ТП площадь]]-ППД5[[#This Row],[Расчетная проектная площадь]]</f>
        <v>-0.18000000000000682</v>
      </c>
      <c r="AP147" s="335">
        <f>ППД5[[#This Row],[Расчетная ТП площадь]]/ППД5[[#This Row],[Расчетная проектная площадь]]-1</f>
        <v>-4.2573320719018204E-3</v>
      </c>
      <c r="AQ147" s="91">
        <f>ППД5[[#This Row],[% расхождения]]*ППД5[[#This Row],[Стоимость до скидки]]</f>
        <v>-19987.322611164665</v>
      </c>
      <c r="AR147" s="91">
        <f>VLOOKUP(ППД5[[#This Row],[№]],наценкад5[],COLUMN(наценкад5[[#This Row],[Цена м2 с учетом всех K]]),0)</f>
        <v>83951.4375</v>
      </c>
      <c r="AS147" s="8">
        <f>ППД5[[#This Row],[м2 после К]]*5%</f>
        <v>4197.5718750000005</v>
      </c>
      <c r="AT147" s="8">
        <f>ППД5[[#This Row],[м2 после К]]+ППД5[[#This Row],[Повышение 16.08.23 - 5%]]</f>
        <v>88149.009374999994</v>
      </c>
      <c r="AU147" s="93">
        <f>ППД5[[#This Row],[Фикс 16.08.23]]*3%</f>
        <v>2644.4702812499995</v>
      </c>
      <c r="AV147" s="93">
        <f>ППД5[[#This Row],[Фикс 16.08.23]]+ППД5[[#This Row],[Повышение 29.08.23 - 3%]]</f>
        <v>90793.479656249998</v>
      </c>
      <c r="AW147" s="93">
        <f>ППД5[[#This Row],[Фикс 29.08.23]]*3%</f>
        <v>2723.8043896874997</v>
      </c>
      <c r="AX147" s="93">
        <f>ППД5[[#This Row],[Фикс 29.08.23]]+ППД5[[#This Row],[Повышение 06.09.23 СТ и 1К]]</f>
        <v>93517.2840459375</v>
      </c>
      <c r="AY147" s="93"/>
      <c r="AZ147" s="93">
        <f>ППД5[[#This Row],[Повышение 23.10.23  В4 ]]+ППД5[[#This Row],[Фикс 06.09.23]]</f>
        <v>93517.2840459375</v>
      </c>
      <c r="BA147" s="93">
        <f>ППД5[[#This Row],[Фикс 23.10.23]]*5%</f>
        <v>4675.8642022968752</v>
      </c>
      <c r="BB147" s="93">
        <f>ППД5[[#This Row],[Повышение 8.11.23 1К 5%]]+ППД5[[#This Row],[Фикс 23.10.23]]</f>
        <v>98193.148248234371</v>
      </c>
      <c r="BC147" s="93"/>
      <c r="BD147" s="93">
        <f>ППД5[[#This Row],[Корректировка 24.11.23 - 1К В5, 2К А2, №233]]+ППД5[[#This Row],[Фикс 8.11.23]]</f>
        <v>98193.148248234371</v>
      </c>
      <c r="BE147" s="93">
        <f>ППД5[[#This Row],[Фикс 8.11.24]]*1%</f>
        <v>981.93148248234377</v>
      </c>
      <c r="BF147" s="93">
        <f>ППД5[[#This Row],[Наценка за отделку 29.12.23 1%]]+ППД5[[#This Row],[Фикс 8.11.24]]</f>
        <v>99175.079730716709</v>
      </c>
      <c r="BG147" s="93">
        <f>ППД5[[#This Row],[Фикс 29.12.23]]*5%</f>
        <v>4958.7539865358358</v>
      </c>
      <c r="BH147" s="93">
        <f>ППД5[[#This Row],[Фикс 29.12.23]]+ППД5[[#This Row],[Наценка 10.01.24 5%]]</f>
        <v>104133.83371725255</v>
      </c>
      <c r="BI147" s="93"/>
      <c r="BJ147" s="93">
        <f>ППД5[[#This Row],[Наценка 26.02.24 1 Этаж]]+ППД5[[#This Row],[Фикс 10.01.24]]</f>
        <v>104133.83371725255</v>
      </c>
      <c r="BK147" s="93">
        <f>ППД5[[#This Row],[Фикс 26.02.24]]*3%</f>
        <v>3124.0150115175766</v>
      </c>
      <c r="BL147" s="93">
        <f>ППД5[[#This Row],[Фикс 26.02.24]]+ППД5[[#This Row],[Наценка 06.03.24
СТ, 1К - 3%
2К, 3К - 2%]]</f>
        <v>107257.84872877013</v>
      </c>
      <c r="BM147" s="93"/>
      <c r="BN147" s="93">
        <f>ППД5[[#This Row],[Фикс 06.03.24]]+ППД5[[#This Row],[Наценка Г2+500]]</f>
        <v>107257.84872877013</v>
      </c>
      <c r="BO147" s="93"/>
      <c r="BP147" s="93">
        <f>ППД5[[#This Row],[Фикс 13.03.25]]+ППД5[[#This Row],[Наценка 20.03.24
2К, 3К - 2%]]</f>
        <v>107257.84872877013</v>
      </c>
      <c r="BQ147" s="93"/>
      <c r="BR147" s="93">
        <f>ППД5[[#This Row],[Фикс 20.03.24]]+ППД5[[#This Row],[Наценка 08.04.24 
2К: В3 - 150
3К: Г7 +1000]]</f>
        <v>107257.84872877013</v>
      </c>
      <c r="BS147" s="9">
        <f>ППД5[[#This Row],[Фикс 08.04.24]]*1%</f>
        <v>1072.5784872877014</v>
      </c>
      <c r="BT147" s="93">
        <f>ППД5[[#This Row],[Фикс 08.04.24]]+ППД5[[#This Row],[Наценка 16.05.24 1%
А4,А6,Б3,Б6,Б7,В2,В3,В5,В6,Г1,Г3-Г5]]</f>
        <v>108330.42721605783</v>
      </c>
      <c r="BU147" s="93"/>
      <c r="BV147" s="93">
        <f>ППД5[[#This Row],[Фикс 16.05.24]]+ППД5[[#This Row],[Наценка 24.05.24
1% - Б4, Б5,Г2,Г6
2% - А1,А3,А5,Б2,Г7]]</f>
        <v>108330.42721605783</v>
      </c>
      <c r="BW147" s="93"/>
      <c r="BX147" s="93">
        <f>ППД5[[#This Row],[Наценка 06.06.24
0К: В2,Г3 +0,5%
1К: А7, Б5/4, Г6 +0,5%
3К: В6 +0,5%
1К: А3 +1%]]+ППД5[[#This Row],[Фикс 24.05.24]]</f>
        <v>108330.42721605783</v>
      </c>
      <c r="BY147" s="93"/>
      <c r="BZ147" s="93">
        <f>ППД5[[#This Row],[Фикс 06.06.24]]+ППД5[[#This Row],[13.06.2024
3К - 2%]]</f>
        <v>108330.42721605783</v>
      </c>
      <c r="CA147" s="93">
        <f>2.5%*ППД5[[#This Row],[Фикс 13.06.24]]</f>
        <v>2708.2606804014458</v>
      </c>
      <c r="CB147" s="93">
        <f>ППД5[[#This Row],[02.07.2024: Г3 А1 А3 Б5 Б7 Г2 Г6 Б3 Б4 В3 Г7 2,5% ост 0,5-1,5%]]+ППД5[[#This Row],[Фикс 13.06.24]]</f>
        <v>111038.68789645928</v>
      </c>
      <c r="CC147" s="93"/>
      <c r="CD147" s="93">
        <f>ППД5[[#This Row],[Фикс 02.07.24]]+ППД5[[#This Row],[04.09.2024 +500
0К - Б2; 1К - А3;
2К - А6, Б4, В3, Г5]]</f>
        <v>111038.68789645928</v>
      </c>
      <c r="CE147" s="93"/>
      <c r="CF147" s="93">
        <f>ППД5[[#This Row],[Наценка 16.09.2024
1К: А1,В7,Г6/7,Г8 - 2%
2К: А4,А5,А6,Б1,Б6,Б3/4,В3,В4,Г4,Г5 - 4%
3К: 4%]]+ППД5[[#This Row],[Фикс 04.09.24]]</f>
        <v>111038.68789645928</v>
      </c>
      <c r="CG147" s="93"/>
      <c r="CH147" s="93">
        <f>ППД5[[#This Row],[Фикс 16.09.2024]]+ППД5[[#This Row],[Наценка 01.11.24
СТ: 4%
1К: 34-40м 5%; 40м+ 8%; МГН 1%
2К: 55-70м 6%; 70-73м 7%; 73-76м 8% 
3К: 5%]]</f>
        <v>111038.68789645928</v>
      </c>
      <c r="CI147" s="93"/>
      <c r="CJ147" s="93">
        <f>ППД5[[#This Row],[Наценка 06.11 13%]]+ППД5[[#This Row],[Фикс 01.11.24]]</f>
        <v>111038.68789645928</v>
      </c>
      <c r="CK147" s="93"/>
      <c r="CL147" s="93">
        <f>ППД5[[#This Row],[Фикс 06.11.24]]+ППД5[[#This Row],[Наценка 18.12.24 распределение КВ]]</f>
        <v>111038.68789645928</v>
      </c>
      <c r="CM147" s="93"/>
      <c r="CN147" s="93">
        <f>ППД5[[#This Row],[Фикс 18.12.24]]+ППД5[[#This Row],[Наценка 10.02.25 +1%
1К: А3
2К: Б3, В3]]</f>
        <v>111038.68789645928</v>
      </c>
      <c r="CO147" s="93">
        <f>ROUND(ППД5[[#This Row],[Фикс 10.02.25]],2)</f>
        <v>111038.69</v>
      </c>
      <c r="CP14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4694800</v>
      </c>
      <c r="CQ147" s="93">
        <f>ROUNDUP(ППД5[[#This Row],[Стоимость до скидки]]+ППД5[[#This Row],[Сумма доплаты]],-2)</f>
        <v>4674900</v>
      </c>
      <c r="CR147" s="68">
        <v>544800</v>
      </c>
      <c r="CS147" s="90"/>
      <c r="CT147" s="68">
        <f>ППД5[[#This Row],[Стоимость до скидки]]*ППД5[[#This Row],[Скидка %]]+ППД5[[#This Row],[Скидка фиксированная]]</f>
        <v>544800</v>
      </c>
      <c r="CU147" s="3">
        <f>ППД5[[#This Row],[Стоимость ОН без отделки со скидкой]]/ППД5[[#This Row],[Расчетная проектная площадь]]</f>
        <v>98155.15610217597</v>
      </c>
      <c r="CV147" s="3">
        <f>ROUND(ППД5[[#This Row],[Стоимость до скидки]]-ППД5[[#This Row],[Итоговая сумма скидки]],2)</f>
        <v>4150000</v>
      </c>
      <c r="CW14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47" s="197"/>
      <c r="CY147" s="332">
        <f>ППД5[[#This Row],[Расхождение]]/ППД5[[#This Row],[Расчетная проектная площадь]]</f>
        <v>-4.2573320719017692E-3</v>
      </c>
      <c r="CZ14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-6.0000000000000497E-2</v>
      </c>
      <c r="DA147" s="3">
        <f>ППД5[[#This Row],[Цена м2 без отделки со скидкой]]+ППД5[[#This Row],[Стоимость отделки]]</f>
        <v>98155.15610217597</v>
      </c>
      <c r="DB147" s="3">
        <f>ППД5[[#This Row],[Стоимость квартиры с отделкой]]-ППД5[[#This Row],[Стоимость ОН без отделки со скидкой]]</f>
        <v>0</v>
      </c>
      <c r="DC147" s="3">
        <f>ППД5[[#This Row],[Цена м2 с отделкой]]*ППД5[[#This Row],[Расчетная проектная площадь]]</f>
        <v>4150000</v>
      </c>
      <c r="DD147" s="3"/>
      <c r="DE147" s="111" t="s">
        <v>767</v>
      </c>
      <c r="DF147" s="199" t="s">
        <v>172</v>
      </c>
      <c r="DG147" s="245" t="s">
        <v>172</v>
      </c>
      <c r="DH147" s="100" t="b">
        <f>EXACT(ППД5[[#This Row],[Статусы CRM]],ППД5[[#This Row],[Статус]])</f>
        <v>1</v>
      </c>
      <c r="DI147" s="213" t="s">
        <v>319</v>
      </c>
      <c r="DJ147" s="204"/>
      <c r="DK147" s="111" t="s">
        <v>763</v>
      </c>
      <c r="DL147" s="216" t="s">
        <v>12</v>
      </c>
      <c r="DM147" s="201" t="b">
        <f>ППД5[[#This Row],[Отделка CRM]]=ППД5[[#This Row],[Отделка]]</f>
        <v>1</v>
      </c>
      <c r="DN147" s="203">
        <v>4150000</v>
      </c>
      <c r="DO14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47" s="207" t="b">
        <f>IF(AND(ППД5[[#This Row],[Статус]]="свободно",ППД5[[#This Row],[Итоговая сумма скидки]]&lt;&gt;0),FALSE,TRUE)</f>
        <v>1</v>
      </c>
      <c r="DQ147" s="240">
        <f>_xlfn.XLOOKUP(ППД5[[#This Row],[№]],Юрист[№ кв],Юрист[Дата подачи на регистрацию]," ",0,-1)</f>
        <v>45617</v>
      </c>
      <c r="DR147" s="115" t="str">
        <f>_xlfn.XLOOKUP(ППД5[[#This Row],[№]],Юрист[№ кв],Юрист[МОП],"",0,-1)</f>
        <v>Никишов</v>
      </c>
      <c r="DS147" s="333" t="s">
        <v>2586</v>
      </c>
      <c r="DT147" s="333" t="s">
        <v>2587</v>
      </c>
      <c r="DU147" s="333">
        <v>40.799999999999997</v>
      </c>
      <c r="DV147" s="111"/>
    </row>
    <row r="148" spans="1:126" hidden="1" x14ac:dyDescent="0.25">
      <c r="A148" s="112">
        <v>146</v>
      </c>
      <c r="B148" s="111" t="s">
        <v>4</v>
      </c>
      <c r="C148" s="111">
        <v>6</v>
      </c>
      <c r="D148" s="338">
        <v>1</v>
      </c>
      <c r="E148" s="111">
        <v>2</v>
      </c>
      <c r="F148" s="105">
        <v>15.91</v>
      </c>
      <c r="G148" s="105">
        <v>12.02</v>
      </c>
      <c r="H148" s="105"/>
      <c r="I148" s="94">
        <f>SUM(ППД5[[#This Row],[Комната 1]:[Комната 3]])</f>
        <v>27.93</v>
      </c>
      <c r="J148" s="105">
        <v>15.31</v>
      </c>
      <c r="K148" s="105">
        <v>3.85</v>
      </c>
      <c r="L148" s="105">
        <v>2.2999999999999998</v>
      </c>
      <c r="M148" s="105"/>
      <c r="N148" s="105">
        <v>9.4499999999999993</v>
      </c>
      <c r="O148" s="105">
        <v>2.75</v>
      </c>
      <c r="P148" s="105"/>
      <c r="Q148" s="105"/>
      <c r="R148" s="105">
        <f>SUM(ППД5[[#This Row],[Лоджия 1]:[Лоджия 3]])</f>
        <v>2.75</v>
      </c>
      <c r="S148" s="8">
        <f>ROUND(SUM(ППД5[[#This Row],[Площадь по проекту жилая]:[Лоджия 3]]),2)</f>
        <v>61.59</v>
      </c>
      <c r="T148" s="8">
        <f>ROUND(ППД5[[#This Row],[Площадь по проекту(общая)]]-ППД5[[#This Row],[Летние]],2)</f>
        <v>58.84</v>
      </c>
      <c r="U148" s="91">
        <f>ROUND(ППД5[[#This Row],[Площадь по проекту(общая)]]-(SUM(ППД5[[#This Row],[Лоджия 1]:[Лоджия 3]])/2),2)</f>
        <v>60.22</v>
      </c>
      <c r="V148" s="91">
        <f>IF(ППД5[[#This Row],[Статус]]="продажа",ППД5[[#This Row],[Расчетная проектная площадь]],ППД5[[#This Row],[Расчетная ТП площадь]])</f>
        <v>59.79999999999999</v>
      </c>
      <c r="W148" s="91">
        <v>15.8</v>
      </c>
      <c r="X148" s="91">
        <v>12</v>
      </c>
      <c r="Y148" s="91"/>
      <c r="Z148" s="91">
        <f>SUM(ППД5[[#This Row],[ТП Комната 1]:[ТП Комната 3]])</f>
        <v>27.8</v>
      </c>
      <c r="AA148" s="91">
        <v>15</v>
      </c>
      <c r="AB148" s="91">
        <v>3.9</v>
      </c>
      <c r="AC148" s="91">
        <v>2.2999999999999998</v>
      </c>
      <c r="AD148" s="91"/>
      <c r="AE148" s="91">
        <v>9.4</v>
      </c>
      <c r="AF148" s="91">
        <v>1.4</v>
      </c>
      <c r="AG148" s="91"/>
      <c r="AH148" s="91"/>
      <c r="AI148" s="91">
        <f>SUM(ППД5[[#This Row],[ТП Лоджия 1]:[ТП Лоджия 3]])</f>
        <v>1.4</v>
      </c>
      <c r="AJ148" s="95">
        <v>2.8</v>
      </c>
      <c r="AK148" s="91">
        <f>SUM(ППД5[[#This Row],[Площадь по ТП жилая]:[ТП Лоджия 3]])-ППД5[[#This Row],[ТП Летние]]+ППД5[[#This Row],[кроме того прочая
(без коэффициента)]]</f>
        <v>61.199999999999989</v>
      </c>
      <c r="AL148" s="95">
        <f>ППД5[[#This Row],[ТП Площадь без летних]]+(ППД5[[#This Row],[ТП Летние]])</f>
        <v>59.79999999999999</v>
      </c>
      <c r="AM148" s="91">
        <f>ППД5[[#This Row],[ТП общая S]]-ППД5[[#This Row],[кроме того прочая
(без коэффициента)]]</f>
        <v>58.399999999999991</v>
      </c>
      <c r="AN148" s="95">
        <f>SUM(ППД5[[#This Row],[ТП Кухня]:[ТП Коридор]])</f>
        <v>30.6</v>
      </c>
      <c r="AO148" s="91">
        <f>ППД5[[#This Row],[Расчетная ТП площадь]]-ППД5[[#This Row],[Расчетная проектная площадь]]</f>
        <v>-0.42000000000000881</v>
      </c>
      <c r="AP148" s="335">
        <f>ППД5[[#This Row],[Расчетная ТП площадь]]/ППД5[[#This Row],[Расчетная проектная площадь]]-1</f>
        <v>-6.9744271006311198E-3</v>
      </c>
      <c r="AQ148" s="91">
        <f>ППД5[[#This Row],[% расхождения]]*ППД5[[#This Row],[Стоимость до скидки]]</f>
        <v>-51883.460644304963</v>
      </c>
      <c r="AR148" s="91">
        <f>VLOOKUP(ППД5[[#This Row],[№]],наценкад5[],COLUMN(наценкад5[[#This Row],[Цена м2 с учетом всех K]]),0)</f>
        <v>81852.246000000014</v>
      </c>
      <c r="AS148" s="8">
        <f>ППД5[[#This Row],[м2 после К]]*5%</f>
        <v>4092.6123000000007</v>
      </c>
      <c r="AT148" s="8">
        <f>ППД5[[#This Row],[м2 после К]]+ППД5[[#This Row],[Повышение 16.08.23 - 5%]]</f>
        <v>85944.858300000022</v>
      </c>
      <c r="AU148" s="93">
        <f>ППД5[[#This Row],[Фикс 16.08.23]]*3%</f>
        <v>2578.3457490000005</v>
      </c>
      <c r="AV148" s="93">
        <f>ППД5[[#This Row],[Фикс 16.08.23]]+ППД5[[#This Row],[Повышение 29.08.23 - 3%]]</f>
        <v>88523.204049000022</v>
      </c>
      <c r="AW148" s="93"/>
      <c r="AX148" s="93">
        <f>ППД5[[#This Row],[Фикс 29.08.23]]+ППД5[[#This Row],[Повышение 06.09.23 СТ и 1К]]</f>
        <v>88523.204049000022</v>
      </c>
      <c r="AY148" s="93"/>
      <c r="AZ148" s="93">
        <f>ППД5[[#This Row],[Повышение 23.10.23  В4 ]]+ППД5[[#This Row],[Фикс 06.09.23]]</f>
        <v>88523.204049000022</v>
      </c>
      <c r="BA148" s="93"/>
      <c r="BB148" s="93">
        <f>ППД5[[#This Row],[Повышение 8.11.23 1К 5%]]+ППД5[[#This Row],[Фикс 23.10.23]]</f>
        <v>88523.204049000022</v>
      </c>
      <c r="BC148" s="93"/>
      <c r="BD148" s="93">
        <f>ППД5[[#This Row],[Корректировка 24.11.23 - 1К В5, 2К А2, №233]]+ППД5[[#This Row],[Фикс 8.11.23]]</f>
        <v>88523.204049000022</v>
      </c>
      <c r="BE148" s="93">
        <f>ППД5[[#This Row],[Фикс 8.11.24]]*1%</f>
        <v>885.23204049000026</v>
      </c>
      <c r="BF148" s="93">
        <f>ППД5[[#This Row],[Наценка за отделку 29.12.23 1%]]+ППД5[[#This Row],[Фикс 8.11.24]]</f>
        <v>89408.436089490016</v>
      </c>
      <c r="BG148" s="93">
        <f>ППД5[[#This Row],[Фикс 29.12.23]]*5%</f>
        <v>4470.4218044745012</v>
      </c>
      <c r="BH148" s="93">
        <f>ППД5[[#This Row],[Фикс 29.12.23]]+ППД5[[#This Row],[Наценка 10.01.24 5%]]</f>
        <v>93878.857893964523</v>
      </c>
      <c r="BI148" s="93"/>
      <c r="BJ148" s="93">
        <f>ППД5[[#This Row],[Наценка 26.02.24 1 Этаж]]+ППД5[[#This Row],[Фикс 10.01.24]]</f>
        <v>93878.857893964523</v>
      </c>
      <c r="BK148" s="93">
        <f>ППД5[[#This Row],[Фикс 26.02.24]]*2%</f>
        <v>1877.5771578792906</v>
      </c>
      <c r="BL148" s="93">
        <f>ППД5[[#This Row],[Фикс 26.02.24]]+ППД5[[#This Row],[Наценка 06.03.24
СТ, 1К - 3%
2К, 3К - 2%]]</f>
        <v>95756.435051843815</v>
      </c>
      <c r="BM148" s="93"/>
      <c r="BN148" s="93">
        <f>ППД5[[#This Row],[Фикс 06.03.24]]+ППД5[[#This Row],[Наценка Г2+500]]</f>
        <v>95756.435051843815</v>
      </c>
      <c r="BO148" s="93">
        <f>ППД5[[#This Row],[Фикс 13.03.25]]*2%</f>
        <v>1915.1287010368762</v>
      </c>
      <c r="BP148" s="93">
        <f>ППД5[[#This Row],[Фикс 13.03.25]]+ППД5[[#This Row],[Наценка 20.03.24
2К, 3К - 2%]]</f>
        <v>97671.563752880698</v>
      </c>
      <c r="BQ148" s="93"/>
      <c r="BR148" s="93">
        <f>ППД5[[#This Row],[Фикс 20.03.24]]+ППД5[[#This Row],[Наценка 08.04.24 
2К: В3 - 150
3К: Г7 +1000]]</f>
        <v>97671.563752880698</v>
      </c>
      <c r="BS148" s="93"/>
      <c r="BT148" s="93">
        <f>ППД5[[#This Row],[Фикс 08.04.24]]+ППД5[[#This Row],[Наценка 16.05.24 1%
А4,А6,Б3,Б6,Б7,В2,В3,В5,В6,Г1,Г3-Г5]]</f>
        <v>97671.563752880698</v>
      </c>
      <c r="BU148" s="93"/>
      <c r="BV148" s="93">
        <f>ППД5[[#This Row],[Фикс 16.05.24]]+ППД5[[#This Row],[Наценка 24.05.24
1% - Б4, Б5,Г2,Г6
2% - А1,А3,А5,Б2,Г7]]</f>
        <v>97671.563752880698</v>
      </c>
      <c r="BW148" s="93"/>
      <c r="BX148" s="93">
        <f>ППД5[[#This Row],[Наценка 06.06.24
0К: В2,Г3 +0,5%
1К: А7, Б5/4, Г6 +0,5%
3К: В6 +0,5%
1К: А3 +1%]]+ППД5[[#This Row],[Фикс 24.05.24]]</f>
        <v>97671.563752880698</v>
      </c>
      <c r="BY148" s="93"/>
      <c r="BZ148" s="93">
        <f>ППД5[[#This Row],[Фикс 06.06.24]]+ППД5[[#This Row],[13.06.2024
3К - 2%]]</f>
        <v>97671.563752880698</v>
      </c>
      <c r="CA148" s="47">
        <f>1.5%*ППД5[[#This Row],[Фикс 13.06.24]]</f>
        <v>1465.0734562932105</v>
      </c>
      <c r="CB148" s="93">
        <f>ППД5[[#This Row],[02.07.2024: Г3 А1 А3 Б5 Б7 Г2 Г6 Б3 Б4 В3 Г7 2,5% ост 0,5-1,5%]]+ППД5[[#This Row],[Фикс 13.06.24]]</f>
        <v>99136.637209173903</v>
      </c>
      <c r="CC148" s="93"/>
      <c r="CD148" s="93">
        <f>ППД5[[#This Row],[Фикс 02.07.24]]+ППД5[[#This Row],[04.09.2024 +500
0К - Б2; 1К - А3;
2К - А6, Б4, В3, Г5]]</f>
        <v>99136.637209173903</v>
      </c>
      <c r="CE148" s="93">
        <f>ППД5[[#This Row],[Фикс 04.09.24]]*4%</f>
        <v>3965.4654883669564</v>
      </c>
      <c r="CF148" s="93">
        <f>ППД5[[#This Row],[Наценка 16.09.2024
1К: А1,В7,Г6/7,Г8 - 2%
2К: А4,А5,А6,Б1,Б6,Б3/4,В3,В4,Г4,Г5 - 4%
3К: 4%]]+ППД5[[#This Row],[Фикс 04.09.24]]</f>
        <v>103102.10269754086</v>
      </c>
      <c r="CG148" s="93">
        <f>ППД5[[#This Row],[Фикс 16.09.2024]]*6%</f>
        <v>6186.1261618524513</v>
      </c>
      <c r="CH148" s="93">
        <f>ППД5[[#This Row],[Фикс 16.09.2024]]+ППД5[[#This Row],[Наценка 01.11.24
СТ: 4%
1К: 34-40м 5%; 40м+ 8%; МГН 1%
2К: 55-70м 6%; 70-73м 7%; 73-76м 8% 
3К: 5%]]</f>
        <v>109288.2288593933</v>
      </c>
      <c r="CI148" s="93">
        <f>ППД5[[#This Row],[Фикс 01.11.24]]*13%</f>
        <v>14207.46975172113</v>
      </c>
      <c r="CJ148" s="93">
        <f>ППД5[[#This Row],[Наценка 06.11 13%]]+ППД5[[#This Row],[Фикс 01.11.24]]</f>
        <v>123495.69861111444</v>
      </c>
      <c r="CK148" s="93">
        <v>35</v>
      </c>
      <c r="CL148" s="93">
        <f>ППД5[[#This Row],[Фикс 06.11.24]]+ППД5[[#This Row],[Наценка 18.12.24 распределение КВ]]</f>
        <v>123530.69861111444</v>
      </c>
      <c r="CM148" s="93"/>
      <c r="CN148" s="93">
        <f>ППД5[[#This Row],[Фикс 18.12.24]]+ППД5[[#This Row],[Наценка 10.02.25 +1%
1К: А3
2К: Б3, В3]]</f>
        <v>123530.69861111444</v>
      </c>
      <c r="CO148" s="93">
        <f>ROUND(ППД5[[#This Row],[Фикс 10.02.25]],2)</f>
        <v>123530.7</v>
      </c>
      <c r="CP14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7439100</v>
      </c>
      <c r="CQ148" s="93">
        <f>ROUNDUP(ППД5[[#This Row],[Стоимость до скидки]]+ППД5[[#This Row],[Сумма доплаты]],-2)</f>
        <v>7387300</v>
      </c>
      <c r="CR148" s="68"/>
      <c r="CS148" s="90"/>
      <c r="CT148" s="68">
        <f>ППД5[[#This Row],[Стоимость до скидки]]*ППД5[[#This Row],[Скидка %]]+ППД5[[#This Row],[Скидка фиксированная]]</f>
        <v>0</v>
      </c>
      <c r="CU148" s="3">
        <f>ППД5[[#This Row],[Стоимость ОН без отделки со скидкой]]/ППД5[[#This Row],[Расчетная проектная площадь]]</f>
        <v>123532.04915310528</v>
      </c>
      <c r="CV148" s="3">
        <f>ROUND(ППД5[[#This Row],[Стоимость до скидки]]-ППД5[[#This Row],[Итоговая сумма скидки]],2)</f>
        <v>7439100</v>
      </c>
      <c r="CW14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148" s="197">
        <v>10000</v>
      </c>
      <c r="CY148" s="332">
        <f>ППД5[[#This Row],[Расхождение]]/ППД5[[#This Row],[Расчетная проектная площадь]]</f>
        <v>-6.9744271006311658E-3</v>
      </c>
      <c r="CZ14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-0.30999999999999872</v>
      </c>
      <c r="DA148" s="3">
        <f>ППД5[[#This Row],[Цена м2 без отделки со скидкой]]+ППД5[[#This Row],[Стоимость отделки]]</f>
        <v>133532.0491531053</v>
      </c>
      <c r="DB148" s="3">
        <f>ППД5[[#This Row],[Стоимость квартиры с отделкой]]-ППД5[[#This Row],[Стоимость ОН без отделки со скидкой]]</f>
        <v>602200.00000000093</v>
      </c>
      <c r="DC148" s="3">
        <f>ППД5[[#This Row],[Цена м2 с отделкой]]*ППД5[[#This Row],[Расчетная проектная площадь]]</f>
        <v>8041300.0000000009</v>
      </c>
      <c r="DD148" s="3"/>
      <c r="DF148" s="199" t="s">
        <v>161</v>
      </c>
      <c r="DG148" s="245" t="s">
        <v>161</v>
      </c>
      <c r="DH148" s="100" t="b">
        <f>EXACT(ППД5[[#This Row],[Статусы CRM]],ППД5[[#This Row],[Статус]])</f>
        <v>1</v>
      </c>
      <c r="DI148" s="213" t="s">
        <v>320</v>
      </c>
      <c r="DJ148" s="204"/>
      <c r="DK148" s="111" t="s">
        <v>763</v>
      </c>
      <c r="DL148" s="216" t="s">
        <v>780</v>
      </c>
      <c r="DM148" s="201" t="b">
        <f>ППД5[[#This Row],[Отделка CRM]]=ППД5[[#This Row],[Отделка]]</f>
        <v>1</v>
      </c>
      <c r="DN148" s="203">
        <v>8041300</v>
      </c>
      <c r="DO14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-9.3132257461547852E-10</v>
      </c>
      <c r="DP148" s="207" t="b">
        <f>IF(AND(ППД5[[#This Row],[Статус]]="свободно",ППД5[[#This Row],[Итоговая сумма скидки]]&lt;&gt;0),FALSE,TRUE)</f>
        <v>1</v>
      </c>
      <c r="DQ148" s="240" t="str">
        <f>_xlfn.XLOOKUP(ППД5[[#This Row],[№]],Юрист[№ кв],Юрист[Дата подачи на регистрацию]," ",0,-1)</f>
        <v xml:space="preserve"> </v>
      </c>
      <c r="DR148" s="115" t="str">
        <f>_xlfn.XLOOKUP(ППД5[[#This Row],[№]],Юрист[№ кв],Юрист[МОП],"",0,-1)</f>
        <v/>
      </c>
      <c r="DS148" s="333" t="s">
        <v>2588</v>
      </c>
      <c r="DT148" s="333" t="s">
        <v>2589</v>
      </c>
      <c r="DU148" s="333">
        <v>58.4</v>
      </c>
      <c r="DV148" s="111"/>
    </row>
    <row r="149" spans="1:126" hidden="1" x14ac:dyDescent="0.25">
      <c r="A149" s="112">
        <v>147</v>
      </c>
      <c r="B149" s="111" t="s">
        <v>4</v>
      </c>
      <c r="C149" s="111">
        <v>6</v>
      </c>
      <c r="D149" s="111">
        <v>2</v>
      </c>
      <c r="E149" s="111">
        <v>0</v>
      </c>
      <c r="F149" s="105">
        <v>7.13</v>
      </c>
      <c r="G149" s="105"/>
      <c r="H149" s="105"/>
      <c r="I149" s="94">
        <f>SUM(ППД5[[#This Row],[Комната 1]:[Комната 3]])</f>
        <v>7.13</v>
      </c>
      <c r="J149" s="105">
        <v>5.12</v>
      </c>
      <c r="K149" s="105">
        <v>3.65</v>
      </c>
      <c r="L149" s="105"/>
      <c r="M149" s="105"/>
      <c r="N149" s="105">
        <v>6.92</v>
      </c>
      <c r="O149" s="105">
        <v>2.91</v>
      </c>
      <c r="P149" s="105"/>
      <c r="Q149" s="105"/>
      <c r="R149" s="105">
        <f>SUM(ППД5[[#This Row],[Лоджия 1]:[Лоджия 3]])</f>
        <v>2.91</v>
      </c>
      <c r="S149" s="8">
        <f>ROUND(SUM(ППД5[[#This Row],[Площадь по проекту жилая]:[Лоджия 3]]),2)</f>
        <v>25.73</v>
      </c>
      <c r="T149" s="8">
        <f>ROUND(ППД5[[#This Row],[Площадь по проекту(общая)]]-ППД5[[#This Row],[Летние]],2)</f>
        <v>22.82</v>
      </c>
      <c r="U149" s="91">
        <f>ROUND(ППД5[[#This Row],[Площадь по проекту(общая)]]-(SUM(ППД5[[#This Row],[Лоджия 1]:[Лоджия 3]])/2),2)</f>
        <v>24.28</v>
      </c>
      <c r="V149" s="91">
        <f>IF(ППД5[[#This Row],[Статус]]="продажа",ППД5[[#This Row],[Расчетная проектная площадь]],ППД5[[#This Row],[Расчетная ТП площадь]])</f>
        <v>24.28</v>
      </c>
      <c r="W149" s="91">
        <v>7.1</v>
      </c>
      <c r="X149" s="91"/>
      <c r="Y149" s="91"/>
      <c r="Z149" s="91">
        <f>SUM(ППД5[[#This Row],[ТП Комната 1]:[ТП Комната 3]])</f>
        <v>7.1</v>
      </c>
      <c r="AA149" s="91">
        <v>5</v>
      </c>
      <c r="AB149" s="91">
        <v>3.6</v>
      </c>
      <c r="AC149" s="91"/>
      <c r="AD149" s="91"/>
      <c r="AE149" s="91">
        <v>7</v>
      </c>
      <c r="AF149" s="91">
        <v>1.5</v>
      </c>
      <c r="AG149" s="91"/>
      <c r="AH149" s="91"/>
      <c r="AI149" s="91">
        <f>SUM(ППД5[[#This Row],[ТП Лоджия 1]:[ТП Лоджия 3]])</f>
        <v>1.5</v>
      </c>
      <c r="AJ149" s="95">
        <v>3</v>
      </c>
      <c r="AK149" s="91">
        <f>SUM(ППД5[[#This Row],[Площадь по ТП жилая]:[ТП Лоджия 3]])-ППД5[[#This Row],[ТП Летние]]+ППД5[[#This Row],[кроме того прочая
(без коэффициента)]]</f>
        <v>25.7</v>
      </c>
      <c r="AL149" s="95">
        <f>ППД5[[#This Row],[ТП Площадь без летних]]+(ППД5[[#This Row],[ТП Летние]])</f>
        <v>24.2</v>
      </c>
      <c r="AM149" s="91">
        <f>ППД5[[#This Row],[ТП общая S]]-ППД5[[#This Row],[кроме того прочая
(без коэффициента)]]</f>
        <v>22.7</v>
      </c>
      <c r="AN149" s="95">
        <f>SUM(ППД5[[#This Row],[ТП Кухня]:[ТП Коридор]])</f>
        <v>15.6</v>
      </c>
      <c r="AO149" s="91">
        <f>ППД5[[#This Row],[Расчетная ТП площадь]]-ППД5[[#This Row],[Расчетная проектная площадь]]</f>
        <v>-8.0000000000001847E-2</v>
      </c>
      <c r="AP149" s="335">
        <f>ППД5[[#This Row],[Расчетная ТП площадь]]/ППД5[[#This Row],[Расчетная проектная площадь]]-1</f>
        <v>-3.2948929159802853E-3</v>
      </c>
      <c r="AQ149" s="91">
        <f>ППД5[[#This Row],[% расхождения]]*ППД5[[#This Row],[Стоимость до скидки]]</f>
        <v>-7358.526392092378</v>
      </c>
      <c r="AR149" s="91">
        <f>VLOOKUP(ППД5[[#This Row],[№]],наценкад5[],COLUMN(наценкад5[[#This Row],[Цена м2 с учетом всех K]]),0)</f>
        <v>91981.574999999997</v>
      </c>
      <c r="AS149" s="8"/>
      <c r="AT149" s="8">
        <f>ППД5[[#This Row],[м2 после К]]+ППД5[[#This Row],[Повышение 16.08.23 - 5%]]</f>
        <v>91981.574999999997</v>
      </c>
      <c r="AU149" s="93"/>
      <c r="AV149" s="93">
        <f>ППД5[[#This Row],[Фикс 16.08.23]]+ППД5[[#This Row],[Повышение 29.08.23 - 3%]]</f>
        <v>91981.574999999997</v>
      </c>
      <c r="AW149" s="93"/>
      <c r="AX149" s="93">
        <f>ППД5[[#This Row],[Фикс 29.08.23]]+ППД5[[#This Row],[Повышение 06.09.23 СТ и 1К]]</f>
        <v>91981.574999999997</v>
      </c>
      <c r="AY149" s="93"/>
      <c r="AZ149" s="93">
        <f>ППД5[[#This Row],[Повышение 23.10.23  В4 ]]+ППД5[[#This Row],[Фикс 06.09.23]]</f>
        <v>91981.574999999997</v>
      </c>
      <c r="BA149" s="93"/>
      <c r="BB149" s="93">
        <f>ППД5[[#This Row],[Повышение 8.11.23 1К 5%]]+ППД5[[#This Row],[Фикс 23.10.23]]</f>
        <v>91981.574999999997</v>
      </c>
      <c r="BC149" s="93"/>
      <c r="BD149" s="93">
        <f>ППД5[[#This Row],[Корректировка 24.11.23 - 1К В5, 2К А2, №233]]+ППД5[[#This Row],[Фикс 8.11.23]]</f>
        <v>91981.574999999997</v>
      </c>
      <c r="BE149" s="93"/>
      <c r="BF149" s="93">
        <f>ППД5[[#This Row],[Наценка за отделку 29.12.23 1%]]+ППД5[[#This Row],[Фикс 8.11.24]]</f>
        <v>91981.574999999997</v>
      </c>
      <c r="BG149" s="93"/>
      <c r="BH149" s="93">
        <f>ППД5[[#This Row],[Фикс 29.12.23]]+ППД5[[#This Row],[Наценка 10.01.24 5%]]</f>
        <v>91981.574999999997</v>
      </c>
      <c r="BI149" s="93"/>
      <c r="BJ149" s="93">
        <f>ППД5[[#This Row],[Наценка 26.02.24 1 Этаж]]+ППД5[[#This Row],[Фикс 10.01.24]]</f>
        <v>91981.574999999997</v>
      </c>
      <c r="BK149" s="93"/>
      <c r="BL149" s="93">
        <f>ППД5[[#This Row],[Фикс 26.02.24]]+ППД5[[#This Row],[Наценка 06.03.24
СТ, 1К - 3%
2К, 3К - 2%]]</f>
        <v>91981.574999999997</v>
      </c>
      <c r="BM149" s="93"/>
      <c r="BN149" s="93">
        <f>ППД5[[#This Row],[Фикс 06.03.24]]+ППД5[[#This Row],[Наценка Г2+500]]</f>
        <v>91981.574999999997</v>
      </c>
      <c r="BO149" s="93"/>
      <c r="BP149" s="93">
        <f>ППД5[[#This Row],[Фикс 13.03.25]]+ППД5[[#This Row],[Наценка 20.03.24
2К, 3К - 2%]]</f>
        <v>91981.574999999997</v>
      </c>
      <c r="BQ149" s="93"/>
      <c r="BR149" s="93">
        <f>ППД5[[#This Row],[Фикс 20.03.24]]+ППД5[[#This Row],[Наценка 08.04.24 
2К: В3 - 150
3К: Г7 +1000]]</f>
        <v>91981.574999999997</v>
      </c>
      <c r="BS149" s="93"/>
      <c r="BT149" s="93">
        <f>ППД5[[#This Row],[Фикс 08.04.24]]+ППД5[[#This Row],[Наценка 16.05.24 1%
А4,А6,Б3,Б6,Б7,В2,В3,В5,В6,Г1,Г3-Г5]]</f>
        <v>91981.574999999997</v>
      </c>
      <c r="BU149" s="93"/>
      <c r="BV149" s="93">
        <f>ППД5[[#This Row],[Фикс 16.05.24]]+ППД5[[#This Row],[Наценка 24.05.24
1% - Б4, Б5,Г2,Г6
2% - А1,А3,А5,Б2,Г7]]</f>
        <v>91981.574999999997</v>
      </c>
      <c r="BW149" s="93"/>
      <c r="BX149" s="93">
        <f>ППД5[[#This Row],[Наценка 06.06.24
0К: В2,Г3 +0,5%
1К: А7, Б5/4, Г6 +0,5%
3К: В6 +0,5%
1К: А3 +1%]]+ППД5[[#This Row],[Фикс 24.05.24]]</f>
        <v>91981.574999999997</v>
      </c>
      <c r="BY149" s="93"/>
      <c r="BZ149" s="93">
        <f>ППД5[[#This Row],[Фикс 06.06.24]]+ППД5[[#This Row],[13.06.2024
3К - 2%]]</f>
        <v>91981.574999999997</v>
      </c>
      <c r="CA149" s="93"/>
      <c r="CB149" s="93">
        <f>ППД5[[#This Row],[02.07.2024: Г3 А1 А3 Б5 Б7 Г2 Г6 Б3 Б4 В3 Г7 2,5% ост 0,5-1,5%]]+ППД5[[#This Row],[Фикс 13.06.24]]</f>
        <v>91981.574999999997</v>
      </c>
      <c r="CC149" s="93"/>
      <c r="CD149" s="93">
        <f>ППД5[[#This Row],[Фикс 02.07.24]]+ППД5[[#This Row],[04.09.2024 +500
0К - Б2; 1К - А3;
2К - А6, Б4, В3, Г5]]</f>
        <v>91981.574999999997</v>
      </c>
      <c r="CE149" s="93"/>
      <c r="CF149" s="93">
        <f>ППД5[[#This Row],[Наценка 16.09.2024
1К: А1,В7,Г6/7,Г8 - 2%
2К: А4,А5,А6,Б1,Б6,Б3/4,В3,В4,Г4,Г5 - 4%
3К: 4%]]+ППД5[[#This Row],[Фикс 04.09.24]]</f>
        <v>91981.574999999997</v>
      </c>
      <c r="CG149" s="93"/>
      <c r="CH149" s="93">
        <f>ППД5[[#This Row],[Фикс 16.09.2024]]+ППД5[[#This Row],[Наценка 01.11.24
СТ: 4%
1К: 34-40м 5%; 40м+ 8%; МГН 1%
2К: 55-70м 6%; 70-73м 7%; 73-76м 8% 
3К: 5%]]</f>
        <v>91981.574999999997</v>
      </c>
      <c r="CI149" s="93"/>
      <c r="CJ149" s="93">
        <f>ППД5[[#This Row],[Наценка 06.11 13%]]+ППД5[[#This Row],[Фикс 01.11.24]]</f>
        <v>91981.574999999997</v>
      </c>
      <c r="CK149" s="93"/>
      <c r="CL149" s="93">
        <f>ППД5[[#This Row],[Фикс 06.11.24]]+ППД5[[#This Row],[Наценка 18.12.24 распределение КВ]]</f>
        <v>91981.574999999997</v>
      </c>
      <c r="CM149" s="93"/>
      <c r="CN149" s="93">
        <f>ППД5[[#This Row],[Фикс 18.12.24]]+ППД5[[#This Row],[Наценка 10.02.25 +1%
1К: А3
2К: Б3, В3]]</f>
        <v>91981.574999999997</v>
      </c>
      <c r="CO149" s="93">
        <f>ROUND(ППД5[[#This Row],[Фикс 10.02.25]],2)</f>
        <v>91981.58</v>
      </c>
      <c r="CP14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2233312.7599999998</v>
      </c>
      <c r="CQ149" s="93">
        <f>ROUNDUP(ППД5[[#This Row],[Стоимость до скидки]]+ППД5[[#This Row],[Сумма доплаты]],-2)</f>
        <v>2226000</v>
      </c>
      <c r="CR149" s="68"/>
      <c r="CS149" s="90"/>
      <c r="CT149" s="68">
        <f>ППД5[[#This Row],[Стоимость до скидки]]*ППД5[[#This Row],[Скидка %]]+ППД5[[#This Row],[Скидка фиксированная]]</f>
        <v>0</v>
      </c>
      <c r="CU149" s="3">
        <f>ППД5[[#This Row],[Стоимость ОН без отделки со скидкой]]/ППД5[[#This Row],[Расчетная проектная площадь]]</f>
        <v>91981.579901153193</v>
      </c>
      <c r="CV149" s="3">
        <f>ROUND(ППД5[[#This Row],[Стоимость до скидки]]-ППД5[[#This Row],[Итоговая сумма скидки]],2)</f>
        <v>2233312.7599999998</v>
      </c>
      <c r="CW14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149" s="197">
        <v>4500</v>
      </c>
      <c r="CY149" s="332">
        <f>ППД5[[#This Row],[Расхождение]]/ППД5[[#This Row],[Расчетная проектная площадь]]</f>
        <v>-3.2948929159803066E-3</v>
      </c>
      <c r="CZ14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-9.0000000000000746E-2</v>
      </c>
      <c r="DA149" s="3">
        <f>ППД5[[#This Row],[Цена м2 без отделки со скидкой]]+ППД5[[#This Row],[Стоимость отделки]]</f>
        <v>96481.579901153193</v>
      </c>
      <c r="DB149" s="3">
        <f>ППД5[[#This Row],[Стоимость квартиры с отделкой]]-ППД5[[#This Row],[Стоимость ОН без отделки со скидкой]]</f>
        <v>109260</v>
      </c>
      <c r="DC149" s="3">
        <f>ППД5[[#This Row],[Цена м2 с отделкой]]*ППД5[[#This Row],[Расчетная проектная площадь]]</f>
        <v>2342572.7599999998</v>
      </c>
      <c r="DD149" s="3"/>
      <c r="DF149" s="199" t="s">
        <v>172</v>
      </c>
      <c r="DG149" s="245" t="s">
        <v>172</v>
      </c>
      <c r="DH149" s="100" t="b">
        <f>EXACT(ППД5[[#This Row],[Статусы CRM]],ППД5[[#This Row],[Статус]])</f>
        <v>1</v>
      </c>
      <c r="DI149" s="213" t="s">
        <v>321</v>
      </c>
      <c r="DJ149" s="204"/>
      <c r="DK149" s="111" t="s">
        <v>76</v>
      </c>
      <c r="DL149" s="216" t="s">
        <v>13</v>
      </c>
      <c r="DM149" s="201" t="b">
        <f>ППД5[[#This Row],[Отделка CRM]]=ППД5[[#This Row],[Отделка]]</f>
        <v>1</v>
      </c>
      <c r="DN149" s="203">
        <v>2342572.7599999998</v>
      </c>
      <c r="DO14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49" s="207" t="b">
        <f>IF(AND(ППД5[[#This Row],[Статус]]="свободно",ППД5[[#This Row],[Итоговая сумма скидки]]&lt;&gt;0),FALSE,TRUE)</f>
        <v>1</v>
      </c>
      <c r="DQ149" s="240">
        <f>_xlfn.XLOOKUP(ППД5[[#This Row],[№]],Юрист[№ кв],Юрист[Дата подачи на регистрацию]," ",0,-1)</f>
        <v>45187</v>
      </c>
      <c r="DR149" s="115" t="str">
        <f>_xlfn.XLOOKUP(ППД5[[#This Row],[№]],Юрист[№ кв],Юрист[МОП],"",0,-1)</f>
        <v>Дик</v>
      </c>
      <c r="DS149" s="333" t="s">
        <v>2590</v>
      </c>
      <c r="DT149" s="333" t="s">
        <v>2591</v>
      </c>
      <c r="DU149" s="333">
        <v>22.7</v>
      </c>
      <c r="DV149" s="111"/>
    </row>
    <row r="150" spans="1:126" hidden="1" x14ac:dyDescent="0.25">
      <c r="A150" s="112">
        <v>148</v>
      </c>
      <c r="B150" s="111" t="s">
        <v>4</v>
      </c>
      <c r="C150" s="111">
        <v>6</v>
      </c>
      <c r="D150" s="111">
        <v>3</v>
      </c>
      <c r="E150" s="111">
        <v>2</v>
      </c>
      <c r="F150" s="105">
        <v>14.6</v>
      </c>
      <c r="G150" s="105">
        <v>13.12</v>
      </c>
      <c r="H150" s="105"/>
      <c r="I150" s="94">
        <f>SUM(ППД5[[#This Row],[Комната 1]:[Комната 3]])</f>
        <v>27.72</v>
      </c>
      <c r="J150" s="105">
        <v>14.35</v>
      </c>
      <c r="K150" s="105">
        <v>3.68</v>
      </c>
      <c r="L150" s="105">
        <v>2.57</v>
      </c>
      <c r="M150" s="105"/>
      <c r="N150" s="105">
        <v>7.95</v>
      </c>
      <c r="O150" s="105">
        <v>2.65</v>
      </c>
      <c r="P150" s="105"/>
      <c r="Q150" s="105"/>
      <c r="R150" s="105">
        <f>SUM(ППД5[[#This Row],[Лоджия 1]:[Лоджия 3]])</f>
        <v>2.65</v>
      </c>
      <c r="S150" s="8">
        <f>ROUND(SUM(ППД5[[#This Row],[Площадь по проекту жилая]:[Лоджия 3]]),2)</f>
        <v>58.92</v>
      </c>
      <c r="T150" s="8">
        <f>ROUND(ППД5[[#This Row],[Площадь по проекту(общая)]]-ППД5[[#This Row],[Летние]],2)</f>
        <v>56.27</v>
      </c>
      <c r="U150" s="91">
        <f>ROUND(ППД5[[#This Row],[Площадь по проекту(общая)]]-(SUM(ППД5[[#This Row],[Лоджия 1]:[Лоджия 3]])/2),2)</f>
        <v>57.6</v>
      </c>
      <c r="V150" s="91">
        <f>IF(ППД5[[#This Row],[Статус]]="продажа",ППД5[[#This Row],[Расчетная проектная площадь]],ППД5[[#This Row],[Расчетная ТП площадь]])</f>
        <v>57.6</v>
      </c>
      <c r="W150" s="91">
        <v>13</v>
      </c>
      <c r="X150" s="91">
        <v>14.6</v>
      </c>
      <c r="Y150" s="91"/>
      <c r="Z150" s="91">
        <f>SUM(ППД5[[#This Row],[ТП Комната 1]:[ТП Комната 3]])</f>
        <v>27.6</v>
      </c>
      <c r="AA150" s="91">
        <v>14.2</v>
      </c>
      <c r="AB150" s="91">
        <v>2.7</v>
      </c>
      <c r="AC150" s="91">
        <v>3.8</v>
      </c>
      <c r="AD150" s="91"/>
      <c r="AE150" s="91">
        <v>7.9</v>
      </c>
      <c r="AF150" s="91">
        <v>1.35</v>
      </c>
      <c r="AG150" s="91"/>
      <c r="AH150" s="91"/>
      <c r="AI150" s="91">
        <f>SUM(ППД5[[#This Row],[ТП Лоджия 1]:[ТП Лоджия 3]])</f>
        <v>1.35</v>
      </c>
      <c r="AJ150" s="95">
        <v>2.7</v>
      </c>
      <c r="AK150" s="91">
        <f>SUM(ППД5[[#This Row],[Площадь по ТП жилая]:[ТП Лоджия 3]])-ППД5[[#This Row],[ТП Летние]]+ППД5[[#This Row],[кроме того прочая
(без коэффициента)]]</f>
        <v>58.9</v>
      </c>
      <c r="AL150" s="95">
        <f>ППД5[[#This Row],[ТП Площадь без летних]]+(ППД5[[#This Row],[ТП Летние]])</f>
        <v>57.55</v>
      </c>
      <c r="AM150" s="91">
        <f>ППД5[[#This Row],[ТП общая S]]-ППД5[[#This Row],[кроме того прочая
(без коэффициента)]]</f>
        <v>56.199999999999996</v>
      </c>
      <c r="AN150" s="95">
        <f>SUM(ППД5[[#This Row],[ТП Кухня]:[ТП Коридор]])</f>
        <v>28.6</v>
      </c>
      <c r="AO150" s="91">
        <f>ППД5[[#This Row],[Расчетная ТП площадь]]-ППД5[[#This Row],[Расчетная проектная площадь]]</f>
        <v>-5.0000000000004263E-2</v>
      </c>
      <c r="AP150" s="335">
        <f>ППД5[[#This Row],[Расчетная ТП площадь]]/ППД5[[#This Row],[Расчетная проектная площадь]]-1</f>
        <v>-8.6805555555558023E-4</v>
      </c>
      <c r="AQ150" s="91">
        <f>ППД5[[#This Row],[% расхождения]]*ППД5[[#This Row],[Стоимость до скидки]]</f>
        <v>-4960.4166666668079</v>
      </c>
      <c r="AR150" s="91">
        <f>VLOOKUP(ППД5[[#This Row],[№]],наценкад5[],COLUMN(наценкад5[[#This Row],[Цена м2 с учетом всех K]]),0)</f>
        <v>80307.864000000001</v>
      </c>
      <c r="AS150" s="8">
        <f>ППД5[[#This Row],[м2 после К]]*5%</f>
        <v>4015.3932000000004</v>
      </c>
      <c r="AT150" s="8">
        <f>ППД5[[#This Row],[м2 после К]]+ППД5[[#This Row],[Повышение 16.08.23 - 5%]]</f>
        <v>84323.257200000007</v>
      </c>
      <c r="AU150" s="93">
        <f>ППД5[[#This Row],[Фикс 16.08.23]]*3%</f>
        <v>2529.6977160000001</v>
      </c>
      <c r="AV150" s="93">
        <f>ППД5[[#This Row],[Фикс 16.08.23]]+ППД5[[#This Row],[Повышение 29.08.23 - 3%]]</f>
        <v>86852.954916000002</v>
      </c>
      <c r="AW150" s="93"/>
      <c r="AX150" s="93">
        <f>ППД5[[#This Row],[Фикс 29.08.23]]+ППД5[[#This Row],[Повышение 06.09.23 СТ и 1К]]</f>
        <v>86852.954916000002</v>
      </c>
      <c r="AY150" s="93"/>
      <c r="AZ150" s="93">
        <f>ППД5[[#This Row],[Повышение 23.10.23  В4 ]]+ППД5[[#This Row],[Фикс 06.09.23]]</f>
        <v>86852.954916000002</v>
      </c>
      <c r="BA150" s="93"/>
      <c r="BB150" s="93">
        <f>ППД5[[#This Row],[Повышение 8.11.23 1К 5%]]+ППД5[[#This Row],[Фикс 23.10.23]]</f>
        <v>86852.954916000002</v>
      </c>
      <c r="BC150" s="93"/>
      <c r="BD150" s="93">
        <f>ППД5[[#This Row],[Корректировка 24.11.23 - 1К В5, 2К А2, №233]]+ППД5[[#This Row],[Фикс 8.11.23]]</f>
        <v>86852.954916000002</v>
      </c>
      <c r="BE150" s="93">
        <f>ППД5[[#This Row],[Фикс 8.11.24]]*1%</f>
        <v>868.52954915999999</v>
      </c>
      <c r="BF150" s="93">
        <f>ППД5[[#This Row],[Наценка за отделку 29.12.23 1%]]+ППД5[[#This Row],[Фикс 8.11.24]]</f>
        <v>87721.48446516</v>
      </c>
      <c r="BG150" s="93">
        <f>ППД5[[#This Row],[Фикс 29.12.23]]*5%</f>
        <v>4386.0742232580005</v>
      </c>
      <c r="BH150" s="93">
        <f>ППД5[[#This Row],[Фикс 29.12.23]]+ППД5[[#This Row],[Наценка 10.01.24 5%]]</f>
        <v>92107.558688417994</v>
      </c>
      <c r="BI150" s="93"/>
      <c r="BJ150" s="93">
        <f>ППД5[[#This Row],[Наценка 26.02.24 1 Этаж]]+ППД5[[#This Row],[Фикс 10.01.24]]</f>
        <v>92107.558688417994</v>
      </c>
      <c r="BK150" s="93">
        <f>ППД5[[#This Row],[Фикс 26.02.24]]*2%</f>
        <v>1842.15117376836</v>
      </c>
      <c r="BL150" s="93">
        <f>ППД5[[#This Row],[Фикс 26.02.24]]+ППД5[[#This Row],[Наценка 06.03.24
СТ, 1К - 3%
2К, 3К - 2%]]</f>
        <v>93949.709862186355</v>
      </c>
      <c r="BM150" s="93"/>
      <c r="BN150" s="93">
        <f>ППД5[[#This Row],[Фикс 06.03.24]]+ППД5[[#This Row],[Наценка Г2+500]]</f>
        <v>93949.709862186355</v>
      </c>
      <c r="BO150" s="93">
        <f>ППД5[[#This Row],[Фикс 13.03.25]]*2%</f>
        <v>1878.9941972437271</v>
      </c>
      <c r="BP150" s="93">
        <f>ППД5[[#This Row],[Фикс 13.03.25]]+ППД5[[#This Row],[Наценка 20.03.24
2К, 3К - 2%]]</f>
        <v>95828.704059430078</v>
      </c>
      <c r="BQ150" s="93"/>
      <c r="BR150" s="93">
        <f>ППД5[[#This Row],[Фикс 20.03.24]]+ППД5[[#This Row],[Наценка 08.04.24 
2К: В3 - 150
3К: Г7 +1000]]</f>
        <v>95828.704059430078</v>
      </c>
      <c r="BS150" s="9">
        <f>ППД5[[#This Row],[Фикс 08.04.24]]*1%</f>
        <v>958.28704059430083</v>
      </c>
      <c r="BT150" s="93">
        <f>ППД5[[#This Row],[Фикс 08.04.24]]+ППД5[[#This Row],[Наценка 16.05.24 1%
А4,А6,Б3,Б6,Б7,В2,В3,В5,В6,Г1,Г3-Г5]]</f>
        <v>96786.991100024374</v>
      </c>
      <c r="BU150" s="93"/>
      <c r="BV150" s="93">
        <f>ППД5[[#This Row],[Фикс 16.05.24]]+ППД5[[#This Row],[Наценка 24.05.24
1% - Б4, Б5,Г2,Г6
2% - А1,А3,А5,Б2,Г7]]</f>
        <v>96786.991100024374</v>
      </c>
      <c r="BW150" s="93"/>
      <c r="BX150" s="93">
        <f>ППД5[[#This Row],[Наценка 06.06.24
0К: В2,Г3 +0,5%
1К: А7, Б5/4, Г6 +0,5%
3К: В6 +0,5%
1К: А3 +1%]]+ППД5[[#This Row],[Фикс 24.05.24]]</f>
        <v>96786.991100024374</v>
      </c>
      <c r="BY150" s="93"/>
      <c r="BZ150" s="93">
        <f>ППД5[[#This Row],[Фикс 06.06.24]]+ППД5[[#This Row],[13.06.2024
3К - 2%]]</f>
        <v>96786.991100024374</v>
      </c>
      <c r="CA150" s="93">
        <f>2.5%*ППД5[[#This Row],[Фикс 13.06.24]]</f>
        <v>2419.6747775006093</v>
      </c>
      <c r="CB150" s="93">
        <f>ППД5[[#This Row],[02.07.2024: Г3 А1 А3 Б5 Б7 Г2 Г6 Б3 Б4 В3 Г7 2,5% ост 0,5-1,5%]]+ППД5[[#This Row],[Фикс 13.06.24]]</f>
        <v>99206.665877524982</v>
      </c>
      <c r="CC150" s="93"/>
      <c r="CD150" s="93">
        <f>ППД5[[#This Row],[Фикс 02.07.24]]+ППД5[[#This Row],[04.09.2024 +500
0К - Б2; 1К - А3;
2К - А6, Б4, В3, Г5]]</f>
        <v>99206.665877524982</v>
      </c>
      <c r="CE150" s="93"/>
      <c r="CF150" s="93">
        <f>ППД5[[#This Row],[Наценка 16.09.2024
1К: А1,В7,Г6/7,Г8 - 2%
2К: А4,А5,А6,Б1,Б6,Б3/4,В3,В4,Г4,Г5 - 4%
3К: 4%]]+ППД5[[#This Row],[Фикс 04.09.24]]</f>
        <v>99206.665877524982</v>
      </c>
      <c r="CG150" s="93"/>
      <c r="CH150" s="93">
        <f>ППД5[[#This Row],[Фикс 16.09.2024]]+ППД5[[#This Row],[Наценка 01.11.24
СТ: 4%
1К: 34-40м 5%; 40м+ 8%; МГН 1%
2К: 55-70м 6%; 70-73м 7%; 73-76м 8% 
3К: 5%]]</f>
        <v>99206.665877524982</v>
      </c>
      <c r="CI150" s="93"/>
      <c r="CJ150" s="93">
        <f>ППД5[[#This Row],[Наценка 06.11 13%]]+ППД5[[#This Row],[Фикс 01.11.24]]</f>
        <v>99206.665877524982</v>
      </c>
      <c r="CK150" s="93"/>
      <c r="CL150" s="93">
        <f>ППД5[[#This Row],[Фикс 06.11.24]]+ППД5[[#This Row],[Наценка 18.12.24 распределение КВ]]</f>
        <v>99206.665877524982</v>
      </c>
      <c r="CM150" s="93"/>
      <c r="CN150" s="93">
        <f>ППД5[[#This Row],[Фикс 18.12.24]]+ППД5[[#This Row],[Наценка 10.02.25 +1%
1К: А3
2К: Б3, В3]]</f>
        <v>99206.665877524982</v>
      </c>
      <c r="CO150" s="93">
        <f>ROUND(ППД5[[#This Row],[Фикс 10.02.25]],2)</f>
        <v>99206.67</v>
      </c>
      <c r="CP15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5714400</v>
      </c>
      <c r="CQ150" s="93">
        <f>ROUNDUP(ППД5[[#This Row],[Стоимость до скидки]]+ППД5[[#This Row],[Сумма доплаты]],-2)</f>
        <v>5709500</v>
      </c>
      <c r="CR150" s="68"/>
      <c r="CS150" s="90">
        <v>0.03</v>
      </c>
      <c r="CT150" s="68">
        <f>ППД5[[#This Row],[Стоимость до скидки]]*ППД5[[#This Row],[Скидка %]]+ППД5[[#This Row],[Скидка фиксированная]]</f>
        <v>171432</v>
      </c>
      <c r="CU150" s="3">
        <f>ППД5[[#This Row],[Стоимость ОН без отделки со скидкой]]/ППД5[[#This Row],[Расчетная проектная площадь]]</f>
        <v>96232.083333333328</v>
      </c>
      <c r="CV150" s="3">
        <f>ROUND(ППД5[[#This Row],[Стоимость до скидки]]-ППД5[[#This Row],[Итоговая сумма скидки]],2)</f>
        <v>5542968</v>
      </c>
      <c r="CW15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150" s="197">
        <v>7000</v>
      </c>
      <c r="CY150" s="332">
        <f>ППД5[[#This Row],[Расхождение]]/ППД5[[#This Row],[Расчетная проектная площадь]]</f>
        <v>-8.6805555555562956E-4</v>
      </c>
      <c r="CZ15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5.0000000000002487E-2</v>
      </c>
      <c r="DA150" s="3">
        <f>ППД5[[#This Row],[Цена м2 без отделки со скидкой]]+ППД5[[#This Row],[Стоимость отделки]]</f>
        <v>103232.08333333333</v>
      </c>
      <c r="DB150" s="3">
        <f>ППД5[[#This Row],[Стоимость квартиры с отделкой]]-ППД5[[#This Row],[Стоимость ОН без отделки со скидкой]]</f>
        <v>403200</v>
      </c>
      <c r="DC150" s="3">
        <f>ППД5[[#This Row],[Цена м2 с отделкой]]*ППД5[[#This Row],[Расчетная проектная площадь]]</f>
        <v>5946168</v>
      </c>
      <c r="DD150" s="3" t="s">
        <v>154</v>
      </c>
      <c r="DE150" s="111" t="s">
        <v>809</v>
      </c>
      <c r="DF150" s="199" t="s">
        <v>172</v>
      </c>
      <c r="DG150" s="245" t="s">
        <v>172</v>
      </c>
      <c r="DH150" s="100" t="b">
        <f>EXACT(ППД5[[#This Row],[Статусы CRM]],ППД5[[#This Row],[Статус]])</f>
        <v>1</v>
      </c>
      <c r="DI150" s="213" t="s">
        <v>322</v>
      </c>
      <c r="DJ150" s="204"/>
      <c r="DK150" s="111" t="s">
        <v>763</v>
      </c>
      <c r="DL150" s="216" t="s">
        <v>780</v>
      </c>
      <c r="DM150" s="201" t="b">
        <f>ППД5[[#This Row],[Отделка CRM]]=ППД5[[#This Row],[Отделка]]</f>
        <v>1</v>
      </c>
      <c r="DN150" s="203">
        <v>5946168</v>
      </c>
      <c r="DO15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50" s="207" t="b">
        <f>IF(AND(ППД5[[#This Row],[Статус]]="свободно",ППД5[[#This Row],[Итоговая сумма скидки]]&lt;&gt;0),FALSE,TRUE)</f>
        <v>1</v>
      </c>
      <c r="DQ150" s="240">
        <f>_xlfn.XLOOKUP(ППД5[[#This Row],[№]],Юрист[№ кв],Юрист[Дата подачи на регистрацию]," ",0,-1)</f>
        <v>45555</v>
      </c>
      <c r="DR150" s="115" t="str">
        <f>_xlfn.XLOOKUP(ППД5[[#This Row],[№]],Юрист[№ кв],Юрист[МОП],"",0,-1)</f>
        <v>Дик</v>
      </c>
      <c r="DS150" s="333" t="s">
        <v>2592</v>
      </c>
      <c r="DT150" s="333" t="s">
        <v>2593</v>
      </c>
      <c r="DU150" s="333">
        <v>56.2</v>
      </c>
      <c r="DV150" s="111"/>
    </row>
    <row r="151" spans="1:126" hidden="1" x14ac:dyDescent="0.25">
      <c r="A151" s="112">
        <v>149</v>
      </c>
      <c r="B151" s="111" t="s">
        <v>4</v>
      </c>
      <c r="C151" s="111">
        <v>6</v>
      </c>
      <c r="D151" s="111">
        <v>4</v>
      </c>
      <c r="E151" s="111">
        <v>2</v>
      </c>
      <c r="F151" s="105">
        <v>15.45</v>
      </c>
      <c r="G151" s="105">
        <v>14.5</v>
      </c>
      <c r="H151" s="105"/>
      <c r="I151" s="94">
        <f>SUM(ППД5[[#This Row],[Комната 1]:[Комната 3]])</f>
        <v>29.95</v>
      </c>
      <c r="J151" s="105">
        <v>11.95</v>
      </c>
      <c r="K151" s="105">
        <v>3.86</v>
      </c>
      <c r="L151" s="105">
        <v>2.37</v>
      </c>
      <c r="M151" s="105"/>
      <c r="N151" s="105">
        <v>8.8699999999999992</v>
      </c>
      <c r="O151" s="105">
        <v>2.62</v>
      </c>
      <c r="P151" s="105"/>
      <c r="Q151" s="105"/>
      <c r="R151" s="105">
        <f>SUM(ППД5[[#This Row],[Лоджия 1]:[Лоджия 3]])</f>
        <v>2.62</v>
      </c>
      <c r="S151" s="8">
        <f>ROUND(SUM(ППД5[[#This Row],[Площадь по проекту жилая]:[Лоджия 3]]),2)</f>
        <v>59.62</v>
      </c>
      <c r="T151" s="8">
        <f>ROUND(ППД5[[#This Row],[Площадь по проекту(общая)]]-ППД5[[#This Row],[Летние]],2)</f>
        <v>57</v>
      </c>
      <c r="U151" s="91">
        <f>ROUND(ППД5[[#This Row],[Площадь по проекту(общая)]]-(SUM(ППД5[[#This Row],[Лоджия 1]:[Лоджия 3]])/2),2)</f>
        <v>58.31</v>
      </c>
      <c r="V151" s="91">
        <f>IF(ППД5[[#This Row],[Статус]]="продажа",ППД5[[#This Row],[Расчетная проектная площадь]],ППД5[[#This Row],[Расчетная ТП площадь]])</f>
        <v>58.31</v>
      </c>
      <c r="W151" s="91">
        <v>14.4</v>
      </c>
      <c r="X151" s="91">
        <v>15.5</v>
      </c>
      <c r="Y151" s="91"/>
      <c r="Z151" s="91">
        <f>SUM(ППД5[[#This Row],[ТП Комната 1]:[ТП Комната 3]])</f>
        <v>29.9</v>
      </c>
      <c r="AA151" s="91">
        <v>11.8</v>
      </c>
      <c r="AB151" s="91">
        <v>3.9</v>
      </c>
      <c r="AC151" s="91">
        <v>2.5</v>
      </c>
      <c r="AD151" s="91"/>
      <c r="AE151" s="91">
        <v>8.9</v>
      </c>
      <c r="AF151" s="91">
        <v>1.3</v>
      </c>
      <c r="AG151" s="91"/>
      <c r="AH151" s="91"/>
      <c r="AI151" s="91">
        <f>SUM(ППД5[[#This Row],[ТП Лоджия 1]:[ТП Лоджия 3]])</f>
        <v>1.3</v>
      </c>
      <c r="AJ151" s="95">
        <v>2.6</v>
      </c>
      <c r="AK151" s="91">
        <f>SUM(ППД5[[#This Row],[Площадь по ТП жилая]:[ТП Лоджия 3]])-ППД5[[#This Row],[ТП Летние]]+ППД5[[#This Row],[кроме того прочая
(без коэффициента)]]</f>
        <v>59.6</v>
      </c>
      <c r="AL151" s="95">
        <f>ППД5[[#This Row],[ТП Площадь без летних]]+(ППД5[[#This Row],[ТП Летние]])</f>
        <v>58.3</v>
      </c>
      <c r="AM151" s="91">
        <f>ППД5[[#This Row],[ТП общая S]]-ППД5[[#This Row],[кроме того прочая
(без коэффициента)]]</f>
        <v>57</v>
      </c>
      <c r="AN151" s="95">
        <f>SUM(ППД5[[#This Row],[ТП Кухня]:[ТП Коридор]])</f>
        <v>27.1</v>
      </c>
      <c r="AO151" s="91">
        <f>ППД5[[#This Row],[Расчетная ТП площадь]]-ППД5[[#This Row],[Расчетная проектная площадь]]</f>
        <v>-1.0000000000005116E-2</v>
      </c>
      <c r="AP151" s="335">
        <f>ППД5[[#This Row],[Расчетная ТП площадь]]/ППД5[[#This Row],[Расчетная проектная площадь]]-1</f>
        <v>-1.7149717029674161E-4</v>
      </c>
      <c r="AQ151" s="91">
        <f>ППД5[[#This Row],[% расхождения]]*ППД5[[#This Row],[Стоимость до скидки]]</f>
        <v>-1260.2469559256058</v>
      </c>
      <c r="AR151" s="91">
        <f>VLOOKUP(ППД5[[#This Row],[№]],наценкад5[],COLUMN(наценкад5[[#This Row],[Цена м2 с учетом всех K]]),0)</f>
        <v>81466.150500000003</v>
      </c>
      <c r="AS151" s="8">
        <f>ППД5[[#This Row],[м2 после К]]*5%</f>
        <v>4073.3075250000002</v>
      </c>
      <c r="AT151" s="8">
        <f>ППД5[[#This Row],[м2 после К]]+ППД5[[#This Row],[Повышение 16.08.23 - 5%]]</f>
        <v>85539.458025</v>
      </c>
      <c r="AU151" s="93">
        <f>ППД5[[#This Row],[Фикс 16.08.23]]*3%</f>
        <v>2566.1837407499997</v>
      </c>
      <c r="AV151" s="93">
        <f>ППД5[[#This Row],[Фикс 16.08.23]]+ППД5[[#This Row],[Повышение 29.08.23 - 3%]]</f>
        <v>88105.641765749999</v>
      </c>
      <c r="AW151" s="93"/>
      <c r="AX151" s="93">
        <f>ППД5[[#This Row],[Фикс 29.08.23]]+ППД5[[#This Row],[Повышение 06.09.23 СТ и 1К]]</f>
        <v>88105.641765749999</v>
      </c>
      <c r="AY151" s="93"/>
      <c r="AZ151" s="93">
        <f>ППД5[[#This Row],[Повышение 23.10.23  В4 ]]+ППД5[[#This Row],[Фикс 06.09.23]]</f>
        <v>88105.641765749999</v>
      </c>
      <c r="BA151" s="93"/>
      <c r="BB151" s="93">
        <f>ППД5[[#This Row],[Повышение 8.11.23 1К 5%]]+ППД5[[#This Row],[Фикс 23.10.23]]</f>
        <v>88105.641765749999</v>
      </c>
      <c r="BC151" s="93"/>
      <c r="BD151" s="93">
        <f>ППД5[[#This Row],[Корректировка 24.11.23 - 1К В5, 2К А2, №233]]+ППД5[[#This Row],[Фикс 8.11.23]]</f>
        <v>88105.641765749999</v>
      </c>
      <c r="BE151" s="93">
        <f>ППД5[[#This Row],[Фикс 8.11.24]]*1%</f>
        <v>881.05641765749999</v>
      </c>
      <c r="BF151" s="93">
        <f>ППД5[[#This Row],[Наценка за отделку 29.12.23 1%]]+ППД5[[#This Row],[Фикс 8.11.24]]</f>
        <v>88986.698183407498</v>
      </c>
      <c r="BG151" s="93">
        <f>ППД5[[#This Row],[Фикс 29.12.23]]*5%</f>
        <v>4449.3349091703749</v>
      </c>
      <c r="BH151" s="93">
        <f>ППД5[[#This Row],[Фикс 29.12.23]]+ППД5[[#This Row],[Наценка 10.01.24 5%]]</f>
        <v>93436.033092577869</v>
      </c>
      <c r="BI151" s="93"/>
      <c r="BJ151" s="93">
        <f>ППД5[[#This Row],[Наценка 26.02.24 1 Этаж]]+ППД5[[#This Row],[Фикс 10.01.24]]</f>
        <v>93436.033092577869</v>
      </c>
      <c r="BK151" s="93">
        <f>ППД5[[#This Row],[Фикс 26.02.24]]*2%</f>
        <v>1868.7206618515575</v>
      </c>
      <c r="BL151" s="93">
        <f>ППД5[[#This Row],[Фикс 26.02.24]]+ППД5[[#This Row],[Наценка 06.03.24
СТ, 1К - 3%
2К, 3К - 2%]]</f>
        <v>95304.753754429432</v>
      </c>
      <c r="BM151" s="93"/>
      <c r="BN151" s="93">
        <f>ППД5[[#This Row],[Фикс 06.03.24]]+ППД5[[#This Row],[Наценка Г2+500]]</f>
        <v>95304.753754429432</v>
      </c>
      <c r="BO151" s="93">
        <f>ППД5[[#This Row],[Фикс 13.03.25]]*2%</f>
        <v>1906.0950750885886</v>
      </c>
      <c r="BP151" s="93">
        <f>ППД5[[#This Row],[Фикс 13.03.25]]+ППД5[[#This Row],[Наценка 20.03.24
2К, 3К - 2%]]</f>
        <v>97210.848829518014</v>
      </c>
      <c r="BQ151" s="93"/>
      <c r="BR151" s="93">
        <f>ППД5[[#This Row],[Фикс 20.03.24]]+ППД5[[#This Row],[Наценка 08.04.24 
2К: В3 - 150
3К: Г7 +1000]]</f>
        <v>97210.848829518014</v>
      </c>
      <c r="BS151" s="93"/>
      <c r="BT151" s="93">
        <f>ППД5[[#This Row],[Фикс 08.04.24]]+ППД5[[#This Row],[Наценка 16.05.24 1%
А4,А6,Б3,Б6,Б7,В2,В3,В5,В6,Г1,Г3-Г5]]</f>
        <v>97210.848829518014</v>
      </c>
      <c r="BU151" s="93">
        <f>ППД5[[#This Row],[Фикс 16.05.24]]*1%</f>
        <v>972.10848829518011</v>
      </c>
      <c r="BV151" s="93">
        <f>ППД5[[#This Row],[Фикс 16.05.24]]+ППД5[[#This Row],[Наценка 24.05.24
1% - Б4, Б5,Г2,Г6
2% - А1,А3,А5,Б2,Г7]]</f>
        <v>98182.957317813198</v>
      </c>
      <c r="BW151" s="93"/>
      <c r="BX151" s="93">
        <f>ППД5[[#This Row],[Наценка 06.06.24
0К: В2,Г3 +0,5%
1К: А7, Б5/4, Г6 +0,5%
3К: В6 +0,5%
1К: А3 +1%]]+ППД5[[#This Row],[Фикс 24.05.24]]</f>
        <v>98182.957317813198</v>
      </c>
      <c r="BY151" s="93"/>
      <c r="BZ151" s="93">
        <f>ППД5[[#This Row],[Фикс 06.06.24]]+ППД5[[#This Row],[13.06.2024
3К - 2%]]</f>
        <v>98182.957317813198</v>
      </c>
      <c r="CA151" s="93">
        <f>2.5%*ППД5[[#This Row],[Фикс 13.06.24]]</f>
        <v>2454.5739329453299</v>
      </c>
      <c r="CB151" s="93">
        <f>ППД5[[#This Row],[02.07.2024: Г3 А1 А3 Б5 Б7 Г2 Г6 Б3 Б4 В3 Г7 2,5% ост 0,5-1,5%]]+ППД5[[#This Row],[Фикс 13.06.24]]</f>
        <v>100637.53125075853</v>
      </c>
      <c r="CC151" s="93">
        <v>500</v>
      </c>
      <c r="CD151" s="93">
        <f>ППД5[[#This Row],[Фикс 02.07.24]]+ППД5[[#This Row],[04.09.2024 +500
0К - Б2; 1К - А3;
2К - А6, Б4, В3, Г5]]</f>
        <v>101137.53125075853</v>
      </c>
      <c r="CE151" s="93">
        <f>ППД5[[#This Row],[Фикс 04.09.24]]*4%</f>
        <v>4045.5012500303415</v>
      </c>
      <c r="CF151" s="93">
        <f>ППД5[[#This Row],[Наценка 16.09.2024
1К: А1,В7,Г6/7,Г8 - 2%
2К: А4,А5,А6,Б1,Б6,Б3/4,В3,В4,Г4,Г5 - 4%
3К: 4%]]+ППД5[[#This Row],[Фикс 04.09.24]]</f>
        <v>105183.03250078888</v>
      </c>
      <c r="CG151" s="93">
        <f>ППД5[[#This Row],[Фикс 16.09.2024]]*6%</f>
        <v>6310.9819500473322</v>
      </c>
      <c r="CH151" s="93">
        <f>ППД5[[#This Row],[Фикс 16.09.2024]]+ППД5[[#This Row],[Наценка 01.11.24
СТ: 4%
1К: 34-40м 5%; 40м+ 8%; МГН 1%
2К: 55-70м 6%; 70-73м 7%; 73-76м 8% 
3К: 5%]]</f>
        <v>111494.01445083621</v>
      </c>
      <c r="CI151" s="93">
        <f>ППД5[[#This Row],[Фикс 01.11.24]]*13%</f>
        <v>14494.221878608709</v>
      </c>
      <c r="CJ151" s="93">
        <f>ППД5[[#This Row],[Наценка 06.11 13%]]+ППД5[[#This Row],[Фикс 01.11.24]]</f>
        <v>125988.23632944492</v>
      </c>
      <c r="CK151" s="93">
        <v>35</v>
      </c>
      <c r="CL151" s="93">
        <f>ППД5[[#This Row],[Фикс 06.11.24]]+ППД5[[#This Row],[Наценка 18.12.24 распределение КВ]]</f>
        <v>126023.23632944492</v>
      </c>
      <c r="CM151" s="93"/>
      <c r="CN151" s="93">
        <f>ППД5[[#This Row],[Фикс 18.12.24]]+ППД5[[#This Row],[Наценка 10.02.25 +1%
1К: А3
2К: Б3, В3]]</f>
        <v>126023.23632944492</v>
      </c>
      <c r="CO151" s="93">
        <f>ROUND(ППД5[[#This Row],[Фикс 10.02.25]],2)</f>
        <v>126023.24</v>
      </c>
      <c r="CP15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7348500</v>
      </c>
      <c r="CQ151" s="93">
        <f>ROUNDUP(ППД5[[#This Row],[Стоимость до скидки]]+ППД5[[#This Row],[Сумма доплаты]],-2)</f>
        <v>7347300</v>
      </c>
      <c r="CR151" s="68">
        <v>548500</v>
      </c>
      <c r="CS151" s="90"/>
      <c r="CT151" s="68">
        <f>ППД5[[#This Row],[Стоимость до скидки]]*ППД5[[#This Row],[Скидка %]]+ППД5[[#This Row],[Скидка фиксированная]]</f>
        <v>548500</v>
      </c>
      <c r="CU151" s="3">
        <f>ППД5[[#This Row],[Стоимость ОН без отделки со скидкой]]/ППД5[[#This Row],[Расчетная проектная площадь]]</f>
        <v>116618.07580174926</v>
      </c>
      <c r="CV151" s="3">
        <f>ROUND(ППД5[[#This Row],[Стоимость до скидки]]-ППД5[[#This Row],[Итоговая сумма скидки]],2)</f>
        <v>6800000</v>
      </c>
      <c r="CW15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51" s="197"/>
      <c r="CY151" s="332">
        <f>ППД5[[#This Row],[Расхождение]]/ППД5[[#This Row],[Расчетная проектная площадь]]</f>
        <v>-1.7149717029677785E-4</v>
      </c>
      <c r="CZ15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5.0000000000004263E-2</v>
      </c>
      <c r="DA151" s="3">
        <f>ППД5[[#This Row],[Цена м2 без отделки со скидкой]]+ППД5[[#This Row],[Стоимость отделки]]</f>
        <v>116618.07580174926</v>
      </c>
      <c r="DB151" s="3">
        <f>ППД5[[#This Row],[Стоимость квартиры с отделкой]]-ППД5[[#This Row],[Стоимость ОН без отделки со скидкой]]</f>
        <v>0</v>
      </c>
      <c r="DC151" s="3">
        <f>ППД5[[#This Row],[Цена м2 с отделкой]]*ППД5[[#This Row],[Расчетная проектная площадь]]</f>
        <v>6800000</v>
      </c>
      <c r="DD151" s="3"/>
      <c r="DE151" s="111" t="s">
        <v>767</v>
      </c>
      <c r="DF151" s="155" t="s">
        <v>172</v>
      </c>
      <c r="DG151" s="221" t="s">
        <v>172</v>
      </c>
      <c r="DH151" s="100" t="b">
        <f>EXACT(ППД5[[#This Row],[Статусы CRM]],ППД5[[#This Row],[Статус]])</f>
        <v>1</v>
      </c>
      <c r="DI151" s="213" t="s">
        <v>323</v>
      </c>
      <c r="DJ151" s="204"/>
      <c r="DK151" s="111" t="s">
        <v>763</v>
      </c>
      <c r="DL151" s="216" t="s">
        <v>12</v>
      </c>
      <c r="DM151" s="201" t="b">
        <f>ППД5[[#This Row],[Отделка CRM]]=ППД5[[#This Row],[Отделка]]</f>
        <v>1</v>
      </c>
      <c r="DN151" s="203">
        <v>6800000</v>
      </c>
      <c r="DO15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51" s="207" t="b">
        <f>IF(AND(ППД5[[#This Row],[Статус]]="свободно",ППД5[[#This Row],[Итоговая сумма скидки]]&lt;&gt;0),FALSE,TRUE)</f>
        <v>1</v>
      </c>
      <c r="DQ151" s="240" t="str">
        <f>_xlfn.XLOOKUP(ППД5[[#This Row],[№]],Юрист[№ кв],Юрист[Дата подачи на регистрацию]," ",0,-1)</f>
        <v xml:space="preserve"> </v>
      </c>
      <c r="DR151" s="115" t="str">
        <f>_xlfn.XLOOKUP(ППД5[[#This Row],[№]],Юрист[№ кв],Юрист[МОП],"",0,-1)</f>
        <v/>
      </c>
      <c r="DS151" s="333" t="s">
        <v>2594</v>
      </c>
      <c r="DT151" s="333" t="s">
        <v>2595</v>
      </c>
      <c r="DU151" s="333">
        <v>57</v>
      </c>
      <c r="DV151" s="111"/>
    </row>
    <row r="152" spans="1:126" hidden="1" x14ac:dyDescent="0.25">
      <c r="A152" s="112">
        <v>150</v>
      </c>
      <c r="B152" s="111" t="s">
        <v>4</v>
      </c>
      <c r="C152" s="111">
        <v>6</v>
      </c>
      <c r="D152" s="111">
        <v>5</v>
      </c>
      <c r="E152" s="111">
        <v>1</v>
      </c>
      <c r="F152" s="105">
        <v>12.06</v>
      </c>
      <c r="G152" s="105"/>
      <c r="H152" s="105"/>
      <c r="I152" s="94">
        <f>SUM(ППД5[[#This Row],[Комната 1]:[Комната 3]])</f>
        <v>12.06</v>
      </c>
      <c r="J152" s="105">
        <v>13.18</v>
      </c>
      <c r="K152" s="105">
        <v>4.1100000000000003</v>
      </c>
      <c r="L152" s="105"/>
      <c r="M152" s="105"/>
      <c r="N152" s="105">
        <v>7.09</v>
      </c>
      <c r="O152" s="105">
        <v>2.84</v>
      </c>
      <c r="P152" s="105"/>
      <c r="Q152" s="105"/>
      <c r="R152" s="105">
        <f>SUM(ППД5[[#This Row],[Лоджия 1]:[Лоджия 3]])</f>
        <v>2.84</v>
      </c>
      <c r="S152" s="8">
        <f>ROUND(SUM(ППД5[[#This Row],[Площадь по проекту жилая]:[Лоджия 3]]),2)</f>
        <v>39.28</v>
      </c>
      <c r="T152" s="8">
        <f>ROUND(ППД5[[#This Row],[Площадь по проекту(общая)]]-ППД5[[#This Row],[Летние]],2)</f>
        <v>36.44</v>
      </c>
      <c r="U152" s="91">
        <f>ROUND(ППД5[[#This Row],[Площадь по проекту(общая)]]-(SUM(ППД5[[#This Row],[Лоджия 1]:[Лоджия 3]])/2),2)</f>
        <v>37.86</v>
      </c>
      <c r="V152" s="91">
        <f>IF(ППД5[[#This Row],[Статус]]="продажа",ППД5[[#This Row],[Расчетная проектная площадь]],ППД5[[#This Row],[Расчетная ТП площадь]])</f>
        <v>37.86</v>
      </c>
      <c r="W152" s="91">
        <v>12.4</v>
      </c>
      <c r="X152" s="91"/>
      <c r="Y152" s="91"/>
      <c r="Z152" s="91">
        <f>SUM(ППД5[[#This Row],[ТП Комната 1]:[ТП Комната 3]])</f>
        <v>12.4</v>
      </c>
      <c r="AA152" s="91">
        <v>12.6</v>
      </c>
      <c r="AB152" s="91">
        <v>4.0999999999999996</v>
      </c>
      <c r="AC152" s="91"/>
      <c r="AD152" s="91"/>
      <c r="AE152" s="91">
        <v>7.1</v>
      </c>
      <c r="AF152" s="91">
        <v>1.45</v>
      </c>
      <c r="AG152" s="91"/>
      <c r="AH152" s="91"/>
      <c r="AI152" s="91">
        <f>SUM(ППД5[[#This Row],[ТП Лоджия 1]:[ТП Лоджия 3]])</f>
        <v>1.45</v>
      </c>
      <c r="AJ152" s="95">
        <v>2.9</v>
      </c>
      <c r="AK152" s="91">
        <f>SUM(ППД5[[#This Row],[Площадь по ТП жилая]:[ТП Лоджия 3]])-ППД5[[#This Row],[ТП Летние]]+ППД5[[#This Row],[кроме того прочая
(без коэффициента)]]</f>
        <v>39.1</v>
      </c>
      <c r="AL152" s="95">
        <f>ППД5[[#This Row],[ТП Площадь без летних]]+(ППД5[[#This Row],[ТП Летние]])</f>
        <v>37.650000000000006</v>
      </c>
      <c r="AM152" s="91">
        <f>ППД5[[#This Row],[ТП общая S]]-ППД5[[#This Row],[кроме того прочая
(без коэффициента)]]</f>
        <v>36.200000000000003</v>
      </c>
      <c r="AN152" s="95">
        <f>SUM(ППД5[[#This Row],[ТП Кухня]:[ТП Коридор]])</f>
        <v>23.799999999999997</v>
      </c>
      <c r="AO152" s="91">
        <f>ППД5[[#This Row],[Расчетная ТП площадь]]-ППД5[[#This Row],[Расчетная проектная площадь]]</f>
        <v>-0.20999999999999375</v>
      </c>
      <c r="AP152" s="335">
        <f>ППД5[[#This Row],[Расчетная ТП площадь]]/ППД5[[#This Row],[Расчетная проектная площадь]]-1</f>
        <v>-5.5467511885893828E-3</v>
      </c>
      <c r="AQ152" s="91">
        <f>ППД5[[#This Row],[% расхождения]]*ППД5[[#This Row],[Стоимость до скидки]]</f>
        <v>-24530.507131536546</v>
      </c>
      <c r="AR152" s="91">
        <f>VLOOKUP(ППД5[[#This Row],[№]],наценкад5[],COLUMN(наценкад5[[#This Row],[Цена м2 с учетом всех K]]),0)</f>
        <v>89223.75</v>
      </c>
      <c r="AS152" s="8">
        <f>ППД5[[#This Row],[м2 после К]]*5%</f>
        <v>4461.1875</v>
      </c>
      <c r="AT152" s="8">
        <f>ППД5[[#This Row],[м2 после К]]+ППД5[[#This Row],[Повышение 16.08.23 - 5%]]</f>
        <v>93684.9375</v>
      </c>
      <c r="AU152" s="93">
        <f>ППД5[[#This Row],[Фикс 16.08.23]]*3%</f>
        <v>2810.5481249999998</v>
      </c>
      <c r="AV152" s="93">
        <f>ППД5[[#This Row],[Фикс 16.08.23]]+ППД5[[#This Row],[Повышение 29.08.23 - 3%]]</f>
        <v>96495.485625000001</v>
      </c>
      <c r="AW152" s="93">
        <f>ППД5[[#This Row],[Фикс 29.08.23]]*4.5%</f>
        <v>4342.2968531249999</v>
      </c>
      <c r="AX152" s="93">
        <f>ППД5[[#This Row],[Фикс 29.08.23]]+ППД5[[#This Row],[Повышение 06.09.23 СТ и 1К]]</f>
        <v>100837.78247812499</v>
      </c>
      <c r="AY152" s="93"/>
      <c r="AZ152" s="93">
        <f>ППД5[[#This Row],[Повышение 23.10.23  В4 ]]+ППД5[[#This Row],[Фикс 06.09.23]]</f>
        <v>100837.78247812499</v>
      </c>
      <c r="BA152" s="93">
        <f>ППД5[[#This Row],[Фикс 23.10.23]]*5%</f>
        <v>5041.8891239062505</v>
      </c>
      <c r="BB152" s="93">
        <f>ППД5[[#This Row],[Повышение 8.11.23 1К 5%]]+ППД5[[#This Row],[Фикс 23.10.23]]</f>
        <v>105879.67160203125</v>
      </c>
      <c r="BC152" s="93"/>
      <c r="BD152" s="93">
        <f>ППД5[[#This Row],[Корректировка 24.11.23 - 1К В5, 2К А2, №233]]+ППД5[[#This Row],[Фикс 8.11.23]]</f>
        <v>105879.67160203125</v>
      </c>
      <c r="BE152" s="93">
        <f>ППД5[[#This Row],[Фикс 8.11.24]]*1%</f>
        <v>1058.7967160203125</v>
      </c>
      <c r="BF152" s="93">
        <f>ППД5[[#This Row],[Наценка за отделку 29.12.23 1%]]+ППД5[[#This Row],[Фикс 8.11.24]]</f>
        <v>106938.46831805156</v>
      </c>
      <c r="BG152" s="93">
        <f>ППД5[[#This Row],[Фикс 29.12.23]]*5%</f>
        <v>5346.9234159025782</v>
      </c>
      <c r="BH152" s="93">
        <f>ППД5[[#This Row],[Фикс 29.12.23]]+ППД5[[#This Row],[Наценка 10.01.24 5%]]</f>
        <v>112285.39173395414</v>
      </c>
      <c r="BI152" s="93"/>
      <c r="BJ152" s="93">
        <f>ППД5[[#This Row],[Наценка 26.02.24 1 Этаж]]+ППД5[[#This Row],[Фикс 10.01.24]]</f>
        <v>112285.39173395414</v>
      </c>
      <c r="BK152" s="93">
        <f>ППД5[[#This Row],[Фикс 26.02.24]]*3%</f>
        <v>3368.5617520186238</v>
      </c>
      <c r="BL152" s="93">
        <f>ППД5[[#This Row],[Фикс 26.02.24]]+ППД5[[#This Row],[Наценка 06.03.24
СТ, 1К - 3%
2К, 3К - 2%]]</f>
        <v>115653.95348597276</v>
      </c>
      <c r="BM152" s="93"/>
      <c r="BN152" s="93">
        <f>ППД5[[#This Row],[Фикс 06.03.24]]+ППД5[[#This Row],[Наценка Г2+500]]</f>
        <v>115653.95348597276</v>
      </c>
      <c r="BO152" s="93"/>
      <c r="BP152" s="93">
        <f>ППД5[[#This Row],[Фикс 13.03.25]]+ППД5[[#This Row],[Наценка 20.03.24
2К, 3К - 2%]]</f>
        <v>115653.95348597276</v>
      </c>
      <c r="BQ152" s="93"/>
      <c r="BR152" s="93">
        <f>ППД5[[#This Row],[Фикс 20.03.24]]+ППД5[[#This Row],[Наценка 08.04.24 
2К: В3 - 150
3К: Г7 +1000]]</f>
        <v>115653.95348597276</v>
      </c>
      <c r="BS152" s="93"/>
      <c r="BT152" s="93">
        <f>ППД5[[#This Row],[Фикс 08.04.24]]+ППД5[[#This Row],[Наценка 16.05.24 1%
А4,А6,Б3,Б6,Б7,В2,В3,В5,В6,Г1,Г3-Г5]]</f>
        <v>115653.95348597276</v>
      </c>
      <c r="BU152" s="93">
        <f>ППД5[[#This Row],[Фикс 16.05.24]]*1%</f>
        <v>1156.5395348597276</v>
      </c>
      <c r="BV152" s="93">
        <f>ППД5[[#This Row],[Фикс 16.05.24]]+ППД5[[#This Row],[Наценка 24.05.24
1% - Б4, Б5,Г2,Г6
2% - А1,А3,А5,Б2,Г7]]</f>
        <v>116810.49302083248</v>
      </c>
      <c r="BW152" s="93"/>
      <c r="BX152" s="93">
        <f>ППД5[[#This Row],[Наценка 06.06.24
0К: В2,Г3 +0,5%
1К: А7, Б5/4, Г6 +0,5%
3К: В6 +0,5%
1К: А3 +1%]]+ППД5[[#This Row],[Фикс 24.05.24]]</f>
        <v>116810.49302083248</v>
      </c>
      <c r="BY152" s="93"/>
      <c r="BZ152" s="93">
        <f>ППД5[[#This Row],[Фикс 06.06.24]]+ППД5[[#This Row],[13.06.2024
3К - 2%]]</f>
        <v>116810.49302083248</v>
      </c>
      <c r="CA152" s="93"/>
      <c r="CB152" s="93">
        <f>ППД5[[#This Row],[02.07.2024: Г3 А1 А3 Б5 Б7 Г2 Г6 Б3 Б4 В3 Г7 2,5% ост 0,5-1,5%]]+ППД5[[#This Row],[Фикс 13.06.24]]</f>
        <v>116810.49302083248</v>
      </c>
      <c r="CC152" s="93"/>
      <c r="CD152" s="93">
        <f>ППД5[[#This Row],[Фикс 02.07.24]]+ППД5[[#This Row],[04.09.2024 +500
0К - Б2; 1К - А3;
2К - А6, Б4, В3, Г5]]</f>
        <v>116810.49302083248</v>
      </c>
      <c r="CE152" s="93"/>
      <c r="CF152" s="93">
        <f>ППД5[[#This Row],[Наценка 16.09.2024
1К: А1,В7,Г6/7,Г8 - 2%
2К: А4,А5,А6,Б1,Б6,Б3/4,В3,В4,Г4,Г5 - 4%
3К: 4%]]+ППД5[[#This Row],[Фикс 04.09.24]]</f>
        <v>116810.49302083248</v>
      </c>
      <c r="CG152" s="93"/>
      <c r="CH152" s="93">
        <f>ППД5[[#This Row],[Фикс 16.09.2024]]+ППД5[[#This Row],[Наценка 01.11.24
СТ: 4%
1К: 34-40м 5%; 40м+ 8%; МГН 1%
2К: 55-70м 6%; 70-73м 7%; 73-76м 8% 
3К: 5%]]</f>
        <v>116810.49302083248</v>
      </c>
      <c r="CI152" s="93"/>
      <c r="CJ152" s="93">
        <f>ППД5[[#This Row],[Наценка 06.11 13%]]+ППД5[[#This Row],[Фикс 01.11.24]]</f>
        <v>116810.49302083248</v>
      </c>
      <c r="CK152" s="93"/>
      <c r="CL152" s="93">
        <f>ППД5[[#This Row],[Фикс 06.11.24]]+ППД5[[#This Row],[Наценка 18.12.24 распределение КВ]]</f>
        <v>116810.49302083248</v>
      </c>
      <c r="CM152" s="93"/>
      <c r="CN152" s="93">
        <f>ППД5[[#This Row],[Фикс 18.12.24]]+ППД5[[#This Row],[Наценка 10.02.25 +1%
1К: А3
2К: Б3, В3]]</f>
        <v>116810.49302083248</v>
      </c>
      <c r="CO152" s="93">
        <f>ROUND(ППД5[[#This Row],[Фикс 10.02.25]],2)</f>
        <v>116810.49</v>
      </c>
      <c r="CP15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4422500</v>
      </c>
      <c r="CQ152" s="93">
        <f>ROUNDUP(ППД5[[#This Row],[Стоимость до скидки]]+ППД5[[#This Row],[Сумма доплаты]],-2)</f>
        <v>4398000</v>
      </c>
      <c r="CR152" s="68"/>
      <c r="CS152" s="90"/>
      <c r="CT152" s="68">
        <f>ППД5[[#This Row],[Стоимость до скидки]]*ППД5[[#This Row],[Скидка %]]+ППД5[[#This Row],[Скидка фиксированная]]</f>
        <v>0</v>
      </c>
      <c r="CU152" s="3">
        <f>ППД5[[#This Row],[Стоимость ОН без отделки со скидкой]]/ППД5[[#This Row],[Расчетная проектная площадь]]</f>
        <v>116811.93872160591</v>
      </c>
      <c r="CV152" s="3">
        <f>ROUND(ППД5[[#This Row],[Стоимость до скидки]]-ППД5[[#This Row],[Итоговая сумма скидки]],2)</f>
        <v>4422500</v>
      </c>
      <c r="CW15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52" s="197"/>
      <c r="CY152" s="332">
        <f>ППД5[[#This Row],[Расхождение]]/ППД5[[#This Row],[Расчетная проектная площадь]]</f>
        <v>-5.546751188589375E-3</v>
      </c>
      <c r="CZ15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-0.58000000000000185</v>
      </c>
      <c r="DA152" s="3">
        <f>ППД5[[#This Row],[Цена м2 без отделки со скидкой]]+ППД5[[#This Row],[Стоимость отделки]]</f>
        <v>116811.93872160591</v>
      </c>
      <c r="DB152" s="3">
        <f>ППД5[[#This Row],[Стоимость квартиры с отделкой]]-ППД5[[#This Row],[Стоимость ОН без отделки со скидкой]]</f>
        <v>0</v>
      </c>
      <c r="DC152" s="3">
        <f>ППД5[[#This Row],[Цена м2 с отделкой]]*ППД5[[#This Row],[Расчетная проектная площадь]]</f>
        <v>4422500</v>
      </c>
      <c r="DD152" s="3"/>
      <c r="DF152" s="199" t="s">
        <v>172</v>
      </c>
      <c r="DG152" s="245" t="s">
        <v>172</v>
      </c>
      <c r="DH152" s="100" t="b">
        <f>EXACT(ППД5[[#This Row],[Статусы CRM]],ППД5[[#This Row],[Статус]])</f>
        <v>1</v>
      </c>
      <c r="DI152" s="213" t="s">
        <v>324</v>
      </c>
      <c r="DJ152" s="204"/>
      <c r="DK152" s="111" t="s">
        <v>763</v>
      </c>
      <c r="DL152" s="216" t="s">
        <v>12</v>
      </c>
      <c r="DM152" s="201" t="b">
        <f>ППД5[[#This Row],[Отделка CRM]]=ППД5[[#This Row],[Отделка]]</f>
        <v>1</v>
      </c>
      <c r="DN152" s="203">
        <v>4422500</v>
      </c>
      <c r="DO15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52" s="207" t="b">
        <f>IF(AND(ППД5[[#This Row],[Статус]]="свободно",ППД5[[#This Row],[Итоговая сумма скидки]]&lt;&gt;0),FALSE,TRUE)</f>
        <v>1</v>
      </c>
      <c r="DQ152" s="240">
        <f>_xlfn.XLOOKUP(ППД5[[#This Row],[№]],Юрист[№ кв],Юрист[Дата подачи на регистрацию]," ",0,-1)</f>
        <v>45454</v>
      </c>
      <c r="DR152" s="115" t="str">
        <f>_xlfn.XLOOKUP(ППД5[[#This Row],[№]],Юрист[№ кв],Юрист[МОП],"",0,-1)</f>
        <v>Дик</v>
      </c>
      <c r="DS152" s="333" t="s">
        <v>2596</v>
      </c>
      <c r="DT152" s="333" t="s">
        <v>2597</v>
      </c>
      <c r="DU152" s="333">
        <v>36.200000000000003</v>
      </c>
      <c r="DV152" s="111"/>
    </row>
    <row r="153" spans="1:126" hidden="1" x14ac:dyDescent="0.25">
      <c r="A153" s="112">
        <v>151</v>
      </c>
      <c r="B153" s="111" t="s">
        <v>4</v>
      </c>
      <c r="C153" s="111">
        <v>6</v>
      </c>
      <c r="D153" s="111">
        <v>6</v>
      </c>
      <c r="E153" s="111">
        <v>3</v>
      </c>
      <c r="F153" s="105">
        <v>17.89</v>
      </c>
      <c r="G153" s="105">
        <v>17.2</v>
      </c>
      <c r="H153" s="105">
        <v>14.31</v>
      </c>
      <c r="I153" s="94">
        <f>SUM(ППД5[[#This Row],[Комната 1]:[Комната 3]])</f>
        <v>49.400000000000006</v>
      </c>
      <c r="J153" s="105">
        <v>13.39</v>
      </c>
      <c r="K153" s="105">
        <v>4.2</v>
      </c>
      <c r="L153" s="105">
        <v>2.0499999999999998</v>
      </c>
      <c r="M153" s="105"/>
      <c r="N153" s="105">
        <v>13.21</v>
      </c>
      <c r="O153" s="105">
        <v>2.79</v>
      </c>
      <c r="P153" s="105">
        <v>2.68</v>
      </c>
      <c r="Q153" s="105"/>
      <c r="R153" s="105">
        <f>SUM(ППД5[[#This Row],[Лоджия 1]:[Лоджия 3]])</f>
        <v>5.4700000000000006</v>
      </c>
      <c r="S153" s="8">
        <f>ROUND(SUM(ППД5[[#This Row],[Площадь по проекту жилая]:[Лоджия 3]]),2)</f>
        <v>87.72</v>
      </c>
      <c r="T153" s="8">
        <f>ROUND(ППД5[[#This Row],[Площадь по проекту(общая)]]-ППД5[[#This Row],[Летние]],2)</f>
        <v>82.25</v>
      </c>
      <c r="U153" s="91">
        <f>ROUND(ППД5[[#This Row],[Площадь по проекту(общая)]]-(SUM(ППД5[[#This Row],[Лоджия 1]:[Лоджия 3]])/2),2)</f>
        <v>84.99</v>
      </c>
      <c r="V153" s="91">
        <f>IF(ППД5[[#This Row],[Статус]]="продажа",ППД5[[#This Row],[Расчетная проектная площадь]],ППД5[[#This Row],[Расчетная ТП площадь]])</f>
        <v>84.99</v>
      </c>
      <c r="W153" s="91">
        <v>14.2</v>
      </c>
      <c r="X153" s="91">
        <v>17.899999999999999</v>
      </c>
      <c r="Y153" s="91">
        <v>17.2</v>
      </c>
      <c r="Z153" s="91">
        <f>SUM(ППД5[[#This Row],[ТП Комната 1]:[ТП Комната 3]])</f>
        <v>49.3</v>
      </c>
      <c r="AA153" s="91">
        <v>13.2</v>
      </c>
      <c r="AB153" s="91">
        <v>4.2</v>
      </c>
      <c r="AC153" s="91">
        <v>2</v>
      </c>
      <c r="AD153" s="91"/>
      <c r="AE153" s="91">
        <v>13</v>
      </c>
      <c r="AF153" s="91">
        <v>1.45</v>
      </c>
      <c r="AG153" s="91">
        <v>1.35</v>
      </c>
      <c r="AH153" s="91"/>
      <c r="AI153" s="91">
        <f>SUM(ППД5[[#This Row],[ТП Лоджия 1]:[ТП Лоджия 3]])</f>
        <v>2.8</v>
      </c>
      <c r="AJ153" s="95">
        <v>5.6</v>
      </c>
      <c r="AK153" s="91">
        <f>SUM(ППД5[[#This Row],[Площадь по ТП жилая]:[ТП Лоджия 3]])-ППД5[[#This Row],[ТП Летние]]+ППД5[[#This Row],[кроме того прочая
(без коэффициента)]]</f>
        <v>87.3</v>
      </c>
      <c r="AL153" s="95">
        <f>ППД5[[#This Row],[ТП Площадь без летних]]+(ППД5[[#This Row],[ТП Летние]])</f>
        <v>84.5</v>
      </c>
      <c r="AM153" s="91">
        <f>ППД5[[#This Row],[ТП общая S]]-ППД5[[#This Row],[кроме того прочая
(без коэффициента)]]</f>
        <v>81.7</v>
      </c>
      <c r="AN153" s="95">
        <f>SUM(ППД5[[#This Row],[ТП Кухня]:[ТП Коридор]])</f>
        <v>32.4</v>
      </c>
      <c r="AO153" s="91">
        <f>ППД5[[#This Row],[Расчетная ТП площадь]]-ППД5[[#This Row],[Расчетная проектная площадь]]</f>
        <v>-0.48999999999999488</v>
      </c>
      <c r="AP153" s="335">
        <f>ППД5[[#This Row],[Расчетная ТП площадь]]/ППД5[[#This Row],[Расчетная проектная площадь]]-1</f>
        <v>-5.7653841628426683E-3</v>
      </c>
      <c r="AQ153" s="91">
        <f>ППД5[[#This Row],[% расхождения]]*ППД5[[#This Row],[Стоимость до скидки]]</f>
        <v>-41318.202141428264</v>
      </c>
      <c r="AR153" s="91">
        <f>VLOOKUP(ППД5[[#This Row],[№]],наценкад5[],COLUMN(наценкад5[[#This Row],[Цена м2 с учетом всех K]]),0)</f>
        <v>73520.37000000001</v>
      </c>
      <c r="AS153" s="8">
        <f>ППД5[[#This Row],[м2 после К]]*5%</f>
        <v>3676.0185000000006</v>
      </c>
      <c r="AT153" s="8">
        <f>ППД5[[#This Row],[м2 после К]]+ППД5[[#This Row],[Повышение 16.08.23 - 5%]]</f>
        <v>77196.388500000015</v>
      </c>
      <c r="AU153" s="93">
        <f>ППД5[[#This Row],[Фикс 16.08.23]]*3%</f>
        <v>2315.8916550000004</v>
      </c>
      <c r="AV153" s="93">
        <f>ППД5[[#This Row],[Фикс 16.08.23]]+ППД5[[#This Row],[Повышение 29.08.23 - 3%]]</f>
        <v>79512.280155000015</v>
      </c>
      <c r="AW153" s="93"/>
      <c r="AX153" s="93">
        <f>ППД5[[#This Row],[Фикс 29.08.23]]+ППД5[[#This Row],[Повышение 06.09.23 СТ и 1К]]</f>
        <v>79512.280155000015</v>
      </c>
      <c r="AY153" s="93"/>
      <c r="AZ153" s="93">
        <f>ППД5[[#This Row],[Повышение 23.10.23  В4 ]]+ППД5[[#This Row],[Фикс 06.09.23]]</f>
        <v>79512.280155000015</v>
      </c>
      <c r="BA153" s="93"/>
      <c r="BB153" s="93">
        <f>ППД5[[#This Row],[Повышение 8.11.23 1К 5%]]+ППД5[[#This Row],[Фикс 23.10.23]]</f>
        <v>79512.280155000015</v>
      </c>
      <c r="BC153" s="93"/>
      <c r="BD153" s="93">
        <f>ППД5[[#This Row],[Корректировка 24.11.23 - 1К В5, 2К А2, №233]]+ППД5[[#This Row],[Фикс 8.11.23]]</f>
        <v>79512.280155000015</v>
      </c>
      <c r="BE153" s="93">
        <f>ППД5[[#This Row],[Фикс 8.11.24]]*1%</f>
        <v>795.12280155000019</v>
      </c>
      <c r="BF153" s="93">
        <f>ППД5[[#This Row],[Наценка за отделку 29.12.23 1%]]+ППД5[[#This Row],[Фикс 8.11.24]]</f>
        <v>80307.40295655001</v>
      </c>
      <c r="BG153" s="93">
        <f>ППД5[[#This Row],[Фикс 29.12.23]]*5%</f>
        <v>4015.3701478275007</v>
      </c>
      <c r="BH153" s="93">
        <f>ППД5[[#This Row],[Фикс 29.12.23]]+ППД5[[#This Row],[Наценка 10.01.24 5%]]</f>
        <v>84322.773104377513</v>
      </c>
      <c r="BI153" s="93"/>
      <c r="BJ153" s="93">
        <f>ППД5[[#This Row],[Наценка 26.02.24 1 Этаж]]+ППД5[[#This Row],[Фикс 10.01.24]]</f>
        <v>84322.773104377513</v>
      </c>
      <c r="BK153" s="93"/>
      <c r="BL153" s="93">
        <f>ППД5[[#This Row],[Фикс 26.02.24]]+ППД5[[#This Row],[Наценка 06.03.24
СТ, 1К - 3%
2К, 3К - 2%]]</f>
        <v>84322.773104377513</v>
      </c>
      <c r="BM153" s="93"/>
      <c r="BN153" s="93">
        <f>ППД5[[#This Row],[Фикс 06.03.24]]+ППД5[[#This Row],[Наценка Г2+500]]</f>
        <v>84322.773104377513</v>
      </c>
      <c r="BO153" s="93"/>
      <c r="BP153" s="93">
        <f>ППД5[[#This Row],[Фикс 13.03.25]]+ППД5[[#This Row],[Наценка 20.03.24
2К, 3К - 2%]]</f>
        <v>84322.773104377513</v>
      </c>
      <c r="BQ153" s="93"/>
      <c r="BR153" s="93">
        <f>ППД5[[#This Row],[Фикс 20.03.24]]+ППД5[[#This Row],[Наценка 08.04.24 
2К: В3 - 150
3К: Г7 +1000]]</f>
        <v>84322.773104377513</v>
      </c>
      <c r="BS153" s="9"/>
      <c r="BT153" s="93">
        <f>ППД5[[#This Row],[Фикс 08.04.24]]+ППД5[[#This Row],[Наценка 16.05.24 1%
А4,А6,Б3,Б6,Б7,В2,В3,В5,В6,Г1,Г3-Г5]]</f>
        <v>84322.773104377513</v>
      </c>
      <c r="BU153" s="93"/>
      <c r="BV153" s="93">
        <f>ППД5[[#This Row],[Фикс 16.05.24]]+ППД5[[#This Row],[Наценка 24.05.24
1% - Б4, Б5,Г2,Г6
2% - А1,А3,А5,Б2,Г7]]</f>
        <v>84322.773104377513</v>
      </c>
      <c r="BW153" s="93"/>
      <c r="BX153" s="93">
        <f>ППД5[[#This Row],[Наценка 06.06.24
0К: В2,Г3 +0,5%
1К: А7, Б5/4, Г6 +0,5%
3К: В6 +0,5%
1К: А3 +1%]]+ППД5[[#This Row],[Фикс 24.05.24]]</f>
        <v>84322.773104377513</v>
      </c>
      <c r="BY153" s="93"/>
      <c r="BZ153" s="93">
        <f>ППД5[[#This Row],[Фикс 06.06.24]]+ППД5[[#This Row],[13.06.2024
3К - 2%]]</f>
        <v>84322.773104377513</v>
      </c>
      <c r="CA153" s="93"/>
      <c r="CB153" s="93">
        <f>ППД5[[#This Row],[02.07.2024: Г3 А1 А3 Б5 Б7 Г2 Г6 Б3 Б4 В3 Г7 2,5% ост 0,5-1,5%]]+ППД5[[#This Row],[Фикс 13.06.24]]</f>
        <v>84322.773104377513</v>
      </c>
      <c r="CC153" s="93"/>
      <c r="CD153" s="93">
        <f>ППД5[[#This Row],[Фикс 02.07.24]]+ППД5[[#This Row],[04.09.2024 +500
0К - Б2; 1К - А3;
2К - А6, Б4, В3, Г5]]</f>
        <v>84322.773104377513</v>
      </c>
      <c r="CE153" s="93"/>
      <c r="CF153" s="93">
        <f>ППД5[[#This Row],[Наценка 16.09.2024
1К: А1,В7,Г6/7,Г8 - 2%
2К: А4,А5,А6,Б1,Б6,Б3/4,В3,В4,Г4,Г5 - 4%
3К: 4%]]+ППД5[[#This Row],[Фикс 04.09.24]]</f>
        <v>84322.773104377513</v>
      </c>
      <c r="CG153" s="93"/>
      <c r="CH153" s="93">
        <f>ППД5[[#This Row],[Фикс 16.09.2024]]+ППД5[[#This Row],[Наценка 01.11.24
СТ: 4%
1К: 34-40м 5%; 40м+ 8%; МГН 1%
2К: 55-70м 6%; 70-73м 7%; 73-76м 8% 
3К: 5%]]</f>
        <v>84322.773104377513</v>
      </c>
      <c r="CI153" s="93"/>
      <c r="CJ153" s="93">
        <f>ППД5[[#This Row],[Наценка 06.11 13%]]+ППД5[[#This Row],[Фикс 01.11.24]]</f>
        <v>84322.773104377513</v>
      </c>
      <c r="CK153" s="93"/>
      <c r="CL153" s="93">
        <f>ППД5[[#This Row],[Фикс 06.11.24]]+ППД5[[#This Row],[Наценка 18.12.24 распределение КВ]]</f>
        <v>84322.773104377513</v>
      </c>
      <c r="CM153" s="93"/>
      <c r="CN153" s="93">
        <f>ППД5[[#This Row],[Фикс 18.12.24]]+ППД5[[#This Row],[Наценка 10.02.25 +1%
1К: А3
2К: Б3, В3]]</f>
        <v>84322.773104377513</v>
      </c>
      <c r="CO153" s="93">
        <f>ROUND(ППД5[[#This Row],[Фикс 10.02.25]],2)</f>
        <v>84322.77</v>
      </c>
      <c r="CP15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7166600</v>
      </c>
      <c r="CQ153" s="93">
        <f>ROUNDUP(ППД5[[#This Row],[Стоимость до скидки]]+ППД5[[#This Row],[Сумма доплаты]],-2)</f>
        <v>7125300</v>
      </c>
      <c r="CR153" s="68"/>
      <c r="CS153" s="90">
        <v>0.04</v>
      </c>
      <c r="CT153" s="68">
        <f>ППД5[[#This Row],[Стоимость до скидки]]*ППД5[[#This Row],[Скидка %]]+ППД5[[#This Row],[Скидка фиксированная]]</f>
        <v>286664</v>
      </c>
      <c r="CU153" s="3">
        <f>ППД5[[#This Row],[Стоимость ОН без отделки со скидкой]]/ППД5[[#This Row],[Расчетная проектная площадь]]</f>
        <v>80949.947052594434</v>
      </c>
      <c r="CV153" s="3">
        <f>ROUND(ППД5[[#This Row],[Стоимость до скидки]]-ППД5[[#This Row],[Итоговая сумма скидки]],2)</f>
        <v>6879936</v>
      </c>
      <c r="CW15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153" s="197">
        <v>7000</v>
      </c>
      <c r="CY153" s="332">
        <f>ППД5[[#This Row],[Расхождение]]/ППД5[[#This Row],[Расчетная проектная площадь]]</f>
        <v>-5.7653841628426275E-3</v>
      </c>
      <c r="CZ15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-0.45000000000000284</v>
      </c>
      <c r="DA153" s="3">
        <f>ППД5[[#This Row],[Цена м2 без отделки со скидкой]]+ППД5[[#This Row],[Стоимость отделки]]</f>
        <v>87949.947052594434</v>
      </c>
      <c r="DB153" s="3">
        <f>ППД5[[#This Row],[Стоимость квартиры с отделкой]]-ППД5[[#This Row],[Стоимость ОН без отделки со скидкой]]</f>
        <v>594930.00000000093</v>
      </c>
      <c r="DC153" s="3">
        <f>ППД5[[#This Row],[Цена м2 с отделкой]]*ППД5[[#This Row],[Расчетная проектная площадь]]</f>
        <v>7474866.0000000009</v>
      </c>
      <c r="DD153" s="3"/>
      <c r="DE153" s="111" t="s">
        <v>162</v>
      </c>
      <c r="DF153" s="199" t="s">
        <v>172</v>
      </c>
      <c r="DG153" s="245" t="s">
        <v>172</v>
      </c>
      <c r="DH153" s="100" t="b">
        <f>EXACT(ППД5[[#This Row],[Статусы CRM]],ППД5[[#This Row],[Статус]])</f>
        <v>1</v>
      </c>
      <c r="DI153" s="213" t="s">
        <v>325</v>
      </c>
      <c r="DJ153" s="204"/>
      <c r="DK153" s="111" t="s">
        <v>763</v>
      </c>
      <c r="DL153" s="216" t="s">
        <v>780</v>
      </c>
      <c r="DM153" s="201" t="b">
        <f>ППД5[[#This Row],[Отделка CRM]]=ППД5[[#This Row],[Отделка]]</f>
        <v>1</v>
      </c>
      <c r="DN153" s="203">
        <v>7474866</v>
      </c>
      <c r="DO15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-9.3132257461547852E-10</v>
      </c>
      <c r="DP153" s="207" t="b">
        <f>IF(AND(ППД5[[#This Row],[Статус]]="свободно",ППД5[[#This Row],[Итоговая сумма скидки]]&lt;&gt;0),FALSE,TRUE)</f>
        <v>1</v>
      </c>
      <c r="DQ153" s="240">
        <f>_xlfn.XLOOKUP(ППД5[[#This Row],[№]],Юрист[№ кв],Юрист[Дата подачи на регистрацию]," ",0,-1)</f>
        <v>45315</v>
      </c>
      <c r="DR153" s="115" t="str">
        <f>_xlfn.XLOOKUP(ППД5[[#This Row],[№]],Юрист[№ кв],Юрист[МОП],"",0,-1)</f>
        <v>Никишов</v>
      </c>
      <c r="DS153" s="333" t="s">
        <v>2598</v>
      </c>
      <c r="DT153" s="333" t="s">
        <v>2599</v>
      </c>
      <c r="DU153" s="333">
        <v>81.7</v>
      </c>
      <c r="DV153" s="111"/>
    </row>
    <row r="154" spans="1:126" hidden="1" x14ac:dyDescent="0.25">
      <c r="A154" s="112">
        <v>152</v>
      </c>
      <c r="B154" s="111" t="s">
        <v>4</v>
      </c>
      <c r="C154" s="111">
        <v>6</v>
      </c>
      <c r="D154" s="111">
        <v>7</v>
      </c>
      <c r="E154" s="111">
        <v>1</v>
      </c>
      <c r="F154" s="105">
        <v>17.89</v>
      </c>
      <c r="G154" s="105"/>
      <c r="H154" s="105"/>
      <c r="I154" s="94">
        <f>SUM(ППД5[[#This Row],[Комната 1]:[Комната 3]])</f>
        <v>17.89</v>
      </c>
      <c r="J154" s="105">
        <v>13.04</v>
      </c>
      <c r="K154" s="105">
        <v>3.9</v>
      </c>
      <c r="L154" s="105"/>
      <c r="M154" s="105"/>
      <c r="N154" s="105">
        <v>6.12</v>
      </c>
      <c r="O154" s="105">
        <v>2.65</v>
      </c>
      <c r="P154" s="105"/>
      <c r="Q154" s="105"/>
      <c r="R154" s="105">
        <f>SUM(ППД5[[#This Row],[Лоджия 1]:[Лоджия 3]])</f>
        <v>2.65</v>
      </c>
      <c r="S154" s="8">
        <f>ROUND(SUM(ППД5[[#This Row],[Площадь по проекту жилая]:[Лоджия 3]]),2)</f>
        <v>43.6</v>
      </c>
      <c r="T154" s="8">
        <f>ROUND(ППД5[[#This Row],[Площадь по проекту(общая)]]-ППД5[[#This Row],[Летние]],2)</f>
        <v>40.950000000000003</v>
      </c>
      <c r="U154" s="91">
        <f>ROUND(ППД5[[#This Row],[Площадь по проекту(общая)]]-(SUM(ППД5[[#This Row],[Лоджия 1]:[Лоджия 3]])/2),2)</f>
        <v>42.28</v>
      </c>
      <c r="V154" s="91">
        <f>IF(ППД5[[#This Row],[Статус]]="продажа",ППД5[[#This Row],[Расчетная проектная площадь]],ППД5[[#This Row],[Расчетная ТП площадь]])</f>
        <v>42.28</v>
      </c>
      <c r="W154" s="91">
        <v>17.899999999999999</v>
      </c>
      <c r="X154" s="91"/>
      <c r="Y154" s="91"/>
      <c r="Z154" s="91">
        <f>SUM(ППД5[[#This Row],[ТП Комната 1]:[ТП Комната 3]])</f>
        <v>17.899999999999999</v>
      </c>
      <c r="AA154" s="91">
        <v>13.1</v>
      </c>
      <c r="AB154" s="91">
        <v>3.8</v>
      </c>
      <c r="AC154" s="91"/>
      <c r="AD154" s="91"/>
      <c r="AE154" s="91">
        <v>6.1</v>
      </c>
      <c r="AF154" s="91">
        <v>1.3</v>
      </c>
      <c r="AG154" s="91"/>
      <c r="AH154" s="91"/>
      <c r="AI154" s="91">
        <f>SUM(ППД5[[#This Row],[ТП Лоджия 1]:[ТП Лоджия 3]])</f>
        <v>1.3</v>
      </c>
      <c r="AJ154" s="95">
        <v>2.6</v>
      </c>
      <c r="AK154" s="91">
        <f>SUM(ППД5[[#This Row],[Площадь по ТП жилая]:[ТП Лоджия 3]])-ППД5[[#This Row],[ТП Летние]]+ППД5[[#This Row],[кроме того прочая
(без коэффициента)]]</f>
        <v>43.5</v>
      </c>
      <c r="AL154" s="95">
        <f>ППД5[[#This Row],[ТП Площадь без летних]]+(ППД5[[#This Row],[ТП Летние]])</f>
        <v>42.199999999999996</v>
      </c>
      <c r="AM154" s="91">
        <f>ППД5[[#This Row],[ТП общая S]]-ППД5[[#This Row],[кроме того прочая
(без коэффициента)]]</f>
        <v>40.9</v>
      </c>
      <c r="AN154" s="95">
        <f>SUM(ППД5[[#This Row],[ТП Кухня]:[ТП Коридор]])</f>
        <v>23</v>
      </c>
      <c r="AO154" s="91">
        <f>ППД5[[#This Row],[Расчетная ТП площадь]]-ППД5[[#This Row],[Расчетная проектная площадь]]</f>
        <v>-8.00000000000054E-2</v>
      </c>
      <c r="AP154" s="335">
        <f>ППД5[[#This Row],[Расчетная ТП площадь]]/ППД5[[#This Row],[Расчетная проектная площадь]]-1</f>
        <v>-1.8921475875119942E-3</v>
      </c>
      <c r="AQ154" s="91">
        <f>ППД5[[#This Row],[% расхождения]]*ППД5[[#This Row],[Стоимость до скидки]]</f>
        <v>-7625.9504068124097</v>
      </c>
      <c r="AR154" s="91">
        <f>VLOOKUP(ППД5[[#This Row],[№]],наценкад5[],COLUMN(наценкад5[[#This Row],[Цена м2 с учетом всех K]]),0)</f>
        <v>85573.6875</v>
      </c>
      <c r="AS154" s="8">
        <f>ППД5[[#This Row],[м2 после К]]*5%</f>
        <v>4278.6843749999998</v>
      </c>
      <c r="AT154" s="8">
        <f>ППД5[[#This Row],[м2 после К]]+ППД5[[#This Row],[Повышение 16.08.23 - 5%]]</f>
        <v>89852.371874999997</v>
      </c>
      <c r="AU154" s="93">
        <f>ППД5[[#This Row],[Фикс 16.08.23]]*3%</f>
        <v>2695.5711562499996</v>
      </c>
      <c r="AV154" s="93">
        <f>ППД5[[#This Row],[Фикс 16.08.23]]+ППД5[[#This Row],[Повышение 29.08.23 - 3%]]</f>
        <v>92547.94303124999</v>
      </c>
      <c r="AW154" s="93">
        <f>ППД5[[#This Row],[Фикс 29.08.23]]*3%</f>
        <v>2776.4382909374995</v>
      </c>
      <c r="AX154" s="93">
        <f>ППД5[[#This Row],[Фикс 29.08.23]]+ППД5[[#This Row],[Повышение 06.09.23 СТ и 1К]]</f>
        <v>95324.381322187488</v>
      </c>
      <c r="AY154" s="93"/>
      <c r="AZ154" s="93">
        <f>ППД5[[#This Row],[Повышение 23.10.23  В4 ]]+ППД5[[#This Row],[Фикс 06.09.23]]</f>
        <v>95324.381322187488</v>
      </c>
      <c r="BA154" s="93"/>
      <c r="BB154" s="93">
        <f>ППД5[[#This Row],[Повышение 8.11.23 1К 5%]]+ППД5[[#This Row],[Фикс 23.10.23]]</f>
        <v>95324.381322187488</v>
      </c>
      <c r="BC154" s="93"/>
      <c r="BD154" s="93">
        <f>ППД5[[#This Row],[Корректировка 24.11.23 - 1К В5, 2К А2, №233]]+ППД5[[#This Row],[Фикс 8.11.23]]</f>
        <v>95324.381322187488</v>
      </c>
      <c r="BE154" s="93"/>
      <c r="BF154" s="93">
        <f>ППД5[[#This Row],[Наценка за отделку 29.12.23 1%]]+ППД5[[#This Row],[Фикс 8.11.24]]</f>
        <v>95324.381322187488</v>
      </c>
      <c r="BG154" s="93"/>
      <c r="BH154" s="93">
        <f>ППД5[[#This Row],[Фикс 29.12.23]]+ППД5[[#This Row],[Наценка 10.01.24 5%]]</f>
        <v>95324.381322187488</v>
      </c>
      <c r="BI154" s="93"/>
      <c r="BJ154" s="93">
        <f>ППД5[[#This Row],[Наценка 26.02.24 1 Этаж]]+ППД5[[#This Row],[Фикс 10.01.24]]</f>
        <v>95324.381322187488</v>
      </c>
      <c r="BK154" s="93"/>
      <c r="BL154" s="93">
        <f>ППД5[[#This Row],[Фикс 26.02.24]]+ППД5[[#This Row],[Наценка 06.03.24
СТ, 1К - 3%
2К, 3К - 2%]]</f>
        <v>95324.381322187488</v>
      </c>
      <c r="BM154" s="93"/>
      <c r="BN154" s="93">
        <f>ППД5[[#This Row],[Фикс 06.03.24]]+ППД5[[#This Row],[Наценка Г2+500]]</f>
        <v>95324.381322187488</v>
      </c>
      <c r="BO154" s="93"/>
      <c r="BP154" s="93">
        <f>ППД5[[#This Row],[Фикс 13.03.25]]+ППД5[[#This Row],[Наценка 20.03.24
2К, 3К - 2%]]</f>
        <v>95324.381322187488</v>
      </c>
      <c r="BQ154" s="93"/>
      <c r="BR154" s="93">
        <f>ППД5[[#This Row],[Фикс 20.03.24]]+ППД5[[#This Row],[Наценка 08.04.24 
2К: В3 - 150
3К: Г7 +1000]]</f>
        <v>95324.381322187488</v>
      </c>
      <c r="BS154" s="9"/>
      <c r="BT154" s="93">
        <f>ППД5[[#This Row],[Фикс 08.04.24]]+ППД5[[#This Row],[Наценка 16.05.24 1%
А4,А6,Б3,Б6,Б7,В2,В3,В5,В6,Г1,Г3-Г5]]</f>
        <v>95324.381322187488</v>
      </c>
      <c r="BU154" s="93"/>
      <c r="BV154" s="93">
        <f>ППД5[[#This Row],[Фикс 16.05.24]]+ППД5[[#This Row],[Наценка 24.05.24
1% - Б4, Б5,Г2,Г6
2% - А1,А3,А5,Б2,Г7]]</f>
        <v>95324.381322187488</v>
      </c>
      <c r="BW154" s="93"/>
      <c r="BX154" s="93">
        <f>ППД5[[#This Row],[Наценка 06.06.24
0К: В2,Г3 +0,5%
1К: А7, Б5/4, Г6 +0,5%
3К: В6 +0,5%
1К: А3 +1%]]+ППД5[[#This Row],[Фикс 24.05.24]]</f>
        <v>95324.381322187488</v>
      </c>
      <c r="BY154" s="93"/>
      <c r="BZ154" s="93">
        <f>ППД5[[#This Row],[Фикс 06.06.24]]+ППД5[[#This Row],[13.06.2024
3К - 2%]]</f>
        <v>95324.381322187488</v>
      </c>
      <c r="CA154" s="93"/>
      <c r="CB154" s="93">
        <f>ППД5[[#This Row],[02.07.2024: Г3 А1 А3 Б5 Б7 Г2 Г6 Б3 Б4 В3 Г7 2,5% ост 0,5-1,5%]]+ППД5[[#This Row],[Фикс 13.06.24]]</f>
        <v>95324.381322187488</v>
      </c>
      <c r="CC154" s="93"/>
      <c r="CD154" s="93">
        <f>ППД5[[#This Row],[Фикс 02.07.24]]+ППД5[[#This Row],[04.09.2024 +500
0К - Б2; 1К - А3;
2К - А6, Б4, В3, Г5]]</f>
        <v>95324.381322187488</v>
      </c>
      <c r="CE154" s="93"/>
      <c r="CF154" s="93">
        <f>ППД5[[#This Row],[Наценка 16.09.2024
1К: А1,В7,Г6/7,Г8 - 2%
2К: А4,А5,А6,Б1,Б6,Б3/4,В3,В4,Г4,Г5 - 4%
3К: 4%]]+ППД5[[#This Row],[Фикс 04.09.24]]</f>
        <v>95324.381322187488</v>
      </c>
      <c r="CG154" s="93"/>
      <c r="CH154" s="93">
        <f>ППД5[[#This Row],[Фикс 16.09.2024]]+ППД5[[#This Row],[Наценка 01.11.24
СТ: 4%
1К: 34-40м 5%; 40м+ 8%; МГН 1%
2К: 55-70м 6%; 70-73м 7%; 73-76м 8% 
3К: 5%]]</f>
        <v>95324.381322187488</v>
      </c>
      <c r="CI154" s="93"/>
      <c r="CJ154" s="93">
        <f>ППД5[[#This Row],[Наценка 06.11 13%]]+ППД5[[#This Row],[Фикс 01.11.24]]</f>
        <v>95324.381322187488</v>
      </c>
      <c r="CK154" s="93"/>
      <c r="CL154" s="93">
        <f>ППД5[[#This Row],[Фикс 06.11.24]]+ППД5[[#This Row],[Наценка 18.12.24 распределение КВ]]</f>
        <v>95324.381322187488</v>
      </c>
      <c r="CM154" s="93"/>
      <c r="CN154" s="93">
        <f>ППД5[[#This Row],[Фикс 18.12.24]]+ППД5[[#This Row],[Наценка 10.02.25 +1%
1К: А3
2К: Б3, В3]]</f>
        <v>95324.381322187488</v>
      </c>
      <c r="CO154" s="93">
        <f>ROUND(ППД5[[#This Row],[Фикс 10.02.25]],2)</f>
        <v>95324.38</v>
      </c>
      <c r="CP15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4030314.79</v>
      </c>
      <c r="CQ154" s="93">
        <f>ROUNDUP(ППД5[[#This Row],[Стоимость до скидки]]+ППД5[[#This Row],[Сумма доплаты]],-2)</f>
        <v>4022700</v>
      </c>
      <c r="CR154" s="68"/>
      <c r="CS154" s="90"/>
      <c r="CT154" s="68">
        <f>ППД5[[#This Row],[Стоимость до скидки]]*ППД5[[#This Row],[Скидка %]]+ППД5[[#This Row],[Скидка фиксированная]]</f>
        <v>0</v>
      </c>
      <c r="CU154" s="3">
        <f>ППД5[[#This Row],[Стоимость ОН без отделки со скидкой]]/ППД5[[#This Row],[Расчетная проектная площадь]]</f>
        <v>95324.380085146637</v>
      </c>
      <c r="CV154" s="3">
        <f>ROUND(ППД5[[#This Row],[Стоимость до скидки]]-ППД5[[#This Row],[Итоговая сумма скидки]],2)</f>
        <v>4030314.79</v>
      </c>
      <c r="CW15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54" s="197"/>
      <c r="CY154" s="332">
        <f>ППД5[[#This Row],[Расхождение]]/ППД5[[#This Row],[Расчетная проектная площадь]]</f>
        <v>-1.8921475875119536E-3</v>
      </c>
      <c r="CZ15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-6.0000000000000497E-2</v>
      </c>
      <c r="DA154" s="3">
        <f>ППД5[[#This Row],[Цена м2 без отделки со скидкой]]+ППД5[[#This Row],[Стоимость отделки]]</f>
        <v>95324.380085146637</v>
      </c>
      <c r="DB154" s="3">
        <f>ППД5[[#This Row],[Стоимость квартиры с отделкой]]-ППД5[[#This Row],[Стоимость ОН без отделки со скидкой]]</f>
        <v>0</v>
      </c>
      <c r="DC154" s="3">
        <f>ППД5[[#This Row],[Цена м2 с отделкой]]*ППД5[[#This Row],[Расчетная проектная площадь]]</f>
        <v>4030314.79</v>
      </c>
      <c r="DD154" s="3"/>
      <c r="DF154" s="199" t="s">
        <v>172</v>
      </c>
      <c r="DG154" s="245" t="s">
        <v>172</v>
      </c>
      <c r="DH154" s="100" t="b">
        <f>EXACT(ППД5[[#This Row],[Статусы CRM]],ППД5[[#This Row],[Статус]])</f>
        <v>1</v>
      </c>
      <c r="DI154" s="213" t="s">
        <v>326</v>
      </c>
      <c r="DJ154" s="204"/>
      <c r="DK154" s="111" t="s">
        <v>76</v>
      </c>
      <c r="DL154" s="216" t="s">
        <v>12</v>
      </c>
      <c r="DM154" s="201" t="b">
        <f>ППД5[[#This Row],[Отделка CRM]]=ППД5[[#This Row],[Отделка]]</f>
        <v>1</v>
      </c>
      <c r="DN154" s="203">
        <v>4030314.79</v>
      </c>
      <c r="DO15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54" s="207" t="b">
        <f>IF(AND(ППД5[[#This Row],[Статус]]="свободно",ППД5[[#This Row],[Итоговая сумма скидки]]&lt;&gt;0),FALSE,TRUE)</f>
        <v>1</v>
      </c>
      <c r="DQ154" s="240">
        <f>_xlfn.XLOOKUP(ППД5[[#This Row],[№]],Юрист[№ кв],Юрист[Дата подачи на регистрацию]," ",0,-1)</f>
        <v>45199</v>
      </c>
      <c r="DR154" s="115" t="str">
        <f>_xlfn.XLOOKUP(ППД5[[#This Row],[№]],Юрист[№ кв],Юрист[МОП],"",0,-1)</f>
        <v>Никишов</v>
      </c>
      <c r="DS154" s="333" t="s">
        <v>2600</v>
      </c>
      <c r="DT154" s="333" t="s">
        <v>2601</v>
      </c>
      <c r="DU154" s="333">
        <v>40.9</v>
      </c>
      <c r="DV154" s="111"/>
    </row>
    <row r="155" spans="1:126" hidden="1" x14ac:dyDescent="0.25">
      <c r="A155" s="112">
        <v>153</v>
      </c>
      <c r="B155" s="111" t="s">
        <v>4</v>
      </c>
      <c r="C155" s="111">
        <v>7</v>
      </c>
      <c r="D155" s="338">
        <v>1</v>
      </c>
      <c r="E155" s="111">
        <v>2</v>
      </c>
      <c r="F155" s="105">
        <v>15.91</v>
      </c>
      <c r="G155" s="105">
        <v>12.02</v>
      </c>
      <c r="H155" s="105"/>
      <c r="I155" s="94">
        <f>SUM(ППД5[[#This Row],[Комната 1]:[Комната 3]])</f>
        <v>27.93</v>
      </c>
      <c r="J155" s="105">
        <v>15.31</v>
      </c>
      <c r="K155" s="105">
        <v>3.85</v>
      </c>
      <c r="L155" s="105">
        <v>2.2999999999999998</v>
      </c>
      <c r="M155" s="105"/>
      <c r="N155" s="105">
        <v>9.4499999999999993</v>
      </c>
      <c r="O155" s="105">
        <v>2.75</v>
      </c>
      <c r="P155" s="105"/>
      <c r="Q155" s="105"/>
      <c r="R155" s="105">
        <f>SUM(ППД5[[#This Row],[Лоджия 1]:[Лоджия 3]])</f>
        <v>2.75</v>
      </c>
      <c r="S155" s="8">
        <f>ROUND(SUM(ППД5[[#This Row],[Площадь по проекту жилая]:[Лоджия 3]]),2)</f>
        <v>61.59</v>
      </c>
      <c r="T155" s="8">
        <f>ROUND(ППД5[[#This Row],[Площадь по проекту(общая)]]-ППД5[[#This Row],[Летние]],2)</f>
        <v>58.84</v>
      </c>
      <c r="U155" s="91">
        <f>ROUND(ППД5[[#This Row],[Площадь по проекту(общая)]]-(SUM(ППД5[[#This Row],[Лоджия 1]:[Лоджия 3]])/2),2)</f>
        <v>60.22</v>
      </c>
      <c r="V155" s="91">
        <f>IF(ППД5[[#This Row],[Статус]]="продажа",ППД5[[#This Row],[Расчетная проектная площадь]],ППД5[[#This Row],[Расчетная ТП площадь]])</f>
        <v>60.22</v>
      </c>
      <c r="W155" s="91">
        <v>15.8</v>
      </c>
      <c r="X155" s="91">
        <v>12</v>
      </c>
      <c r="Y155" s="91"/>
      <c r="Z155" s="91">
        <f>SUM(ППД5[[#This Row],[ТП Комната 1]:[ТП Комната 3]])</f>
        <v>27.8</v>
      </c>
      <c r="AA155" s="91">
        <v>15.1</v>
      </c>
      <c r="AB155" s="91">
        <v>3.8</v>
      </c>
      <c r="AC155" s="91">
        <v>2.2999999999999998</v>
      </c>
      <c r="AD155" s="91"/>
      <c r="AE155" s="91">
        <v>9.6999999999999993</v>
      </c>
      <c r="AF155" s="91">
        <v>1.4</v>
      </c>
      <c r="AG155" s="91"/>
      <c r="AH155" s="91"/>
      <c r="AI155" s="91">
        <f>SUM(ППД5[[#This Row],[ТП Лоджия 1]:[ТП Лоджия 3]])</f>
        <v>1.4</v>
      </c>
      <c r="AJ155" s="95">
        <v>2.8</v>
      </c>
      <c r="AK155" s="91">
        <f>SUM(ППД5[[#This Row],[Площадь по ТП жилая]:[ТП Лоджия 3]])-ППД5[[#This Row],[ТП Летние]]+ППД5[[#This Row],[кроме того прочая
(без коэффициента)]]</f>
        <v>61.499999999999986</v>
      </c>
      <c r="AL155" s="95">
        <f>ППД5[[#This Row],[ТП Площадь без летних]]+(ППД5[[#This Row],[ТП Летние]])</f>
        <v>60.099999999999987</v>
      </c>
      <c r="AM155" s="91">
        <f>ППД5[[#This Row],[ТП общая S]]-ППД5[[#This Row],[кроме того прочая
(без коэффициента)]]</f>
        <v>58.699999999999989</v>
      </c>
      <c r="AN155" s="95">
        <f>SUM(ППД5[[#This Row],[ТП Кухня]:[ТП Коридор]])</f>
        <v>30.9</v>
      </c>
      <c r="AO155" s="91">
        <f>ППД5[[#This Row],[Расчетная ТП площадь]]-ППД5[[#This Row],[Расчетная проектная площадь]]</f>
        <v>-0.12000000000001165</v>
      </c>
      <c r="AP155" s="335">
        <f>ППД5[[#This Row],[Расчетная ТП площадь]]/ППД5[[#This Row],[Расчетная проектная площадь]]-1</f>
        <v>-1.9926934573233357E-3</v>
      </c>
      <c r="AQ155" s="91">
        <f>ППД5[[#This Row],[% расхождения]]*ППД5[[#This Row],[Стоимость до скидки]]</f>
        <v>-11053.072069081078</v>
      </c>
      <c r="AR155" s="91">
        <f>VLOOKUP(ППД5[[#This Row],[№]],наценкад5[],COLUMN(наценкад5[[#This Row],[Цена м2 с учетом всех K]]),0)</f>
        <v>80307.864000000001</v>
      </c>
      <c r="AS155" s="8">
        <f>ППД5[[#This Row],[м2 после К]]*5%</f>
        <v>4015.3932000000004</v>
      </c>
      <c r="AT155" s="8">
        <f>ППД5[[#This Row],[м2 после К]]+ППД5[[#This Row],[Повышение 16.08.23 - 5%]]</f>
        <v>84323.257200000007</v>
      </c>
      <c r="AU155" s="93">
        <f>ППД5[[#This Row],[Фикс 16.08.23]]*3%</f>
        <v>2529.6977160000001</v>
      </c>
      <c r="AV155" s="93">
        <f>ППД5[[#This Row],[Фикс 16.08.23]]+ППД5[[#This Row],[Повышение 29.08.23 - 3%]]</f>
        <v>86852.954916000002</v>
      </c>
      <c r="AW155" s="93"/>
      <c r="AX155" s="93">
        <f>ППД5[[#This Row],[Фикс 29.08.23]]+ППД5[[#This Row],[Повышение 06.09.23 СТ и 1К]]</f>
        <v>86852.954916000002</v>
      </c>
      <c r="AY155" s="93"/>
      <c r="AZ155" s="93">
        <f>ППД5[[#This Row],[Повышение 23.10.23  В4 ]]+ППД5[[#This Row],[Фикс 06.09.23]]</f>
        <v>86852.954916000002</v>
      </c>
      <c r="BA155" s="93"/>
      <c r="BB155" s="93">
        <f>ППД5[[#This Row],[Повышение 8.11.23 1К 5%]]+ППД5[[#This Row],[Фикс 23.10.23]]</f>
        <v>86852.954916000002</v>
      </c>
      <c r="BC155" s="93"/>
      <c r="BD155" s="93">
        <f>ППД5[[#This Row],[Корректировка 24.11.23 - 1К В5, 2К А2, №233]]+ППД5[[#This Row],[Фикс 8.11.23]]</f>
        <v>86852.954916000002</v>
      </c>
      <c r="BE155" s="93">
        <f>ППД5[[#This Row],[Фикс 8.11.24]]*1%</f>
        <v>868.52954915999999</v>
      </c>
      <c r="BF155" s="93">
        <f>ППД5[[#This Row],[Наценка за отделку 29.12.23 1%]]+ППД5[[#This Row],[Фикс 8.11.24]]</f>
        <v>87721.48446516</v>
      </c>
      <c r="BG155" s="93">
        <f>ППД5[[#This Row],[Фикс 29.12.23]]*5%</f>
        <v>4386.0742232580005</v>
      </c>
      <c r="BH155" s="93">
        <f>ППД5[[#This Row],[Фикс 29.12.23]]+ППД5[[#This Row],[Наценка 10.01.24 5%]]</f>
        <v>92107.558688417994</v>
      </c>
      <c r="BI155" s="93"/>
      <c r="BJ155" s="93">
        <f>ППД5[[#This Row],[Наценка 26.02.24 1 Этаж]]+ППД5[[#This Row],[Фикс 10.01.24]]</f>
        <v>92107.558688417994</v>
      </c>
      <c r="BK155" s="93"/>
      <c r="BL155" s="93">
        <f>ППД5[[#This Row],[Фикс 26.02.24]]+ППД5[[#This Row],[Наценка 06.03.24
СТ, 1К - 3%
2К, 3К - 2%]]</f>
        <v>92107.558688417994</v>
      </c>
      <c r="BM155" s="93"/>
      <c r="BN155" s="93">
        <f>ППД5[[#This Row],[Фикс 06.03.24]]+ППД5[[#This Row],[Наценка Г2+500]]</f>
        <v>92107.558688417994</v>
      </c>
      <c r="BO155" s="93"/>
      <c r="BP155" s="93">
        <f>ППД5[[#This Row],[Фикс 13.03.25]]+ППД5[[#This Row],[Наценка 20.03.24
2К, 3К - 2%]]</f>
        <v>92107.558688417994</v>
      </c>
      <c r="BQ155" s="93"/>
      <c r="BR155" s="93">
        <f>ППД5[[#This Row],[Фикс 20.03.24]]+ППД5[[#This Row],[Наценка 08.04.24 
2К: В3 - 150
3К: Г7 +1000]]</f>
        <v>92107.558688417994</v>
      </c>
      <c r="BS155" s="93"/>
      <c r="BT155" s="93">
        <f>ППД5[[#This Row],[Фикс 08.04.24]]+ППД5[[#This Row],[Наценка 16.05.24 1%
А4,А6,Б3,Б6,Б7,В2,В3,В5,В6,Г1,Г3-Г5]]</f>
        <v>92107.558688417994</v>
      </c>
      <c r="BU155" s="93"/>
      <c r="BV155" s="93">
        <f>ППД5[[#This Row],[Фикс 16.05.24]]+ППД5[[#This Row],[Наценка 24.05.24
1% - Б4, Б5,Г2,Г6
2% - А1,А3,А5,Б2,Г7]]</f>
        <v>92107.558688417994</v>
      </c>
      <c r="BW155" s="93"/>
      <c r="BX155" s="93">
        <f>ППД5[[#This Row],[Наценка 06.06.24
0К: В2,Г3 +0,5%
1К: А7, Б5/4, Г6 +0,5%
3К: В6 +0,5%
1К: А3 +1%]]+ППД5[[#This Row],[Фикс 24.05.24]]</f>
        <v>92107.558688417994</v>
      </c>
      <c r="BY155" s="93"/>
      <c r="BZ155" s="93">
        <f>ППД5[[#This Row],[Фикс 06.06.24]]+ППД5[[#This Row],[13.06.2024
3К - 2%]]</f>
        <v>92107.558688417994</v>
      </c>
      <c r="CA155" s="93"/>
      <c r="CB155" s="93">
        <f>ППД5[[#This Row],[02.07.2024: Г3 А1 А3 Б5 Б7 Г2 Г6 Б3 Б4 В3 Г7 2,5% ост 0,5-1,5%]]+ППД5[[#This Row],[Фикс 13.06.24]]</f>
        <v>92107.558688417994</v>
      </c>
      <c r="CC155" s="93"/>
      <c r="CD155" s="93">
        <f>ППД5[[#This Row],[Фикс 02.07.24]]+ППД5[[#This Row],[04.09.2024 +500
0К - Б2; 1К - А3;
2К - А6, Б4, В3, Г5]]</f>
        <v>92107.558688417994</v>
      </c>
      <c r="CE155" s="93"/>
      <c r="CF155" s="93">
        <f>ППД5[[#This Row],[Наценка 16.09.2024
1К: А1,В7,Г6/7,Г8 - 2%
2К: А4,А5,А6,Б1,Б6,Б3/4,В3,В4,Г4,Г5 - 4%
3К: 4%]]+ППД5[[#This Row],[Фикс 04.09.24]]</f>
        <v>92107.558688417994</v>
      </c>
      <c r="CG155" s="93"/>
      <c r="CH155" s="93">
        <f>ППД5[[#This Row],[Фикс 16.09.2024]]+ППД5[[#This Row],[Наценка 01.11.24
СТ: 4%
1К: 34-40м 5%; 40м+ 8%; МГН 1%
2К: 55-70м 6%; 70-73м 7%; 73-76м 8% 
3К: 5%]]</f>
        <v>92107.558688417994</v>
      </c>
      <c r="CI155" s="93"/>
      <c r="CJ155" s="93">
        <f>ППД5[[#This Row],[Наценка 06.11 13%]]+ППД5[[#This Row],[Фикс 01.11.24]]</f>
        <v>92107.558688417994</v>
      </c>
      <c r="CK155" s="93"/>
      <c r="CL155" s="93">
        <f>ППД5[[#This Row],[Фикс 06.11.24]]+ППД5[[#This Row],[Наценка 18.12.24 распределение КВ]]</f>
        <v>92107.558688417994</v>
      </c>
      <c r="CM155" s="93"/>
      <c r="CN155" s="93">
        <f>ППД5[[#This Row],[Фикс 18.12.24]]+ППД5[[#This Row],[Наценка 10.02.25 +1%
1К: А3
2К: Б3, В3]]</f>
        <v>92107.558688417994</v>
      </c>
      <c r="CO155" s="93">
        <f>ROUND(ППД5[[#This Row],[Фикс 10.02.25]],2)</f>
        <v>92107.56</v>
      </c>
      <c r="CP15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5546800</v>
      </c>
      <c r="CQ155" s="93">
        <f>ROUNDUP(ППД5[[#This Row],[Стоимость до скидки]]+ППД5[[#This Row],[Сумма доплаты]],-2)</f>
        <v>5535800</v>
      </c>
      <c r="CR155" s="68"/>
      <c r="CS155" s="90">
        <v>0.03</v>
      </c>
      <c r="CT155" s="68">
        <f>ППД5[[#This Row],[Стоимость до скидки]]*ППД5[[#This Row],[Скидка %]]+ППД5[[#This Row],[Скидка фиксированная]]</f>
        <v>166404</v>
      </c>
      <c r="CU155" s="3">
        <f>ППД5[[#This Row],[Стоимость ОН без отделки со скидкой]]/ППД5[[#This Row],[Расчетная проектная площадь]]</f>
        <v>89345.665891730328</v>
      </c>
      <c r="CV155" s="3">
        <f>ROUND(ППД5[[#This Row],[Стоимость до скидки]]-ППД5[[#This Row],[Итоговая сумма скидки]],2)</f>
        <v>5380396</v>
      </c>
      <c r="CW15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155" s="197">
        <v>20000</v>
      </c>
      <c r="CY155" s="332">
        <f>ППД5[[#This Row],[Расхождение]]/ППД5[[#This Row],[Расчетная проектная площадь]]</f>
        <v>-1.9926934573233422E-3</v>
      </c>
      <c r="CZ15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-1.0000000000001563E-2</v>
      </c>
      <c r="DA155" s="3">
        <f>ППД5[[#This Row],[Цена м2 без отделки со скидкой]]+ППД5[[#This Row],[Стоимость отделки]]</f>
        <v>109345.66589173033</v>
      </c>
      <c r="DB155" s="3">
        <f>ППД5[[#This Row],[Стоимость квартиры с отделкой]]-ППД5[[#This Row],[Стоимость ОН без отделки со скидкой]]</f>
        <v>1204400</v>
      </c>
      <c r="DC155" s="3">
        <f>ППД5[[#This Row],[Цена м2 с отделкой]]*ППД5[[#This Row],[Расчетная проектная площадь]]</f>
        <v>6584796</v>
      </c>
      <c r="DD155" s="3"/>
      <c r="DE155" s="111" t="s">
        <v>162</v>
      </c>
      <c r="DF155" s="199" t="s">
        <v>172</v>
      </c>
      <c r="DG155" s="245" t="s">
        <v>172</v>
      </c>
      <c r="DH155" s="100" t="b">
        <f>EXACT(ППД5[[#This Row],[Статусы CRM]],ППД5[[#This Row],[Статус]])</f>
        <v>1</v>
      </c>
      <c r="DI155" s="213" t="s">
        <v>327</v>
      </c>
      <c r="DJ155" s="204"/>
      <c r="DK155" s="111" t="s">
        <v>763</v>
      </c>
      <c r="DL155" s="216" t="s">
        <v>14</v>
      </c>
      <c r="DM155" s="201" t="b">
        <f>ППД5[[#This Row],[Отделка CRM]]=ППД5[[#This Row],[Отделка]]</f>
        <v>1</v>
      </c>
      <c r="DN155" s="203">
        <v>6584796</v>
      </c>
      <c r="DO15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55" s="207" t="b">
        <f>IF(AND(ППД5[[#This Row],[Статус]]="свободно",ППД5[[#This Row],[Итоговая сумма скидки]]&lt;&gt;0),FALSE,TRUE)</f>
        <v>1</v>
      </c>
      <c r="DQ155" s="240">
        <f>_xlfn.XLOOKUP(ППД5[[#This Row],[№]],Юрист[№ кв],Юрист[Дата подачи на регистрацию]," ",0,-1)</f>
        <v>45351</v>
      </c>
      <c r="DR155" s="115" t="str">
        <f>_xlfn.XLOOKUP(ППД5[[#This Row],[№]],Юрист[№ кв],Юрист[МОП],"",0,-1)</f>
        <v>Дик</v>
      </c>
      <c r="DS155" s="333" t="s">
        <v>2602</v>
      </c>
      <c r="DT155" s="333" t="s">
        <v>2603</v>
      </c>
      <c r="DU155" s="333">
        <v>58.7</v>
      </c>
      <c r="DV155" s="111"/>
    </row>
    <row r="156" spans="1:126" hidden="1" x14ac:dyDescent="0.25">
      <c r="A156" s="112">
        <v>154</v>
      </c>
      <c r="B156" s="111" t="s">
        <v>4</v>
      </c>
      <c r="C156" s="111">
        <v>7</v>
      </c>
      <c r="D156" s="111">
        <v>2</v>
      </c>
      <c r="E156" s="111">
        <v>0</v>
      </c>
      <c r="F156" s="105">
        <v>7.13</v>
      </c>
      <c r="G156" s="105"/>
      <c r="H156" s="105"/>
      <c r="I156" s="105">
        <f>SUM(ППД5[[#This Row],[Комната 1]:[Комната 3]])</f>
        <v>7.13</v>
      </c>
      <c r="J156" s="105">
        <v>5.12</v>
      </c>
      <c r="K156" s="105">
        <v>3.65</v>
      </c>
      <c r="L156" s="105"/>
      <c r="M156" s="105"/>
      <c r="N156" s="105">
        <v>6.92</v>
      </c>
      <c r="O156" s="105">
        <v>2.91</v>
      </c>
      <c r="P156" s="105"/>
      <c r="Q156" s="105"/>
      <c r="R156" s="105">
        <f>SUM(ППД5[[#This Row],[Лоджия 1]:[Лоджия 3]])</f>
        <v>2.91</v>
      </c>
      <c r="S156" s="113">
        <f>ROUND(SUM(ППД5[[#This Row],[Площадь по проекту жилая]:[Лоджия 3]]),2)</f>
        <v>25.73</v>
      </c>
      <c r="T156" s="113">
        <f>ROUND(ППД5[[#This Row],[Площадь по проекту(общая)]]-ППД5[[#This Row],[Летние]],2)</f>
        <v>22.82</v>
      </c>
      <c r="U156" s="205">
        <f>ROUND(ППД5[[#This Row],[Площадь по проекту(общая)]]-(SUM(ППД5[[#This Row],[Лоджия 1]:[Лоджия 3]])/2),2)</f>
        <v>24.28</v>
      </c>
      <c r="V156" s="205">
        <f>IF(ППД5[[#This Row],[Статус]]="продажа",ППД5[[#This Row],[Расчетная проектная площадь]],ППД5[[#This Row],[Расчетная ТП площадь]])</f>
        <v>24.28</v>
      </c>
      <c r="W156" s="205">
        <v>7.1</v>
      </c>
      <c r="X156" s="205"/>
      <c r="Y156" s="205"/>
      <c r="Z156" s="205">
        <f>SUM(ППД5[[#This Row],[ТП Комната 1]:[ТП Комната 3]])</f>
        <v>7.1</v>
      </c>
      <c r="AA156" s="205">
        <v>5.2</v>
      </c>
      <c r="AB156" s="205">
        <v>3.5</v>
      </c>
      <c r="AC156" s="205"/>
      <c r="AD156" s="205"/>
      <c r="AE156" s="205">
        <v>7</v>
      </c>
      <c r="AF156" s="205">
        <v>1.5</v>
      </c>
      <c r="AG156" s="205"/>
      <c r="AH156" s="205"/>
      <c r="AI156" s="91">
        <f>SUM(ППД5[[#This Row],[ТП Лоджия 1]:[ТП Лоджия 3]])</f>
        <v>1.5</v>
      </c>
      <c r="AJ156" s="95">
        <v>3</v>
      </c>
      <c r="AK156" s="205">
        <f>SUM(ППД5[[#This Row],[Площадь по ТП жилая]:[ТП Лоджия 3]])-ППД5[[#This Row],[ТП Летние]]+ППД5[[#This Row],[кроме того прочая
(без коэффициента)]]</f>
        <v>25.8</v>
      </c>
      <c r="AL156" s="95">
        <f>ППД5[[#This Row],[ТП Площадь без летних]]+(ППД5[[#This Row],[ТП Летние]])</f>
        <v>24.3</v>
      </c>
      <c r="AM156" s="205">
        <f>ППД5[[#This Row],[ТП общая S]]-ППД5[[#This Row],[кроме того прочая
(без коэффициента)]]</f>
        <v>22.8</v>
      </c>
      <c r="AN156" s="95">
        <f>SUM(ППД5[[#This Row],[ТП Кухня]:[ТП Коридор]])</f>
        <v>15.7</v>
      </c>
      <c r="AO156" s="91">
        <f>ППД5[[#This Row],[Расчетная ТП площадь]]-ППД5[[#This Row],[Расчетная проектная площадь]]</f>
        <v>1.9999999999999574E-2</v>
      </c>
      <c r="AP156" s="335">
        <f>ППД5[[#This Row],[Расчетная ТП площадь]]/ППД5[[#This Row],[Расчетная проектная площадь]]-1</f>
        <v>8.2372322899493255E-4</v>
      </c>
      <c r="AQ156" s="205">
        <f>ППД5[[#This Row],[% расхождения]]*ППД5[[#This Row],[Стоимость до скидки]]</f>
        <v>2244.4148023060839</v>
      </c>
      <c r="AR156" s="205">
        <f>VLOOKUP(ППД5[[#This Row],[№]],наценкад5[],COLUMN(наценкад5[[#This Row],[Цена м2 с учетом всех K]]),0)</f>
        <v>90229.544999999998</v>
      </c>
      <c r="AS156" s="113">
        <f>ППД5[[#This Row],[м2 после К]]*5%</f>
        <v>4511.4772499999999</v>
      </c>
      <c r="AT156" s="113">
        <f>ППД5[[#This Row],[м2 после К]]+ППД5[[#This Row],[Повышение 16.08.23 - 5%]]</f>
        <v>94741.022249999995</v>
      </c>
      <c r="AU156" s="47">
        <f>ППД5[[#This Row],[Фикс 16.08.23]]*3%</f>
        <v>2842.2306674999995</v>
      </c>
      <c r="AV156" s="47">
        <f>ППД5[[#This Row],[Фикс 16.08.23]]+ППД5[[#This Row],[Повышение 29.08.23 - 3%]]</f>
        <v>97583.252917499995</v>
      </c>
      <c r="AW156" s="47">
        <f>ППД5[[#This Row],[Фикс 29.08.23]]*15%</f>
        <v>14637.487937624999</v>
      </c>
      <c r="AX156" s="47">
        <f>ППД5[[#This Row],[Фикс 29.08.23]]+ППД5[[#This Row],[Повышение 06.09.23 СТ и 1К]]</f>
        <v>112220.740855125</v>
      </c>
      <c r="AY156" s="47"/>
      <c r="AZ156" s="47">
        <f>ППД5[[#This Row],[Повышение 23.10.23  В4 ]]+ППД5[[#This Row],[Фикс 06.09.23]]</f>
        <v>112220.740855125</v>
      </c>
      <c r="BA156" s="47"/>
      <c r="BB156" s="47">
        <f>ППД5[[#This Row],[Повышение 8.11.23 1К 5%]]+ППД5[[#This Row],[Фикс 23.10.23]]</f>
        <v>112220.740855125</v>
      </c>
      <c r="BC156" s="47"/>
      <c r="BD156" s="47">
        <f>ППД5[[#This Row],[Корректировка 24.11.23 - 1К В5, 2К А2, №233]]+ППД5[[#This Row],[Фикс 8.11.23]]</f>
        <v>112220.740855125</v>
      </c>
      <c r="BE156" s="47"/>
      <c r="BF156" s="47">
        <f>ППД5[[#This Row],[Наценка за отделку 29.12.23 1%]]+ППД5[[#This Row],[Фикс 8.11.24]]</f>
        <v>112220.740855125</v>
      </c>
      <c r="BG156" s="47"/>
      <c r="BH156" s="47">
        <f>ППД5[[#This Row],[Фикс 29.12.23]]+ППД5[[#This Row],[Наценка 10.01.24 5%]]</f>
        <v>112220.740855125</v>
      </c>
      <c r="BI156" s="47"/>
      <c r="BJ156" s="47">
        <f>ППД5[[#This Row],[Наценка 26.02.24 1 Этаж]]+ППД5[[#This Row],[Фикс 10.01.24]]</f>
        <v>112220.740855125</v>
      </c>
      <c r="BK156" s="47"/>
      <c r="BL156" s="47">
        <f>ППД5[[#This Row],[Фикс 26.02.24]]+ППД5[[#This Row],[Наценка 06.03.24
СТ, 1К - 3%
2К, 3К - 2%]]</f>
        <v>112220.740855125</v>
      </c>
      <c r="BM156" s="47"/>
      <c r="BN156" s="47">
        <f>ППД5[[#This Row],[Фикс 06.03.24]]+ППД5[[#This Row],[Наценка Г2+500]]</f>
        <v>112220.740855125</v>
      </c>
      <c r="BO156" s="47"/>
      <c r="BP156" s="47">
        <f>ППД5[[#This Row],[Фикс 13.03.25]]+ППД5[[#This Row],[Наценка 20.03.24
2К, 3К - 2%]]</f>
        <v>112220.740855125</v>
      </c>
      <c r="BQ156" s="47"/>
      <c r="BR156" s="47">
        <f>ППД5[[#This Row],[Фикс 20.03.24]]+ППД5[[#This Row],[Наценка 08.04.24 
2К: В3 - 150
3К: Г7 +1000]]</f>
        <v>112220.740855125</v>
      </c>
      <c r="BS156" s="47"/>
      <c r="BT156" s="47">
        <f>ППД5[[#This Row],[Фикс 08.04.24]]+ППД5[[#This Row],[Наценка 16.05.24 1%
А4,А6,Б3,Б6,Б7,В2,В3,В5,В6,Г1,Г3-Г5]]</f>
        <v>112220.740855125</v>
      </c>
      <c r="BU156" s="47"/>
      <c r="BV156" s="47">
        <f>ППД5[[#This Row],[Фикс 16.05.24]]+ППД5[[#This Row],[Наценка 24.05.24
1% - Б4, Б5,Г2,Г6
2% - А1,А3,А5,Б2,Г7]]</f>
        <v>112220.740855125</v>
      </c>
      <c r="BW156" s="47"/>
      <c r="BX156" s="47">
        <f>ППД5[[#This Row],[Наценка 06.06.24
0К: В2,Г3 +0,5%
1К: А7, Б5/4, Г6 +0,5%
3К: В6 +0,5%
1К: А3 +1%]]+ППД5[[#This Row],[Фикс 24.05.24]]</f>
        <v>112220.740855125</v>
      </c>
      <c r="BY156" s="47"/>
      <c r="BZ156" s="47">
        <f>ППД5[[#This Row],[Фикс 06.06.24]]+ППД5[[#This Row],[13.06.2024
3К - 2%]]</f>
        <v>112220.740855125</v>
      </c>
      <c r="CA156" s="47"/>
      <c r="CB156" s="47">
        <f>ППД5[[#This Row],[02.07.2024: Г3 А1 А3 Б5 Б7 Г2 Г6 Б3 Б4 В3 Г7 2,5% ост 0,5-1,5%]]+ППД5[[#This Row],[Фикс 13.06.24]]</f>
        <v>112220.740855125</v>
      </c>
      <c r="CC156" s="47"/>
      <c r="CD156" s="47">
        <f>ППД5[[#This Row],[Фикс 02.07.24]]+ППД5[[#This Row],[04.09.2024 +500
0К - Б2; 1К - А3;
2К - А6, Б4, В3, Г5]]</f>
        <v>112220.740855125</v>
      </c>
      <c r="CE156" s="47"/>
      <c r="CF156" s="47">
        <f>ППД5[[#This Row],[Наценка 16.09.2024
1К: А1,В7,Г6/7,Г8 - 2%
2К: А4,А5,А6,Б1,Б6,Б3/4,В3,В4,Г4,Г5 - 4%
3К: 4%]]+ППД5[[#This Row],[Фикс 04.09.24]]</f>
        <v>112220.740855125</v>
      </c>
      <c r="CG156" s="47"/>
      <c r="CH156" s="47">
        <f>ППД5[[#This Row],[Фикс 16.09.2024]]+ППД5[[#This Row],[Наценка 01.11.24
СТ: 4%
1К: 34-40м 5%; 40м+ 8%; МГН 1%
2К: 55-70м 6%; 70-73м 7%; 73-76м 8% 
3К: 5%]]</f>
        <v>112220.740855125</v>
      </c>
      <c r="CI156" s="47"/>
      <c r="CJ156" s="47">
        <f>ППД5[[#This Row],[Наценка 06.11 13%]]+ППД5[[#This Row],[Фикс 01.11.24]]</f>
        <v>112220.740855125</v>
      </c>
      <c r="CK156" s="47"/>
      <c r="CL156" s="47">
        <f>ППД5[[#This Row],[Фикс 06.11.24]]+ППД5[[#This Row],[Наценка 18.12.24 распределение КВ]]</f>
        <v>112220.740855125</v>
      </c>
      <c r="CM156" s="47"/>
      <c r="CN156" s="47">
        <f>ППД5[[#This Row],[Фикс 18.12.24]]+ППД5[[#This Row],[Наценка 10.02.25 +1%
1К: А3
2К: Б3, В3]]</f>
        <v>112220.740855125</v>
      </c>
      <c r="CO156" s="47">
        <f>ROUND(ППД5[[#This Row],[Фикс 10.02.25]],2)</f>
        <v>112220.74</v>
      </c>
      <c r="CP156" s="47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2724719.57</v>
      </c>
      <c r="CQ156" s="47">
        <f>ROUNDUP(ППД5[[#This Row],[Стоимость до скидки]]+ППД5[[#This Row],[Сумма доплаты]],-2)</f>
        <v>2727000</v>
      </c>
      <c r="CR156" s="3"/>
      <c r="CS156" s="206">
        <v>0.03</v>
      </c>
      <c r="CT156" s="3">
        <f>ППД5[[#This Row],[Стоимость до скидки]]*ППД5[[#This Row],[Скидка %]]+ППД5[[#This Row],[Скидка фиксированная]]</f>
        <v>81741.58709999999</v>
      </c>
      <c r="CU156" s="3">
        <f>ППД5[[#This Row],[Стоимость ОН без отделки со скидкой]]/ППД5[[#This Row],[Расчетная проектная площадь]]</f>
        <v>108854.11779242173</v>
      </c>
      <c r="CV156" s="3">
        <f>ROUND(ППД5[[#This Row],[Стоимость до скидки]]-ППД5[[#This Row],[Итоговая сумма скидки]],2)</f>
        <v>2642977.98</v>
      </c>
      <c r="CW15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56" s="197"/>
      <c r="CY156" s="332">
        <f>ППД5[[#This Row],[Расхождение]]/ППД5[[#This Row],[Расчетная проектная площадь]]</f>
        <v>8.2372322899504011E-4</v>
      </c>
      <c r="CZ15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9.9999999999988987E-3</v>
      </c>
      <c r="DA156" s="3">
        <f>ППД5[[#This Row],[Цена м2 без отделки со скидкой]]+ППД5[[#This Row],[Стоимость отделки]]</f>
        <v>108854.11779242173</v>
      </c>
      <c r="DB156" s="3">
        <f>ППД5[[#This Row],[Стоимость квартиры с отделкой]]-ППД5[[#This Row],[Стоимость ОН без отделки со скидкой]]</f>
        <v>0</v>
      </c>
      <c r="DC156" s="3">
        <f>ППД5[[#This Row],[Цена м2 с отделкой]]*ППД5[[#This Row],[Расчетная проектная площадь]]</f>
        <v>2642977.98</v>
      </c>
      <c r="DD156" s="3"/>
      <c r="DE156" s="111" t="s">
        <v>160</v>
      </c>
      <c r="DF156" s="199" t="s">
        <v>172</v>
      </c>
      <c r="DG156" s="245" t="s">
        <v>172</v>
      </c>
      <c r="DH156" s="100" t="b">
        <f>EXACT(ППД5[[#This Row],[Статусы CRM]],ППД5[[#This Row],[Статус]])</f>
        <v>1</v>
      </c>
      <c r="DI156" s="111" t="s">
        <v>328</v>
      </c>
      <c r="DJ156" s="204"/>
      <c r="DK156" s="111" t="s">
        <v>76</v>
      </c>
      <c r="DL156" s="216" t="s">
        <v>12</v>
      </c>
      <c r="DM156" s="111" t="b">
        <f>ППД5[[#This Row],[Отделка CRM]]=ППД5[[#This Row],[Отделка]]</f>
        <v>1</v>
      </c>
      <c r="DN156" s="204">
        <v>2642977.98</v>
      </c>
      <c r="DO156" s="204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56" s="207" t="b">
        <f>IF(AND(ППД5[[#This Row],[Статус]]="свободно",ППД5[[#This Row],[Итоговая сумма скидки]]&lt;&gt;0),FALSE,TRUE)</f>
        <v>1</v>
      </c>
      <c r="DQ156" s="240">
        <f>_xlfn.XLOOKUP(ППД5[[#This Row],[№]],Юрист[№ кв],Юрист[Дата подачи на регистрацию]," ",0,-1)</f>
        <v>45230</v>
      </c>
      <c r="DR156" s="115" t="str">
        <f>_xlfn.XLOOKUP(ППД5[[#This Row],[№]],Юрист[№ кв],Юрист[МОП],"",0,-1)</f>
        <v>Координатор</v>
      </c>
      <c r="DS156" s="333" t="s">
        <v>2604</v>
      </c>
      <c r="DT156" s="333" t="s">
        <v>2605</v>
      </c>
      <c r="DU156" s="333">
        <v>22.8</v>
      </c>
      <c r="DV156" s="111"/>
    </row>
    <row r="157" spans="1:126" hidden="1" x14ac:dyDescent="0.25">
      <c r="A157" s="112">
        <v>155</v>
      </c>
      <c r="B157" s="111" t="s">
        <v>4</v>
      </c>
      <c r="C157" s="111">
        <v>7</v>
      </c>
      <c r="D157" s="111">
        <v>3</v>
      </c>
      <c r="E157" s="111">
        <v>2</v>
      </c>
      <c r="F157" s="105">
        <v>14.6</v>
      </c>
      <c r="G157" s="105">
        <v>13.12</v>
      </c>
      <c r="H157" s="105"/>
      <c r="I157" s="94">
        <f>SUM(ППД5[[#This Row],[Комната 1]:[Комната 3]])</f>
        <v>27.72</v>
      </c>
      <c r="J157" s="105">
        <v>14.35</v>
      </c>
      <c r="K157" s="105">
        <v>3.68</v>
      </c>
      <c r="L157" s="105">
        <v>2.57</v>
      </c>
      <c r="M157" s="105"/>
      <c r="N157" s="105">
        <v>7.95</v>
      </c>
      <c r="O157" s="105">
        <v>2.65</v>
      </c>
      <c r="P157" s="105"/>
      <c r="Q157" s="105"/>
      <c r="R157" s="105">
        <f>SUM(ППД5[[#This Row],[Лоджия 1]:[Лоджия 3]])</f>
        <v>2.65</v>
      </c>
      <c r="S157" s="8">
        <f>ROUND(SUM(ППД5[[#This Row],[Площадь по проекту жилая]:[Лоджия 3]]),2)</f>
        <v>58.92</v>
      </c>
      <c r="T157" s="8">
        <f>ROUND(ППД5[[#This Row],[Площадь по проекту(общая)]]-ППД5[[#This Row],[Летние]],2)</f>
        <v>56.27</v>
      </c>
      <c r="U157" s="91">
        <f>ROUND(ППД5[[#This Row],[Площадь по проекту(общая)]]-(SUM(ППД5[[#This Row],[Лоджия 1]:[Лоджия 3]])/2),2)</f>
        <v>57.6</v>
      </c>
      <c r="V157" s="91">
        <f>IF(ППД5[[#This Row],[Статус]]="продажа",ППД5[[#This Row],[Расчетная проектная площадь]],ППД5[[#This Row],[Расчетная ТП площадь]])</f>
        <v>57.6</v>
      </c>
      <c r="W157" s="91">
        <v>13</v>
      </c>
      <c r="X157" s="91">
        <v>14.6</v>
      </c>
      <c r="Y157" s="91"/>
      <c r="Z157" s="91">
        <f>SUM(ППД5[[#This Row],[ТП Комната 1]:[ТП Комната 3]])</f>
        <v>27.6</v>
      </c>
      <c r="AA157" s="91">
        <v>14.4</v>
      </c>
      <c r="AB157" s="91">
        <v>2.7</v>
      </c>
      <c r="AC157" s="91">
        <v>3.9</v>
      </c>
      <c r="AD157" s="91"/>
      <c r="AE157" s="91">
        <v>7.9</v>
      </c>
      <c r="AF157" s="91">
        <v>1.35</v>
      </c>
      <c r="AG157" s="91"/>
      <c r="AH157" s="91"/>
      <c r="AI157" s="91">
        <f>SUM(ППД5[[#This Row],[ТП Лоджия 1]:[ТП Лоджия 3]])</f>
        <v>1.35</v>
      </c>
      <c r="AJ157" s="95">
        <v>2.7</v>
      </c>
      <c r="AK157" s="91">
        <f>SUM(ППД5[[#This Row],[Площадь по ТП жилая]:[ТП Лоджия 3]])-ППД5[[#This Row],[ТП Летние]]+ППД5[[#This Row],[кроме того прочая
(без коэффициента)]]</f>
        <v>59.2</v>
      </c>
      <c r="AL157" s="95">
        <f>ППД5[[#This Row],[ТП Площадь без летних]]+(ППД5[[#This Row],[ТП Летние]])</f>
        <v>57.85</v>
      </c>
      <c r="AM157" s="91">
        <f>ППД5[[#This Row],[ТП общая S]]-ППД5[[#This Row],[кроме того прочая
(без коэффициента)]]</f>
        <v>56.5</v>
      </c>
      <c r="AN157" s="95">
        <f>SUM(ППД5[[#This Row],[ТП Кухня]:[ТП Коридор]])</f>
        <v>28.9</v>
      </c>
      <c r="AO157" s="91">
        <f>ППД5[[#This Row],[Расчетная ТП площадь]]-ППД5[[#This Row],[Расчетная проектная площадь]]</f>
        <v>0.25</v>
      </c>
      <c r="AP157" s="335">
        <f>ППД5[[#This Row],[Расчетная ТП площадь]]/ППД5[[#This Row],[Расчетная проектная площадь]]-1</f>
        <v>4.3402777777776791E-3</v>
      </c>
      <c r="AQ157" s="91">
        <f>ППД5[[#This Row],[% расхождения]]*ППД5[[#This Row],[Стоимость до скидки]]</f>
        <v>21295.677517360626</v>
      </c>
      <c r="AR157" s="91">
        <f>VLOOKUP(ППД5[[#This Row],[№]],наценкад5[],COLUMN(наценкад5[[#This Row],[Цена м2 с учетом всех K]]),0)</f>
        <v>78763.482000000004</v>
      </c>
      <c r="AS157" s="8">
        <f>ППД5[[#This Row],[м2 после К]]*5%</f>
        <v>3938.1741000000002</v>
      </c>
      <c r="AT157" s="8">
        <f>ППД5[[#This Row],[м2 после К]]+ППД5[[#This Row],[Повышение 16.08.23 - 5%]]</f>
        <v>82701.656100000007</v>
      </c>
      <c r="AU157" s="93">
        <f>ППД5[[#This Row],[Фикс 16.08.23]]*3%</f>
        <v>2481.0496830000002</v>
      </c>
      <c r="AV157" s="93">
        <f>ППД5[[#This Row],[Фикс 16.08.23]]+ППД5[[#This Row],[Повышение 29.08.23 - 3%]]</f>
        <v>85182.705783000012</v>
      </c>
      <c r="AW157" s="93"/>
      <c r="AX157" s="93">
        <f>ППД5[[#This Row],[Фикс 29.08.23]]+ППД5[[#This Row],[Повышение 06.09.23 СТ и 1К]]</f>
        <v>85182.705783000012</v>
      </c>
      <c r="AY157" s="93"/>
      <c r="AZ157" s="93">
        <f>ППД5[[#This Row],[Повышение 23.10.23  В4 ]]+ППД5[[#This Row],[Фикс 06.09.23]]</f>
        <v>85182.705783000012</v>
      </c>
      <c r="BA157" s="93"/>
      <c r="BB157" s="93">
        <f>ППД5[[#This Row],[Повышение 8.11.23 1К 5%]]+ППД5[[#This Row],[Фикс 23.10.23]]</f>
        <v>85182.705783000012</v>
      </c>
      <c r="BC157" s="93"/>
      <c r="BD157" s="93">
        <f>ППД5[[#This Row],[Корректировка 24.11.23 - 1К В5, 2К А2, №233]]+ППД5[[#This Row],[Фикс 8.11.23]]</f>
        <v>85182.705783000012</v>
      </c>
      <c r="BE157" s="93"/>
      <c r="BF157" s="93">
        <f>ППД5[[#This Row],[Наценка за отделку 29.12.23 1%]]+ППД5[[#This Row],[Фикс 8.11.24]]</f>
        <v>85182.705783000012</v>
      </c>
      <c r="BG157" s="93"/>
      <c r="BH157" s="93">
        <f>ППД5[[#This Row],[Фикс 29.12.23]]+ППД5[[#This Row],[Наценка 10.01.24 5%]]</f>
        <v>85182.705783000012</v>
      </c>
      <c r="BI157" s="93"/>
      <c r="BJ157" s="93">
        <f>ППД5[[#This Row],[Наценка 26.02.24 1 Этаж]]+ППД5[[#This Row],[Фикс 10.01.24]]</f>
        <v>85182.705783000012</v>
      </c>
      <c r="BK157" s="93"/>
      <c r="BL157" s="93">
        <f>ППД5[[#This Row],[Фикс 26.02.24]]+ППД5[[#This Row],[Наценка 06.03.24
СТ, 1К - 3%
2К, 3К - 2%]]</f>
        <v>85182.705783000012</v>
      </c>
      <c r="BM157" s="93"/>
      <c r="BN157" s="93">
        <f>ППД5[[#This Row],[Фикс 06.03.24]]+ППД5[[#This Row],[Наценка Г2+500]]</f>
        <v>85182.705783000012</v>
      </c>
      <c r="BO157" s="93"/>
      <c r="BP157" s="93">
        <f>ППД5[[#This Row],[Фикс 13.03.25]]+ППД5[[#This Row],[Наценка 20.03.24
2К, 3К - 2%]]</f>
        <v>85182.705783000012</v>
      </c>
      <c r="BQ157" s="93"/>
      <c r="BR157" s="93">
        <f>ППД5[[#This Row],[Фикс 20.03.24]]+ППД5[[#This Row],[Наценка 08.04.24 
2К: В3 - 150
3К: Г7 +1000]]</f>
        <v>85182.705783000012</v>
      </c>
      <c r="BS157" s="9"/>
      <c r="BT157" s="93">
        <f>ППД5[[#This Row],[Фикс 08.04.24]]+ППД5[[#This Row],[Наценка 16.05.24 1%
А4,А6,Б3,Б6,Б7,В2,В3,В5,В6,Г1,Г3-Г5]]</f>
        <v>85182.705783000012</v>
      </c>
      <c r="BU157" s="93"/>
      <c r="BV157" s="93">
        <f>ППД5[[#This Row],[Фикс 16.05.24]]+ППД5[[#This Row],[Наценка 24.05.24
1% - Б4, Б5,Г2,Г6
2% - А1,А3,А5,Б2,Г7]]</f>
        <v>85182.705783000012</v>
      </c>
      <c r="BW157" s="93"/>
      <c r="BX157" s="93">
        <f>ППД5[[#This Row],[Наценка 06.06.24
0К: В2,Г3 +0,5%
1К: А7, Б5/4, Г6 +0,5%
3К: В6 +0,5%
1К: А3 +1%]]+ППД5[[#This Row],[Фикс 24.05.24]]</f>
        <v>85182.705783000012</v>
      </c>
      <c r="BY157" s="93"/>
      <c r="BZ157" s="93">
        <f>ППД5[[#This Row],[Фикс 06.06.24]]+ППД5[[#This Row],[13.06.2024
3К - 2%]]</f>
        <v>85182.705783000012</v>
      </c>
      <c r="CA157" s="93"/>
      <c r="CB157" s="93">
        <f>ППД5[[#This Row],[02.07.2024: Г3 А1 А3 Б5 Б7 Г2 Г6 Б3 Б4 В3 Г7 2,5% ост 0,5-1,5%]]+ППД5[[#This Row],[Фикс 13.06.24]]</f>
        <v>85182.705783000012</v>
      </c>
      <c r="CC157" s="93"/>
      <c r="CD157" s="93">
        <f>ППД5[[#This Row],[Фикс 02.07.24]]+ППД5[[#This Row],[04.09.2024 +500
0К - Б2; 1К - А3;
2К - А6, Б4, В3, Г5]]</f>
        <v>85182.705783000012</v>
      </c>
      <c r="CE157" s="93"/>
      <c r="CF157" s="93">
        <f>ППД5[[#This Row],[Наценка 16.09.2024
1К: А1,В7,Г6/7,Г8 - 2%
2К: А4,А5,А6,Б1,Б6,Б3/4,В3,В4,Г4,Г5 - 4%
3К: 4%]]+ППД5[[#This Row],[Фикс 04.09.24]]</f>
        <v>85182.705783000012</v>
      </c>
      <c r="CG157" s="93"/>
      <c r="CH157" s="93">
        <f>ППД5[[#This Row],[Фикс 16.09.2024]]+ППД5[[#This Row],[Наценка 01.11.24
СТ: 4%
1К: 34-40м 5%; 40м+ 8%; МГН 1%
2К: 55-70м 6%; 70-73м 7%; 73-76м 8% 
3К: 5%]]</f>
        <v>85182.705783000012</v>
      </c>
      <c r="CI157" s="93"/>
      <c r="CJ157" s="93">
        <f>ППД5[[#This Row],[Наценка 06.11 13%]]+ППД5[[#This Row],[Фикс 01.11.24]]</f>
        <v>85182.705783000012</v>
      </c>
      <c r="CK157" s="93"/>
      <c r="CL157" s="93">
        <f>ППД5[[#This Row],[Фикс 06.11.24]]+ППД5[[#This Row],[Наценка 18.12.24 распределение КВ]]</f>
        <v>85182.705783000012</v>
      </c>
      <c r="CM157" s="93"/>
      <c r="CN157" s="93">
        <f>ППД5[[#This Row],[Фикс 18.12.24]]+ППД5[[#This Row],[Наценка 10.02.25 +1%
1К: А3
2К: Б3, В3]]</f>
        <v>85182.705783000012</v>
      </c>
      <c r="CO157" s="93">
        <f>ROUND(ППД5[[#This Row],[Фикс 10.02.25]],2)</f>
        <v>85182.71</v>
      </c>
      <c r="CP15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4906524.0999999996</v>
      </c>
      <c r="CQ157" s="93">
        <f>ROUNDUP(ППД5[[#This Row],[Стоимость до скидки]]+ППД5[[#This Row],[Сумма доплаты]],-2)</f>
        <v>4927900</v>
      </c>
      <c r="CR157" s="68">
        <v>120000</v>
      </c>
      <c r="CS157" s="90"/>
      <c r="CT157" s="68">
        <f>ППД5[[#This Row],[Стоимость до скидки]]*ППД5[[#This Row],[Скидка %]]+ППД5[[#This Row],[Скидка фиксированная]]</f>
        <v>120000</v>
      </c>
      <c r="CU157" s="3">
        <f>ППД5[[#This Row],[Стоимость ОН без отделки со скидкой]]/ППД5[[#This Row],[Расчетная проектная площадь]]</f>
        <v>83099.376736111109</v>
      </c>
      <c r="CV157" s="3">
        <f>ROUND(ППД5[[#This Row],[Стоимость до скидки]]-ППД5[[#This Row],[Итоговая сумма скидки]],2)</f>
        <v>4786524.0999999996</v>
      </c>
      <c r="CW15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57" s="197"/>
      <c r="CY157" s="332">
        <f>ППД5[[#This Row],[Расхождение]]/ППД5[[#This Row],[Расчетная проектная площадь]]</f>
        <v>4.340277777777778E-3</v>
      </c>
      <c r="CZ15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0.34999999999999964</v>
      </c>
      <c r="DA157" s="3">
        <f>ППД5[[#This Row],[Цена м2 без отделки со скидкой]]+ППД5[[#This Row],[Стоимость отделки]]</f>
        <v>83099.376736111109</v>
      </c>
      <c r="DB157" s="3">
        <f>ППД5[[#This Row],[Стоимость квартиры с отделкой]]-ППД5[[#This Row],[Стоимость ОН без отделки со скидкой]]</f>
        <v>0</v>
      </c>
      <c r="DC157" s="3">
        <f>ППД5[[#This Row],[Цена м2 с отделкой]]*ППД5[[#This Row],[Расчетная проектная площадь]]</f>
        <v>4786524.0999999996</v>
      </c>
      <c r="DD157" s="3" t="s">
        <v>154</v>
      </c>
      <c r="DE157" s="111" t="s">
        <v>171</v>
      </c>
      <c r="DF157" s="199" t="s">
        <v>172</v>
      </c>
      <c r="DG157" s="245" t="s">
        <v>172</v>
      </c>
      <c r="DH157" s="100" t="b">
        <f>EXACT(ППД5[[#This Row],[Статусы CRM]],ППД5[[#This Row],[Статус]])</f>
        <v>1</v>
      </c>
      <c r="DI157" s="213" t="s">
        <v>329</v>
      </c>
      <c r="DJ157" s="204"/>
      <c r="DK157" s="111" t="s">
        <v>76</v>
      </c>
      <c r="DL157" s="216" t="s">
        <v>12</v>
      </c>
      <c r="DM157" s="201" t="b">
        <f>ППД5[[#This Row],[Отделка CRM]]=ППД5[[#This Row],[Отделка]]</f>
        <v>1</v>
      </c>
      <c r="DN157" s="203">
        <v>4786524.0999999996</v>
      </c>
      <c r="DO15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57" s="207" t="b">
        <f>IF(AND(ППД5[[#This Row],[Статус]]="свободно",ППД5[[#This Row],[Итоговая сумма скидки]]&lt;&gt;0),FALSE,TRUE)</f>
        <v>1</v>
      </c>
      <c r="DQ157" s="240">
        <f>_xlfn.XLOOKUP(ППД5[[#This Row],[№]],Юрист[№ кв],Юрист[Дата подачи на регистрацию]," ",0,-1)</f>
        <v>45184</v>
      </c>
      <c r="DR157" s="115" t="str">
        <f>_xlfn.XLOOKUP(ППД5[[#This Row],[№]],Юрист[№ кв],Юрист[МОП],"",0,-1)</f>
        <v>Дик</v>
      </c>
      <c r="DS157" s="333" t="s">
        <v>2606</v>
      </c>
      <c r="DT157" s="333" t="s">
        <v>2607</v>
      </c>
      <c r="DU157" s="333">
        <v>56.5</v>
      </c>
      <c r="DV157" s="111"/>
    </row>
    <row r="158" spans="1:126" hidden="1" x14ac:dyDescent="0.25">
      <c r="A158" s="112">
        <v>156</v>
      </c>
      <c r="B158" s="111" t="s">
        <v>4</v>
      </c>
      <c r="C158" s="111">
        <v>7</v>
      </c>
      <c r="D158" s="111">
        <v>4</v>
      </c>
      <c r="E158" s="111">
        <v>2</v>
      </c>
      <c r="F158" s="105">
        <v>15.45</v>
      </c>
      <c r="G158" s="105">
        <v>14.5</v>
      </c>
      <c r="H158" s="105"/>
      <c r="I158" s="94">
        <f>SUM(ППД5[[#This Row],[Комната 1]:[Комната 3]])</f>
        <v>29.95</v>
      </c>
      <c r="J158" s="105">
        <v>11.95</v>
      </c>
      <c r="K158" s="105">
        <v>3.86</v>
      </c>
      <c r="L158" s="105">
        <v>2.37</v>
      </c>
      <c r="M158" s="105"/>
      <c r="N158" s="105">
        <v>8.8699999999999992</v>
      </c>
      <c r="O158" s="105">
        <v>2.62</v>
      </c>
      <c r="P158" s="105"/>
      <c r="Q158" s="105"/>
      <c r="R158" s="105">
        <f>SUM(ППД5[[#This Row],[Лоджия 1]:[Лоджия 3]])</f>
        <v>2.62</v>
      </c>
      <c r="S158" s="8">
        <f>ROUND(SUM(ППД5[[#This Row],[Площадь по проекту жилая]:[Лоджия 3]]),2)</f>
        <v>59.62</v>
      </c>
      <c r="T158" s="8">
        <f>ROUND(ППД5[[#This Row],[Площадь по проекту(общая)]]-ППД5[[#This Row],[Летние]],2)</f>
        <v>57</v>
      </c>
      <c r="U158" s="91">
        <f>ROUND(ППД5[[#This Row],[Площадь по проекту(общая)]]-(SUM(ППД5[[#This Row],[Лоджия 1]:[Лоджия 3]])/2),2)</f>
        <v>58.31</v>
      </c>
      <c r="V158" s="91">
        <f>IF(ППД5[[#This Row],[Статус]]="продажа",ППД5[[#This Row],[Расчетная проектная площадь]],ППД5[[#This Row],[Расчетная ТП площадь]])</f>
        <v>58.31</v>
      </c>
      <c r="W158" s="91">
        <v>14.4</v>
      </c>
      <c r="X158" s="91">
        <v>15.4</v>
      </c>
      <c r="Y158" s="91"/>
      <c r="Z158" s="91">
        <f>SUM(ППД5[[#This Row],[ТП Комната 1]:[ТП Комната 3]])</f>
        <v>29.8</v>
      </c>
      <c r="AA158" s="91">
        <v>11.9</v>
      </c>
      <c r="AB158" s="91">
        <v>3.9</v>
      </c>
      <c r="AC158" s="91">
        <v>2.4</v>
      </c>
      <c r="AD158" s="91"/>
      <c r="AE158" s="91">
        <v>8.9</v>
      </c>
      <c r="AF158" s="91">
        <v>1.3</v>
      </c>
      <c r="AG158" s="91"/>
      <c r="AH158" s="91"/>
      <c r="AI158" s="91">
        <f>SUM(ППД5[[#This Row],[ТП Лоджия 1]:[ТП Лоджия 3]])</f>
        <v>1.3</v>
      </c>
      <c r="AJ158" s="95">
        <v>2.6</v>
      </c>
      <c r="AK158" s="91">
        <f>SUM(ППД5[[#This Row],[Площадь по ТП жилая]:[ТП Лоджия 3]])-ППД5[[#This Row],[ТП Летние]]+ППД5[[#This Row],[кроме того прочая
(без коэффициента)]]</f>
        <v>59.5</v>
      </c>
      <c r="AL158" s="95">
        <f>ППД5[[#This Row],[ТП Площадь без летних]]+(ППД5[[#This Row],[ТП Летние]])</f>
        <v>58.199999999999996</v>
      </c>
      <c r="AM158" s="91">
        <f>ППД5[[#This Row],[ТП общая S]]-ППД5[[#This Row],[кроме того прочая
(без коэффициента)]]</f>
        <v>56.9</v>
      </c>
      <c r="AN158" s="95">
        <f>SUM(ППД5[[#This Row],[ТП Кухня]:[ТП Коридор]])</f>
        <v>27.1</v>
      </c>
      <c r="AO158" s="91">
        <f>ППД5[[#This Row],[Расчетная ТП площадь]]-ППД5[[#This Row],[Расчетная проектная площадь]]</f>
        <v>-0.11000000000000654</v>
      </c>
      <c r="AP158" s="335">
        <f>ППД5[[#This Row],[Расчетная ТП площадь]]/ППД5[[#This Row],[Расчетная проектная площадь]]-1</f>
        <v>-1.8864688732637136E-3</v>
      </c>
      <c r="AQ158" s="91">
        <f>ППД5[[#This Row],[% расхождения]]*ППД5[[#This Row],[Стоимость до скидки]]</f>
        <v>-10490.653404219511</v>
      </c>
      <c r="AR158" s="91">
        <f>VLOOKUP(ППД5[[#This Row],[№]],наценкад5[],COLUMN(наценкад5[[#This Row],[Цена м2 с учетом всех K]]),0)</f>
        <v>79921.768500000006</v>
      </c>
      <c r="AS158" s="8">
        <f>ППД5[[#This Row],[м2 после К]]*5%</f>
        <v>3996.0884250000004</v>
      </c>
      <c r="AT158" s="8">
        <f>ППД5[[#This Row],[м2 после К]]+ППД5[[#This Row],[Повышение 16.08.23 - 5%]]</f>
        <v>83917.856925</v>
      </c>
      <c r="AU158" s="93">
        <f>ППД5[[#This Row],[Фикс 16.08.23]]*3%</f>
        <v>2517.5357077499998</v>
      </c>
      <c r="AV158" s="93">
        <f>ППД5[[#This Row],[Фикс 16.08.23]]+ППД5[[#This Row],[Повышение 29.08.23 - 3%]]</f>
        <v>86435.392632749994</v>
      </c>
      <c r="AW158" s="93"/>
      <c r="AX158" s="93">
        <f>ППД5[[#This Row],[Фикс 29.08.23]]+ППД5[[#This Row],[Повышение 06.09.23 СТ и 1К]]</f>
        <v>86435.392632749994</v>
      </c>
      <c r="AY158" s="93"/>
      <c r="AZ158" s="93">
        <f>ППД5[[#This Row],[Повышение 23.10.23  В4 ]]+ППД5[[#This Row],[Фикс 06.09.23]]</f>
        <v>86435.392632749994</v>
      </c>
      <c r="BA158" s="93"/>
      <c r="BB158" s="93">
        <f>ППД5[[#This Row],[Повышение 8.11.23 1К 5%]]+ППД5[[#This Row],[Фикс 23.10.23]]</f>
        <v>86435.392632749994</v>
      </c>
      <c r="BC158" s="93"/>
      <c r="BD158" s="93">
        <f>ППД5[[#This Row],[Корректировка 24.11.23 - 1К В5, 2К А2, №233]]+ППД5[[#This Row],[Фикс 8.11.23]]</f>
        <v>86435.392632749994</v>
      </c>
      <c r="BE158" s="93">
        <f>ППД5[[#This Row],[Фикс 8.11.24]]*1%</f>
        <v>864.35392632749995</v>
      </c>
      <c r="BF158" s="93">
        <f>ППД5[[#This Row],[Наценка за отделку 29.12.23 1%]]+ППД5[[#This Row],[Фикс 8.11.24]]</f>
        <v>87299.746559077495</v>
      </c>
      <c r="BG158" s="93">
        <f>ППД5[[#This Row],[Фикс 29.12.23]]*5%</f>
        <v>4364.9873279538751</v>
      </c>
      <c r="BH158" s="93">
        <f>ППД5[[#This Row],[Фикс 29.12.23]]+ППД5[[#This Row],[Наценка 10.01.24 5%]]</f>
        <v>91664.733887031369</v>
      </c>
      <c r="BI158" s="93"/>
      <c r="BJ158" s="93">
        <f>ППД5[[#This Row],[Наценка 26.02.24 1 Этаж]]+ППД5[[#This Row],[Фикс 10.01.24]]</f>
        <v>91664.733887031369</v>
      </c>
      <c r="BK158" s="93">
        <f>ППД5[[#This Row],[Фикс 26.02.24]]*2%</f>
        <v>1833.2946777406273</v>
      </c>
      <c r="BL158" s="93">
        <f>ППД5[[#This Row],[Фикс 26.02.24]]+ППД5[[#This Row],[Наценка 06.03.24
СТ, 1К - 3%
2К, 3К - 2%]]</f>
        <v>93498.028564772001</v>
      </c>
      <c r="BM158" s="93"/>
      <c r="BN158" s="93">
        <f>ППД5[[#This Row],[Фикс 06.03.24]]+ППД5[[#This Row],[Наценка Г2+500]]</f>
        <v>93498.028564772001</v>
      </c>
      <c r="BO158" s="93">
        <f>ППД5[[#This Row],[Фикс 13.03.25]]*2%</f>
        <v>1869.9605712954401</v>
      </c>
      <c r="BP158" s="93">
        <f>ППД5[[#This Row],[Фикс 13.03.25]]+ППД5[[#This Row],[Наценка 20.03.24
2К, 3К - 2%]]</f>
        <v>95367.989136067437</v>
      </c>
      <c r="BQ158" s="93"/>
      <c r="BR158" s="93">
        <f>ППД5[[#This Row],[Фикс 20.03.24]]+ППД5[[#This Row],[Наценка 08.04.24 
2К: В3 - 150
3К: Г7 +1000]]</f>
        <v>95367.989136067437</v>
      </c>
      <c r="BS158" s="93"/>
      <c r="BT158" s="93">
        <f>ППД5[[#This Row],[Фикс 08.04.24]]+ППД5[[#This Row],[Наценка 16.05.24 1%
А4,А6,Б3,Б6,Б7,В2,В3,В5,В6,Г1,Г3-Г5]]</f>
        <v>95367.989136067437</v>
      </c>
      <c r="BU158" s="93"/>
      <c r="BV158" s="93">
        <f>ППД5[[#This Row],[Фикс 16.05.24]]+ППД5[[#This Row],[Наценка 24.05.24
1% - Б4, Б5,Г2,Г6
2% - А1,А3,А5,Б2,Г7]]</f>
        <v>95367.989136067437</v>
      </c>
      <c r="BW158" s="93"/>
      <c r="BX158" s="93">
        <f>ППД5[[#This Row],[Наценка 06.06.24
0К: В2,Г3 +0,5%
1К: А7, Б5/4, Г6 +0,5%
3К: В6 +0,5%
1К: А3 +1%]]+ППД5[[#This Row],[Фикс 24.05.24]]</f>
        <v>95367.989136067437</v>
      </c>
      <c r="BY158" s="93"/>
      <c r="BZ158" s="93">
        <f>ППД5[[#This Row],[Фикс 06.06.24]]+ППД5[[#This Row],[13.06.2024
3К - 2%]]</f>
        <v>95367.989136067437</v>
      </c>
      <c r="CA158" s="93"/>
      <c r="CB158" s="93">
        <f>ППД5[[#This Row],[02.07.2024: Г3 А1 А3 Б5 Б7 Г2 Г6 Б3 Б4 В3 Г7 2,5% ост 0,5-1,5%]]+ППД5[[#This Row],[Фикс 13.06.24]]</f>
        <v>95367.989136067437</v>
      </c>
      <c r="CC158" s="93"/>
      <c r="CD158" s="93">
        <f>ППД5[[#This Row],[Фикс 02.07.24]]+ППД5[[#This Row],[04.09.2024 +500
0К - Б2; 1К - А3;
2К - А6, Б4, В3, Г5]]</f>
        <v>95367.989136067437</v>
      </c>
      <c r="CE158" s="93"/>
      <c r="CF158" s="93">
        <f>ППД5[[#This Row],[Наценка 16.09.2024
1К: А1,В7,Г6/7,Г8 - 2%
2К: А4,А5,А6,Б1,Б6,Б3/4,В3,В4,Г4,Г5 - 4%
3К: 4%]]+ППД5[[#This Row],[Фикс 04.09.24]]</f>
        <v>95367.989136067437</v>
      </c>
      <c r="CG158" s="93"/>
      <c r="CH158" s="93">
        <f>ППД5[[#This Row],[Фикс 16.09.2024]]+ППД5[[#This Row],[Наценка 01.11.24
СТ: 4%
1К: 34-40м 5%; 40м+ 8%; МГН 1%
2К: 55-70м 6%; 70-73м 7%; 73-76м 8% 
3К: 5%]]</f>
        <v>95367.989136067437</v>
      </c>
      <c r="CI158" s="93"/>
      <c r="CJ158" s="93">
        <f>ППД5[[#This Row],[Наценка 06.11 13%]]+ППД5[[#This Row],[Фикс 01.11.24]]</f>
        <v>95367.989136067437</v>
      </c>
      <c r="CK158" s="93"/>
      <c r="CL158" s="93">
        <f>ППД5[[#This Row],[Фикс 06.11.24]]+ППД5[[#This Row],[Наценка 18.12.24 распределение КВ]]</f>
        <v>95367.989136067437</v>
      </c>
      <c r="CM158" s="93"/>
      <c r="CN158" s="93">
        <f>ППД5[[#This Row],[Фикс 18.12.24]]+ППД5[[#This Row],[Наценка 10.02.25 +1%
1К: А3
2К: Б3, В3]]</f>
        <v>95367.989136067437</v>
      </c>
      <c r="CO158" s="93">
        <f>ROUND(ППД5[[#This Row],[Фикс 10.02.25]],2)</f>
        <v>95367.99</v>
      </c>
      <c r="CP15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5561000</v>
      </c>
      <c r="CQ158" s="93">
        <f>ROUNDUP(ППД5[[#This Row],[Стоимость до скидки]]+ППД5[[#This Row],[Сумма доплаты]],-2)</f>
        <v>5550600</v>
      </c>
      <c r="CR158" s="68">
        <v>178888</v>
      </c>
      <c r="CS158" s="90"/>
      <c r="CT158" s="68">
        <f>ППД5[[#This Row],[Стоимость до скидки]]*ППД5[[#This Row],[Скидка %]]+ППД5[[#This Row],[Скидка фиксированная]]</f>
        <v>178888</v>
      </c>
      <c r="CU158" s="3">
        <f>ППД5[[#This Row],[Стоимость ОН без отделки со скидкой]]/ППД5[[#This Row],[Расчетная проектная площадь]]</f>
        <v>92301.69782198593</v>
      </c>
      <c r="CV158" s="3">
        <f>ROUND(ППД5[[#This Row],[Стоимость до скидки]]-ППД5[[#This Row],[Итоговая сумма скидки]],2)</f>
        <v>5382112</v>
      </c>
      <c r="CW15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58" s="197"/>
      <c r="CY158" s="332">
        <f>ППД5[[#This Row],[Расхождение]]/ППД5[[#This Row],[Расчетная проектная площадь]]</f>
        <v>-1.8864688732637032E-3</v>
      </c>
      <c r="CZ15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5.0000000000004263E-2</v>
      </c>
      <c r="DA158" s="3">
        <f>ППД5[[#This Row],[Цена м2 без отделки со скидкой]]+ППД5[[#This Row],[Стоимость отделки]]</f>
        <v>92301.69782198593</v>
      </c>
      <c r="DB158" s="3">
        <f>ППД5[[#This Row],[Стоимость квартиры с отделкой]]-ППД5[[#This Row],[Стоимость ОН без отделки со скидкой]]</f>
        <v>0</v>
      </c>
      <c r="DC158" s="3">
        <f>ППД5[[#This Row],[Цена м2 с отделкой]]*ППД5[[#This Row],[Расчетная проектная площадь]]</f>
        <v>5382112</v>
      </c>
      <c r="DD158" s="3"/>
      <c r="DE158" s="111" t="s">
        <v>767</v>
      </c>
      <c r="DF158" s="199" t="s">
        <v>172</v>
      </c>
      <c r="DG158" s="245" t="s">
        <v>172</v>
      </c>
      <c r="DH158" s="100" t="b">
        <f>EXACT(ППД5[[#This Row],[Статусы CRM]],ППД5[[#This Row],[Статус]])</f>
        <v>1</v>
      </c>
      <c r="DI158" s="213" t="s">
        <v>330</v>
      </c>
      <c r="DJ158" s="204"/>
      <c r="DK158" s="111" t="s">
        <v>763</v>
      </c>
      <c r="DL158" s="216" t="s">
        <v>12</v>
      </c>
      <c r="DM158" s="201" t="b">
        <f>ППД5[[#This Row],[Отделка CRM]]=ППД5[[#This Row],[Отделка]]</f>
        <v>1</v>
      </c>
      <c r="DN158" s="203">
        <v>5382112</v>
      </c>
      <c r="DO15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58" s="207" t="b">
        <f>IF(AND(ППД5[[#This Row],[Статус]]="свободно",ППД5[[#This Row],[Итоговая сумма скидки]]&lt;&gt;0),FALSE,TRUE)</f>
        <v>1</v>
      </c>
      <c r="DQ158" s="240">
        <f>_xlfn.XLOOKUP(ППД5[[#This Row],[№]],Юрист[№ кв],Юрист[Дата подачи на регистрацию]," ",0,-1)</f>
        <v>45401</v>
      </c>
      <c r="DR158" s="115" t="str">
        <f>_xlfn.XLOOKUP(ППД5[[#This Row],[№]],Юрист[№ кв],Юрист[МОП],"",0,-1)</f>
        <v>Никишов</v>
      </c>
      <c r="DS158" s="333" t="s">
        <v>2608</v>
      </c>
      <c r="DT158" s="333" t="s">
        <v>2609</v>
      </c>
      <c r="DU158" s="333">
        <v>56.9</v>
      </c>
      <c r="DV158" s="111"/>
    </row>
    <row r="159" spans="1:126" hidden="1" x14ac:dyDescent="0.25">
      <c r="A159" s="112">
        <v>157</v>
      </c>
      <c r="B159" s="111" t="s">
        <v>4</v>
      </c>
      <c r="C159" s="111">
        <v>7</v>
      </c>
      <c r="D159" s="111">
        <v>5</v>
      </c>
      <c r="E159" s="111">
        <v>1</v>
      </c>
      <c r="F159" s="105">
        <v>12.06</v>
      </c>
      <c r="G159" s="105"/>
      <c r="H159" s="105"/>
      <c r="I159" s="94">
        <f>SUM(ППД5[[#This Row],[Комната 1]:[Комната 3]])</f>
        <v>12.06</v>
      </c>
      <c r="J159" s="105">
        <v>13.18</v>
      </c>
      <c r="K159" s="105">
        <v>4.1100000000000003</v>
      </c>
      <c r="L159" s="105"/>
      <c r="M159" s="105"/>
      <c r="N159" s="105">
        <v>7.09</v>
      </c>
      <c r="O159" s="105">
        <v>2.84</v>
      </c>
      <c r="P159" s="105"/>
      <c r="Q159" s="105"/>
      <c r="R159" s="105">
        <f>SUM(ППД5[[#This Row],[Лоджия 1]:[Лоджия 3]])</f>
        <v>2.84</v>
      </c>
      <c r="S159" s="8">
        <f>ROUND(SUM(ППД5[[#This Row],[Площадь по проекту жилая]:[Лоджия 3]]),2)</f>
        <v>39.28</v>
      </c>
      <c r="T159" s="8">
        <f>ROUND(ППД5[[#This Row],[Площадь по проекту(общая)]]-ППД5[[#This Row],[Летние]],2)</f>
        <v>36.44</v>
      </c>
      <c r="U159" s="91">
        <f>ROUND(ППД5[[#This Row],[Площадь по проекту(общая)]]-(SUM(ППД5[[#This Row],[Лоджия 1]:[Лоджия 3]])/2),2)</f>
        <v>37.86</v>
      </c>
      <c r="V159" s="91">
        <f>IF(ППД5[[#This Row],[Статус]]="продажа",ППД5[[#This Row],[Расчетная проектная площадь]],ППД5[[#This Row],[Расчетная ТП площадь]])</f>
        <v>37.86</v>
      </c>
      <c r="W159" s="91">
        <v>12.4</v>
      </c>
      <c r="X159" s="91"/>
      <c r="Y159" s="91"/>
      <c r="Z159" s="91">
        <f>SUM(ППД5[[#This Row],[ТП Комната 1]:[ТП Комната 3]])</f>
        <v>12.4</v>
      </c>
      <c r="AA159" s="91">
        <v>12.6</v>
      </c>
      <c r="AB159" s="91">
        <v>4.0999999999999996</v>
      </c>
      <c r="AC159" s="91"/>
      <c r="AD159" s="91"/>
      <c r="AE159" s="91">
        <v>7</v>
      </c>
      <c r="AF159" s="91">
        <v>1.45</v>
      </c>
      <c r="AG159" s="91"/>
      <c r="AH159" s="91"/>
      <c r="AI159" s="91">
        <f>SUM(ППД5[[#This Row],[ТП Лоджия 1]:[ТП Лоджия 3]])</f>
        <v>1.45</v>
      </c>
      <c r="AJ159" s="95">
        <v>2.9</v>
      </c>
      <c r="AK159" s="91">
        <f>SUM(ППД5[[#This Row],[Площадь по ТП жилая]:[ТП Лоджия 3]])-ППД5[[#This Row],[ТП Летние]]+ППД5[[#This Row],[кроме того прочая
(без коэффициента)]]</f>
        <v>39</v>
      </c>
      <c r="AL159" s="95">
        <f>ППД5[[#This Row],[ТП Площадь без летних]]+(ППД5[[#This Row],[ТП Летние]])</f>
        <v>37.550000000000004</v>
      </c>
      <c r="AM159" s="91">
        <f>ППД5[[#This Row],[ТП общая S]]-ППД5[[#This Row],[кроме того прочая
(без коэффициента)]]</f>
        <v>36.1</v>
      </c>
      <c r="AN159" s="95">
        <f>SUM(ППД5[[#This Row],[ТП Кухня]:[ТП Коридор]])</f>
        <v>23.7</v>
      </c>
      <c r="AO159" s="91">
        <f>ППД5[[#This Row],[Расчетная ТП площадь]]-ППД5[[#This Row],[Расчетная проектная площадь]]</f>
        <v>-0.30999999999999517</v>
      </c>
      <c r="AP159" s="335">
        <f>ППД5[[#This Row],[Расчетная ТП площадь]]/ППД5[[#This Row],[Расчетная проектная площадь]]-1</f>
        <v>-8.1880612783939988E-3</v>
      </c>
      <c r="AQ159" s="91">
        <f>ППД5[[#This Row],[% расхождения]]*ППД5[[#This Row],[Стоимость до скидки]]</f>
        <v>-27156.46499999972</v>
      </c>
      <c r="AR159" s="91">
        <f>VLOOKUP(ППД5[[#This Row],[№]],наценкад5[],COLUMN(наценкад5[[#This Row],[Цена м2 с учетом всех K]]),0)</f>
        <v>87601.5</v>
      </c>
      <c r="AS159" s="8"/>
      <c r="AT159" s="8">
        <f>ППД5[[#This Row],[м2 после К]]+ППД5[[#This Row],[Повышение 16.08.23 - 5%]]</f>
        <v>87601.5</v>
      </c>
      <c r="AU159" s="93"/>
      <c r="AV159" s="93">
        <f>ППД5[[#This Row],[Фикс 16.08.23]]+ППД5[[#This Row],[Повышение 29.08.23 - 3%]]</f>
        <v>87601.5</v>
      </c>
      <c r="AW159" s="93"/>
      <c r="AX159" s="93">
        <f>ППД5[[#This Row],[Фикс 29.08.23]]+ППД5[[#This Row],[Повышение 06.09.23 СТ и 1К]]</f>
        <v>87601.5</v>
      </c>
      <c r="AY159" s="93"/>
      <c r="AZ159" s="93">
        <f>ППД5[[#This Row],[Повышение 23.10.23  В4 ]]+ППД5[[#This Row],[Фикс 06.09.23]]</f>
        <v>87601.5</v>
      </c>
      <c r="BA159" s="93"/>
      <c r="BB159" s="93">
        <f>ППД5[[#This Row],[Повышение 8.11.23 1К 5%]]+ППД5[[#This Row],[Фикс 23.10.23]]</f>
        <v>87601.5</v>
      </c>
      <c r="BC159" s="93"/>
      <c r="BD159" s="93">
        <f>ППД5[[#This Row],[Корректировка 24.11.23 - 1К В5, 2К А2, №233]]+ППД5[[#This Row],[Фикс 8.11.23]]</f>
        <v>87601.5</v>
      </c>
      <c r="BE159" s="93"/>
      <c r="BF159" s="93">
        <f>ППД5[[#This Row],[Наценка за отделку 29.12.23 1%]]+ППД5[[#This Row],[Фикс 8.11.24]]</f>
        <v>87601.5</v>
      </c>
      <c r="BG159" s="93"/>
      <c r="BH159" s="93">
        <f>ППД5[[#This Row],[Фикс 29.12.23]]+ППД5[[#This Row],[Наценка 10.01.24 5%]]</f>
        <v>87601.5</v>
      </c>
      <c r="BI159" s="93"/>
      <c r="BJ159" s="93">
        <f>ППД5[[#This Row],[Наценка 26.02.24 1 Этаж]]+ППД5[[#This Row],[Фикс 10.01.24]]</f>
        <v>87601.5</v>
      </c>
      <c r="BK159" s="93"/>
      <c r="BL159" s="93">
        <f>ППД5[[#This Row],[Фикс 26.02.24]]+ППД5[[#This Row],[Наценка 06.03.24
СТ, 1К - 3%
2К, 3К - 2%]]</f>
        <v>87601.5</v>
      </c>
      <c r="BM159" s="93"/>
      <c r="BN159" s="93">
        <f>ППД5[[#This Row],[Фикс 06.03.24]]+ППД5[[#This Row],[Наценка Г2+500]]</f>
        <v>87601.5</v>
      </c>
      <c r="BO159" s="93"/>
      <c r="BP159" s="93">
        <f>ППД5[[#This Row],[Фикс 13.03.25]]+ППД5[[#This Row],[Наценка 20.03.24
2К, 3К - 2%]]</f>
        <v>87601.5</v>
      </c>
      <c r="BQ159" s="93"/>
      <c r="BR159" s="93">
        <f>ППД5[[#This Row],[Фикс 20.03.24]]+ППД5[[#This Row],[Наценка 08.04.24 
2К: В3 - 150
3К: Г7 +1000]]</f>
        <v>87601.5</v>
      </c>
      <c r="BS159" s="93"/>
      <c r="BT159" s="93">
        <f>ППД5[[#This Row],[Фикс 08.04.24]]+ППД5[[#This Row],[Наценка 16.05.24 1%
А4,А6,Б3,Б6,Б7,В2,В3,В5,В6,Г1,Г3-Г5]]</f>
        <v>87601.5</v>
      </c>
      <c r="BU159" s="93"/>
      <c r="BV159" s="93">
        <f>ППД5[[#This Row],[Фикс 16.05.24]]+ППД5[[#This Row],[Наценка 24.05.24
1% - Б4, Б5,Г2,Г6
2% - А1,А3,А5,Б2,Г7]]</f>
        <v>87601.5</v>
      </c>
      <c r="BW159" s="93"/>
      <c r="BX159" s="93">
        <f>ППД5[[#This Row],[Наценка 06.06.24
0К: В2,Г3 +0,5%
1К: А7, Б5/4, Г6 +0,5%
3К: В6 +0,5%
1К: А3 +1%]]+ППД5[[#This Row],[Фикс 24.05.24]]</f>
        <v>87601.5</v>
      </c>
      <c r="BY159" s="93"/>
      <c r="BZ159" s="93">
        <f>ППД5[[#This Row],[Фикс 06.06.24]]+ППД5[[#This Row],[13.06.2024
3К - 2%]]</f>
        <v>87601.5</v>
      </c>
      <c r="CA159" s="93"/>
      <c r="CB159" s="93">
        <f>ППД5[[#This Row],[02.07.2024: Г3 А1 А3 Б5 Б7 Г2 Г6 Б3 Б4 В3 Г7 2,5% ост 0,5-1,5%]]+ППД5[[#This Row],[Фикс 13.06.24]]</f>
        <v>87601.5</v>
      </c>
      <c r="CC159" s="93"/>
      <c r="CD159" s="93">
        <f>ППД5[[#This Row],[Фикс 02.07.24]]+ППД5[[#This Row],[04.09.2024 +500
0К - Б2; 1К - А3;
2К - А6, Б4, В3, Г5]]</f>
        <v>87601.5</v>
      </c>
      <c r="CE159" s="93"/>
      <c r="CF159" s="93">
        <f>ППД5[[#This Row],[Наценка 16.09.2024
1К: А1,В7,Г6/7,Г8 - 2%
2К: А4,А5,А6,Б1,Б6,Б3/4,В3,В4,Г4,Г5 - 4%
3К: 4%]]+ППД5[[#This Row],[Фикс 04.09.24]]</f>
        <v>87601.5</v>
      </c>
      <c r="CG159" s="93"/>
      <c r="CH159" s="93">
        <f>ППД5[[#This Row],[Фикс 16.09.2024]]+ППД5[[#This Row],[Наценка 01.11.24
СТ: 4%
1К: 34-40м 5%; 40м+ 8%; МГН 1%
2К: 55-70м 6%; 70-73м 7%; 73-76м 8% 
3К: 5%]]</f>
        <v>87601.5</v>
      </c>
      <c r="CI159" s="93"/>
      <c r="CJ159" s="93">
        <f>ППД5[[#This Row],[Наценка 06.11 13%]]+ППД5[[#This Row],[Фикс 01.11.24]]</f>
        <v>87601.5</v>
      </c>
      <c r="CK159" s="93"/>
      <c r="CL159" s="93">
        <f>ППД5[[#This Row],[Фикс 06.11.24]]+ППД5[[#This Row],[Наценка 18.12.24 распределение КВ]]</f>
        <v>87601.5</v>
      </c>
      <c r="CM159" s="93"/>
      <c r="CN159" s="93">
        <f>ППД5[[#This Row],[Фикс 18.12.24]]+ППД5[[#This Row],[Наценка 10.02.25 +1%
1К: А3
2К: Б3, В3]]</f>
        <v>87601.5</v>
      </c>
      <c r="CO159" s="93">
        <f>ROUND(ППД5[[#This Row],[Фикс 10.02.25]],2)</f>
        <v>87601.5</v>
      </c>
      <c r="CP15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3316592.79</v>
      </c>
      <c r="CQ159" s="93">
        <f>ROUNDUP(ППД5[[#This Row],[Стоимость до скидки]]+ППД5[[#This Row],[Сумма доплаты]],-2)</f>
        <v>3289500</v>
      </c>
      <c r="CR159" s="68"/>
      <c r="CS159" s="90">
        <v>0.06</v>
      </c>
      <c r="CT159" s="68">
        <f>ППД5[[#This Row],[Стоимость до скидки]]*ППД5[[#This Row],[Скидка %]]+ППД5[[#This Row],[Скидка фиксированная]]</f>
        <v>198995.5674</v>
      </c>
      <c r="CU159" s="3">
        <f>ППД5[[#This Row],[Стоимость ОН без отделки со скидкой]]/ППД5[[#This Row],[Расчетная проектная площадь]]</f>
        <v>82345.40993132595</v>
      </c>
      <c r="CV159" s="3">
        <f>ROUND(ППД5[[#This Row],[Стоимость до скидки]]-ППД5[[#This Row],[Итоговая сумма скидки]],2)</f>
        <v>3117597.22</v>
      </c>
      <c r="CW15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59" s="197"/>
      <c r="CY159" s="332">
        <f>ППД5[[#This Row],[Расхождение]]/ППД5[[#This Row],[Расчетная проектная площадь]]</f>
        <v>-8.1880612783939554E-3</v>
      </c>
      <c r="CZ15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-0.67999999999999972</v>
      </c>
      <c r="DA159" s="3">
        <f>ППД5[[#This Row],[Цена м2 без отделки со скидкой]]+ППД5[[#This Row],[Стоимость отделки]]</f>
        <v>82345.40993132595</v>
      </c>
      <c r="DB159" s="3">
        <f>ППД5[[#This Row],[Стоимость квартиры с отделкой]]-ППД5[[#This Row],[Стоимость ОН без отделки со скидкой]]</f>
        <v>0</v>
      </c>
      <c r="DC159" s="3">
        <f>ППД5[[#This Row],[Цена м2 с отделкой]]*ППД5[[#This Row],[Расчетная проектная площадь]]</f>
        <v>3117597.22</v>
      </c>
      <c r="DD159" s="3"/>
      <c r="DE159" s="111" t="s">
        <v>162</v>
      </c>
      <c r="DF159" s="199" t="s">
        <v>172</v>
      </c>
      <c r="DG159" s="245" t="s">
        <v>172</v>
      </c>
      <c r="DH159" s="100" t="b">
        <f>EXACT(ППД5[[#This Row],[Статусы CRM]],ППД5[[#This Row],[Статус]])</f>
        <v>1</v>
      </c>
      <c r="DI159" s="213" t="s">
        <v>331</v>
      </c>
      <c r="DJ159" s="204"/>
      <c r="DK159" s="111" t="s">
        <v>76</v>
      </c>
      <c r="DL159" s="216" t="s">
        <v>12</v>
      </c>
      <c r="DM159" s="201" t="b">
        <f>ППД5[[#This Row],[Отделка CRM]]=ППД5[[#This Row],[Отделка]]</f>
        <v>1</v>
      </c>
      <c r="DN159" s="203">
        <v>3117597.22</v>
      </c>
      <c r="DO15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59" s="207" t="b">
        <f>IF(AND(ППД5[[#This Row],[Статус]]="свободно",ППД5[[#This Row],[Итоговая сумма скидки]]&lt;&gt;0),FALSE,TRUE)</f>
        <v>1</v>
      </c>
      <c r="DQ159" s="240">
        <f>_xlfn.XLOOKUP(ППД5[[#This Row],[№]],Юрист[№ кв],Юрист[Дата подачи на регистрацию]," ",0,-1)</f>
        <v>45188</v>
      </c>
      <c r="DR159" s="115" t="str">
        <f>_xlfn.XLOOKUP(ППД5[[#This Row],[№]],Юрист[№ кв],Юрист[МОП],"",0,-1)</f>
        <v>Гайганова</v>
      </c>
      <c r="DS159" s="333" t="s">
        <v>2610</v>
      </c>
      <c r="DT159" s="333" t="s">
        <v>2611</v>
      </c>
      <c r="DU159" s="333">
        <v>36.1</v>
      </c>
      <c r="DV159" s="111"/>
    </row>
    <row r="160" spans="1:126" hidden="1" x14ac:dyDescent="0.25">
      <c r="A160" s="112">
        <v>158</v>
      </c>
      <c r="B160" s="111" t="s">
        <v>4</v>
      </c>
      <c r="C160" s="111">
        <v>7</v>
      </c>
      <c r="D160" s="111">
        <v>6</v>
      </c>
      <c r="E160" s="111">
        <v>3</v>
      </c>
      <c r="F160" s="105">
        <v>17.89</v>
      </c>
      <c r="G160" s="105">
        <v>17.2</v>
      </c>
      <c r="H160" s="105">
        <v>14.31</v>
      </c>
      <c r="I160" s="94">
        <f>SUM(ППД5[[#This Row],[Комната 1]:[Комната 3]])</f>
        <v>49.400000000000006</v>
      </c>
      <c r="J160" s="105">
        <v>13.39</v>
      </c>
      <c r="K160" s="105">
        <v>4.2</v>
      </c>
      <c r="L160" s="105">
        <v>2.0499999999999998</v>
      </c>
      <c r="M160" s="105"/>
      <c r="N160" s="105">
        <v>13.21</v>
      </c>
      <c r="O160" s="105">
        <v>2.79</v>
      </c>
      <c r="P160" s="105">
        <v>2.68</v>
      </c>
      <c r="Q160" s="105"/>
      <c r="R160" s="105">
        <f>SUM(ППД5[[#This Row],[Лоджия 1]:[Лоджия 3]])</f>
        <v>5.4700000000000006</v>
      </c>
      <c r="S160" s="8">
        <f>ROUND(SUM(ППД5[[#This Row],[Площадь по проекту жилая]:[Лоджия 3]]),2)</f>
        <v>87.72</v>
      </c>
      <c r="T160" s="8">
        <f>ROUND(ППД5[[#This Row],[Площадь по проекту(общая)]]-ППД5[[#This Row],[Летние]],2)</f>
        <v>82.25</v>
      </c>
      <c r="U160" s="91">
        <f>ROUND(ППД5[[#This Row],[Площадь по проекту(общая)]]-(SUM(ППД5[[#This Row],[Лоджия 1]:[Лоджия 3]])/2),2)</f>
        <v>84.99</v>
      </c>
      <c r="V160" s="91">
        <f>IF(ППД5[[#This Row],[Статус]]="продажа",ППД5[[#This Row],[Расчетная проектная площадь]],ППД5[[#This Row],[Расчетная ТП площадь]])</f>
        <v>84.55</v>
      </c>
      <c r="W160" s="91">
        <v>14.1</v>
      </c>
      <c r="X160" s="91">
        <v>17.899999999999999</v>
      </c>
      <c r="Y160" s="91">
        <v>17.2</v>
      </c>
      <c r="Z160" s="91">
        <f>SUM(ППД5[[#This Row],[ТП Комната 1]:[ТП Комната 3]])</f>
        <v>49.2</v>
      </c>
      <c r="AA160" s="91">
        <v>13.2</v>
      </c>
      <c r="AB160" s="91">
        <v>4.3</v>
      </c>
      <c r="AC160" s="91">
        <v>2.1</v>
      </c>
      <c r="AD160" s="91"/>
      <c r="AE160" s="91">
        <v>13</v>
      </c>
      <c r="AF160" s="91">
        <v>1.4</v>
      </c>
      <c r="AG160" s="92">
        <v>1.35</v>
      </c>
      <c r="AH160" s="91"/>
      <c r="AI160" s="91">
        <f>SUM(ППД5[[#This Row],[ТП Лоджия 1]:[ТП Лоджия 3]])</f>
        <v>2.75</v>
      </c>
      <c r="AJ160" s="95">
        <v>5.5</v>
      </c>
      <c r="AK160" s="91">
        <f>SUM(ППД5[[#This Row],[Площадь по ТП жилая]:[ТП Лоджия 3]])-ППД5[[#This Row],[ТП Летние]]+ППД5[[#This Row],[кроме того прочая
(без коэффициента)]]</f>
        <v>87.3</v>
      </c>
      <c r="AL160" s="95">
        <f>ППД5[[#This Row],[ТП Площадь без летних]]+(ППД5[[#This Row],[ТП Летние]])</f>
        <v>84.55</v>
      </c>
      <c r="AM160" s="91">
        <f>ППД5[[#This Row],[ТП общая S]]-ППД5[[#This Row],[кроме того прочая
(без коэффициента)]]</f>
        <v>81.8</v>
      </c>
      <c r="AN160" s="95">
        <f>SUM(ППД5[[#This Row],[ТП Кухня]:[ТП Коридор]])</f>
        <v>32.6</v>
      </c>
      <c r="AO160" s="91">
        <f>ППД5[[#This Row],[Расчетная ТП площадь]]-ППД5[[#This Row],[Расчетная проектная площадь]]</f>
        <v>-0.43999999999999773</v>
      </c>
      <c r="AP160" s="335">
        <f>ППД5[[#This Row],[Расчетная ТП площадь]]/ППД5[[#This Row],[Расчетная проектная площадь]]-1</f>
        <v>-5.1770796564301058E-3</v>
      </c>
      <c r="AQ160" s="91">
        <f>ППД5[[#This Row],[% расхождения]]*ППД5[[#This Row],[Стоимость до скидки]]</f>
        <v>-48855.065301799623</v>
      </c>
      <c r="AR160" s="91">
        <f>VLOOKUP(ППД5[[#This Row],[№]],наценкад5[],COLUMN(наценкад5[[#This Row],[Цена м2 с учетом всех K]]),0)</f>
        <v>72092.790000000008</v>
      </c>
      <c r="AS160" s="8">
        <f>ППД5[[#This Row],[м2 после К]]*5%</f>
        <v>3604.6395000000007</v>
      </c>
      <c r="AT160" s="8">
        <f>ППД5[[#This Row],[м2 после К]]+ППД5[[#This Row],[Повышение 16.08.23 - 5%]]</f>
        <v>75697.429500000013</v>
      </c>
      <c r="AU160" s="93">
        <f>ППД5[[#This Row],[Фикс 16.08.23]]*3%</f>
        <v>2270.9228850000004</v>
      </c>
      <c r="AV160" s="93">
        <f>ППД5[[#This Row],[Фикс 16.08.23]]+ППД5[[#This Row],[Повышение 29.08.23 - 3%]]</f>
        <v>77968.35238500002</v>
      </c>
      <c r="AW160" s="93"/>
      <c r="AX160" s="93">
        <f>ППД5[[#This Row],[Фикс 29.08.23]]+ППД5[[#This Row],[Повышение 06.09.23 СТ и 1К]]</f>
        <v>77968.35238500002</v>
      </c>
      <c r="AY160" s="93"/>
      <c r="AZ160" s="93">
        <f>ППД5[[#This Row],[Повышение 23.10.23  В4 ]]+ППД5[[#This Row],[Фикс 06.09.23]]</f>
        <v>77968.35238500002</v>
      </c>
      <c r="BA160" s="93"/>
      <c r="BB160" s="93">
        <f>ППД5[[#This Row],[Повышение 8.11.23 1К 5%]]+ППД5[[#This Row],[Фикс 23.10.23]]</f>
        <v>77968.35238500002</v>
      </c>
      <c r="BC160" s="93"/>
      <c r="BD160" s="93">
        <f>ППД5[[#This Row],[Корректировка 24.11.23 - 1К В5, 2К А2, №233]]+ППД5[[#This Row],[Фикс 8.11.23]]</f>
        <v>77968.35238500002</v>
      </c>
      <c r="BE160" s="93">
        <f>ППД5[[#This Row],[Фикс 8.11.24]]*1%</f>
        <v>779.68352385000026</v>
      </c>
      <c r="BF160" s="93">
        <f>ППД5[[#This Row],[Наценка за отделку 29.12.23 1%]]+ППД5[[#This Row],[Фикс 8.11.24]]</f>
        <v>78748.035908850026</v>
      </c>
      <c r="BG160" s="93">
        <f>ППД5[[#This Row],[Фикс 29.12.23]]*5%</f>
        <v>3937.4017954425017</v>
      </c>
      <c r="BH160" s="93">
        <f>ППД5[[#This Row],[Фикс 29.12.23]]+ППД5[[#This Row],[Наценка 10.01.24 5%]]</f>
        <v>82685.437704292533</v>
      </c>
      <c r="BI160" s="93"/>
      <c r="BJ160" s="93">
        <f>ППД5[[#This Row],[Наценка 26.02.24 1 Этаж]]+ППД5[[#This Row],[Фикс 10.01.24]]</f>
        <v>82685.437704292533</v>
      </c>
      <c r="BK160" s="93">
        <f>ППД5[[#This Row],[Фикс 26.02.24]]*2%</f>
        <v>1653.7087540858506</v>
      </c>
      <c r="BL160" s="93">
        <f>ППД5[[#This Row],[Фикс 26.02.24]]+ППД5[[#This Row],[Наценка 06.03.24
СТ, 1К - 3%
2К, 3К - 2%]]</f>
        <v>84339.146458378382</v>
      </c>
      <c r="BM160" s="93"/>
      <c r="BN160" s="93">
        <f>ППД5[[#This Row],[Фикс 06.03.24]]+ППД5[[#This Row],[Наценка Г2+500]]</f>
        <v>84339.146458378382</v>
      </c>
      <c r="BO160" s="93">
        <f>ППД5[[#This Row],[Фикс 13.03.25]]*2%</f>
        <v>1686.7829291675678</v>
      </c>
      <c r="BP160" s="93">
        <f>ППД5[[#This Row],[Фикс 13.03.25]]+ППД5[[#This Row],[Наценка 20.03.24
2К, 3К - 2%]]</f>
        <v>86025.929387545955</v>
      </c>
      <c r="BQ160" s="93"/>
      <c r="BR160" s="93">
        <f>ППД5[[#This Row],[Фикс 20.03.24]]+ППД5[[#This Row],[Наценка 08.04.24 
2К: В3 - 150
3К: Г7 +1000]]</f>
        <v>86025.929387545955</v>
      </c>
      <c r="BS160" s="9">
        <f>ППД5[[#This Row],[Фикс 08.04.24]]*1%</f>
        <v>860.25929387545955</v>
      </c>
      <c r="BT160" s="93">
        <f>ППД5[[#This Row],[Фикс 08.04.24]]+ППД5[[#This Row],[Наценка 16.05.24 1%
А4,А6,Б3,Б6,Б7,В2,В3,В5,В6,Г1,Г3-Г5]]</f>
        <v>86886.188681421409</v>
      </c>
      <c r="BU160" s="93"/>
      <c r="BV160" s="93">
        <f>ППД5[[#This Row],[Фикс 16.05.24]]+ППД5[[#This Row],[Наценка 24.05.24
1% - Б4, Б5,Г2,Г6
2% - А1,А3,А5,Б2,Г7]]</f>
        <v>86886.188681421409</v>
      </c>
      <c r="BW160" s="93"/>
      <c r="BX160" s="93">
        <f>ППД5[[#This Row],[Наценка 06.06.24
0К: В2,Г3 +0,5%
1К: А7, Б5/4, Г6 +0,5%
3К: В6 +0,5%
1К: А3 +1%]]+ППД5[[#This Row],[Фикс 24.05.24]]</f>
        <v>86886.188681421409</v>
      </c>
      <c r="BY160" s="93">
        <f>ППД5[[#This Row],[Фикс 06.06.24]]*2%</f>
        <v>1737.7237736284283</v>
      </c>
      <c r="BZ160" s="93">
        <f>ППД5[[#This Row],[Фикс 06.06.24]]+ППД5[[#This Row],[13.06.2024
3К - 2%]]</f>
        <v>88623.912455049838</v>
      </c>
      <c r="CA160" s="93">
        <f>1.5%*ППД5[[#This Row],[Фикс 13.06.24]]</f>
        <v>1329.3586868257476</v>
      </c>
      <c r="CB160" s="93">
        <f>ППД5[[#This Row],[02.07.2024: Г3 А1 А3 Б5 Б7 Г2 Г6 Б3 Б4 В3 Г7 2,5% ост 0,5-1,5%]]+ППД5[[#This Row],[Фикс 13.06.24]]</f>
        <v>89953.271141875579</v>
      </c>
      <c r="CC160" s="93"/>
      <c r="CD160" s="93">
        <f>ППД5[[#This Row],[Фикс 02.07.24]]+ППД5[[#This Row],[04.09.2024 +500
0К - Б2; 1К - А3;
2К - А6, Б4, В3, Г5]]</f>
        <v>89953.271141875579</v>
      </c>
      <c r="CE160" s="93">
        <f>ППД5[[#This Row],[Фикс 04.09.24]]*4%</f>
        <v>3598.130845675023</v>
      </c>
      <c r="CF160" s="93">
        <f>ППД5[[#This Row],[Наценка 16.09.2024
1К: А1,В7,Г6/7,Г8 - 2%
2К: А4,А5,А6,Б1,Б6,Б3/4,В3,В4,Г4,Г5 - 4%
3К: 4%]]+ППД5[[#This Row],[Фикс 04.09.24]]</f>
        <v>93551.401987550606</v>
      </c>
      <c r="CG160" s="93">
        <f>ППД5[[#This Row],[Фикс 16.09.2024]]*5%</f>
        <v>4677.5700993775308</v>
      </c>
      <c r="CH160" s="93">
        <f>ППД5[[#This Row],[Фикс 16.09.2024]]+ППД5[[#This Row],[Наценка 01.11.24
СТ: 4%
1К: 34-40м 5%; 40м+ 8%; МГН 1%
2К: 55-70м 6%; 70-73м 7%; 73-76м 8% 
3К: 5%]]</f>
        <v>98228.97208692813</v>
      </c>
      <c r="CI160" s="93">
        <f>ППД5[[#This Row],[Фикс 01.11.24]]*13%</f>
        <v>12769.766371300657</v>
      </c>
      <c r="CJ160" s="93">
        <f>ППД5[[#This Row],[Наценка 06.11 13%]]+ППД5[[#This Row],[Фикс 01.11.24]]</f>
        <v>110998.73845822879</v>
      </c>
      <c r="CK160" s="93">
        <v>35</v>
      </c>
      <c r="CL160" s="93">
        <f>ППД5[[#This Row],[Фикс 06.11.24]]+ППД5[[#This Row],[Наценка 18.12.24 распределение КВ]]</f>
        <v>111033.73845822879</v>
      </c>
      <c r="CM160" s="93"/>
      <c r="CN160" s="93">
        <f>ППД5[[#This Row],[Фикс 18.12.24]]+ППД5[[#This Row],[Наценка 10.02.25 +1%
1К: А3
2К: Б3, В3]]</f>
        <v>111033.73845822879</v>
      </c>
      <c r="CO160" s="93">
        <f>ROUND(ППД5[[#This Row],[Фикс 10.02.25]],2)</f>
        <v>111033.74</v>
      </c>
      <c r="CP16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9436800</v>
      </c>
      <c r="CQ160" s="93">
        <f>ROUNDUP(ППД5[[#This Row],[Стоимость до скидки]]+ППД5[[#This Row],[Сумма доплаты]],-2)</f>
        <v>9388000</v>
      </c>
      <c r="CR160" s="68"/>
      <c r="CS160" s="90"/>
      <c r="CT160" s="68">
        <f>ППД5[[#This Row],[Стоимость до скидки]]*ППД5[[#This Row],[Скидка %]]+ППД5[[#This Row],[Скидка фиксированная]]</f>
        <v>0</v>
      </c>
      <c r="CU160" s="3">
        <f>ППД5[[#This Row],[Стоимость ОН без отделки со скидкой]]/ППД5[[#This Row],[Расчетная проектная площадь]]</f>
        <v>111034.23932227322</v>
      </c>
      <c r="CV160" s="3">
        <f>ROUND(ППД5[[#This Row],[Стоимость до скидки]]-ППД5[[#This Row],[Итоговая сумма скидки]],2)</f>
        <v>9436800</v>
      </c>
      <c r="CW16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160" s="218">
        <v>10000</v>
      </c>
      <c r="CY160" s="332">
        <f>ППД5[[#This Row],[Расхождение]]/ППД5[[#This Row],[Расчетная проектная площадь]]</f>
        <v>-5.1770796564301422E-3</v>
      </c>
      <c r="CZ160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-0.25</v>
      </c>
      <c r="DA160" s="3">
        <f>ППД5[[#This Row],[Цена м2 без отделки со скидкой]]+ППД5[[#This Row],[Стоимость отделки]]</f>
        <v>121034.23932227322</v>
      </c>
      <c r="DB160" s="3">
        <f>ППД5[[#This Row],[Стоимость квартиры с отделкой]]-ППД5[[#This Row],[Стоимость ОН без отделки со скидкой]]</f>
        <v>849900</v>
      </c>
      <c r="DC160" s="3">
        <f>ППД5[[#This Row],[Цена м2 с отделкой]]*ППД5[[#This Row],[Расчетная проектная площадь]]</f>
        <v>10286700</v>
      </c>
      <c r="DD160" s="3"/>
      <c r="DF160" s="155" t="s">
        <v>161</v>
      </c>
      <c r="DG160" s="245" t="s">
        <v>161</v>
      </c>
      <c r="DH160" s="100" t="b">
        <f>EXACT(ППД5[[#This Row],[Статусы CRM]],ППД5[[#This Row],[Статус]])</f>
        <v>1</v>
      </c>
      <c r="DI160" s="213" t="s">
        <v>332</v>
      </c>
      <c r="DJ160" s="204"/>
      <c r="DK160" s="111" t="s">
        <v>763</v>
      </c>
      <c r="DL160" s="216" t="s">
        <v>780</v>
      </c>
      <c r="DM160" s="201" t="b">
        <f>ППД5[[#This Row],[Отделка CRM]]=ППД5[[#This Row],[Отделка]]</f>
        <v>1</v>
      </c>
      <c r="DN160" s="203">
        <v>10286700</v>
      </c>
      <c r="DO16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60" s="207" t="b">
        <f>IF(AND(ППД5[[#This Row],[Статус]]="свободно",ППД5[[#This Row],[Итоговая сумма скидки]]&lt;&gt;0),FALSE,TRUE)</f>
        <v>1</v>
      </c>
      <c r="DQ160" s="240" t="str">
        <f>_xlfn.XLOOKUP(ППД5[[#This Row],[№]],Юрист[№ кв],Юрист[Дата подачи на регистрацию]," ",0,-1)</f>
        <v xml:space="preserve"> </v>
      </c>
      <c r="DR160" s="115" t="str">
        <f>_xlfn.XLOOKUP(ППД5[[#This Row],[№]],Юрист[№ кв],Юрист[МОП],"",0,-1)</f>
        <v/>
      </c>
      <c r="DS160" s="333" t="s">
        <v>2612</v>
      </c>
      <c r="DT160" s="333" t="s">
        <v>2613</v>
      </c>
      <c r="DU160" s="333">
        <v>81.8</v>
      </c>
      <c r="DV160" s="111"/>
    </row>
    <row r="161" spans="1:126" hidden="1" x14ac:dyDescent="0.25">
      <c r="A161" s="112">
        <v>159</v>
      </c>
      <c r="B161" s="111" t="s">
        <v>4</v>
      </c>
      <c r="C161" s="111">
        <v>7</v>
      </c>
      <c r="D161" s="111">
        <v>7</v>
      </c>
      <c r="E161" s="111">
        <v>1</v>
      </c>
      <c r="F161" s="105">
        <v>17.89</v>
      </c>
      <c r="G161" s="105"/>
      <c r="H161" s="105"/>
      <c r="I161" s="94">
        <f>SUM(ППД5[[#This Row],[Комната 1]:[Комната 3]])</f>
        <v>17.89</v>
      </c>
      <c r="J161" s="105">
        <v>13.04</v>
      </c>
      <c r="K161" s="105">
        <v>3.9</v>
      </c>
      <c r="L161" s="105"/>
      <c r="M161" s="105"/>
      <c r="N161" s="105">
        <v>6.12</v>
      </c>
      <c r="O161" s="105">
        <v>2.65</v>
      </c>
      <c r="P161" s="105"/>
      <c r="Q161" s="105"/>
      <c r="R161" s="105">
        <f>SUM(ППД5[[#This Row],[Лоджия 1]:[Лоджия 3]])</f>
        <v>2.65</v>
      </c>
      <c r="S161" s="8">
        <f>ROUND(SUM(ППД5[[#This Row],[Площадь по проекту жилая]:[Лоджия 3]]),2)</f>
        <v>43.6</v>
      </c>
      <c r="T161" s="8">
        <f>ROUND(ППД5[[#This Row],[Площадь по проекту(общая)]]-ППД5[[#This Row],[Летние]],2)</f>
        <v>40.950000000000003</v>
      </c>
      <c r="U161" s="91">
        <f>ROUND(ППД5[[#This Row],[Площадь по проекту(общая)]]-(SUM(ППД5[[#This Row],[Лоджия 1]:[Лоджия 3]])/2),2)</f>
        <v>42.28</v>
      </c>
      <c r="V161" s="91">
        <f>IF(ППД5[[#This Row],[Статус]]="продажа",ППД5[[#This Row],[Расчетная проектная площадь]],ППД5[[#This Row],[Расчетная ТП площадь]])</f>
        <v>42.28</v>
      </c>
      <c r="W161" s="91">
        <v>17.899999999999999</v>
      </c>
      <c r="X161" s="91"/>
      <c r="Y161" s="91"/>
      <c r="Z161" s="91">
        <f>SUM(ППД5[[#This Row],[ТП Комната 1]:[ТП Комната 3]])</f>
        <v>17.899999999999999</v>
      </c>
      <c r="AA161" s="91">
        <v>13.1</v>
      </c>
      <c r="AB161" s="91">
        <v>3.7</v>
      </c>
      <c r="AC161" s="91"/>
      <c r="AD161" s="91"/>
      <c r="AE161" s="91">
        <v>6.2</v>
      </c>
      <c r="AF161" s="91">
        <v>1.35</v>
      </c>
      <c r="AG161" s="91"/>
      <c r="AH161" s="91"/>
      <c r="AI161" s="91">
        <f>SUM(ППД5[[#This Row],[ТП Лоджия 1]:[ТП Лоджия 3]])</f>
        <v>1.35</v>
      </c>
      <c r="AJ161" s="95">
        <v>2.7</v>
      </c>
      <c r="AK161" s="91">
        <f>SUM(ППД5[[#This Row],[Площадь по ТП жилая]:[ТП Лоджия 3]])-ППД5[[#This Row],[ТП Летние]]+ППД5[[#This Row],[кроме того прочая
(без коэффициента)]]</f>
        <v>43.600000000000009</v>
      </c>
      <c r="AL161" s="95">
        <f>ППД5[[#This Row],[ТП Площадь без летних]]+(ППД5[[#This Row],[ТП Летние]])</f>
        <v>42.250000000000007</v>
      </c>
      <c r="AM161" s="91">
        <f>ППД5[[#This Row],[ТП общая S]]-ППД5[[#This Row],[кроме того прочая
(без коэффициента)]]</f>
        <v>40.900000000000006</v>
      </c>
      <c r="AN161" s="95">
        <f>SUM(ППД5[[#This Row],[ТП Кухня]:[ТП Коридор]])</f>
        <v>23</v>
      </c>
      <c r="AO161" s="91">
        <f>ППД5[[#This Row],[Расчетная ТП площадь]]-ППД5[[#This Row],[Расчетная проектная площадь]]</f>
        <v>-2.9999999999994031E-2</v>
      </c>
      <c r="AP161" s="335">
        <f>ППД5[[#This Row],[Расчетная ТП площадь]]/ППД5[[#This Row],[Расчетная проектная площадь]]-1</f>
        <v>-7.0955534531680353E-4</v>
      </c>
      <c r="AQ161" s="91">
        <f>ППД5[[#This Row],[% расхождения]]*ППД5[[#This Row],[Стоимость до скидки]]</f>
        <v>-2945.860927151773</v>
      </c>
      <c r="AR161" s="91">
        <f>VLOOKUP(ППД5[[#This Row],[№]],наценкад5[],COLUMN(наценкад5[[#This Row],[Цена м2 с учетом всех K]]),0)</f>
        <v>83951.4375</v>
      </c>
      <c r="AS161" s="8">
        <f>ППД5[[#This Row],[м2 после К]]*5%</f>
        <v>4197.5718750000005</v>
      </c>
      <c r="AT161" s="8">
        <f>ППД5[[#This Row],[м2 после К]]+ППД5[[#This Row],[Повышение 16.08.23 - 5%]]</f>
        <v>88149.009374999994</v>
      </c>
      <c r="AU161" s="93">
        <f>ППД5[[#This Row],[Фикс 16.08.23]]*3%</f>
        <v>2644.4702812499995</v>
      </c>
      <c r="AV161" s="93">
        <f>ППД5[[#This Row],[Фикс 16.08.23]]+ППД5[[#This Row],[Повышение 29.08.23 - 3%]]</f>
        <v>90793.479656249998</v>
      </c>
      <c r="AW161" s="93">
        <f>ППД5[[#This Row],[Фикс 29.08.23]]*3%</f>
        <v>2723.8043896874997</v>
      </c>
      <c r="AX161" s="93">
        <f>ППД5[[#This Row],[Фикс 29.08.23]]+ППД5[[#This Row],[Повышение 06.09.23 СТ и 1К]]</f>
        <v>93517.2840459375</v>
      </c>
      <c r="AY161" s="93"/>
      <c r="AZ161" s="93">
        <f>ППД5[[#This Row],[Повышение 23.10.23  В4 ]]+ППД5[[#This Row],[Фикс 06.09.23]]</f>
        <v>93517.2840459375</v>
      </c>
      <c r="BA161" s="93">
        <f>ППД5[[#This Row],[Фикс 23.10.23]]*5%</f>
        <v>4675.8642022968752</v>
      </c>
      <c r="BB161" s="93">
        <f>ППД5[[#This Row],[Повышение 8.11.23 1К 5%]]+ППД5[[#This Row],[Фикс 23.10.23]]</f>
        <v>98193.148248234371</v>
      </c>
      <c r="BC161" s="93"/>
      <c r="BD161" s="93">
        <f>ППД5[[#This Row],[Корректировка 24.11.23 - 1К В5, 2К А2, №233]]+ППД5[[#This Row],[Фикс 8.11.23]]</f>
        <v>98193.148248234371</v>
      </c>
      <c r="BE161" s="93"/>
      <c r="BF161" s="93">
        <f>ППД5[[#This Row],[Наценка за отделку 29.12.23 1%]]+ППД5[[#This Row],[Фикс 8.11.24]]</f>
        <v>98193.148248234371</v>
      </c>
      <c r="BG161" s="93"/>
      <c r="BH161" s="93">
        <f>ППД5[[#This Row],[Фикс 29.12.23]]+ППД5[[#This Row],[Наценка 10.01.24 5%]]</f>
        <v>98193.148248234371</v>
      </c>
      <c r="BI161" s="93"/>
      <c r="BJ161" s="93">
        <f>ППД5[[#This Row],[Наценка 26.02.24 1 Этаж]]+ППД5[[#This Row],[Фикс 10.01.24]]</f>
        <v>98193.148248234371</v>
      </c>
      <c r="BK161" s="93"/>
      <c r="BL161" s="93">
        <f>ППД5[[#This Row],[Фикс 26.02.24]]+ППД5[[#This Row],[Наценка 06.03.24
СТ, 1К - 3%
2К, 3К - 2%]]</f>
        <v>98193.148248234371</v>
      </c>
      <c r="BM161" s="93"/>
      <c r="BN161" s="93">
        <f>ППД5[[#This Row],[Фикс 06.03.24]]+ППД5[[#This Row],[Наценка Г2+500]]</f>
        <v>98193.148248234371</v>
      </c>
      <c r="BO161" s="93"/>
      <c r="BP161" s="93">
        <f>ППД5[[#This Row],[Фикс 13.03.25]]+ППД5[[#This Row],[Наценка 20.03.24
2К, 3К - 2%]]</f>
        <v>98193.148248234371</v>
      </c>
      <c r="BQ161" s="93"/>
      <c r="BR161" s="93">
        <f>ППД5[[#This Row],[Фикс 20.03.24]]+ППД5[[#This Row],[Наценка 08.04.24 
2К: В3 - 150
3К: Г7 +1000]]</f>
        <v>98193.148248234371</v>
      </c>
      <c r="BS161" s="9"/>
      <c r="BT161" s="93">
        <f>ППД5[[#This Row],[Фикс 08.04.24]]+ППД5[[#This Row],[Наценка 16.05.24 1%
А4,А6,Б3,Б6,Б7,В2,В3,В5,В6,Г1,Г3-Г5]]</f>
        <v>98193.148248234371</v>
      </c>
      <c r="BU161" s="93"/>
      <c r="BV161" s="93">
        <f>ППД5[[#This Row],[Фикс 16.05.24]]+ППД5[[#This Row],[Наценка 24.05.24
1% - Б4, Б5,Г2,Г6
2% - А1,А3,А5,Б2,Г7]]</f>
        <v>98193.148248234371</v>
      </c>
      <c r="BW161" s="93"/>
      <c r="BX161" s="93">
        <f>ППД5[[#This Row],[Наценка 06.06.24
0К: В2,Г3 +0,5%
1К: А7, Б5/4, Г6 +0,5%
3К: В6 +0,5%
1К: А3 +1%]]+ППД5[[#This Row],[Фикс 24.05.24]]</f>
        <v>98193.148248234371</v>
      </c>
      <c r="BY161" s="93"/>
      <c r="BZ161" s="93">
        <f>ППД5[[#This Row],[Фикс 06.06.24]]+ППД5[[#This Row],[13.06.2024
3К - 2%]]</f>
        <v>98193.148248234371</v>
      </c>
      <c r="CA161" s="93"/>
      <c r="CB161" s="93">
        <f>ППД5[[#This Row],[02.07.2024: Г3 А1 А3 Б5 Б7 Г2 Г6 Б3 Б4 В3 Г7 2,5% ост 0,5-1,5%]]+ППД5[[#This Row],[Фикс 13.06.24]]</f>
        <v>98193.148248234371</v>
      </c>
      <c r="CC161" s="93"/>
      <c r="CD161" s="93">
        <f>ППД5[[#This Row],[Фикс 02.07.24]]+ППД5[[#This Row],[04.09.2024 +500
0К - Б2; 1К - А3;
2К - А6, Б4, В3, Г5]]</f>
        <v>98193.148248234371</v>
      </c>
      <c r="CE161" s="93"/>
      <c r="CF161" s="93">
        <f>ППД5[[#This Row],[Наценка 16.09.2024
1К: А1,В7,Г6/7,Г8 - 2%
2К: А4,А5,А6,Б1,Б6,Б3/4,В3,В4,Г4,Г5 - 4%
3К: 4%]]+ППД5[[#This Row],[Фикс 04.09.24]]</f>
        <v>98193.148248234371</v>
      </c>
      <c r="CG161" s="93"/>
      <c r="CH161" s="93">
        <f>ППД5[[#This Row],[Фикс 16.09.2024]]+ППД5[[#This Row],[Наценка 01.11.24
СТ: 4%
1К: 34-40м 5%; 40м+ 8%; МГН 1%
2К: 55-70м 6%; 70-73м 7%; 73-76м 8% 
3К: 5%]]</f>
        <v>98193.148248234371</v>
      </c>
      <c r="CI161" s="93"/>
      <c r="CJ161" s="93">
        <f>ППД5[[#This Row],[Наценка 06.11 13%]]+ППД5[[#This Row],[Фикс 01.11.24]]</f>
        <v>98193.148248234371</v>
      </c>
      <c r="CK161" s="93"/>
      <c r="CL161" s="93">
        <f>ППД5[[#This Row],[Фикс 06.11.24]]+ППД5[[#This Row],[Наценка 18.12.24 распределение КВ]]</f>
        <v>98193.148248234371</v>
      </c>
      <c r="CM161" s="93"/>
      <c r="CN161" s="93">
        <f>ППД5[[#This Row],[Фикс 18.12.24]]+ППД5[[#This Row],[Наценка 10.02.25 +1%
1К: А3
2К: Б3, В3]]</f>
        <v>98193.148248234371</v>
      </c>
      <c r="CO161" s="93">
        <f>ROUND(ППД5[[#This Row],[Фикс 10.02.25]],2)</f>
        <v>98193.15</v>
      </c>
      <c r="CP16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4151700</v>
      </c>
      <c r="CQ161" s="93">
        <f>ROUNDUP(ППД5[[#This Row],[Стоимость до скидки]]+ППД5[[#This Row],[Сумма доплаты]],-2)</f>
        <v>4148800</v>
      </c>
      <c r="CR161" s="68"/>
      <c r="CS161" s="90"/>
      <c r="CT161" s="68">
        <f>ППД5[[#This Row],[Стоимость до скидки]]*ППД5[[#This Row],[Скидка %]]+ППД5[[#This Row],[Скидка фиксированная]]</f>
        <v>0</v>
      </c>
      <c r="CU161" s="3">
        <f>ППД5[[#This Row],[Стоимость ОН без отделки со скидкой]]/ППД5[[#This Row],[Расчетная проектная площадь]]</f>
        <v>98195.364238410591</v>
      </c>
      <c r="CV161" s="3">
        <f>ROUND(ППД5[[#This Row],[Стоимость до скидки]]-ППД5[[#This Row],[Итоговая сумма скидки]],2)</f>
        <v>4151700</v>
      </c>
      <c r="CW16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161" s="197">
        <v>7500</v>
      </c>
      <c r="CY161" s="332">
        <f>ППД5[[#This Row],[Расхождение]]/ППД5[[#This Row],[Расчетная проектная площадь]]</f>
        <v>-7.0955534531679356E-4</v>
      </c>
      <c r="CZ16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-6.0000000000000497E-2</v>
      </c>
      <c r="DA161" s="3">
        <f>ППД5[[#This Row],[Цена м2 без отделки со скидкой]]+ППД5[[#This Row],[Стоимость отделки]]</f>
        <v>105695.36423841059</v>
      </c>
      <c r="DB161" s="3">
        <f>ППД5[[#This Row],[Стоимость квартиры с отделкой]]-ППД5[[#This Row],[Стоимость ОН без отделки со скидкой]]</f>
        <v>317100</v>
      </c>
      <c r="DC161" s="3">
        <f>ППД5[[#This Row],[Цена м2 с отделкой]]*ППД5[[#This Row],[Расчетная проектная площадь]]</f>
        <v>4468800</v>
      </c>
      <c r="DD161" s="3"/>
      <c r="DF161" s="199" t="s">
        <v>172</v>
      </c>
      <c r="DG161" s="245" t="s">
        <v>172</v>
      </c>
      <c r="DH161" s="100" t="b">
        <f>EXACT(ППД5[[#This Row],[Статусы CRM]],ППД5[[#This Row],[Статус]])</f>
        <v>1</v>
      </c>
      <c r="DI161" s="213" t="s">
        <v>333</v>
      </c>
      <c r="DJ161" s="204"/>
      <c r="DK161" s="111" t="s">
        <v>763</v>
      </c>
      <c r="DL161" s="216" t="s">
        <v>13</v>
      </c>
      <c r="DM161" s="201" t="b">
        <f>ППД5[[#This Row],[Отделка CRM]]=ППД5[[#This Row],[Отделка]]</f>
        <v>1</v>
      </c>
      <c r="DN161" s="203">
        <v>4468800</v>
      </c>
      <c r="DO16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61" s="207" t="b">
        <f>IF(AND(ППД5[[#This Row],[Статус]]="свободно",ППД5[[#This Row],[Итоговая сумма скидки]]&lt;&gt;0),FALSE,TRUE)</f>
        <v>1</v>
      </c>
      <c r="DQ161" s="240">
        <f>_xlfn.XLOOKUP(ППД5[[#This Row],[№]],Юрист[№ кв],Юрист[Дата подачи на регистрацию]," ",0,-1)</f>
        <v>45279</v>
      </c>
      <c r="DR161" s="115" t="str">
        <f>_xlfn.XLOOKUP(ППД5[[#This Row],[№]],Юрист[№ кв],Юрист[МОП],"",0,-1)</f>
        <v>Никишов</v>
      </c>
      <c r="DS161" s="333" t="s">
        <v>2614</v>
      </c>
      <c r="DT161" s="333" t="s">
        <v>2615</v>
      </c>
      <c r="DU161" s="333">
        <v>40.9</v>
      </c>
      <c r="DV161" s="111"/>
    </row>
    <row r="162" spans="1:126" hidden="1" x14ac:dyDescent="0.25">
      <c r="A162" s="112">
        <v>160</v>
      </c>
      <c r="B162" s="111" t="s">
        <v>4</v>
      </c>
      <c r="C162" s="111">
        <v>8</v>
      </c>
      <c r="D162" s="338">
        <v>1</v>
      </c>
      <c r="E162" s="111">
        <v>2</v>
      </c>
      <c r="F162" s="105">
        <v>15.91</v>
      </c>
      <c r="G162" s="105">
        <v>12.02</v>
      </c>
      <c r="H162" s="105"/>
      <c r="I162" s="94">
        <f>SUM(ППД5[[#This Row],[Комната 1]:[Комната 3]])</f>
        <v>27.93</v>
      </c>
      <c r="J162" s="105">
        <v>15.31</v>
      </c>
      <c r="K162" s="105">
        <v>3.85</v>
      </c>
      <c r="L162" s="105">
        <v>2.2999999999999998</v>
      </c>
      <c r="M162" s="105"/>
      <c r="N162" s="105">
        <v>9.4499999999999993</v>
      </c>
      <c r="O162" s="105">
        <v>2.75</v>
      </c>
      <c r="P162" s="105"/>
      <c r="Q162" s="105"/>
      <c r="R162" s="105">
        <f>SUM(ППД5[[#This Row],[Лоджия 1]:[Лоджия 3]])</f>
        <v>2.75</v>
      </c>
      <c r="S162" s="8">
        <f>ROUND(SUM(ППД5[[#This Row],[Площадь по проекту жилая]:[Лоджия 3]]),2)</f>
        <v>61.59</v>
      </c>
      <c r="T162" s="8">
        <f>ROUND(ППД5[[#This Row],[Площадь по проекту(общая)]]-ППД5[[#This Row],[Летние]],2)</f>
        <v>58.84</v>
      </c>
      <c r="U162" s="91">
        <f>ROUND(ППД5[[#This Row],[Площадь по проекту(общая)]]-(SUM(ППД5[[#This Row],[Лоджия 1]:[Лоджия 3]])/2),2)</f>
        <v>60.22</v>
      </c>
      <c r="V162" s="91">
        <f>IF(ППД5[[#This Row],[Статус]]="продажа",ППД5[[#This Row],[Расчетная проектная площадь]],ППД5[[#This Row],[Расчетная ТП площадь]])</f>
        <v>60.22</v>
      </c>
      <c r="W162" s="91">
        <v>15.9</v>
      </c>
      <c r="X162" s="91">
        <v>12</v>
      </c>
      <c r="Y162" s="91"/>
      <c r="Z162" s="91">
        <f>SUM(ППД5[[#This Row],[ТП Комната 1]:[ТП Комната 3]])</f>
        <v>27.9</v>
      </c>
      <c r="AA162" s="91">
        <v>15.2</v>
      </c>
      <c r="AB162" s="91">
        <v>3.8</v>
      </c>
      <c r="AC162" s="91">
        <v>2.2999999999999998</v>
      </c>
      <c r="AD162" s="91"/>
      <c r="AE162" s="91">
        <v>9.5</v>
      </c>
      <c r="AF162" s="91">
        <v>1.35</v>
      </c>
      <c r="AG162" s="91"/>
      <c r="AH162" s="91"/>
      <c r="AI162" s="91">
        <f>SUM(ППД5[[#This Row],[ТП Лоджия 1]:[ТП Лоджия 3]])</f>
        <v>1.35</v>
      </c>
      <c r="AJ162" s="95">
        <v>2.7</v>
      </c>
      <c r="AK162" s="91">
        <f>SUM(ППД5[[#This Row],[Площадь по ТП жилая]:[ТП Лоджия 3]])-ППД5[[#This Row],[ТП Летние]]+ППД5[[#This Row],[кроме того прочая
(без коэффициента)]]</f>
        <v>61.399999999999991</v>
      </c>
      <c r="AL162" s="95">
        <f>ППД5[[#This Row],[ТП Площадь без летних]]+(ППД5[[#This Row],[ТП Летние]])</f>
        <v>60.04999999999999</v>
      </c>
      <c r="AM162" s="91">
        <f>ППД5[[#This Row],[ТП общая S]]-ППД5[[#This Row],[кроме того прочая
(без коэффициента)]]</f>
        <v>58.699999999999989</v>
      </c>
      <c r="AN162" s="95">
        <f>SUM(ППД5[[#This Row],[ТП Кухня]:[ТП Коридор]])</f>
        <v>30.8</v>
      </c>
      <c r="AO162" s="91">
        <f>ППД5[[#This Row],[Расчетная ТП площадь]]-ППД5[[#This Row],[Расчетная проектная площадь]]</f>
        <v>-0.17000000000000881</v>
      </c>
      <c r="AP162" s="335">
        <f>ППД5[[#This Row],[Расчетная ТП площадь]]/ППД5[[#This Row],[Расчетная проектная площадь]]-1</f>
        <v>-2.822982397874596E-3</v>
      </c>
      <c r="AQ162" s="91">
        <f>ППД5[[#This Row],[% расхождения]]*ППД5[[#This Row],[Стоимость до скидки]]</f>
        <v>-16853.487213551125</v>
      </c>
      <c r="AR162" s="91">
        <f>VLOOKUP(ППД5[[#This Row],[№]],наценкад5[],COLUMN(наценкад5[[#This Row],[Цена м2 с учетом всех K]]),0)</f>
        <v>81852.246000000014</v>
      </c>
      <c r="AS162" s="8">
        <f>ППД5[[#This Row],[м2 после К]]*5%</f>
        <v>4092.6123000000007</v>
      </c>
      <c r="AT162" s="8">
        <f>ППД5[[#This Row],[м2 после К]]+ППД5[[#This Row],[Повышение 16.08.23 - 5%]]</f>
        <v>85944.858300000022</v>
      </c>
      <c r="AU162" s="93">
        <f>ППД5[[#This Row],[Фикс 16.08.23]]*3%</f>
        <v>2578.3457490000005</v>
      </c>
      <c r="AV162" s="93">
        <f>ППД5[[#This Row],[Фикс 16.08.23]]+ППД5[[#This Row],[Повышение 29.08.23 - 3%]]</f>
        <v>88523.204049000022</v>
      </c>
      <c r="AW162" s="93"/>
      <c r="AX162" s="93">
        <f>ППД5[[#This Row],[Фикс 29.08.23]]+ППД5[[#This Row],[Повышение 06.09.23 СТ и 1К]]</f>
        <v>88523.204049000022</v>
      </c>
      <c r="AY162" s="93"/>
      <c r="AZ162" s="93">
        <f>ППД5[[#This Row],[Повышение 23.10.23  В4 ]]+ППД5[[#This Row],[Фикс 06.09.23]]</f>
        <v>88523.204049000022</v>
      </c>
      <c r="BA162" s="93"/>
      <c r="BB162" s="93">
        <f>ППД5[[#This Row],[Повышение 8.11.23 1К 5%]]+ППД5[[#This Row],[Фикс 23.10.23]]</f>
        <v>88523.204049000022</v>
      </c>
      <c r="BC162" s="93"/>
      <c r="BD162" s="93">
        <f>ППД5[[#This Row],[Корректировка 24.11.23 - 1К В5, 2К А2, №233]]+ППД5[[#This Row],[Фикс 8.11.23]]</f>
        <v>88523.204049000022</v>
      </c>
      <c r="BE162" s="93">
        <f>ППД5[[#This Row],[Фикс 8.11.24]]*1%</f>
        <v>885.23204049000026</v>
      </c>
      <c r="BF162" s="93">
        <f>ППД5[[#This Row],[Наценка за отделку 29.12.23 1%]]+ППД5[[#This Row],[Фикс 8.11.24]]</f>
        <v>89408.436089490016</v>
      </c>
      <c r="BG162" s="93">
        <f>ППД5[[#This Row],[Фикс 29.12.23]]*5%</f>
        <v>4470.4218044745012</v>
      </c>
      <c r="BH162" s="93">
        <f>ППД5[[#This Row],[Фикс 29.12.23]]+ППД5[[#This Row],[Наценка 10.01.24 5%]]</f>
        <v>93878.857893964523</v>
      </c>
      <c r="BI162" s="93"/>
      <c r="BJ162" s="93">
        <f>ППД5[[#This Row],[Наценка 26.02.24 1 Этаж]]+ППД5[[#This Row],[Фикс 10.01.24]]</f>
        <v>93878.857893964523</v>
      </c>
      <c r="BK162" s="93">
        <f>ППД5[[#This Row],[Фикс 26.02.24]]*2%</f>
        <v>1877.5771578792906</v>
      </c>
      <c r="BL162" s="93">
        <f>ППД5[[#This Row],[Фикс 26.02.24]]+ППД5[[#This Row],[Наценка 06.03.24
СТ, 1К - 3%
2К, 3К - 2%]]</f>
        <v>95756.435051843815</v>
      </c>
      <c r="BM162" s="93"/>
      <c r="BN162" s="93">
        <f>ППД5[[#This Row],[Фикс 06.03.24]]+ППД5[[#This Row],[Наценка Г2+500]]</f>
        <v>95756.435051843815</v>
      </c>
      <c r="BO162" s="93">
        <f>ППД5[[#This Row],[Фикс 13.03.25]]*2%</f>
        <v>1915.1287010368762</v>
      </c>
      <c r="BP162" s="93">
        <f>ППД5[[#This Row],[Фикс 13.03.25]]+ППД5[[#This Row],[Наценка 20.03.24
2К, 3К - 2%]]</f>
        <v>97671.563752880698</v>
      </c>
      <c r="BQ162" s="93"/>
      <c r="BR162" s="93">
        <f>ППД5[[#This Row],[Фикс 20.03.24]]+ППД5[[#This Row],[Наценка 08.04.24 
2К: В3 - 150
3К: Г7 +1000]]</f>
        <v>97671.563752880698</v>
      </c>
      <c r="BS162" s="93"/>
      <c r="BT162" s="93">
        <f>ППД5[[#This Row],[Фикс 08.04.24]]+ППД5[[#This Row],[Наценка 16.05.24 1%
А4,А6,Б3,Б6,Б7,В2,В3,В5,В6,Г1,Г3-Г5]]</f>
        <v>97671.563752880698</v>
      </c>
      <c r="BU162" s="93"/>
      <c r="BV162" s="93">
        <f>ППД5[[#This Row],[Фикс 16.05.24]]+ППД5[[#This Row],[Наценка 24.05.24
1% - Б4, Б5,Г2,Г6
2% - А1,А3,А5,Б2,Г7]]</f>
        <v>97671.563752880698</v>
      </c>
      <c r="BW162" s="93"/>
      <c r="BX162" s="93">
        <f>ППД5[[#This Row],[Наценка 06.06.24
0К: В2,Г3 +0,5%
1К: А7, Б5/4, Г6 +0,5%
3К: В6 +0,5%
1К: А3 +1%]]+ППД5[[#This Row],[Фикс 24.05.24]]</f>
        <v>97671.563752880698</v>
      </c>
      <c r="BY162" s="93"/>
      <c r="BZ162" s="93">
        <f>ППД5[[#This Row],[Фикс 06.06.24]]+ППД5[[#This Row],[13.06.2024
3К - 2%]]</f>
        <v>97671.563752880698</v>
      </c>
      <c r="CA162" s="47">
        <f>1.5%*ППД5[[#This Row],[Фикс 13.06.24]]</f>
        <v>1465.0734562932105</v>
      </c>
      <c r="CB162" s="93">
        <f>ППД5[[#This Row],[02.07.2024: Г3 А1 А3 Б5 Б7 Г2 Г6 Б3 Б4 В3 Г7 2,5% ост 0,5-1,5%]]+ППД5[[#This Row],[Фикс 13.06.24]]</f>
        <v>99136.637209173903</v>
      </c>
      <c r="CC162" s="93"/>
      <c r="CD162" s="93">
        <f>ППД5[[#This Row],[Фикс 02.07.24]]+ППД5[[#This Row],[04.09.2024 +500
0К - Б2; 1К - А3;
2К - А6, Б4, В3, Г5]]</f>
        <v>99136.637209173903</v>
      </c>
      <c r="CE162" s="93"/>
      <c r="CF162" s="93">
        <f>ППД5[[#This Row],[Наценка 16.09.2024
1К: А1,В7,Г6/7,Г8 - 2%
2К: А4,А5,А6,Б1,Б6,Б3/4,В3,В4,Г4,Г5 - 4%
3К: 4%]]+ППД5[[#This Row],[Фикс 04.09.24]]</f>
        <v>99136.637209173903</v>
      </c>
      <c r="CG162" s="93"/>
      <c r="CH162" s="93">
        <f>ППД5[[#This Row],[Фикс 16.09.2024]]+ППД5[[#This Row],[Наценка 01.11.24
СТ: 4%
1К: 34-40м 5%; 40м+ 8%; МГН 1%
2К: 55-70м 6%; 70-73м 7%; 73-76м 8% 
3К: 5%]]</f>
        <v>99136.637209173903</v>
      </c>
      <c r="CI162" s="93"/>
      <c r="CJ162" s="93">
        <f>ППД5[[#This Row],[Наценка 06.11 13%]]+ППД5[[#This Row],[Фикс 01.11.24]]</f>
        <v>99136.637209173903</v>
      </c>
      <c r="CK162" s="93"/>
      <c r="CL162" s="93">
        <f>ППД5[[#This Row],[Фикс 06.11.24]]+ППД5[[#This Row],[Наценка 18.12.24 распределение КВ]]</f>
        <v>99136.637209173903</v>
      </c>
      <c r="CM162" s="93"/>
      <c r="CN162" s="93">
        <f>ППД5[[#This Row],[Фикс 18.12.24]]+ППД5[[#This Row],[Наценка 10.02.25 +1%
1К: А3
2К: Б3, В3]]</f>
        <v>99136.637209173903</v>
      </c>
      <c r="CO162" s="93">
        <f>ROUND(ППД5[[#This Row],[Фикс 10.02.25]],2)</f>
        <v>99136.639999999999</v>
      </c>
      <c r="CP16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5970100</v>
      </c>
      <c r="CQ162" s="93">
        <f>ROUNDUP(ППД5[[#This Row],[Стоимость до скидки]]+ППД5[[#This Row],[Сумма доплаты]],-2)</f>
        <v>5953300</v>
      </c>
      <c r="CR162" s="68">
        <v>100000</v>
      </c>
      <c r="CS162" s="90"/>
      <c r="CT162" s="68">
        <f>ППД5[[#This Row],[Стоимость до скидки]]*ППД5[[#This Row],[Скидка %]]+ППД5[[#This Row],[Скидка фиксированная]]</f>
        <v>100000</v>
      </c>
      <c r="CU162" s="3">
        <f>ППД5[[#This Row],[Стоимость ОН без отделки со скидкой]]/ППД5[[#This Row],[Расчетная проектная площадь]]</f>
        <v>97477.582198605116</v>
      </c>
      <c r="CV162" s="3">
        <f>ROUND(ППД5[[#This Row],[Стоимость до скидки]]-ППД5[[#This Row],[Итоговая сумма скидки]],2)</f>
        <v>5870100</v>
      </c>
      <c r="CW16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162" s="197">
        <v>20000</v>
      </c>
      <c r="CY162" s="332">
        <f>ППД5[[#This Row],[Расхождение]]/ППД5[[#This Row],[Расчетная проектная площадь]]</f>
        <v>-2.8229823978746069E-3</v>
      </c>
      <c r="CZ16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-0.10999999999999943</v>
      </c>
      <c r="DA162" s="3">
        <f>ППД5[[#This Row],[Цена м2 без отделки со скидкой]]+ППД5[[#This Row],[Стоимость отделки]]</f>
        <v>117477.58219860512</v>
      </c>
      <c r="DB162" s="3">
        <f>ППД5[[#This Row],[Стоимость квартиры с отделкой]]-ППД5[[#This Row],[Стоимость ОН без отделки со скидкой]]</f>
        <v>1204400</v>
      </c>
      <c r="DC162" s="3">
        <f>ППД5[[#This Row],[Цена м2 с отделкой]]*ППД5[[#This Row],[Расчетная проектная площадь]]</f>
        <v>7074500</v>
      </c>
      <c r="DD162" s="3"/>
      <c r="DE162" s="111" t="s">
        <v>171</v>
      </c>
      <c r="DF162" s="199" t="s">
        <v>172</v>
      </c>
      <c r="DG162" s="245" t="s">
        <v>172</v>
      </c>
      <c r="DH162" s="100" t="b">
        <f>EXACT(ППД5[[#This Row],[Статусы CRM]],ППД5[[#This Row],[Статус]])</f>
        <v>1</v>
      </c>
      <c r="DI162" s="213" t="s">
        <v>334</v>
      </c>
      <c r="DJ162" s="204"/>
      <c r="DK162" s="111" t="s">
        <v>763</v>
      </c>
      <c r="DL162" s="216" t="s">
        <v>14</v>
      </c>
      <c r="DM162" s="201" t="b">
        <f>ППД5[[#This Row],[Отделка CRM]]=ППД5[[#This Row],[Отделка]]</f>
        <v>1</v>
      </c>
      <c r="DN162" s="203">
        <v>7074500</v>
      </c>
      <c r="DO16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62" s="207" t="b">
        <f>IF(AND(ППД5[[#This Row],[Статус]]="свободно",ППД5[[#This Row],[Итоговая сумма скидки]]&lt;&gt;0),FALSE,TRUE)</f>
        <v>1</v>
      </c>
      <c r="DQ162" s="240">
        <f>_xlfn.XLOOKUP(ППД5[[#This Row],[№]],Юрист[№ кв],Юрист[Дата подачи на регистрацию]," ",0,-1)</f>
        <v>45554</v>
      </c>
      <c r="DR162" s="115" t="str">
        <f>_xlfn.XLOOKUP(ППД5[[#This Row],[№]],Юрист[№ кв],Юрист[МОП],"",0,-1)</f>
        <v>Полехович</v>
      </c>
      <c r="DS162" s="333" t="s">
        <v>2616</v>
      </c>
      <c r="DT162" s="333" t="s">
        <v>2617</v>
      </c>
      <c r="DU162" s="333">
        <v>58.7</v>
      </c>
      <c r="DV162" s="111"/>
    </row>
    <row r="163" spans="1:126" hidden="1" x14ac:dyDescent="0.25">
      <c r="A163" s="112">
        <v>161</v>
      </c>
      <c r="B163" s="111" t="s">
        <v>4</v>
      </c>
      <c r="C163" s="111">
        <v>8</v>
      </c>
      <c r="D163" s="111">
        <v>2</v>
      </c>
      <c r="E163" s="111">
        <v>0</v>
      </c>
      <c r="F163" s="105">
        <v>7.13</v>
      </c>
      <c r="G163" s="105"/>
      <c r="H163" s="105"/>
      <c r="I163" s="94">
        <f>SUM(ППД5[[#This Row],[Комната 1]:[Комната 3]])</f>
        <v>7.13</v>
      </c>
      <c r="J163" s="105">
        <v>5.12</v>
      </c>
      <c r="K163" s="105">
        <v>3.65</v>
      </c>
      <c r="L163" s="105"/>
      <c r="M163" s="105"/>
      <c r="N163" s="105">
        <v>6.92</v>
      </c>
      <c r="O163" s="105">
        <v>2.91</v>
      </c>
      <c r="P163" s="105"/>
      <c r="Q163" s="105"/>
      <c r="R163" s="105">
        <f>SUM(ППД5[[#This Row],[Лоджия 1]:[Лоджия 3]])</f>
        <v>2.91</v>
      </c>
      <c r="S163" s="8">
        <f>ROUND(SUM(ППД5[[#This Row],[Площадь по проекту жилая]:[Лоджия 3]]),2)</f>
        <v>25.73</v>
      </c>
      <c r="T163" s="8">
        <f>ROUND(ППД5[[#This Row],[Площадь по проекту(общая)]]-ППД5[[#This Row],[Летние]],2)</f>
        <v>22.82</v>
      </c>
      <c r="U163" s="91">
        <f>ROUND(ППД5[[#This Row],[Площадь по проекту(общая)]]-(SUM(ППД5[[#This Row],[Лоджия 1]:[Лоджия 3]])/2),2)</f>
        <v>24.28</v>
      </c>
      <c r="V163" s="91">
        <f>IF(ППД5[[#This Row],[Статус]]="продажа",ППД5[[#This Row],[Расчетная проектная площадь]],ППД5[[#This Row],[Расчетная ТП площадь]])</f>
        <v>24.299999999999997</v>
      </c>
      <c r="W163" s="91">
        <v>7.1</v>
      </c>
      <c r="X163" s="91"/>
      <c r="Y163" s="91"/>
      <c r="Z163" s="91">
        <f>SUM(ППД5[[#This Row],[ТП Комната 1]:[ТП Комната 3]])</f>
        <v>7.1</v>
      </c>
      <c r="AA163" s="91">
        <v>5.0999999999999996</v>
      </c>
      <c r="AB163" s="91">
        <v>3.6</v>
      </c>
      <c r="AC163" s="91"/>
      <c r="AD163" s="91"/>
      <c r="AE163" s="91">
        <v>7</v>
      </c>
      <c r="AF163" s="91">
        <v>1.5</v>
      </c>
      <c r="AG163" s="91"/>
      <c r="AH163" s="91"/>
      <c r="AI163" s="91">
        <f>SUM(ППД5[[#This Row],[ТП Лоджия 1]:[ТП Лоджия 3]])</f>
        <v>1.5</v>
      </c>
      <c r="AJ163" s="95">
        <v>3</v>
      </c>
      <c r="AK163" s="91">
        <f>SUM(ППД5[[#This Row],[Площадь по ТП жилая]:[ТП Лоджия 3]])-ППД5[[#This Row],[ТП Летние]]+ППД5[[#This Row],[кроме того прочая
(без коэффициента)]]</f>
        <v>25.799999999999997</v>
      </c>
      <c r="AL163" s="95">
        <f>ППД5[[#This Row],[ТП Площадь без летних]]+(ППД5[[#This Row],[ТП Летние]])</f>
        <v>24.299999999999997</v>
      </c>
      <c r="AM163" s="91">
        <f>ППД5[[#This Row],[ТП общая S]]-ППД5[[#This Row],[кроме того прочая
(без коэффициента)]]</f>
        <v>22.799999999999997</v>
      </c>
      <c r="AN163" s="95">
        <f>SUM(ППД5[[#This Row],[ТП Кухня]:[ТП Коридор]])</f>
        <v>15.7</v>
      </c>
      <c r="AO163" s="91">
        <f>ППД5[[#This Row],[Расчетная ТП площадь]]-ППД5[[#This Row],[Расчетная проектная площадь]]</f>
        <v>1.9999999999996021E-2</v>
      </c>
      <c r="AP163" s="335">
        <f>ППД5[[#This Row],[Расчетная ТП площадь]]/ППД5[[#This Row],[Расчетная проектная площадь]]-1</f>
        <v>8.2372322899493255E-4</v>
      </c>
      <c r="AQ163" s="91">
        <f>ППД5[[#This Row],[% расхождения]]*ППД5[[#This Row],[Стоимость до скидки]]</f>
        <v>3053.2125205926168</v>
      </c>
      <c r="AR163" s="91">
        <f>VLOOKUP(ППД5[[#This Row],[№]],наценкад5[],COLUMN(наценкад5[[#This Row],[Цена м2 с учетом всех K]]),0)</f>
        <v>91981.574999999997</v>
      </c>
      <c r="AS163" s="8">
        <f>ППД5[[#This Row],[м2 после К]]*5%</f>
        <v>4599.0787499999997</v>
      </c>
      <c r="AT163" s="8">
        <f>ППД5[[#This Row],[м2 после К]]+ППД5[[#This Row],[Повышение 16.08.23 - 5%]]</f>
        <v>96580.653749999998</v>
      </c>
      <c r="AU163" s="93">
        <f>ППД5[[#This Row],[Фикс 16.08.23]]*3%</f>
        <v>2897.4196124999999</v>
      </c>
      <c r="AV163" s="93">
        <f>ППД5[[#This Row],[Фикс 16.08.23]]+ППД5[[#This Row],[Повышение 29.08.23 - 3%]]</f>
        <v>99478.073362499999</v>
      </c>
      <c r="AW163" s="93">
        <f>ППД5[[#This Row],[Фикс 29.08.23]]*15%</f>
        <v>14921.711004375</v>
      </c>
      <c r="AX163" s="93">
        <f>ППД5[[#This Row],[Фикс 29.08.23]]+ППД5[[#This Row],[Повышение 06.09.23 СТ и 1К]]</f>
        <v>114399.784366875</v>
      </c>
      <c r="AY163" s="93"/>
      <c r="AZ163" s="93">
        <f>ППД5[[#This Row],[Повышение 23.10.23  В4 ]]+ППД5[[#This Row],[Фикс 06.09.23]]</f>
        <v>114399.784366875</v>
      </c>
      <c r="BA163" s="93"/>
      <c r="BB163" s="93">
        <f>ППД5[[#This Row],[Повышение 8.11.23 1К 5%]]+ППД5[[#This Row],[Фикс 23.10.23]]</f>
        <v>114399.784366875</v>
      </c>
      <c r="BC163" s="93"/>
      <c r="BD163" s="93">
        <f>ППД5[[#This Row],[Корректировка 24.11.23 - 1К В5, 2К А2, №233]]+ППД5[[#This Row],[Фикс 8.11.23]]</f>
        <v>114399.784366875</v>
      </c>
      <c r="BE163" s="93">
        <f>ППД5[[#This Row],[Фикс 8.11.24]]*1%</f>
        <v>1143.99784366875</v>
      </c>
      <c r="BF163" s="93">
        <f>ППД5[[#This Row],[Наценка за отделку 29.12.23 1%]]+ППД5[[#This Row],[Фикс 8.11.24]]</f>
        <v>115543.78221054375</v>
      </c>
      <c r="BG163" s="93">
        <f>ППД5[[#This Row],[Фикс 29.12.23]]*5%</f>
        <v>5777.1891105271879</v>
      </c>
      <c r="BH163" s="93">
        <f>ППД5[[#This Row],[Фикс 29.12.23]]+ППД5[[#This Row],[Наценка 10.01.24 5%]]</f>
        <v>121320.97132107095</v>
      </c>
      <c r="BI163" s="93"/>
      <c r="BJ163" s="93">
        <f>ППД5[[#This Row],[Наценка 26.02.24 1 Этаж]]+ППД5[[#This Row],[Фикс 10.01.24]]</f>
        <v>121320.97132107095</v>
      </c>
      <c r="BK163" s="93">
        <f>ППД5[[#This Row],[Фикс 26.02.24]]*3%</f>
        <v>3639.629139632128</v>
      </c>
      <c r="BL163" s="93">
        <f>ППД5[[#This Row],[Фикс 26.02.24]]+ППД5[[#This Row],[Наценка 06.03.24
СТ, 1К - 3%
2К, 3К - 2%]]</f>
        <v>124960.60046070308</v>
      </c>
      <c r="BM163" s="93"/>
      <c r="BN163" s="93">
        <f>ППД5[[#This Row],[Фикс 06.03.24]]+ППД5[[#This Row],[Наценка Г2+500]]</f>
        <v>124960.60046070308</v>
      </c>
      <c r="BO163" s="93"/>
      <c r="BP163" s="93">
        <f>ППД5[[#This Row],[Фикс 13.03.25]]+ППД5[[#This Row],[Наценка 20.03.24
2К, 3К - 2%]]</f>
        <v>124960.60046070308</v>
      </c>
      <c r="BQ163" s="93"/>
      <c r="BR163" s="93">
        <f>ППД5[[#This Row],[Фикс 20.03.24]]+ППД5[[#This Row],[Наценка 08.04.24 
2К: В3 - 150
3К: Г7 +1000]]</f>
        <v>124960.60046070308</v>
      </c>
      <c r="BS163" s="93"/>
      <c r="BT163" s="93">
        <f>ППД5[[#This Row],[Фикс 08.04.24]]+ППД5[[#This Row],[Наценка 16.05.24 1%
А4,А6,Б3,Б6,Б7,В2,В3,В5,В6,Г1,Г3-Г5]]</f>
        <v>124960.60046070308</v>
      </c>
      <c r="BU163" s="93">
        <f>ППД5[[#This Row],[Фикс 16.05.24]]*2%</f>
        <v>2499.2120092140617</v>
      </c>
      <c r="BV163" s="93">
        <f>ППД5[[#This Row],[Фикс 16.05.24]]+ППД5[[#This Row],[Наценка 24.05.24
1% - Б4, Б5,Г2,Г6
2% - А1,А3,А5,Б2,Г7]]</f>
        <v>127459.81246991715</v>
      </c>
      <c r="BW163" s="93"/>
      <c r="BX163" s="93">
        <f>ППД5[[#This Row],[Наценка 06.06.24
0К: В2,Г3 +0,5%
1К: А7, Б5/4, Г6 +0,5%
3К: В6 +0,5%
1К: А3 +1%]]+ППД5[[#This Row],[Фикс 24.05.24]]</f>
        <v>127459.81246991715</v>
      </c>
      <c r="BY163" s="93"/>
      <c r="BZ163" s="93">
        <f>ППД5[[#This Row],[Фикс 06.06.24]]+ППД5[[#This Row],[13.06.2024
3К - 2%]]</f>
        <v>127459.81246991715</v>
      </c>
      <c r="CA163" s="93">
        <f>1.5%*ППД5[[#This Row],[Фикс 13.06.24]]</f>
        <v>1911.8971870487571</v>
      </c>
      <c r="CB163" s="93">
        <f>ППД5[[#This Row],[02.07.2024: Г3 А1 А3 Б5 Б7 Г2 Г6 Б3 Б4 В3 Г7 2,5% ост 0,5-1,5%]]+ППД5[[#This Row],[Фикс 13.06.24]]</f>
        <v>129371.7096569659</v>
      </c>
      <c r="CC163" s="93">
        <v>500</v>
      </c>
      <c r="CD163" s="93">
        <f>ППД5[[#This Row],[Фикс 02.07.24]]+ППД5[[#This Row],[04.09.2024 +500
0К - Б2; 1К - А3;
2К - А6, Б4, В3, Г5]]</f>
        <v>129871.7096569659</v>
      </c>
      <c r="CE163" s="93"/>
      <c r="CF163" s="93">
        <f>ППД5[[#This Row],[Наценка 16.09.2024
1К: А1,В7,Г6/7,Г8 - 2%
2К: А4,А5,А6,Б1,Б6,Б3/4,В3,В4,Г4,Г5 - 4%
3К: 4%]]+ППД5[[#This Row],[Фикс 04.09.24]]</f>
        <v>129871.7096569659</v>
      </c>
      <c r="CG163" s="93">
        <f>ППД5[[#This Row],[Фикс 16.09.2024]]*4%</f>
        <v>5194.8683862786365</v>
      </c>
      <c r="CH163" s="93">
        <f>ППД5[[#This Row],[Фикс 16.09.2024]]+ППД5[[#This Row],[Наценка 01.11.24
СТ: 4%
1К: 34-40м 5%; 40м+ 8%; МГН 1%
2К: 55-70м 6%; 70-73м 7%; 73-76м 8% 
3К: 5%]]</f>
        <v>135066.57804324455</v>
      </c>
      <c r="CI163" s="93">
        <f>ППД5[[#This Row],[Фикс 01.11.24]]*13%</f>
        <v>17558.655145621793</v>
      </c>
      <c r="CJ163" s="93">
        <f>ППД5[[#This Row],[Наценка 06.11 13%]]+ППД5[[#This Row],[Фикс 01.11.24]]</f>
        <v>152625.23318886635</v>
      </c>
      <c r="CK163" s="93">
        <v>35</v>
      </c>
      <c r="CL163" s="93">
        <f>ППД5[[#This Row],[Фикс 06.11.24]]+ППД5[[#This Row],[Наценка 18.12.24 распределение КВ]]</f>
        <v>152660.23318886635</v>
      </c>
      <c r="CM163" s="93"/>
      <c r="CN163" s="93">
        <f>ППД5[[#This Row],[Фикс 18.12.24]]+ППД5[[#This Row],[Наценка 10.02.25 +1%
1К: А3
2К: Б3, В3]]</f>
        <v>152660.23318886635</v>
      </c>
      <c r="CO163" s="93">
        <f>ROUND(ППД5[[#This Row],[Фикс 10.02.25]],2)</f>
        <v>152660.23000000001</v>
      </c>
      <c r="CP16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3706600</v>
      </c>
      <c r="CQ163" s="93">
        <f>ROUNDUP(ППД5[[#This Row],[Стоимость до скидки]]+ППД5[[#This Row],[Сумма доплаты]],-2)</f>
        <v>3709700</v>
      </c>
      <c r="CR163" s="68"/>
      <c r="CS163" s="90"/>
      <c r="CT163" s="68">
        <f>ППД5[[#This Row],[Стоимость до скидки]]*ППД5[[#This Row],[Скидка %]]+ППД5[[#This Row],[Скидка фиксированная]]</f>
        <v>0</v>
      </c>
      <c r="CU163" s="3">
        <f>ППД5[[#This Row],[Стоимость ОН без отделки со скидкой]]/ППД5[[#This Row],[Расчетная проектная площадь]]</f>
        <v>152660.62602965403</v>
      </c>
      <c r="CV163" s="3">
        <f>ROUND(ППД5[[#This Row],[Стоимость до скидки]]-ППД5[[#This Row],[Итоговая сумма скидки]],2)</f>
        <v>3706600</v>
      </c>
      <c r="CW16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163" s="218">
        <v>10000</v>
      </c>
      <c r="CY163" s="332">
        <f>ППД5[[#This Row],[Расхождение]]/ППД5[[#This Row],[Расчетная проектная площадь]]</f>
        <v>8.2372322899489374E-4</v>
      </c>
      <c r="CZ163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9.9999999999988987E-3</v>
      </c>
      <c r="DA163" s="3">
        <f>ППД5[[#This Row],[Цена м2 без отделки со скидкой]]+ППД5[[#This Row],[Стоимость отделки]]</f>
        <v>162660.62602965403</v>
      </c>
      <c r="DB163" s="3">
        <f>ППД5[[#This Row],[Стоимость квартиры с отделкой]]-ППД5[[#This Row],[Стоимость ОН без отделки со скидкой]]</f>
        <v>242800</v>
      </c>
      <c r="DC163" s="3">
        <f>ППД5[[#This Row],[Цена м2 с отделкой]]*ППД5[[#This Row],[Расчетная проектная площадь]]</f>
        <v>3949400</v>
      </c>
      <c r="DD163" s="3"/>
      <c r="DF163" s="155" t="s">
        <v>161</v>
      </c>
      <c r="DG163" s="221" t="s">
        <v>161</v>
      </c>
      <c r="DH163" s="100" t="b">
        <f>EXACT(ППД5[[#This Row],[Статусы CRM]],ППД5[[#This Row],[Статус]])</f>
        <v>1</v>
      </c>
      <c r="DI163" s="213" t="s">
        <v>335</v>
      </c>
      <c r="DJ163" s="204"/>
      <c r="DK163" s="111" t="s">
        <v>763</v>
      </c>
      <c r="DL163" s="216" t="s">
        <v>780</v>
      </c>
      <c r="DM163" s="201" t="b">
        <f>ППД5[[#This Row],[Отделка CRM]]=ППД5[[#This Row],[Отделка]]</f>
        <v>1</v>
      </c>
      <c r="DN163" s="203">
        <v>3949400</v>
      </c>
      <c r="DO16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63" s="207" t="b">
        <f>IF(AND(ППД5[[#This Row],[Статус]]="свободно",ППД5[[#This Row],[Итоговая сумма скидки]]&lt;&gt;0),FALSE,TRUE)</f>
        <v>1</v>
      </c>
      <c r="DQ163" s="240" t="str">
        <f>_xlfn.XLOOKUP(ППД5[[#This Row],[№]],Юрист[№ кв],Юрист[Дата подачи на регистрацию]," ",0,-1)</f>
        <v xml:space="preserve"> </v>
      </c>
      <c r="DR163" s="115" t="str">
        <f>_xlfn.XLOOKUP(ППД5[[#This Row],[№]],Юрист[№ кв],Юрист[МОП],"",0,-1)</f>
        <v/>
      </c>
      <c r="DS163" s="333" t="s">
        <v>2618</v>
      </c>
      <c r="DT163" s="333" t="s">
        <v>2619</v>
      </c>
      <c r="DU163" s="333">
        <v>22.8</v>
      </c>
      <c r="DV163" s="111"/>
    </row>
    <row r="164" spans="1:126" hidden="1" x14ac:dyDescent="0.25">
      <c r="A164" s="112">
        <v>162</v>
      </c>
      <c r="B164" s="111" t="s">
        <v>4</v>
      </c>
      <c r="C164" s="111">
        <v>8</v>
      </c>
      <c r="D164" s="111">
        <v>3</v>
      </c>
      <c r="E164" s="111">
        <v>2</v>
      </c>
      <c r="F164" s="105">
        <v>14.6</v>
      </c>
      <c r="G164" s="105">
        <v>13.12</v>
      </c>
      <c r="H164" s="105"/>
      <c r="I164" s="94">
        <f>SUM(ППД5[[#This Row],[Комната 1]:[Комната 3]])</f>
        <v>27.72</v>
      </c>
      <c r="J164" s="105">
        <v>14.35</v>
      </c>
      <c r="K164" s="105">
        <v>3.68</v>
      </c>
      <c r="L164" s="105">
        <v>2.57</v>
      </c>
      <c r="M164" s="105"/>
      <c r="N164" s="105">
        <v>7.95</v>
      </c>
      <c r="O164" s="105">
        <v>2.65</v>
      </c>
      <c r="P164" s="105"/>
      <c r="Q164" s="105"/>
      <c r="R164" s="105">
        <f>SUM(ППД5[[#This Row],[Лоджия 1]:[Лоджия 3]])</f>
        <v>2.65</v>
      </c>
      <c r="S164" s="8">
        <f>ROUND(SUM(ППД5[[#This Row],[Площадь по проекту жилая]:[Лоджия 3]]),2)</f>
        <v>58.92</v>
      </c>
      <c r="T164" s="8">
        <f>ROUND(ППД5[[#This Row],[Площадь по проекту(общая)]]-ППД5[[#This Row],[Летние]],2)</f>
        <v>56.27</v>
      </c>
      <c r="U164" s="91">
        <f>ROUND(ППД5[[#This Row],[Площадь по проекту(общая)]]-(SUM(ППД5[[#This Row],[Лоджия 1]:[Лоджия 3]])/2),2)</f>
        <v>57.6</v>
      </c>
      <c r="V164" s="91">
        <f>IF(ППД5[[#This Row],[Статус]]="продажа",ППД5[[#This Row],[Расчетная проектная площадь]],ППД5[[#This Row],[Расчетная ТП площадь]])</f>
        <v>57.6</v>
      </c>
      <c r="W164" s="91">
        <v>13.1</v>
      </c>
      <c r="X164" s="91">
        <v>14.6</v>
      </c>
      <c r="Y164" s="91"/>
      <c r="Z164" s="91">
        <f>SUM(ППД5[[#This Row],[ТП Комната 1]:[ТП Комната 3]])</f>
        <v>27.7</v>
      </c>
      <c r="AA164" s="91">
        <v>14.2</v>
      </c>
      <c r="AB164" s="91">
        <v>2.7</v>
      </c>
      <c r="AC164" s="91">
        <v>4</v>
      </c>
      <c r="AD164" s="91"/>
      <c r="AE164" s="91">
        <v>7.9</v>
      </c>
      <c r="AF164" s="91">
        <v>1.35</v>
      </c>
      <c r="AG164" s="91"/>
      <c r="AH164" s="91"/>
      <c r="AI164" s="91">
        <f>SUM(ППД5[[#This Row],[ТП Лоджия 1]:[ТП Лоджия 3]])</f>
        <v>1.35</v>
      </c>
      <c r="AJ164" s="95">
        <v>2.7</v>
      </c>
      <c r="AK164" s="91">
        <f>SUM(ППД5[[#This Row],[Площадь по ТП жилая]:[ТП Лоджия 3]])-ППД5[[#This Row],[ТП Летние]]+ППД5[[#This Row],[кроме того прочая
(без коэффициента)]]</f>
        <v>59.2</v>
      </c>
      <c r="AL164" s="95">
        <f>ППД5[[#This Row],[ТП Площадь без летних]]+(ППД5[[#This Row],[ТП Летние]])</f>
        <v>57.85</v>
      </c>
      <c r="AM164" s="91">
        <f>ППД5[[#This Row],[ТП общая S]]-ППД5[[#This Row],[кроме того прочая
(без коэффициента)]]</f>
        <v>56.5</v>
      </c>
      <c r="AN164" s="95">
        <f>SUM(ППД5[[#This Row],[ТП Кухня]:[ТП Коридор]])</f>
        <v>28.799999999999997</v>
      </c>
      <c r="AO164" s="91">
        <f>ППД5[[#This Row],[Расчетная ТП площадь]]-ППД5[[#This Row],[Расчетная проектная площадь]]</f>
        <v>0.25</v>
      </c>
      <c r="AP164" s="335">
        <f>ППД5[[#This Row],[Расчетная ТП площадь]]/ППД5[[#This Row],[Расчетная проектная площадь]]-1</f>
        <v>4.3402777777776791E-3</v>
      </c>
      <c r="AQ164" s="91">
        <f>ППД5[[#This Row],[% расхождения]]*ППД5[[#This Row],[Стоимость до скидки]]</f>
        <v>21713.237499999505</v>
      </c>
      <c r="AR164" s="91">
        <f>VLOOKUP(ППД5[[#This Row],[№]],наценкад5[],COLUMN(наценкад5[[#This Row],[Цена м2 с учетом всех K]]),0)</f>
        <v>80307.864000000001</v>
      </c>
      <c r="AS164" s="8">
        <f>ППД5[[#This Row],[м2 после К]]*5%</f>
        <v>4015.3932000000004</v>
      </c>
      <c r="AT164" s="8">
        <f>ППД5[[#This Row],[м2 после К]]+ППД5[[#This Row],[Повышение 16.08.23 - 5%]]</f>
        <v>84323.257200000007</v>
      </c>
      <c r="AU164" s="93">
        <f>ППД5[[#This Row],[Фикс 16.08.23]]*3%</f>
        <v>2529.6977160000001</v>
      </c>
      <c r="AV164" s="93">
        <f>ППД5[[#This Row],[Фикс 16.08.23]]+ППД5[[#This Row],[Повышение 29.08.23 - 3%]]</f>
        <v>86852.954916000002</v>
      </c>
      <c r="AW164" s="93"/>
      <c r="AX164" s="93">
        <f>ППД5[[#This Row],[Фикс 29.08.23]]+ППД5[[#This Row],[Повышение 06.09.23 СТ и 1К]]</f>
        <v>86852.954916000002</v>
      </c>
      <c r="AY164" s="93"/>
      <c r="AZ164" s="93">
        <f>ППД5[[#This Row],[Повышение 23.10.23  В4 ]]+ППД5[[#This Row],[Фикс 06.09.23]]</f>
        <v>86852.954916000002</v>
      </c>
      <c r="BA164" s="93"/>
      <c r="BB164" s="93">
        <f>ППД5[[#This Row],[Повышение 8.11.23 1К 5%]]+ППД5[[#This Row],[Фикс 23.10.23]]</f>
        <v>86852.954916000002</v>
      </c>
      <c r="BC164" s="93"/>
      <c r="BD164" s="93">
        <f>ППД5[[#This Row],[Корректировка 24.11.23 - 1К В5, 2К А2, №233]]+ППД5[[#This Row],[Фикс 8.11.23]]</f>
        <v>86852.954916000002</v>
      </c>
      <c r="BE164" s="93"/>
      <c r="BF164" s="93">
        <f>ППД5[[#This Row],[Наценка за отделку 29.12.23 1%]]+ППД5[[#This Row],[Фикс 8.11.24]]</f>
        <v>86852.954916000002</v>
      </c>
      <c r="BG164" s="93"/>
      <c r="BH164" s="93">
        <f>ППД5[[#This Row],[Фикс 29.12.23]]+ППД5[[#This Row],[Наценка 10.01.24 5%]]</f>
        <v>86852.954916000002</v>
      </c>
      <c r="BI164" s="93"/>
      <c r="BJ164" s="93">
        <f>ППД5[[#This Row],[Наценка 26.02.24 1 Этаж]]+ППД5[[#This Row],[Фикс 10.01.24]]</f>
        <v>86852.954916000002</v>
      </c>
      <c r="BK164" s="93"/>
      <c r="BL164" s="93">
        <f>ППД5[[#This Row],[Фикс 26.02.24]]+ППД5[[#This Row],[Наценка 06.03.24
СТ, 1К - 3%
2К, 3К - 2%]]</f>
        <v>86852.954916000002</v>
      </c>
      <c r="BM164" s="93"/>
      <c r="BN164" s="93">
        <f>ППД5[[#This Row],[Фикс 06.03.24]]+ППД5[[#This Row],[Наценка Г2+500]]</f>
        <v>86852.954916000002</v>
      </c>
      <c r="BO164" s="93"/>
      <c r="BP164" s="93">
        <f>ППД5[[#This Row],[Фикс 13.03.25]]+ППД5[[#This Row],[Наценка 20.03.24
2К, 3К - 2%]]</f>
        <v>86852.954916000002</v>
      </c>
      <c r="BQ164" s="93"/>
      <c r="BR164" s="93">
        <f>ППД5[[#This Row],[Фикс 20.03.24]]+ППД5[[#This Row],[Наценка 08.04.24 
2К: В3 - 150
3К: Г7 +1000]]</f>
        <v>86852.954916000002</v>
      </c>
      <c r="BS164" s="9"/>
      <c r="BT164" s="93">
        <f>ППД5[[#This Row],[Фикс 08.04.24]]+ППД5[[#This Row],[Наценка 16.05.24 1%
А4,А6,Б3,Б6,Б7,В2,В3,В5,В6,Г1,Г3-Г5]]</f>
        <v>86852.954916000002</v>
      </c>
      <c r="BU164" s="93"/>
      <c r="BV164" s="93">
        <f>ППД5[[#This Row],[Фикс 16.05.24]]+ППД5[[#This Row],[Наценка 24.05.24
1% - Б4, Б5,Г2,Г6
2% - А1,А3,А5,Б2,Г7]]</f>
        <v>86852.954916000002</v>
      </c>
      <c r="BW164" s="93"/>
      <c r="BX164" s="93">
        <f>ППД5[[#This Row],[Наценка 06.06.24
0К: В2,Г3 +0,5%
1К: А7, Б5/4, Г6 +0,5%
3К: В6 +0,5%
1К: А3 +1%]]+ППД5[[#This Row],[Фикс 24.05.24]]</f>
        <v>86852.954916000002</v>
      </c>
      <c r="BY164" s="93"/>
      <c r="BZ164" s="93">
        <f>ППД5[[#This Row],[Фикс 06.06.24]]+ППД5[[#This Row],[13.06.2024
3К - 2%]]</f>
        <v>86852.954916000002</v>
      </c>
      <c r="CA164" s="93"/>
      <c r="CB164" s="93">
        <f>ППД5[[#This Row],[02.07.2024: Г3 А1 А3 Б5 Б7 Г2 Г6 Б3 Б4 В3 Г7 2,5% ост 0,5-1,5%]]+ППД5[[#This Row],[Фикс 13.06.24]]</f>
        <v>86852.954916000002</v>
      </c>
      <c r="CC164" s="93"/>
      <c r="CD164" s="93">
        <f>ППД5[[#This Row],[Фикс 02.07.24]]+ППД5[[#This Row],[04.09.2024 +500
0К - Б2; 1К - А3;
2К - А6, Б4, В3, Г5]]</f>
        <v>86852.954916000002</v>
      </c>
      <c r="CE164" s="93"/>
      <c r="CF164" s="93">
        <f>ППД5[[#This Row],[Наценка 16.09.2024
1К: А1,В7,Г6/7,Г8 - 2%
2К: А4,А5,А6,Б1,Б6,Б3/4,В3,В4,Г4,Г5 - 4%
3К: 4%]]+ППД5[[#This Row],[Фикс 04.09.24]]</f>
        <v>86852.954916000002</v>
      </c>
      <c r="CG164" s="93"/>
      <c r="CH164" s="93">
        <f>ППД5[[#This Row],[Фикс 16.09.2024]]+ППД5[[#This Row],[Наценка 01.11.24
СТ: 4%
1К: 34-40м 5%; 40м+ 8%; МГН 1%
2К: 55-70м 6%; 70-73м 7%; 73-76м 8% 
3К: 5%]]</f>
        <v>86852.954916000002</v>
      </c>
      <c r="CI164" s="93"/>
      <c r="CJ164" s="93">
        <f>ППД5[[#This Row],[Наценка 06.11 13%]]+ППД5[[#This Row],[Фикс 01.11.24]]</f>
        <v>86852.954916000002</v>
      </c>
      <c r="CK164" s="93"/>
      <c r="CL164" s="93">
        <f>ППД5[[#This Row],[Фикс 06.11.24]]+ППД5[[#This Row],[Наценка 18.12.24 распределение КВ]]</f>
        <v>86852.954916000002</v>
      </c>
      <c r="CM164" s="93"/>
      <c r="CN164" s="93">
        <f>ППД5[[#This Row],[Фикс 18.12.24]]+ППД5[[#This Row],[Наценка 10.02.25 +1%
1К: А3
2К: Б3, В3]]</f>
        <v>86852.954916000002</v>
      </c>
      <c r="CO164" s="93">
        <f>ROUND(ППД5[[#This Row],[Фикс 10.02.25]],2)</f>
        <v>86852.95</v>
      </c>
      <c r="CP16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5002729.92</v>
      </c>
      <c r="CQ164" s="93">
        <f>ROUNDUP(ППД5[[#This Row],[Стоимость до скидки]]+ППД5[[#This Row],[Сумма доплаты]],-2)</f>
        <v>5024500</v>
      </c>
      <c r="CR164" s="68"/>
      <c r="CS164" s="90">
        <v>0.02</v>
      </c>
      <c r="CT164" s="68">
        <f>ППД5[[#This Row],[Стоимость до скидки]]*ППД5[[#This Row],[Скидка %]]+ППД5[[#This Row],[Скидка фиксированная]]</f>
        <v>100054.5984</v>
      </c>
      <c r="CU164" s="3">
        <f>ППД5[[#This Row],[Стоимость ОН без отделки со скидкой]]/ППД5[[#This Row],[Расчетная проектная площадь]]</f>
        <v>85115.890972222231</v>
      </c>
      <c r="CV164" s="3">
        <f>ROUND(ППД5[[#This Row],[Стоимость до скидки]]-ППД5[[#This Row],[Итоговая сумма скидки]],2)</f>
        <v>4902675.32</v>
      </c>
      <c r="CW16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164" s="197">
        <v>7500</v>
      </c>
      <c r="CY164" s="332">
        <f>ППД5[[#This Row],[Расхождение]]/ППД5[[#This Row],[Расчетная проектная площадь]]</f>
        <v>4.340277777777778E-3</v>
      </c>
      <c r="CZ16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0.24999999999999822</v>
      </c>
      <c r="DA164" s="3">
        <f>ППД5[[#This Row],[Цена м2 без отделки со скидкой]]+ППД5[[#This Row],[Стоимость отделки]]</f>
        <v>92615.890972222231</v>
      </c>
      <c r="DB164" s="3">
        <f>ППД5[[#This Row],[Стоимость квартиры с отделкой]]-ППД5[[#This Row],[Стоимость ОН без отделки со скидкой]]</f>
        <v>432000</v>
      </c>
      <c r="DC164" s="3">
        <f>ППД5[[#This Row],[Цена м2 с отделкой]]*ППД5[[#This Row],[Расчетная проектная площадь]]</f>
        <v>5334675.32</v>
      </c>
      <c r="DD164" s="3" t="s">
        <v>154</v>
      </c>
      <c r="DE164" s="111" t="s">
        <v>757</v>
      </c>
      <c r="DF164" s="199" t="s">
        <v>172</v>
      </c>
      <c r="DG164" s="245" t="s">
        <v>172</v>
      </c>
      <c r="DH164" s="100" t="b">
        <f>EXACT(ППД5[[#This Row],[Статусы CRM]],ППД5[[#This Row],[Статус]])</f>
        <v>1</v>
      </c>
      <c r="DI164" s="213" t="s">
        <v>336</v>
      </c>
      <c r="DJ164" s="204"/>
      <c r="DK164" s="111" t="s">
        <v>76</v>
      </c>
      <c r="DL164" s="216" t="s">
        <v>13</v>
      </c>
      <c r="DM164" s="201" t="b">
        <f>ППД5[[#This Row],[Отделка CRM]]=ППД5[[#This Row],[Отделка]]</f>
        <v>1</v>
      </c>
      <c r="DN164" s="203">
        <v>5334675.32</v>
      </c>
      <c r="DO16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64" s="207" t="b">
        <f>IF(AND(ППД5[[#This Row],[Статус]]="свободно",ППД5[[#This Row],[Итоговая сумма скидки]]&lt;&gt;0),FALSE,TRUE)</f>
        <v>1</v>
      </c>
      <c r="DQ164" s="240">
        <f>_xlfn.XLOOKUP(ППД5[[#This Row],[№]],Юрист[№ кв],Юрист[Дата подачи на регистрацию]," ",0,-1)</f>
        <v>45254</v>
      </c>
      <c r="DR164" s="115" t="str">
        <f>_xlfn.XLOOKUP(ППД5[[#This Row],[№]],Юрист[№ кв],Юрист[МОП],"",0,-1)</f>
        <v>Никишов</v>
      </c>
      <c r="DS164" s="333" t="s">
        <v>2620</v>
      </c>
      <c r="DT164" s="333" t="s">
        <v>2621</v>
      </c>
      <c r="DU164" s="333">
        <v>56.5</v>
      </c>
      <c r="DV164" s="111"/>
    </row>
    <row r="165" spans="1:126" hidden="1" x14ac:dyDescent="0.25">
      <c r="A165" s="112">
        <v>163</v>
      </c>
      <c r="B165" s="111" t="s">
        <v>4</v>
      </c>
      <c r="C165" s="111">
        <v>8</v>
      </c>
      <c r="D165" s="111">
        <v>4</v>
      </c>
      <c r="E165" s="111">
        <v>2</v>
      </c>
      <c r="F165" s="105">
        <v>15.45</v>
      </c>
      <c r="G165" s="105">
        <v>14.5</v>
      </c>
      <c r="H165" s="105"/>
      <c r="I165" s="94">
        <f>SUM(ППД5[[#This Row],[Комната 1]:[Комната 3]])</f>
        <v>29.95</v>
      </c>
      <c r="J165" s="105">
        <v>11.95</v>
      </c>
      <c r="K165" s="105">
        <v>3.86</v>
      </c>
      <c r="L165" s="105">
        <v>2.37</v>
      </c>
      <c r="M165" s="105"/>
      <c r="N165" s="105">
        <v>8.8699999999999992</v>
      </c>
      <c r="O165" s="105">
        <v>2.62</v>
      </c>
      <c r="P165" s="105"/>
      <c r="Q165" s="105"/>
      <c r="R165" s="105">
        <f>SUM(ППД5[[#This Row],[Лоджия 1]:[Лоджия 3]])</f>
        <v>2.62</v>
      </c>
      <c r="S165" s="8">
        <f>ROUND(SUM(ППД5[[#This Row],[Площадь по проекту жилая]:[Лоджия 3]]),2)</f>
        <v>59.62</v>
      </c>
      <c r="T165" s="8">
        <f>ROUND(ППД5[[#This Row],[Площадь по проекту(общая)]]-ППД5[[#This Row],[Летние]],2)</f>
        <v>57</v>
      </c>
      <c r="U165" s="91">
        <f>ROUND(ППД5[[#This Row],[Площадь по проекту(общая)]]-(SUM(ППД5[[#This Row],[Лоджия 1]:[Лоджия 3]])/2),2)</f>
        <v>58.31</v>
      </c>
      <c r="V165" s="91">
        <f>IF(ППД5[[#This Row],[Статус]]="продажа",ППД5[[#This Row],[Расчетная проектная площадь]],ППД5[[#This Row],[Расчетная ТП площадь]])</f>
        <v>58.349999999999994</v>
      </c>
      <c r="W165" s="91">
        <v>14.5</v>
      </c>
      <c r="X165" s="91">
        <v>15.4</v>
      </c>
      <c r="Y165" s="91"/>
      <c r="Z165" s="91">
        <f>SUM(ППД5[[#This Row],[ТП Комната 1]:[ТП Комната 3]])</f>
        <v>29.9</v>
      </c>
      <c r="AA165" s="91">
        <v>11.9</v>
      </c>
      <c r="AB165" s="91">
        <v>3.9</v>
      </c>
      <c r="AC165" s="91">
        <v>2.4</v>
      </c>
      <c r="AD165" s="91"/>
      <c r="AE165" s="91">
        <v>8.9</v>
      </c>
      <c r="AF165" s="91">
        <v>1.35</v>
      </c>
      <c r="AG165" s="91"/>
      <c r="AH165" s="91"/>
      <c r="AI165" s="91">
        <f>SUM(ППД5[[#This Row],[ТП Лоджия 1]:[ТП Лоджия 3]])</f>
        <v>1.35</v>
      </c>
      <c r="AJ165" s="95">
        <v>2.7</v>
      </c>
      <c r="AK165" s="91">
        <f>SUM(ППД5[[#This Row],[Площадь по ТП жилая]:[ТП Лоджия 3]])-ППД5[[#This Row],[ТП Летние]]+ППД5[[#This Row],[кроме того прочая
(без коэффициента)]]</f>
        <v>59.699999999999996</v>
      </c>
      <c r="AL165" s="95">
        <f>ППД5[[#This Row],[ТП Площадь без летних]]+(ППД5[[#This Row],[ТП Летние]])</f>
        <v>58.349999999999994</v>
      </c>
      <c r="AM165" s="91">
        <f>ППД5[[#This Row],[ТП общая S]]-ППД5[[#This Row],[кроме того прочая
(без коэффициента)]]</f>
        <v>56.999999999999993</v>
      </c>
      <c r="AN165" s="95">
        <f>SUM(ППД5[[#This Row],[ТП Кухня]:[ТП Коридор]])</f>
        <v>27.1</v>
      </c>
      <c r="AO165" s="91">
        <f>ППД5[[#This Row],[Расчетная ТП площадь]]-ППД5[[#This Row],[Расчетная проектная площадь]]</f>
        <v>3.9999999999992042E-2</v>
      </c>
      <c r="AP165" s="335">
        <f>ППД5[[#This Row],[Расчетная ТП площадь]]/ППД5[[#This Row],[Расчетная проектная площадь]]-1</f>
        <v>6.8598868118652234E-4</v>
      </c>
      <c r="AQ165" s="91">
        <f>ППД5[[#This Row],[% расхождения]]*ППД5[[#This Row],[Стоимость до скидки]]</f>
        <v>5040.987823699159</v>
      </c>
      <c r="AR165" s="91">
        <f>VLOOKUP(ППД5[[#This Row],[№]],наценкад5[],COLUMN(наценкад5[[#This Row],[Цена м2 с учетом всех K]]),0)</f>
        <v>81466.150500000003</v>
      </c>
      <c r="AS165" s="8">
        <f>ППД5[[#This Row],[м2 после К]]*5%</f>
        <v>4073.3075250000002</v>
      </c>
      <c r="AT165" s="8">
        <f>ППД5[[#This Row],[м2 после К]]+ППД5[[#This Row],[Повышение 16.08.23 - 5%]]</f>
        <v>85539.458025</v>
      </c>
      <c r="AU165" s="93">
        <f>ППД5[[#This Row],[Фикс 16.08.23]]*3%</f>
        <v>2566.1837407499997</v>
      </c>
      <c r="AV165" s="93">
        <f>ППД5[[#This Row],[Фикс 16.08.23]]+ППД5[[#This Row],[Повышение 29.08.23 - 3%]]</f>
        <v>88105.641765749999</v>
      </c>
      <c r="AW165" s="93"/>
      <c r="AX165" s="93">
        <f>ППД5[[#This Row],[Фикс 29.08.23]]+ППД5[[#This Row],[Повышение 06.09.23 СТ и 1К]]</f>
        <v>88105.641765749999</v>
      </c>
      <c r="AY165" s="93"/>
      <c r="AZ165" s="93">
        <f>ППД5[[#This Row],[Повышение 23.10.23  В4 ]]+ППД5[[#This Row],[Фикс 06.09.23]]</f>
        <v>88105.641765749999</v>
      </c>
      <c r="BA165" s="93"/>
      <c r="BB165" s="93">
        <f>ППД5[[#This Row],[Повышение 8.11.23 1К 5%]]+ППД5[[#This Row],[Фикс 23.10.23]]</f>
        <v>88105.641765749999</v>
      </c>
      <c r="BC165" s="93"/>
      <c r="BD165" s="93">
        <f>ППД5[[#This Row],[Корректировка 24.11.23 - 1К В5, 2К А2, №233]]+ППД5[[#This Row],[Фикс 8.11.23]]</f>
        <v>88105.641765749999</v>
      </c>
      <c r="BE165" s="93">
        <f>ППД5[[#This Row],[Фикс 8.11.24]]*1%</f>
        <v>881.05641765749999</v>
      </c>
      <c r="BF165" s="93">
        <f>ППД5[[#This Row],[Наценка за отделку 29.12.23 1%]]+ППД5[[#This Row],[Фикс 8.11.24]]</f>
        <v>88986.698183407498</v>
      </c>
      <c r="BG165" s="93">
        <f>ППД5[[#This Row],[Фикс 29.12.23]]*5%</f>
        <v>4449.3349091703749</v>
      </c>
      <c r="BH165" s="93">
        <f>ППД5[[#This Row],[Фикс 29.12.23]]+ППД5[[#This Row],[Наценка 10.01.24 5%]]</f>
        <v>93436.033092577869</v>
      </c>
      <c r="BI165" s="93"/>
      <c r="BJ165" s="93">
        <f>ППД5[[#This Row],[Наценка 26.02.24 1 Этаж]]+ППД5[[#This Row],[Фикс 10.01.24]]</f>
        <v>93436.033092577869</v>
      </c>
      <c r="BK165" s="93">
        <f>ППД5[[#This Row],[Фикс 26.02.24]]*2%</f>
        <v>1868.7206618515575</v>
      </c>
      <c r="BL165" s="93">
        <f>ППД5[[#This Row],[Фикс 26.02.24]]+ППД5[[#This Row],[Наценка 06.03.24
СТ, 1К - 3%
2К, 3К - 2%]]</f>
        <v>95304.753754429432</v>
      </c>
      <c r="BM165" s="93"/>
      <c r="BN165" s="93">
        <f>ППД5[[#This Row],[Фикс 06.03.24]]+ППД5[[#This Row],[Наценка Г2+500]]</f>
        <v>95304.753754429432</v>
      </c>
      <c r="BO165" s="93">
        <f>ППД5[[#This Row],[Фикс 13.03.25]]*2%</f>
        <v>1906.0950750885886</v>
      </c>
      <c r="BP165" s="93">
        <f>ППД5[[#This Row],[Фикс 13.03.25]]+ППД5[[#This Row],[Наценка 20.03.24
2К, 3К - 2%]]</f>
        <v>97210.848829518014</v>
      </c>
      <c r="BQ165" s="93"/>
      <c r="BR165" s="93">
        <f>ППД5[[#This Row],[Фикс 20.03.24]]+ППД5[[#This Row],[Наценка 08.04.24 
2К: В3 - 150
3К: Г7 +1000]]</f>
        <v>97210.848829518014</v>
      </c>
      <c r="BS165" s="93"/>
      <c r="BT165" s="93">
        <f>ППД5[[#This Row],[Фикс 08.04.24]]+ППД5[[#This Row],[Наценка 16.05.24 1%
А4,А6,Б3,Б6,Б7,В2,В3,В5,В6,Г1,Г3-Г5]]</f>
        <v>97210.848829518014</v>
      </c>
      <c r="BU165" s="93">
        <f>ППД5[[#This Row],[Фикс 16.05.24]]*1%</f>
        <v>972.10848829518011</v>
      </c>
      <c r="BV165" s="93">
        <f>ППД5[[#This Row],[Фикс 16.05.24]]+ППД5[[#This Row],[Наценка 24.05.24
1% - Б4, Б5,Г2,Г6
2% - А1,А3,А5,Б2,Г7]]</f>
        <v>98182.957317813198</v>
      </c>
      <c r="BW165" s="93"/>
      <c r="BX165" s="93">
        <f>ППД5[[#This Row],[Наценка 06.06.24
0К: В2,Г3 +0,5%
1К: А7, Б5/4, Г6 +0,5%
3К: В6 +0,5%
1К: А3 +1%]]+ППД5[[#This Row],[Фикс 24.05.24]]</f>
        <v>98182.957317813198</v>
      </c>
      <c r="BY165" s="93"/>
      <c r="BZ165" s="93">
        <f>ППД5[[#This Row],[Фикс 06.06.24]]+ППД5[[#This Row],[13.06.2024
3К - 2%]]</f>
        <v>98182.957317813198</v>
      </c>
      <c r="CA165" s="93">
        <f>2.5%*ППД5[[#This Row],[Фикс 13.06.24]]</f>
        <v>2454.5739329453299</v>
      </c>
      <c r="CB165" s="93">
        <f>ППД5[[#This Row],[02.07.2024: Г3 А1 А3 Б5 Б7 Г2 Г6 Б3 Б4 В3 Г7 2,5% ост 0,5-1,5%]]+ППД5[[#This Row],[Фикс 13.06.24]]</f>
        <v>100637.53125075853</v>
      </c>
      <c r="CC165" s="93">
        <v>500</v>
      </c>
      <c r="CD165" s="93">
        <f>ППД5[[#This Row],[Фикс 02.07.24]]+ППД5[[#This Row],[04.09.2024 +500
0К - Б2; 1К - А3;
2К - А6, Б4, В3, Г5]]</f>
        <v>101137.53125075853</v>
      </c>
      <c r="CE165" s="93">
        <f>ППД5[[#This Row],[Фикс 04.09.24]]*4%</f>
        <v>4045.5012500303415</v>
      </c>
      <c r="CF165" s="93">
        <f>ППД5[[#This Row],[Наценка 16.09.2024
1К: А1,В7,Г6/7,Г8 - 2%
2К: А4,А5,А6,Б1,Б6,Б3/4,В3,В4,Г4,Г5 - 4%
3К: 4%]]+ППД5[[#This Row],[Фикс 04.09.24]]</f>
        <v>105183.03250078888</v>
      </c>
      <c r="CG165" s="93">
        <f>ППД5[[#This Row],[Фикс 16.09.2024]]*6%</f>
        <v>6310.9819500473322</v>
      </c>
      <c r="CH165" s="93">
        <f>ППД5[[#This Row],[Фикс 16.09.2024]]+ППД5[[#This Row],[Наценка 01.11.24
СТ: 4%
1К: 34-40м 5%; 40м+ 8%; МГН 1%
2К: 55-70м 6%; 70-73м 7%; 73-76м 8% 
3К: 5%]]</f>
        <v>111494.01445083621</v>
      </c>
      <c r="CI165" s="93">
        <f>ППД5[[#This Row],[Фикс 01.11.24]]*13%</f>
        <v>14494.221878608709</v>
      </c>
      <c r="CJ165" s="93">
        <f>ППД5[[#This Row],[Наценка 06.11 13%]]+ППД5[[#This Row],[Фикс 01.11.24]]</f>
        <v>125988.23632944492</v>
      </c>
      <c r="CK165" s="93">
        <v>35</v>
      </c>
      <c r="CL165" s="93">
        <f>ППД5[[#This Row],[Фикс 06.11.24]]+ППД5[[#This Row],[Наценка 18.12.24 распределение КВ]]</f>
        <v>126023.23632944492</v>
      </c>
      <c r="CM165" s="93"/>
      <c r="CN165" s="93">
        <f>ППД5[[#This Row],[Фикс 18.12.24]]+ППД5[[#This Row],[Наценка 10.02.25 +1%
1К: А3
2К: Б3, В3]]</f>
        <v>126023.23632944492</v>
      </c>
      <c r="CO165" s="93">
        <f>ROUND(ППД5[[#This Row],[Фикс 10.02.25]],2)</f>
        <v>126023.24</v>
      </c>
      <c r="CP16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7348500</v>
      </c>
      <c r="CQ165" s="93">
        <f>ROUNDUP(ППД5[[#This Row],[Стоимость до скидки]]+ППД5[[#This Row],[Сумма доплаты]],-2)</f>
        <v>7353600</v>
      </c>
      <c r="CR165" s="68"/>
      <c r="CS165" s="90"/>
      <c r="CT165" s="68">
        <f>ППД5[[#This Row],[Стоимость до скидки]]*ППД5[[#This Row],[Скидка %]]+ППД5[[#This Row],[Скидка фиксированная]]</f>
        <v>0</v>
      </c>
      <c r="CU165" s="3">
        <f>ППД5[[#This Row],[Стоимость ОН без отделки со скидкой]]/ППД5[[#This Row],[Расчетная проектная площадь]]</f>
        <v>126024.69559252272</v>
      </c>
      <c r="CV165" s="3">
        <f>ROUND(ППД5[[#This Row],[Стоимость до скидки]]-ППД5[[#This Row],[Итоговая сумма скидки]],2)</f>
        <v>7348500</v>
      </c>
      <c r="CW16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65" s="197"/>
      <c r="CY165" s="332">
        <f>ППД5[[#This Row],[Расхождение]]/ППД5[[#This Row],[Расчетная проектная площадь]]</f>
        <v>6.8598868118662393E-4</v>
      </c>
      <c r="CZ16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5.0000000000004263E-2</v>
      </c>
      <c r="DA165" s="3">
        <f>ППД5[[#This Row],[Цена м2 без отделки со скидкой]]+ППД5[[#This Row],[Стоимость отделки]]</f>
        <v>126024.69559252272</v>
      </c>
      <c r="DB165" s="3">
        <f>ППД5[[#This Row],[Стоимость квартиры с отделкой]]-ППД5[[#This Row],[Стоимость ОН без отделки со скидкой]]</f>
        <v>0</v>
      </c>
      <c r="DC165" s="3">
        <f>ППД5[[#This Row],[Цена м2 с отделкой]]*ППД5[[#This Row],[Расчетная проектная площадь]]</f>
        <v>7348500</v>
      </c>
      <c r="DD165" s="3"/>
      <c r="DF165" s="199" t="s">
        <v>157</v>
      </c>
      <c r="DG165" s="221" t="s">
        <v>157</v>
      </c>
      <c r="DH165" s="100" t="b">
        <f>EXACT(ППД5[[#This Row],[Статусы CRM]],ППД5[[#This Row],[Статус]])</f>
        <v>1</v>
      </c>
      <c r="DI165" s="213" t="s">
        <v>337</v>
      </c>
      <c r="DJ165" s="204"/>
      <c r="DK165" s="111" t="s">
        <v>763</v>
      </c>
      <c r="DL165" s="216" t="s">
        <v>12</v>
      </c>
      <c r="DM165" s="201" t="b">
        <f>ППД5[[#This Row],[Отделка CRM]]=ППД5[[#This Row],[Отделка]]</f>
        <v>1</v>
      </c>
      <c r="DN165" s="203">
        <v>7348500</v>
      </c>
      <c r="DO16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65" s="207" t="b">
        <f>IF(AND(ППД5[[#This Row],[Статус]]="свободно",ППД5[[#This Row],[Итоговая сумма скидки]]&lt;&gt;0),FALSE,TRUE)</f>
        <v>1</v>
      </c>
      <c r="DQ165" s="240" t="str">
        <f>_xlfn.XLOOKUP(ППД5[[#This Row],[№]],Юрист[№ кв],Юрист[Дата подачи на регистрацию]," ",0,-1)</f>
        <v xml:space="preserve"> </v>
      </c>
      <c r="DR165" s="115" t="str">
        <f>_xlfn.XLOOKUP(ППД5[[#This Row],[№]],Юрист[№ кв],Юрист[МОП],"",0,-1)</f>
        <v/>
      </c>
      <c r="DS165" s="333" t="s">
        <v>2622</v>
      </c>
      <c r="DT165" s="333" t="s">
        <v>2623</v>
      </c>
      <c r="DU165" s="333">
        <v>57</v>
      </c>
      <c r="DV165" s="111"/>
    </row>
    <row r="166" spans="1:126" hidden="1" x14ac:dyDescent="0.25">
      <c r="A166" s="112">
        <v>164</v>
      </c>
      <c r="B166" s="111" t="s">
        <v>4</v>
      </c>
      <c r="C166" s="111">
        <v>8</v>
      </c>
      <c r="D166" s="111">
        <v>5</v>
      </c>
      <c r="E166" s="111">
        <v>1</v>
      </c>
      <c r="F166" s="105">
        <v>12.06</v>
      </c>
      <c r="G166" s="105"/>
      <c r="H166" s="105"/>
      <c r="I166" s="94">
        <f>SUM(ППД5[[#This Row],[Комната 1]:[Комната 3]])</f>
        <v>12.06</v>
      </c>
      <c r="J166" s="105">
        <v>13.18</v>
      </c>
      <c r="K166" s="105">
        <v>4.1100000000000003</v>
      </c>
      <c r="L166" s="105"/>
      <c r="M166" s="105"/>
      <c r="N166" s="105">
        <v>7.09</v>
      </c>
      <c r="O166" s="105">
        <v>2.84</v>
      </c>
      <c r="P166" s="105"/>
      <c r="Q166" s="105"/>
      <c r="R166" s="105">
        <f>SUM(ППД5[[#This Row],[Лоджия 1]:[Лоджия 3]])</f>
        <v>2.84</v>
      </c>
      <c r="S166" s="8">
        <f>ROUND(SUM(ППД5[[#This Row],[Площадь по проекту жилая]:[Лоджия 3]]),2)</f>
        <v>39.28</v>
      </c>
      <c r="T166" s="8">
        <f>ROUND(ППД5[[#This Row],[Площадь по проекту(общая)]]-ППД5[[#This Row],[Летние]],2)</f>
        <v>36.44</v>
      </c>
      <c r="U166" s="91">
        <f>ROUND(ППД5[[#This Row],[Площадь по проекту(общая)]]-(SUM(ППД5[[#This Row],[Лоджия 1]:[Лоджия 3]])/2),2)</f>
        <v>37.86</v>
      </c>
      <c r="V166" s="91">
        <f>IF(ППД5[[#This Row],[Статус]]="продажа",ППД5[[#This Row],[Расчетная проектная площадь]],ППД5[[#This Row],[Расчетная ТП площадь]])</f>
        <v>37.86</v>
      </c>
      <c r="W166" s="91">
        <v>12.4</v>
      </c>
      <c r="X166" s="91"/>
      <c r="Y166" s="91"/>
      <c r="Z166" s="91">
        <f>SUM(ППД5[[#This Row],[ТП Комната 1]:[ТП Комната 3]])</f>
        <v>12.4</v>
      </c>
      <c r="AA166" s="91">
        <v>12.6</v>
      </c>
      <c r="AB166" s="91">
        <v>4.0999999999999996</v>
      </c>
      <c r="AC166" s="91"/>
      <c r="AD166" s="91"/>
      <c r="AE166" s="91">
        <v>7.1</v>
      </c>
      <c r="AF166" s="91">
        <v>1.45</v>
      </c>
      <c r="AG166" s="91"/>
      <c r="AH166" s="91"/>
      <c r="AI166" s="91">
        <f>SUM(ППД5[[#This Row],[ТП Лоджия 1]:[ТП Лоджия 3]])</f>
        <v>1.45</v>
      </c>
      <c r="AJ166" s="95">
        <v>2.9</v>
      </c>
      <c r="AK166" s="91">
        <f>SUM(ППД5[[#This Row],[Площадь по ТП жилая]:[ТП Лоджия 3]])-ППД5[[#This Row],[ТП Летние]]+ППД5[[#This Row],[кроме того прочая
(без коэффициента)]]</f>
        <v>39.1</v>
      </c>
      <c r="AL166" s="95">
        <f>ППД5[[#This Row],[ТП Площадь без летних]]+(ППД5[[#This Row],[ТП Летние]])</f>
        <v>37.650000000000006</v>
      </c>
      <c r="AM166" s="91">
        <f>ППД5[[#This Row],[ТП общая S]]-ППД5[[#This Row],[кроме того прочая
(без коэффициента)]]</f>
        <v>36.200000000000003</v>
      </c>
      <c r="AN166" s="95">
        <f>SUM(ППД5[[#This Row],[ТП Кухня]:[ТП Коридор]])</f>
        <v>23.799999999999997</v>
      </c>
      <c r="AO166" s="91">
        <f>ППД5[[#This Row],[Расчетная ТП площадь]]-ППД5[[#This Row],[Расчетная проектная площадь]]</f>
        <v>-0.20999999999999375</v>
      </c>
      <c r="AP166" s="335">
        <f>ППД5[[#This Row],[Расчетная ТП площадь]]/ППД5[[#This Row],[Расчетная проектная площадь]]-1</f>
        <v>-5.5467511885893828E-3</v>
      </c>
      <c r="AQ166" s="91">
        <f>ППД5[[#This Row],[% расхождения]]*ППД5[[#This Row],[Стоимость до скидки]]</f>
        <v>-24287.559429476329</v>
      </c>
      <c r="AR166" s="91">
        <f>VLOOKUP(ППД5[[#This Row],[№]],наценкад5[],COLUMN(наценкад5[[#This Row],[Цена м2 с учетом всех K]]),0)</f>
        <v>89223.75</v>
      </c>
      <c r="AS166" s="8">
        <f>ППД5[[#This Row],[м2 после К]]*5%</f>
        <v>4461.1875</v>
      </c>
      <c r="AT166" s="8">
        <f>ППД5[[#This Row],[м2 после К]]+ППД5[[#This Row],[Повышение 16.08.23 - 5%]]</f>
        <v>93684.9375</v>
      </c>
      <c r="AU166" s="93">
        <f>ППД5[[#This Row],[Фикс 16.08.23]]*3%</f>
        <v>2810.5481249999998</v>
      </c>
      <c r="AV166" s="93">
        <f>ППД5[[#This Row],[Фикс 16.08.23]]+ППД5[[#This Row],[Повышение 29.08.23 - 3%]]</f>
        <v>96495.485625000001</v>
      </c>
      <c r="AW166" s="93">
        <f>ППД5[[#This Row],[Фикс 29.08.23]]*4.5%</f>
        <v>4342.2968531249999</v>
      </c>
      <c r="AX166" s="93">
        <f>ППД5[[#This Row],[Фикс 29.08.23]]+ППД5[[#This Row],[Повышение 06.09.23 СТ и 1К]]</f>
        <v>100837.78247812499</v>
      </c>
      <c r="AY166" s="93"/>
      <c r="AZ166" s="93">
        <f>ППД5[[#This Row],[Повышение 23.10.23  В4 ]]+ППД5[[#This Row],[Фикс 06.09.23]]</f>
        <v>100837.78247812499</v>
      </c>
      <c r="BA166" s="93">
        <f>ППД5[[#This Row],[Фикс 23.10.23]]*5%</f>
        <v>5041.8891239062505</v>
      </c>
      <c r="BB166" s="93">
        <f>ППД5[[#This Row],[Повышение 8.11.23 1К 5%]]+ППД5[[#This Row],[Фикс 23.10.23]]</f>
        <v>105879.67160203125</v>
      </c>
      <c r="BC166" s="93"/>
      <c r="BD166" s="93">
        <f>ППД5[[#This Row],[Корректировка 24.11.23 - 1К В5, 2К А2, №233]]+ППД5[[#This Row],[Фикс 8.11.23]]</f>
        <v>105879.67160203125</v>
      </c>
      <c r="BE166" s="93">
        <f>ППД5[[#This Row],[Фикс 8.11.24]]*1%</f>
        <v>1058.7967160203125</v>
      </c>
      <c r="BF166" s="93">
        <f>ППД5[[#This Row],[Наценка за отделку 29.12.23 1%]]+ППД5[[#This Row],[Фикс 8.11.24]]</f>
        <v>106938.46831805156</v>
      </c>
      <c r="BG166" s="93">
        <f>ППД5[[#This Row],[Фикс 29.12.23]]*5%</f>
        <v>5346.9234159025782</v>
      </c>
      <c r="BH166" s="93">
        <f>ППД5[[#This Row],[Фикс 29.12.23]]+ППД5[[#This Row],[Наценка 10.01.24 5%]]</f>
        <v>112285.39173395414</v>
      </c>
      <c r="BI166" s="93"/>
      <c r="BJ166" s="93">
        <f>ППД5[[#This Row],[Наценка 26.02.24 1 Этаж]]+ППД5[[#This Row],[Фикс 10.01.24]]</f>
        <v>112285.39173395414</v>
      </c>
      <c r="BK166" s="93">
        <f>ППД5[[#This Row],[Фикс 26.02.24]]*3%</f>
        <v>3368.5617520186238</v>
      </c>
      <c r="BL166" s="93">
        <f>ППД5[[#This Row],[Фикс 26.02.24]]+ППД5[[#This Row],[Наценка 06.03.24
СТ, 1К - 3%
2К, 3К - 2%]]</f>
        <v>115653.95348597276</v>
      </c>
      <c r="BM166" s="93"/>
      <c r="BN166" s="93">
        <f>ППД5[[#This Row],[Фикс 06.03.24]]+ППД5[[#This Row],[Наценка Г2+500]]</f>
        <v>115653.95348597276</v>
      </c>
      <c r="BO166" s="93"/>
      <c r="BP166" s="93">
        <f>ППД5[[#This Row],[Фикс 13.03.25]]+ППД5[[#This Row],[Наценка 20.03.24
2К, 3К - 2%]]</f>
        <v>115653.95348597276</v>
      </c>
      <c r="BQ166" s="93"/>
      <c r="BR166" s="93">
        <f>ППД5[[#This Row],[Фикс 20.03.24]]+ППД5[[#This Row],[Наценка 08.04.24 
2К: В3 - 150
3К: Г7 +1000]]</f>
        <v>115653.95348597276</v>
      </c>
      <c r="BS166" s="93"/>
      <c r="BT166" s="93">
        <f>ППД5[[#This Row],[Фикс 08.04.24]]+ППД5[[#This Row],[Наценка 16.05.24 1%
А4,А6,Б3,Б6,Б7,В2,В3,В5,В6,Г1,Г3-Г5]]</f>
        <v>115653.95348597276</v>
      </c>
      <c r="BU166" s="93"/>
      <c r="BV166" s="93">
        <f>ППД5[[#This Row],[Фикс 16.05.24]]+ППД5[[#This Row],[Наценка 24.05.24
1% - Б4, Б5,Г2,Г6
2% - А1,А3,А5,Б2,Г7]]</f>
        <v>115653.95348597276</v>
      </c>
      <c r="BW166" s="93"/>
      <c r="BX166" s="93">
        <f>ППД5[[#This Row],[Наценка 06.06.24
0К: В2,Г3 +0,5%
1К: А7, Б5/4, Г6 +0,5%
3К: В6 +0,5%
1К: А3 +1%]]+ППД5[[#This Row],[Фикс 24.05.24]]</f>
        <v>115653.95348597276</v>
      </c>
      <c r="BY166" s="93"/>
      <c r="BZ166" s="93">
        <f>ППД5[[#This Row],[Фикс 06.06.24]]+ППД5[[#This Row],[13.06.2024
3К - 2%]]</f>
        <v>115653.95348597276</v>
      </c>
      <c r="CA166" s="93"/>
      <c r="CB166" s="93">
        <f>ППД5[[#This Row],[02.07.2024: Г3 А1 А3 Б5 Б7 Г2 Г6 Б3 Б4 В3 Г7 2,5% ост 0,5-1,5%]]+ППД5[[#This Row],[Фикс 13.06.24]]</f>
        <v>115653.95348597276</v>
      </c>
      <c r="CC166" s="93"/>
      <c r="CD166" s="93">
        <f>ППД5[[#This Row],[Фикс 02.07.24]]+ППД5[[#This Row],[04.09.2024 +500
0К - Б2; 1К - А3;
2К - А6, Б4, В3, Г5]]</f>
        <v>115653.95348597276</v>
      </c>
      <c r="CE166" s="93"/>
      <c r="CF166" s="93">
        <f>ППД5[[#This Row],[Наценка 16.09.2024
1К: А1,В7,Г6/7,Г8 - 2%
2К: А4,А5,А6,Б1,Б6,Б3/4,В3,В4,Г4,Г5 - 4%
3К: 4%]]+ППД5[[#This Row],[Фикс 04.09.24]]</f>
        <v>115653.95348597276</v>
      </c>
      <c r="CG166" s="93"/>
      <c r="CH166" s="93">
        <f>ППД5[[#This Row],[Фикс 16.09.2024]]+ППД5[[#This Row],[Наценка 01.11.24
СТ: 4%
1К: 34-40м 5%; 40м+ 8%; МГН 1%
2К: 55-70м 6%; 70-73м 7%; 73-76м 8% 
3К: 5%]]</f>
        <v>115653.95348597276</v>
      </c>
      <c r="CI166" s="93"/>
      <c r="CJ166" s="93">
        <f>ППД5[[#This Row],[Наценка 06.11 13%]]+ППД5[[#This Row],[Фикс 01.11.24]]</f>
        <v>115653.95348597276</v>
      </c>
      <c r="CK166" s="93"/>
      <c r="CL166" s="93">
        <f>ППД5[[#This Row],[Фикс 06.11.24]]+ППД5[[#This Row],[Наценка 18.12.24 распределение КВ]]</f>
        <v>115653.95348597276</v>
      </c>
      <c r="CM166" s="93"/>
      <c r="CN166" s="93">
        <f>ППД5[[#This Row],[Фикс 18.12.24]]+ППД5[[#This Row],[Наценка 10.02.25 +1%
1К: А3
2К: Б3, В3]]</f>
        <v>115653.95348597276</v>
      </c>
      <c r="CO166" s="93">
        <f>ROUND(ППД5[[#This Row],[Фикс 10.02.25]],2)</f>
        <v>115653.95</v>
      </c>
      <c r="CP16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4378700</v>
      </c>
      <c r="CQ166" s="93">
        <f>ROUNDUP(ППД5[[#This Row],[Стоимость до скидки]]+ППД5[[#This Row],[Сумма доплаты]],-2)</f>
        <v>4354500</v>
      </c>
      <c r="CR166" s="68">
        <v>88888</v>
      </c>
      <c r="CS166" s="90"/>
      <c r="CT166" s="68">
        <f>ППД5[[#This Row],[Стоимость до скидки]]*ППД5[[#This Row],[Скидка %]]+ППД5[[#This Row],[Скидка фиксированная]]</f>
        <v>88888</v>
      </c>
      <c r="CU166" s="3">
        <f>ППД5[[#This Row],[Стоимость ОН без отделки со скидкой]]/ППД5[[#This Row],[Расчетная проектная площадь]]</f>
        <v>113307.23718964607</v>
      </c>
      <c r="CV166" s="3">
        <f>ROUND(ППД5[[#This Row],[Стоимость до скидки]]-ППД5[[#This Row],[Итоговая сумма скидки]],2)</f>
        <v>4289812</v>
      </c>
      <c r="CW16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166" s="197">
        <v>20000</v>
      </c>
      <c r="CY166" s="332">
        <f>ППД5[[#This Row],[Расхождение]]/ППД5[[#This Row],[Расчетная проектная площадь]]</f>
        <v>-5.546751188589375E-3</v>
      </c>
      <c r="CZ16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-0.58000000000000185</v>
      </c>
      <c r="DA166" s="3">
        <f>ППД5[[#This Row],[Цена м2 без отделки со скидкой]]+ППД5[[#This Row],[Стоимость отделки]]</f>
        <v>133307.23718964605</v>
      </c>
      <c r="DB166" s="3">
        <f>ППД5[[#This Row],[Стоимость квартиры с отделкой]]-ППД5[[#This Row],[Стоимость ОН без отделки со скидкой]]</f>
        <v>757199.99999999907</v>
      </c>
      <c r="DC166" s="3">
        <f>ППД5[[#This Row],[Цена м2 с отделкой]]*ППД5[[#This Row],[Расчетная проектная площадь]]</f>
        <v>5047011.9999999991</v>
      </c>
      <c r="DD166" s="3"/>
      <c r="DE166" s="111" t="s">
        <v>781</v>
      </c>
      <c r="DF166" s="199" t="s">
        <v>172</v>
      </c>
      <c r="DG166" s="245" t="s">
        <v>172</v>
      </c>
      <c r="DH166" s="100" t="b">
        <f>EXACT(ППД5[[#This Row],[Статусы CRM]],ППД5[[#This Row],[Статус]])</f>
        <v>1</v>
      </c>
      <c r="DI166" s="213" t="s">
        <v>338</v>
      </c>
      <c r="DJ166" s="204"/>
      <c r="DK166" s="111" t="s">
        <v>763</v>
      </c>
      <c r="DL166" s="216" t="s">
        <v>14</v>
      </c>
      <c r="DM166" s="201" t="b">
        <f>ППД5[[#This Row],[Отделка CRM]]=ППД5[[#This Row],[Отделка]]</f>
        <v>1</v>
      </c>
      <c r="DN166" s="203">
        <v>5047012</v>
      </c>
      <c r="DO16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9.3132257461547852E-10</v>
      </c>
      <c r="DP166" s="207" t="b">
        <f>IF(AND(ППД5[[#This Row],[Статус]]="свободно",ППД5[[#This Row],[Итоговая сумма скидки]]&lt;&gt;0),FALSE,TRUE)</f>
        <v>1</v>
      </c>
      <c r="DQ166" s="240">
        <f>_xlfn.XLOOKUP(ППД5[[#This Row],[№]],Юрист[№ кв],Юрист[Дата подачи на регистрацию]," ",0,-1)</f>
        <v>45397</v>
      </c>
      <c r="DR166" s="115" t="str">
        <f>_xlfn.XLOOKUP(ППД5[[#This Row],[№]],Юрист[№ кв],Юрист[МОП],"",0,-1)</f>
        <v>Дик</v>
      </c>
      <c r="DS166" s="333" t="s">
        <v>2624</v>
      </c>
      <c r="DT166" s="333" t="s">
        <v>2625</v>
      </c>
      <c r="DU166" s="333">
        <v>36.200000000000003</v>
      </c>
      <c r="DV166" s="111"/>
    </row>
    <row r="167" spans="1:126" hidden="1" x14ac:dyDescent="0.25">
      <c r="A167" s="112">
        <v>165</v>
      </c>
      <c r="B167" s="111" t="s">
        <v>4</v>
      </c>
      <c r="C167" s="111">
        <v>8</v>
      </c>
      <c r="D167" s="111">
        <v>6</v>
      </c>
      <c r="E167" s="111">
        <v>3</v>
      </c>
      <c r="F167" s="105">
        <v>17.89</v>
      </c>
      <c r="G167" s="105">
        <v>17.2</v>
      </c>
      <c r="H167" s="105">
        <v>14.31</v>
      </c>
      <c r="I167" s="94">
        <f>SUM(ППД5[[#This Row],[Комната 1]:[Комната 3]])</f>
        <v>49.400000000000006</v>
      </c>
      <c r="J167" s="105">
        <v>13.39</v>
      </c>
      <c r="K167" s="105">
        <v>4.2</v>
      </c>
      <c r="L167" s="105">
        <v>2.0499999999999998</v>
      </c>
      <c r="M167" s="105"/>
      <c r="N167" s="105">
        <v>13.21</v>
      </c>
      <c r="O167" s="105">
        <v>2.79</v>
      </c>
      <c r="P167" s="105">
        <v>2.68</v>
      </c>
      <c r="Q167" s="105"/>
      <c r="R167" s="105">
        <f>SUM(ППД5[[#This Row],[Лоджия 1]:[Лоджия 3]])</f>
        <v>5.4700000000000006</v>
      </c>
      <c r="S167" s="8">
        <f>ROUND(SUM(ППД5[[#This Row],[Площадь по проекту жилая]:[Лоджия 3]]),2)</f>
        <v>87.72</v>
      </c>
      <c r="T167" s="8">
        <f>ROUND(ППД5[[#This Row],[Площадь по проекту(общая)]]-ППД5[[#This Row],[Летние]],2)</f>
        <v>82.25</v>
      </c>
      <c r="U167" s="91">
        <f>ROUND(ППД5[[#This Row],[Площадь по проекту(общая)]]-(SUM(ППД5[[#This Row],[Лоджия 1]:[Лоджия 3]])/2),2)</f>
        <v>84.99</v>
      </c>
      <c r="V167" s="91">
        <f>IF(ППД5[[#This Row],[Статус]]="продажа",ППД5[[#This Row],[Расчетная проектная площадь]],ППД5[[#This Row],[Расчетная ТП площадь]])</f>
        <v>84.99</v>
      </c>
      <c r="W167" s="91">
        <v>14.3</v>
      </c>
      <c r="X167" s="91">
        <v>17.8</v>
      </c>
      <c r="Y167" s="91">
        <v>17.100000000000001</v>
      </c>
      <c r="Z167" s="91">
        <f>SUM(ППД5[[#This Row],[ТП Комната 1]:[ТП Комната 3]])</f>
        <v>49.2</v>
      </c>
      <c r="AA167" s="91">
        <v>13.2</v>
      </c>
      <c r="AB167" s="91">
        <v>4.3</v>
      </c>
      <c r="AC167" s="91">
        <v>2</v>
      </c>
      <c r="AD167" s="91"/>
      <c r="AE167" s="91">
        <v>13.1</v>
      </c>
      <c r="AF167" s="91">
        <v>1.4</v>
      </c>
      <c r="AG167" s="92">
        <v>1.35</v>
      </c>
      <c r="AH167" s="91"/>
      <c r="AI167" s="91">
        <f>SUM(ППД5[[#This Row],[ТП Лоджия 1]:[ТП Лоджия 3]])</f>
        <v>2.75</v>
      </c>
      <c r="AJ167" s="95">
        <v>5.5</v>
      </c>
      <c r="AK167" s="91">
        <f>SUM(ППД5[[#This Row],[Площадь по ТП жилая]:[ТП Лоджия 3]])-ППД5[[#This Row],[ТП Летние]]+ППД5[[#This Row],[кроме того прочая
(без коэффициента)]]</f>
        <v>87.3</v>
      </c>
      <c r="AL167" s="95">
        <f>ППД5[[#This Row],[ТП Площадь без летних]]+(ППД5[[#This Row],[ТП Летние]])</f>
        <v>84.55</v>
      </c>
      <c r="AM167" s="91">
        <f>ППД5[[#This Row],[ТП общая S]]-ППД5[[#This Row],[кроме того прочая
(без коэффициента)]]</f>
        <v>81.8</v>
      </c>
      <c r="AN167" s="95">
        <f>SUM(ППД5[[#This Row],[ТП Кухня]:[ТП Коридор]])</f>
        <v>32.6</v>
      </c>
      <c r="AO167" s="91">
        <f>ППД5[[#This Row],[Расчетная ТП площадь]]-ППД5[[#This Row],[Расчетная проектная площадь]]</f>
        <v>-0.43999999999999773</v>
      </c>
      <c r="AP167" s="335">
        <f>ППД5[[#This Row],[Расчетная ТП площадь]]/ППД5[[#This Row],[Расчетная проектная площадь]]-1</f>
        <v>-5.1770796564301058E-3</v>
      </c>
      <c r="AQ167" s="91">
        <f>ППД5[[#This Row],[% расхождения]]*ППД5[[#This Row],[Стоимость до скидки]]</f>
        <v>-34985.403214495396</v>
      </c>
      <c r="AR167" s="91">
        <f>VLOOKUP(ППД5[[#This Row],[№]],наценкад5[],COLUMN(наценкад5[[#This Row],[Цена м2 с учетом всех K]]),0)</f>
        <v>73520.37000000001</v>
      </c>
      <c r="AS167" s="8">
        <f>ППД5[[#This Row],[м2 после К]]*5%</f>
        <v>3676.0185000000006</v>
      </c>
      <c r="AT167" s="8">
        <f>ППД5[[#This Row],[м2 после К]]+ППД5[[#This Row],[Повышение 16.08.23 - 5%]]</f>
        <v>77196.388500000015</v>
      </c>
      <c r="AU167" s="93">
        <f>ППД5[[#This Row],[Фикс 16.08.23]]*3%</f>
        <v>2315.8916550000004</v>
      </c>
      <c r="AV167" s="93">
        <f>ППД5[[#This Row],[Фикс 16.08.23]]+ППД5[[#This Row],[Повышение 29.08.23 - 3%]]</f>
        <v>79512.280155000015</v>
      </c>
      <c r="AW167" s="93"/>
      <c r="AX167" s="93">
        <f>ППД5[[#This Row],[Фикс 29.08.23]]+ППД5[[#This Row],[Повышение 06.09.23 СТ и 1К]]</f>
        <v>79512.280155000015</v>
      </c>
      <c r="AY167" s="93"/>
      <c r="AZ167" s="93">
        <f>ППД5[[#This Row],[Повышение 23.10.23  В4 ]]+ППД5[[#This Row],[Фикс 06.09.23]]</f>
        <v>79512.280155000015</v>
      </c>
      <c r="BA167" s="93"/>
      <c r="BB167" s="93">
        <f>ППД5[[#This Row],[Повышение 8.11.23 1К 5%]]+ППД5[[#This Row],[Фикс 23.10.23]]</f>
        <v>79512.280155000015</v>
      </c>
      <c r="BC167" s="93"/>
      <c r="BD167" s="93">
        <f>ППД5[[#This Row],[Корректировка 24.11.23 - 1К В5, 2К А2, №233]]+ППД5[[#This Row],[Фикс 8.11.23]]</f>
        <v>79512.280155000015</v>
      </c>
      <c r="BE167" s="93"/>
      <c r="BF167" s="93">
        <f>ППД5[[#This Row],[Наценка за отделку 29.12.23 1%]]+ППД5[[#This Row],[Фикс 8.11.24]]</f>
        <v>79512.280155000015</v>
      </c>
      <c r="BG167" s="93"/>
      <c r="BH167" s="93">
        <f>ППД5[[#This Row],[Фикс 29.12.23]]+ППД5[[#This Row],[Наценка 10.01.24 5%]]</f>
        <v>79512.280155000015</v>
      </c>
      <c r="BI167" s="93"/>
      <c r="BJ167" s="93">
        <f>ППД5[[#This Row],[Наценка 26.02.24 1 Этаж]]+ППД5[[#This Row],[Фикс 10.01.24]]</f>
        <v>79512.280155000015</v>
      </c>
      <c r="BK167" s="93"/>
      <c r="BL167" s="93">
        <f>ППД5[[#This Row],[Фикс 26.02.24]]+ППД5[[#This Row],[Наценка 06.03.24
СТ, 1К - 3%
2К, 3К - 2%]]</f>
        <v>79512.280155000015</v>
      </c>
      <c r="BM167" s="93"/>
      <c r="BN167" s="93">
        <f>ППД5[[#This Row],[Фикс 06.03.24]]+ППД5[[#This Row],[Наценка Г2+500]]</f>
        <v>79512.280155000015</v>
      </c>
      <c r="BO167" s="93"/>
      <c r="BP167" s="93">
        <f>ППД5[[#This Row],[Фикс 13.03.25]]+ППД5[[#This Row],[Наценка 20.03.24
2К, 3К - 2%]]</f>
        <v>79512.280155000015</v>
      </c>
      <c r="BQ167" s="93"/>
      <c r="BR167" s="93">
        <f>ППД5[[#This Row],[Фикс 20.03.24]]+ППД5[[#This Row],[Наценка 08.04.24 
2К: В3 - 150
3К: Г7 +1000]]</f>
        <v>79512.280155000015</v>
      </c>
      <c r="BS167" s="9"/>
      <c r="BT167" s="93">
        <f>ППД5[[#This Row],[Фикс 08.04.24]]+ППД5[[#This Row],[Наценка 16.05.24 1%
А4,А6,Б3,Б6,Б7,В2,В3,В5,В6,Г1,Г3-Г5]]</f>
        <v>79512.280155000015</v>
      </c>
      <c r="BU167" s="93"/>
      <c r="BV167" s="93">
        <f>ППД5[[#This Row],[Фикс 16.05.24]]+ППД5[[#This Row],[Наценка 24.05.24
1% - Б4, Б5,Г2,Г6
2% - А1,А3,А5,Б2,Г7]]</f>
        <v>79512.280155000015</v>
      </c>
      <c r="BW167" s="93"/>
      <c r="BX167" s="93">
        <f>ППД5[[#This Row],[Наценка 06.06.24
0К: В2,Г3 +0,5%
1К: А7, Б5/4, Г6 +0,5%
3К: В6 +0,5%
1К: А3 +1%]]+ППД5[[#This Row],[Фикс 24.05.24]]</f>
        <v>79512.280155000015</v>
      </c>
      <c r="BY167" s="93"/>
      <c r="BZ167" s="93">
        <f>ППД5[[#This Row],[Фикс 06.06.24]]+ППД5[[#This Row],[13.06.2024
3К - 2%]]</f>
        <v>79512.280155000015</v>
      </c>
      <c r="CA167" s="93"/>
      <c r="CB167" s="93">
        <f>ППД5[[#This Row],[02.07.2024: Г3 А1 А3 Б5 Б7 Г2 Г6 Б3 Б4 В3 Г7 2,5% ост 0,5-1,5%]]+ППД5[[#This Row],[Фикс 13.06.24]]</f>
        <v>79512.280155000015</v>
      </c>
      <c r="CC167" s="93"/>
      <c r="CD167" s="93">
        <f>ППД5[[#This Row],[Фикс 02.07.24]]+ППД5[[#This Row],[04.09.2024 +500
0К - Б2; 1К - А3;
2К - А6, Б4, В3, Г5]]</f>
        <v>79512.280155000015</v>
      </c>
      <c r="CE167" s="93"/>
      <c r="CF167" s="93">
        <f>ППД5[[#This Row],[Наценка 16.09.2024
1К: А1,В7,Г6/7,Г8 - 2%
2К: А4,А5,А6,Б1,Б6,Б3/4,В3,В4,Г4,Г5 - 4%
3К: 4%]]+ППД5[[#This Row],[Фикс 04.09.24]]</f>
        <v>79512.280155000015</v>
      </c>
      <c r="CG167" s="93"/>
      <c r="CH167" s="93">
        <f>ППД5[[#This Row],[Фикс 16.09.2024]]+ППД5[[#This Row],[Наценка 01.11.24
СТ: 4%
1К: 34-40м 5%; 40м+ 8%; МГН 1%
2К: 55-70м 6%; 70-73м 7%; 73-76м 8% 
3К: 5%]]</f>
        <v>79512.280155000015</v>
      </c>
      <c r="CI167" s="93"/>
      <c r="CJ167" s="93">
        <f>ППД5[[#This Row],[Наценка 06.11 13%]]+ППД5[[#This Row],[Фикс 01.11.24]]</f>
        <v>79512.280155000015</v>
      </c>
      <c r="CK167" s="93"/>
      <c r="CL167" s="93">
        <f>ППД5[[#This Row],[Фикс 06.11.24]]+ППД5[[#This Row],[Наценка 18.12.24 распределение КВ]]</f>
        <v>79512.280155000015</v>
      </c>
      <c r="CM167" s="93"/>
      <c r="CN167" s="93">
        <f>ППД5[[#This Row],[Фикс 18.12.24]]+ППД5[[#This Row],[Наценка 10.02.25 +1%
1К: А3
2К: Б3, В3]]</f>
        <v>79512.280155000015</v>
      </c>
      <c r="CO167" s="93">
        <f>ROUND(ППД5[[#This Row],[Фикс 10.02.25]],2)</f>
        <v>79512.28</v>
      </c>
      <c r="CP16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6757748.6799999997</v>
      </c>
      <c r="CQ167" s="93">
        <f>ROUNDUP(ППД5[[#This Row],[Стоимость до скидки]]+ППД5[[#This Row],[Сумма доплаты]],-2)</f>
        <v>6722800</v>
      </c>
      <c r="CR167" s="68"/>
      <c r="CS167" s="90"/>
      <c r="CT167" s="68">
        <f>ППД5[[#This Row],[Стоимость до скидки]]*ППД5[[#This Row],[Скидка %]]+ППД5[[#This Row],[Скидка фиксированная]]</f>
        <v>0</v>
      </c>
      <c r="CU167" s="3">
        <f>ППД5[[#This Row],[Стоимость ОН без отделки со скидкой]]/ППД5[[#This Row],[Расчетная проектная площадь]]</f>
        <v>79512.280032945055</v>
      </c>
      <c r="CV167" s="3">
        <f>ROUND(ППД5[[#This Row],[Стоимость до скидки]]-ППД5[[#This Row],[Итоговая сумма скидки]],2)</f>
        <v>6757748.6799999997</v>
      </c>
      <c r="CW16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167" s="197">
        <v>7500</v>
      </c>
      <c r="CY167" s="332">
        <f>ППД5[[#This Row],[Расхождение]]/ППД5[[#This Row],[Расчетная проектная площадь]]</f>
        <v>-5.1770796564301422E-3</v>
      </c>
      <c r="CZ16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-0.25</v>
      </c>
      <c r="DA167" s="3">
        <f>ППД5[[#This Row],[Цена м2 без отделки со скидкой]]+ППД5[[#This Row],[Стоимость отделки]]</f>
        <v>87012.280032945055</v>
      </c>
      <c r="DB167" s="3">
        <f>ППД5[[#This Row],[Стоимость квартиры с отделкой]]-ППД5[[#This Row],[Стоимость ОН без отделки со скидкой]]</f>
        <v>637425</v>
      </c>
      <c r="DC167" s="3">
        <f>ППД5[[#This Row],[Цена м2 с отделкой]]*ППД5[[#This Row],[Расчетная проектная площадь]]</f>
        <v>7395173.6799999997</v>
      </c>
      <c r="DD167" s="3"/>
      <c r="DF167" s="199" t="s">
        <v>172</v>
      </c>
      <c r="DG167" s="245" t="s">
        <v>172</v>
      </c>
      <c r="DH167" s="100" t="b">
        <f>EXACT(ППД5[[#This Row],[Статусы CRM]],ППД5[[#This Row],[Статус]])</f>
        <v>1</v>
      </c>
      <c r="DI167" s="213" t="s">
        <v>339</v>
      </c>
      <c r="DJ167" s="204"/>
      <c r="DK167" s="111" t="s">
        <v>76</v>
      </c>
      <c r="DL167" s="216" t="s">
        <v>13</v>
      </c>
      <c r="DM167" s="201" t="b">
        <f>ППД5[[#This Row],[Отделка CRM]]=ППД5[[#This Row],[Отделка]]</f>
        <v>1</v>
      </c>
      <c r="DN167" s="203">
        <v>7395173.6799999997</v>
      </c>
      <c r="DO16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67" s="207" t="b">
        <f>IF(AND(ППД5[[#This Row],[Статус]]="свободно",ППД5[[#This Row],[Итоговая сумма скидки]]&lt;&gt;0),FALSE,TRUE)</f>
        <v>1</v>
      </c>
      <c r="DQ167" s="240">
        <f>_xlfn.XLOOKUP(ППД5[[#This Row],[№]],Юрист[№ кв],Юрист[Дата подачи на регистрацию]," ",0,-1)</f>
        <v>45282</v>
      </c>
      <c r="DR167" s="115" t="str">
        <f>_xlfn.XLOOKUP(ППД5[[#This Row],[№]],Юрист[№ кв],Юрист[МОП],"",0,-1)</f>
        <v>Полехович</v>
      </c>
      <c r="DS167" s="333" t="s">
        <v>2626</v>
      </c>
      <c r="DT167" s="333" t="s">
        <v>2627</v>
      </c>
      <c r="DU167" s="333">
        <v>81.8</v>
      </c>
      <c r="DV167" s="111"/>
    </row>
    <row r="168" spans="1:126" hidden="1" x14ac:dyDescent="0.25">
      <c r="A168" s="112">
        <v>166</v>
      </c>
      <c r="B168" s="111" t="s">
        <v>4</v>
      </c>
      <c r="C168" s="111">
        <v>8</v>
      </c>
      <c r="D168" s="111">
        <v>7</v>
      </c>
      <c r="E168" s="111">
        <v>1</v>
      </c>
      <c r="F168" s="105">
        <v>17.89</v>
      </c>
      <c r="G168" s="105"/>
      <c r="H168" s="105"/>
      <c r="I168" s="94">
        <f>SUM(ППД5[[#This Row],[Комната 1]:[Комната 3]])</f>
        <v>17.89</v>
      </c>
      <c r="J168" s="105">
        <v>13.04</v>
      </c>
      <c r="K168" s="105">
        <v>3.9</v>
      </c>
      <c r="L168" s="105"/>
      <c r="M168" s="105"/>
      <c r="N168" s="105">
        <v>6.12</v>
      </c>
      <c r="O168" s="105">
        <v>2.65</v>
      </c>
      <c r="P168" s="105"/>
      <c r="Q168" s="105"/>
      <c r="R168" s="105">
        <f>SUM(ППД5[[#This Row],[Лоджия 1]:[Лоджия 3]])</f>
        <v>2.65</v>
      </c>
      <c r="S168" s="8">
        <f>ROUND(SUM(ППД5[[#This Row],[Площадь по проекту жилая]:[Лоджия 3]]),2)</f>
        <v>43.6</v>
      </c>
      <c r="T168" s="8">
        <f>ROUND(ППД5[[#This Row],[Площадь по проекту(общая)]]-ППД5[[#This Row],[Летние]],2)</f>
        <v>40.950000000000003</v>
      </c>
      <c r="U168" s="91">
        <f>ROUND(ППД5[[#This Row],[Площадь по проекту(общая)]]-(SUM(ППД5[[#This Row],[Лоджия 1]:[Лоджия 3]])/2),2)</f>
        <v>42.28</v>
      </c>
      <c r="V168" s="91">
        <f>IF(ППД5[[#This Row],[Статус]]="продажа",ППД5[[#This Row],[Расчетная проектная площадь]],ППД5[[#This Row],[Расчетная ТП площадь]])</f>
        <v>42.28</v>
      </c>
      <c r="W168" s="91">
        <v>18</v>
      </c>
      <c r="X168" s="91"/>
      <c r="Y168" s="91"/>
      <c r="Z168" s="91">
        <f>SUM(ППД5[[#This Row],[ТП Комната 1]:[ТП Комната 3]])</f>
        <v>18</v>
      </c>
      <c r="AA168" s="91">
        <v>13.1</v>
      </c>
      <c r="AB168" s="91">
        <v>3.7</v>
      </c>
      <c r="AC168" s="91"/>
      <c r="AD168" s="91"/>
      <c r="AE168" s="91">
        <v>6.2</v>
      </c>
      <c r="AF168" s="91">
        <v>1.35</v>
      </c>
      <c r="AG168" s="91"/>
      <c r="AH168" s="91"/>
      <c r="AI168" s="91">
        <f>SUM(ППД5[[#This Row],[ТП Лоджия 1]:[ТП Лоджия 3]])</f>
        <v>1.35</v>
      </c>
      <c r="AJ168" s="95">
        <v>2.7</v>
      </c>
      <c r="AK168" s="91">
        <f>SUM(ППД5[[#This Row],[Площадь по ТП жилая]:[ТП Лоджия 3]])-ППД5[[#This Row],[ТП Летние]]+ППД5[[#This Row],[кроме того прочая
(без коэффициента)]]</f>
        <v>43.70000000000001</v>
      </c>
      <c r="AL168" s="95">
        <f>ППД5[[#This Row],[ТП Площадь без летних]]+(ППД5[[#This Row],[ТП Летние]])</f>
        <v>42.350000000000009</v>
      </c>
      <c r="AM168" s="91">
        <f>ППД5[[#This Row],[ТП общая S]]-ППД5[[#This Row],[кроме того прочая
(без коэффициента)]]</f>
        <v>41.000000000000007</v>
      </c>
      <c r="AN168" s="95">
        <f>SUM(ППД5[[#This Row],[ТП Кухня]:[ТП Коридор]])</f>
        <v>23</v>
      </c>
      <c r="AO168" s="91">
        <f>ППД5[[#This Row],[Расчетная ТП площадь]]-ППД5[[#This Row],[Расчетная проектная площадь]]</f>
        <v>7.000000000000739E-2</v>
      </c>
      <c r="AP168" s="335">
        <f>ППД5[[#This Row],[Расчетная ТП площадь]]/ППД5[[#This Row],[Расчетная проектная площадь]]-1</f>
        <v>1.6556291390730227E-3</v>
      </c>
      <c r="AQ168" s="91">
        <f>ППД5[[#This Row],[% расхождения]]*ППД5[[#This Row],[Стоимость до скидки]]</f>
        <v>9671.6887417228772</v>
      </c>
      <c r="AR168" s="91">
        <f>VLOOKUP(ППД5[[#This Row],[№]],наценкад5[],COLUMN(наценкад5[[#This Row],[Цена м2 с учетом всех K]]),0)</f>
        <v>85573.6875</v>
      </c>
      <c r="AS168" s="8">
        <f>ППД5[[#This Row],[м2 после К]]*5%</f>
        <v>4278.6843749999998</v>
      </c>
      <c r="AT168" s="8">
        <f>ППД5[[#This Row],[м2 после К]]+ППД5[[#This Row],[Повышение 16.08.23 - 5%]]</f>
        <v>89852.371874999997</v>
      </c>
      <c r="AU168" s="93">
        <f>ППД5[[#This Row],[Фикс 16.08.23]]*3%</f>
        <v>2695.5711562499996</v>
      </c>
      <c r="AV168" s="93">
        <f>ППД5[[#This Row],[Фикс 16.08.23]]+ППД5[[#This Row],[Повышение 29.08.23 - 3%]]</f>
        <v>92547.94303124999</v>
      </c>
      <c r="AW168" s="93">
        <f>ППД5[[#This Row],[Фикс 29.08.23]]*3%</f>
        <v>2776.4382909374995</v>
      </c>
      <c r="AX168" s="93">
        <f>ППД5[[#This Row],[Фикс 29.08.23]]+ППД5[[#This Row],[Повышение 06.09.23 СТ и 1К]]</f>
        <v>95324.381322187488</v>
      </c>
      <c r="AY168" s="93"/>
      <c r="AZ168" s="93">
        <f>ППД5[[#This Row],[Повышение 23.10.23  В4 ]]+ППД5[[#This Row],[Фикс 06.09.23]]</f>
        <v>95324.381322187488</v>
      </c>
      <c r="BA168" s="93">
        <f>ППД5[[#This Row],[Фикс 23.10.23]]*5%</f>
        <v>4766.2190661093746</v>
      </c>
      <c r="BB168" s="93">
        <f>ППД5[[#This Row],[Повышение 8.11.23 1К 5%]]+ППД5[[#This Row],[Фикс 23.10.23]]</f>
        <v>100090.60038829687</v>
      </c>
      <c r="BC168" s="93"/>
      <c r="BD168" s="93">
        <f>ППД5[[#This Row],[Корректировка 24.11.23 - 1К В5, 2К А2, №233]]+ППД5[[#This Row],[Фикс 8.11.23]]</f>
        <v>100090.60038829687</v>
      </c>
      <c r="BE168" s="93">
        <f>ППД5[[#This Row],[Фикс 8.11.24]]*1%</f>
        <v>1000.9060038829687</v>
      </c>
      <c r="BF168" s="93">
        <f>ППД5[[#This Row],[Наценка за отделку 29.12.23 1%]]+ППД5[[#This Row],[Фикс 8.11.24]]</f>
        <v>101091.50639217983</v>
      </c>
      <c r="BG168" s="93">
        <f>ППД5[[#This Row],[Фикс 29.12.23]]*5%</f>
        <v>5054.5753196089918</v>
      </c>
      <c r="BH168" s="93">
        <f>ППД5[[#This Row],[Фикс 29.12.23]]+ППД5[[#This Row],[Наценка 10.01.24 5%]]</f>
        <v>106146.08171178882</v>
      </c>
      <c r="BI168" s="93"/>
      <c r="BJ168" s="93">
        <f>ППД5[[#This Row],[Наценка 26.02.24 1 Этаж]]+ППД5[[#This Row],[Фикс 10.01.24]]</f>
        <v>106146.08171178882</v>
      </c>
      <c r="BK168" s="93">
        <f>ППД5[[#This Row],[Фикс 26.02.24]]*3%</f>
        <v>3184.3824513536647</v>
      </c>
      <c r="BL168" s="93">
        <f>ППД5[[#This Row],[Фикс 26.02.24]]+ППД5[[#This Row],[Наценка 06.03.24
СТ, 1К - 3%
2К, 3К - 2%]]</f>
        <v>109330.46416314249</v>
      </c>
      <c r="BM168" s="93"/>
      <c r="BN168" s="93">
        <f>ППД5[[#This Row],[Фикс 06.03.24]]+ППД5[[#This Row],[Наценка Г2+500]]</f>
        <v>109330.46416314249</v>
      </c>
      <c r="BO168" s="93"/>
      <c r="BP168" s="93">
        <f>ППД5[[#This Row],[Фикс 13.03.25]]+ППД5[[#This Row],[Наценка 20.03.24
2К, 3К - 2%]]</f>
        <v>109330.46416314249</v>
      </c>
      <c r="BQ168" s="93"/>
      <c r="BR168" s="93">
        <f>ППД5[[#This Row],[Фикс 20.03.24]]+ППД5[[#This Row],[Наценка 08.04.24 
2К: В3 - 150
3К: Г7 +1000]]</f>
        <v>109330.46416314249</v>
      </c>
      <c r="BS168" s="9">
        <f>ППД5[[#This Row],[Фикс 08.04.24]]*1%</f>
        <v>1093.3046416314248</v>
      </c>
      <c r="BT168" s="93">
        <f>ППД5[[#This Row],[Фикс 08.04.24]]+ППД5[[#This Row],[Наценка 16.05.24 1%
А4,А6,Б3,Б6,Б7,В2,В3,В5,В6,Г1,Г3-Г5]]</f>
        <v>110423.76880477392</v>
      </c>
      <c r="BU168" s="93"/>
      <c r="BV168" s="93">
        <f>ППД5[[#This Row],[Фикс 16.05.24]]+ППД5[[#This Row],[Наценка 24.05.24
1% - Б4, Б5,Г2,Г6
2% - А1,А3,А5,Б2,Г7]]</f>
        <v>110423.76880477392</v>
      </c>
      <c r="BW168" s="93"/>
      <c r="BX168" s="93">
        <f>ППД5[[#This Row],[Наценка 06.06.24
0К: В2,Г3 +0,5%
1К: А7, Б5/4, Г6 +0,5%
3К: В6 +0,5%
1К: А3 +1%]]+ППД5[[#This Row],[Фикс 24.05.24]]</f>
        <v>110423.76880477392</v>
      </c>
      <c r="BY168" s="93"/>
      <c r="BZ168" s="93">
        <f>ППД5[[#This Row],[Фикс 06.06.24]]+ППД5[[#This Row],[13.06.2024
3К - 2%]]</f>
        <v>110423.76880477392</v>
      </c>
      <c r="CA168" s="93">
        <f>2.5%*ППД5[[#This Row],[Фикс 13.06.24]]</f>
        <v>2760.5942201193484</v>
      </c>
      <c r="CB168" s="93">
        <f>ППД5[[#This Row],[02.07.2024: Г3 А1 А3 Б5 Б7 Г2 Г6 Б3 Б4 В3 Г7 2,5% ост 0,5-1,5%]]+ППД5[[#This Row],[Фикс 13.06.24]]</f>
        <v>113184.36302489327</v>
      </c>
      <c r="CC168" s="93"/>
      <c r="CD168" s="93">
        <f>ППД5[[#This Row],[Фикс 02.07.24]]+ППД5[[#This Row],[04.09.2024 +500
0К - Б2; 1К - А3;
2К - А6, Б4, В3, Г5]]</f>
        <v>113184.36302489327</v>
      </c>
      <c r="CE168" s="93"/>
      <c r="CF168" s="93">
        <f>ППД5[[#This Row],[Наценка 16.09.2024
1К: А1,В7,Г6/7,Г8 - 2%
2К: А4,А5,А6,Б1,Б6,Б3/4,В3,В4,Г4,Г5 - 4%
3К: 4%]]+ППД5[[#This Row],[Фикс 04.09.24]]</f>
        <v>113184.36302489327</v>
      </c>
      <c r="CG168" s="93">
        <f>ППД5[[#This Row],[Фикс 16.09.2024]]*8%</f>
        <v>9054.7490419914629</v>
      </c>
      <c r="CH168" s="93">
        <f>ППД5[[#This Row],[Фикс 16.09.2024]]+ППД5[[#This Row],[Наценка 01.11.24
СТ: 4%
1К: 34-40м 5%; 40м+ 8%; МГН 1%
2К: 55-70м 6%; 70-73м 7%; 73-76м 8% 
3К: 5%]]</f>
        <v>122239.11206688474</v>
      </c>
      <c r="CI168" s="93">
        <f>ППД5[[#This Row],[Фикс 01.11.24]]*13%</f>
        <v>15891.084568695018</v>
      </c>
      <c r="CJ168" s="93">
        <f>ППД5[[#This Row],[Наценка 06.11 13%]]+ППД5[[#This Row],[Фикс 01.11.24]]</f>
        <v>138130.19663557975</v>
      </c>
      <c r="CK168" s="93">
        <v>35</v>
      </c>
      <c r="CL168" s="93">
        <f>ППД5[[#This Row],[Фикс 06.11.24]]+ППД5[[#This Row],[Наценка 18.12.24 распределение КВ]]</f>
        <v>138165.19663557975</v>
      </c>
      <c r="CM168" s="93"/>
      <c r="CN168" s="93">
        <f>ППД5[[#This Row],[Фикс 18.12.24]]+ППД5[[#This Row],[Наценка 10.02.25 +1%
1К: А3
2К: Б3, В3]]</f>
        <v>138165.19663557975</v>
      </c>
      <c r="CO168" s="93">
        <f>ROUND(ППД5[[#This Row],[Фикс 10.02.25]],2)</f>
        <v>138165.20000000001</v>
      </c>
      <c r="CP16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5841700</v>
      </c>
      <c r="CQ168" s="93">
        <f>ROUNDUP(ППД5[[#This Row],[Стоимость до скидки]]+ППД5[[#This Row],[Сумма доплаты]],-2)</f>
        <v>5851400</v>
      </c>
      <c r="CR168" s="68">
        <f>ППД5[[#This Row],[Расчетная проектная площадь]]*8000</f>
        <v>338240</v>
      </c>
      <c r="CS168" s="90"/>
      <c r="CT168" s="68">
        <f>ППД5[[#This Row],[Стоимость до скидки]]*ППД5[[#This Row],[Скидка %]]+ППД5[[#This Row],[Скидка фиксированная]]</f>
        <v>338240</v>
      </c>
      <c r="CU168" s="3">
        <f>ППД5[[#This Row],[Стоимость ОН без отделки со скидкой]]/ППД5[[#This Row],[Расчетная проектная площадь]]</f>
        <v>130166.98202459792</v>
      </c>
      <c r="CV168" s="3">
        <f>ROUND(ППД5[[#This Row],[Стоимость до скидки]]-ППД5[[#This Row],[Итоговая сумма скидки]],2)</f>
        <v>5503460</v>
      </c>
      <c r="CW16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168" s="218">
        <v>25000</v>
      </c>
      <c r="CY168" s="332">
        <f>ППД5[[#This Row],[Расхождение]]/ППД5[[#This Row],[Расчетная проектная площадь]]</f>
        <v>1.6556291390730225E-3</v>
      </c>
      <c r="CZ168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-6.0000000000000497E-2</v>
      </c>
      <c r="DA168" s="3">
        <f>ППД5[[#This Row],[Цена м2 без отделки со скидкой]]+ППД5[[#This Row],[Стоимость отделки]]</f>
        <v>155166.98202459794</v>
      </c>
      <c r="DB168" s="3">
        <f>ППД5[[#This Row],[Стоимость квартиры с отделкой]]-ППД5[[#This Row],[Стоимость ОН без отделки со скидкой]]</f>
        <v>1057000.0000000009</v>
      </c>
      <c r="DC168" s="3">
        <f>ППД5[[#This Row],[Цена м2 с отделкой]]*ППД5[[#This Row],[Расчетная проектная площадь]]</f>
        <v>6560460.0000000009</v>
      </c>
      <c r="DD168" s="3"/>
      <c r="DE168" s="111" t="s">
        <v>2122</v>
      </c>
      <c r="DF168" s="155" t="s">
        <v>172</v>
      </c>
      <c r="DG168" s="245" t="s">
        <v>172</v>
      </c>
      <c r="DH168" s="100" t="b">
        <f>EXACT(ППД5[[#This Row],[Статусы CRM]],ППД5[[#This Row],[Статус]])</f>
        <v>1</v>
      </c>
      <c r="DI168" s="213" t="s">
        <v>340</v>
      </c>
      <c r="DJ168" s="204"/>
      <c r="DK168" s="111" t="s">
        <v>763</v>
      </c>
      <c r="DL168" s="216" t="s">
        <v>14</v>
      </c>
      <c r="DM168" s="201" t="b">
        <f>ППД5[[#This Row],[Отделка CRM]]=ППД5[[#This Row],[Отделка]]</f>
        <v>1</v>
      </c>
      <c r="DN168" s="203">
        <v>6560460</v>
      </c>
      <c r="DO16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-9.3132257461547852E-10</v>
      </c>
      <c r="DP168" s="207" t="b">
        <f>IF(AND(ППД5[[#This Row],[Статус]]="свободно",ППД5[[#This Row],[Итоговая сумма скидки]]&lt;&gt;0),FALSE,TRUE)</f>
        <v>1</v>
      </c>
      <c r="DQ168" s="240">
        <f>_xlfn.XLOOKUP(ППД5[[#This Row],[№]],Юрист[№ кв],Юрист[Дата подачи на регистрацию]," ",0,-1)</f>
        <v>45828</v>
      </c>
      <c r="DR168" s="115" t="str">
        <f>_xlfn.XLOOKUP(ППД5[[#This Row],[№]],Юрист[№ кв],Юрист[МОП],"",0,-1)</f>
        <v>Дик</v>
      </c>
      <c r="DS168" s="333" t="s">
        <v>2628</v>
      </c>
      <c r="DT168" s="333" t="s">
        <v>2629</v>
      </c>
      <c r="DU168" s="333">
        <v>41</v>
      </c>
      <c r="DV168" s="111"/>
    </row>
    <row r="169" spans="1:126" hidden="1" x14ac:dyDescent="0.25">
      <c r="A169" s="112">
        <v>167</v>
      </c>
      <c r="B169" s="111" t="s">
        <v>4</v>
      </c>
      <c r="C169" s="111">
        <v>9</v>
      </c>
      <c r="D169" s="338">
        <v>1</v>
      </c>
      <c r="E169" s="111">
        <v>2</v>
      </c>
      <c r="F169" s="105">
        <v>15.91</v>
      </c>
      <c r="G169" s="105">
        <v>12.02</v>
      </c>
      <c r="H169" s="105"/>
      <c r="I169" s="94">
        <f>SUM(ППД5[[#This Row],[Комната 1]:[Комната 3]])</f>
        <v>27.93</v>
      </c>
      <c r="J169" s="105">
        <v>15.31</v>
      </c>
      <c r="K169" s="105">
        <v>3.85</v>
      </c>
      <c r="L169" s="105">
        <v>2.2999999999999998</v>
      </c>
      <c r="M169" s="105"/>
      <c r="N169" s="105">
        <v>9.4499999999999993</v>
      </c>
      <c r="O169" s="105">
        <v>2.75</v>
      </c>
      <c r="P169" s="105"/>
      <c r="Q169" s="105"/>
      <c r="R169" s="105">
        <f>SUM(ППД5[[#This Row],[Лоджия 1]:[Лоджия 3]])</f>
        <v>2.75</v>
      </c>
      <c r="S169" s="8">
        <f>ROUND(SUM(ППД5[[#This Row],[Площадь по проекту жилая]:[Лоджия 3]]),2)</f>
        <v>61.59</v>
      </c>
      <c r="T169" s="8">
        <f>ROUND(ППД5[[#This Row],[Площадь по проекту(общая)]]-ППД5[[#This Row],[Летние]],2)</f>
        <v>58.84</v>
      </c>
      <c r="U169" s="91">
        <f>ROUND(ППД5[[#This Row],[Площадь по проекту(общая)]]-(SUM(ППД5[[#This Row],[Лоджия 1]:[Лоджия 3]])/2),2)</f>
        <v>60.22</v>
      </c>
      <c r="V169" s="91">
        <f>IF(ППД5[[#This Row],[Статус]]="продажа",ППД5[[#This Row],[Расчетная проектная площадь]],ППД5[[#This Row],[Расчетная ТП площадь]])</f>
        <v>59.999999999999993</v>
      </c>
      <c r="W169" s="91">
        <v>15.8</v>
      </c>
      <c r="X169" s="91">
        <v>12.1</v>
      </c>
      <c r="Y169" s="91"/>
      <c r="Z169" s="91">
        <f>SUM(ППД5[[#This Row],[ТП Комната 1]:[ТП Комната 3]])</f>
        <v>27.9</v>
      </c>
      <c r="AA169" s="91">
        <v>15.2</v>
      </c>
      <c r="AB169" s="91">
        <v>3.9</v>
      </c>
      <c r="AC169" s="91">
        <v>2.2999999999999998</v>
      </c>
      <c r="AD169" s="91"/>
      <c r="AE169" s="91">
        <v>9.3000000000000007</v>
      </c>
      <c r="AF169" s="91">
        <v>1.4</v>
      </c>
      <c r="AG169" s="91"/>
      <c r="AH169" s="91"/>
      <c r="AI169" s="91">
        <f>SUM(ППД5[[#This Row],[ТП Лоджия 1]:[ТП Лоджия 3]])</f>
        <v>1.4</v>
      </c>
      <c r="AJ169" s="95">
        <v>2.8</v>
      </c>
      <c r="AK169" s="91">
        <f>SUM(ППД5[[#This Row],[Площадь по ТП жилая]:[ТП Лоджия 3]])-ППД5[[#This Row],[ТП Летние]]+ППД5[[#This Row],[кроме того прочая
(без коэффициента)]]</f>
        <v>61.399999999999991</v>
      </c>
      <c r="AL169" s="95">
        <f>ППД5[[#This Row],[ТП Площадь без летних]]+(ППД5[[#This Row],[ТП Летние]])</f>
        <v>59.999999999999993</v>
      </c>
      <c r="AM169" s="91">
        <f>ППД5[[#This Row],[ТП общая S]]-ППД5[[#This Row],[кроме того прочая
(без коэффициента)]]</f>
        <v>58.599999999999994</v>
      </c>
      <c r="AN169" s="95">
        <f>SUM(ППД5[[#This Row],[ТП Кухня]:[ТП Коридор]])</f>
        <v>30.7</v>
      </c>
      <c r="AO169" s="91">
        <f>ППД5[[#This Row],[Расчетная ТП площадь]]-ППД5[[#This Row],[Расчетная проектная площадь]]</f>
        <v>-0.22000000000000597</v>
      </c>
      <c r="AP169" s="335">
        <f>ППД5[[#This Row],[Расчетная ТП площадь]]/ППД5[[#This Row],[Расчетная проектная площадь]]-1</f>
        <v>-3.6532713384258564E-3</v>
      </c>
      <c r="AQ169" s="91">
        <f>ППД5[[#This Row],[% расхождения]]*ППД5[[#This Row],[Стоимость до скидки]]</f>
        <v>-26664.131517768797</v>
      </c>
      <c r="AR169" s="91">
        <f>VLOOKUP(ППД5[[#This Row],[№]],наценкад5[],COLUMN(наценкад5[[#This Row],[Цена м2 с учетом всех K]]),0)</f>
        <v>80307.864000000001</v>
      </c>
      <c r="AS169" s="8">
        <f>ППД5[[#This Row],[м2 после К]]*5%</f>
        <v>4015.3932000000004</v>
      </c>
      <c r="AT169" s="8">
        <f>ППД5[[#This Row],[м2 после К]]+ППД5[[#This Row],[Повышение 16.08.23 - 5%]]</f>
        <v>84323.257200000007</v>
      </c>
      <c r="AU169" s="93">
        <f>ППД5[[#This Row],[Фикс 16.08.23]]*3%</f>
        <v>2529.6977160000001</v>
      </c>
      <c r="AV169" s="93">
        <f>ППД5[[#This Row],[Фикс 16.08.23]]+ППД5[[#This Row],[Повышение 29.08.23 - 3%]]</f>
        <v>86852.954916000002</v>
      </c>
      <c r="AW169" s="93"/>
      <c r="AX169" s="93">
        <f>ППД5[[#This Row],[Фикс 29.08.23]]+ППД5[[#This Row],[Повышение 06.09.23 СТ и 1К]]</f>
        <v>86852.954916000002</v>
      </c>
      <c r="AY169" s="93"/>
      <c r="AZ169" s="93">
        <f>ППД5[[#This Row],[Повышение 23.10.23  В4 ]]+ППД5[[#This Row],[Фикс 06.09.23]]</f>
        <v>86852.954916000002</v>
      </c>
      <c r="BA169" s="93"/>
      <c r="BB169" s="93">
        <f>ППД5[[#This Row],[Повышение 8.11.23 1К 5%]]+ППД5[[#This Row],[Фикс 23.10.23]]</f>
        <v>86852.954916000002</v>
      </c>
      <c r="BC169" s="93"/>
      <c r="BD169" s="93">
        <f>ППД5[[#This Row],[Корректировка 24.11.23 - 1К В5, 2К А2, №233]]+ППД5[[#This Row],[Фикс 8.11.23]]</f>
        <v>86852.954916000002</v>
      </c>
      <c r="BE169" s="93">
        <f>ППД5[[#This Row],[Фикс 8.11.24]]*1%</f>
        <v>868.52954915999999</v>
      </c>
      <c r="BF169" s="93">
        <f>ППД5[[#This Row],[Наценка за отделку 29.12.23 1%]]+ППД5[[#This Row],[Фикс 8.11.24]]</f>
        <v>87721.48446516</v>
      </c>
      <c r="BG169" s="93">
        <f>ППД5[[#This Row],[Фикс 29.12.23]]*5%</f>
        <v>4386.0742232580005</v>
      </c>
      <c r="BH169" s="93">
        <f>ППД5[[#This Row],[Фикс 29.12.23]]+ППД5[[#This Row],[Наценка 10.01.24 5%]]</f>
        <v>92107.558688417994</v>
      </c>
      <c r="BI169" s="93"/>
      <c r="BJ169" s="93">
        <f>ППД5[[#This Row],[Наценка 26.02.24 1 Этаж]]+ППД5[[#This Row],[Фикс 10.01.24]]</f>
        <v>92107.558688417994</v>
      </c>
      <c r="BK169" s="93">
        <f>ППД5[[#This Row],[Фикс 26.02.24]]*2%</f>
        <v>1842.15117376836</v>
      </c>
      <c r="BL169" s="93">
        <f>ППД5[[#This Row],[Фикс 26.02.24]]+ППД5[[#This Row],[Наценка 06.03.24
СТ, 1К - 3%
2К, 3К - 2%]]</f>
        <v>93949.709862186355</v>
      </c>
      <c r="BM169" s="93"/>
      <c r="BN169" s="93">
        <f>ППД5[[#This Row],[Фикс 06.03.24]]+ППД5[[#This Row],[Наценка Г2+500]]</f>
        <v>93949.709862186355</v>
      </c>
      <c r="BO169" s="93">
        <f>ППД5[[#This Row],[Фикс 13.03.25]]*2%</f>
        <v>1878.9941972437271</v>
      </c>
      <c r="BP169" s="93">
        <f>ППД5[[#This Row],[Фикс 13.03.25]]+ППД5[[#This Row],[Наценка 20.03.24
2К, 3К - 2%]]</f>
        <v>95828.704059430078</v>
      </c>
      <c r="BQ169" s="93"/>
      <c r="BR169" s="93">
        <f>ППД5[[#This Row],[Фикс 20.03.24]]+ППД5[[#This Row],[Наценка 08.04.24 
2К: В3 - 150
3К: Г7 +1000]]</f>
        <v>95828.704059430078</v>
      </c>
      <c r="BS169" s="93"/>
      <c r="BT169" s="93">
        <f>ППД5[[#This Row],[Фикс 08.04.24]]+ППД5[[#This Row],[Наценка 16.05.24 1%
А4,А6,Б3,Б6,Б7,В2,В3,В5,В6,Г1,Г3-Г5]]</f>
        <v>95828.704059430078</v>
      </c>
      <c r="BU169" s="93"/>
      <c r="BV169" s="93">
        <f>ППД5[[#This Row],[Фикс 16.05.24]]+ППД5[[#This Row],[Наценка 24.05.24
1% - Б4, Б5,Г2,Г6
2% - А1,А3,А5,Б2,Г7]]</f>
        <v>95828.704059430078</v>
      </c>
      <c r="BW169" s="93"/>
      <c r="BX169" s="93">
        <f>ППД5[[#This Row],[Наценка 06.06.24
0К: В2,Г3 +0,5%
1К: А7, Б5/4, Г6 +0,5%
3К: В6 +0,5%
1К: А3 +1%]]+ППД5[[#This Row],[Фикс 24.05.24]]</f>
        <v>95828.704059430078</v>
      </c>
      <c r="BY169" s="93"/>
      <c r="BZ169" s="93">
        <f>ППД5[[#This Row],[Фикс 06.06.24]]+ППД5[[#This Row],[13.06.2024
3К - 2%]]</f>
        <v>95828.704059430078</v>
      </c>
      <c r="CA169" s="47">
        <f>1.5%*ППД5[[#This Row],[Фикс 13.06.24]]</f>
        <v>1437.430560891451</v>
      </c>
      <c r="CB169" s="93">
        <f>ППД5[[#This Row],[02.07.2024: Г3 А1 А3 Б5 Б7 Г2 Г6 Б3 Б4 В3 Г7 2,5% ост 0,5-1,5%]]+ППД5[[#This Row],[Фикс 13.06.24]]</f>
        <v>97266.134620321536</v>
      </c>
      <c r="CC169" s="93"/>
      <c r="CD169" s="93">
        <f>ППД5[[#This Row],[Фикс 02.07.24]]+ППД5[[#This Row],[04.09.2024 +500
0К - Б2; 1К - А3;
2К - А6, Б4, В3, Г5]]</f>
        <v>97266.134620321536</v>
      </c>
      <c r="CE169" s="93">
        <f>ППД5[[#This Row],[Фикс 04.09.24]]*4%</f>
        <v>3890.6453848128617</v>
      </c>
      <c r="CF169" s="93">
        <f>ППД5[[#This Row],[Наценка 16.09.2024
1К: А1,В7,Г6/7,Г8 - 2%
2К: А4,А5,А6,Б1,Б6,Б3/4,В3,В4,Г4,Г5 - 4%
3К: 4%]]+ППД5[[#This Row],[Фикс 04.09.24]]</f>
        <v>101156.78000513439</v>
      </c>
      <c r="CG169" s="93">
        <f>ППД5[[#This Row],[Фикс 16.09.2024]]*6%</f>
        <v>6069.4068003080638</v>
      </c>
      <c r="CH169" s="93">
        <f>ППД5[[#This Row],[Фикс 16.09.2024]]+ППД5[[#This Row],[Наценка 01.11.24
СТ: 4%
1К: 34-40м 5%; 40м+ 8%; МГН 1%
2К: 55-70м 6%; 70-73м 7%; 73-76м 8% 
3К: 5%]]</f>
        <v>107226.18680544246</v>
      </c>
      <c r="CI169" s="93">
        <f>ППД5[[#This Row],[Фикс 01.11.24]]*13%</f>
        <v>13939.40428470752</v>
      </c>
      <c r="CJ169" s="93">
        <f>ППД5[[#This Row],[Наценка 06.11 13%]]+ППД5[[#This Row],[Фикс 01.11.24]]</f>
        <v>121165.59109014997</v>
      </c>
      <c r="CK169" s="93">
        <v>35</v>
      </c>
      <c r="CL169" s="93">
        <f>ППД5[[#This Row],[Фикс 06.11.24]]+ППД5[[#This Row],[Наценка 18.12.24 распределение КВ]]</f>
        <v>121200.59109014997</v>
      </c>
      <c r="CM169" s="93"/>
      <c r="CN169" s="93">
        <f>ППД5[[#This Row],[Фикс 18.12.24]]+ППД5[[#This Row],[Наценка 10.02.25 +1%
1К: А3
2К: Б3, В3]]</f>
        <v>121200.59109014997</v>
      </c>
      <c r="CO169" s="93">
        <f>ROUND(ППД5[[#This Row],[Фикс 10.02.25]],2)</f>
        <v>121200.59</v>
      </c>
      <c r="CP16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7298700</v>
      </c>
      <c r="CQ169" s="93">
        <f>ROUNDUP(ППД5[[#This Row],[Стоимость до скидки]]+ППД5[[#This Row],[Сумма доплаты]],-2)</f>
        <v>7272100</v>
      </c>
      <c r="CR169" s="68"/>
      <c r="CS169" s="90"/>
      <c r="CT169" s="68">
        <f>ППД5[[#This Row],[Стоимость до скидки]]*ППД5[[#This Row],[Скидка %]]+ППД5[[#This Row],[Скидка фиксированная]]</f>
        <v>0</v>
      </c>
      <c r="CU169" s="3">
        <f>ППД5[[#This Row],[Стоимость ОН без отделки со скидкой]]/ППД5[[#This Row],[Расчетная проектная площадь]]</f>
        <v>121200.5978080372</v>
      </c>
      <c r="CV169" s="3">
        <f>ROUND(ППД5[[#This Row],[Стоимость до скидки]]-ППД5[[#This Row],[Итоговая сумма скидки]],2)</f>
        <v>7298700</v>
      </c>
      <c r="CW16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69" s="197"/>
      <c r="CY169" s="332">
        <f>ППД5[[#This Row],[Расхождение]]/ППД5[[#This Row],[Расчетная проектная площадь]]</f>
        <v>-3.6532713384258716E-3</v>
      </c>
      <c r="CZ16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-0.21000000000000085</v>
      </c>
      <c r="DA169" s="3">
        <f>ППД5[[#This Row],[Цена м2 без отделки со скидкой]]+ППД5[[#This Row],[Стоимость отделки]]</f>
        <v>121200.5978080372</v>
      </c>
      <c r="DB169" s="3">
        <f>ППД5[[#This Row],[Стоимость квартиры с отделкой]]-ППД5[[#This Row],[Стоимость ОН без отделки со скидкой]]</f>
        <v>0</v>
      </c>
      <c r="DC169" s="3">
        <f>ППД5[[#This Row],[Цена м2 с отделкой]]*ППД5[[#This Row],[Расчетная проектная площадь]]</f>
        <v>7298700</v>
      </c>
      <c r="DD169" s="3"/>
      <c r="DF169" s="155" t="s">
        <v>157</v>
      </c>
      <c r="DG169" s="221" t="s">
        <v>157</v>
      </c>
      <c r="DH169" s="100" t="b">
        <f>EXACT(ППД5[[#This Row],[Статусы CRM]],ППД5[[#This Row],[Статус]])</f>
        <v>1</v>
      </c>
      <c r="DI169" s="213" t="s">
        <v>341</v>
      </c>
      <c r="DJ169" s="204"/>
      <c r="DK169" s="111" t="s">
        <v>763</v>
      </c>
      <c r="DL169" s="216" t="s">
        <v>12</v>
      </c>
      <c r="DM169" s="201" t="b">
        <f>ППД5[[#This Row],[Отделка CRM]]=ППД5[[#This Row],[Отделка]]</f>
        <v>1</v>
      </c>
      <c r="DN169" s="203">
        <v>7298700</v>
      </c>
      <c r="DO16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69" s="207" t="b">
        <f>IF(AND(ППД5[[#This Row],[Статус]]="свободно",ППД5[[#This Row],[Итоговая сумма скидки]]&lt;&gt;0),FALSE,TRUE)</f>
        <v>1</v>
      </c>
      <c r="DQ169" s="240" t="str">
        <f>_xlfn.XLOOKUP(ППД5[[#This Row],[№]],Юрист[№ кв],Юрист[Дата подачи на регистрацию]," ",0,-1)</f>
        <v xml:space="preserve"> </v>
      </c>
      <c r="DR169" s="115" t="str">
        <f>_xlfn.XLOOKUP(ППД5[[#This Row],[№]],Юрист[№ кв],Юрист[МОП],"",0,-1)</f>
        <v/>
      </c>
      <c r="DS169" s="333" t="s">
        <v>2630</v>
      </c>
      <c r="DT169" s="333" t="s">
        <v>2631</v>
      </c>
      <c r="DU169" s="333">
        <v>58.6</v>
      </c>
      <c r="DV169" s="111"/>
    </row>
    <row r="170" spans="1:126" hidden="1" x14ac:dyDescent="0.25">
      <c r="A170" s="112">
        <v>168</v>
      </c>
      <c r="B170" s="111" t="s">
        <v>4</v>
      </c>
      <c r="C170" s="111">
        <v>9</v>
      </c>
      <c r="D170" s="111">
        <v>2</v>
      </c>
      <c r="E170" s="111">
        <v>0</v>
      </c>
      <c r="F170" s="105">
        <v>7.13</v>
      </c>
      <c r="G170" s="105"/>
      <c r="H170" s="105"/>
      <c r="I170" s="94">
        <f>SUM(ППД5[[#This Row],[Комната 1]:[Комната 3]])</f>
        <v>7.13</v>
      </c>
      <c r="J170" s="105">
        <v>5.12</v>
      </c>
      <c r="K170" s="105">
        <v>3.65</v>
      </c>
      <c r="L170" s="105"/>
      <c r="M170" s="105"/>
      <c r="N170" s="105">
        <v>6.92</v>
      </c>
      <c r="O170" s="105">
        <v>2.91</v>
      </c>
      <c r="P170" s="105"/>
      <c r="Q170" s="105"/>
      <c r="R170" s="105">
        <f>SUM(ППД5[[#This Row],[Лоджия 1]:[Лоджия 3]])</f>
        <v>2.91</v>
      </c>
      <c r="S170" s="8">
        <f>ROUND(SUM(ППД5[[#This Row],[Площадь по проекту жилая]:[Лоджия 3]]),2)</f>
        <v>25.73</v>
      </c>
      <c r="T170" s="8">
        <f>ROUND(ППД5[[#This Row],[Площадь по проекту(общая)]]-ППД5[[#This Row],[Летние]],2)</f>
        <v>22.82</v>
      </c>
      <c r="U170" s="91">
        <f>ROUND(ППД5[[#This Row],[Площадь по проекту(общая)]]-(SUM(ППД5[[#This Row],[Лоджия 1]:[Лоджия 3]])/2),2)</f>
        <v>24.28</v>
      </c>
      <c r="V170" s="91">
        <f>IF(ППД5[[#This Row],[Статус]]="продажа",ППД5[[#This Row],[Расчетная проектная площадь]],ППД5[[#This Row],[Расчетная ТП площадь]])</f>
        <v>24.25</v>
      </c>
      <c r="W170" s="91">
        <v>7.1</v>
      </c>
      <c r="X170" s="91"/>
      <c r="Y170" s="91"/>
      <c r="Z170" s="91">
        <f>SUM(ППД5[[#This Row],[ТП Комната 1]:[ТП Комната 3]])</f>
        <v>7.1</v>
      </c>
      <c r="AA170" s="91">
        <v>5</v>
      </c>
      <c r="AB170" s="91">
        <v>3.7</v>
      </c>
      <c r="AC170" s="91"/>
      <c r="AD170" s="91"/>
      <c r="AE170" s="91">
        <v>7</v>
      </c>
      <c r="AF170" s="91">
        <v>1.45</v>
      </c>
      <c r="AG170" s="91"/>
      <c r="AH170" s="91"/>
      <c r="AI170" s="91">
        <f>SUM(ППД5[[#This Row],[ТП Лоджия 1]:[ТП Лоджия 3]])</f>
        <v>1.45</v>
      </c>
      <c r="AJ170" s="95">
        <v>2.9</v>
      </c>
      <c r="AK170" s="91">
        <f>SUM(ППД5[[#This Row],[Площадь по ТП жилая]:[ТП Лоджия 3]])-ППД5[[#This Row],[ТП Летние]]+ППД5[[#This Row],[кроме того прочая
(без коэффициента)]]</f>
        <v>25.7</v>
      </c>
      <c r="AL170" s="91">
        <f>ППД5[[#This Row],[ТП Площадь без летних]]+(ППД5[[#This Row],[ТП Летние]])</f>
        <v>24.25</v>
      </c>
      <c r="AM170" s="91">
        <f>ППД5[[#This Row],[ТП общая S]]-ППД5[[#This Row],[кроме того прочая
(без коэффициента)]]</f>
        <v>22.8</v>
      </c>
      <c r="AN170" s="91">
        <f>SUM(ППД5[[#This Row],[ТП Кухня]:[ТП Коридор]])</f>
        <v>15.7</v>
      </c>
      <c r="AO170" s="91">
        <f>ППД5[[#This Row],[Расчетная ТП площадь]]-ППД5[[#This Row],[Расчетная проектная площадь]]</f>
        <v>-3.0000000000001137E-2</v>
      </c>
      <c r="AP170" s="335">
        <f>ППД5[[#This Row],[Расчетная ТП площадь]]/ППД5[[#This Row],[Расчетная проектная площадь]]-1</f>
        <v>-1.2355848434926209E-3</v>
      </c>
      <c r="AQ170" s="91">
        <f>ППД5[[#This Row],[% расхождения]]*ППД5[[#This Row],[Стоимость до скидки]]</f>
        <v>-4492.957166392217</v>
      </c>
      <c r="AR170" s="91">
        <f>VLOOKUP(ППД5[[#This Row],[№]],наценкад5[],COLUMN(наценкад5[[#This Row],[Цена м2 с учетом всех K]]),0)</f>
        <v>90229.544999999998</v>
      </c>
      <c r="AS170" s="8">
        <f>ППД5[[#This Row],[м2 после К]]*5%</f>
        <v>4511.4772499999999</v>
      </c>
      <c r="AT170" s="8">
        <f>ППД5[[#This Row],[м2 после К]]+ППД5[[#This Row],[Повышение 16.08.23 - 5%]]</f>
        <v>94741.022249999995</v>
      </c>
      <c r="AU170" s="93">
        <f>ППД5[[#This Row],[Фикс 16.08.23]]*3%</f>
        <v>2842.2306674999995</v>
      </c>
      <c r="AV170" s="93">
        <f>ППД5[[#This Row],[Фикс 16.08.23]]+ППД5[[#This Row],[Повышение 29.08.23 - 3%]]</f>
        <v>97583.252917499995</v>
      </c>
      <c r="AW170" s="93">
        <f>ППД5[[#This Row],[Фикс 29.08.23]]*15%</f>
        <v>14637.487937624999</v>
      </c>
      <c r="AX170" s="93">
        <f>ППД5[[#This Row],[Фикс 29.08.23]]+ППД5[[#This Row],[Повышение 06.09.23 СТ и 1К]]</f>
        <v>112220.740855125</v>
      </c>
      <c r="AY170" s="93"/>
      <c r="AZ170" s="93">
        <f>ППД5[[#This Row],[Повышение 23.10.23  В4 ]]+ППД5[[#This Row],[Фикс 06.09.23]]</f>
        <v>112220.740855125</v>
      </c>
      <c r="BA170" s="93"/>
      <c r="BB170" s="93">
        <f>ППД5[[#This Row],[Повышение 8.11.23 1К 5%]]+ППД5[[#This Row],[Фикс 23.10.23]]</f>
        <v>112220.740855125</v>
      </c>
      <c r="BC170" s="93"/>
      <c r="BD170" s="93">
        <f>ППД5[[#This Row],[Корректировка 24.11.23 - 1К В5, 2К А2, №233]]+ППД5[[#This Row],[Фикс 8.11.23]]</f>
        <v>112220.740855125</v>
      </c>
      <c r="BE170" s="93">
        <f>ППД5[[#This Row],[Фикс 8.11.24]]*1%</f>
        <v>1122.20740855125</v>
      </c>
      <c r="BF170" s="93">
        <f>ППД5[[#This Row],[Наценка за отделку 29.12.23 1%]]+ППД5[[#This Row],[Фикс 8.11.24]]</f>
        <v>113342.94826367624</v>
      </c>
      <c r="BG170" s="93">
        <f>ППД5[[#This Row],[Фикс 29.12.23]]*5%</f>
        <v>5667.1474131838122</v>
      </c>
      <c r="BH170" s="93">
        <f>ППД5[[#This Row],[Фикс 29.12.23]]+ППД5[[#This Row],[Наценка 10.01.24 5%]]</f>
        <v>119010.09567686006</v>
      </c>
      <c r="BI170" s="93"/>
      <c r="BJ170" s="93">
        <f>ППД5[[#This Row],[Наценка 26.02.24 1 Этаж]]+ППД5[[#This Row],[Фикс 10.01.24]]</f>
        <v>119010.09567686006</v>
      </c>
      <c r="BK170" s="93">
        <f>ППД5[[#This Row],[Фикс 26.02.24]]*3%</f>
        <v>3570.3028703058017</v>
      </c>
      <c r="BL170" s="93">
        <f>ППД5[[#This Row],[Фикс 26.02.24]]+ППД5[[#This Row],[Наценка 06.03.24
СТ, 1К - 3%
2К, 3К - 2%]]</f>
        <v>122580.39854716587</v>
      </c>
      <c r="BM170" s="93"/>
      <c r="BN170" s="93">
        <f>ППД5[[#This Row],[Фикс 06.03.24]]+ППД5[[#This Row],[Наценка Г2+500]]</f>
        <v>122580.39854716587</v>
      </c>
      <c r="BO170" s="93"/>
      <c r="BP170" s="93">
        <f>ППД5[[#This Row],[Фикс 13.03.25]]+ППД5[[#This Row],[Наценка 20.03.24
2К, 3К - 2%]]</f>
        <v>122580.39854716587</v>
      </c>
      <c r="BQ170" s="93"/>
      <c r="BR170" s="93">
        <f>ППД5[[#This Row],[Фикс 20.03.24]]+ППД5[[#This Row],[Наценка 08.04.24 
2К: В3 - 150
3К: Г7 +1000]]</f>
        <v>122580.39854716587</v>
      </c>
      <c r="BS170" s="93"/>
      <c r="BT170" s="93">
        <f>ППД5[[#This Row],[Фикс 08.04.24]]+ППД5[[#This Row],[Наценка 16.05.24 1%
А4,А6,Б3,Б6,Б7,В2,В3,В5,В6,Г1,Г3-Г5]]</f>
        <v>122580.39854716587</v>
      </c>
      <c r="BU170" s="93">
        <f>ППД5[[#This Row],[Фикс 16.05.24]]*2%</f>
        <v>2451.6079709433175</v>
      </c>
      <c r="BV170" s="93">
        <f>ППД5[[#This Row],[Фикс 16.05.24]]+ППД5[[#This Row],[Наценка 24.05.24
1% - Б4, Б5,Г2,Г6
2% - А1,А3,А5,Б2,Г7]]</f>
        <v>125032.00651810918</v>
      </c>
      <c r="BW170" s="93"/>
      <c r="BX170" s="93">
        <f>ППД5[[#This Row],[Наценка 06.06.24
0К: В2,Г3 +0,5%
1К: А7, Б5/4, Г6 +0,5%
3К: В6 +0,5%
1К: А3 +1%]]+ППД5[[#This Row],[Фикс 24.05.24]]</f>
        <v>125032.00651810918</v>
      </c>
      <c r="BY170" s="93"/>
      <c r="BZ170" s="93">
        <f>ППД5[[#This Row],[Фикс 06.06.24]]+ППД5[[#This Row],[13.06.2024
3К - 2%]]</f>
        <v>125032.00651810918</v>
      </c>
      <c r="CA170" s="93">
        <f>1.5%*ППД5[[#This Row],[Фикс 13.06.24]]</f>
        <v>1875.4800977716377</v>
      </c>
      <c r="CB170" s="93">
        <f>ППД5[[#This Row],[02.07.2024: Г3 А1 А3 Б5 Б7 Г2 Г6 Б3 Б4 В3 Г7 2,5% ост 0,5-1,5%]]+ППД5[[#This Row],[Фикс 13.06.24]]</f>
        <v>126907.48661588081</v>
      </c>
      <c r="CC170" s="93">
        <v>500</v>
      </c>
      <c r="CD170" s="93">
        <f>ППД5[[#This Row],[Фикс 02.07.24]]+ППД5[[#This Row],[04.09.2024 +500
0К - Б2; 1К - А3;
2К - А6, Б4, В3, Г5]]</f>
        <v>127407.48661588081</v>
      </c>
      <c r="CE170" s="93"/>
      <c r="CF170" s="93">
        <f>ППД5[[#This Row],[Наценка 16.09.2024
1К: А1,В7,Г6/7,Г8 - 2%
2К: А4,А5,А6,Б1,Б6,Б3/4,В3,В4,Г4,Г5 - 4%
3К: 4%]]+ППД5[[#This Row],[Фикс 04.09.24]]</f>
        <v>127407.48661588081</v>
      </c>
      <c r="CG170" s="93">
        <f>ППД5[[#This Row],[Фикс 16.09.2024]]*4%</f>
        <v>5096.2994646352327</v>
      </c>
      <c r="CH170" s="93">
        <f>ППД5[[#This Row],[Фикс 16.09.2024]]+ППД5[[#This Row],[Наценка 01.11.24
СТ: 4%
1К: 34-40м 5%; 40м+ 8%; МГН 1%
2К: 55-70м 6%; 70-73м 7%; 73-76м 8% 
3К: 5%]]</f>
        <v>132503.78608051606</v>
      </c>
      <c r="CI170" s="93">
        <f>ППД5[[#This Row],[Фикс 01.11.24]]*13%</f>
        <v>17225.492190467088</v>
      </c>
      <c r="CJ170" s="93">
        <f>ППД5[[#This Row],[Наценка 06.11 13%]]+ППД5[[#This Row],[Фикс 01.11.24]]</f>
        <v>149729.27827098314</v>
      </c>
      <c r="CK170" s="93">
        <v>35</v>
      </c>
      <c r="CL170" s="93">
        <f>ППД5[[#This Row],[Фикс 06.11.24]]+ППД5[[#This Row],[Наценка 18.12.24 распределение КВ]]</f>
        <v>149764.27827098314</v>
      </c>
      <c r="CM170" s="93"/>
      <c r="CN170" s="93">
        <f>ППД5[[#This Row],[Фикс 18.12.24]]+ППД5[[#This Row],[Наценка 10.02.25 +1%
1К: А3
2К: Б3, В3]]</f>
        <v>149764.27827098314</v>
      </c>
      <c r="CO170" s="93">
        <f>ROUND(ППД5[[#This Row],[Фикс 10.02.25]],2)</f>
        <v>149764.28</v>
      </c>
      <c r="CP17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3636300</v>
      </c>
      <c r="CQ170" s="93">
        <f>ROUNDUP(ППД5[[#This Row],[Стоимость до скидки]]+ППД5[[#This Row],[Сумма доплаты]],-2)</f>
        <v>3631900</v>
      </c>
      <c r="CR170" s="68"/>
      <c r="CS170" s="90"/>
      <c r="CT170" s="68">
        <f>ППД5[[#This Row],[Стоимость до скидки]]*ППД5[[#This Row],[Скидка %]]+ППД5[[#This Row],[Скидка фиксированная]]</f>
        <v>0</v>
      </c>
      <c r="CU170" s="3">
        <f>ППД5[[#This Row],[Стоимость ОН без отделки со скидкой]]/ППД5[[#This Row],[Расчетная проектная площадь]]</f>
        <v>149765.2388797364</v>
      </c>
      <c r="CV170" s="3">
        <f>ROUND(ППД5[[#This Row],[Стоимость до скидки]]-ППД5[[#This Row],[Итоговая сумма скидки]],2)</f>
        <v>3636300</v>
      </c>
      <c r="CW17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70" s="197"/>
      <c r="CY170" s="332">
        <f>ППД5[[#This Row],[Расхождение]]/ППД5[[#This Row],[Расчетная проектная площадь]]</f>
        <v>-1.2355848434926332E-3</v>
      </c>
      <c r="CZ17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9.9999999999988987E-3</v>
      </c>
      <c r="DA170" s="3">
        <f>ППД5[[#This Row],[Цена м2 без отделки со скидкой]]+ППД5[[#This Row],[Стоимость отделки]]</f>
        <v>149765.2388797364</v>
      </c>
      <c r="DB170" s="3">
        <f>ППД5[[#This Row],[Стоимость квартиры с отделкой]]-ППД5[[#This Row],[Стоимость ОН без отделки со скидкой]]</f>
        <v>0</v>
      </c>
      <c r="DC170" s="3">
        <f>ППД5[[#This Row],[Цена м2 с отделкой]]*ППД5[[#This Row],[Расчетная проектная площадь]]</f>
        <v>3636300</v>
      </c>
      <c r="DD170" s="3"/>
      <c r="DF170" s="155" t="s">
        <v>161</v>
      </c>
      <c r="DG170" s="245" t="s">
        <v>161</v>
      </c>
      <c r="DH170" s="100" t="b">
        <f>EXACT(ППД5[[#This Row],[Статусы CRM]],ППД5[[#This Row],[Статус]])</f>
        <v>1</v>
      </c>
      <c r="DI170" s="213" t="s">
        <v>342</v>
      </c>
      <c r="DJ170" s="204"/>
      <c r="DK170" s="111" t="s">
        <v>763</v>
      </c>
      <c r="DL170" s="216" t="s">
        <v>12</v>
      </c>
      <c r="DM170" s="201" t="b">
        <f>ППД5[[#This Row],[Отделка CRM]]=ППД5[[#This Row],[Отделка]]</f>
        <v>1</v>
      </c>
      <c r="DN170" s="203">
        <v>3636300</v>
      </c>
      <c r="DO17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70" s="207" t="b">
        <f>IF(AND(ППД5[[#This Row],[Статус]]="свободно",ППД5[[#This Row],[Итоговая сумма скидки]]&lt;&gt;0),FALSE,TRUE)</f>
        <v>1</v>
      </c>
      <c r="DQ170" s="240" t="str">
        <f>_xlfn.XLOOKUP(ППД5[[#This Row],[№]],Юрист[№ кв],Юрист[Дата подачи на регистрацию]," ",0,-1)</f>
        <v xml:space="preserve"> </v>
      </c>
      <c r="DR170" s="115" t="str">
        <f>_xlfn.XLOOKUP(ППД5[[#This Row],[№]],Юрист[№ кв],Юрист[МОП],"",0,-1)</f>
        <v/>
      </c>
      <c r="DS170" s="333" t="s">
        <v>2632</v>
      </c>
      <c r="DT170" s="333" t="s">
        <v>2633</v>
      </c>
      <c r="DU170" s="333">
        <v>22.8</v>
      </c>
      <c r="DV170" s="111"/>
    </row>
    <row r="171" spans="1:126" hidden="1" x14ac:dyDescent="0.25">
      <c r="A171" s="112">
        <v>169</v>
      </c>
      <c r="B171" s="111" t="s">
        <v>4</v>
      </c>
      <c r="C171" s="111">
        <v>9</v>
      </c>
      <c r="D171" s="111">
        <v>3</v>
      </c>
      <c r="E171" s="111">
        <v>2</v>
      </c>
      <c r="F171" s="105">
        <v>14.6</v>
      </c>
      <c r="G171" s="105">
        <v>13.12</v>
      </c>
      <c r="H171" s="105"/>
      <c r="I171" s="94">
        <f>SUM(ППД5[[#This Row],[Комната 1]:[Комната 3]])</f>
        <v>27.72</v>
      </c>
      <c r="J171" s="105">
        <v>14.35</v>
      </c>
      <c r="K171" s="105">
        <v>3.68</v>
      </c>
      <c r="L171" s="105">
        <v>2.57</v>
      </c>
      <c r="M171" s="105"/>
      <c r="N171" s="105">
        <v>7.95</v>
      </c>
      <c r="O171" s="105">
        <v>2.65</v>
      </c>
      <c r="P171" s="105"/>
      <c r="Q171" s="105"/>
      <c r="R171" s="105">
        <f>SUM(ППД5[[#This Row],[Лоджия 1]:[Лоджия 3]])</f>
        <v>2.65</v>
      </c>
      <c r="S171" s="8">
        <f>ROUND(SUM(ППД5[[#This Row],[Площадь по проекту жилая]:[Лоджия 3]]),2)</f>
        <v>58.92</v>
      </c>
      <c r="T171" s="8">
        <f>ROUND(ППД5[[#This Row],[Площадь по проекту(общая)]]-ППД5[[#This Row],[Летние]],2)</f>
        <v>56.27</v>
      </c>
      <c r="U171" s="91">
        <f>ROUND(ППД5[[#This Row],[Площадь по проекту(общая)]]-(SUM(ППД5[[#This Row],[Лоджия 1]:[Лоджия 3]])/2),2)</f>
        <v>57.6</v>
      </c>
      <c r="V171" s="91">
        <f>IF(ППД5[[#This Row],[Статус]]="продажа",ППД5[[#This Row],[Расчетная проектная площадь]],ППД5[[#This Row],[Расчетная ТП площадь]])</f>
        <v>57.6</v>
      </c>
      <c r="W171" s="91">
        <v>13</v>
      </c>
      <c r="X171" s="91">
        <v>14.5</v>
      </c>
      <c r="Y171" s="91"/>
      <c r="Z171" s="91">
        <f>SUM(ППД5[[#This Row],[ТП Комната 1]:[ТП Комната 3]])</f>
        <v>27.5</v>
      </c>
      <c r="AA171" s="91">
        <v>14.3</v>
      </c>
      <c r="AB171" s="91">
        <v>2.6</v>
      </c>
      <c r="AC171" s="91">
        <v>3.9</v>
      </c>
      <c r="AD171" s="91"/>
      <c r="AE171" s="91">
        <v>7.8</v>
      </c>
      <c r="AF171" s="91">
        <v>1.35</v>
      </c>
      <c r="AG171" s="91"/>
      <c r="AH171" s="91"/>
      <c r="AI171" s="91">
        <f>SUM(ППД5[[#This Row],[ТП Лоджия 1]:[ТП Лоджия 3]])</f>
        <v>1.35</v>
      </c>
      <c r="AJ171" s="95">
        <v>2.7</v>
      </c>
      <c r="AK171" s="91">
        <f>SUM(ППД5[[#This Row],[Площадь по ТП жилая]:[ТП Лоджия 3]])-ППД5[[#This Row],[ТП Летние]]+ППД5[[#This Row],[кроме того прочая
(без коэффициента)]]</f>
        <v>58.8</v>
      </c>
      <c r="AL171" s="95">
        <f>ППД5[[#This Row],[ТП Площадь без летних]]+(ППД5[[#This Row],[ТП Летние]])</f>
        <v>57.449999999999996</v>
      </c>
      <c r="AM171" s="91">
        <f>ППД5[[#This Row],[ТП общая S]]-ППД5[[#This Row],[кроме того прочая
(без коэффициента)]]</f>
        <v>56.099999999999994</v>
      </c>
      <c r="AN171" s="95">
        <f>SUM(ППД5[[#This Row],[ТП Кухня]:[ТП Коридор]])</f>
        <v>28.6</v>
      </c>
      <c r="AO171" s="91">
        <f>ППД5[[#This Row],[Расчетная ТП площадь]]-ППД5[[#This Row],[Расчетная проектная площадь]]</f>
        <v>-0.15000000000000568</v>
      </c>
      <c r="AP171" s="335">
        <f>ППД5[[#This Row],[Расчетная ТП площадь]]/ППД5[[#This Row],[Расчетная проектная площадь]]-1</f>
        <v>-2.6041666666667407E-3</v>
      </c>
      <c r="AQ171" s="91">
        <f>ППД5[[#This Row],[% расхождения]]*ППД5[[#This Row],[Стоимость до скидки]]</f>
        <v>-13550.520833333718</v>
      </c>
      <c r="AR171" s="91">
        <f>VLOOKUP(ППД5[[#This Row],[№]],наценкад5[],COLUMN(наценкад5[[#This Row],[Цена м2 с учетом всех K]]),0)</f>
        <v>78763.482000000004</v>
      </c>
      <c r="AS171" s="8">
        <f>ППД5[[#This Row],[м2 после К]]*5%</f>
        <v>3938.1741000000002</v>
      </c>
      <c r="AT171" s="8">
        <f>ППД5[[#This Row],[м2 после К]]+ППД5[[#This Row],[Повышение 16.08.23 - 5%]]</f>
        <v>82701.656100000007</v>
      </c>
      <c r="AU171" s="93">
        <f>ППД5[[#This Row],[Фикс 16.08.23]]*3%</f>
        <v>2481.0496830000002</v>
      </c>
      <c r="AV171" s="93">
        <f>ППД5[[#This Row],[Фикс 16.08.23]]+ППД5[[#This Row],[Повышение 29.08.23 - 3%]]</f>
        <v>85182.705783000012</v>
      </c>
      <c r="AW171" s="93"/>
      <c r="AX171" s="93">
        <f>ППД5[[#This Row],[Фикс 29.08.23]]+ППД5[[#This Row],[Повышение 06.09.23 СТ и 1К]]</f>
        <v>85182.705783000012</v>
      </c>
      <c r="AY171" s="93"/>
      <c r="AZ171" s="93">
        <f>ППД5[[#This Row],[Повышение 23.10.23  В4 ]]+ППД5[[#This Row],[Фикс 06.09.23]]</f>
        <v>85182.705783000012</v>
      </c>
      <c r="BA171" s="93"/>
      <c r="BB171" s="93">
        <f>ППД5[[#This Row],[Повышение 8.11.23 1К 5%]]+ППД5[[#This Row],[Фикс 23.10.23]]</f>
        <v>85182.705783000012</v>
      </c>
      <c r="BC171" s="93"/>
      <c r="BD171" s="93">
        <f>ППД5[[#This Row],[Корректировка 24.11.23 - 1К В5, 2К А2, №233]]+ППД5[[#This Row],[Фикс 8.11.23]]</f>
        <v>85182.705783000012</v>
      </c>
      <c r="BE171" s="93">
        <f>ППД5[[#This Row],[Фикс 8.11.24]]*1%</f>
        <v>851.82705783000017</v>
      </c>
      <c r="BF171" s="93">
        <f>ППД5[[#This Row],[Наценка за отделку 29.12.23 1%]]+ППД5[[#This Row],[Фикс 8.11.24]]</f>
        <v>86034.532840830012</v>
      </c>
      <c r="BG171" s="93">
        <f>ППД5[[#This Row],[Фикс 29.12.23]]*5%</f>
        <v>4301.7266420415008</v>
      </c>
      <c r="BH171" s="93">
        <f>ППД5[[#This Row],[Фикс 29.12.23]]+ППД5[[#This Row],[Наценка 10.01.24 5%]]</f>
        <v>90336.259482871508</v>
      </c>
      <c r="BI171" s="93"/>
      <c r="BJ171" s="93">
        <f>ППД5[[#This Row],[Наценка 26.02.24 1 Этаж]]+ППД5[[#This Row],[Фикс 10.01.24]]</f>
        <v>90336.259482871508</v>
      </c>
      <c r="BK171" s="93"/>
      <c r="BL171" s="93">
        <f>ППД5[[#This Row],[Фикс 26.02.24]]+ППД5[[#This Row],[Наценка 06.03.24
СТ, 1К - 3%
2К, 3К - 2%]]</f>
        <v>90336.259482871508</v>
      </c>
      <c r="BM171" s="93"/>
      <c r="BN171" s="93">
        <f>ППД5[[#This Row],[Фикс 06.03.24]]+ППД5[[#This Row],[Наценка Г2+500]]</f>
        <v>90336.259482871508</v>
      </c>
      <c r="BO171" s="93"/>
      <c r="BP171" s="93">
        <f>ППД5[[#This Row],[Фикс 13.03.25]]+ППД5[[#This Row],[Наценка 20.03.24
2К, 3К - 2%]]</f>
        <v>90336.259482871508</v>
      </c>
      <c r="BQ171" s="93"/>
      <c r="BR171" s="93">
        <f>ППД5[[#This Row],[Фикс 20.03.24]]+ППД5[[#This Row],[Наценка 08.04.24 
2К: В3 - 150
3К: Г7 +1000]]</f>
        <v>90336.259482871508</v>
      </c>
      <c r="BS171" s="9"/>
      <c r="BT171" s="93">
        <f>ППД5[[#This Row],[Фикс 08.04.24]]+ППД5[[#This Row],[Наценка 16.05.24 1%
А4,А6,Б3,Б6,Б7,В2,В3,В5,В6,Г1,Г3-Г5]]</f>
        <v>90336.259482871508</v>
      </c>
      <c r="BU171" s="93"/>
      <c r="BV171" s="93">
        <f>ППД5[[#This Row],[Фикс 16.05.24]]+ППД5[[#This Row],[Наценка 24.05.24
1% - Б4, Б5,Г2,Г6
2% - А1,А3,А5,Б2,Г7]]</f>
        <v>90336.259482871508</v>
      </c>
      <c r="BW171" s="93"/>
      <c r="BX171" s="93">
        <f>ППД5[[#This Row],[Наценка 06.06.24
0К: В2,Г3 +0,5%
1К: А7, Б5/4, Г6 +0,5%
3К: В6 +0,5%
1К: А3 +1%]]+ППД5[[#This Row],[Фикс 24.05.24]]</f>
        <v>90336.259482871508</v>
      </c>
      <c r="BY171" s="93"/>
      <c r="BZ171" s="93">
        <f>ППД5[[#This Row],[Фикс 06.06.24]]+ППД5[[#This Row],[13.06.2024
3К - 2%]]</f>
        <v>90336.259482871508</v>
      </c>
      <c r="CA171" s="93"/>
      <c r="CB171" s="93">
        <f>ППД5[[#This Row],[02.07.2024: Г3 А1 А3 Б5 Б7 Г2 Г6 Б3 Б4 В3 Г7 2,5% ост 0,5-1,5%]]+ППД5[[#This Row],[Фикс 13.06.24]]</f>
        <v>90336.259482871508</v>
      </c>
      <c r="CC171" s="93"/>
      <c r="CD171" s="93">
        <f>ППД5[[#This Row],[Фикс 02.07.24]]+ППД5[[#This Row],[04.09.2024 +500
0К - Б2; 1К - А3;
2К - А6, Б4, В3, Г5]]</f>
        <v>90336.259482871508</v>
      </c>
      <c r="CE171" s="93"/>
      <c r="CF171" s="93">
        <f>ППД5[[#This Row],[Наценка 16.09.2024
1К: А1,В7,Г6/7,Г8 - 2%
2К: А4,А5,А6,Б1,Б6,Б3/4,В3,В4,Г4,Г5 - 4%
3К: 4%]]+ППД5[[#This Row],[Фикс 04.09.24]]</f>
        <v>90336.259482871508</v>
      </c>
      <c r="CG171" s="93"/>
      <c r="CH171" s="93">
        <f>ППД5[[#This Row],[Фикс 16.09.2024]]+ППД5[[#This Row],[Наценка 01.11.24
СТ: 4%
1К: 34-40м 5%; 40м+ 8%; МГН 1%
2К: 55-70м 6%; 70-73м 7%; 73-76м 8% 
3К: 5%]]</f>
        <v>90336.259482871508</v>
      </c>
      <c r="CI171" s="93"/>
      <c r="CJ171" s="93">
        <f>ППД5[[#This Row],[Наценка 06.11 13%]]+ППД5[[#This Row],[Фикс 01.11.24]]</f>
        <v>90336.259482871508</v>
      </c>
      <c r="CK171" s="93"/>
      <c r="CL171" s="93">
        <f>ППД5[[#This Row],[Фикс 06.11.24]]+ППД5[[#This Row],[Наценка 18.12.24 распределение КВ]]</f>
        <v>90336.259482871508</v>
      </c>
      <c r="CM171" s="93"/>
      <c r="CN171" s="93">
        <f>ППД5[[#This Row],[Фикс 18.12.24]]+ППД5[[#This Row],[Наценка 10.02.25 +1%
1К: А3
2К: Б3, В3]]</f>
        <v>90336.259482871508</v>
      </c>
      <c r="CO171" s="93">
        <f>ROUND(ППД5[[#This Row],[Фикс 10.02.25]],2)</f>
        <v>90336.26</v>
      </c>
      <c r="CP17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5203400</v>
      </c>
      <c r="CQ171" s="93">
        <f>ROUNDUP(ППД5[[#This Row],[Стоимость до скидки]]+ППД5[[#This Row],[Сумма доплаты]],-2)</f>
        <v>5189900</v>
      </c>
      <c r="CR171" s="68"/>
      <c r="CS171" s="90">
        <v>0.03</v>
      </c>
      <c r="CT171" s="68">
        <f>ППД5[[#This Row],[Стоимость до скидки]]*ППД5[[#This Row],[Скидка %]]+ППД5[[#This Row],[Скидка фиксированная]]</f>
        <v>156102</v>
      </c>
      <c r="CU171" s="3">
        <f>ППД5[[#This Row],[Стоимость ОН без отделки со скидкой]]/ППД5[[#This Row],[Расчетная проектная площадь]]</f>
        <v>87626.701388888891</v>
      </c>
      <c r="CV171" s="3">
        <f>ROUND(ППД5[[#This Row],[Стоимость до скидки]]-ППД5[[#This Row],[Итоговая сумма скидки]],2)</f>
        <v>5047298</v>
      </c>
      <c r="CW17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171" s="197">
        <v>7000</v>
      </c>
      <c r="CY171" s="332">
        <f>ППД5[[#This Row],[Расхождение]]/ППД5[[#This Row],[Расчетная проектная площадь]]</f>
        <v>-2.6041666666667654E-3</v>
      </c>
      <c r="CZ17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5.0000000000002487E-2</v>
      </c>
      <c r="DA171" s="3">
        <f>ППД5[[#This Row],[Цена м2 без отделки со скидкой]]+ППД5[[#This Row],[Стоимость отделки]]</f>
        <v>94626.701388888891</v>
      </c>
      <c r="DB171" s="3">
        <f>ППД5[[#This Row],[Стоимость квартиры с отделкой]]-ППД5[[#This Row],[Стоимость ОН без отделки со скидкой]]</f>
        <v>403200</v>
      </c>
      <c r="DC171" s="3">
        <f>ППД5[[#This Row],[Цена м2 с отделкой]]*ППД5[[#This Row],[Расчетная проектная площадь]]</f>
        <v>5450498</v>
      </c>
      <c r="DD171" s="3" t="s">
        <v>154</v>
      </c>
      <c r="DE171" s="111" t="s">
        <v>162</v>
      </c>
      <c r="DF171" s="199" t="s">
        <v>172</v>
      </c>
      <c r="DG171" s="245" t="s">
        <v>172</v>
      </c>
      <c r="DH171" s="100" t="b">
        <f>EXACT(ППД5[[#This Row],[Статусы CRM]],ППД5[[#This Row],[Статус]])</f>
        <v>1</v>
      </c>
      <c r="DI171" s="213" t="s">
        <v>343</v>
      </c>
      <c r="DJ171" s="204"/>
      <c r="DK171" s="111" t="s">
        <v>763</v>
      </c>
      <c r="DL171" s="216" t="s">
        <v>780</v>
      </c>
      <c r="DM171" s="201" t="b">
        <f>ППД5[[#This Row],[Отделка CRM]]=ППД5[[#This Row],[Отделка]]</f>
        <v>1</v>
      </c>
      <c r="DN171" s="203">
        <v>5450498</v>
      </c>
      <c r="DO17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71" s="207" t="b">
        <f>IF(AND(ППД5[[#This Row],[Статус]]="свободно",ППД5[[#This Row],[Итоговая сумма скидки]]&lt;&gt;0),FALSE,TRUE)</f>
        <v>1</v>
      </c>
      <c r="DQ171" s="240">
        <f>_xlfn.XLOOKUP(ППД5[[#This Row],[№]],Юрист[№ кв],Юрист[Дата подачи на регистрацию]," ",0,-1)</f>
        <v>45372</v>
      </c>
      <c r="DR171" s="115" t="str">
        <f>_xlfn.XLOOKUP(ППД5[[#This Row],[№]],Юрист[№ кв],Юрист[МОП],"",0,-1)</f>
        <v>Никишов</v>
      </c>
      <c r="DS171" s="333" t="s">
        <v>2634</v>
      </c>
      <c r="DT171" s="333" t="s">
        <v>2635</v>
      </c>
      <c r="DU171" s="333">
        <v>56.1</v>
      </c>
      <c r="DV171" s="111"/>
    </row>
    <row r="172" spans="1:126" hidden="1" x14ac:dyDescent="0.25">
      <c r="A172" s="112">
        <v>170</v>
      </c>
      <c r="B172" s="111" t="s">
        <v>4</v>
      </c>
      <c r="C172" s="111">
        <v>9</v>
      </c>
      <c r="D172" s="111">
        <v>4</v>
      </c>
      <c r="E172" s="111">
        <v>2</v>
      </c>
      <c r="F172" s="105">
        <v>15.45</v>
      </c>
      <c r="G172" s="105">
        <v>14.5</v>
      </c>
      <c r="H172" s="105"/>
      <c r="I172" s="94">
        <f>SUM(ППД5[[#This Row],[Комната 1]:[Комната 3]])</f>
        <v>29.95</v>
      </c>
      <c r="J172" s="105">
        <v>11.95</v>
      </c>
      <c r="K172" s="105">
        <v>3.86</v>
      </c>
      <c r="L172" s="105">
        <v>2.37</v>
      </c>
      <c r="M172" s="105"/>
      <c r="N172" s="105">
        <v>8.8699999999999992</v>
      </c>
      <c r="O172" s="105">
        <v>2.62</v>
      </c>
      <c r="P172" s="105"/>
      <c r="Q172" s="105"/>
      <c r="R172" s="105">
        <f>SUM(ППД5[[#This Row],[Лоджия 1]:[Лоджия 3]])</f>
        <v>2.62</v>
      </c>
      <c r="S172" s="8">
        <f>ROUND(SUM(ППД5[[#This Row],[Площадь по проекту жилая]:[Лоджия 3]]),2)</f>
        <v>59.62</v>
      </c>
      <c r="T172" s="8">
        <f>ROUND(ППД5[[#This Row],[Площадь по проекту(общая)]]-ППД5[[#This Row],[Летние]],2)</f>
        <v>57</v>
      </c>
      <c r="U172" s="91">
        <f>ROUND(ППД5[[#This Row],[Площадь по проекту(общая)]]-(SUM(ППД5[[#This Row],[Лоджия 1]:[Лоджия 3]])/2),2)</f>
        <v>58.31</v>
      </c>
      <c r="V172" s="91">
        <f>IF(ППД5[[#This Row],[Статус]]="продажа",ППД5[[#This Row],[Расчетная проектная площадь]],ППД5[[#This Row],[Расчетная ТП площадь]])</f>
        <v>58.31</v>
      </c>
      <c r="W172" s="91">
        <v>14.5</v>
      </c>
      <c r="X172" s="91">
        <v>15.3</v>
      </c>
      <c r="Y172" s="91"/>
      <c r="Z172" s="91">
        <f>SUM(ППД5[[#This Row],[ТП Комната 1]:[ТП Комната 3]])</f>
        <v>29.8</v>
      </c>
      <c r="AA172" s="91">
        <v>11.9</v>
      </c>
      <c r="AB172" s="91">
        <v>3.8</v>
      </c>
      <c r="AC172" s="91">
        <v>2.4</v>
      </c>
      <c r="AD172" s="91"/>
      <c r="AE172" s="91">
        <v>8.6999999999999993</v>
      </c>
      <c r="AF172" s="91">
        <v>1.35</v>
      </c>
      <c r="AG172" s="91"/>
      <c r="AH172" s="91"/>
      <c r="AI172" s="91">
        <f>SUM(ППД5[[#This Row],[ТП Лоджия 1]:[ТП Лоджия 3]])</f>
        <v>1.35</v>
      </c>
      <c r="AJ172" s="95">
        <v>2.7</v>
      </c>
      <c r="AK172" s="91">
        <f>SUM(ППД5[[#This Row],[Площадь по ТП жилая]:[ТП Лоджия 3]])-ППД5[[#This Row],[ТП Летние]]+ППД5[[#This Row],[кроме того прочая
(без коэффициента)]]</f>
        <v>59.3</v>
      </c>
      <c r="AL172" s="95">
        <f>ППД5[[#This Row],[ТП Площадь без летних]]+(ППД5[[#This Row],[ТП Летние]])</f>
        <v>57.949999999999996</v>
      </c>
      <c r="AM172" s="91">
        <f>ППД5[[#This Row],[ТП общая S]]-ППД5[[#This Row],[кроме того прочая
(без коэффициента)]]</f>
        <v>56.599999999999994</v>
      </c>
      <c r="AN172" s="95">
        <f>SUM(ППД5[[#This Row],[ТП Кухня]:[ТП Коридор]])</f>
        <v>26.799999999999997</v>
      </c>
      <c r="AO172" s="91">
        <f>ППД5[[#This Row],[Расчетная ТП площадь]]-ППД5[[#This Row],[Расчетная проектная площадь]]</f>
        <v>-0.36000000000000654</v>
      </c>
      <c r="AP172" s="335">
        <f>ППД5[[#This Row],[Расчетная ТП площадь]]/ППД5[[#This Row],[Расчетная проектная площадь]]-1</f>
        <v>-6.1738981306809215E-3</v>
      </c>
      <c r="AQ172" s="91">
        <f>ППД5[[#This Row],[% расхождения]]*ППД5[[#This Row],[Стоимость до скидки]]</f>
        <v>-31116.740394443881</v>
      </c>
      <c r="AR172" s="91">
        <f>VLOOKUP(ППД5[[#This Row],[№]],наценкад5[],COLUMN(наценкад5[[#This Row],[Цена м2 с учетом всех K]]),0)</f>
        <v>79921.768500000006</v>
      </c>
      <c r="AS172" s="8">
        <f>ППД5[[#This Row],[м2 после К]]*5%</f>
        <v>3996.0884250000004</v>
      </c>
      <c r="AT172" s="8">
        <f>ППД5[[#This Row],[м2 после К]]+ППД5[[#This Row],[Повышение 16.08.23 - 5%]]</f>
        <v>83917.856925</v>
      </c>
      <c r="AU172" s="93">
        <f>ППД5[[#This Row],[Фикс 16.08.23]]*3%</f>
        <v>2517.5357077499998</v>
      </c>
      <c r="AV172" s="93">
        <f>ППД5[[#This Row],[Фикс 16.08.23]]+ППД5[[#This Row],[Повышение 29.08.23 - 3%]]</f>
        <v>86435.392632749994</v>
      </c>
      <c r="AW172" s="93"/>
      <c r="AX172" s="93">
        <f>ППД5[[#This Row],[Фикс 29.08.23]]+ППД5[[#This Row],[Повышение 06.09.23 СТ и 1К]]</f>
        <v>86435.392632749994</v>
      </c>
      <c r="AY172" s="93"/>
      <c r="AZ172" s="93">
        <f>ППД5[[#This Row],[Повышение 23.10.23  В4 ]]+ППД5[[#This Row],[Фикс 06.09.23]]</f>
        <v>86435.392632749994</v>
      </c>
      <c r="BA172" s="93"/>
      <c r="BB172" s="93">
        <f>ППД5[[#This Row],[Повышение 8.11.23 1К 5%]]+ППД5[[#This Row],[Фикс 23.10.23]]</f>
        <v>86435.392632749994</v>
      </c>
      <c r="BC172" s="93"/>
      <c r="BD172" s="93">
        <f>ППД5[[#This Row],[Корректировка 24.11.23 - 1К В5, 2К А2, №233]]+ППД5[[#This Row],[Фикс 8.11.23]]</f>
        <v>86435.392632749994</v>
      </c>
      <c r="BE172" s="93"/>
      <c r="BF172" s="93">
        <f>ППД5[[#This Row],[Наценка за отделку 29.12.23 1%]]+ППД5[[#This Row],[Фикс 8.11.24]]</f>
        <v>86435.392632749994</v>
      </c>
      <c r="BG172" s="93"/>
      <c r="BH172" s="93">
        <f>ППД5[[#This Row],[Фикс 29.12.23]]+ППД5[[#This Row],[Наценка 10.01.24 5%]]</f>
        <v>86435.392632749994</v>
      </c>
      <c r="BI172" s="93"/>
      <c r="BJ172" s="93">
        <f>ППД5[[#This Row],[Наценка 26.02.24 1 Этаж]]+ППД5[[#This Row],[Фикс 10.01.24]]</f>
        <v>86435.392632749994</v>
      </c>
      <c r="BK172" s="93"/>
      <c r="BL172" s="93">
        <f>ППД5[[#This Row],[Фикс 26.02.24]]+ППД5[[#This Row],[Наценка 06.03.24
СТ, 1К - 3%
2К, 3К - 2%]]</f>
        <v>86435.392632749994</v>
      </c>
      <c r="BM172" s="93"/>
      <c r="BN172" s="93">
        <f>ППД5[[#This Row],[Фикс 06.03.24]]+ППД5[[#This Row],[Наценка Г2+500]]</f>
        <v>86435.392632749994</v>
      </c>
      <c r="BO172" s="93"/>
      <c r="BP172" s="93">
        <f>ППД5[[#This Row],[Фикс 13.03.25]]+ППД5[[#This Row],[Наценка 20.03.24
2К, 3К - 2%]]</f>
        <v>86435.392632749994</v>
      </c>
      <c r="BQ172" s="93"/>
      <c r="BR172" s="93">
        <f>ППД5[[#This Row],[Фикс 20.03.24]]+ППД5[[#This Row],[Наценка 08.04.24 
2К: В3 - 150
3К: Г7 +1000]]</f>
        <v>86435.392632749994</v>
      </c>
      <c r="BS172" s="93"/>
      <c r="BT172" s="93">
        <f>ППД5[[#This Row],[Фикс 08.04.24]]+ППД5[[#This Row],[Наценка 16.05.24 1%
А4,А6,Б3,Б6,Б7,В2,В3,В5,В6,Г1,Г3-Г5]]</f>
        <v>86435.392632749994</v>
      </c>
      <c r="BU172" s="93"/>
      <c r="BV172" s="93">
        <f>ППД5[[#This Row],[Фикс 16.05.24]]+ППД5[[#This Row],[Наценка 24.05.24
1% - Б4, Б5,Г2,Г6
2% - А1,А3,А5,Б2,Г7]]</f>
        <v>86435.392632749994</v>
      </c>
      <c r="BW172" s="93"/>
      <c r="BX172" s="93">
        <f>ППД5[[#This Row],[Наценка 06.06.24
0К: В2,Г3 +0,5%
1К: А7, Б5/4, Г6 +0,5%
3К: В6 +0,5%
1К: А3 +1%]]+ППД5[[#This Row],[Фикс 24.05.24]]</f>
        <v>86435.392632749994</v>
      </c>
      <c r="BY172" s="93"/>
      <c r="BZ172" s="93">
        <f>ППД5[[#This Row],[Фикс 06.06.24]]+ППД5[[#This Row],[13.06.2024
3К - 2%]]</f>
        <v>86435.392632749994</v>
      </c>
      <c r="CA172" s="93"/>
      <c r="CB172" s="93">
        <f>ППД5[[#This Row],[02.07.2024: Г3 А1 А3 Б5 Б7 Г2 Г6 Б3 Б4 В3 Г7 2,5% ост 0,5-1,5%]]+ППД5[[#This Row],[Фикс 13.06.24]]</f>
        <v>86435.392632749994</v>
      </c>
      <c r="CC172" s="93"/>
      <c r="CD172" s="93">
        <f>ППД5[[#This Row],[Фикс 02.07.24]]+ППД5[[#This Row],[04.09.2024 +500
0К - Б2; 1К - А3;
2К - А6, Б4, В3, Г5]]</f>
        <v>86435.392632749994</v>
      </c>
      <c r="CE172" s="93"/>
      <c r="CF172" s="93">
        <f>ППД5[[#This Row],[Наценка 16.09.2024
1К: А1,В7,Г6/7,Г8 - 2%
2К: А4,А5,А6,Б1,Б6,Б3/4,В3,В4,Г4,Г5 - 4%
3К: 4%]]+ППД5[[#This Row],[Фикс 04.09.24]]</f>
        <v>86435.392632749994</v>
      </c>
      <c r="CG172" s="93"/>
      <c r="CH172" s="93">
        <f>ППД5[[#This Row],[Фикс 16.09.2024]]+ППД5[[#This Row],[Наценка 01.11.24
СТ: 4%
1К: 34-40м 5%; 40м+ 8%; МГН 1%
2К: 55-70м 6%; 70-73м 7%; 73-76м 8% 
3К: 5%]]</f>
        <v>86435.392632749994</v>
      </c>
      <c r="CI172" s="93"/>
      <c r="CJ172" s="93">
        <f>ППД5[[#This Row],[Наценка 06.11 13%]]+ППД5[[#This Row],[Фикс 01.11.24]]</f>
        <v>86435.392632749994</v>
      </c>
      <c r="CK172" s="93"/>
      <c r="CL172" s="93">
        <f>ППД5[[#This Row],[Фикс 06.11.24]]+ППД5[[#This Row],[Наценка 18.12.24 распределение КВ]]</f>
        <v>86435.392632749994</v>
      </c>
      <c r="CM172" s="93"/>
      <c r="CN172" s="93">
        <f>ППД5[[#This Row],[Фикс 18.12.24]]+ППД5[[#This Row],[Наценка 10.02.25 +1%
1К: А3
2К: Б3, В3]]</f>
        <v>86435.392632749994</v>
      </c>
      <c r="CO172" s="93">
        <f>ROUND(ППД5[[#This Row],[Фикс 10.02.25]],2)</f>
        <v>86435.39</v>
      </c>
      <c r="CP17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5040047.59</v>
      </c>
      <c r="CQ172" s="93">
        <f>ROUNDUP(ППД5[[#This Row],[Стоимость до скидки]]+ППД5[[#This Row],[Сумма доплаты]],-2)</f>
        <v>5009000</v>
      </c>
      <c r="CR172" s="68"/>
      <c r="CS172" s="90">
        <v>0.02</v>
      </c>
      <c r="CT172" s="68">
        <f>ППД5[[#This Row],[Стоимость до скидки]]*ППД5[[#This Row],[Скидка %]]+ППД5[[#This Row],[Скидка фиксированная]]</f>
        <v>100800.9518</v>
      </c>
      <c r="CU172" s="3">
        <f>ППД5[[#This Row],[Стоимость ОН без отделки со скидкой]]/ППД5[[#This Row],[Расчетная проектная площадь]]</f>
        <v>84706.682215743436</v>
      </c>
      <c r="CV172" s="3">
        <f>ROUND(ППД5[[#This Row],[Стоимость до скидки]]-ППД5[[#This Row],[Итоговая сумма скидки]],2)</f>
        <v>4939246.6399999997</v>
      </c>
      <c r="CW17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172" s="197">
        <v>7500</v>
      </c>
      <c r="CY172" s="332">
        <f>ППД5[[#This Row],[Расхождение]]/ППД5[[#This Row],[Расчетная проектная площадь]]</f>
        <v>-6.1738981306809554E-3</v>
      </c>
      <c r="CZ17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-0.25</v>
      </c>
      <c r="DA172" s="3">
        <f>ППД5[[#This Row],[Цена м2 без отделки со скидкой]]+ППД5[[#This Row],[Стоимость отделки]]</f>
        <v>92206.682215743436</v>
      </c>
      <c r="DB172" s="3">
        <f>ППД5[[#This Row],[Стоимость квартиры с отделкой]]-ППД5[[#This Row],[Стоимость ОН без отделки со скидкой]]</f>
        <v>437325</v>
      </c>
      <c r="DC172" s="3">
        <f>ППД5[[#This Row],[Цена м2 с отделкой]]*ППД5[[#This Row],[Расчетная проектная площадь]]</f>
        <v>5376571.6399999997</v>
      </c>
      <c r="DD172" s="3"/>
      <c r="DE172" s="111" t="s">
        <v>757</v>
      </c>
      <c r="DF172" s="199" t="s">
        <v>172</v>
      </c>
      <c r="DG172" s="245" t="s">
        <v>172</v>
      </c>
      <c r="DH172" s="100" t="b">
        <f>EXACT(ППД5[[#This Row],[Статусы CRM]],ППД5[[#This Row],[Статус]])</f>
        <v>1</v>
      </c>
      <c r="DI172" s="213" t="s">
        <v>344</v>
      </c>
      <c r="DJ172" s="204"/>
      <c r="DK172" s="111" t="s">
        <v>76</v>
      </c>
      <c r="DL172" s="216" t="s">
        <v>13</v>
      </c>
      <c r="DM172" s="201" t="b">
        <f>ППД5[[#This Row],[Отделка CRM]]=ППД5[[#This Row],[Отделка]]</f>
        <v>1</v>
      </c>
      <c r="DN172" s="203">
        <v>5376571.6399999997</v>
      </c>
      <c r="DO17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72" s="207" t="b">
        <f>IF(AND(ППД5[[#This Row],[Статус]]="свободно",ППД5[[#This Row],[Итоговая сумма скидки]]&lt;&gt;0),FALSE,TRUE)</f>
        <v>1</v>
      </c>
      <c r="DQ172" s="240">
        <f>_xlfn.XLOOKUP(ППД5[[#This Row],[№]],Юрист[№ кв],Юрист[Дата подачи на регистрацию]," ",0,-1)</f>
        <v>45247</v>
      </c>
      <c r="DR172" s="115" t="str">
        <f>_xlfn.XLOOKUP(ППД5[[#This Row],[№]],Юрист[№ кв],Юрист[МОП],"",0,-1)</f>
        <v>Никишов</v>
      </c>
      <c r="DS172" s="333" t="s">
        <v>2636</v>
      </c>
      <c r="DT172" s="333" t="s">
        <v>2637</v>
      </c>
      <c r="DU172" s="333">
        <v>56.6</v>
      </c>
      <c r="DV172" s="111"/>
    </row>
    <row r="173" spans="1:126" hidden="1" x14ac:dyDescent="0.25">
      <c r="A173" s="112">
        <v>171</v>
      </c>
      <c r="B173" s="111" t="s">
        <v>4</v>
      </c>
      <c r="C173" s="111">
        <v>9</v>
      </c>
      <c r="D173" s="111">
        <v>5</v>
      </c>
      <c r="E173" s="111">
        <v>1</v>
      </c>
      <c r="F173" s="105">
        <v>12.06</v>
      </c>
      <c r="G173" s="105"/>
      <c r="H173" s="105"/>
      <c r="I173" s="94">
        <f>SUM(ППД5[[#This Row],[Комната 1]:[Комната 3]])</f>
        <v>12.06</v>
      </c>
      <c r="J173" s="105">
        <v>13.18</v>
      </c>
      <c r="K173" s="105">
        <v>4.1100000000000003</v>
      </c>
      <c r="L173" s="105"/>
      <c r="M173" s="105"/>
      <c r="N173" s="105">
        <v>7.09</v>
      </c>
      <c r="O173" s="105">
        <v>2.84</v>
      </c>
      <c r="P173" s="105"/>
      <c r="Q173" s="105"/>
      <c r="R173" s="105">
        <f>SUM(ППД5[[#This Row],[Лоджия 1]:[Лоджия 3]])</f>
        <v>2.84</v>
      </c>
      <c r="S173" s="8">
        <f>ROUND(SUM(ППД5[[#This Row],[Площадь по проекту жилая]:[Лоджия 3]]),2)</f>
        <v>39.28</v>
      </c>
      <c r="T173" s="8">
        <f>ROUND(ППД5[[#This Row],[Площадь по проекту(общая)]]-ППД5[[#This Row],[Летние]],2)</f>
        <v>36.44</v>
      </c>
      <c r="U173" s="91">
        <f>ROUND(ППД5[[#This Row],[Площадь по проекту(общая)]]-(SUM(ППД5[[#This Row],[Лоджия 1]:[Лоджия 3]])/2),2)</f>
        <v>37.86</v>
      </c>
      <c r="V173" s="91">
        <f>IF(ППД5[[#This Row],[Статус]]="продажа",ППД5[[#This Row],[Расчетная проектная площадь]],ППД5[[#This Row],[Расчетная ТП площадь]])</f>
        <v>37.86</v>
      </c>
      <c r="W173" s="91">
        <v>12.4</v>
      </c>
      <c r="X173" s="91"/>
      <c r="Y173" s="91"/>
      <c r="Z173" s="91">
        <f>SUM(ППД5[[#This Row],[ТП Комната 1]:[ТП Комната 3]])</f>
        <v>12.4</v>
      </c>
      <c r="AA173" s="91">
        <v>12.7</v>
      </c>
      <c r="AB173" s="91">
        <v>4.0999999999999996</v>
      </c>
      <c r="AC173" s="91"/>
      <c r="AD173" s="91"/>
      <c r="AE173" s="91">
        <v>7.1</v>
      </c>
      <c r="AF173" s="91">
        <v>1.4</v>
      </c>
      <c r="AG173" s="91"/>
      <c r="AH173" s="91"/>
      <c r="AI173" s="91">
        <f>SUM(ППД5[[#This Row],[ТП Лоджия 1]:[ТП Лоджия 3]])</f>
        <v>1.4</v>
      </c>
      <c r="AJ173" s="95">
        <v>2.8</v>
      </c>
      <c r="AK173" s="91">
        <f>SUM(ППД5[[#This Row],[Площадь по ТП жилая]:[ТП Лоджия 3]])-ППД5[[#This Row],[ТП Летние]]+ППД5[[#This Row],[кроме того прочая
(без коэффициента)]]</f>
        <v>39.1</v>
      </c>
      <c r="AL173" s="95">
        <f>ППД5[[#This Row],[ТП Площадь без летних]]+(ППД5[[#This Row],[ТП Летние]])</f>
        <v>37.700000000000003</v>
      </c>
      <c r="AM173" s="91">
        <f>ППД5[[#This Row],[ТП общая S]]-ППД5[[#This Row],[кроме того прочая
(без коэффициента)]]</f>
        <v>36.300000000000004</v>
      </c>
      <c r="AN173" s="95">
        <f>SUM(ППД5[[#This Row],[ТП Кухня]:[ТП Коридор]])</f>
        <v>23.9</v>
      </c>
      <c r="AO173" s="91">
        <f>ППД5[[#This Row],[Расчетная ТП площадь]]-ППД5[[#This Row],[Расчетная проектная площадь]]</f>
        <v>-0.15999999999999659</v>
      </c>
      <c r="AP173" s="335">
        <f>ППД5[[#This Row],[Расчетная ТП площадь]]/ППД5[[#This Row],[Расчетная проектная площадь]]-1</f>
        <v>-4.2260961436871858E-3</v>
      </c>
      <c r="AQ173" s="91">
        <f>ППД5[[#This Row],[% расхождения]]*ППД5[[#This Row],[Стоимость до скидки]]</f>
        <v>-18902.905441098414</v>
      </c>
      <c r="AR173" s="91">
        <f>VLOOKUP(ППД5[[#This Row],[№]],наценкад5[],COLUMN(наценкад5[[#This Row],[Цена м2 с учетом всех K]]),0)</f>
        <v>87601.5</v>
      </c>
      <c r="AS173" s="8">
        <f>ППД5[[#This Row],[м2 после К]]*5%</f>
        <v>4380.0749999999998</v>
      </c>
      <c r="AT173" s="8">
        <f>ППД5[[#This Row],[м2 после К]]+ППД5[[#This Row],[Повышение 16.08.23 - 5%]]</f>
        <v>91981.574999999997</v>
      </c>
      <c r="AU173" s="93">
        <f>ППД5[[#This Row],[Фикс 16.08.23]]*3%</f>
        <v>2759.4472499999997</v>
      </c>
      <c r="AV173" s="93">
        <f>ППД5[[#This Row],[Фикс 16.08.23]]+ППД5[[#This Row],[Повышение 29.08.23 - 3%]]</f>
        <v>94741.022249999995</v>
      </c>
      <c r="AW173" s="93">
        <f>ППД5[[#This Row],[Фикс 29.08.23]]*4.5%</f>
        <v>4263.34600125</v>
      </c>
      <c r="AX173" s="93">
        <f>ППД5[[#This Row],[Фикс 29.08.23]]+ППД5[[#This Row],[Повышение 06.09.23 СТ и 1К]]</f>
        <v>99004.368251249995</v>
      </c>
      <c r="AY173" s="93"/>
      <c r="AZ173" s="93">
        <f>ППД5[[#This Row],[Повышение 23.10.23  В4 ]]+ППД5[[#This Row],[Фикс 06.09.23]]</f>
        <v>99004.368251249995</v>
      </c>
      <c r="BA173" s="93">
        <f>ППД5[[#This Row],[Фикс 23.10.23]]*5%</f>
        <v>4950.2184125624999</v>
      </c>
      <c r="BB173" s="93">
        <f>ППД5[[#This Row],[Повышение 8.11.23 1К 5%]]+ППД5[[#This Row],[Фикс 23.10.23]]</f>
        <v>103954.5866638125</v>
      </c>
      <c r="BC173" s="93"/>
      <c r="BD173" s="93">
        <f>ППД5[[#This Row],[Корректировка 24.11.23 - 1К В5, 2К А2, №233]]+ППД5[[#This Row],[Фикс 8.11.23]]</f>
        <v>103954.5866638125</v>
      </c>
      <c r="BE173" s="93">
        <f>ППД5[[#This Row],[Фикс 8.11.24]]*1%</f>
        <v>1039.5458666381251</v>
      </c>
      <c r="BF173" s="93">
        <f>ППД5[[#This Row],[Наценка за отделку 29.12.23 1%]]+ППД5[[#This Row],[Фикс 8.11.24]]</f>
        <v>104994.13253045063</v>
      </c>
      <c r="BG173" s="93">
        <f>ППД5[[#This Row],[Фикс 29.12.23]]*5%</f>
        <v>5249.7066265225321</v>
      </c>
      <c r="BH173" s="93">
        <f>ППД5[[#This Row],[Фикс 29.12.23]]+ППД5[[#This Row],[Наценка 10.01.24 5%]]</f>
        <v>110243.83915697316</v>
      </c>
      <c r="BI173" s="93"/>
      <c r="BJ173" s="93">
        <f>ППД5[[#This Row],[Наценка 26.02.24 1 Этаж]]+ППД5[[#This Row],[Фикс 10.01.24]]</f>
        <v>110243.83915697316</v>
      </c>
      <c r="BK173" s="93">
        <f>ППД5[[#This Row],[Фикс 26.02.24]]*3%</f>
        <v>3307.3151747091947</v>
      </c>
      <c r="BL173" s="93">
        <f>ППД5[[#This Row],[Фикс 26.02.24]]+ППД5[[#This Row],[Наценка 06.03.24
СТ, 1К - 3%
2К, 3К - 2%]]</f>
        <v>113551.15433168235</v>
      </c>
      <c r="BM173" s="93"/>
      <c r="BN173" s="93">
        <f>ППД5[[#This Row],[Фикс 06.03.24]]+ППД5[[#This Row],[Наценка Г2+500]]</f>
        <v>113551.15433168235</v>
      </c>
      <c r="BO173" s="93"/>
      <c r="BP173" s="93">
        <f>ППД5[[#This Row],[Фикс 13.03.25]]+ППД5[[#This Row],[Наценка 20.03.24
2К, 3К - 2%]]</f>
        <v>113551.15433168235</v>
      </c>
      <c r="BQ173" s="93"/>
      <c r="BR173" s="93">
        <f>ППД5[[#This Row],[Фикс 20.03.24]]+ППД5[[#This Row],[Наценка 08.04.24 
2К: В3 - 150
3К: Г7 +1000]]</f>
        <v>113551.15433168235</v>
      </c>
      <c r="BS173" s="93"/>
      <c r="BT173" s="93">
        <f>ППД5[[#This Row],[Фикс 08.04.24]]+ППД5[[#This Row],[Наценка 16.05.24 1%
А4,А6,Б3,Б6,Б7,В2,В3,В5,В6,Г1,Г3-Г5]]</f>
        <v>113551.15433168235</v>
      </c>
      <c r="BU173" s="93">
        <f>ППД5[[#This Row],[Фикс 16.05.24]]*1%</f>
        <v>1135.5115433168235</v>
      </c>
      <c r="BV173" s="93">
        <f>ППД5[[#This Row],[Фикс 16.05.24]]+ППД5[[#This Row],[Наценка 24.05.24
1% - Б4, Б5,Г2,Г6
2% - А1,А3,А5,Б2,Г7]]</f>
        <v>114686.66587499918</v>
      </c>
      <c r="BW173" s="93">
        <f>ППД5[[#This Row],[Фикс 24.05.24]]*0.5%</f>
        <v>573.43332937499588</v>
      </c>
      <c r="BX173" s="93">
        <f>ППД5[[#This Row],[Наценка 06.06.24
0К: В2,Г3 +0,5%
1К: А7, Б5/4, Г6 +0,5%
3К: В6 +0,5%
1К: А3 +1%]]+ППД5[[#This Row],[Фикс 24.05.24]]</f>
        <v>115260.09920437417</v>
      </c>
      <c r="BY173" s="93"/>
      <c r="BZ173" s="93">
        <f>ППД5[[#This Row],[Фикс 06.06.24]]+ППД5[[#This Row],[13.06.2024
3К - 2%]]</f>
        <v>115260.09920437417</v>
      </c>
      <c r="CA173" s="93">
        <f>2.5%*ППД5[[#This Row],[Фикс 13.06.24]]</f>
        <v>2881.5024801093546</v>
      </c>
      <c r="CB173" s="93">
        <f>ППД5[[#This Row],[02.07.2024: Г3 А1 А3 Б5 Б7 Г2 Г6 Б3 Б4 В3 Г7 2,5% ост 0,5-1,5%]]+ППД5[[#This Row],[Фикс 13.06.24]]</f>
        <v>118141.60168448352</v>
      </c>
      <c r="CC173" s="93"/>
      <c r="CD173" s="93">
        <f>ППД5[[#This Row],[Фикс 02.07.24]]+ППД5[[#This Row],[04.09.2024 +500
0К - Б2; 1К - А3;
2К - А6, Б4, В3, Г5]]</f>
        <v>118141.60168448352</v>
      </c>
      <c r="CE173" s="93"/>
      <c r="CF173" s="93">
        <f>ППД5[[#This Row],[Наценка 16.09.2024
1К: А1,В7,Г6/7,Г8 - 2%
2К: А4,А5,А6,Б1,Б6,Б3/4,В3,В4,Г4,Г5 - 4%
3К: 4%]]+ППД5[[#This Row],[Фикс 04.09.24]]</f>
        <v>118141.60168448352</v>
      </c>
      <c r="CG173" s="93"/>
      <c r="CH173" s="93">
        <f>ППД5[[#This Row],[Фикс 16.09.2024]]+ППД5[[#This Row],[Наценка 01.11.24
СТ: 4%
1К: 34-40м 5%; 40м+ 8%; МГН 1%
2К: 55-70м 6%; 70-73м 7%; 73-76м 8% 
3К: 5%]]</f>
        <v>118141.60168448352</v>
      </c>
      <c r="CI173" s="93"/>
      <c r="CJ173" s="93">
        <f>ППД5[[#This Row],[Наценка 06.11 13%]]+ППД5[[#This Row],[Фикс 01.11.24]]</f>
        <v>118141.60168448352</v>
      </c>
      <c r="CK173" s="93"/>
      <c r="CL173" s="93">
        <f>ППД5[[#This Row],[Фикс 06.11.24]]+ППД5[[#This Row],[Наценка 18.12.24 распределение КВ]]</f>
        <v>118141.60168448352</v>
      </c>
      <c r="CM173" s="93"/>
      <c r="CN173" s="93">
        <f>ППД5[[#This Row],[Фикс 18.12.24]]+ППД5[[#This Row],[Наценка 10.02.25 +1%
1К: А3
2К: Б3, В3]]</f>
        <v>118141.60168448352</v>
      </c>
      <c r="CO173" s="93">
        <f>ROUND(ППД5[[#This Row],[Фикс 10.02.25]],2)</f>
        <v>118141.6</v>
      </c>
      <c r="CP17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4472900</v>
      </c>
      <c r="CQ173" s="93">
        <f>ROUNDUP(ППД5[[#This Row],[Стоимость до скидки]]+ППД5[[#This Row],[Сумма доплаты]],-2)</f>
        <v>4454000</v>
      </c>
      <c r="CR173" s="68"/>
      <c r="CS173" s="90">
        <v>0.03</v>
      </c>
      <c r="CT173" s="68">
        <f>ППД5[[#This Row],[Стоимость до скидки]]*ППД5[[#This Row],[Скидка %]]+ППД5[[#This Row],[Скидка фиксированная]]</f>
        <v>134187</v>
      </c>
      <c r="CU173" s="3">
        <f>ППД5[[#This Row],[Стоимость ОН без отделки со скидкой]]/ППД5[[#This Row],[Расчетная проектная площадь]]</f>
        <v>114598.86423666138</v>
      </c>
      <c r="CV173" s="3">
        <f>ROUND(ППД5[[#This Row],[Стоимость до скидки]]-ППД5[[#This Row],[Итоговая сумма скидки]],2)</f>
        <v>4338713</v>
      </c>
      <c r="CW17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173" s="197">
        <v>24000</v>
      </c>
      <c r="CY173" s="332">
        <f>ППД5[[#This Row],[Расхождение]]/ППД5[[#This Row],[Расчетная проектная площадь]]</f>
        <v>-4.2260961436871788E-3</v>
      </c>
      <c r="CZ17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-0.48000000000000043</v>
      </c>
      <c r="DA173" s="3">
        <f>ППД5[[#This Row],[Цена м2 без отделки со скидкой]]+ППД5[[#This Row],[Стоимость отделки]]</f>
        <v>138598.86423666138</v>
      </c>
      <c r="DB173" s="3">
        <f>ППД5[[#This Row],[Стоимость квартиры с отделкой]]-ППД5[[#This Row],[Стоимость ОН без отделки со скидкой]]</f>
        <v>908640</v>
      </c>
      <c r="DC173" s="3">
        <f>ППД5[[#This Row],[Цена м2 с отделкой]]*ППД5[[#This Row],[Расчетная проектная площадь]]</f>
        <v>5247353</v>
      </c>
      <c r="DD173" s="3"/>
      <c r="DE173" s="111" t="s">
        <v>162</v>
      </c>
      <c r="DF173" s="199" t="s">
        <v>172</v>
      </c>
      <c r="DG173" s="245" t="s">
        <v>172</v>
      </c>
      <c r="DH173" s="100" t="b">
        <f>EXACT(ППД5[[#This Row],[Статусы CRM]],ППД5[[#This Row],[Статус]])</f>
        <v>1</v>
      </c>
      <c r="DI173" s="213" t="s">
        <v>345</v>
      </c>
      <c r="DJ173" s="204"/>
      <c r="DK173" s="111" t="s">
        <v>763</v>
      </c>
      <c r="DL173" s="216" t="s">
        <v>14</v>
      </c>
      <c r="DM173" s="201" t="b">
        <f>ППД5[[#This Row],[Отделка CRM]]=ППД5[[#This Row],[Отделка]]</f>
        <v>1</v>
      </c>
      <c r="DN173" s="203">
        <v>5247353</v>
      </c>
      <c r="DO17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73" s="207" t="b">
        <f>IF(AND(ППД5[[#This Row],[Статус]]="свободно",ППД5[[#This Row],[Итоговая сумма скидки]]&lt;&gt;0),FALSE,TRUE)</f>
        <v>1</v>
      </c>
      <c r="DQ173" s="240">
        <f>_xlfn.XLOOKUP(ППД5[[#This Row],[№]],Юрист[№ кв],Юрист[Дата подачи на регистрацию]," ",0,-1)</f>
        <v>45594</v>
      </c>
      <c r="DR173" s="115" t="str">
        <f>_xlfn.XLOOKUP(ППД5[[#This Row],[№]],Юрист[№ кв],Юрист[МОП],"",0,-1)</f>
        <v>Дик</v>
      </c>
      <c r="DS173" s="333" t="s">
        <v>2638</v>
      </c>
      <c r="DT173" s="333" t="s">
        <v>2639</v>
      </c>
      <c r="DU173" s="333">
        <v>36.299999999999997</v>
      </c>
      <c r="DV173" s="111"/>
    </row>
    <row r="174" spans="1:126" hidden="1" x14ac:dyDescent="0.25">
      <c r="A174" s="112">
        <v>172</v>
      </c>
      <c r="B174" s="111" t="s">
        <v>4</v>
      </c>
      <c r="C174" s="111">
        <v>9</v>
      </c>
      <c r="D174" s="111">
        <v>6</v>
      </c>
      <c r="E174" s="111">
        <v>3</v>
      </c>
      <c r="F174" s="105">
        <v>17.89</v>
      </c>
      <c r="G174" s="105">
        <v>17.2</v>
      </c>
      <c r="H174" s="105">
        <v>14.31</v>
      </c>
      <c r="I174" s="94">
        <f>SUM(ППД5[[#This Row],[Комната 1]:[Комната 3]])</f>
        <v>49.400000000000006</v>
      </c>
      <c r="J174" s="105">
        <v>13.39</v>
      </c>
      <c r="K174" s="105">
        <v>4.2</v>
      </c>
      <c r="L174" s="105">
        <v>2.0499999999999998</v>
      </c>
      <c r="M174" s="105"/>
      <c r="N174" s="105">
        <v>13.21</v>
      </c>
      <c r="O174" s="105">
        <v>2.79</v>
      </c>
      <c r="P174" s="105">
        <v>2.68</v>
      </c>
      <c r="Q174" s="105"/>
      <c r="R174" s="105">
        <f>SUM(ППД5[[#This Row],[Лоджия 1]:[Лоджия 3]])</f>
        <v>5.4700000000000006</v>
      </c>
      <c r="S174" s="8">
        <f>ROUND(SUM(ППД5[[#This Row],[Площадь по проекту жилая]:[Лоджия 3]]),2)</f>
        <v>87.72</v>
      </c>
      <c r="T174" s="8">
        <f>ROUND(ППД5[[#This Row],[Площадь по проекту(общая)]]-ППД5[[#This Row],[Летние]],2)</f>
        <v>82.25</v>
      </c>
      <c r="U174" s="91">
        <f>ROUND(ППД5[[#This Row],[Площадь по проекту(общая)]]-(SUM(ППД5[[#This Row],[Лоджия 1]:[Лоджия 3]])/2),2)</f>
        <v>84.99</v>
      </c>
      <c r="V174" s="91">
        <f>IF(ППД5[[#This Row],[Статус]]="продажа",ППД5[[#This Row],[Расчетная проектная площадь]],ППД5[[#This Row],[Расчетная ТП площадь]])</f>
        <v>84.99</v>
      </c>
      <c r="W174" s="91">
        <v>14.2</v>
      </c>
      <c r="X174" s="91">
        <v>18.100000000000001</v>
      </c>
      <c r="Y174" s="91">
        <v>17.2</v>
      </c>
      <c r="Z174" s="91">
        <f>SUM(ППД5[[#This Row],[ТП Комната 1]:[ТП Комната 3]])</f>
        <v>49.5</v>
      </c>
      <c r="AA174" s="91">
        <v>13.3</v>
      </c>
      <c r="AB174" s="91">
        <v>4.0999999999999996</v>
      </c>
      <c r="AC174" s="91">
        <v>2</v>
      </c>
      <c r="AD174" s="91"/>
      <c r="AE174" s="91">
        <v>13.1</v>
      </c>
      <c r="AF174" s="91">
        <v>1.4</v>
      </c>
      <c r="AG174" s="92">
        <v>1.35</v>
      </c>
      <c r="AH174" s="91"/>
      <c r="AI174" s="91">
        <f>SUM(ППД5[[#This Row],[ТП Лоджия 1]:[ТП Лоджия 3]])</f>
        <v>2.75</v>
      </c>
      <c r="AJ174" s="95">
        <v>5.5</v>
      </c>
      <c r="AK174" s="91">
        <f>SUM(ППД5[[#This Row],[Площадь по ТП жилая]:[ТП Лоджия 3]])-ППД5[[#This Row],[ТП Летние]]+ППД5[[#This Row],[кроме того прочая
(без коэффициента)]]</f>
        <v>87.499999999999986</v>
      </c>
      <c r="AL174" s="95">
        <f>ППД5[[#This Row],[ТП Площадь без летних]]+(ППД5[[#This Row],[ТП Летние]])</f>
        <v>84.749999999999986</v>
      </c>
      <c r="AM174" s="91">
        <f>ППД5[[#This Row],[ТП общая S]]-ППД5[[#This Row],[кроме того прочая
(без коэффициента)]]</f>
        <v>81.999999999999986</v>
      </c>
      <c r="AN174" s="95">
        <f>SUM(ППД5[[#This Row],[ТП Кухня]:[ТП Коридор]])</f>
        <v>32.5</v>
      </c>
      <c r="AO174" s="91">
        <f>ППД5[[#This Row],[Расчетная ТП площадь]]-ППД5[[#This Row],[Расчетная проектная площадь]]</f>
        <v>-0.24000000000000909</v>
      </c>
      <c r="AP174" s="335">
        <f>ППД5[[#This Row],[Расчетная ТП площадь]]/ППД5[[#This Row],[Расчетная проектная площадь]]-1</f>
        <v>-2.8238616307801889E-3</v>
      </c>
      <c r="AQ174" s="91">
        <f>ППД5[[#This Row],[% расхождения]]*ППД5[[#This Row],[Стоимость до скидки]]</f>
        <v>-26648.217437346488</v>
      </c>
      <c r="AR174" s="91">
        <f>VLOOKUP(ППД5[[#This Row],[№]],наценкад5[],COLUMN(наценкад5[[#This Row],[Цена м2 с учетом всех K]]),0)</f>
        <v>72092.790000000008</v>
      </c>
      <c r="AS174" s="8">
        <f>ППД5[[#This Row],[м2 после К]]*5%</f>
        <v>3604.6395000000007</v>
      </c>
      <c r="AT174" s="8">
        <f>ППД5[[#This Row],[м2 после К]]+ППД5[[#This Row],[Повышение 16.08.23 - 5%]]</f>
        <v>75697.429500000013</v>
      </c>
      <c r="AU174" s="93">
        <f>ППД5[[#This Row],[Фикс 16.08.23]]*3%</f>
        <v>2270.9228850000004</v>
      </c>
      <c r="AV174" s="93">
        <f>ППД5[[#This Row],[Фикс 16.08.23]]+ППД5[[#This Row],[Повышение 29.08.23 - 3%]]</f>
        <v>77968.35238500002</v>
      </c>
      <c r="AW174" s="93"/>
      <c r="AX174" s="93">
        <f>ППД5[[#This Row],[Фикс 29.08.23]]+ППД5[[#This Row],[Повышение 06.09.23 СТ и 1К]]</f>
        <v>77968.35238500002</v>
      </c>
      <c r="AY174" s="93"/>
      <c r="AZ174" s="93">
        <f>ППД5[[#This Row],[Повышение 23.10.23  В4 ]]+ППД5[[#This Row],[Фикс 06.09.23]]</f>
        <v>77968.35238500002</v>
      </c>
      <c r="BA174" s="93"/>
      <c r="BB174" s="93">
        <f>ППД5[[#This Row],[Повышение 8.11.23 1К 5%]]+ППД5[[#This Row],[Фикс 23.10.23]]</f>
        <v>77968.35238500002</v>
      </c>
      <c r="BC174" s="93"/>
      <c r="BD174" s="93">
        <f>ППД5[[#This Row],[Корректировка 24.11.23 - 1К В5, 2К А2, №233]]+ППД5[[#This Row],[Фикс 8.11.23]]</f>
        <v>77968.35238500002</v>
      </c>
      <c r="BE174" s="93">
        <f>ППД5[[#This Row],[Фикс 8.11.24]]*1%</f>
        <v>779.68352385000026</v>
      </c>
      <c r="BF174" s="93">
        <f>ППД5[[#This Row],[Наценка за отделку 29.12.23 1%]]+ППД5[[#This Row],[Фикс 8.11.24]]</f>
        <v>78748.035908850026</v>
      </c>
      <c r="BG174" s="93">
        <f>ППД5[[#This Row],[Фикс 29.12.23]]*5%</f>
        <v>3937.4017954425017</v>
      </c>
      <c r="BH174" s="93">
        <f>ППД5[[#This Row],[Фикс 29.12.23]]+ППД5[[#This Row],[Наценка 10.01.24 5%]]</f>
        <v>82685.437704292533</v>
      </c>
      <c r="BI174" s="93"/>
      <c r="BJ174" s="93">
        <f>ППД5[[#This Row],[Наценка 26.02.24 1 Этаж]]+ППД5[[#This Row],[Фикс 10.01.24]]</f>
        <v>82685.437704292533</v>
      </c>
      <c r="BK174" s="93">
        <f>ППД5[[#This Row],[Фикс 26.02.24]]*2%</f>
        <v>1653.7087540858506</v>
      </c>
      <c r="BL174" s="93">
        <f>ППД5[[#This Row],[Фикс 26.02.24]]+ППД5[[#This Row],[Наценка 06.03.24
СТ, 1К - 3%
2К, 3К - 2%]]</f>
        <v>84339.146458378382</v>
      </c>
      <c r="BM174" s="93"/>
      <c r="BN174" s="93">
        <f>ППД5[[#This Row],[Фикс 06.03.24]]+ППД5[[#This Row],[Наценка Г2+500]]</f>
        <v>84339.146458378382</v>
      </c>
      <c r="BO174" s="93">
        <f>ППД5[[#This Row],[Фикс 13.03.25]]*2%</f>
        <v>1686.7829291675678</v>
      </c>
      <c r="BP174" s="93">
        <f>ППД5[[#This Row],[Фикс 13.03.25]]+ППД5[[#This Row],[Наценка 20.03.24
2К, 3К - 2%]]</f>
        <v>86025.929387545955</v>
      </c>
      <c r="BQ174" s="93"/>
      <c r="BR174" s="93">
        <f>ППД5[[#This Row],[Фикс 20.03.24]]+ППД5[[#This Row],[Наценка 08.04.24 
2К: В3 - 150
3К: Г7 +1000]]</f>
        <v>86025.929387545955</v>
      </c>
      <c r="BS174" s="9">
        <f>ППД5[[#This Row],[Фикс 08.04.24]]*1%</f>
        <v>860.25929387545955</v>
      </c>
      <c r="BT174" s="93">
        <f>ППД5[[#This Row],[Фикс 08.04.24]]+ППД5[[#This Row],[Наценка 16.05.24 1%
А4,А6,Б3,Б6,Б7,В2,В3,В5,В6,Г1,Г3-Г5]]</f>
        <v>86886.188681421409</v>
      </c>
      <c r="BU174" s="93"/>
      <c r="BV174" s="93">
        <f>ППД5[[#This Row],[Фикс 16.05.24]]+ППД5[[#This Row],[Наценка 24.05.24
1% - Б4, Б5,Г2,Г6
2% - А1,А3,А5,Б2,Г7]]</f>
        <v>86886.188681421409</v>
      </c>
      <c r="BW174" s="93"/>
      <c r="BX174" s="93">
        <f>ППД5[[#This Row],[Наценка 06.06.24
0К: В2,Г3 +0,5%
1К: А7, Б5/4, Г6 +0,5%
3К: В6 +0,5%
1К: А3 +1%]]+ППД5[[#This Row],[Фикс 24.05.24]]</f>
        <v>86886.188681421409</v>
      </c>
      <c r="BY174" s="93">
        <f>ППД5[[#This Row],[Фикс 06.06.24]]*2%</f>
        <v>1737.7237736284283</v>
      </c>
      <c r="BZ174" s="93">
        <f>ППД5[[#This Row],[Фикс 06.06.24]]+ППД5[[#This Row],[13.06.2024
3К - 2%]]</f>
        <v>88623.912455049838</v>
      </c>
      <c r="CA174" s="93">
        <f>1.5%*ППД5[[#This Row],[Фикс 13.06.24]]</f>
        <v>1329.3586868257476</v>
      </c>
      <c r="CB174" s="93">
        <f>ППД5[[#This Row],[02.07.2024: Г3 А1 А3 Б5 Б7 Г2 Г6 Б3 Б4 В3 Г7 2,5% ост 0,5-1,5%]]+ППД5[[#This Row],[Фикс 13.06.24]]</f>
        <v>89953.271141875579</v>
      </c>
      <c r="CC174" s="93"/>
      <c r="CD174" s="93">
        <f>ППД5[[#This Row],[Фикс 02.07.24]]+ППД5[[#This Row],[04.09.2024 +500
0К - Б2; 1К - А3;
2К - А6, Б4, В3, Г5]]</f>
        <v>89953.271141875579</v>
      </c>
      <c r="CE174" s="93">
        <f>ППД5[[#This Row],[Фикс 04.09.24]]*4%</f>
        <v>3598.130845675023</v>
      </c>
      <c r="CF174" s="93">
        <f>ППД5[[#This Row],[Наценка 16.09.2024
1К: А1,В7,Г6/7,Г8 - 2%
2К: А4,А5,А6,Б1,Б6,Б3/4,В3,В4,Г4,Г5 - 4%
3К: 4%]]+ППД5[[#This Row],[Фикс 04.09.24]]</f>
        <v>93551.401987550606</v>
      </c>
      <c r="CG174" s="93">
        <f>ППД5[[#This Row],[Фикс 16.09.2024]]*5%</f>
        <v>4677.5700993775308</v>
      </c>
      <c r="CH174" s="93">
        <f>ППД5[[#This Row],[Фикс 16.09.2024]]+ППД5[[#This Row],[Наценка 01.11.24
СТ: 4%
1К: 34-40м 5%; 40м+ 8%; МГН 1%
2К: 55-70м 6%; 70-73м 7%; 73-76м 8% 
3К: 5%]]</f>
        <v>98228.97208692813</v>
      </c>
      <c r="CI174" s="93">
        <f>ППД5[[#This Row],[Фикс 01.11.24]]*13%</f>
        <v>12769.766371300657</v>
      </c>
      <c r="CJ174" s="93">
        <f>ППД5[[#This Row],[Наценка 06.11 13%]]+ППД5[[#This Row],[Фикс 01.11.24]]</f>
        <v>110998.73845822879</v>
      </c>
      <c r="CK174" s="93">
        <v>35</v>
      </c>
      <c r="CL174" s="93">
        <f>ППД5[[#This Row],[Фикс 06.11.24]]+ППД5[[#This Row],[Наценка 18.12.24 распределение КВ]]</f>
        <v>111033.73845822879</v>
      </c>
      <c r="CM174" s="93"/>
      <c r="CN174" s="93">
        <f>ППД5[[#This Row],[Фикс 18.12.24]]+ППД5[[#This Row],[Наценка 10.02.25 +1%
1К: А3
2К: Б3, В3]]</f>
        <v>111033.73845822879</v>
      </c>
      <c r="CO174" s="93">
        <f>ROUND(ППД5[[#This Row],[Фикс 10.02.25]],2)</f>
        <v>111033.74</v>
      </c>
      <c r="CP17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9436800</v>
      </c>
      <c r="CQ174" s="93">
        <f>ROUNDUP(ППД5[[#This Row],[Стоимость до скидки]]+ППД5[[#This Row],[Сумма доплаты]],-2)</f>
        <v>9410200</v>
      </c>
      <c r="CR174" s="68">
        <v>400000</v>
      </c>
      <c r="CS174" s="90">
        <v>0.03</v>
      </c>
      <c r="CT174" s="68">
        <f>ППД5[[#This Row],[Стоимость до скидки]]*ППД5[[#This Row],[Скидка %]]+ППД5[[#This Row],[Скидка фиксированная]]</f>
        <v>683104</v>
      </c>
      <c r="CU174" s="3">
        <f>ППД5[[#This Row],[Стоимость ОН без отделки со скидкой]]/ППД5[[#This Row],[Расчетная проектная площадь]]</f>
        <v>102996.77609130487</v>
      </c>
      <c r="CV174" s="3">
        <f>ROUND(ППД5[[#This Row],[Стоимость до скидки]]-ППД5[[#This Row],[Итоговая сумма скидки]],2)</f>
        <v>8753696</v>
      </c>
      <c r="CW17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74" s="197"/>
      <c r="CY174" s="332">
        <f>ППД5[[#This Row],[Расхождение]]/ППД5[[#This Row],[Расчетная проектная площадь]]</f>
        <v>-2.8238616307801989E-3</v>
      </c>
      <c r="CZ17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-0.35000000000000142</v>
      </c>
      <c r="DA174" s="3">
        <f>ППД5[[#This Row],[Цена м2 без отделки со скидкой]]+ППД5[[#This Row],[Стоимость отделки]]</f>
        <v>102996.77609130487</v>
      </c>
      <c r="DB174" s="3">
        <f>ППД5[[#This Row],[Стоимость квартиры с отделкой]]-ППД5[[#This Row],[Стоимость ОН без отделки со скидкой]]</f>
        <v>0</v>
      </c>
      <c r="DC174" s="3">
        <f>ППД5[[#This Row],[Цена м2 с отделкой]]*ППД5[[#This Row],[Расчетная проектная площадь]]</f>
        <v>8753696</v>
      </c>
      <c r="DD174" s="3"/>
      <c r="DE174" s="111" t="s">
        <v>2113</v>
      </c>
      <c r="DF174" s="199" t="s">
        <v>172</v>
      </c>
      <c r="DG174" s="245" t="s">
        <v>172</v>
      </c>
      <c r="DH174" s="100" t="b">
        <f>EXACT(ППД5[[#This Row],[Статусы CRM]],ППД5[[#This Row],[Статус]])</f>
        <v>1</v>
      </c>
      <c r="DI174" s="213" t="s">
        <v>346</v>
      </c>
      <c r="DJ174" s="204"/>
      <c r="DK174" s="111" t="s">
        <v>763</v>
      </c>
      <c r="DL174" s="216" t="s">
        <v>12</v>
      </c>
      <c r="DM174" s="201" t="b">
        <f>ППД5[[#This Row],[Отделка CRM]]=ППД5[[#This Row],[Отделка]]</f>
        <v>1</v>
      </c>
      <c r="DN174" s="203">
        <v>8753696</v>
      </c>
      <c r="DO17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74" s="207" t="b">
        <f>IF(AND(ППД5[[#This Row],[Статус]]="свободно",ППД5[[#This Row],[Итоговая сумма скидки]]&lt;&gt;0),FALSE,TRUE)</f>
        <v>1</v>
      </c>
      <c r="DQ174" s="240">
        <f>_xlfn.XLOOKUP(ППД5[[#This Row],[№]],Юрист[№ кв],Юрист[Дата подачи на регистрацию]," ",0,-1)</f>
        <v>45744</v>
      </c>
      <c r="DR174" s="115" t="str">
        <f>_xlfn.XLOOKUP(ППД5[[#This Row],[№]],Юрист[№ кв],Юрист[МОП],"",0,-1)</f>
        <v>Полехович</v>
      </c>
      <c r="DS174" s="333" t="s">
        <v>2640</v>
      </c>
      <c r="DT174" s="333" t="s">
        <v>2641</v>
      </c>
      <c r="DU174" s="333">
        <v>82</v>
      </c>
      <c r="DV174" s="111"/>
    </row>
    <row r="175" spans="1:126" hidden="1" x14ac:dyDescent="0.25">
      <c r="A175" s="112">
        <v>173</v>
      </c>
      <c r="B175" s="111" t="s">
        <v>4</v>
      </c>
      <c r="C175" s="111">
        <v>9</v>
      </c>
      <c r="D175" s="111">
        <v>7</v>
      </c>
      <c r="E175" s="111">
        <v>1</v>
      </c>
      <c r="F175" s="105">
        <v>17.89</v>
      </c>
      <c r="G175" s="105"/>
      <c r="H175" s="105"/>
      <c r="I175" s="94">
        <f>SUM(ППД5[[#This Row],[Комната 1]:[Комната 3]])</f>
        <v>17.89</v>
      </c>
      <c r="J175" s="105">
        <v>13.04</v>
      </c>
      <c r="K175" s="105">
        <v>3.9</v>
      </c>
      <c r="L175" s="105"/>
      <c r="M175" s="105"/>
      <c r="N175" s="105">
        <v>6.12</v>
      </c>
      <c r="O175" s="105">
        <v>2.65</v>
      </c>
      <c r="P175" s="105"/>
      <c r="Q175" s="105"/>
      <c r="R175" s="105">
        <f>SUM(ППД5[[#This Row],[Лоджия 1]:[Лоджия 3]])</f>
        <v>2.65</v>
      </c>
      <c r="S175" s="8">
        <f>ROUND(SUM(ППД5[[#This Row],[Площадь по проекту жилая]:[Лоджия 3]]),2)</f>
        <v>43.6</v>
      </c>
      <c r="T175" s="8">
        <f>ROUND(ППД5[[#This Row],[Площадь по проекту(общая)]]-ППД5[[#This Row],[Летние]],2)</f>
        <v>40.950000000000003</v>
      </c>
      <c r="U175" s="91">
        <f>ROUND(ППД5[[#This Row],[Площадь по проекту(общая)]]-(SUM(ППД5[[#This Row],[Лоджия 1]:[Лоджия 3]])/2),2)</f>
        <v>42.28</v>
      </c>
      <c r="V175" s="91">
        <f>IF(ППД5[[#This Row],[Статус]]="продажа",ППД5[[#This Row],[Расчетная проектная площадь]],ППД5[[#This Row],[Расчетная ТП площадь]])</f>
        <v>42.28</v>
      </c>
      <c r="W175" s="91">
        <v>17.899999999999999</v>
      </c>
      <c r="X175" s="91"/>
      <c r="Y175" s="91"/>
      <c r="Z175" s="91">
        <f>SUM(ППД5[[#This Row],[ТП Комната 1]:[ТП Комната 3]])</f>
        <v>17.899999999999999</v>
      </c>
      <c r="AA175" s="91">
        <v>13.1</v>
      </c>
      <c r="AB175" s="91">
        <v>3.8</v>
      </c>
      <c r="AC175" s="91"/>
      <c r="AD175" s="91"/>
      <c r="AE175" s="91">
        <v>6.1</v>
      </c>
      <c r="AF175" s="91">
        <v>1.35</v>
      </c>
      <c r="AG175" s="91"/>
      <c r="AH175" s="91"/>
      <c r="AI175" s="91">
        <f>SUM(ППД5[[#This Row],[ТП Лоджия 1]:[ТП Лоджия 3]])</f>
        <v>1.35</v>
      </c>
      <c r="AJ175" s="95">
        <v>2.7</v>
      </c>
      <c r="AK175" s="91">
        <f>SUM(ППД5[[#This Row],[Площадь по ТП жилая]:[ТП Лоджия 3]])-ППД5[[#This Row],[ТП Летние]]+ППД5[[#This Row],[кроме того прочая
(без коэффициента)]]</f>
        <v>43.6</v>
      </c>
      <c r="AL175" s="95">
        <f>ППД5[[#This Row],[ТП Площадь без летних]]+(ППД5[[#This Row],[ТП Летние]])</f>
        <v>42.25</v>
      </c>
      <c r="AM175" s="91">
        <f>ППД5[[#This Row],[ТП общая S]]-ППД5[[#This Row],[кроме того прочая
(без коэффициента)]]</f>
        <v>40.9</v>
      </c>
      <c r="AN175" s="95">
        <f>SUM(ППД5[[#This Row],[ТП Кухня]:[ТП Коридор]])</f>
        <v>23</v>
      </c>
      <c r="AO175" s="91">
        <f>ППД5[[#This Row],[Расчетная ТП площадь]]-ППД5[[#This Row],[Расчетная проектная площадь]]</f>
        <v>-3.0000000000001137E-2</v>
      </c>
      <c r="AP175" s="335">
        <f>ППД5[[#This Row],[Расчетная ТП площадь]]/ППД5[[#This Row],[Расчетная проектная площадь]]-1</f>
        <v>-7.0955534531691455E-4</v>
      </c>
      <c r="AQ175" s="91">
        <f>ППД5[[#This Row],[% расхождения]]*ППД5[[#This Row],[Стоимость до скидки]]</f>
        <v>-3249.9763481550635</v>
      </c>
      <c r="AR175" s="91">
        <f>VLOOKUP(ППД5[[#This Row],[№]],наценкад5[],COLUMN(наценкад5[[#This Row],[Цена м2 с учетом всех K]]),0)</f>
        <v>83951.4375</v>
      </c>
      <c r="AS175" s="8">
        <f>ППД5[[#This Row],[м2 после К]]*5%</f>
        <v>4197.5718750000005</v>
      </c>
      <c r="AT175" s="8">
        <f>ППД5[[#This Row],[м2 после К]]+ППД5[[#This Row],[Повышение 16.08.23 - 5%]]</f>
        <v>88149.009374999994</v>
      </c>
      <c r="AU175" s="93">
        <f>ППД5[[#This Row],[Фикс 16.08.23]]*3%</f>
        <v>2644.4702812499995</v>
      </c>
      <c r="AV175" s="93">
        <f>ППД5[[#This Row],[Фикс 16.08.23]]+ППД5[[#This Row],[Повышение 29.08.23 - 3%]]</f>
        <v>90793.479656249998</v>
      </c>
      <c r="AW175" s="93">
        <f>ППД5[[#This Row],[Фикс 29.08.23]]*3%</f>
        <v>2723.8043896874997</v>
      </c>
      <c r="AX175" s="93">
        <f>ППД5[[#This Row],[Фикс 29.08.23]]+ППД5[[#This Row],[Повышение 06.09.23 СТ и 1К]]</f>
        <v>93517.2840459375</v>
      </c>
      <c r="AY175" s="93"/>
      <c r="AZ175" s="93">
        <f>ППД5[[#This Row],[Повышение 23.10.23  В4 ]]+ППД5[[#This Row],[Фикс 06.09.23]]</f>
        <v>93517.2840459375</v>
      </c>
      <c r="BA175" s="93">
        <f>ППД5[[#This Row],[Фикс 23.10.23]]*5%</f>
        <v>4675.8642022968752</v>
      </c>
      <c r="BB175" s="93">
        <f>ППД5[[#This Row],[Повышение 8.11.23 1К 5%]]+ППД5[[#This Row],[Фикс 23.10.23]]</f>
        <v>98193.148248234371</v>
      </c>
      <c r="BC175" s="93"/>
      <c r="BD175" s="93">
        <f>ППД5[[#This Row],[Корректировка 24.11.23 - 1К В5, 2К А2, №233]]+ППД5[[#This Row],[Фикс 8.11.23]]</f>
        <v>98193.148248234371</v>
      </c>
      <c r="BE175" s="93">
        <f>ППД5[[#This Row],[Фикс 8.11.24]]*1%</f>
        <v>981.93148248234377</v>
      </c>
      <c r="BF175" s="93">
        <f>ППД5[[#This Row],[Наценка за отделку 29.12.23 1%]]+ППД5[[#This Row],[Фикс 8.11.24]]</f>
        <v>99175.079730716709</v>
      </c>
      <c r="BG175" s="93">
        <f>ППД5[[#This Row],[Фикс 29.12.23]]*5%</f>
        <v>4958.7539865358358</v>
      </c>
      <c r="BH175" s="93">
        <f>ППД5[[#This Row],[Фикс 29.12.23]]+ППД5[[#This Row],[Наценка 10.01.24 5%]]</f>
        <v>104133.83371725255</v>
      </c>
      <c r="BI175" s="93"/>
      <c r="BJ175" s="93">
        <f>ППД5[[#This Row],[Наценка 26.02.24 1 Этаж]]+ППД5[[#This Row],[Фикс 10.01.24]]</f>
        <v>104133.83371725255</v>
      </c>
      <c r="BK175" s="93">
        <f>ППД5[[#This Row],[Фикс 26.02.24]]*3%</f>
        <v>3124.0150115175766</v>
      </c>
      <c r="BL175" s="93">
        <f>ППД5[[#This Row],[Фикс 26.02.24]]+ППД5[[#This Row],[Наценка 06.03.24
СТ, 1К - 3%
2К, 3К - 2%]]</f>
        <v>107257.84872877013</v>
      </c>
      <c r="BM175" s="93"/>
      <c r="BN175" s="93">
        <f>ППД5[[#This Row],[Фикс 06.03.24]]+ППД5[[#This Row],[Наценка Г2+500]]</f>
        <v>107257.84872877013</v>
      </c>
      <c r="BO175" s="93"/>
      <c r="BP175" s="93">
        <f>ППД5[[#This Row],[Фикс 13.03.25]]+ППД5[[#This Row],[Наценка 20.03.24
2К, 3К - 2%]]</f>
        <v>107257.84872877013</v>
      </c>
      <c r="BQ175" s="93"/>
      <c r="BR175" s="93">
        <f>ППД5[[#This Row],[Фикс 20.03.24]]+ППД5[[#This Row],[Наценка 08.04.24 
2К: В3 - 150
3К: Г7 +1000]]</f>
        <v>107257.84872877013</v>
      </c>
      <c r="BS175" s="9">
        <f>ППД5[[#This Row],[Фикс 08.04.24]]*1%</f>
        <v>1072.5784872877014</v>
      </c>
      <c r="BT175" s="93">
        <f>ППД5[[#This Row],[Фикс 08.04.24]]+ППД5[[#This Row],[Наценка 16.05.24 1%
А4,А6,Б3,Б6,Б7,В2,В3,В5,В6,Г1,Г3-Г5]]</f>
        <v>108330.42721605783</v>
      </c>
      <c r="BU175" s="93"/>
      <c r="BV175" s="93">
        <f>ППД5[[#This Row],[Фикс 16.05.24]]+ППД5[[#This Row],[Наценка 24.05.24
1% - Б4, Б5,Г2,Г6
2% - А1,А3,А5,Б2,Г7]]</f>
        <v>108330.42721605783</v>
      </c>
      <c r="BW175" s="93"/>
      <c r="BX175" s="93">
        <f>ППД5[[#This Row],[Наценка 06.06.24
0К: В2,Г3 +0,5%
1К: А7, Б5/4, Г6 +0,5%
3К: В6 +0,5%
1К: А3 +1%]]+ППД5[[#This Row],[Фикс 24.05.24]]</f>
        <v>108330.42721605783</v>
      </c>
      <c r="BY175" s="93"/>
      <c r="BZ175" s="93">
        <f>ППД5[[#This Row],[Фикс 06.06.24]]+ППД5[[#This Row],[13.06.2024
3К - 2%]]</f>
        <v>108330.42721605783</v>
      </c>
      <c r="CA175" s="93"/>
      <c r="CB175" s="93">
        <f>ППД5[[#This Row],[02.07.2024: Г3 А1 А3 Б5 Б7 Г2 Г6 Б3 Б4 В3 Г7 2,5% ост 0,5-1,5%]]+ППД5[[#This Row],[Фикс 13.06.24]]</f>
        <v>108330.42721605783</v>
      </c>
      <c r="CC175" s="93"/>
      <c r="CD175" s="93">
        <f>ППД5[[#This Row],[Фикс 02.07.24]]+ППД5[[#This Row],[04.09.2024 +500
0К - Б2; 1К - А3;
2К - А6, Б4, В3, Г5]]</f>
        <v>108330.42721605783</v>
      </c>
      <c r="CE175" s="93"/>
      <c r="CF175" s="93">
        <f>ППД5[[#This Row],[Наценка 16.09.2024
1К: А1,В7,Г6/7,Г8 - 2%
2К: А4,А5,А6,Б1,Б6,Б3/4,В3,В4,Г4,Г5 - 4%
3К: 4%]]+ППД5[[#This Row],[Фикс 04.09.24]]</f>
        <v>108330.42721605783</v>
      </c>
      <c r="CG175" s="93"/>
      <c r="CH175" s="93">
        <f>ППД5[[#This Row],[Фикс 16.09.2024]]+ППД5[[#This Row],[Наценка 01.11.24
СТ: 4%
1К: 34-40м 5%; 40м+ 8%; МГН 1%
2К: 55-70м 6%; 70-73м 7%; 73-76м 8% 
3К: 5%]]</f>
        <v>108330.42721605783</v>
      </c>
      <c r="CI175" s="93"/>
      <c r="CJ175" s="93">
        <f>ППД5[[#This Row],[Наценка 06.11 13%]]+ППД5[[#This Row],[Фикс 01.11.24]]</f>
        <v>108330.42721605783</v>
      </c>
      <c r="CK175" s="93"/>
      <c r="CL175" s="93">
        <f>ППД5[[#This Row],[Фикс 06.11.24]]+ППД5[[#This Row],[Наценка 18.12.24 распределение КВ]]</f>
        <v>108330.42721605783</v>
      </c>
      <c r="CM175" s="93"/>
      <c r="CN175" s="93">
        <f>ППД5[[#This Row],[Фикс 18.12.24]]+ППД5[[#This Row],[Наценка 10.02.25 +1%
1К: А3
2К: Б3, В3]]</f>
        <v>108330.42721605783</v>
      </c>
      <c r="CO175" s="93">
        <f>ROUND(ППД5[[#This Row],[Фикс 10.02.25]],2)</f>
        <v>108330.43</v>
      </c>
      <c r="CP17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4580300</v>
      </c>
      <c r="CQ175" s="93">
        <f>ROUNDUP(ППД5[[#This Row],[Стоимость до скидки]]+ППД5[[#This Row],[Сумма доплаты]],-2)</f>
        <v>4577100</v>
      </c>
      <c r="CR175" s="68"/>
      <c r="CS175" s="90"/>
      <c r="CT175" s="68">
        <f>ППД5[[#This Row],[Стоимость до скидки]]*ППД5[[#This Row],[Скидка %]]+ППД5[[#This Row],[Скидка фиксированная]]</f>
        <v>0</v>
      </c>
      <c r="CU175" s="3">
        <f>ППД5[[#This Row],[Стоимость ОН без отделки со скидкой]]/ППД5[[#This Row],[Расчетная проектная площадь]]</f>
        <v>108332.54493850521</v>
      </c>
      <c r="CV175" s="3">
        <f>ROUND(ППД5[[#This Row],[Стоимость до скидки]]-ППД5[[#This Row],[Итоговая сумма скидки]],2)</f>
        <v>4580300</v>
      </c>
      <c r="CW17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175" s="197">
        <v>7000</v>
      </c>
      <c r="CY175" s="332">
        <f>ППД5[[#This Row],[Расхождение]]/ППД5[[#This Row],[Расчетная проектная площадь]]</f>
        <v>-7.0955534531696161E-4</v>
      </c>
      <c r="CZ17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-6.0000000000000497E-2</v>
      </c>
      <c r="DA175" s="3">
        <f>ППД5[[#This Row],[Цена м2 без отделки со скидкой]]+ППД5[[#This Row],[Стоимость отделки]]</f>
        <v>115332.54493850521</v>
      </c>
      <c r="DB175" s="3">
        <f>ППД5[[#This Row],[Стоимость квартиры с отделкой]]-ППД5[[#This Row],[Стоимость ОН без отделки со скидкой]]</f>
        <v>295960</v>
      </c>
      <c r="DC175" s="3">
        <f>ППД5[[#This Row],[Цена м2 с отделкой]]*ППД5[[#This Row],[Расчетная проектная площадь]]</f>
        <v>4876260</v>
      </c>
      <c r="DD175" s="3"/>
      <c r="DF175" s="199" t="s">
        <v>172</v>
      </c>
      <c r="DG175" s="245" t="s">
        <v>172</v>
      </c>
      <c r="DH175" s="100" t="b">
        <f>EXACT(ППД5[[#This Row],[Статусы CRM]],ППД5[[#This Row],[Статус]])</f>
        <v>1</v>
      </c>
      <c r="DI175" s="213" t="s">
        <v>347</v>
      </c>
      <c r="DJ175" s="204"/>
      <c r="DK175" s="111" t="s">
        <v>763</v>
      </c>
      <c r="DL175" s="216" t="s">
        <v>780</v>
      </c>
      <c r="DM175" s="201" t="b">
        <f>ППД5[[#This Row],[Отделка CRM]]=ППД5[[#This Row],[Отделка]]</f>
        <v>1</v>
      </c>
      <c r="DN175" s="203">
        <v>4876260</v>
      </c>
      <c r="DO17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75" s="207" t="b">
        <f>IF(AND(ППД5[[#This Row],[Статус]]="свободно",ППД5[[#This Row],[Итоговая сумма скидки]]&lt;&gt;0),FALSE,TRUE)</f>
        <v>1</v>
      </c>
      <c r="DQ175" s="240">
        <f>_xlfn.XLOOKUP(ППД5[[#This Row],[№]],Юрист[№ кв],Юрист[Дата подачи на регистрацию]," ",0,-1)</f>
        <v>45465</v>
      </c>
      <c r="DR175" s="115" t="str">
        <f>_xlfn.XLOOKUP(ППД5[[#This Row],[№]],Юрист[№ кв],Юрист[МОП],"",0,-1)</f>
        <v>Дик</v>
      </c>
      <c r="DS175" s="333" t="s">
        <v>2642</v>
      </c>
      <c r="DT175" s="333" t="s">
        <v>2643</v>
      </c>
      <c r="DU175" s="333">
        <v>40.9</v>
      </c>
      <c r="DV175" s="111"/>
    </row>
    <row r="176" spans="1:126" hidden="1" x14ac:dyDescent="0.25">
      <c r="A176" s="112">
        <v>174</v>
      </c>
      <c r="B176" s="111" t="s">
        <v>4</v>
      </c>
      <c r="C176" s="111">
        <v>10</v>
      </c>
      <c r="D176" s="338">
        <v>1</v>
      </c>
      <c r="E176" s="111">
        <v>2</v>
      </c>
      <c r="F176" s="105">
        <v>15.91</v>
      </c>
      <c r="G176" s="105">
        <v>12.02</v>
      </c>
      <c r="H176" s="105"/>
      <c r="I176" s="94">
        <f>SUM(ППД5[[#This Row],[Комната 1]:[Комната 3]])</f>
        <v>27.93</v>
      </c>
      <c r="J176" s="105">
        <v>15.31</v>
      </c>
      <c r="K176" s="105">
        <v>3.85</v>
      </c>
      <c r="L176" s="105">
        <v>2.2999999999999998</v>
      </c>
      <c r="M176" s="105"/>
      <c r="N176" s="105">
        <v>9.4499999999999993</v>
      </c>
      <c r="O176" s="105">
        <v>2.75</v>
      </c>
      <c r="P176" s="105"/>
      <c r="Q176" s="105"/>
      <c r="R176" s="105">
        <f>SUM(ППД5[[#This Row],[Лоджия 1]:[Лоджия 3]])</f>
        <v>2.75</v>
      </c>
      <c r="S176" s="8">
        <f>ROUND(SUM(ППД5[[#This Row],[Площадь по проекту жилая]:[Лоджия 3]]),2)</f>
        <v>61.59</v>
      </c>
      <c r="T176" s="8">
        <f>ROUND(ППД5[[#This Row],[Площадь по проекту(общая)]]-ППД5[[#This Row],[Летние]],2)</f>
        <v>58.84</v>
      </c>
      <c r="U176" s="91">
        <f>ROUND(ППД5[[#This Row],[Площадь по проекту(общая)]]-(SUM(ППД5[[#This Row],[Лоджия 1]:[Лоджия 3]])/2),2)</f>
        <v>60.22</v>
      </c>
      <c r="V176" s="91">
        <f>IF(ППД5[[#This Row],[Статус]]="продажа",ППД5[[#This Row],[Расчетная проектная площадь]],ППД5[[#This Row],[Расчетная ТП площадь]])</f>
        <v>60.22</v>
      </c>
      <c r="W176" s="91">
        <v>15.9</v>
      </c>
      <c r="X176" s="91">
        <v>11.9</v>
      </c>
      <c r="Y176" s="91"/>
      <c r="Z176" s="91">
        <f>SUM(ППД5[[#This Row],[ТП Комната 1]:[ТП Комната 3]])</f>
        <v>27.8</v>
      </c>
      <c r="AA176" s="91">
        <v>15.3</v>
      </c>
      <c r="AB176" s="91">
        <v>3.8</v>
      </c>
      <c r="AC176" s="91">
        <v>2.2999999999999998</v>
      </c>
      <c r="AD176" s="91"/>
      <c r="AE176" s="91">
        <v>9.6</v>
      </c>
      <c r="AF176" s="91">
        <v>1.4</v>
      </c>
      <c r="AG176" s="91"/>
      <c r="AH176" s="91"/>
      <c r="AI176" s="91">
        <f>SUM(ППД5[[#This Row],[ТП Лоджия 1]:[ТП Лоджия 3]])</f>
        <v>1.4</v>
      </c>
      <c r="AJ176" s="95">
        <v>2.8</v>
      </c>
      <c r="AK176" s="91">
        <f>SUM(ППД5[[#This Row],[Площадь по ТП жилая]:[ТП Лоджия 3]])-ППД5[[#This Row],[ТП Летние]]+ППД5[[#This Row],[кроме того прочая
(без коэффициента)]]</f>
        <v>61.599999999999994</v>
      </c>
      <c r="AL176" s="95">
        <f>ППД5[[#This Row],[ТП Площадь без летних]]+(ППД5[[#This Row],[ТП Летние]])</f>
        <v>60.199999999999996</v>
      </c>
      <c r="AM176" s="91">
        <f>ППД5[[#This Row],[ТП общая S]]-ППД5[[#This Row],[кроме того прочая
(без коэффициента)]]</f>
        <v>58.8</v>
      </c>
      <c r="AN176" s="95">
        <f>SUM(ППД5[[#This Row],[ТП Кухня]:[ТП Коридор]])</f>
        <v>31</v>
      </c>
      <c r="AO176" s="91">
        <f>ППД5[[#This Row],[Расчетная ТП площадь]]-ППД5[[#This Row],[Расчетная проектная площадь]]</f>
        <v>-2.0000000000003126E-2</v>
      </c>
      <c r="AP176" s="335">
        <f>ППД5[[#This Row],[Расчетная ТП площадь]]/ППД5[[#This Row],[Расчетная проектная площадь]]-1</f>
        <v>-3.3211557622059296E-4</v>
      </c>
      <c r="AQ176" s="91">
        <f>ППД5[[#This Row],[% расхождения]]*ППД5[[#This Row],[Стоимость до скидки]]</f>
        <v>-1877.5821986055003</v>
      </c>
      <c r="AR176" s="91">
        <f>VLOOKUP(ППД5[[#This Row],[№]],наценкад5[],COLUMN(наценкад5[[#This Row],[Цена м2 с учетом всех K]]),0)</f>
        <v>81852.246000000014</v>
      </c>
      <c r="AS176" s="8">
        <f>ППД5[[#This Row],[м2 после К]]*5%</f>
        <v>4092.6123000000007</v>
      </c>
      <c r="AT176" s="8">
        <f>ППД5[[#This Row],[м2 после К]]+ППД5[[#This Row],[Повышение 16.08.23 - 5%]]</f>
        <v>85944.858300000022</v>
      </c>
      <c r="AU176" s="93">
        <f>ППД5[[#This Row],[Фикс 16.08.23]]*3%</f>
        <v>2578.3457490000005</v>
      </c>
      <c r="AV176" s="93">
        <f>ППД5[[#This Row],[Фикс 16.08.23]]+ППД5[[#This Row],[Повышение 29.08.23 - 3%]]</f>
        <v>88523.204049000022</v>
      </c>
      <c r="AW176" s="93"/>
      <c r="AX176" s="93">
        <f>ППД5[[#This Row],[Фикс 29.08.23]]+ППД5[[#This Row],[Повышение 06.09.23 СТ и 1К]]</f>
        <v>88523.204049000022</v>
      </c>
      <c r="AY176" s="93"/>
      <c r="AZ176" s="93">
        <f>ППД5[[#This Row],[Повышение 23.10.23  В4 ]]+ППД5[[#This Row],[Фикс 06.09.23]]</f>
        <v>88523.204049000022</v>
      </c>
      <c r="BA176" s="93"/>
      <c r="BB176" s="93">
        <f>ППД5[[#This Row],[Повышение 8.11.23 1К 5%]]+ППД5[[#This Row],[Фикс 23.10.23]]</f>
        <v>88523.204049000022</v>
      </c>
      <c r="BC176" s="93"/>
      <c r="BD176" s="93">
        <f>ППД5[[#This Row],[Корректировка 24.11.23 - 1К В5, 2К А2, №233]]+ППД5[[#This Row],[Фикс 8.11.23]]</f>
        <v>88523.204049000022</v>
      </c>
      <c r="BE176" s="93">
        <f>ППД5[[#This Row],[Фикс 8.11.24]]*1%</f>
        <v>885.23204049000026</v>
      </c>
      <c r="BF176" s="93">
        <f>ППД5[[#This Row],[Наценка за отделку 29.12.23 1%]]+ППД5[[#This Row],[Фикс 8.11.24]]</f>
        <v>89408.436089490016</v>
      </c>
      <c r="BG176" s="93">
        <f>ППД5[[#This Row],[Фикс 29.12.23]]*5%</f>
        <v>4470.4218044745012</v>
      </c>
      <c r="BH176" s="93">
        <f>ППД5[[#This Row],[Фикс 29.12.23]]+ППД5[[#This Row],[Наценка 10.01.24 5%]]</f>
        <v>93878.857893964523</v>
      </c>
      <c r="BI176" s="93"/>
      <c r="BJ176" s="93">
        <f>ППД5[[#This Row],[Наценка 26.02.24 1 Этаж]]+ППД5[[#This Row],[Фикс 10.01.24]]</f>
        <v>93878.857893964523</v>
      </c>
      <c r="BK176" s="93"/>
      <c r="BL176" s="93">
        <f>ППД5[[#This Row],[Фикс 26.02.24]]+ППД5[[#This Row],[Наценка 06.03.24
СТ, 1К - 3%
2К, 3К - 2%]]</f>
        <v>93878.857893964523</v>
      </c>
      <c r="BM176" s="93"/>
      <c r="BN176" s="93">
        <f>ППД5[[#This Row],[Фикс 06.03.24]]+ППД5[[#This Row],[Наценка Г2+500]]</f>
        <v>93878.857893964523</v>
      </c>
      <c r="BO176" s="93"/>
      <c r="BP176" s="93">
        <f>ППД5[[#This Row],[Фикс 13.03.25]]+ППД5[[#This Row],[Наценка 20.03.24
2К, 3К - 2%]]</f>
        <v>93878.857893964523</v>
      </c>
      <c r="BQ176" s="93"/>
      <c r="BR176" s="93">
        <f>ППД5[[#This Row],[Фикс 20.03.24]]+ППД5[[#This Row],[Наценка 08.04.24 
2К: В3 - 150
3К: Г7 +1000]]</f>
        <v>93878.857893964523</v>
      </c>
      <c r="BS176" s="93"/>
      <c r="BT176" s="93">
        <f>ППД5[[#This Row],[Фикс 08.04.24]]+ППД5[[#This Row],[Наценка 16.05.24 1%
А4,А6,Б3,Б6,Б7,В2,В3,В5,В6,Г1,Г3-Г5]]</f>
        <v>93878.857893964523</v>
      </c>
      <c r="BU176" s="93"/>
      <c r="BV176" s="93">
        <f>ППД5[[#This Row],[Фикс 16.05.24]]+ППД5[[#This Row],[Наценка 24.05.24
1% - Б4, Б5,Г2,Г6
2% - А1,А3,А5,Б2,Г7]]</f>
        <v>93878.857893964523</v>
      </c>
      <c r="BW176" s="93"/>
      <c r="BX176" s="93">
        <f>ППД5[[#This Row],[Наценка 06.06.24
0К: В2,Г3 +0,5%
1К: А7, Б5/4, Г6 +0,5%
3К: В6 +0,5%
1К: А3 +1%]]+ППД5[[#This Row],[Фикс 24.05.24]]</f>
        <v>93878.857893964523</v>
      </c>
      <c r="BY176" s="93"/>
      <c r="BZ176" s="93">
        <f>ППД5[[#This Row],[Фикс 06.06.24]]+ППД5[[#This Row],[13.06.2024
3К - 2%]]</f>
        <v>93878.857893964523</v>
      </c>
      <c r="CA176" s="93"/>
      <c r="CB176" s="93">
        <f>ППД5[[#This Row],[02.07.2024: Г3 А1 А3 Б5 Б7 Г2 Г6 Б3 Б4 В3 Г7 2,5% ост 0,5-1,5%]]+ППД5[[#This Row],[Фикс 13.06.24]]</f>
        <v>93878.857893964523</v>
      </c>
      <c r="CC176" s="93"/>
      <c r="CD176" s="93">
        <f>ППД5[[#This Row],[Фикс 02.07.24]]+ППД5[[#This Row],[04.09.2024 +500
0К - Б2; 1К - А3;
2К - А6, Б4, В3, Г5]]</f>
        <v>93878.857893964523</v>
      </c>
      <c r="CE176" s="93"/>
      <c r="CF176" s="93">
        <f>ППД5[[#This Row],[Наценка 16.09.2024
1К: А1,В7,Г6/7,Г8 - 2%
2К: А4,А5,А6,Б1,Б6,Б3/4,В3,В4,Г4,Г5 - 4%
3К: 4%]]+ППД5[[#This Row],[Фикс 04.09.24]]</f>
        <v>93878.857893964523</v>
      </c>
      <c r="CG176" s="93"/>
      <c r="CH176" s="93">
        <f>ППД5[[#This Row],[Фикс 16.09.2024]]+ППД5[[#This Row],[Наценка 01.11.24
СТ: 4%
1К: 34-40м 5%; 40м+ 8%; МГН 1%
2К: 55-70м 6%; 70-73м 7%; 73-76м 8% 
3К: 5%]]</f>
        <v>93878.857893964523</v>
      </c>
      <c r="CI176" s="93"/>
      <c r="CJ176" s="93">
        <f>ППД5[[#This Row],[Наценка 06.11 13%]]+ППД5[[#This Row],[Фикс 01.11.24]]</f>
        <v>93878.857893964523</v>
      </c>
      <c r="CK176" s="93"/>
      <c r="CL176" s="93">
        <f>ППД5[[#This Row],[Фикс 06.11.24]]+ППД5[[#This Row],[Наценка 18.12.24 распределение КВ]]</f>
        <v>93878.857893964523</v>
      </c>
      <c r="CM176" s="93"/>
      <c r="CN176" s="93">
        <f>ППД5[[#This Row],[Фикс 18.12.24]]+ППД5[[#This Row],[Наценка 10.02.25 +1%
1К: А3
2К: Б3, В3]]</f>
        <v>93878.857893964523</v>
      </c>
      <c r="CO176" s="93">
        <f>ROUND(ППД5[[#This Row],[Фикс 10.02.25]],2)</f>
        <v>93878.86</v>
      </c>
      <c r="CP17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5653400</v>
      </c>
      <c r="CQ176" s="93">
        <f>ROUNDUP(ППД5[[#This Row],[Стоимость до скидки]]+ППД5[[#This Row],[Сумма доплаты]],-2)</f>
        <v>5651600</v>
      </c>
      <c r="CR176" s="68"/>
      <c r="CS176" s="90"/>
      <c r="CT176" s="68">
        <f>ППД5[[#This Row],[Стоимость до скидки]]*ППД5[[#This Row],[Скидка %]]+ППД5[[#This Row],[Скидка фиксированная]]</f>
        <v>0</v>
      </c>
      <c r="CU176" s="3">
        <f>ППД5[[#This Row],[Стоимость ОН без отделки со скидкой]]/ППД5[[#This Row],[Расчетная проектная площадь]]</f>
        <v>93879.109930255727</v>
      </c>
      <c r="CV176" s="3">
        <f>ROUND(ППД5[[#This Row],[Стоимость до скидки]]-ППД5[[#This Row],[Итоговая сумма скидки]],2)</f>
        <v>5653400</v>
      </c>
      <c r="CW17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76" s="197"/>
      <c r="CY176" s="332">
        <f>ППД5[[#This Row],[Расхождение]]/ППД5[[#This Row],[Расчетная проектная площадь]]</f>
        <v>-3.3211557622057664E-4</v>
      </c>
      <c r="CZ17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8.9999999999999858E-2</v>
      </c>
      <c r="DA176" s="3">
        <f>ППД5[[#This Row],[Цена м2 без отделки со скидкой]]+ППД5[[#This Row],[Стоимость отделки]]</f>
        <v>93879.109930255727</v>
      </c>
      <c r="DB176" s="3">
        <f>ППД5[[#This Row],[Стоимость квартиры с отделкой]]-ППД5[[#This Row],[Стоимость ОН без отделки со скидкой]]</f>
        <v>0</v>
      </c>
      <c r="DC176" s="3">
        <f>ППД5[[#This Row],[Цена м2 с отделкой]]*ППД5[[#This Row],[Расчетная проектная площадь]]</f>
        <v>5653400</v>
      </c>
      <c r="DD176" s="3"/>
      <c r="DF176" s="199" t="s">
        <v>172</v>
      </c>
      <c r="DG176" s="245" t="s">
        <v>172</v>
      </c>
      <c r="DH176" s="100" t="b">
        <f>EXACT(ППД5[[#This Row],[Статусы CRM]],ППД5[[#This Row],[Статус]])</f>
        <v>1</v>
      </c>
      <c r="DI176" s="213" t="s">
        <v>348</v>
      </c>
      <c r="DJ176" s="204"/>
      <c r="DK176" s="111" t="s">
        <v>763</v>
      </c>
      <c r="DL176" s="216" t="s">
        <v>12</v>
      </c>
      <c r="DM176" s="201" t="b">
        <f>ППД5[[#This Row],[Отделка CRM]]=ППД5[[#This Row],[Отделка]]</f>
        <v>1</v>
      </c>
      <c r="DN176" s="203">
        <v>5653400</v>
      </c>
      <c r="DO17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76" s="207" t="b">
        <f>IF(AND(ППД5[[#This Row],[Статус]]="свободно",ППД5[[#This Row],[Итоговая сумма скидки]]&lt;&gt;0),FALSE,TRUE)</f>
        <v>1</v>
      </c>
      <c r="DQ176" s="240">
        <f>_xlfn.XLOOKUP(ППД5[[#This Row],[№]],Юрист[№ кв],Юрист[Дата подачи на регистрацию]," ",0,-1)</f>
        <v>45351</v>
      </c>
      <c r="DR176" s="115" t="str">
        <f>_xlfn.XLOOKUP(ППД5[[#This Row],[№]],Юрист[№ кв],Юрист[МОП],"",0,-1)</f>
        <v>Полехович</v>
      </c>
      <c r="DS176" s="333" t="s">
        <v>2644</v>
      </c>
      <c r="DT176" s="333" t="s">
        <v>2645</v>
      </c>
      <c r="DU176" s="333">
        <v>58.8</v>
      </c>
      <c r="DV176" s="111"/>
    </row>
    <row r="177" spans="1:126" hidden="1" x14ac:dyDescent="0.25">
      <c r="A177" s="112">
        <v>175</v>
      </c>
      <c r="B177" s="111" t="s">
        <v>4</v>
      </c>
      <c r="C177" s="111">
        <v>10</v>
      </c>
      <c r="D177" s="111">
        <v>2</v>
      </c>
      <c r="E177" s="111">
        <v>0</v>
      </c>
      <c r="F177" s="105">
        <v>7.13</v>
      </c>
      <c r="G177" s="105"/>
      <c r="H177" s="105"/>
      <c r="I177" s="94">
        <f>SUM(ППД5[[#This Row],[Комната 1]:[Комната 3]])</f>
        <v>7.13</v>
      </c>
      <c r="J177" s="105">
        <v>5.12</v>
      </c>
      <c r="K177" s="105">
        <v>3.65</v>
      </c>
      <c r="L177" s="105"/>
      <c r="M177" s="105"/>
      <c r="N177" s="105">
        <v>6.92</v>
      </c>
      <c r="O177" s="105">
        <v>2.91</v>
      </c>
      <c r="P177" s="105"/>
      <c r="Q177" s="105"/>
      <c r="R177" s="105">
        <f>SUM(ППД5[[#This Row],[Лоджия 1]:[Лоджия 3]])</f>
        <v>2.91</v>
      </c>
      <c r="S177" s="8">
        <f>ROUND(SUM(ППД5[[#This Row],[Площадь по проекту жилая]:[Лоджия 3]]),2)</f>
        <v>25.73</v>
      </c>
      <c r="T177" s="8">
        <f>ROUND(ППД5[[#This Row],[Площадь по проекту(общая)]]-ППД5[[#This Row],[Летние]],2)</f>
        <v>22.82</v>
      </c>
      <c r="U177" s="91">
        <f>ROUND(ППД5[[#This Row],[Площадь по проекту(общая)]]-(SUM(ППД5[[#This Row],[Лоджия 1]:[Лоджия 3]])/2),2)</f>
        <v>24.28</v>
      </c>
      <c r="V177" s="91">
        <f>IF(ППД5[[#This Row],[Статус]]="продажа",ППД5[[#This Row],[Расчетная проектная площадь]],ППД5[[#This Row],[Расчетная ТП площадь]])</f>
        <v>24.28</v>
      </c>
      <c r="W177" s="91">
        <v>7.1</v>
      </c>
      <c r="X177" s="91"/>
      <c r="Y177" s="91"/>
      <c r="Z177" s="91">
        <f>SUM(ППД5[[#This Row],[ТП Комната 1]:[ТП Комната 3]])</f>
        <v>7.1</v>
      </c>
      <c r="AA177" s="91">
        <v>5.0999999999999996</v>
      </c>
      <c r="AB177" s="91">
        <v>3.7</v>
      </c>
      <c r="AC177" s="91"/>
      <c r="AD177" s="91"/>
      <c r="AE177" s="91">
        <v>6.9</v>
      </c>
      <c r="AF177" s="91">
        <v>1.45</v>
      </c>
      <c r="AG177" s="91"/>
      <c r="AH177" s="91"/>
      <c r="AI177" s="91">
        <f>SUM(ППД5[[#This Row],[ТП Лоджия 1]:[ТП Лоджия 3]])</f>
        <v>1.45</v>
      </c>
      <c r="AJ177" s="95">
        <v>2.9</v>
      </c>
      <c r="AK177" s="91">
        <f>SUM(ППД5[[#This Row],[Площадь по ТП жилая]:[ТП Лоджия 3]])-ППД5[[#This Row],[ТП Летние]]+ППД5[[#This Row],[кроме того прочая
(без коэффициента)]]</f>
        <v>25.699999999999996</v>
      </c>
      <c r="AL177" s="95">
        <f>ППД5[[#This Row],[ТП Площадь без летних]]+(ППД5[[#This Row],[ТП Летние]])</f>
        <v>24.249999999999996</v>
      </c>
      <c r="AM177" s="91">
        <f>ППД5[[#This Row],[ТП общая S]]-ППД5[[#This Row],[кроме того прочая
(без коэффициента)]]</f>
        <v>22.799999999999997</v>
      </c>
      <c r="AN177" s="95">
        <f>SUM(ППД5[[#This Row],[ТП Кухня]:[ТП Коридор]])</f>
        <v>15.700000000000001</v>
      </c>
      <c r="AO177" s="91">
        <f>ППД5[[#This Row],[Расчетная ТП площадь]]-ППД5[[#This Row],[Расчетная проектная площадь]]</f>
        <v>-3.000000000000469E-2</v>
      </c>
      <c r="AP177" s="335">
        <f>ППД5[[#This Row],[Расчетная ТП площадь]]/ППД5[[#This Row],[Расчетная проектная площадь]]-1</f>
        <v>-1.2355848434927319E-3</v>
      </c>
      <c r="AQ177" s="91">
        <f>ППД5[[#This Row],[% расхождения]]*ППД5[[#This Row],[Стоимость до скидки]]</f>
        <v>-3896.1696869856314</v>
      </c>
      <c r="AR177" s="91">
        <f>VLOOKUP(ППД5[[#This Row],[№]],наценкад5[],COLUMN(наценкад5[[#This Row],[Цена м2 с учетом всех K]]),0)</f>
        <v>91981.574999999997</v>
      </c>
      <c r="AS177" s="8">
        <f>ППД5[[#This Row],[м2 после К]]*5%</f>
        <v>4599.0787499999997</v>
      </c>
      <c r="AT177" s="8">
        <f>ППД5[[#This Row],[м2 после К]]+ППД5[[#This Row],[Повышение 16.08.23 - 5%]]</f>
        <v>96580.653749999998</v>
      </c>
      <c r="AU177" s="93">
        <f>ППД5[[#This Row],[Фикс 16.08.23]]*3%</f>
        <v>2897.4196124999999</v>
      </c>
      <c r="AV177" s="93">
        <f>ППД5[[#This Row],[Фикс 16.08.23]]+ППД5[[#This Row],[Повышение 29.08.23 - 3%]]</f>
        <v>99478.073362499999</v>
      </c>
      <c r="AW177" s="93">
        <f>ППД5[[#This Row],[Фикс 29.08.23]]*15%</f>
        <v>14921.711004375</v>
      </c>
      <c r="AX177" s="93">
        <f>ППД5[[#This Row],[Фикс 29.08.23]]+ППД5[[#This Row],[Повышение 06.09.23 СТ и 1К]]</f>
        <v>114399.784366875</v>
      </c>
      <c r="AY177" s="93"/>
      <c r="AZ177" s="93">
        <f>ППД5[[#This Row],[Повышение 23.10.23  В4 ]]+ППД5[[#This Row],[Фикс 06.09.23]]</f>
        <v>114399.784366875</v>
      </c>
      <c r="BA177" s="93"/>
      <c r="BB177" s="93">
        <f>ППД5[[#This Row],[Повышение 8.11.23 1К 5%]]+ППД5[[#This Row],[Фикс 23.10.23]]</f>
        <v>114399.784366875</v>
      </c>
      <c r="BC177" s="93"/>
      <c r="BD177" s="93">
        <f>ППД5[[#This Row],[Корректировка 24.11.23 - 1К В5, 2К А2, №233]]+ППД5[[#This Row],[Фикс 8.11.23]]</f>
        <v>114399.784366875</v>
      </c>
      <c r="BE177" s="93">
        <f>ППД5[[#This Row],[Фикс 8.11.24]]*1%</f>
        <v>1143.99784366875</v>
      </c>
      <c r="BF177" s="93">
        <f>ППД5[[#This Row],[Наценка за отделку 29.12.23 1%]]+ППД5[[#This Row],[Фикс 8.11.24]]</f>
        <v>115543.78221054375</v>
      </c>
      <c r="BG177" s="93">
        <f>ППД5[[#This Row],[Фикс 29.12.23]]*5%</f>
        <v>5777.1891105271879</v>
      </c>
      <c r="BH177" s="93">
        <f>ППД5[[#This Row],[Фикс 29.12.23]]+ППД5[[#This Row],[Наценка 10.01.24 5%]]</f>
        <v>121320.97132107095</v>
      </c>
      <c r="BI177" s="93"/>
      <c r="BJ177" s="93">
        <f>ППД5[[#This Row],[Наценка 26.02.24 1 Этаж]]+ППД5[[#This Row],[Фикс 10.01.24]]</f>
        <v>121320.97132107095</v>
      </c>
      <c r="BK177" s="93">
        <f>ППД5[[#This Row],[Фикс 26.02.24]]*3%</f>
        <v>3639.629139632128</v>
      </c>
      <c r="BL177" s="93">
        <f>ППД5[[#This Row],[Фикс 26.02.24]]+ППД5[[#This Row],[Наценка 06.03.24
СТ, 1К - 3%
2К, 3К - 2%]]</f>
        <v>124960.60046070308</v>
      </c>
      <c r="BM177" s="93"/>
      <c r="BN177" s="93">
        <f>ППД5[[#This Row],[Фикс 06.03.24]]+ППД5[[#This Row],[Наценка Г2+500]]</f>
        <v>124960.60046070308</v>
      </c>
      <c r="BO177" s="93"/>
      <c r="BP177" s="93">
        <f>ППД5[[#This Row],[Фикс 13.03.25]]+ППД5[[#This Row],[Наценка 20.03.24
2К, 3К - 2%]]</f>
        <v>124960.60046070308</v>
      </c>
      <c r="BQ177" s="93"/>
      <c r="BR177" s="93">
        <f>ППД5[[#This Row],[Фикс 20.03.24]]+ППД5[[#This Row],[Наценка 08.04.24 
2К: В3 - 150
3К: Г7 +1000]]</f>
        <v>124960.60046070308</v>
      </c>
      <c r="BS177" s="93"/>
      <c r="BT177" s="93">
        <f>ППД5[[#This Row],[Фикс 08.04.24]]+ППД5[[#This Row],[Наценка 16.05.24 1%
А4,А6,Б3,Б6,Б7,В2,В3,В5,В6,Г1,Г3-Г5]]</f>
        <v>124960.60046070308</v>
      </c>
      <c r="BU177" s="93">
        <f>ППД5[[#This Row],[Фикс 16.05.24]]*2%</f>
        <v>2499.2120092140617</v>
      </c>
      <c r="BV177" s="93">
        <f>ППД5[[#This Row],[Фикс 16.05.24]]+ППД5[[#This Row],[Наценка 24.05.24
1% - Б4, Б5,Г2,Г6
2% - А1,А3,А5,Б2,Г7]]</f>
        <v>127459.81246991715</v>
      </c>
      <c r="BW177" s="93"/>
      <c r="BX177" s="93">
        <f>ППД5[[#This Row],[Наценка 06.06.24
0К: В2,Г3 +0,5%
1К: А7, Б5/4, Г6 +0,5%
3К: В6 +0,5%
1К: А3 +1%]]+ППД5[[#This Row],[Фикс 24.05.24]]</f>
        <v>127459.81246991715</v>
      </c>
      <c r="BY177" s="93"/>
      <c r="BZ177" s="93">
        <f>ППД5[[#This Row],[Фикс 06.06.24]]+ППД5[[#This Row],[13.06.2024
3К - 2%]]</f>
        <v>127459.81246991715</v>
      </c>
      <c r="CA177" s="93">
        <f>1.5%*ППД5[[#This Row],[Фикс 13.06.24]]</f>
        <v>1911.8971870487571</v>
      </c>
      <c r="CB177" s="93">
        <f>ППД5[[#This Row],[02.07.2024: Г3 А1 А3 Б5 Б7 Г2 Г6 Б3 Б4 В3 Г7 2,5% ост 0,5-1,5%]]+ППД5[[#This Row],[Фикс 13.06.24]]</f>
        <v>129371.7096569659</v>
      </c>
      <c r="CC177" s="93">
        <v>500</v>
      </c>
      <c r="CD177" s="93">
        <f>ППД5[[#This Row],[Фикс 02.07.24]]+ППД5[[#This Row],[04.09.2024 +500
0К - Б2; 1К - А3;
2К - А6, Б4, В3, Г5]]</f>
        <v>129871.7096569659</v>
      </c>
      <c r="CE177" s="93"/>
      <c r="CF177" s="93">
        <f>ППД5[[#This Row],[Наценка 16.09.2024
1К: А1,В7,Г6/7,Г8 - 2%
2К: А4,А5,А6,Б1,Б6,Б3/4,В3,В4,Г4,Г5 - 4%
3К: 4%]]+ППД5[[#This Row],[Фикс 04.09.24]]</f>
        <v>129871.7096569659</v>
      </c>
      <c r="CG177" s="93"/>
      <c r="CH177" s="93">
        <f>ППД5[[#This Row],[Фикс 16.09.2024]]+ППД5[[#This Row],[Наценка 01.11.24
СТ: 4%
1К: 34-40м 5%; 40м+ 8%; МГН 1%
2К: 55-70м 6%; 70-73м 7%; 73-76м 8% 
3К: 5%]]</f>
        <v>129871.7096569659</v>
      </c>
      <c r="CI177" s="93"/>
      <c r="CJ177" s="93">
        <f>ППД5[[#This Row],[Наценка 06.11 13%]]+ППД5[[#This Row],[Фикс 01.11.24]]</f>
        <v>129871.7096569659</v>
      </c>
      <c r="CK177" s="93"/>
      <c r="CL177" s="93">
        <f>ППД5[[#This Row],[Фикс 06.11.24]]+ППД5[[#This Row],[Наценка 18.12.24 распределение КВ]]</f>
        <v>129871.7096569659</v>
      </c>
      <c r="CM177" s="93"/>
      <c r="CN177" s="93">
        <f>ППД5[[#This Row],[Фикс 18.12.24]]+ППД5[[#This Row],[Наценка 10.02.25 +1%
1К: А3
2К: Б3, В3]]</f>
        <v>129871.7096569659</v>
      </c>
      <c r="CO177" s="93">
        <f>ROUND(ППД5[[#This Row],[Фикс 10.02.25]],2)</f>
        <v>129871.71</v>
      </c>
      <c r="CP17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3153300</v>
      </c>
      <c r="CQ177" s="93">
        <f>ROUNDUP(ППД5[[#This Row],[Стоимость до скидки]]+ППД5[[#This Row],[Сумма доплаты]],-2)</f>
        <v>3149500</v>
      </c>
      <c r="CR177" s="68">
        <v>50000</v>
      </c>
      <c r="CS177" s="90"/>
      <c r="CT177" s="68">
        <f>ППД5[[#This Row],[Стоимость до скидки]]*ППД5[[#This Row],[Скидка %]]+ППД5[[#This Row],[Скидка фиксированная]]</f>
        <v>50000</v>
      </c>
      <c r="CU177" s="3">
        <f>ППД5[[#This Row],[Стоимость ОН без отделки со скидкой]]/ППД5[[#This Row],[Расчетная проектная площадь]]</f>
        <v>127813.01482701811</v>
      </c>
      <c r="CV177" s="3">
        <f>ROUND(ППД5[[#This Row],[Стоимость до скидки]]-ППД5[[#This Row],[Итоговая сумма скидки]],2)</f>
        <v>3103300</v>
      </c>
      <c r="CW17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177" s="197">
        <v>24000</v>
      </c>
      <c r="CY177" s="332">
        <f>ППД5[[#This Row],[Расхождение]]/ППД5[[#This Row],[Расчетная проектная площадь]]</f>
        <v>-1.2355848434927796E-3</v>
      </c>
      <c r="CZ17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1.0000000000000675E-2</v>
      </c>
      <c r="DA177" s="3">
        <f>ППД5[[#This Row],[Цена м2 без отделки со скидкой]]+ППД5[[#This Row],[Стоимость отделки]]</f>
        <v>151813.01482701811</v>
      </c>
      <c r="DB177" s="3">
        <f>ППД5[[#This Row],[Стоимость квартиры с отделкой]]-ППД5[[#This Row],[Стоимость ОН без отделки со скидкой]]</f>
        <v>582720</v>
      </c>
      <c r="DC177" s="3">
        <f>ППД5[[#This Row],[Цена м2 с отделкой]]*ППД5[[#This Row],[Расчетная проектная площадь]]</f>
        <v>3686020</v>
      </c>
      <c r="DD177" s="3"/>
      <c r="DE177" s="111" t="s">
        <v>159</v>
      </c>
      <c r="DF177" s="199" t="s">
        <v>172</v>
      </c>
      <c r="DG177" s="245" t="s">
        <v>172</v>
      </c>
      <c r="DH177" s="100" t="b">
        <f>EXACT(ППД5[[#This Row],[Статусы CRM]],ППД5[[#This Row],[Статус]])</f>
        <v>1</v>
      </c>
      <c r="DI177" s="213" t="s">
        <v>349</v>
      </c>
      <c r="DJ177" s="204"/>
      <c r="DK177" s="111" t="s">
        <v>763</v>
      </c>
      <c r="DL177" s="216" t="s">
        <v>14</v>
      </c>
      <c r="DM177" s="201" t="b">
        <f>ППД5[[#This Row],[Отделка CRM]]=ППД5[[#This Row],[Отделка]]</f>
        <v>1</v>
      </c>
      <c r="DN177" s="203">
        <v>3686020</v>
      </c>
      <c r="DO17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77" s="207" t="b">
        <f>IF(AND(ППД5[[#This Row],[Статус]]="свободно",ППД5[[#This Row],[Итоговая сумма скидки]]&lt;&gt;0),FALSE,TRUE)</f>
        <v>1</v>
      </c>
      <c r="DQ177" s="240">
        <f>_xlfn.XLOOKUP(ППД5[[#This Row],[№]],Юрист[№ кв],Юрист[Дата подачи на регистрацию]," ",0,-1)</f>
        <v>45589</v>
      </c>
      <c r="DR177" s="115" t="str">
        <f>_xlfn.XLOOKUP(ППД5[[#This Row],[№]],Юрист[№ кв],Юрист[МОП],"",0,-1)</f>
        <v>Полехович</v>
      </c>
      <c r="DS177" s="333" t="s">
        <v>2646</v>
      </c>
      <c r="DT177" s="333" t="s">
        <v>2647</v>
      </c>
      <c r="DU177" s="333">
        <v>22.8</v>
      </c>
      <c r="DV177" s="111"/>
    </row>
    <row r="178" spans="1:126" hidden="1" x14ac:dyDescent="0.25">
      <c r="A178" s="112">
        <v>176</v>
      </c>
      <c r="B178" s="111" t="s">
        <v>4</v>
      </c>
      <c r="C178" s="111">
        <v>10</v>
      </c>
      <c r="D178" s="111">
        <v>3</v>
      </c>
      <c r="E178" s="111">
        <v>2</v>
      </c>
      <c r="F178" s="105">
        <v>14.6</v>
      </c>
      <c r="G178" s="105">
        <v>13.12</v>
      </c>
      <c r="H178" s="105"/>
      <c r="I178" s="94">
        <f>SUM(ППД5[[#This Row],[Комната 1]:[Комната 3]])</f>
        <v>27.72</v>
      </c>
      <c r="J178" s="105">
        <v>14.35</v>
      </c>
      <c r="K178" s="105">
        <v>3.68</v>
      </c>
      <c r="L178" s="105">
        <v>2.57</v>
      </c>
      <c r="M178" s="105"/>
      <c r="N178" s="105">
        <v>7.95</v>
      </c>
      <c r="O178" s="105">
        <v>2.65</v>
      </c>
      <c r="P178" s="105"/>
      <c r="Q178" s="105"/>
      <c r="R178" s="105">
        <f>SUM(ППД5[[#This Row],[Лоджия 1]:[Лоджия 3]])</f>
        <v>2.65</v>
      </c>
      <c r="S178" s="8">
        <f>ROUND(SUM(ППД5[[#This Row],[Площадь по проекту жилая]:[Лоджия 3]]),2)</f>
        <v>58.92</v>
      </c>
      <c r="T178" s="8">
        <f>ROUND(ППД5[[#This Row],[Площадь по проекту(общая)]]-ППД5[[#This Row],[Летние]],2)</f>
        <v>56.27</v>
      </c>
      <c r="U178" s="91">
        <f>ROUND(ППД5[[#This Row],[Площадь по проекту(общая)]]-(SUM(ППД5[[#This Row],[Лоджия 1]:[Лоджия 3]])/2),2)</f>
        <v>57.6</v>
      </c>
      <c r="V178" s="91">
        <f>IF(ППД5[[#This Row],[Статус]]="продажа",ППД5[[#This Row],[Расчетная проектная площадь]],ППД5[[#This Row],[Расчетная ТП площадь]])</f>
        <v>57.6</v>
      </c>
      <c r="W178" s="91">
        <v>13</v>
      </c>
      <c r="X178" s="91">
        <v>14.5</v>
      </c>
      <c r="Y178" s="91"/>
      <c r="Z178" s="91">
        <f>SUM(ППД5[[#This Row],[ТП Комната 1]:[ТП Комната 3]])</f>
        <v>27.5</v>
      </c>
      <c r="AA178" s="91">
        <v>14.4</v>
      </c>
      <c r="AB178" s="91">
        <v>2.6</v>
      </c>
      <c r="AC178" s="91">
        <v>3.9</v>
      </c>
      <c r="AD178" s="91"/>
      <c r="AE178" s="91">
        <v>7.9</v>
      </c>
      <c r="AF178" s="91">
        <v>1.4</v>
      </c>
      <c r="AG178" s="91"/>
      <c r="AH178" s="91"/>
      <c r="AI178" s="91">
        <f>SUM(ППД5[[#This Row],[ТП Лоджия 1]:[ТП Лоджия 3]])</f>
        <v>1.4</v>
      </c>
      <c r="AJ178" s="95">
        <v>2.8</v>
      </c>
      <c r="AK178" s="91">
        <f>SUM(ППД5[[#This Row],[Площадь по ТП жилая]:[ТП Лоджия 3]])-ППД5[[#This Row],[ТП Летние]]+ППД5[[#This Row],[кроме того прочая
(без коэффициента)]]</f>
        <v>59.099999999999994</v>
      </c>
      <c r="AL178" s="95">
        <f>ППД5[[#This Row],[ТП Площадь без летних]]+(ППД5[[#This Row],[ТП Летние]])</f>
        <v>57.699999999999996</v>
      </c>
      <c r="AM178" s="91">
        <f>ППД5[[#This Row],[ТП общая S]]-ППД5[[#This Row],[кроме того прочая
(без коэффициента)]]</f>
        <v>56.3</v>
      </c>
      <c r="AN178" s="95">
        <f>SUM(ППД5[[#This Row],[ТП Кухня]:[ТП Коридор]])</f>
        <v>28.799999999999997</v>
      </c>
      <c r="AO178" s="91">
        <f>ППД5[[#This Row],[Расчетная ТП площадь]]-ППД5[[#This Row],[Расчетная проектная площадь]]</f>
        <v>9.9999999999994316E-2</v>
      </c>
      <c r="AP178" s="335">
        <f>ППД5[[#This Row],[Расчетная ТП площадь]]/ППД5[[#This Row],[Расчетная проектная площадь]]-1</f>
        <v>1.7361111111109384E-3</v>
      </c>
      <c r="AQ178" s="91">
        <f>ППД5[[#This Row],[% расхождения]]*ППД5[[#This Row],[Стоимость до скидки]]</f>
        <v>8030.7860069436456</v>
      </c>
      <c r="AR178" s="91">
        <f>VLOOKUP(ППД5[[#This Row],[№]],наценкад5[],COLUMN(наценкад5[[#This Row],[Цена м2 с учетом всех K]]),0)</f>
        <v>80307.864000000001</v>
      </c>
      <c r="AS178" s="8"/>
      <c r="AT178" s="8">
        <f>ППД5[[#This Row],[м2 после К]]+ППД5[[#This Row],[Повышение 16.08.23 - 5%]]</f>
        <v>80307.864000000001</v>
      </c>
      <c r="AU178" s="93"/>
      <c r="AV178" s="93">
        <f>ППД5[[#This Row],[Фикс 16.08.23]]+ППД5[[#This Row],[Повышение 29.08.23 - 3%]]</f>
        <v>80307.864000000001</v>
      </c>
      <c r="AW178" s="93"/>
      <c r="AX178" s="93">
        <f>ППД5[[#This Row],[Фикс 29.08.23]]+ППД5[[#This Row],[Повышение 06.09.23 СТ и 1К]]</f>
        <v>80307.864000000001</v>
      </c>
      <c r="AY178" s="93"/>
      <c r="AZ178" s="93">
        <f>ППД5[[#This Row],[Повышение 23.10.23  В4 ]]+ППД5[[#This Row],[Фикс 06.09.23]]</f>
        <v>80307.864000000001</v>
      </c>
      <c r="BA178" s="93"/>
      <c r="BB178" s="93">
        <f>ППД5[[#This Row],[Повышение 8.11.23 1К 5%]]+ППД5[[#This Row],[Фикс 23.10.23]]</f>
        <v>80307.864000000001</v>
      </c>
      <c r="BC178" s="93"/>
      <c r="BD178" s="93">
        <f>ППД5[[#This Row],[Корректировка 24.11.23 - 1К В5, 2К А2, №233]]+ППД5[[#This Row],[Фикс 8.11.23]]</f>
        <v>80307.864000000001</v>
      </c>
      <c r="BE178" s="93"/>
      <c r="BF178" s="93">
        <f>ППД5[[#This Row],[Наценка за отделку 29.12.23 1%]]+ППД5[[#This Row],[Фикс 8.11.24]]</f>
        <v>80307.864000000001</v>
      </c>
      <c r="BG178" s="93"/>
      <c r="BH178" s="93">
        <f>ППД5[[#This Row],[Фикс 29.12.23]]+ППД5[[#This Row],[Наценка 10.01.24 5%]]</f>
        <v>80307.864000000001</v>
      </c>
      <c r="BI178" s="93"/>
      <c r="BJ178" s="93">
        <f>ППД5[[#This Row],[Наценка 26.02.24 1 Этаж]]+ППД5[[#This Row],[Фикс 10.01.24]]</f>
        <v>80307.864000000001</v>
      </c>
      <c r="BK178" s="93"/>
      <c r="BL178" s="93">
        <f>ППД5[[#This Row],[Фикс 26.02.24]]+ППД5[[#This Row],[Наценка 06.03.24
СТ, 1К - 3%
2К, 3К - 2%]]</f>
        <v>80307.864000000001</v>
      </c>
      <c r="BM178" s="93"/>
      <c r="BN178" s="93">
        <f>ППД5[[#This Row],[Фикс 06.03.24]]+ППД5[[#This Row],[Наценка Г2+500]]</f>
        <v>80307.864000000001</v>
      </c>
      <c r="BO178" s="93"/>
      <c r="BP178" s="93">
        <f>ППД5[[#This Row],[Фикс 13.03.25]]+ППД5[[#This Row],[Наценка 20.03.24
2К, 3К - 2%]]</f>
        <v>80307.864000000001</v>
      </c>
      <c r="BQ178" s="93"/>
      <c r="BR178" s="93">
        <f>ППД5[[#This Row],[Фикс 20.03.24]]+ППД5[[#This Row],[Наценка 08.04.24 
2К: В3 - 150
3К: Г7 +1000]]</f>
        <v>80307.864000000001</v>
      </c>
      <c r="BS178" s="9"/>
      <c r="BT178" s="93">
        <f>ППД5[[#This Row],[Фикс 08.04.24]]+ППД5[[#This Row],[Наценка 16.05.24 1%
А4,А6,Б3,Б6,Б7,В2,В3,В5,В6,Г1,Г3-Г5]]</f>
        <v>80307.864000000001</v>
      </c>
      <c r="BU178" s="93"/>
      <c r="BV178" s="93">
        <f>ППД5[[#This Row],[Фикс 16.05.24]]+ППД5[[#This Row],[Наценка 24.05.24
1% - Б4, Б5,Г2,Г6
2% - А1,А3,А5,Б2,Г7]]</f>
        <v>80307.864000000001</v>
      </c>
      <c r="BW178" s="93"/>
      <c r="BX178" s="93">
        <f>ППД5[[#This Row],[Наценка 06.06.24
0К: В2,Г3 +0,5%
1К: А7, Б5/4, Г6 +0,5%
3К: В6 +0,5%
1К: А3 +1%]]+ППД5[[#This Row],[Фикс 24.05.24]]</f>
        <v>80307.864000000001</v>
      </c>
      <c r="BY178" s="93"/>
      <c r="BZ178" s="93">
        <f>ППД5[[#This Row],[Фикс 06.06.24]]+ППД5[[#This Row],[13.06.2024
3К - 2%]]</f>
        <v>80307.864000000001</v>
      </c>
      <c r="CA178" s="93"/>
      <c r="CB178" s="93">
        <f>ППД5[[#This Row],[02.07.2024: Г3 А1 А3 Б5 Б7 Г2 Г6 Б3 Б4 В3 Г7 2,5% ост 0,5-1,5%]]+ППД5[[#This Row],[Фикс 13.06.24]]</f>
        <v>80307.864000000001</v>
      </c>
      <c r="CC178" s="93"/>
      <c r="CD178" s="93">
        <f>ППД5[[#This Row],[Фикс 02.07.24]]+ППД5[[#This Row],[04.09.2024 +500
0К - Б2; 1К - А3;
2К - А6, Б4, В3, Г5]]</f>
        <v>80307.864000000001</v>
      </c>
      <c r="CE178" s="93"/>
      <c r="CF178" s="93">
        <f>ППД5[[#This Row],[Наценка 16.09.2024
1К: А1,В7,Г6/7,Г8 - 2%
2К: А4,А5,А6,Б1,Б6,Б3/4,В3,В4,Г4,Г5 - 4%
3К: 4%]]+ППД5[[#This Row],[Фикс 04.09.24]]</f>
        <v>80307.864000000001</v>
      </c>
      <c r="CG178" s="93"/>
      <c r="CH178" s="93">
        <f>ППД5[[#This Row],[Фикс 16.09.2024]]+ППД5[[#This Row],[Наценка 01.11.24
СТ: 4%
1К: 34-40м 5%; 40м+ 8%; МГН 1%
2К: 55-70м 6%; 70-73м 7%; 73-76м 8% 
3К: 5%]]</f>
        <v>80307.864000000001</v>
      </c>
      <c r="CI178" s="93"/>
      <c r="CJ178" s="93">
        <f>ППД5[[#This Row],[Наценка 06.11 13%]]+ППД5[[#This Row],[Фикс 01.11.24]]</f>
        <v>80307.864000000001</v>
      </c>
      <c r="CK178" s="93"/>
      <c r="CL178" s="93">
        <f>ППД5[[#This Row],[Фикс 06.11.24]]+ППД5[[#This Row],[Наценка 18.12.24 распределение КВ]]</f>
        <v>80307.864000000001</v>
      </c>
      <c r="CM178" s="93"/>
      <c r="CN178" s="93">
        <f>ППД5[[#This Row],[Фикс 18.12.24]]+ППД5[[#This Row],[Наценка 10.02.25 +1%
1К: А3
2К: Б3, В3]]</f>
        <v>80307.864000000001</v>
      </c>
      <c r="CO178" s="93">
        <f>ROUND(ППД5[[#This Row],[Фикс 10.02.25]],2)</f>
        <v>80307.86</v>
      </c>
      <c r="CP17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4625732.74</v>
      </c>
      <c r="CQ178" s="93">
        <f>ROUNDUP(ППД5[[#This Row],[Стоимость до скидки]]+ППД5[[#This Row],[Сумма доплаты]],-2)</f>
        <v>4633800</v>
      </c>
      <c r="CR178" s="68"/>
      <c r="CS178" s="90"/>
      <c r="CT178" s="68">
        <f>ППД5[[#This Row],[Стоимость до скидки]]*ППД5[[#This Row],[Скидка %]]+ППД5[[#This Row],[Скидка фиксированная]]</f>
        <v>0</v>
      </c>
      <c r="CU178" s="3">
        <f>ППД5[[#This Row],[Стоимость ОН без отделки со скидкой]]/ППД5[[#This Row],[Расчетная проектная площадь]]</f>
        <v>80307.860069444447</v>
      </c>
      <c r="CV178" s="3">
        <f>ROUND(ППД5[[#This Row],[Стоимость до скидки]]-ППД5[[#This Row],[Итоговая сумма скидки]],2)</f>
        <v>4625732.74</v>
      </c>
      <c r="CW17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178" s="197">
        <v>15500</v>
      </c>
      <c r="CY178" s="332">
        <f>ППД5[[#This Row],[Расхождение]]/ППД5[[#This Row],[Расчетная проектная площадь]]</f>
        <v>1.7361111111110124E-3</v>
      </c>
      <c r="CZ17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0.24999999999999822</v>
      </c>
      <c r="DA178" s="3">
        <f>ППД5[[#This Row],[Цена м2 без отделки со скидкой]]+ППД5[[#This Row],[Стоимость отделки]]</f>
        <v>95807.860069444447</v>
      </c>
      <c r="DB178" s="3">
        <f>ППД5[[#This Row],[Стоимость квартиры с отделкой]]-ППД5[[#This Row],[Стоимость ОН без отделки со скидкой]]</f>
        <v>892800</v>
      </c>
      <c r="DC178" s="3">
        <f>ППД5[[#This Row],[Цена м2 с отделкой]]*ППД5[[#This Row],[Расчетная проектная площадь]]</f>
        <v>5518532.7400000002</v>
      </c>
      <c r="DD178" s="3" t="s">
        <v>154</v>
      </c>
      <c r="DF178" s="199" t="s">
        <v>172</v>
      </c>
      <c r="DG178" s="245" t="s">
        <v>172</v>
      </c>
      <c r="DH178" s="100" t="b">
        <f>EXACT(ППД5[[#This Row],[Статусы CRM]],ППД5[[#This Row],[Статус]])</f>
        <v>1</v>
      </c>
      <c r="DI178" s="213" t="s">
        <v>350</v>
      </c>
      <c r="DJ178" s="204"/>
      <c r="DK178" s="111" t="s">
        <v>76</v>
      </c>
      <c r="DL178" s="216" t="s">
        <v>14</v>
      </c>
      <c r="DM178" s="201" t="b">
        <f>ППД5[[#This Row],[Отделка CRM]]=ППД5[[#This Row],[Отделка]]</f>
        <v>1</v>
      </c>
      <c r="DN178" s="203">
        <v>5518532.7400000002</v>
      </c>
      <c r="DO17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78" s="207" t="b">
        <f>IF(AND(ППД5[[#This Row],[Статус]]="свободно",ППД5[[#This Row],[Итоговая сумма скидки]]&lt;&gt;0),FALSE,TRUE)</f>
        <v>1</v>
      </c>
      <c r="DQ178" s="240">
        <f>_xlfn.XLOOKUP(ППД5[[#This Row],[№]],Юрист[№ кв],Юрист[Дата подачи на регистрацию]," ",0,-1)</f>
        <v>45188</v>
      </c>
      <c r="DR178" s="115" t="str">
        <f>_xlfn.XLOOKUP(ППД5[[#This Row],[№]],Юрист[№ кв],Юрист[МОП],"",0,-1)</f>
        <v>Дик</v>
      </c>
      <c r="DS178" s="333" t="s">
        <v>2648</v>
      </c>
      <c r="DT178" s="333" t="s">
        <v>2649</v>
      </c>
      <c r="DU178" s="333">
        <v>56.3</v>
      </c>
      <c r="DV178" s="111"/>
    </row>
    <row r="179" spans="1:126" hidden="1" x14ac:dyDescent="0.25">
      <c r="A179" s="112">
        <v>177</v>
      </c>
      <c r="B179" s="111" t="s">
        <v>4</v>
      </c>
      <c r="C179" s="111">
        <v>10</v>
      </c>
      <c r="D179" s="111">
        <v>4</v>
      </c>
      <c r="E179" s="111">
        <v>2</v>
      </c>
      <c r="F179" s="105">
        <v>15.45</v>
      </c>
      <c r="G179" s="105">
        <v>14.5</v>
      </c>
      <c r="H179" s="105"/>
      <c r="I179" s="94">
        <f>SUM(ППД5[[#This Row],[Комната 1]:[Комната 3]])</f>
        <v>29.95</v>
      </c>
      <c r="J179" s="105">
        <v>11.95</v>
      </c>
      <c r="K179" s="105">
        <v>3.86</v>
      </c>
      <c r="L179" s="105">
        <v>2.37</v>
      </c>
      <c r="M179" s="105"/>
      <c r="N179" s="105">
        <v>8.8699999999999992</v>
      </c>
      <c r="O179" s="105">
        <v>2.62</v>
      </c>
      <c r="P179" s="105"/>
      <c r="Q179" s="105"/>
      <c r="R179" s="105">
        <f>SUM(ППД5[[#This Row],[Лоджия 1]:[Лоджия 3]])</f>
        <v>2.62</v>
      </c>
      <c r="S179" s="8">
        <f>ROUND(SUM(ППД5[[#This Row],[Площадь по проекту жилая]:[Лоджия 3]]),2)</f>
        <v>59.62</v>
      </c>
      <c r="T179" s="8">
        <f>ROUND(ППД5[[#This Row],[Площадь по проекту(общая)]]-ППД5[[#This Row],[Летние]],2)</f>
        <v>57</v>
      </c>
      <c r="U179" s="91">
        <f>ROUND(ППД5[[#This Row],[Площадь по проекту(общая)]]-(SUM(ППД5[[#This Row],[Лоджия 1]:[Лоджия 3]])/2),2)</f>
        <v>58.31</v>
      </c>
      <c r="V179" s="91">
        <f>IF(ППД5[[#This Row],[Статус]]="продажа",ППД5[[#This Row],[Расчетная проектная площадь]],ППД5[[#This Row],[Расчетная ТП площадь]])</f>
        <v>58.31</v>
      </c>
      <c r="W179" s="91">
        <v>14.6</v>
      </c>
      <c r="X179" s="91">
        <v>15.4</v>
      </c>
      <c r="Y179" s="91"/>
      <c r="Z179" s="91">
        <f>SUM(ППД5[[#This Row],[ТП Комната 1]:[ТП Комната 3]])</f>
        <v>30</v>
      </c>
      <c r="AA179" s="91">
        <v>11.9</v>
      </c>
      <c r="AB179" s="91">
        <v>3.7</v>
      </c>
      <c r="AC179" s="91">
        <v>2.4</v>
      </c>
      <c r="AD179" s="91"/>
      <c r="AE179" s="91">
        <v>8.9</v>
      </c>
      <c r="AF179" s="91">
        <v>1.3</v>
      </c>
      <c r="AG179" s="91"/>
      <c r="AH179" s="91"/>
      <c r="AI179" s="91">
        <f>SUM(ППД5[[#This Row],[ТП Лоджия 1]:[ТП Лоджия 3]])</f>
        <v>1.3</v>
      </c>
      <c r="AJ179" s="95">
        <v>2.6</v>
      </c>
      <c r="AK179" s="91">
        <f>SUM(ППД5[[#This Row],[Площадь по ТП жилая]:[ТП Лоджия 3]])-ППД5[[#This Row],[ТП Летние]]+ППД5[[#This Row],[кроме того прочая
(без коэффициента)]]</f>
        <v>59.5</v>
      </c>
      <c r="AL179" s="95">
        <f>ППД5[[#This Row],[ТП Площадь без летних]]+(ППД5[[#This Row],[ТП Летние]])</f>
        <v>58.199999999999996</v>
      </c>
      <c r="AM179" s="91">
        <f>ППД5[[#This Row],[ТП общая S]]-ППД5[[#This Row],[кроме того прочая
(без коэффициента)]]</f>
        <v>56.9</v>
      </c>
      <c r="AN179" s="95">
        <f>SUM(ППД5[[#This Row],[ТП Кухня]:[ТП Коридор]])</f>
        <v>26.9</v>
      </c>
      <c r="AO179" s="91">
        <f>ППД5[[#This Row],[Расчетная ТП площадь]]-ППД5[[#This Row],[Расчетная проектная площадь]]</f>
        <v>-0.11000000000000654</v>
      </c>
      <c r="AP179" s="335">
        <f>ППД5[[#This Row],[Расчетная ТП площадь]]/ППД5[[#This Row],[Расчетная проектная площадь]]-1</f>
        <v>-1.8864688732637136E-3</v>
      </c>
      <c r="AQ179" s="91">
        <f>ППД5[[#This Row],[% расхождения]]*ППД5[[#This Row],[Стоимость до скидки]]</f>
        <v>-10278.048362202691</v>
      </c>
      <c r="AR179" s="91">
        <f>VLOOKUP(ППД5[[#This Row],[№]],наценкад5[],COLUMN(наценкад5[[#This Row],[Цена м2 с учетом всех K]]),0)</f>
        <v>81466.150500000003</v>
      </c>
      <c r="AS179" s="8">
        <f>ППД5[[#This Row],[м2 после К]]*5%</f>
        <v>4073.3075250000002</v>
      </c>
      <c r="AT179" s="8">
        <f>ППД5[[#This Row],[м2 после К]]+ППД5[[#This Row],[Повышение 16.08.23 - 5%]]</f>
        <v>85539.458025</v>
      </c>
      <c r="AU179" s="93">
        <f>ППД5[[#This Row],[Фикс 16.08.23]]*3%</f>
        <v>2566.1837407499997</v>
      </c>
      <c r="AV179" s="93">
        <f>ППД5[[#This Row],[Фикс 16.08.23]]+ППД5[[#This Row],[Повышение 29.08.23 - 3%]]</f>
        <v>88105.641765749999</v>
      </c>
      <c r="AW179" s="93"/>
      <c r="AX179" s="93">
        <f>ППД5[[#This Row],[Фикс 29.08.23]]+ППД5[[#This Row],[Повышение 06.09.23 СТ и 1К]]</f>
        <v>88105.641765749999</v>
      </c>
      <c r="AY179" s="93"/>
      <c r="AZ179" s="93">
        <f>ППД5[[#This Row],[Повышение 23.10.23  В4 ]]+ППД5[[#This Row],[Фикс 06.09.23]]</f>
        <v>88105.641765749999</v>
      </c>
      <c r="BA179" s="93"/>
      <c r="BB179" s="93">
        <f>ППД5[[#This Row],[Повышение 8.11.23 1К 5%]]+ППД5[[#This Row],[Фикс 23.10.23]]</f>
        <v>88105.641765749999</v>
      </c>
      <c r="BC179" s="93"/>
      <c r="BD179" s="93">
        <f>ППД5[[#This Row],[Корректировка 24.11.23 - 1К В5, 2К А2, №233]]+ППД5[[#This Row],[Фикс 8.11.23]]</f>
        <v>88105.641765749999</v>
      </c>
      <c r="BE179" s="93">
        <f>ППД5[[#This Row],[Фикс 8.11.24]]*1%</f>
        <v>881.05641765749999</v>
      </c>
      <c r="BF179" s="93">
        <f>ППД5[[#This Row],[Наценка за отделку 29.12.23 1%]]+ППД5[[#This Row],[Фикс 8.11.24]]</f>
        <v>88986.698183407498</v>
      </c>
      <c r="BG179" s="93">
        <f>ППД5[[#This Row],[Фикс 29.12.23]]*5%</f>
        <v>4449.3349091703749</v>
      </c>
      <c r="BH179" s="93">
        <f>ППД5[[#This Row],[Фикс 29.12.23]]+ППД5[[#This Row],[Наценка 10.01.24 5%]]</f>
        <v>93436.033092577869</v>
      </c>
      <c r="BI179" s="93"/>
      <c r="BJ179" s="93">
        <f>ППД5[[#This Row],[Наценка 26.02.24 1 Этаж]]+ППД5[[#This Row],[Фикс 10.01.24]]</f>
        <v>93436.033092577869</v>
      </c>
      <c r="BK179" s="93"/>
      <c r="BL179" s="93">
        <f>ППД5[[#This Row],[Фикс 26.02.24]]+ППД5[[#This Row],[Наценка 06.03.24
СТ, 1К - 3%
2К, 3К - 2%]]</f>
        <v>93436.033092577869</v>
      </c>
      <c r="BM179" s="93"/>
      <c r="BN179" s="93">
        <f>ППД5[[#This Row],[Фикс 06.03.24]]+ППД5[[#This Row],[Наценка Г2+500]]</f>
        <v>93436.033092577869</v>
      </c>
      <c r="BO179" s="93"/>
      <c r="BP179" s="93">
        <f>ППД5[[#This Row],[Фикс 13.03.25]]+ППД5[[#This Row],[Наценка 20.03.24
2К, 3К - 2%]]</f>
        <v>93436.033092577869</v>
      </c>
      <c r="BQ179" s="93"/>
      <c r="BR179" s="93">
        <f>ППД5[[#This Row],[Фикс 20.03.24]]+ППД5[[#This Row],[Наценка 08.04.24 
2К: В3 - 150
3К: Г7 +1000]]</f>
        <v>93436.033092577869</v>
      </c>
      <c r="BS179" s="93"/>
      <c r="BT179" s="93">
        <f>ППД5[[#This Row],[Фикс 08.04.24]]+ППД5[[#This Row],[Наценка 16.05.24 1%
А4,А6,Б3,Б6,Б7,В2,В3,В5,В6,Г1,Г3-Г5]]</f>
        <v>93436.033092577869</v>
      </c>
      <c r="BU179" s="93"/>
      <c r="BV179" s="93">
        <f>ППД5[[#This Row],[Фикс 16.05.24]]+ППД5[[#This Row],[Наценка 24.05.24
1% - Б4, Б5,Г2,Г6
2% - А1,А3,А5,Б2,Г7]]</f>
        <v>93436.033092577869</v>
      </c>
      <c r="BW179" s="93"/>
      <c r="BX179" s="93">
        <f>ППД5[[#This Row],[Наценка 06.06.24
0К: В2,Г3 +0,5%
1К: А7, Б5/4, Г6 +0,5%
3К: В6 +0,5%
1К: А3 +1%]]+ППД5[[#This Row],[Фикс 24.05.24]]</f>
        <v>93436.033092577869</v>
      </c>
      <c r="BY179" s="93"/>
      <c r="BZ179" s="93">
        <f>ППД5[[#This Row],[Фикс 06.06.24]]+ППД5[[#This Row],[13.06.2024
3К - 2%]]</f>
        <v>93436.033092577869</v>
      </c>
      <c r="CA179" s="93"/>
      <c r="CB179" s="93">
        <f>ППД5[[#This Row],[02.07.2024: Г3 А1 А3 Б5 Б7 Г2 Г6 Б3 Б4 В3 Г7 2,5% ост 0,5-1,5%]]+ППД5[[#This Row],[Фикс 13.06.24]]</f>
        <v>93436.033092577869</v>
      </c>
      <c r="CC179" s="93"/>
      <c r="CD179" s="93">
        <f>ППД5[[#This Row],[Фикс 02.07.24]]+ППД5[[#This Row],[04.09.2024 +500
0К - Б2; 1К - А3;
2К - А6, Б4, В3, Г5]]</f>
        <v>93436.033092577869</v>
      </c>
      <c r="CE179" s="93"/>
      <c r="CF179" s="93">
        <f>ППД5[[#This Row],[Наценка 16.09.2024
1К: А1,В7,Г6/7,Г8 - 2%
2К: А4,А5,А6,Б1,Б6,Б3/4,В3,В4,Г4,Г5 - 4%
3К: 4%]]+ППД5[[#This Row],[Фикс 04.09.24]]</f>
        <v>93436.033092577869</v>
      </c>
      <c r="CG179" s="93"/>
      <c r="CH179" s="93">
        <f>ППД5[[#This Row],[Фикс 16.09.2024]]+ППД5[[#This Row],[Наценка 01.11.24
СТ: 4%
1К: 34-40м 5%; 40м+ 8%; МГН 1%
2К: 55-70м 6%; 70-73м 7%; 73-76м 8% 
3К: 5%]]</f>
        <v>93436.033092577869</v>
      </c>
      <c r="CI179" s="93"/>
      <c r="CJ179" s="93">
        <f>ППД5[[#This Row],[Наценка 06.11 13%]]+ППД5[[#This Row],[Фикс 01.11.24]]</f>
        <v>93436.033092577869</v>
      </c>
      <c r="CK179" s="93"/>
      <c r="CL179" s="93">
        <f>ППД5[[#This Row],[Фикс 06.11.24]]+ППД5[[#This Row],[Наценка 18.12.24 распределение КВ]]</f>
        <v>93436.033092577869</v>
      </c>
      <c r="CM179" s="93"/>
      <c r="CN179" s="93">
        <f>ППД5[[#This Row],[Фикс 18.12.24]]+ППД5[[#This Row],[Наценка 10.02.25 +1%
1К: А3
2К: Б3, В3]]</f>
        <v>93436.033092577869</v>
      </c>
      <c r="CO179" s="93">
        <f>ROUND(ППД5[[#This Row],[Фикс 10.02.25]],2)</f>
        <v>93436.03</v>
      </c>
      <c r="CP17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5448300</v>
      </c>
      <c r="CQ179" s="93">
        <f>ROUNDUP(ППД5[[#This Row],[Стоимость до скидки]]+ППД5[[#This Row],[Сумма доплаты]],-2)</f>
        <v>5438100</v>
      </c>
      <c r="CR179" s="68"/>
      <c r="CS179" s="90"/>
      <c r="CT179" s="68">
        <f>ППД5[[#This Row],[Стоимость до скидки]]*ППД5[[#This Row],[Скидка %]]+ППД5[[#This Row],[Скидка фиксированная]]</f>
        <v>0</v>
      </c>
      <c r="CU179" s="3">
        <f>ППД5[[#This Row],[Стоимость ОН без отделки со скидкой]]/ППД5[[#This Row],[Расчетная проектная площадь]]</f>
        <v>93436.803292745666</v>
      </c>
      <c r="CV179" s="3">
        <f>ROUND(ППД5[[#This Row],[Стоимость до скидки]]-ППД5[[#This Row],[Итоговая сумма скидки]],2)</f>
        <v>5448300</v>
      </c>
      <c r="CW17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179" s="197">
        <v>20000</v>
      </c>
      <c r="CY179" s="332">
        <f>ППД5[[#This Row],[Расхождение]]/ППД5[[#This Row],[Расчетная проектная площадь]]</f>
        <v>-1.8864688732637032E-3</v>
      </c>
      <c r="CZ17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-0.14999999999999858</v>
      </c>
      <c r="DA179" s="3">
        <f>ППД5[[#This Row],[Цена м2 без отделки со скидкой]]+ППД5[[#This Row],[Стоимость отделки]]</f>
        <v>113436.80329274567</v>
      </c>
      <c r="DB179" s="3">
        <f>ППД5[[#This Row],[Стоимость квартиры с отделкой]]-ППД5[[#This Row],[Стоимость ОН без отделки со скидкой]]</f>
        <v>1166200</v>
      </c>
      <c r="DC179" s="3">
        <f>ППД5[[#This Row],[Цена м2 с отделкой]]*ППД5[[#This Row],[Расчетная проектная площадь]]</f>
        <v>6614500</v>
      </c>
      <c r="DD179" s="3"/>
      <c r="DF179" s="199" t="s">
        <v>172</v>
      </c>
      <c r="DG179" s="245" t="s">
        <v>172</v>
      </c>
      <c r="DH179" s="100" t="b">
        <f>EXACT(ППД5[[#This Row],[Статусы CRM]],ППД5[[#This Row],[Статус]])</f>
        <v>1</v>
      </c>
      <c r="DI179" s="213" t="s">
        <v>351</v>
      </c>
      <c r="DJ179" s="204"/>
      <c r="DK179" s="111" t="s">
        <v>763</v>
      </c>
      <c r="DL179" s="216" t="s">
        <v>14</v>
      </c>
      <c r="DM179" s="201" t="b">
        <f>ППД5[[#This Row],[Отделка CRM]]=ППД5[[#This Row],[Отделка]]</f>
        <v>1</v>
      </c>
      <c r="DN179" s="203">
        <v>6614500</v>
      </c>
      <c r="DO17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79" s="207" t="b">
        <f>IF(AND(ППД5[[#This Row],[Статус]]="свободно",ППД5[[#This Row],[Итоговая сумма скидки]]&lt;&gt;0),FALSE,TRUE)</f>
        <v>1</v>
      </c>
      <c r="DQ179" s="240">
        <f>_xlfn.XLOOKUP(ППД5[[#This Row],[№]],Юрист[№ кв],Юрист[Дата подачи на регистрацию]," ",0,-1)</f>
        <v>45351</v>
      </c>
      <c r="DR179" s="115" t="str">
        <f>_xlfn.XLOOKUP(ППД5[[#This Row],[№]],Юрист[№ кв],Юрист[МОП],"",0,-1)</f>
        <v>Полехович</v>
      </c>
      <c r="DS179" s="333" t="s">
        <v>2650</v>
      </c>
      <c r="DT179" s="333" t="s">
        <v>2651</v>
      </c>
      <c r="DU179" s="333">
        <v>56.9</v>
      </c>
      <c r="DV179" s="111"/>
    </row>
    <row r="180" spans="1:126" hidden="1" x14ac:dyDescent="0.25">
      <c r="A180" s="112">
        <v>178</v>
      </c>
      <c r="B180" s="111" t="s">
        <v>4</v>
      </c>
      <c r="C180" s="111">
        <v>10</v>
      </c>
      <c r="D180" s="111">
        <v>5</v>
      </c>
      <c r="E180" s="111">
        <v>1</v>
      </c>
      <c r="F180" s="105">
        <v>12.06</v>
      </c>
      <c r="G180" s="105"/>
      <c r="H180" s="105"/>
      <c r="I180" s="94">
        <f>SUM(ППД5[[#This Row],[Комната 1]:[Комната 3]])</f>
        <v>12.06</v>
      </c>
      <c r="J180" s="105">
        <v>13.18</v>
      </c>
      <c r="K180" s="105">
        <v>4.1100000000000003</v>
      </c>
      <c r="L180" s="105"/>
      <c r="M180" s="105"/>
      <c r="N180" s="105">
        <v>7.09</v>
      </c>
      <c r="O180" s="105">
        <v>2.84</v>
      </c>
      <c r="P180" s="105"/>
      <c r="Q180" s="105"/>
      <c r="R180" s="105">
        <f>SUM(ППД5[[#This Row],[Лоджия 1]:[Лоджия 3]])</f>
        <v>2.84</v>
      </c>
      <c r="S180" s="8">
        <f>ROUND(SUM(ППД5[[#This Row],[Площадь по проекту жилая]:[Лоджия 3]]),2)</f>
        <v>39.28</v>
      </c>
      <c r="T180" s="8">
        <f>ROUND(ППД5[[#This Row],[Площадь по проекту(общая)]]-ППД5[[#This Row],[Летние]],2)</f>
        <v>36.44</v>
      </c>
      <c r="U180" s="91">
        <f>ROUND(ППД5[[#This Row],[Площадь по проекту(общая)]]-(SUM(ППД5[[#This Row],[Лоджия 1]:[Лоджия 3]])/2),2)</f>
        <v>37.86</v>
      </c>
      <c r="V180" s="91">
        <f>IF(ППД5[[#This Row],[Статус]]="продажа",ППД5[[#This Row],[Расчетная проектная площадь]],ППД5[[#This Row],[Расчетная ТП площадь]])</f>
        <v>37.86</v>
      </c>
      <c r="W180" s="91">
        <v>12.4</v>
      </c>
      <c r="X180" s="91"/>
      <c r="Y180" s="91"/>
      <c r="Z180" s="91">
        <f>SUM(ППД5[[#This Row],[ТП Комната 1]:[ТП Комната 3]])</f>
        <v>12.4</v>
      </c>
      <c r="AA180" s="91">
        <v>12.7</v>
      </c>
      <c r="AB180" s="91">
        <v>4.2</v>
      </c>
      <c r="AC180" s="91"/>
      <c r="AD180" s="91"/>
      <c r="AE180" s="91">
        <v>7</v>
      </c>
      <c r="AF180" s="91">
        <v>1.45</v>
      </c>
      <c r="AG180" s="91"/>
      <c r="AH180" s="91"/>
      <c r="AI180" s="91">
        <f>SUM(ППД5[[#This Row],[ТП Лоджия 1]:[ТП Лоджия 3]])</f>
        <v>1.45</v>
      </c>
      <c r="AJ180" s="95">
        <v>2.9</v>
      </c>
      <c r="AK180" s="91">
        <f>SUM(ППД5[[#This Row],[Площадь по ТП жилая]:[ТП Лоджия 3]])-ППД5[[#This Row],[ТП Летние]]+ППД5[[#This Row],[кроме того прочая
(без коэффициента)]]</f>
        <v>39.199999999999996</v>
      </c>
      <c r="AL180" s="95">
        <f>ППД5[[#This Row],[ТП Площадь без летних]]+(ППД5[[#This Row],[ТП Летние]])</f>
        <v>37.75</v>
      </c>
      <c r="AM180" s="91">
        <f>ППД5[[#This Row],[ТП общая S]]-ППД5[[#This Row],[кроме того прочая
(без коэффициента)]]</f>
        <v>36.299999999999997</v>
      </c>
      <c r="AN180" s="95">
        <f>SUM(ППД5[[#This Row],[ТП Кухня]:[ТП Коридор]])</f>
        <v>23.9</v>
      </c>
      <c r="AO180" s="91">
        <f>ППД5[[#This Row],[Расчетная ТП площадь]]-ППД5[[#This Row],[Расчетная проектная площадь]]</f>
        <v>-0.10999999999999943</v>
      </c>
      <c r="AP180" s="335">
        <f>ППД5[[#This Row],[Расчетная ТП площадь]]/ППД5[[#This Row],[Расчетная проектная площадь]]-1</f>
        <v>-2.9054410987849888E-3</v>
      </c>
      <c r="AQ180" s="91">
        <f>ППД5[[#This Row],[% расхождения]]*ППД5[[#This Row],[Стоимость до скидки]]</f>
        <v>-9814.6125145271762</v>
      </c>
      <c r="AR180" s="91">
        <f>VLOOKUP(ППД5[[#This Row],[№]],наценкад5[],COLUMN(наценкад5[[#This Row],[Цена м2 с учетом всех K]]),0)</f>
        <v>89223.75</v>
      </c>
      <c r="AS180" s="8"/>
      <c r="AT180" s="8">
        <f>ППД5[[#This Row],[м2 после К]]+ППД5[[#This Row],[Повышение 16.08.23 - 5%]]</f>
        <v>89223.75</v>
      </c>
      <c r="AU180" s="93"/>
      <c r="AV180" s="93">
        <f>ППД5[[#This Row],[Фикс 16.08.23]]+ППД5[[#This Row],[Повышение 29.08.23 - 3%]]</f>
        <v>89223.75</v>
      </c>
      <c r="AW180" s="93"/>
      <c r="AX180" s="93">
        <f>ППД5[[#This Row],[Фикс 29.08.23]]+ППД5[[#This Row],[Повышение 06.09.23 СТ и 1К]]</f>
        <v>89223.75</v>
      </c>
      <c r="AY180" s="93"/>
      <c r="AZ180" s="93">
        <f>ППД5[[#This Row],[Повышение 23.10.23  В4 ]]+ППД5[[#This Row],[Фикс 06.09.23]]</f>
        <v>89223.75</v>
      </c>
      <c r="BA180" s="93"/>
      <c r="BB180" s="93">
        <f>ППД5[[#This Row],[Повышение 8.11.23 1К 5%]]+ППД5[[#This Row],[Фикс 23.10.23]]</f>
        <v>89223.75</v>
      </c>
      <c r="BC180" s="93"/>
      <c r="BD180" s="93">
        <f>ППД5[[#This Row],[Корректировка 24.11.23 - 1К В5, 2К А2, №233]]+ППД5[[#This Row],[Фикс 8.11.23]]</f>
        <v>89223.75</v>
      </c>
      <c r="BE180" s="93"/>
      <c r="BF180" s="93">
        <f>ППД5[[#This Row],[Наценка за отделку 29.12.23 1%]]+ППД5[[#This Row],[Фикс 8.11.24]]</f>
        <v>89223.75</v>
      </c>
      <c r="BG180" s="93"/>
      <c r="BH180" s="93">
        <f>ППД5[[#This Row],[Фикс 29.12.23]]+ППД5[[#This Row],[Наценка 10.01.24 5%]]</f>
        <v>89223.75</v>
      </c>
      <c r="BI180" s="93"/>
      <c r="BJ180" s="93">
        <f>ППД5[[#This Row],[Наценка 26.02.24 1 Этаж]]+ППД5[[#This Row],[Фикс 10.01.24]]</f>
        <v>89223.75</v>
      </c>
      <c r="BK180" s="93"/>
      <c r="BL180" s="93">
        <f>ППД5[[#This Row],[Фикс 26.02.24]]+ППД5[[#This Row],[Наценка 06.03.24
СТ, 1К - 3%
2К, 3К - 2%]]</f>
        <v>89223.75</v>
      </c>
      <c r="BM180" s="93"/>
      <c r="BN180" s="93">
        <f>ППД5[[#This Row],[Фикс 06.03.24]]+ППД5[[#This Row],[Наценка Г2+500]]</f>
        <v>89223.75</v>
      </c>
      <c r="BO180" s="93"/>
      <c r="BP180" s="93">
        <f>ППД5[[#This Row],[Фикс 13.03.25]]+ППД5[[#This Row],[Наценка 20.03.24
2К, 3К - 2%]]</f>
        <v>89223.75</v>
      </c>
      <c r="BQ180" s="93"/>
      <c r="BR180" s="93">
        <f>ППД5[[#This Row],[Фикс 20.03.24]]+ППД5[[#This Row],[Наценка 08.04.24 
2К: В3 - 150
3К: Г7 +1000]]</f>
        <v>89223.75</v>
      </c>
      <c r="BS180" s="93"/>
      <c r="BT180" s="93">
        <f>ППД5[[#This Row],[Фикс 08.04.24]]+ППД5[[#This Row],[Наценка 16.05.24 1%
А4,А6,Б3,Б6,Б7,В2,В3,В5,В6,Г1,Г3-Г5]]</f>
        <v>89223.75</v>
      </c>
      <c r="BU180" s="93"/>
      <c r="BV180" s="93">
        <f>ППД5[[#This Row],[Фикс 16.05.24]]+ППД5[[#This Row],[Наценка 24.05.24
1% - Б4, Б5,Г2,Г6
2% - А1,А3,А5,Б2,Г7]]</f>
        <v>89223.75</v>
      </c>
      <c r="BW180" s="93"/>
      <c r="BX180" s="93">
        <f>ППД5[[#This Row],[Наценка 06.06.24
0К: В2,Г3 +0,5%
1К: А7, Б5/4, Г6 +0,5%
3К: В6 +0,5%
1К: А3 +1%]]+ППД5[[#This Row],[Фикс 24.05.24]]</f>
        <v>89223.75</v>
      </c>
      <c r="BY180" s="93"/>
      <c r="BZ180" s="93">
        <f>ППД5[[#This Row],[Фикс 06.06.24]]+ППД5[[#This Row],[13.06.2024
3К - 2%]]</f>
        <v>89223.75</v>
      </c>
      <c r="CA180" s="93"/>
      <c r="CB180" s="93">
        <f>ППД5[[#This Row],[02.07.2024: Г3 А1 А3 Б5 Б7 Г2 Г6 Б3 Б4 В3 Г7 2,5% ост 0,5-1,5%]]+ППД5[[#This Row],[Фикс 13.06.24]]</f>
        <v>89223.75</v>
      </c>
      <c r="CC180" s="93"/>
      <c r="CD180" s="93">
        <f>ППД5[[#This Row],[Фикс 02.07.24]]+ППД5[[#This Row],[04.09.2024 +500
0К - Б2; 1К - А3;
2К - А6, Б4, В3, Г5]]</f>
        <v>89223.75</v>
      </c>
      <c r="CE180" s="93"/>
      <c r="CF180" s="93">
        <f>ППД5[[#This Row],[Наценка 16.09.2024
1К: А1,В7,Г6/7,Г8 - 2%
2К: А4,А5,А6,Б1,Б6,Б3/4,В3,В4,Г4,Г5 - 4%
3К: 4%]]+ППД5[[#This Row],[Фикс 04.09.24]]</f>
        <v>89223.75</v>
      </c>
      <c r="CG180" s="93"/>
      <c r="CH180" s="93">
        <f>ППД5[[#This Row],[Фикс 16.09.2024]]+ППД5[[#This Row],[Наценка 01.11.24
СТ: 4%
1К: 34-40м 5%; 40м+ 8%; МГН 1%
2К: 55-70м 6%; 70-73м 7%; 73-76м 8% 
3К: 5%]]</f>
        <v>89223.75</v>
      </c>
      <c r="CI180" s="93"/>
      <c r="CJ180" s="93">
        <f>ППД5[[#This Row],[Наценка 06.11 13%]]+ППД5[[#This Row],[Фикс 01.11.24]]</f>
        <v>89223.75</v>
      </c>
      <c r="CK180" s="93"/>
      <c r="CL180" s="93">
        <f>ППД5[[#This Row],[Фикс 06.11.24]]+ППД5[[#This Row],[Наценка 18.12.24 распределение КВ]]</f>
        <v>89223.75</v>
      </c>
      <c r="CM180" s="93"/>
      <c r="CN180" s="93">
        <f>ППД5[[#This Row],[Фикс 18.12.24]]+ППД5[[#This Row],[Наценка 10.02.25 +1%
1К: А3
2К: Б3, В3]]</f>
        <v>89223.75</v>
      </c>
      <c r="CO180" s="93">
        <f>ROUND(ППД5[[#This Row],[Фикс 10.02.25]],2)</f>
        <v>89223.75</v>
      </c>
      <c r="CP18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3378011.18</v>
      </c>
      <c r="CQ180" s="93">
        <f>ROUNDUP(ППД5[[#This Row],[Стоимость до скидки]]+ППД5[[#This Row],[Сумма доплаты]],-2)</f>
        <v>3368200</v>
      </c>
      <c r="CR180" s="68"/>
      <c r="CS180" s="90"/>
      <c r="CT180" s="68">
        <f>ППД5[[#This Row],[Стоимость до скидки]]*ППД5[[#This Row],[Скидка %]]+ППД5[[#This Row],[Скидка фиксированная]]</f>
        <v>0</v>
      </c>
      <c r="CU180" s="3">
        <f>ППД5[[#This Row],[Стоимость ОН без отделки со скидкой]]/ППД5[[#This Row],[Расчетная проектная площадь]]</f>
        <v>89223.750132065514</v>
      </c>
      <c r="CV180" s="3">
        <f>ROUND(ППД5[[#This Row],[Стоимость до скидки]]-ППД5[[#This Row],[Итоговая сумма скидки]],2)</f>
        <v>3378011.18</v>
      </c>
      <c r="CW18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180" s="197">
        <v>4500</v>
      </c>
      <c r="CY180" s="332">
        <f>ППД5[[#This Row],[Расхождение]]/ППД5[[#This Row],[Расчетная проектная площадь]]</f>
        <v>-2.9054410987849823E-3</v>
      </c>
      <c r="CZ18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-0.48000000000000043</v>
      </c>
      <c r="DA180" s="3">
        <f>ППД5[[#This Row],[Цена м2 без отделки со скидкой]]+ППД5[[#This Row],[Стоимость отделки]]</f>
        <v>93723.750132065514</v>
      </c>
      <c r="DB180" s="3">
        <f>ППД5[[#This Row],[Стоимость квартиры с отделкой]]-ППД5[[#This Row],[Стоимость ОН без отделки со скидкой]]</f>
        <v>170370</v>
      </c>
      <c r="DC180" s="3">
        <f>ППД5[[#This Row],[Цена м2 с отделкой]]*ППД5[[#This Row],[Расчетная проектная площадь]]</f>
        <v>3548381.18</v>
      </c>
      <c r="DD180" s="3"/>
      <c r="DF180" s="199" t="s">
        <v>172</v>
      </c>
      <c r="DG180" s="245" t="s">
        <v>172</v>
      </c>
      <c r="DH180" s="100" t="b">
        <f>EXACT(ППД5[[#This Row],[Статусы CRM]],ППД5[[#This Row],[Статус]])</f>
        <v>1</v>
      </c>
      <c r="DI180" s="213" t="s">
        <v>352</v>
      </c>
      <c r="DJ180" s="204"/>
      <c r="DK180" s="111" t="s">
        <v>76</v>
      </c>
      <c r="DL180" s="216" t="s">
        <v>13</v>
      </c>
      <c r="DM180" s="201" t="b">
        <f>ППД5[[#This Row],[Отделка CRM]]=ППД5[[#This Row],[Отделка]]</f>
        <v>1</v>
      </c>
      <c r="DN180" s="203">
        <v>3548381.18</v>
      </c>
      <c r="DO18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80" s="207" t="b">
        <f>IF(AND(ППД5[[#This Row],[Статус]]="свободно",ППД5[[#This Row],[Итоговая сумма скидки]]&lt;&gt;0),FALSE,TRUE)</f>
        <v>1</v>
      </c>
      <c r="DQ180" s="240">
        <f>_xlfn.XLOOKUP(ППД5[[#This Row],[№]],Юрист[№ кв],Юрист[Дата подачи на регистрацию]," ",0,-1)</f>
        <v>45185</v>
      </c>
      <c r="DR180" s="115" t="str">
        <f>_xlfn.XLOOKUP(ППД5[[#This Row],[№]],Юрист[№ кв],Юрист[МОП],"",0,-1)</f>
        <v>Никишов</v>
      </c>
      <c r="DS180" s="333" t="s">
        <v>2652</v>
      </c>
      <c r="DT180" s="333" t="s">
        <v>2653</v>
      </c>
      <c r="DU180" s="333">
        <v>36.299999999999997</v>
      </c>
      <c r="DV180" s="111"/>
    </row>
    <row r="181" spans="1:126" hidden="1" x14ac:dyDescent="0.25">
      <c r="A181" s="112">
        <v>179</v>
      </c>
      <c r="B181" s="111" t="s">
        <v>4</v>
      </c>
      <c r="C181" s="111">
        <v>10</v>
      </c>
      <c r="D181" s="111">
        <v>6</v>
      </c>
      <c r="E181" s="111">
        <v>3</v>
      </c>
      <c r="F181" s="105">
        <v>17.89</v>
      </c>
      <c r="G181" s="105">
        <v>17.2</v>
      </c>
      <c r="H181" s="105">
        <v>14.31</v>
      </c>
      <c r="I181" s="94">
        <f>SUM(ППД5[[#This Row],[Комната 1]:[Комната 3]])</f>
        <v>49.400000000000006</v>
      </c>
      <c r="J181" s="105">
        <v>13.39</v>
      </c>
      <c r="K181" s="105">
        <v>4.2</v>
      </c>
      <c r="L181" s="105">
        <v>2.0499999999999998</v>
      </c>
      <c r="M181" s="105"/>
      <c r="N181" s="105">
        <v>13.21</v>
      </c>
      <c r="O181" s="105">
        <v>2.79</v>
      </c>
      <c r="P181" s="105">
        <v>2.68</v>
      </c>
      <c r="Q181" s="105"/>
      <c r="R181" s="105">
        <f>SUM(ППД5[[#This Row],[Лоджия 1]:[Лоджия 3]])</f>
        <v>5.4700000000000006</v>
      </c>
      <c r="S181" s="8">
        <f>ROUND(SUM(ППД5[[#This Row],[Площадь по проекту жилая]:[Лоджия 3]]),2)</f>
        <v>87.72</v>
      </c>
      <c r="T181" s="8">
        <f>ROUND(ППД5[[#This Row],[Площадь по проекту(общая)]]-ППД5[[#This Row],[Летние]],2)</f>
        <v>82.25</v>
      </c>
      <c r="U181" s="91">
        <f>ROUND(ППД5[[#This Row],[Площадь по проекту(общая)]]-(SUM(ППД5[[#This Row],[Лоджия 1]:[Лоджия 3]])/2),2)</f>
        <v>84.99</v>
      </c>
      <c r="V181" s="91">
        <f>IF(ППД5[[#This Row],[Статус]]="продажа",ППД5[[#This Row],[Расчетная проектная площадь]],ППД5[[#This Row],[Расчетная ТП площадь]])</f>
        <v>84.99</v>
      </c>
      <c r="W181" s="91">
        <v>14.2</v>
      </c>
      <c r="X181" s="91">
        <v>18</v>
      </c>
      <c r="Y181" s="91">
        <v>17</v>
      </c>
      <c r="Z181" s="91">
        <f>SUM(ППД5[[#This Row],[ТП Комната 1]:[ТП Комната 3]])</f>
        <v>49.2</v>
      </c>
      <c r="AA181" s="91">
        <v>13.3</v>
      </c>
      <c r="AB181" s="91">
        <v>4.2</v>
      </c>
      <c r="AC181" s="91">
        <v>2</v>
      </c>
      <c r="AD181" s="91"/>
      <c r="AE181" s="91">
        <v>13.1</v>
      </c>
      <c r="AF181" s="91">
        <v>1.4</v>
      </c>
      <c r="AG181" s="92">
        <v>1.35</v>
      </c>
      <c r="AH181" s="91"/>
      <c r="AI181" s="91">
        <f>SUM(ППД5[[#This Row],[ТП Лоджия 1]:[ТП Лоджия 3]])</f>
        <v>2.75</v>
      </c>
      <c r="AJ181" s="95">
        <v>5.5</v>
      </c>
      <c r="AK181" s="91">
        <f>SUM(ППД5[[#This Row],[Площадь по ТП жилая]:[ТП Лоджия 3]])-ППД5[[#This Row],[ТП Летние]]+ППД5[[#This Row],[кроме того прочая
(без коэффициента)]]</f>
        <v>87.3</v>
      </c>
      <c r="AL181" s="95">
        <f>ППД5[[#This Row],[ТП Площадь без летних]]+(ППД5[[#This Row],[ТП Летние]])</f>
        <v>84.55</v>
      </c>
      <c r="AM181" s="91">
        <f>ППД5[[#This Row],[ТП общая S]]-ППД5[[#This Row],[кроме того прочая
(без коэффициента)]]</f>
        <v>81.8</v>
      </c>
      <c r="AN181" s="95">
        <f>SUM(ППД5[[#This Row],[ТП Кухня]:[ТП Коридор]])</f>
        <v>32.6</v>
      </c>
      <c r="AO181" s="91">
        <f>ППД5[[#This Row],[Расчетная ТП площадь]]-ППД5[[#This Row],[Расчетная проектная площадь]]</f>
        <v>-0.43999999999999773</v>
      </c>
      <c r="AP181" s="335">
        <f>ППД5[[#This Row],[Расчетная ТП площадь]]/ППД5[[#This Row],[Расчетная проектная площадь]]-1</f>
        <v>-5.1770796564301058E-3</v>
      </c>
      <c r="AQ181" s="91">
        <f>ППД5[[#This Row],[% расхождения]]*ППД5[[#This Row],[Стоимость до скидки]]</f>
        <v>-38601.341334274155</v>
      </c>
      <c r="AR181" s="91">
        <f>VLOOKUP(ППД5[[#This Row],[№]],наценкад5[],COLUMN(наценкад5[[#This Row],[Цена м2 с учетом всех K]]),0)</f>
        <v>73520.37000000001</v>
      </c>
      <c r="AS181" s="8">
        <f>ППД5[[#This Row],[м2 после К]]*5%</f>
        <v>3676.0185000000006</v>
      </c>
      <c r="AT181" s="8">
        <f>ППД5[[#This Row],[м2 после К]]+ППД5[[#This Row],[Повышение 16.08.23 - 5%]]</f>
        <v>77196.388500000015</v>
      </c>
      <c r="AU181" s="93">
        <f>ППД5[[#This Row],[Фикс 16.08.23]]*3%</f>
        <v>2315.8916550000004</v>
      </c>
      <c r="AV181" s="93">
        <f>ППД5[[#This Row],[Фикс 16.08.23]]+ППД5[[#This Row],[Повышение 29.08.23 - 3%]]</f>
        <v>79512.280155000015</v>
      </c>
      <c r="AW181" s="93"/>
      <c r="AX181" s="93">
        <f>ППД5[[#This Row],[Фикс 29.08.23]]+ППД5[[#This Row],[Повышение 06.09.23 СТ и 1К]]</f>
        <v>79512.280155000015</v>
      </c>
      <c r="AY181" s="93"/>
      <c r="AZ181" s="93">
        <f>ППД5[[#This Row],[Повышение 23.10.23  В4 ]]+ППД5[[#This Row],[Фикс 06.09.23]]</f>
        <v>79512.280155000015</v>
      </c>
      <c r="BA181" s="93"/>
      <c r="BB181" s="93">
        <f>ППД5[[#This Row],[Повышение 8.11.23 1К 5%]]+ППД5[[#This Row],[Фикс 23.10.23]]</f>
        <v>79512.280155000015</v>
      </c>
      <c r="BC181" s="93"/>
      <c r="BD181" s="93">
        <f>ППД5[[#This Row],[Корректировка 24.11.23 - 1К В5, 2К А2, №233]]+ППД5[[#This Row],[Фикс 8.11.23]]</f>
        <v>79512.280155000015</v>
      </c>
      <c r="BE181" s="93">
        <f>ППД5[[#This Row],[Фикс 8.11.24]]*1%</f>
        <v>795.12280155000019</v>
      </c>
      <c r="BF181" s="93">
        <f>ППД5[[#This Row],[Наценка за отделку 29.12.23 1%]]+ППД5[[#This Row],[Фикс 8.11.24]]</f>
        <v>80307.40295655001</v>
      </c>
      <c r="BG181" s="93">
        <f>ППД5[[#This Row],[Фикс 29.12.23]]*5%</f>
        <v>4015.3701478275007</v>
      </c>
      <c r="BH181" s="93">
        <f>ППД5[[#This Row],[Фикс 29.12.23]]+ППД5[[#This Row],[Наценка 10.01.24 5%]]</f>
        <v>84322.773104377513</v>
      </c>
      <c r="BI181" s="93"/>
      <c r="BJ181" s="93">
        <f>ППД5[[#This Row],[Наценка 26.02.24 1 Этаж]]+ППД5[[#This Row],[Фикс 10.01.24]]</f>
        <v>84322.773104377513</v>
      </c>
      <c r="BK181" s="93">
        <f>ППД5[[#This Row],[Фикс 26.02.24]]*2%</f>
        <v>1686.4554620875504</v>
      </c>
      <c r="BL181" s="93">
        <f>ППД5[[#This Row],[Фикс 26.02.24]]+ППД5[[#This Row],[Наценка 06.03.24
СТ, 1К - 3%
2К, 3К - 2%]]</f>
        <v>86009.22856646507</v>
      </c>
      <c r="BM181" s="93"/>
      <c r="BN181" s="93">
        <f>ППД5[[#This Row],[Фикс 06.03.24]]+ППД5[[#This Row],[Наценка Г2+500]]</f>
        <v>86009.22856646507</v>
      </c>
      <c r="BO181" s="93">
        <f>ППД5[[#This Row],[Фикс 13.03.25]]*2%</f>
        <v>1720.1845713293014</v>
      </c>
      <c r="BP181" s="93">
        <f>ППД5[[#This Row],[Фикс 13.03.25]]+ППД5[[#This Row],[Наценка 20.03.24
2К, 3К - 2%]]</f>
        <v>87729.41313779437</v>
      </c>
      <c r="BQ181" s="93"/>
      <c r="BR181" s="93">
        <f>ППД5[[#This Row],[Фикс 20.03.24]]+ППД5[[#This Row],[Наценка 08.04.24 
2К: В3 - 150
3К: Г7 +1000]]</f>
        <v>87729.41313779437</v>
      </c>
      <c r="BS181" s="9"/>
      <c r="BT181" s="93">
        <f>ППД5[[#This Row],[Фикс 08.04.24]]+ППД5[[#This Row],[Наценка 16.05.24 1%
А4,А6,Б3,Б6,Б7,В2,В3,В5,В6,Г1,Г3-Г5]]</f>
        <v>87729.41313779437</v>
      </c>
      <c r="BU181" s="93"/>
      <c r="BV181" s="93">
        <f>ППД5[[#This Row],[Фикс 16.05.24]]+ППД5[[#This Row],[Наценка 24.05.24
1% - Б4, Б5,Г2,Г6
2% - А1,А3,А5,Б2,Г7]]</f>
        <v>87729.41313779437</v>
      </c>
      <c r="BW181" s="93"/>
      <c r="BX181" s="93">
        <f>ППД5[[#This Row],[Наценка 06.06.24
0К: В2,Г3 +0,5%
1К: А7, Б5/4, Г6 +0,5%
3К: В6 +0,5%
1К: А3 +1%]]+ППД5[[#This Row],[Фикс 24.05.24]]</f>
        <v>87729.41313779437</v>
      </c>
      <c r="BY181" s="93"/>
      <c r="BZ181" s="93">
        <f>ППД5[[#This Row],[Фикс 06.06.24]]+ППД5[[#This Row],[13.06.2024
3К - 2%]]</f>
        <v>87729.41313779437</v>
      </c>
      <c r="CA181" s="93"/>
      <c r="CB181" s="93">
        <f>ППД5[[#This Row],[02.07.2024: Г3 А1 А3 Б5 Б7 Г2 Г6 Б3 Б4 В3 Г7 2,5% ост 0,5-1,5%]]+ППД5[[#This Row],[Фикс 13.06.24]]</f>
        <v>87729.41313779437</v>
      </c>
      <c r="CC181" s="93"/>
      <c r="CD181" s="93">
        <f>ППД5[[#This Row],[Фикс 02.07.24]]+ППД5[[#This Row],[04.09.2024 +500
0К - Б2; 1К - А3;
2К - А6, Б4, В3, Г5]]</f>
        <v>87729.41313779437</v>
      </c>
      <c r="CE181" s="93"/>
      <c r="CF181" s="93">
        <f>ППД5[[#This Row],[Наценка 16.09.2024
1К: А1,В7,Г6/7,Г8 - 2%
2К: А4,А5,А6,Б1,Б6,Б3/4,В3,В4,Г4,Г5 - 4%
3К: 4%]]+ППД5[[#This Row],[Фикс 04.09.24]]</f>
        <v>87729.41313779437</v>
      </c>
      <c r="CG181" s="93"/>
      <c r="CH181" s="93">
        <f>ППД5[[#This Row],[Фикс 16.09.2024]]+ППД5[[#This Row],[Наценка 01.11.24
СТ: 4%
1К: 34-40м 5%; 40м+ 8%; МГН 1%
2К: 55-70м 6%; 70-73м 7%; 73-76м 8% 
3К: 5%]]</f>
        <v>87729.41313779437</v>
      </c>
      <c r="CI181" s="93"/>
      <c r="CJ181" s="93">
        <f>ППД5[[#This Row],[Наценка 06.11 13%]]+ППД5[[#This Row],[Фикс 01.11.24]]</f>
        <v>87729.41313779437</v>
      </c>
      <c r="CK181" s="93"/>
      <c r="CL181" s="93">
        <f>ППД5[[#This Row],[Фикс 06.11.24]]+ППД5[[#This Row],[Наценка 18.12.24 распределение КВ]]</f>
        <v>87729.41313779437</v>
      </c>
      <c r="CM181" s="93"/>
      <c r="CN181" s="93">
        <f>ППД5[[#This Row],[Фикс 18.12.24]]+ППД5[[#This Row],[Наценка 10.02.25 +1%
1К: А3
2К: Б3, В3]]</f>
        <v>87729.41313779437</v>
      </c>
      <c r="CO181" s="93">
        <f>ROUND(ППД5[[#This Row],[Фикс 10.02.25]],2)</f>
        <v>87729.41</v>
      </c>
      <c r="CP18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7456200</v>
      </c>
      <c r="CQ181" s="93">
        <f>ROUNDUP(ППД5[[#This Row],[Стоимость до скидки]]+ППД5[[#This Row],[Сумма доплаты]],-2)</f>
        <v>7417600</v>
      </c>
      <c r="CR181" s="68">
        <v>90000</v>
      </c>
      <c r="CS181" s="90"/>
      <c r="CT181" s="68">
        <f>ППД5[[#This Row],[Стоимость до скидки]]*ППД5[[#This Row],[Скидка %]]+ППД5[[#This Row],[Скидка фиксированная]]</f>
        <v>90000</v>
      </c>
      <c r="CU181" s="3">
        <f>ППД5[[#This Row],[Стоимость ОН без отделки со скидкой]]/ППД5[[#This Row],[Расчетная проектная площадь]]</f>
        <v>86671.373102717975</v>
      </c>
      <c r="CV181" s="3">
        <f>ROUND(ППД5[[#This Row],[Стоимость до скидки]]-ППД5[[#This Row],[Итоговая сумма скидки]],2)</f>
        <v>7366200</v>
      </c>
      <c r="CW18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81" s="197"/>
      <c r="CY181" s="332">
        <f>ППД5[[#This Row],[Расхождение]]/ППД5[[#This Row],[Расчетная проектная площадь]]</f>
        <v>-5.1770796564301422E-3</v>
      </c>
      <c r="CZ18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-0.25</v>
      </c>
      <c r="DA181" s="3">
        <f>ППД5[[#This Row],[Цена м2 без отделки со скидкой]]+ППД5[[#This Row],[Стоимость отделки]]</f>
        <v>86671.373102717975</v>
      </c>
      <c r="DB181" s="3">
        <f>ППД5[[#This Row],[Стоимость квартиры с отделкой]]-ППД5[[#This Row],[Стоимость ОН без отделки со скидкой]]</f>
        <v>0</v>
      </c>
      <c r="DC181" s="3">
        <f>ППД5[[#This Row],[Цена м2 с отделкой]]*ППД5[[#This Row],[Расчетная проектная площадь]]</f>
        <v>7366200</v>
      </c>
      <c r="DD181" s="3"/>
      <c r="DE181" s="111" t="s">
        <v>791</v>
      </c>
      <c r="DF181" s="199" t="s">
        <v>172</v>
      </c>
      <c r="DG181" s="245" t="s">
        <v>172</v>
      </c>
      <c r="DH181" s="100" t="b">
        <f>EXACT(ППД5[[#This Row],[Статусы CRM]],ППД5[[#This Row],[Статус]])</f>
        <v>1</v>
      </c>
      <c r="DI181" s="213" t="s">
        <v>353</v>
      </c>
      <c r="DJ181" s="204"/>
      <c r="DK181" s="111" t="s">
        <v>763</v>
      </c>
      <c r="DL181" s="216" t="s">
        <v>12</v>
      </c>
      <c r="DM181" s="201" t="b">
        <f>ППД5[[#This Row],[Отделка CRM]]=ППД5[[#This Row],[Отделка]]</f>
        <v>1</v>
      </c>
      <c r="DN181" s="203">
        <v>7366200</v>
      </c>
      <c r="DO18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81" s="207" t="b">
        <f>IF(AND(ППД5[[#This Row],[Статус]]="свободно",ППД5[[#This Row],[Итоговая сумма скидки]]&lt;&gt;0),FALSE,TRUE)</f>
        <v>1</v>
      </c>
      <c r="DQ181" s="240">
        <f>_xlfn.XLOOKUP(ППД5[[#This Row],[№]],Юрист[№ кв],Юрист[Дата подачи на регистрацию]," ",0,-1)</f>
        <v>45427</v>
      </c>
      <c r="DR181" s="115" t="str">
        <f>_xlfn.XLOOKUP(ППД5[[#This Row],[№]],Юрист[№ кв],Юрист[МОП],"",0,-1)</f>
        <v>Дик</v>
      </c>
      <c r="DS181" s="333" t="s">
        <v>2654</v>
      </c>
      <c r="DT181" s="333" t="s">
        <v>2655</v>
      </c>
      <c r="DU181" s="333">
        <v>81.8</v>
      </c>
      <c r="DV181" s="111"/>
    </row>
    <row r="182" spans="1:126" hidden="1" x14ac:dyDescent="0.25">
      <c r="A182" s="112">
        <v>180</v>
      </c>
      <c r="B182" s="111" t="s">
        <v>4</v>
      </c>
      <c r="C182" s="111">
        <v>10</v>
      </c>
      <c r="D182" s="111">
        <v>7</v>
      </c>
      <c r="E182" s="111">
        <v>1</v>
      </c>
      <c r="F182" s="105">
        <v>17.89</v>
      </c>
      <c r="G182" s="105"/>
      <c r="H182" s="105"/>
      <c r="I182" s="94">
        <f>SUM(ППД5[[#This Row],[Комната 1]:[Комната 3]])</f>
        <v>17.89</v>
      </c>
      <c r="J182" s="105">
        <v>13.04</v>
      </c>
      <c r="K182" s="105">
        <v>3.9</v>
      </c>
      <c r="L182" s="105"/>
      <c r="M182" s="105"/>
      <c r="N182" s="105">
        <v>6.12</v>
      </c>
      <c r="O182" s="105">
        <v>2.65</v>
      </c>
      <c r="P182" s="105"/>
      <c r="Q182" s="105"/>
      <c r="R182" s="105">
        <f>SUM(ППД5[[#This Row],[Лоджия 1]:[Лоджия 3]])</f>
        <v>2.65</v>
      </c>
      <c r="S182" s="8">
        <f>ROUND(SUM(ППД5[[#This Row],[Площадь по проекту жилая]:[Лоджия 3]]),2)</f>
        <v>43.6</v>
      </c>
      <c r="T182" s="8">
        <f>ROUND(ППД5[[#This Row],[Площадь по проекту(общая)]]-ППД5[[#This Row],[Летние]],2)</f>
        <v>40.950000000000003</v>
      </c>
      <c r="U182" s="91">
        <f>ROUND(ППД5[[#This Row],[Площадь по проекту(общая)]]-(SUM(ППД5[[#This Row],[Лоджия 1]:[Лоджия 3]])/2),2)</f>
        <v>42.28</v>
      </c>
      <c r="V182" s="91">
        <f>IF(ППД5[[#This Row],[Статус]]="продажа",ППД5[[#This Row],[Расчетная проектная площадь]],ППД5[[#This Row],[Расчетная ТП площадь]])</f>
        <v>42.1</v>
      </c>
      <c r="W182" s="91">
        <v>17.8</v>
      </c>
      <c r="X182" s="91"/>
      <c r="Y182" s="91"/>
      <c r="Z182" s="91">
        <f>SUM(ППД5[[#This Row],[ТП Комната 1]:[ТП Комната 3]])</f>
        <v>17.8</v>
      </c>
      <c r="AA182" s="91">
        <v>13</v>
      </c>
      <c r="AB182" s="91">
        <v>3.8</v>
      </c>
      <c r="AC182" s="91"/>
      <c r="AD182" s="91"/>
      <c r="AE182" s="91">
        <v>6.2</v>
      </c>
      <c r="AF182" s="91">
        <v>1.3</v>
      </c>
      <c r="AG182" s="91"/>
      <c r="AH182" s="91"/>
      <c r="AI182" s="91">
        <f>SUM(ППД5[[#This Row],[ТП Лоджия 1]:[ТП Лоджия 3]])</f>
        <v>1.3</v>
      </c>
      <c r="AJ182" s="95">
        <v>2.6</v>
      </c>
      <c r="AK182" s="91">
        <f>SUM(ППД5[[#This Row],[Площадь по ТП жилая]:[ТП Лоджия 3]])-ППД5[[#This Row],[ТП Летние]]+ППД5[[#This Row],[кроме того прочая
(без коэффициента)]]</f>
        <v>43.400000000000006</v>
      </c>
      <c r="AL182" s="95">
        <f>ППД5[[#This Row],[ТП Площадь без летних]]+(ППД5[[#This Row],[ТП Летние]])</f>
        <v>42.1</v>
      </c>
      <c r="AM182" s="91">
        <f>ППД5[[#This Row],[ТП общая S]]-ППД5[[#This Row],[кроме того прочая
(без коэффициента)]]</f>
        <v>40.800000000000004</v>
      </c>
      <c r="AN182" s="95">
        <f>SUM(ППД5[[#This Row],[ТП Кухня]:[ТП Коридор]])</f>
        <v>23</v>
      </c>
      <c r="AO182" s="91">
        <f>ППД5[[#This Row],[Расчетная ТП площадь]]-ППД5[[#This Row],[Расчетная проектная площадь]]</f>
        <v>-0.17999999999999972</v>
      </c>
      <c r="AP182" s="335">
        <f>ППД5[[#This Row],[Расчетная ТП площадь]]/ППД5[[#This Row],[Расчетная проектная площадь]]-1</f>
        <v>-4.2573320719015983E-3</v>
      </c>
      <c r="AQ182" s="91">
        <f>ППД5[[#This Row],[% расхождения]]*ППД5[[#This Row],[Стоимость до скидки]]</f>
        <v>-24870.056764427569</v>
      </c>
      <c r="AR182" s="91">
        <f>VLOOKUP(ППД5[[#This Row],[№]],наценкад5[],COLUMN(наценкад5[[#This Row],[Цена м2 с учетом всех K]]),0)</f>
        <v>85573.6875</v>
      </c>
      <c r="AS182" s="8">
        <f>ППД5[[#This Row],[м2 после К]]*5%</f>
        <v>4278.6843749999998</v>
      </c>
      <c r="AT182" s="8">
        <f>ППД5[[#This Row],[м2 после К]]+ППД5[[#This Row],[Повышение 16.08.23 - 5%]]</f>
        <v>89852.371874999997</v>
      </c>
      <c r="AU182" s="93">
        <f>ППД5[[#This Row],[Фикс 16.08.23]]*3%</f>
        <v>2695.5711562499996</v>
      </c>
      <c r="AV182" s="93">
        <f>ППД5[[#This Row],[Фикс 16.08.23]]+ППД5[[#This Row],[Повышение 29.08.23 - 3%]]</f>
        <v>92547.94303124999</v>
      </c>
      <c r="AW182" s="93">
        <f>ППД5[[#This Row],[Фикс 29.08.23]]*3%</f>
        <v>2776.4382909374995</v>
      </c>
      <c r="AX182" s="93">
        <f>ППД5[[#This Row],[Фикс 29.08.23]]+ППД5[[#This Row],[Повышение 06.09.23 СТ и 1К]]</f>
        <v>95324.381322187488</v>
      </c>
      <c r="AY182" s="93"/>
      <c r="AZ182" s="93">
        <f>ППД5[[#This Row],[Повышение 23.10.23  В4 ]]+ППД5[[#This Row],[Фикс 06.09.23]]</f>
        <v>95324.381322187488</v>
      </c>
      <c r="BA182" s="93">
        <f>ППД5[[#This Row],[Фикс 23.10.23]]*5%</f>
        <v>4766.2190661093746</v>
      </c>
      <c r="BB182" s="93">
        <f>ППД5[[#This Row],[Повышение 8.11.23 1К 5%]]+ППД5[[#This Row],[Фикс 23.10.23]]</f>
        <v>100090.60038829687</v>
      </c>
      <c r="BC182" s="93"/>
      <c r="BD182" s="93">
        <f>ППД5[[#This Row],[Корректировка 24.11.23 - 1К В5, 2К А2, №233]]+ППД5[[#This Row],[Фикс 8.11.23]]</f>
        <v>100090.60038829687</v>
      </c>
      <c r="BE182" s="93">
        <f>ППД5[[#This Row],[Фикс 8.11.24]]*1%</f>
        <v>1000.9060038829687</v>
      </c>
      <c r="BF182" s="93">
        <f>ППД5[[#This Row],[Наценка за отделку 29.12.23 1%]]+ППД5[[#This Row],[Фикс 8.11.24]]</f>
        <v>101091.50639217983</v>
      </c>
      <c r="BG182" s="93">
        <f>ППД5[[#This Row],[Фикс 29.12.23]]*5%</f>
        <v>5054.5753196089918</v>
      </c>
      <c r="BH182" s="93">
        <f>ППД5[[#This Row],[Фикс 29.12.23]]+ППД5[[#This Row],[Наценка 10.01.24 5%]]</f>
        <v>106146.08171178882</v>
      </c>
      <c r="BI182" s="93"/>
      <c r="BJ182" s="93">
        <f>ППД5[[#This Row],[Наценка 26.02.24 1 Этаж]]+ППД5[[#This Row],[Фикс 10.01.24]]</f>
        <v>106146.08171178882</v>
      </c>
      <c r="BK182" s="93">
        <f>ППД5[[#This Row],[Фикс 26.02.24]]*3%</f>
        <v>3184.3824513536647</v>
      </c>
      <c r="BL182" s="93">
        <f>ППД5[[#This Row],[Фикс 26.02.24]]+ППД5[[#This Row],[Наценка 06.03.24
СТ, 1К - 3%
2К, 3К - 2%]]</f>
        <v>109330.46416314249</v>
      </c>
      <c r="BM182" s="93"/>
      <c r="BN182" s="93">
        <f>ППД5[[#This Row],[Фикс 06.03.24]]+ППД5[[#This Row],[Наценка Г2+500]]</f>
        <v>109330.46416314249</v>
      </c>
      <c r="BO182" s="93"/>
      <c r="BP182" s="93">
        <f>ППД5[[#This Row],[Фикс 13.03.25]]+ППД5[[#This Row],[Наценка 20.03.24
2К, 3К - 2%]]</f>
        <v>109330.46416314249</v>
      </c>
      <c r="BQ182" s="93"/>
      <c r="BR182" s="93">
        <f>ППД5[[#This Row],[Фикс 20.03.24]]+ППД5[[#This Row],[Наценка 08.04.24 
2К: В3 - 150
3К: Г7 +1000]]</f>
        <v>109330.46416314249</v>
      </c>
      <c r="BS182" s="9">
        <f>ППД5[[#This Row],[Фикс 08.04.24]]*1%</f>
        <v>1093.3046416314248</v>
      </c>
      <c r="BT182" s="93">
        <f>ППД5[[#This Row],[Фикс 08.04.24]]+ППД5[[#This Row],[Наценка 16.05.24 1%
А4,А6,Б3,Б6,Б7,В2,В3,В5,В6,Г1,Г3-Г5]]</f>
        <v>110423.76880477392</v>
      </c>
      <c r="BU182" s="93"/>
      <c r="BV182" s="93">
        <f>ППД5[[#This Row],[Фикс 16.05.24]]+ППД5[[#This Row],[Наценка 24.05.24
1% - Б4, Б5,Г2,Г6
2% - А1,А3,А5,Б2,Г7]]</f>
        <v>110423.76880477392</v>
      </c>
      <c r="BW182" s="93"/>
      <c r="BX182" s="93">
        <f>ППД5[[#This Row],[Наценка 06.06.24
0К: В2,Г3 +0,5%
1К: А7, Б5/4, Г6 +0,5%
3К: В6 +0,5%
1К: А3 +1%]]+ППД5[[#This Row],[Фикс 24.05.24]]</f>
        <v>110423.76880477392</v>
      </c>
      <c r="BY182" s="93"/>
      <c r="BZ182" s="93">
        <f>ППД5[[#This Row],[Фикс 06.06.24]]+ППД5[[#This Row],[13.06.2024
3К - 2%]]</f>
        <v>110423.76880477392</v>
      </c>
      <c r="CA182" s="93">
        <f>2.5%*ППД5[[#This Row],[Фикс 13.06.24]]</f>
        <v>2760.5942201193484</v>
      </c>
      <c r="CB182" s="93">
        <f>ППД5[[#This Row],[02.07.2024: Г3 А1 А3 Б5 Б7 Г2 Г6 Б3 Б4 В3 Г7 2,5% ост 0,5-1,5%]]+ППД5[[#This Row],[Фикс 13.06.24]]</f>
        <v>113184.36302489327</v>
      </c>
      <c r="CC182" s="93"/>
      <c r="CD182" s="93">
        <f>ППД5[[#This Row],[Фикс 02.07.24]]+ППД5[[#This Row],[04.09.2024 +500
0К - Б2; 1К - А3;
2К - А6, Б4, В3, Г5]]</f>
        <v>113184.36302489327</v>
      </c>
      <c r="CE182" s="93"/>
      <c r="CF182" s="93">
        <f>ППД5[[#This Row],[Наценка 16.09.2024
1К: А1,В7,Г6/7,Г8 - 2%
2К: А4,А5,А6,Б1,Б6,Б3/4,В3,В4,Г4,Г5 - 4%
3К: 4%]]+ППД5[[#This Row],[Фикс 04.09.24]]</f>
        <v>113184.36302489327</v>
      </c>
      <c r="CG182" s="93">
        <f>ППД5[[#This Row],[Фикс 16.09.2024]]*8%</f>
        <v>9054.7490419914629</v>
      </c>
      <c r="CH182" s="93">
        <f>ППД5[[#This Row],[Фикс 16.09.2024]]+ППД5[[#This Row],[Наценка 01.11.24
СТ: 4%
1К: 34-40м 5%; 40м+ 8%; МГН 1%
2К: 55-70м 6%; 70-73м 7%; 73-76м 8% 
3К: 5%]]</f>
        <v>122239.11206688474</v>
      </c>
      <c r="CI182" s="93">
        <f>ППД5[[#This Row],[Фикс 01.11.24]]*13%</f>
        <v>15891.084568695018</v>
      </c>
      <c r="CJ182" s="93">
        <f>ППД5[[#This Row],[Наценка 06.11 13%]]+ППД5[[#This Row],[Фикс 01.11.24]]</f>
        <v>138130.19663557975</v>
      </c>
      <c r="CK182" s="93">
        <v>35</v>
      </c>
      <c r="CL182" s="93">
        <f>ППД5[[#This Row],[Фикс 06.11.24]]+ППД5[[#This Row],[Наценка 18.12.24 распределение КВ]]</f>
        <v>138165.19663557975</v>
      </c>
      <c r="CM182" s="93"/>
      <c r="CN182" s="93">
        <f>ППД5[[#This Row],[Фикс 18.12.24]]+ППД5[[#This Row],[Наценка 10.02.25 +1%
1К: А3
2К: Б3, В3]]</f>
        <v>138165.19663557975</v>
      </c>
      <c r="CO182" s="93">
        <f>ROUND(ППД5[[#This Row],[Фикс 10.02.25]],2)</f>
        <v>138165.20000000001</v>
      </c>
      <c r="CP18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5841700</v>
      </c>
      <c r="CQ182" s="93">
        <f>ROUNDUP(ППД5[[#This Row],[Стоимость до скидки]]+ППД5[[#This Row],[Сумма доплаты]],-2)</f>
        <v>5816900</v>
      </c>
      <c r="CR182" s="68"/>
      <c r="CS182" s="90"/>
      <c r="CT182" s="68">
        <f>ППД5[[#This Row],[Стоимость до скидки]]*ППД5[[#This Row],[Скидка %]]+ППД5[[#This Row],[Скидка фиксированная]]</f>
        <v>0</v>
      </c>
      <c r="CU182" s="3">
        <f>ППД5[[#This Row],[Стоимость ОН без отделки со скидкой]]/ППД5[[#This Row],[Расчетная проектная площадь]]</f>
        <v>138166.98202459791</v>
      </c>
      <c r="CV182" s="3">
        <f>ROUND(ППД5[[#This Row],[Стоимость до скидки]]-ППД5[[#This Row],[Итоговая сумма скидки]],2)</f>
        <v>5841700</v>
      </c>
      <c r="CW18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182" s="218">
        <v>10000</v>
      </c>
      <c r="CY182" s="332">
        <f>ППД5[[#This Row],[Расхождение]]/ППД5[[#This Row],[Расчетная проектная площадь]]</f>
        <v>-4.2573320719016018E-3</v>
      </c>
      <c r="CZ182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-6.0000000000000497E-2</v>
      </c>
      <c r="DA182" s="3">
        <f>ППД5[[#This Row],[Цена м2 без отделки со скидкой]]+ППД5[[#This Row],[Стоимость отделки]]</f>
        <v>148166.98202459791</v>
      </c>
      <c r="DB182" s="3">
        <f>ППД5[[#This Row],[Стоимость квартиры с отделкой]]-ППД5[[#This Row],[Стоимость ОН без отделки со скидкой]]</f>
        <v>422800</v>
      </c>
      <c r="DC182" s="3">
        <f>ППД5[[#This Row],[Цена м2 с отделкой]]*ППД5[[#This Row],[Расчетная проектная площадь]]</f>
        <v>6264500</v>
      </c>
      <c r="DD182" s="3"/>
      <c r="DF182" s="199" t="s">
        <v>157</v>
      </c>
      <c r="DG182" s="221" t="s">
        <v>157</v>
      </c>
      <c r="DH182" s="100" t="b">
        <f>EXACT(ППД5[[#This Row],[Статусы CRM]],ППД5[[#This Row],[Статус]])</f>
        <v>1</v>
      </c>
      <c r="DI182" s="213" t="s">
        <v>354</v>
      </c>
      <c r="DJ182" s="204"/>
      <c r="DK182" s="111" t="s">
        <v>763</v>
      </c>
      <c r="DL182" s="216" t="s">
        <v>780</v>
      </c>
      <c r="DM182" s="201" t="b">
        <f>ППД5[[#This Row],[Отделка CRM]]=ППД5[[#This Row],[Отделка]]</f>
        <v>1</v>
      </c>
      <c r="DN182" s="203">
        <v>6264500</v>
      </c>
      <c r="DO18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82" s="207" t="b">
        <f>IF(AND(ППД5[[#This Row],[Статус]]="свободно",ППД5[[#This Row],[Итоговая сумма скидки]]&lt;&gt;0),FALSE,TRUE)</f>
        <v>1</v>
      </c>
      <c r="DQ182" s="240" t="str">
        <f>_xlfn.XLOOKUP(ППД5[[#This Row],[№]],Юрист[№ кв],Юрист[Дата подачи на регистрацию]," ",0,-1)</f>
        <v xml:space="preserve"> </v>
      </c>
      <c r="DR182" s="115" t="str">
        <f>_xlfn.XLOOKUP(ППД5[[#This Row],[№]],Юрист[№ кв],Юрист[МОП],"",0,-1)</f>
        <v/>
      </c>
      <c r="DS182" s="333" t="s">
        <v>2656</v>
      </c>
      <c r="DT182" s="333" t="s">
        <v>2657</v>
      </c>
      <c r="DU182" s="333">
        <v>40.799999999999997</v>
      </c>
      <c r="DV182" s="111"/>
    </row>
    <row r="183" spans="1:126" hidden="1" x14ac:dyDescent="0.25">
      <c r="A183" s="112">
        <v>181</v>
      </c>
      <c r="B183" s="111" t="s">
        <v>4</v>
      </c>
      <c r="C183" s="111">
        <v>11</v>
      </c>
      <c r="D183" s="338">
        <v>1</v>
      </c>
      <c r="E183" s="111">
        <v>2</v>
      </c>
      <c r="F183" s="105">
        <v>15.91</v>
      </c>
      <c r="G183" s="105">
        <v>12.02</v>
      </c>
      <c r="H183" s="105"/>
      <c r="I183" s="94">
        <f>SUM(ППД5[[#This Row],[Комната 1]:[Комната 3]])</f>
        <v>27.93</v>
      </c>
      <c r="J183" s="105">
        <v>15.31</v>
      </c>
      <c r="K183" s="105">
        <v>3.85</v>
      </c>
      <c r="L183" s="105">
        <v>2.2999999999999998</v>
      </c>
      <c r="M183" s="105"/>
      <c r="N183" s="105">
        <v>9.4499999999999993</v>
      </c>
      <c r="O183" s="105">
        <v>2.75</v>
      </c>
      <c r="P183" s="105"/>
      <c r="Q183" s="105"/>
      <c r="R183" s="105">
        <f>SUM(ППД5[[#This Row],[Лоджия 1]:[Лоджия 3]])</f>
        <v>2.75</v>
      </c>
      <c r="S183" s="8">
        <f>ROUND(SUM(ППД5[[#This Row],[Площадь по проекту жилая]:[Лоджия 3]]),2)</f>
        <v>61.59</v>
      </c>
      <c r="T183" s="8">
        <f>ROUND(ППД5[[#This Row],[Площадь по проекту(общая)]]-ППД5[[#This Row],[Летние]],2)</f>
        <v>58.84</v>
      </c>
      <c r="U183" s="91">
        <f>ROUND(ППД5[[#This Row],[Площадь по проекту(общая)]]-(SUM(ППД5[[#This Row],[Лоджия 1]:[Лоджия 3]])/2),2)</f>
        <v>60.22</v>
      </c>
      <c r="V183" s="91">
        <f>IF(ППД5[[#This Row],[Статус]]="продажа",ППД5[[#This Row],[Расчетная проектная площадь]],ППД5[[#This Row],[Расчетная ТП площадь]])</f>
        <v>60.099999999999987</v>
      </c>
      <c r="W183" s="91">
        <v>15.9</v>
      </c>
      <c r="X183" s="91">
        <v>12</v>
      </c>
      <c r="Y183" s="91"/>
      <c r="Z183" s="91">
        <f>SUM(ППД5[[#This Row],[ТП Комната 1]:[ТП Комната 3]])</f>
        <v>27.9</v>
      </c>
      <c r="AA183" s="91">
        <v>15.2</v>
      </c>
      <c r="AB183" s="91">
        <v>3.8</v>
      </c>
      <c r="AC183" s="91">
        <v>2.2999999999999998</v>
      </c>
      <c r="AD183" s="91"/>
      <c r="AE183" s="91">
        <v>9.5</v>
      </c>
      <c r="AF183" s="91">
        <v>1.4</v>
      </c>
      <c r="AG183" s="91"/>
      <c r="AH183" s="91"/>
      <c r="AI183" s="91">
        <f>SUM(ППД5[[#This Row],[ТП Лоджия 1]:[ТП Лоджия 3]])</f>
        <v>1.4</v>
      </c>
      <c r="AJ183" s="95">
        <v>2.8</v>
      </c>
      <c r="AK183" s="91">
        <f>SUM(ППД5[[#This Row],[Площадь по ТП жилая]:[ТП Лоджия 3]])-ППД5[[#This Row],[ТП Летние]]+ППД5[[#This Row],[кроме того прочая
(без коэффициента)]]</f>
        <v>61.499999999999986</v>
      </c>
      <c r="AL183" s="95">
        <f>ППД5[[#This Row],[ТП Площадь без летних]]+(ППД5[[#This Row],[ТП Летние]])</f>
        <v>60.099999999999987</v>
      </c>
      <c r="AM183" s="91">
        <f>ППД5[[#This Row],[ТП общая S]]-ППД5[[#This Row],[кроме того прочая
(без коэффициента)]]</f>
        <v>58.699999999999989</v>
      </c>
      <c r="AN183" s="95">
        <f>SUM(ППД5[[#This Row],[ТП Кухня]:[ТП Коридор]])</f>
        <v>30.8</v>
      </c>
      <c r="AO183" s="91">
        <f>ППД5[[#This Row],[Расчетная ТП площадь]]-ППД5[[#This Row],[Расчетная проектная площадь]]</f>
        <v>-0.12000000000001165</v>
      </c>
      <c r="AP183" s="335">
        <f>ППД5[[#This Row],[Расчетная ТП площадь]]/ППД5[[#This Row],[Расчетная проектная площадь]]-1</f>
        <v>-1.9926934573233357E-3</v>
      </c>
      <c r="AQ183" s="91">
        <f>ППД5[[#This Row],[% расхождения]]*ППД5[[#This Row],[Стоимость до скидки]]</f>
        <v>-14544.07173696583</v>
      </c>
      <c r="AR183" s="91">
        <f>VLOOKUP(ППД5[[#This Row],[№]],наценкад5[],COLUMN(наценкад5[[#This Row],[Цена м2 с учетом всех K]]),0)</f>
        <v>80307.864000000001</v>
      </c>
      <c r="AS183" s="8">
        <f>ППД5[[#This Row],[м2 после К]]*5%</f>
        <v>4015.3932000000004</v>
      </c>
      <c r="AT183" s="8">
        <f>ППД5[[#This Row],[м2 после К]]+ППД5[[#This Row],[Повышение 16.08.23 - 5%]]</f>
        <v>84323.257200000007</v>
      </c>
      <c r="AU183" s="93">
        <f>ППД5[[#This Row],[Фикс 16.08.23]]*3%</f>
        <v>2529.6977160000001</v>
      </c>
      <c r="AV183" s="93">
        <f>ППД5[[#This Row],[Фикс 16.08.23]]+ППД5[[#This Row],[Повышение 29.08.23 - 3%]]</f>
        <v>86852.954916000002</v>
      </c>
      <c r="AW183" s="93"/>
      <c r="AX183" s="93">
        <f>ППД5[[#This Row],[Фикс 29.08.23]]+ППД5[[#This Row],[Повышение 06.09.23 СТ и 1К]]</f>
        <v>86852.954916000002</v>
      </c>
      <c r="AY183" s="93"/>
      <c r="AZ183" s="93">
        <f>ППД5[[#This Row],[Повышение 23.10.23  В4 ]]+ППД5[[#This Row],[Фикс 06.09.23]]</f>
        <v>86852.954916000002</v>
      </c>
      <c r="BA183" s="93"/>
      <c r="BB183" s="93">
        <f>ППД5[[#This Row],[Повышение 8.11.23 1К 5%]]+ППД5[[#This Row],[Фикс 23.10.23]]</f>
        <v>86852.954916000002</v>
      </c>
      <c r="BC183" s="93"/>
      <c r="BD183" s="93">
        <f>ППД5[[#This Row],[Корректировка 24.11.23 - 1К В5, 2К А2, №233]]+ППД5[[#This Row],[Фикс 8.11.23]]</f>
        <v>86852.954916000002</v>
      </c>
      <c r="BE183" s="93">
        <f>ППД5[[#This Row],[Фикс 8.11.24]]*1%</f>
        <v>868.52954915999999</v>
      </c>
      <c r="BF183" s="93">
        <f>ППД5[[#This Row],[Наценка за отделку 29.12.23 1%]]+ППД5[[#This Row],[Фикс 8.11.24]]</f>
        <v>87721.48446516</v>
      </c>
      <c r="BG183" s="93">
        <f>ППД5[[#This Row],[Фикс 29.12.23]]*5%</f>
        <v>4386.0742232580005</v>
      </c>
      <c r="BH183" s="93">
        <f>ППД5[[#This Row],[Фикс 29.12.23]]+ППД5[[#This Row],[Наценка 10.01.24 5%]]</f>
        <v>92107.558688417994</v>
      </c>
      <c r="BI183" s="93"/>
      <c r="BJ183" s="93">
        <f>ППД5[[#This Row],[Наценка 26.02.24 1 Этаж]]+ППД5[[#This Row],[Фикс 10.01.24]]</f>
        <v>92107.558688417994</v>
      </c>
      <c r="BK183" s="93">
        <f>ППД5[[#This Row],[Фикс 26.02.24]]*2%</f>
        <v>1842.15117376836</v>
      </c>
      <c r="BL183" s="93">
        <f>ППД5[[#This Row],[Фикс 26.02.24]]+ППД5[[#This Row],[Наценка 06.03.24
СТ, 1К - 3%
2К, 3К - 2%]]</f>
        <v>93949.709862186355</v>
      </c>
      <c r="BM183" s="93"/>
      <c r="BN183" s="93">
        <f>ППД5[[#This Row],[Фикс 06.03.24]]+ППД5[[#This Row],[Наценка Г2+500]]</f>
        <v>93949.709862186355</v>
      </c>
      <c r="BO183" s="93">
        <f>ППД5[[#This Row],[Фикс 13.03.25]]*2%</f>
        <v>1878.9941972437271</v>
      </c>
      <c r="BP183" s="93">
        <f>ППД5[[#This Row],[Фикс 13.03.25]]+ППД5[[#This Row],[Наценка 20.03.24
2К, 3К - 2%]]</f>
        <v>95828.704059430078</v>
      </c>
      <c r="BQ183" s="93"/>
      <c r="BR183" s="93">
        <f>ППД5[[#This Row],[Фикс 20.03.24]]+ППД5[[#This Row],[Наценка 08.04.24 
2К: В3 - 150
3К: Г7 +1000]]</f>
        <v>95828.704059430078</v>
      </c>
      <c r="BS183" s="93"/>
      <c r="BT183" s="93">
        <f>ППД5[[#This Row],[Фикс 08.04.24]]+ППД5[[#This Row],[Наценка 16.05.24 1%
А4,А6,Б3,Б6,Б7,В2,В3,В5,В6,Г1,Г3-Г5]]</f>
        <v>95828.704059430078</v>
      </c>
      <c r="BU183" s="93"/>
      <c r="BV183" s="93">
        <f>ППД5[[#This Row],[Фикс 16.05.24]]+ППД5[[#This Row],[Наценка 24.05.24
1% - Б4, Б5,Г2,Г6
2% - А1,А3,А5,Б2,Г7]]</f>
        <v>95828.704059430078</v>
      </c>
      <c r="BW183" s="93"/>
      <c r="BX183" s="93">
        <f>ППД5[[#This Row],[Наценка 06.06.24
0К: В2,Г3 +0,5%
1К: А7, Б5/4, Г6 +0,5%
3К: В6 +0,5%
1К: А3 +1%]]+ППД5[[#This Row],[Фикс 24.05.24]]</f>
        <v>95828.704059430078</v>
      </c>
      <c r="BY183" s="93"/>
      <c r="BZ183" s="93">
        <f>ППД5[[#This Row],[Фикс 06.06.24]]+ППД5[[#This Row],[13.06.2024
3К - 2%]]</f>
        <v>95828.704059430078</v>
      </c>
      <c r="CA183" s="47">
        <f>1.5%*ППД5[[#This Row],[Фикс 13.06.24]]</f>
        <v>1437.430560891451</v>
      </c>
      <c r="CB183" s="93">
        <f>ППД5[[#This Row],[02.07.2024: Г3 А1 А3 Б5 Б7 Г2 Г6 Б3 Б4 В3 Г7 2,5% ост 0,5-1,5%]]+ППД5[[#This Row],[Фикс 13.06.24]]</f>
        <v>97266.134620321536</v>
      </c>
      <c r="CC183" s="93"/>
      <c r="CD183" s="93">
        <f>ППД5[[#This Row],[Фикс 02.07.24]]+ППД5[[#This Row],[04.09.2024 +500
0К - Б2; 1К - А3;
2К - А6, Б4, В3, Г5]]</f>
        <v>97266.134620321536</v>
      </c>
      <c r="CE183" s="93">
        <f>ППД5[[#This Row],[Фикс 04.09.24]]*4%</f>
        <v>3890.6453848128617</v>
      </c>
      <c r="CF183" s="93">
        <f>ППД5[[#This Row],[Наценка 16.09.2024
1К: А1,В7,Г6/7,Г8 - 2%
2К: А4,А5,А6,Б1,Б6,Б3/4,В3,В4,Г4,Г5 - 4%
3К: 4%]]+ППД5[[#This Row],[Фикс 04.09.24]]</f>
        <v>101156.78000513439</v>
      </c>
      <c r="CG183" s="93">
        <f>ППД5[[#This Row],[Фикс 16.09.2024]]*6%</f>
        <v>6069.4068003080638</v>
      </c>
      <c r="CH183" s="93">
        <f>ППД5[[#This Row],[Фикс 16.09.2024]]+ППД5[[#This Row],[Наценка 01.11.24
СТ: 4%
1К: 34-40м 5%; 40м+ 8%; МГН 1%
2К: 55-70м 6%; 70-73м 7%; 73-76м 8% 
3К: 5%]]</f>
        <v>107226.18680544246</v>
      </c>
      <c r="CI183" s="93">
        <f>ППД5[[#This Row],[Фикс 01.11.24]]*13%</f>
        <v>13939.40428470752</v>
      </c>
      <c r="CJ183" s="93">
        <f>ППД5[[#This Row],[Наценка 06.11 13%]]+ППД5[[#This Row],[Фикс 01.11.24]]</f>
        <v>121165.59109014997</v>
      </c>
      <c r="CK183" s="93">
        <v>35</v>
      </c>
      <c r="CL183" s="93">
        <f>ППД5[[#This Row],[Фикс 06.11.24]]+ППД5[[#This Row],[Наценка 18.12.24 распределение КВ]]</f>
        <v>121200.59109014997</v>
      </c>
      <c r="CM183" s="93"/>
      <c r="CN183" s="93">
        <f>ППД5[[#This Row],[Фикс 18.12.24]]+ППД5[[#This Row],[Наценка 10.02.25 +1%
1К: А3
2К: Б3, В3]]</f>
        <v>121200.59109014997</v>
      </c>
      <c r="CO183" s="93">
        <f>ROUND(ППД5[[#This Row],[Фикс 10.02.25]],2)</f>
        <v>121200.59</v>
      </c>
      <c r="CP18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7298700</v>
      </c>
      <c r="CQ183" s="93">
        <f>ROUNDUP(ППД5[[#This Row],[Стоимость до скидки]]+ППД5[[#This Row],[Сумма доплаты]],-2)</f>
        <v>7284200</v>
      </c>
      <c r="CR183" s="68"/>
      <c r="CS183" s="90"/>
      <c r="CT183" s="68">
        <f>ППД5[[#This Row],[Стоимость до скидки]]*ППД5[[#This Row],[Скидка %]]+ППД5[[#This Row],[Скидка фиксированная]]</f>
        <v>0</v>
      </c>
      <c r="CU183" s="3">
        <f>ППД5[[#This Row],[Стоимость ОН без отделки со скидкой]]/ППД5[[#This Row],[Расчетная проектная площадь]]</f>
        <v>121200.5978080372</v>
      </c>
      <c r="CV183" s="3">
        <f>ROUND(ППД5[[#This Row],[Стоимость до скидки]]-ППД5[[#This Row],[Итоговая сумма скидки]],2)</f>
        <v>7298700</v>
      </c>
      <c r="CW18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183" s="197">
        <v>10000</v>
      </c>
      <c r="CY183" s="332">
        <f>ППД5[[#This Row],[Расхождение]]/ППД5[[#This Row],[Расчетная проектная площадь]]</f>
        <v>-1.9926934573233422E-3</v>
      </c>
      <c r="CZ18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-0.10999999999999943</v>
      </c>
      <c r="DA183" s="3">
        <f>ППД5[[#This Row],[Цена м2 без отделки со скидкой]]+ППД5[[#This Row],[Стоимость отделки]]</f>
        <v>131200.59780803719</v>
      </c>
      <c r="DB183" s="3">
        <f>ППД5[[#This Row],[Стоимость квартиры с отделкой]]-ППД5[[#This Row],[Стоимость ОН без отделки со скидкой]]</f>
        <v>602199.99999999907</v>
      </c>
      <c r="DC183" s="3">
        <f>ППД5[[#This Row],[Цена м2 с отделкой]]*ППД5[[#This Row],[Расчетная проектная площадь]]</f>
        <v>7900899.9999999991</v>
      </c>
      <c r="DD183" s="3"/>
      <c r="DF183" s="155" t="s">
        <v>157</v>
      </c>
      <c r="DG183" s="221" t="s">
        <v>157</v>
      </c>
      <c r="DH183" s="100" t="b">
        <f>EXACT(ППД5[[#This Row],[Статусы CRM]],ППД5[[#This Row],[Статус]])</f>
        <v>1</v>
      </c>
      <c r="DI183" s="213" t="s">
        <v>355</v>
      </c>
      <c r="DJ183" s="204"/>
      <c r="DK183" s="111" t="s">
        <v>763</v>
      </c>
      <c r="DL183" s="216" t="s">
        <v>780</v>
      </c>
      <c r="DM183" s="201" t="b">
        <f>ППД5[[#This Row],[Отделка CRM]]=ППД5[[#This Row],[Отделка]]</f>
        <v>1</v>
      </c>
      <c r="DN183" s="203">
        <v>7900900</v>
      </c>
      <c r="DO18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9.3132257461547852E-10</v>
      </c>
      <c r="DP183" s="207" t="b">
        <f>IF(AND(ППД5[[#This Row],[Статус]]="свободно",ППД5[[#This Row],[Итоговая сумма скидки]]&lt;&gt;0),FALSE,TRUE)</f>
        <v>1</v>
      </c>
      <c r="DQ183" s="240" t="str">
        <f>_xlfn.XLOOKUP(ППД5[[#This Row],[№]],Юрист[№ кв],Юрист[Дата подачи на регистрацию]," ",0,-1)</f>
        <v xml:space="preserve"> </v>
      </c>
      <c r="DR183" s="115" t="str">
        <f>_xlfn.XLOOKUP(ППД5[[#This Row],[№]],Юрист[№ кв],Юрист[МОП],"",0,-1)</f>
        <v/>
      </c>
      <c r="DS183" s="333" t="s">
        <v>2658</v>
      </c>
      <c r="DT183" s="333" t="s">
        <v>2659</v>
      </c>
      <c r="DU183" s="333">
        <v>58.7</v>
      </c>
      <c r="DV183" s="111"/>
    </row>
    <row r="184" spans="1:126" hidden="1" x14ac:dyDescent="0.25">
      <c r="A184" s="112">
        <v>182</v>
      </c>
      <c r="B184" s="111" t="s">
        <v>4</v>
      </c>
      <c r="C184" s="111">
        <v>11</v>
      </c>
      <c r="D184" s="111">
        <v>2</v>
      </c>
      <c r="E184" s="111">
        <v>0</v>
      </c>
      <c r="F184" s="105">
        <v>7.13</v>
      </c>
      <c r="G184" s="105"/>
      <c r="H184" s="105"/>
      <c r="I184" s="94">
        <f>SUM(ППД5[[#This Row],[Комната 1]:[Комната 3]])</f>
        <v>7.13</v>
      </c>
      <c r="J184" s="105">
        <v>5.12</v>
      </c>
      <c r="K184" s="105">
        <v>3.65</v>
      </c>
      <c r="L184" s="105"/>
      <c r="M184" s="105"/>
      <c r="N184" s="105">
        <v>6.92</v>
      </c>
      <c r="O184" s="105">
        <v>2.91</v>
      </c>
      <c r="P184" s="105"/>
      <c r="Q184" s="105"/>
      <c r="R184" s="105">
        <f>SUM(ППД5[[#This Row],[Лоджия 1]:[Лоджия 3]])</f>
        <v>2.91</v>
      </c>
      <c r="S184" s="8">
        <f>ROUND(SUM(ППД5[[#This Row],[Площадь по проекту жилая]:[Лоджия 3]]),2)</f>
        <v>25.73</v>
      </c>
      <c r="T184" s="8">
        <f>ROUND(ППД5[[#This Row],[Площадь по проекту(общая)]]-ППД5[[#This Row],[Летние]],2)</f>
        <v>22.82</v>
      </c>
      <c r="U184" s="91">
        <f>ROUND(ППД5[[#This Row],[Площадь по проекту(общая)]]-(SUM(ППД5[[#This Row],[Лоджия 1]:[Лоджия 3]])/2),2)</f>
        <v>24.28</v>
      </c>
      <c r="V184" s="91">
        <f>IF(ППД5[[#This Row],[Статус]]="продажа",ППД5[[#This Row],[Расчетная проектная площадь]],ППД5[[#This Row],[Расчетная ТП площадь]])</f>
        <v>24.28</v>
      </c>
      <c r="W184" s="91">
        <v>7.1</v>
      </c>
      <c r="X184" s="91"/>
      <c r="Y184" s="91"/>
      <c r="Z184" s="91">
        <f>SUM(ППД5[[#This Row],[ТП Комната 1]:[ТП Комната 3]])</f>
        <v>7.1</v>
      </c>
      <c r="AA184" s="91">
        <v>5.2</v>
      </c>
      <c r="AB184" s="91">
        <v>3.5</v>
      </c>
      <c r="AC184" s="91"/>
      <c r="AD184" s="91"/>
      <c r="AE184" s="91">
        <v>7</v>
      </c>
      <c r="AF184" s="91">
        <v>1.45</v>
      </c>
      <c r="AG184" s="91"/>
      <c r="AH184" s="91"/>
      <c r="AI184" s="91">
        <f>SUM(ППД5[[#This Row],[ТП Лоджия 1]:[ТП Лоджия 3]])</f>
        <v>1.45</v>
      </c>
      <c r="AJ184" s="95">
        <v>2.9</v>
      </c>
      <c r="AK184" s="91">
        <f>SUM(ППД5[[#This Row],[Площадь по ТП жилая]:[ТП Лоджия 3]])-ППД5[[#This Row],[ТП Летние]]+ППД5[[#This Row],[кроме того прочая
(без коэффициента)]]</f>
        <v>25.7</v>
      </c>
      <c r="AL184" s="95">
        <f>ППД5[[#This Row],[ТП Площадь без летних]]+(ППД5[[#This Row],[ТП Летние]])</f>
        <v>24.25</v>
      </c>
      <c r="AM184" s="91">
        <f>ППД5[[#This Row],[ТП общая S]]-ППД5[[#This Row],[кроме того прочая
(без коэффициента)]]</f>
        <v>22.8</v>
      </c>
      <c r="AN184" s="95">
        <f>SUM(ППД5[[#This Row],[ТП Кухня]:[ТП Коридор]])</f>
        <v>15.7</v>
      </c>
      <c r="AO184" s="91">
        <f>ППД5[[#This Row],[Расчетная ТП площадь]]-ППД5[[#This Row],[Расчетная проектная площадь]]</f>
        <v>-3.0000000000001137E-2</v>
      </c>
      <c r="AP184" s="335">
        <f>ППД5[[#This Row],[Расчетная ТП площадь]]/ППД5[[#This Row],[Расчетная проектная площадь]]-1</f>
        <v>-1.2355848434926209E-3</v>
      </c>
      <c r="AQ184" s="91">
        <f>ППД5[[#This Row],[% расхождения]]*ППД5[[#This Row],[Стоимость до скидки]]</f>
        <v>-3750.9884678748986</v>
      </c>
      <c r="AR184" s="91">
        <f>VLOOKUP(ППД5[[#This Row],[№]],наценкад5[],COLUMN(наценкад5[[#This Row],[Цена м2 с учетом всех K]]),0)</f>
        <v>90229.544999999998</v>
      </c>
      <c r="AS184" s="8">
        <f>ППД5[[#This Row],[м2 после К]]*5%</f>
        <v>4511.4772499999999</v>
      </c>
      <c r="AT184" s="8">
        <f>ППД5[[#This Row],[м2 после К]]+ППД5[[#This Row],[Повышение 16.08.23 - 5%]]</f>
        <v>94741.022249999995</v>
      </c>
      <c r="AU184" s="93">
        <f>ППД5[[#This Row],[Фикс 16.08.23]]*3%</f>
        <v>2842.2306674999995</v>
      </c>
      <c r="AV184" s="93">
        <f>ППД5[[#This Row],[Фикс 16.08.23]]+ППД5[[#This Row],[Повышение 29.08.23 - 3%]]</f>
        <v>97583.252917499995</v>
      </c>
      <c r="AW184" s="93">
        <f>ППД5[[#This Row],[Фикс 29.08.23]]*15%</f>
        <v>14637.487937624999</v>
      </c>
      <c r="AX184" s="93">
        <f>ППД5[[#This Row],[Фикс 29.08.23]]+ППД5[[#This Row],[Повышение 06.09.23 СТ и 1К]]</f>
        <v>112220.740855125</v>
      </c>
      <c r="AY184" s="93"/>
      <c r="AZ184" s="93">
        <f>ППД5[[#This Row],[Повышение 23.10.23  В4 ]]+ППД5[[#This Row],[Фикс 06.09.23]]</f>
        <v>112220.740855125</v>
      </c>
      <c r="BA184" s="93"/>
      <c r="BB184" s="93">
        <f>ППД5[[#This Row],[Повышение 8.11.23 1К 5%]]+ППД5[[#This Row],[Фикс 23.10.23]]</f>
        <v>112220.740855125</v>
      </c>
      <c r="BC184" s="93"/>
      <c r="BD184" s="93">
        <f>ППД5[[#This Row],[Корректировка 24.11.23 - 1К В5, 2К А2, №233]]+ППД5[[#This Row],[Фикс 8.11.23]]</f>
        <v>112220.740855125</v>
      </c>
      <c r="BE184" s="93">
        <f>ППД5[[#This Row],[Фикс 8.11.24]]*1%</f>
        <v>1122.20740855125</v>
      </c>
      <c r="BF184" s="93">
        <f>ППД5[[#This Row],[Наценка за отделку 29.12.23 1%]]+ППД5[[#This Row],[Фикс 8.11.24]]</f>
        <v>113342.94826367624</v>
      </c>
      <c r="BG184" s="93">
        <f>ППД5[[#This Row],[Фикс 29.12.23]]*5%</f>
        <v>5667.1474131838122</v>
      </c>
      <c r="BH184" s="93">
        <f>ППД5[[#This Row],[Фикс 29.12.23]]+ППД5[[#This Row],[Наценка 10.01.24 5%]]</f>
        <v>119010.09567686006</v>
      </c>
      <c r="BI184" s="93"/>
      <c r="BJ184" s="93">
        <f>ППД5[[#This Row],[Наценка 26.02.24 1 Этаж]]+ППД5[[#This Row],[Фикс 10.01.24]]</f>
        <v>119010.09567686006</v>
      </c>
      <c r="BK184" s="93">
        <f>ППД5[[#This Row],[Фикс 26.02.24]]*3%</f>
        <v>3570.3028703058017</v>
      </c>
      <c r="BL184" s="93">
        <f>ППД5[[#This Row],[Фикс 26.02.24]]+ППД5[[#This Row],[Наценка 06.03.24
СТ, 1К - 3%
2К, 3К - 2%]]</f>
        <v>122580.39854716587</v>
      </c>
      <c r="BM184" s="93"/>
      <c r="BN184" s="93">
        <f>ППД5[[#This Row],[Фикс 06.03.24]]+ППД5[[#This Row],[Наценка Г2+500]]</f>
        <v>122580.39854716587</v>
      </c>
      <c r="BO184" s="93"/>
      <c r="BP184" s="93">
        <f>ППД5[[#This Row],[Фикс 13.03.25]]+ППД5[[#This Row],[Наценка 20.03.24
2К, 3К - 2%]]</f>
        <v>122580.39854716587</v>
      </c>
      <c r="BQ184" s="93"/>
      <c r="BR184" s="93">
        <f>ППД5[[#This Row],[Фикс 20.03.24]]+ППД5[[#This Row],[Наценка 08.04.24 
2К: В3 - 150
3К: Г7 +1000]]</f>
        <v>122580.39854716587</v>
      </c>
      <c r="BS184" s="93"/>
      <c r="BT184" s="93">
        <f>ППД5[[#This Row],[Фикс 08.04.24]]+ППД5[[#This Row],[Наценка 16.05.24 1%
А4,А6,Б3,Б6,Б7,В2,В3,В5,В6,Г1,Г3-Г5]]</f>
        <v>122580.39854716587</v>
      </c>
      <c r="BU184" s="93">
        <f>ППД5[[#This Row],[Фикс 16.05.24]]*2%</f>
        <v>2451.6079709433175</v>
      </c>
      <c r="BV184" s="93">
        <f>ППД5[[#This Row],[Фикс 16.05.24]]+ППД5[[#This Row],[Наценка 24.05.24
1% - Б4, Б5,Г2,Г6
2% - А1,А3,А5,Б2,Г7]]</f>
        <v>125032.00651810918</v>
      </c>
      <c r="BW184" s="93"/>
      <c r="BX184" s="93">
        <f>ППД5[[#This Row],[Наценка 06.06.24
0К: В2,Г3 +0,5%
1К: А7, Б5/4, Г6 +0,5%
3К: В6 +0,5%
1К: А3 +1%]]+ППД5[[#This Row],[Фикс 24.05.24]]</f>
        <v>125032.00651810918</v>
      </c>
      <c r="BY184" s="93"/>
      <c r="BZ184" s="93">
        <f>ППД5[[#This Row],[Фикс 06.06.24]]+ППД5[[#This Row],[13.06.2024
3К - 2%]]</f>
        <v>125032.00651810918</v>
      </c>
      <c r="CA184" s="93"/>
      <c r="CB184" s="93">
        <f>ППД5[[#This Row],[02.07.2024: Г3 А1 А3 Б5 Б7 Г2 Г6 Б3 Б4 В3 Г7 2,5% ост 0,5-1,5%]]+ППД5[[#This Row],[Фикс 13.06.24]]</f>
        <v>125032.00651810918</v>
      </c>
      <c r="CC184" s="93"/>
      <c r="CD184" s="93">
        <f>ППД5[[#This Row],[Фикс 02.07.24]]+ППД5[[#This Row],[04.09.2024 +500
0К - Б2; 1К - А3;
2К - А6, Б4, В3, Г5]]</f>
        <v>125032.00651810918</v>
      </c>
      <c r="CE184" s="93"/>
      <c r="CF184" s="93">
        <f>ППД5[[#This Row],[Наценка 16.09.2024
1К: А1,В7,Г6/7,Г8 - 2%
2К: А4,А5,А6,Б1,Б6,Б3/4,В3,В4,Г4,Г5 - 4%
3К: 4%]]+ППД5[[#This Row],[Фикс 04.09.24]]</f>
        <v>125032.00651810918</v>
      </c>
      <c r="CG184" s="93"/>
      <c r="CH184" s="93">
        <f>ППД5[[#This Row],[Фикс 16.09.2024]]+ППД5[[#This Row],[Наценка 01.11.24
СТ: 4%
1К: 34-40м 5%; 40м+ 8%; МГН 1%
2К: 55-70м 6%; 70-73м 7%; 73-76м 8% 
3К: 5%]]</f>
        <v>125032.00651810918</v>
      </c>
      <c r="CI184" s="93"/>
      <c r="CJ184" s="93">
        <f>ППД5[[#This Row],[Наценка 06.11 13%]]+ППД5[[#This Row],[Фикс 01.11.24]]</f>
        <v>125032.00651810918</v>
      </c>
      <c r="CK184" s="93"/>
      <c r="CL184" s="93">
        <f>ППД5[[#This Row],[Фикс 06.11.24]]+ППД5[[#This Row],[Наценка 18.12.24 распределение КВ]]</f>
        <v>125032.00651810918</v>
      </c>
      <c r="CM184" s="93"/>
      <c r="CN184" s="93">
        <f>ППД5[[#This Row],[Фикс 18.12.24]]+ППД5[[#This Row],[Наценка 10.02.25 +1%
1К: А3
2К: Б3, В3]]</f>
        <v>125032.00651810918</v>
      </c>
      <c r="CO184" s="93">
        <f>ROUND(ППД5[[#This Row],[Фикс 10.02.25]],2)</f>
        <v>125032.01</v>
      </c>
      <c r="CP18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3035800</v>
      </c>
      <c r="CQ184" s="93">
        <f>ROUNDUP(ППД5[[#This Row],[Стоимость до скидки]]+ППД5[[#This Row],[Сумма доплаты]],-2)</f>
        <v>3032100</v>
      </c>
      <c r="CR184" s="68"/>
      <c r="CS184" s="90">
        <v>0.03</v>
      </c>
      <c r="CT184" s="68">
        <f>ППД5[[#This Row],[Стоимость до скидки]]*ППД5[[#This Row],[Скидка %]]+ППД5[[#This Row],[Скидка фиксированная]]</f>
        <v>91074</v>
      </c>
      <c r="CU184" s="3">
        <f>ППД5[[#This Row],[Стоимость ОН без отделки со скидкой]]/ППД5[[#This Row],[Расчетная проектная площадь]]</f>
        <v>121281.96046128501</v>
      </c>
      <c r="CV184" s="3">
        <f>ROUND(ППД5[[#This Row],[Стоимость до скидки]]-ППД5[[#This Row],[Итоговая сумма скидки]],2)</f>
        <v>2944726</v>
      </c>
      <c r="CW18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184" s="197">
        <v>20000</v>
      </c>
      <c r="CY184" s="332">
        <f>ППД5[[#This Row],[Расхождение]]/ППД5[[#This Row],[Расчетная проектная площадь]]</f>
        <v>-1.2355848434926332E-3</v>
      </c>
      <c r="CZ18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9.9999999999988987E-3</v>
      </c>
      <c r="DA184" s="3">
        <f>ППД5[[#This Row],[Цена м2 без отделки со скидкой]]+ППД5[[#This Row],[Стоимость отделки]]</f>
        <v>141281.96046128502</v>
      </c>
      <c r="DB184" s="3">
        <f>ППД5[[#This Row],[Стоимость квартиры с отделкой]]-ППД5[[#This Row],[Стоимость ОН без отделки со скидкой]]</f>
        <v>485600.00000000047</v>
      </c>
      <c r="DC184" s="3">
        <f>ППД5[[#This Row],[Цена м2 с отделкой]]*ППД5[[#This Row],[Расчетная проектная площадь]]</f>
        <v>3430326.0000000005</v>
      </c>
      <c r="DD184" s="3"/>
      <c r="DE184" s="111" t="s">
        <v>788</v>
      </c>
      <c r="DF184" s="199" t="s">
        <v>172</v>
      </c>
      <c r="DG184" s="245" t="s">
        <v>172</v>
      </c>
      <c r="DH184" s="100" t="b">
        <f>EXACT(ППД5[[#This Row],[Статусы CRM]],ППД5[[#This Row],[Статус]])</f>
        <v>1</v>
      </c>
      <c r="DI184" s="213" t="s">
        <v>356</v>
      </c>
      <c r="DJ184" s="204"/>
      <c r="DK184" s="111" t="s">
        <v>763</v>
      </c>
      <c r="DL184" s="216" t="s">
        <v>14</v>
      </c>
      <c r="DM184" s="201" t="b">
        <f>ППД5[[#This Row],[Отделка CRM]]=ППД5[[#This Row],[Отделка]]</f>
        <v>1</v>
      </c>
      <c r="DN184" s="203">
        <v>3430326</v>
      </c>
      <c r="DO18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-4.6566128730773926E-10</v>
      </c>
      <c r="DP184" s="207" t="b">
        <f>IF(AND(ППД5[[#This Row],[Статус]]="свободно",ППД5[[#This Row],[Итоговая сумма скидки]]&lt;&gt;0),FALSE,TRUE)</f>
        <v>1</v>
      </c>
      <c r="DQ184" s="240">
        <f>_xlfn.XLOOKUP(ППД5[[#This Row],[№]],Юрист[№ кв],Юрист[Дата подачи на регистрацию]," ",0,-1)</f>
        <v>45481</v>
      </c>
      <c r="DR184" s="115" t="str">
        <f>_xlfn.XLOOKUP(ППД5[[#This Row],[№]],Юрист[№ кв],Юрист[МОП],"",0,-1)</f>
        <v>Дик</v>
      </c>
      <c r="DS184" s="333" t="s">
        <v>2660</v>
      </c>
      <c r="DT184" s="333" t="s">
        <v>2661</v>
      </c>
      <c r="DU184" s="333">
        <v>22.8</v>
      </c>
      <c r="DV184" s="111"/>
    </row>
    <row r="185" spans="1:126" hidden="1" x14ac:dyDescent="0.25">
      <c r="A185" s="112">
        <v>183</v>
      </c>
      <c r="B185" s="111" t="s">
        <v>4</v>
      </c>
      <c r="C185" s="111">
        <v>11</v>
      </c>
      <c r="D185" s="111">
        <v>3</v>
      </c>
      <c r="E185" s="111">
        <v>2</v>
      </c>
      <c r="F185" s="105">
        <v>14.6</v>
      </c>
      <c r="G185" s="105">
        <v>13.12</v>
      </c>
      <c r="H185" s="105"/>
      <c r="I185" s="94">
        <f>SUM(ППД5[[#This Row],[Комната 1]:[Комната 3]])</f>
        <v>27.72</v>
      </c>
      <c r="J185" s="105">
        <v>14.35</v>
      </c>
      <c r="K185" s="105">
        <v>3.68</v>
      </c>
      <c r="L185" s="105">
        <v>2.57</v>
      </c>
      <c r="M185" s="105"/>
      <c r="N185" s="105">
        <v>7.95</v>
      </c>
      <c r="O185" s="105">
        <v>2.65</v>
      </c>
      <c r="P185" s="105"/>
      <c r="Q185" s="105"/>
      <c r="R185" s="105">
        <f>SUM(ППД5[[#This Row],[Лоджия 1]:[Лоджия 3]])</f>
        <v>2.65</v>
      </c>
      <c r="S185" s="8">
        <f>ROUND(SUM(ППД5[[#This Row],[Площадь по проекту жилая]:[Лоджия 3]]),2)</f>
        <v>58.92</v>
      </c>
      <c r="T185" s="8">
        <f>ROUND(ППД5[[#This Row],[Площадь по проекту(общая)]]-ППД5[[#This Row],[Летние]],2)</f>
        <v>56.27</v>
      </c>
      <c r="U185" s="91">
        <f>ROUND(ППД5[[#This Row],[Площадь по проекту(общая)]]-(SUM(ППД5[[#This Row],[Лоджия 1]:[Лоджия 3]])/2),2)</f>
        <v>57.6</v>
      </c>
      <c r="V185" s="91">
        <f>IF(ППД5[[#This Row],[Статус]]="продажа",ППД5[[#This Row],[Расчетная проектная площадь]],ППД5[[#This Row],[Расчетная ТП площадь]])</f>
        <v>57.6</v>
      </c>
      <c r="W185" s="91">
        <v>13</v>
      </c>
      <c r="X185" s="91">
        <v>14.7</v>
      </c>
      <c r="Y185" s="91"/>
      <c r="Z185" s="91">
        <f>SUM(ППД5[[#This Row],[ТП Комната 1]:[ТП Комната 3]])</f>
        <v>27.7</v>
      </c>
      <c r="AA185" s="91">
        <v>14.3</v>
      </c>
      <c r="AB185" s="91">
        <v>2.6</v>
      </c>
      <c r="AC185" s="91">
        <v>3.9</v>
      </c>
      <c r="AD185" s="91"/>
      <c r="AE185" s="91">
        <v>8</v>
      </c>
      <c r="AF185" s="91">
        <v>1.3</v>
      </c>
      <c r="AG185" s="91"/>
      <c r="AH185" s="91"/>
      <c r="AI185" s="91">
        <f>SUM(ППД5[[#This Row],[ТП Лоджия 1]:[ТП Лоджия 3]])</f>
        <v>1.3</v>
      </c>
      <c r="AJ185" s="95">
        <v>2.6</v>
      </c>
      <c r="AK185" s="91">
        <f>SUM(ППД5[[#This Row],[Площадь по ТП жилая]:[ТП Лоджия 3]])-ППД5[[#This Row],[ТП Летние]]+ППД5[[#This Row],[кроме того прочая
(без коэффициента)]]</f>
        <v>59.1</v>
      </c>
      <c r="AL185" s="95">
        <f>ППД5[[#This Row],[ТП Площадь без летних]]+(ППД5[[#This Row],[ТП Летние]])</f>
        <v>57.8</v>
      </c>
      <c r="AM185" s="91">
        <f>ППД5[[#This Row],[ТП общая S]]-ППД5[[#This Row],[кроме того прочая
(без коэффициента)]]</f>
        <v>56.5</v>
      </c>
      <c r="AN185" s="95">
        <f>SUM(ППД5[[#This Row],[ТП Кухня]:[ТП Коридор]])</f>
        <v>28.8</v>
      </c>
      <c r="AO185" s="91">
        <f>ППД5[[#This Row],[Расчетная ТП площадь]]-ППД5[[#This Row],[Расчетная проектная площадь]]</f>
        <v>0.19999999999999574</v>
      </c>
      <c r="AP185" s="335">
        <f>ППД5[[#This Row],[Расчетная ТП площадь]]/ППД5[[#This Row],[Расчетная проектная площадь]]-1</f>
        <v>3.4722222222220989E-3</v>
      </c>
      <c r="AQ185" s="91">
        <f>ППД5[[#This Row],[% расхождения]]*ППД5[[#This Row],[Стоимость до скидки]]</f>
        <v>18985.416666665991</v>
      </c>
      <c r="AR185" s="91">
        <f>VLOOKUP(ППД5[[#This Row],[№]],наценкад5[],COLUMN(наценкад5[[#This Row],[Цена м2 с учетом всех K]]),0)</f>
        <v>78763.482000000004</v>
      </c>
      <c r="AS185" s="8">
        <f>ППД5[[#This Row],[м2 после К]]*5%</f>
        <v>3938.1741000000002</v>
      </c>
      <c r="AT185" s="8">
        <f>ППД5[[#This Row],[м2 после К]]+ППД5[[#This Row],[Повышение 16.08.23 - 5%]]</f>
        <v>82701.656100000007</v>
      </c>
      <c r="AU185" s="93">
        <f>ППД5[[#This Row],[Фикс 16.08.23]]*3%</f>
        <v>2481.0496830000002</v>
      </c>
      <c r="AV185" s="93">
        <f>ППД5[[#This Row],[Фикс 16.08.23]]+ППД5[[#This Row],[Повышение 29.08.23 - 3%]]</f>
        <v>85182.705783000012</v>
      </c>
      <c r="AW185" s="93"/>
      <c r="AX185" s="93">
        <f>ППД5[[#This Row],[Фикс 29.08.23]]+ППД5[[#This Row],[Повышение 06.09.23 СТ и 1К]]</f>
        <v>85182.705783000012</v>
      </c>
      <c r="AY185" s="93"/>
      <c r="AZ185" s="93">
        <f>ППД5[[#This Row],[Повышение 23.10.23  В4 ]]+ППД5[[#This Row],[Фикс 06.09.23]]</f>
        <v>85182.705783000012</v>
      </c>
      <c r="BA185" s="93"/>
      <c r="BB185" s="93">
        <f>ППД5[[#This Row],[Повышение 8.11.23 1К 5%]]+ППД5[[#This Row],[Фикс 23.10.23]]</f>
        <v>85182.705783000012</v>
      </c>
      <c r="BC185" s="93"/>
      <c r="BD185" s="93">
        <f>ППД5[[#This Row],[Корректировка 24.11.23 - 1К В5, 2К А2, №233]]+ППД5[[#This Row],[Фикс 8.11.23]]</f>
        <v>85182.705783000012</v>
      </c>
      <c r="BE185" s="93">
        <f>ППД5[[#This Row],[Фикс 8.11.24]]*1%</f>
        <v>851.82705783000017</v>
      </c>
      <c r="BF185" s="93">
        <f>ППД5[[#This Row],[Наценка за отделку 29.12.23 1%]]+ППД5[[#This Row],[Фикс 8.11.24]]</f>
        <v>86034.532840830012</v>
      </c>
      <c r="BG185" s="93">
        <f>ППД5[[#This Row],[Фикс 29.12.23]]*5%</f>
        <v>4301.7266420415008</v>
      </c>
      <c r="BH185" s="93">
        <f>ППД5[[#This Row],[Фикс 29.12.23]]+ППД5[[#This Row],[Наценка 10.01.24 5%]]</f>
        <v>90336.259482871508</v>
      </c>
      <c r="BI185" s="93"/>
      <c r="BJ185" s="93">
        <f>ППД5[[#This Row],[Наценка 26.02.24 1 Этаж]]+ППД5[[#This Row],[Фикс 10.01.24]]</f>
        <v>90336.259482871508</v>
      </c>
      <c r="BK185" s="93">
        <f>ППД5[[#This Row],[Фикс 26.02.24]]*2%</f>
        <v>1806.7251896574303</v>
      </c>
      <c r="BL185" s="93">
        <f>ППД5[[#This Row],[Фикс 26.02.24]]+ППД5[[#This Row],[Наценка 06.03.24
СТ, 1К - 3%
2К, 3К - 2%]]</f>
        <v>92142.984672528939</v>
      </c>
      <c r="BM185" s="93"/>
      <c r="BN185" s="93">
        <f>ППД5[[#This Row],[Фикс 06.03.24]]+ППД5[[#This Row],[Наценка Г2+500]]</f>
        <v>92142.984672528939</v>
      </c>
      <c r="BO185" s="93">
        <f>ППД5[[#This Row],[Фикс 13.03.25]]*2%</f>
        <v>1842.8596934505788</v>
      </c>
      <c r="BP185" s="93">
        <f>ППД5[[#This Row],[Фикс 13.03.25]]+ППД5[[#This Row],[Наценка 20.03.24
2К, 3К - 2%]]</f>
        <v>93985.844365979516</v>
      </c>
      <c r="BQ185" s="93"/>
      <c r="BR185" s="93">
        <f>ППД5[[#This Row],[Фикс 20.03.24]]+ППД5[[#This Row],[Наценка 08.04.24 
2К: В3 - 150
3К: Г7 +1000]]</f>
        <v>93985.844365979516</v>
      </c>
      <c r="BS185" s="9">
        <f>ППД5[[#This Row],[Фикс 08.04.24]]*1%</f>
        <v>939.85844365979517</v>
      </c>
      <c r="BT185" s="93">
        <f>ППД5[[#This Row],[Фикс 08.04.24]]+ППД5[[#This Row],[Наценка 16.05.24 1%
А4,А6,Б3,Б6,Б7,В2,В3,В5,В6,Г1,Г3-Г5]]</f>
        <v>94925.702809639304</v>
      </c>
      <c r="BU185" s="93"/>
      <c r="BV185" s="93">
        <f>ППД5[[#This Row],[Фикс 16.05.24]]+ППД5[[#This Row],[Наценка 24.05.24
1% - Б4, Б5,Г2,Г6
2% - А1,А3,А5,Б2,Г7]]</f>
        <v>94925.702809639304</v>
      </c>
      <c r="BW185" s="93"/>
      <c r="BX185" s="93">
        <f>ППД5[[#This Row],[Наценка 06.06.24
0К: В2,Г3 +0,5%
1К: А7, Б5/4, Г6 +0,5%
3К: В6 +0,5%
1К: А3 +1%]]+ППД5[[#This Row],[Фикс 24.05.24]]</f>
        <v>94925.702809639304</v>
      </c>
      <c r="BY185" s="93"/>
      <c r="BZ185" s="93">
        <f>ППД5[[#This Row],[Фикс 06.06.24]]+ППД5[[#This Row],[13.06.2024
3К - 2%]]</f>
        <v>94925.702809639304</v>
      </c>
      <c r="CA185" s="93"/>
      <c r="CB185" s="93">
        <f>ППД5[[#This Row],[02.07.2024: Г3 А1 А3 Б5 Б7 Г2 Г6 Б3 Б4 В3 Г7 2,5% ост 0,5-1,5%]]+ППД5[[#This Row],[Фикс 13.06.24]]</f>
        <v>94925.702809639304</v>
      </c>
      <c r="CC185" s="93"/>
      <c r="CD185" s="93">
        <f>ППД5[[#This Row],[Фикс 02.07.24]]+ППД5[[#This Row],[04.09.2024 +500
0К - Б2; 1К - А3;
2К - А6, Б4, В3, Г5]]</f>
        <v>94925.702809639304</v>
      </c>
      <c r="CE185" s="93"/>
      <c r="CF185" s="93">
        <f>ППД5[[#This Row],[Наценка 16.09.2024
1К: А1,В7,Г6/7,Г8 - 2%
2К: А4,А5,А6,Б1,Б6,Б3/4,В3,В4,Г4,Г5 - 4%
3К: 4%]]+ППД5[[#This Row],[Фикс 04.09.24]]</f>
        <v>94925.702809639304</v>
      </c>
      <c r="CG185" s="93"/>
      <c r="CH185" s="93">
        <f>ППД5[[#This Row],[Фикс 16.09.2024]]+ППД5[[#This Row],[Наценка 01.11.24
СТ: 4%
1К: 34-40м 5%; 40м+ 8%; МГН 1%
2К: 55-70м 6%; 70-73м 7%; 73-76м 8% 
3К: 5%]]</f>
        <v>94925.702809639304</v>
      </c>
      <c r="CI185" s="93"/>
      <c r="CJ185" s="93">
        <f>ППД5[[#This Row],[Наценка 06.11 13%]]+ППД5[[#This Row],[Фикс 01.11.24]]</f>
        <v>94925.702809639304</v>
      </c>
      <c r="CK185" s="93"/>
      <c r="CL185" s="93">
        <f>ППД5[[#This Row],[Фикс 06.11.24]]+ППД5[[#This Row],[Наценка 18.12.24 распределение КВ]]</f>
        <v>94925.702809639304</v>
      </c>
      <c r="CM185" s="93"/>
      <c r="CN185" s="93">
        <f>ППД5[[#This Row],[Фикс 18.12.24]]+ППД5[[#This Row],[Наценка 10.02.25 +1%
1К: А3
2К: Б3, В3]]</f>
        <v>94925.702809639304</v>
      </c>
      <c r="CO185" s="93">
        <f>ROUND(ППД5[[#This Row],[Фикс 10.02.25]],2)</f>
        <v>94925.7</v>
      </c>
      <c r="CP18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5467800</v>
      </c>
      <c r="CQ185" s="93">
        <f>ROUNDUP(ППД5[[#This Row],[Стоимость до скидки]]+ППД5[[#This Row],[Сумма доплаты]],-2)</f>
        <v>5486800</v>
      </c>
      <c r="CR185" s="68"/>
      <c r="CS185" s="90"/>
      <c r="CT185" s="68">
        <f>ППД5[[#This Row],[Стоимость до скидки]]*ППД5[[#This Row],[Скидка %]]+ППД5[[#This Row],[Скидка фиксированная]]</f>
        <v>0</v>
      </c>
      <c r="CU185" s="3">
        <f>ППД5[[#This Row],[Стоимость ОН без отделки со скидкой]]/ППД5[[#This Row],[Расчетная проектная площадь]]</f>
        <v>94927.083333333328</v>
      </c>
      <c r="CV185" s="3">
        <f>ROUND(ППД5[[#This Row],[Стоимость до скидки]]-ППД5[[#This Row],[Итоговая сумма скидки]],2)</f>
        <v>5467800</v>
      </c>
      <c r="CW18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185" s="197">
        <v>20000</v>
      </c>
      <c r="CY185" s="332">
        <f>ППД5[[#This Row],[Расхождение]]/ППД5[[#This Row],[Расчетная проектная площадь]]</f>
        <v>3.4722222222221483E-3</v>
      </c>
      <c r="CZ18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0.25000000000000178</v>
      </c>
      <c r="DA185" s="3">
        <f>ППД5[[#This Row],[Цена м2 без отделки со скидкой]]+ППД5[[#This Row],[Стоимость отделки]]</f>
        <v>114927.08333333333</v>
      </c>
      <c r="DB185" s="3">
        <f>ППД5[[#This Row],[Стоимость квартиры с отделкой]]-ППД5[[#This Row],[Стоимость ОН без отделки со скидкой]]</f>
        <v>1152000</v>
      </c>
      <c r="DC185" s="3">
        <f>ППД5[[#This Row],[Цена м2 с отделкой]]*ППД5[[#This Row],[Расчетная проектная площадь]]</f>
        <v>6619800</v>
      </c>
      <c r="DD185" s="3" t="s">
        <v>154</v>
      </c>
      <c r="DF185" s="199" t="s">
        <v>172</v>
      </c>
      <c r="DG185" s="245" t="s">
        <v>172</v>
      </c>
      <c r="DH185" s="100" t="b">
        <f>EXACT(ППД5[[#This Row],[Статусы CRM]],ППД5[[#This Row],[Статус]])</f>
        <v>1</v>
      </c>
      <c r="DI185" s="213" t="s">
        <v>357</v>
      </c>
      <c r="DJ185" s="204"/>
      <c r="DK185" s="111" t="s">
        <v>763</v>
      </c>
      <c r="DL185" s="216" t="s">
        <v>14</v>
      </c>
      <c r="DM185" s="201" t="b">
        <f>ППД5[[#This Row],[Отделка CRM]]=ППД5[[#This Row],[Отделка]]</f>
        <v>1</v>
      </c>
      <c r="DN185" s="203">
        <v>6619800</v>
      </c>
      <c r="DO18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85" s="207" t="b">
        <f>IF(AND(ППД5[[#This Row],[Статус]]="свободно",ППД5[[#This Row],[Итоговая сумма скидки]]&lt;&gt;0),FALSE,TRUE)</f>
        <v>1</v>
      </c>
      <c r="DQ185" s="240">
        <f>_xlfn.XLOOKUP(ППД5[[#This Row],[№]],Юрист[№ кв],Юрист[Дата подачи на регистрацию]," ",0,-1)</f>
        <v>45464</v>
      </c>
      <c r="DR185" s="115" t="str">
        <f>_xlfn.XLOOKUP(ППД5[[#This Row],[№]],Юрист[№ кв],Юрист[МОП],"",0,-1)</f>
        <v>Полехович</v>
      </c>
      <c r="DS185" s="333" t="s">
        <v>2662</v>
      </c>
      <c r="DT185" s="333" t="s">
        <v>2663</v>
      </c>
      <c r="DU185" s="333">
        <v>56.5</v>
      </c>
      <c r="DV185" s="111"/>
    </row>
    <row r="186" spans="1:126" hidden="1" x14ac:dyDescent="0.25">
      <c r="A186" s="112">
        <v>184</v>
      </c>
      <c r="B186" s="111" t="s">
        <v>4</v>
      </c>
      <c r="C186" s="111">
        <v>11</v>
      </c>
      <c r="D186" s="111">
        <v>4</v>
      </c>
      <c r="E186" s="111">
        <v>2</v>
      </c>
      <c r="F186" s="105">
        <v>15.45</v>
      </c>
      <c r="G186" s="105">
        <v>14.5</v>
      </c>
      <c r="H186" s="105"/>
      <c r="I186" s="94">
        <f>SUM(ППД5[[#This Row],[Комната 1]:[Комната 3]])</f>
        <v>29.95</v>
      </c>
      <c r="J186" s="105">
        <v>11.95</v>
      </c>
      <c r="K186" s="105">
        <v>3.86</v>
      </c>
      <c r="L186" s="105">
        <v>2.37</v>
      </c>
      <c r="M186" s="105"/>
      <c r="N186" s="105">
        <v>8.8699999999999992</v>
      </c>
      <c r="O186" s="105">
        <v>2.62</v>
      </c>
      <c r="P186" s="105"/>
      <c r="Q186" s="105"/>
      <c r="R186" s="105">
        <f>SUM(ППД5[[#This Row],[Лоджия 1]:[Лоджия 3]])</f>
        <v>2.62</v>
      </c>
      <c r="S186" s="8">
        <f>ROUND(SUM(ППД5[[#This Row],[Площадь по проекту жилая]:[Лоджия 3]]),2)</f>
        <v>59.62</v>
      </c>
      <c r="T186" s="8">
        <f>ROUND(ППД5[[#This Row],[Площадь по проекту(общая)]]-ППД5[[#This Row],[Летние]],2)</f>
        <v>57</v>
      </c>
      <c r="U186" s="91">
        <f>ROUND(ППД5[[#This Row],[Площадь по проекту(общая)]]-(SUM(ППД5[[#This Row],[Лоджия 1]:[Лоджия 3]])/2),2)</f>
        <v>58.31</v>
      </c>
      <c r="V186" s="91">
        <f>IF(ППД5[[#This Row],[Статус]]="продажа",ППД5[[#This Row],[Расчетная проектная площадь]],ППД5[[#This Row],[Расчетная ТП площадь]])</f>
        <v>58.31</v>
      </c>
      <c r="W186" s="91">
        <v>14.4</v>
      </c>
      <c r="X186" s="91">
        <v>15.4</v>
      </c>
      <c r="Y186" s="91"/>
      <c r="Z186" s="91">
        <f>SUM(ППД5[[#This Row],[ТП Комната 1]:[ТП Комната 3]])</f>
        <v>29.8</v>
      </c>
      <c r="AA186" s="91">
        <v>11.9</v>
      </c>
      <c r="AB186" s="91">
        <v>3.9</v>
      </c>
      <c r="AC186" s="91">
        <v>2.4</v>
      </c>
      <c r="AD186" s="91"/>
      <c r="AE186" s="91">
        <v>9</v>
      </c>
      <c r="AF186" s="91">
        <v>1.3</v>
      </c>
      <c r="AG186" s="91"/>
      <c r="AH186" s="91"/>
      <c r="AI186" s="91">
        <f>SUM(ППД5[[#This Row],[ТП Лоджия 1]:[ТП Лоджия 3]])</f>
        <v>1.3</v>
      </c>
      <c r="AJ186" s="95">
        <v>2.6</v>
      </c>
      <c r="AK186" s="91">
        <f>SUM(ППД5[[#This Row],[Площадь по ТП жилая]:[ТП Лоджия 3]])-ППД5[[#This Row],[ТП Летние]]+ППД5[[#This Row],[кроме того прочая
(без коэффициента)]]</f>
        <v>59.6</v>
      </c>
      <c r="AL186" s="95">
        <f>ППД5[[#This Row],[ТП Площадь без летних]]+(ППД5[[#This Row],[ТП Летние]])</f>
        <v>58.3</v>
      </c>
      <c r="AM186" s="91">
        <f>ППД5[[#This Row],[ТП общая S]]-ППД5[[#This Row],[кроме того прочая
(без коэффициента)]]</f>
        <v>57</v>
      </c>
      <c r="AN186" s="95">
        <f>SUM(ППД5[[#This Row],[ТП Кухня]:[ТП Коридор]])</f>
        <v>27.2</v>
      </c>
      <c r="AO186" s="91">
        <f>ППД5[[#This Row],[Расчетная ТП площадь]]-ППД5[[#This Row],[Расчетная проектная площадь]]</f>
        <v>-1.0000000000005116E-2</v>
      </c>
      <c r="AP186" s="335">
        <f>ППД5[[#This Row],[Расчетная ТП площадь]]/ППД5[[#This Row],[Расчетная проектная площадь]]-1</f>
        <v>-1.7149717029674161E-4</v>
      </c>
      <c r="AQ186" s="91">
        <f>ППД5[[#This Row],[% расхождения]]*ППД5[[#This Row],[Стоимость до скидки]]</f>
        <v>-1236.1173040648541</v>
      </c>
      <c r="AR186" s="91">
        <f>VLOOKUP(ППД5[[#This Row],[№]],наценкад5[],COLUMN(наценкад5[[#This Row],[Цена м2 с учетом всех K]]),0)</f>
        <v>79921.768500000006</v>
      </c>
      <c r="AS186" s="8">
        <f>ППД5[[#This Row],[м2 после К]]*5%</f>
        <v>3996.0884250000004</v>
      </c>
      <c r="AT186" s="8">
        <f>ППД5[[#This Row],[м2 после К]]+ППД5[[#This Row],[Повышение 16.08.23 - 5%]]</f>
        <v>83917.856925</v>
      </c>
      <c r="AU186" s="93">
        <f>ППД5[[#This Row],[Фикс 16.08.23]]*3%</f>
        <v>2517.5357077499998</v>
      </c>
      <c r="AV186" s="93">
        <f>ППД5[[#This Row],[Фикс 16.08.23]]+ППД5[[#This Row],[Повышение 29.08.23 - 3%]]</f>
        <v>86435.392632749994</v>
      </c>
      <c r="AW186" s="93"/>
      <c r="AX186" s="93">
        <f>ППД5[[#This Row],[Фикс 29.08.23]]+ППД5[[#This Row],[Повышение 06.09.23 СТ и 1К]]</f>
        <v>86435.392632749994</v>
      </c>
      <c r="AY186" s="93"/>
      <c r="AZ186" s="93">
        <f>ППД5[[#This Row],[Повышение 23.10.23  В4 ]]+ППД5[[#This Row],[Фикс 06.09.23]]</f>
        <v>86435.392632749994</v>
      </c>
      <c r="BA186" s="93"/>
      <c r="BB186" s="93">
        <f>ППД5[[#This Row],[Повышение 8.11.23 1К 5%]]+ППД5[[#This Row],[Фикс 23.10.23]]</f>
        <v>86435.392632749994</v>
      </c>
      <c r="BC186" s="93"/>
      <c r="BD186" s="93">
        <f>ППД5[[#This Row],[Корректировка 24.11.23 - 1К В5, 2К А2, №233]]+ППД5[[#This Row],[Фикс 8.11.23]]</f>
        <v>86435.392632749994</v>
      </c>
      <c r="BE186" s="93">
        <f>ППД5[[#This Row],[Фикс 8.11.24]]*1%</f>
        <v>864.35392632749995</v>
      </c>
      <c r="BF186" s="93">
        <f>ППД5[[#This Row],[Наценка за отделку 29.12.23 1%]]+ППД5[[#This Row],[Фикс 8.11.24]]</f>
        <v>87299.746559077495</v>
      </c>
      <c r="BG186" s="93">
        <f>ППД5[[#This Row],[Фикс 29.12.23]]*5%</f>
        <v>4364.9873279538751</v>
      </c>
      <c r="BH186" s="93">
        <f>ППД5[[#This Row],[Фикс 29.12.23]]+ППД5[[#This Row],[Наценка 10.01.24 5%]]</f>
        <v>91664.733887031369</v>
      </c>
      <c r="BI186" s="93"/>
      <c r="BJ186" s="93">
        <f>ППД5[[#This Row],[Наценка 26.02.24 1 Этаж]]+ППД5[[#This Row],[Фикс 10.01.24]]</f>
        <v>91664.733887031369</v>
      </c>
      <c r="BK186" s="93">
        <f>ППД5[[#This Row],[Фикс 26.02.24]]*2%</f>
        <v>1833.2946777406273</v>
      </c>
      <c r="BL186" s="93">
        <f>ППД5[[#This Row],[Фикс 26.02.24]]+ППД5[[#This Row],[Наценка 06.03.24
СТ, 1К - 3%
2К, 3К - 2%]]</f>
        <v>93498.028564772001</v>
      </c>
      <c r="BM186" s="93"/>
      <c r="BN186" s="93">
        <f>ППД5[[#This Row],[Фикс 06.03.24]]+ППД5[[#This Row],[Наценка Г2+500]]</f>
        <v>93498.028564772001</v>
      </c>
      <c r="BO186" s="93">
        <f>ППД5[[#This Row],[Фикс 13.03.25]]*2%</f>
        <v>1869.9605712954401</v>
      </c>
      <c r="BP186" s="93">
        <f>ППД5[[#This Row],[Фикс 13.03.25]]+ППД5[[#This Row],[Наценка 20.03.24
2К, 3К - 2%]]</f>
        <v>95367.989136067437</v>
      </c>
      <c r="BQ186" s="93"/>
      <c r="BR186" s="93">
        <f>ППД5[[#This Row],[Фикс 20.03.24]]+ППД5[[#This Row],[Наценка 08.04.24 
2К: В3 - 150
3К: Г7 +1000]]</f>
        <v>95367.989136067437</v>
      </c>
      <c r="BS186" s="93"/>
      <c r="BT186" s="93">
        <f>ППД5[[#This Row],[Фикс 08.04.24]]+ППД5[[#This Row],[Наценка 16.05.24 1%
А4,А6,Б3,Б6,Б7,В2,В3,В5,В6,Г1,Г3-Г5]]</f>
        <v>95367.989136067437</v>
      </c>
      <c r="BU186" s="93">
        <f>ППД5[[#This Row],[Фикс 16.05.24]]*1%</f>
        <v>953.67989136067445</v>
      </c>
      <c r="BV186" s="93">
        <f>ППД5[[#This Row],[Фикс 16.05.24]]+ППД5[[#This Row],[Наценка 24.05.24
1% - Б4, Б5,Г2,Г6
2% - А1,А3,А5,Б2,Г7]]</f>
        <v>96321.669027428114</v>
      </c>
      <c r="BW186" s="93"/>
      <c r="BX186" s="93">
        <f>ППД5[[#This Row],[Наценка 06.06.24
0К: В2,Г3 +0,5%
1К: А7, Б5/4, Г6 +0,5%
3К: В6 +0,5%
1К: А3 +1%]]+ППД5[[#This Row],[Фикс 24.05.24]]</f>
        <v>96321.669027428114</v>
      </c>
      <c r="BY186" s="93"/>
      <c r="BZ186" s="93">
        <f>ППД5[[#This Row],[Фикс 06.06.24]]+ППД5[[#This Row],[13.06.2024
3К - 2%]]</f>
        <v>96321.669027428114</v>
      </c>
      <c r="CA186" s="93">
        <f>2.5%*ППД5[[#This Row],[Фикс 13.06.24]]</f>
        <v>2408.0417256857031</v>
      </c>
      <c r="CB186" s="93">
        <f>ППД5[[#This Row],[02.07.2024: Г3 А1 А3 Б5 Б7 Г2 Г6 Б3 Б4 В3 Г7 2,5% ост 0,5-1,5%]]+ППД5[[#This Row],[Фикс 13.06.24]]</f>
        <v>98729.710753113817</v>
      </c>
      <c r="CC186" s="93">
        <v>500</v>
      </c>
      <c r="CD186" s="93">
        <f>ППД5[[#This Row],[Фикс 02.07.24]]+ППД5[[#This Row],[04.09.2024 +500
0К - Б2; 1К - А3;
2К - А6, Б4, В3, Г5]]</f>
        <v>99229.710753113817</v>
      </c>
      <c r="CE186" s="93">
        <f>ППД5[[#This Row],[Фикс 04.09.24]]*4%</f>
        <v>3969.1884301245527</v>
      </c>
      <c r="CF186" s="93">
        <f>ППД5[[#This Row],[Наценка 16.09.2024
1К: А1,В7,Г6/7,Г8 - 2%
2К: А4,А5,А6,Б1,Б6,Б3/4,В3,В4,Г4,Г5 - 4%
3К: 4%]]+ППД5[[#This Row],[Фикс 04.09.24]]</f>
        <v>103198.89918323838</v>
      </c>
      <c r="CG186" s="93">
        <f>ППД5[[#This Row],[Фикс 16.09.2024]]*6%</f>
        <v>6191.933950994302</v>
      </c>
      <c r="CH186" s="93">
        <f>ППД5[[#This Row],[Фикс 16.09.2024]]+ППД5[[#This Row],[Наценка 01.11.24
СТ: 4%
1К: 34-40м 5%; 40м+ 8%; МГН 1%
2К: 55-70м 6%; 70-73м 7%; 73-76м 8% 
3К: 5%]]</f>
        <v>109390.83313423267</v>
      </c>
      <c r="CI186" s="93">
        <f>ППД5[[#This Row],[Фикс 01.11.24]]*13%</f>
        <v>14220.808307450248</v>
      </c>
      <c r="CJ186" s="93">
        <f>ППД5[[#This Row],[Наценка 06.11 13%]]+ППД5[[#This Row],[Фикс 01.11.24]]</f>
        <v>123611.64144168292</v>
      </c>
      <c r="CK186" s="93"/>
      <c r="CL186" s="93">
        <f>ППД5[[#This Row],[Фикс 06.11.24]]+ППД5[[#This Row],[Наценка 18.12.24 распределение КВ]]</f>
        <v>123611.64144168292</v>
      </c>
      <c r="CM186" s="93"/>
      <c r="CN186" s="93">
        <f>ППД5[[#This Row],[Фикс 18.12.24]]+ППД5[[#This Row],[Наценка 10.02.25 +1%
1К: А3
2К: Б3, В3]]</f>
        <v>123611.64144168292</v>
      </c>
      <c r="CO186" s="93">
        <f>ROUND(ППД5[[#This Row],[Фикс 10.02.25]],2)</f>
        <v>123611.64</v>
      </c>
      <c r="CP18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7207800</v>
      </c>
      <c r="CQ186" s="93">
        <f>ROUNDUP(ППД5[[#This Row],[Стоимость до скидки]]+ППД5[[#This Row],[Сумма доплаты]],-2)</f>
        <v>7206600</v>
      </c>
      <c r="CR186" s="68"/>
      <c r="CS186" s="90">
        <v>0.02</v>
      </c>
      <c r="CT186" s="68">
        <f>ППД5[[#This Row],[Стоимость до скидки]]*ППД5[[#This Row],[Скидка %]]+ППД5[[#This Row],[Скидка фиксированная]]</f>
        <v>144156</v>
      </c>
      <c r="CU186" s="3">
        <f>ППД5[[#This Row],[Стоимость ОН без отделки со скидкой]]/ППД5[[#This Row],[Расчетная проектная площадь]]</f>
        <v>121139.49579831932</v>
      </c>
      <c r="CV186" s="3">
        <f>ROUND(ППД5[[#This Row],[Стоимость до скидки]]-ППД5[[#This Row],[Итоговая сумма скидки]],2)</f>
        <v>7063644</v>
      </c>
      <c r="CW18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186" s="197">
        <v>8000</v>
      </c>
      <c r="CY186" s="332">
        <f>ППД5[[#This Row],[Расхождение]]/ППД5[[#This Row],[Расчетная проектная площадь]]</f>
        <v>-1.7149717029677785E-4</v>
      </c>
      <c r="CZ18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0.14999999999999858</v>
      </c>
      <c r="DA186" s="3">
        <f>ППД5[[#This Row],[Цена м2 без отделки со скидкой]]+ППД5[[#This Row],[Стоимость отделки]]</f>
        <v>129139.49579831932</v>
      </c>
      <c r="DB186" s="3">
        <f>ППД5[[#This Row],[Стоимость квартиры с отделкой]]-ППД5[[#This Row],[Стоимость ОН без отделки со скидкой]]</f>
        <v>466480</v>
      </c>
      <c r="DC186" s="3">
        <f>ППД5[[#This Row],[Цена м2 с отделкой]]*ППД5[[#This Row],[Расчетная проектная площадь]]</f>
        <v>7530124</v>
      </c>
      <c r="DD186" s="3"/>
      <c r="DE186" s="111" t="s">
        <v>757</v>
      </c>
      <c r="DF186" s="215" t="s">
        <v>172</v>
      </c>
      <c r="DG186" s="245" t="s">
        <v>172</v>
      </c>
      <c r="DH186" s="100" t="b">
        <f>EXACT(ППД5[[#This Row],[Статусы CRM]],ППД5[[#This Row],[Статус]])</f>
        <v>1</v>
      </c>
      <c r="DI186" s="213" t="s">
        <v>358</v>
      </c>
      <c r="DJ186" s="204"/>
      <c r="DK186" s="111" t="s">
        <v>763</v>
      </c>
      <c r="DL186" s="216" t="s">
        <v>780</v>
      </c>
      <c r="DM186" s="201" t="b">
        <f>ППД5[[#This Row],[Отделка CRM]]=ППД5[[#This Row],[Отделка]]</f>
        <v>1</v>
      </c>
      <c r="DN186" s="203">
        <v>7530124</v>
      </c>
      <c r="DO18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86" s="207" t="b">
        <f>IF(AND(ППД5[[#This Row],[Статус]]="свободно",ППД5[[#This Row],[Итоговая сумма скидки]]&lt;&gt;0),FALSE,TRUE)</f>
        <v>1</v>
      </c>
      <c r="DQ186" s="240">
        <f>_xlfn.XLOOKUP(ППД5[[#This Row],[№]],Юрист[№ кв],Юрист[Дата подачи на регистрацию]," ",0,-1)</f>
        <v>45616</v>
      </c>
      <c r="DR186" s="115" t="str">
        <f>_xlfn.XLOOKUP(ППД5[[#This Row],[№]],Юрист[№ кв],Юрист[МОП],"",0,-1)</f>
        <v>Дик</v>
      </c>
      <c r="DS186" s="333" t="s">
        <v>2664</v>
      </c>
      <c r="DT186" s="333" t="s">
        <v>2665</v>
      </c>
      <c r="DU186" s="333">
        <v>57</v>
      </c>
      <c r="DV186" s="111"/>
    </row>
    <row r="187" spans="1:126" hidden="1" x14ac:dyDescent="0.25">
      <c r="A187" s="112">
        <v>185</v>
      </c>
      <c r="B187" s="111" t="s">
        <v>4</v>
      </c>
      <c r="C187" s="111">
        <v>11</v>
      </c>
      <c r="D187" s="111">
        <v>5</v>
      </c>
      <c r="E187" s="111">
        <v>1</v>
      </c>
      <c r="F187" s="105">
        <v>12.06</v>
      </c>
      <c r="G187" s="105"/>
      <c r="H187" s="105"/>
      <c r="I187" s="94">
        <f>SUM(ППД5[[#This Row],[Комната 1]:[Комната 3]])</f>
        <v>12.06</v>
      </c>
      <c r="J187" s="105">
        <v>13.18</v>
      </c>
      <c r="K187" s="105">
        <v>4.1100000000000003</v>
      </c>
      <c r="L187" s="105"/>
      <c r="M187" s="105"/>
      <c r="N187" s="105">
        <v>7.09</v>
      </c>
      <c r="O187" s="105">
        <v>2.84</v>
      </c>
      <c r="P187" s="105"/>
      <c r="Q187" s="105"/>
      <c r="R187" s="105">
        <f>SUM(ППД5[[#This Row],[Лоджия 1]:[Лоджия 3]])</f>
        <v>2.84</v>
      </c>
      <c r="S187" s="8">
        <f>ROUND(SUM(ППД5[[#This Row],[Площадь по проекту жилая]:[Лоджия 3]]),2)</f>
        <v>39.28</v>
      </c>
      <c r="T187" s="8">
        <f>ROUND(ППД5[[#This Row],[Площадь по проекту(общая)]]-ППД5[[#This Row],[Летние]],2)</f>
        <v>36.44</v>
      </c>
      <c r="U187" s="91">
        <f>ROUND(ППД5[[#This Row],[Площадь по проекту(общая)]]-(SUM(ППД5[[#This Row],[Лоджия 1]:[Лоджия 3]])/2),2)</f>
        <v>37.86</v>
      </c>
      <c r="V187" s="91">
        <f>IF(ППД5[[#This Row],[Статус]]="продажа",ППД5[[#This Row],[Расчетная проектная площадь]],ППД5[[#This Row],[Расчетная ТП площадь]])</f>
        <v>37.86</v>
      </c>
      <c r="W187" s="91">
        <v>12.6</v>
      </c>
      <c r="X187" s="91"/>
      <c r="Y187" s="91"/>
      <c r="Z187" s="91">
        <f>SUM(ППД5[[#This Row],[ТП Комната 1]:[ТП Комната 3]])</f>
        <v>12.6</v>
      </c>
      <c r="AA187" s="91">
        <v>12.6</v>
      </c>
      <c r="AB187" s="91">
        <v>4.0999999999999996</v>
      </c>
      <c r="AC187" s="91"/>
      <c r="AD187" s="91"/>
      <c r="AE187" s="91">
        <v>7</v>
      </c>
      <c r="AF187" s="91">
        <v>1.4</v>
      </c>
      <c r="AG187" s="91"/>
      <c r="AH187" s="91"/>
      <c r="AI187" s="91">
        <f>SUM(ППД5[[#This Row],[ТП Лоджия 1]:[ТП Лоджия 3]])</f>
        <v>1.4</v>
      </c>
      <c r="AJ187" s="95">
        <v>2.8</v>
      </c>
      <c r="AK187" s="91">
        <f>SUM(ППД5[[#This Row],[Площадь по ТП жилая]:[ТП Лоджия 3]])-ППД5[[#This Row],[ТП Летние]]+ППД5[[#This Row],[кроме того прочая
(без коэффициента)]]</f>
        <v>39.099999999999994</v>
      </c>
      <c r="AL187" s="95">
        <f>ППД5[[#This Row],[ТП Площадь без летних]]+(ППД5[[#This Row],[ТП Летние]])</f>
        <v>37.699999999999996</v>
      </c>
      <c r="AM187" s="91">
        <f>ППД5[[#This Row],[ТП общая S]]-ППД5[[#This Row],[кроме того прочая
(без коэффициента)]]</f>
        <v>36.299999999999997</v>
      </c>
      <c r="AN187" s="95">
        <f>SUM(ППД5[[#This Row],[ТП Кухня]:[ТП Коридор]])</f>
        <v>23.7</v>
      </c>
      <c r="AO187" s="91">
        <f>ППД5[[#This Row],[Расчетная ТП площадь]]-ППД5[[#This Row],[Расчетная проектная площадь]]</f>
        <v>-0.16000000000000369</v>
      </c>
      <c r="AP187" s="335">
        <f>ППД5[[#This Row],[Расчетная ТП площадь]]/ППД5[[#This Row],[Расчетная проектная площадь]]-1</f>
        <v>-4.2260961436874078E-3</v>
      </c>
      <c r="AQ187" s="91">
        <f>ППД5[[#This Row],[% расхождения]]*ППД5[[#This Row],[Стоимость до скидки]]</f>
        <v>-16633.069202324899</v>
      </c>
      <c r="AR187" s="91">
        <f>VLOOKUP(ППД5[[#This Row],[№]],наценкад5[],COLUMN(наценкад5[[#This Row],[Цена м2 с учетом всех K]]),0)</f>
        <v>87601.5</v>
      </c>
      <c r="AS187" s="8">
        <f>ППД5[[#This Row],[м2 после К]]*5%</f>
        <v>4380.0749999999998</v>
      </c>
      <c r="AT187" s="8">
        <f>ППД5[[#This Row],[м2 после К]]+ППД5[[#This Row],[Повышение 16.08.23 - 5%]]</f>
        <v>91981.574999999997</v>
      </c>
      <c r="AU187" s="93">
        <f>ППД5[[#This Row],[Фикс 16.08.23]]*3%</f>
        <v>2759.4472499999997</v>
      </c>
      <c r="AV187" s="93">
        <f>ППД5[[#This Row],[Фикс 16.08.23]]+ППД5[[#This Row],[Повышение 29.08.23 - 3%]]</f>
        <v>94741.022249999995</v>
      </c>
      <c r="AW187" s="93">
        <f>ППД5[[#This Row],[Фикс 29.08.23]]*4.5%</f>
        <v>4263.34600125</v>
      </c>
      <c r="AX187" s="93">
        <f>ППД5[[#This Row],[Фикс 29.08.23]]+ППД5[[#This Row],[Повышение 06.09.23 СТ и 1К]]</f>
        <v>99004.368251249995</v>
      </c>
      <c r="AY187" s="93"/>
      <c r="AZ187" s="93">
        <f>ППД5[[#This Row],[Повышение 23.10.23  В4 ]]+ППД5[[#This Row],[Фикс 06.09.23]]</f>
        <v>99004.368251249995</v>
      </c>
      <c r="BA187" s="93">
        <f>ППД5[[#This Row],[Фикс 23.10.23]]*5%</f>
        <v>4950.2184125624999</v>
      </c>
      <c r="BB187" s="93">
        <f>ППД5[[#This Row],[Повышение 8.11.23 1К 5%]]+ППД5[[#This Row],[Фикс 23.10.23]]</f>
        <v>103954.5866638125</v>
      </c>
      <c r="BC187" s="93"/>
      <c r="BD187" s="93">
        <f>ППД5[[#This Row],[Корректировка 24.11.23 - 1К В5, 2К А2, №233]]+ППД5[[#This Row],[Фикс 8.11.23]]</f>
        <v>103954.5866638125</v>
      </c>
      <c r="BE187" s="93"/>
      <c r="BF187" s="93">
        <f>ППД5[[#This Row],[Наценка за отделку 29.12.23 1%]]+ППД5[[#This Row],[Фикс 8.11.24]]</f>
        <v>103954.5866638125</v>
      </c>
      <c r="BG187" s="93"/>
      <c r="BH187" s="93">
        <f>ППД5[[#This Row],[Фикс 29.12.23]]+ППД5[[#This Row],[Наценка 10.01.24 5%]]</f>
        <v>103954.5866638125</v>
      </c>
      <c r="BI187" s="93"/>
      <c r="BJ187" s="93">
        <f>ППД5[[#This Row],[Наценка 26.02.24 1 Этаж]]+ППД5[[#This Row],[Фикс 10.01.24]]</f>
        <v>103954.5866638125</v>
      </c>
      <c r="BK187" s="93"/>
      <c r="BL187" s="93">
        <f>ППД5[[#This Row],[Фикс 26.02.24]]+ППД5[[#This Row],[Наценка 06.03.24
СТ, 1К - 3%
2К, 3К - 2%]]</f>
        <v>103954.5866638125</v>
      </c>
      <c r="BM187" s="93"/>
      <c r="BN187" s="93">
        <f>ППД5[[#This Row],[Фикс 06.03.24]]+ППД5[[#This Row],[Наценка Г2+500]]</f>
        <v>103954.5866638125</v>
      </c>
      <c r="BO187" s="93"/>
      <c r="BP187" s="93">
        <f>ППД5[[#This Row],[Фикс 13.03.25]]+ППД5[[#This Row],[Наценка 20.03.24
2К, 3К - 2%]]</f>
        <v>103954.5866638125</v>
      </c>
      <c r="BQ187" s="93"/>
      <c r="BR187" s="93">
        <f>ППД5[[#This Row],[Фикс 20.03.24]]+ППД5[[#This Row],[Наценка 08.04.24 
2К: В3 - 150
3К: Г7 +1000]]</f>
        <v>103954.5866638125</v>
      </c>
      <c r="BS187" s="93"/>
      <c r="BT187" s="93">
        <f>ППД5[[#This Row],[Фикс 08.04.24]]+ППД5[[#This Row],[Наценка 16.05.24 1%
А4,А6,Б3,Б6,Б7,В2,В3,В5,В6,Г1,Г3-Г5]]</f>
        <v>103954.5866638125</v>
      </c>
      <c r="BU187" s="93"/>
      <c r="BV187" s="93">
        <f>ППД5[[#This Row],[Фикс 16.05.24]]+ППД5[[#This Row],[Наценка 24.05.24
1% - Б4, Б5,Г2,Г6
2% - А1,А3,А5,Б2,Г7]]</f>
        <v>103954.5866638125</v>
      </c>
      <c r="BW187" s="93"/>
      <c r="BX187" s="93">
        <f>ППД5[[#This Row],[Наценка 06.06.24
0К: В2,Г3 +0,5%
1К: А7, Б5/4, Г6 +0,5%
3К: В6 +0,5%
1К: А3 +1%]]+ППД5[[#This Row],[Фикс 24.05.24]]</f>
        <v>103954.5866638125</v>
      </c>
      <c r="BY187" s="93"/>
      <c r="BZ187" s="93">
        <f>ППД5[[#This Row],[Фикс 06.06.24]]+ППД5[[#This Row],[13.06.2024
3К - 2%]]</f>
        <v>103954.5866638125</v>
      </c>
      <c r="CA187" s="93"/>
      <c r="CB187" s="93">
        <f>ППД5[[#This Row],[02.07.2024: Г3 А1 А3 Б5 Б7 Г2 Г6 Б3 Б4 В3 Г7 2,5% ост 0,5-1,5%]]+ППД5[[#This Row],[Фикс 13.06.24]]</f>
        <v>103954.5866638125</v>
      </c>
      <c r="CC187" s="93"/>
      <c r="CD187" s="93">
        <f>ППД5[[#This Row],[Фикс 02.07.24]]+ППД5[[#This Row],[04.09.2024 +500
0К - Б2; 1К - А3;
2К - А6, Б4, В3, Г5]]</f>
        <v>103954.5866638125</v>
      </c>
      <c r="CE187" s="93"/>
      <c r="CF187" s="93">
        <f>ППД5[[#This Row],[Наценка 16.09.2024
1К: А1,В7,Г6/7,Г8 - 2%
2К: А4,А5,А6,Б1,Б6,Б3/4,В3,В4,Г4,Г5 - 4%
3К: 4%]]+ППД5[[#This Row],[Фикс 04.09.24]]</f>
        <v>103954.5866638125</v>
      </c>
      <c r="CG187" s="93"/>
      <c r="CH187" s="93">
        <f>ППД5[[#This Row],[Фикс 16.09.2024]]+ППД5[[#This Row],[Наценка 01.11.24
СТ: 4%
1К: 34-40м 5%; 40м+ 8%; МГН 1%
2К: 55-70м 6%; 70-73м 7%; 73-76м 8% 
3К: 5%]]</f>
        <v>103954.5866638125</v>
      </c>
      <c r="CI187" s="93"/>
      <c r="CJ187" s="93">
        <f>ППД5[[#This Row],[Наценка 06.11 13%]]+ППД5[[#This Row],[Фикс 01.11.24]]</f>
        <v>103954.5866638125</v>
      </c>
      <c r="CK187" s="93"/>
      <c r="CL187" s="93">
        <f>ППД5[[#This Row],[Фикс 06.11.24]]+ППД5[[#This Row],[Наценка 18.12.24 распределение КВ]]</f>
        <v>103954.5866638125</v>
      </c>
      <c r="CM187" s="93"/>
      <c r="CN187" s="93">
        <f>ППД5[[#This Row],[Фикс 18.12.24]]+ППД5[[#This Row],[Наценка 10.02.25 +1%
1К: А3
2К: Б3, В3]]</f>
        <v>103954.5866638125</v>
      </c>
      <c r="CO187" s="93">
        <f>ROUND(ППД5[[#This Row],[Фикс 10.02.25]],2)</f>
        <v>103954.59</v>
      </c>
      <c r="CP18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3935800</v>
      </c>
      <c r="CQ187" s="93">
        <f>ROUNDUP(ППД5[[#This Row],[Стоимость до скидки]]+ППД5[[#This Row],[Сумма доплаты]],-2)</f>
        <v>3919200</v>
      </c>
      <c r="CR187" s="68"/>
      <c r="CS187" s="90"/>
      <c r="CT187" s="68">
        <f>ППД5[[#This Row],[Стоимость до скидки]]*ППД5[[#This Row],[Скидка %]]+ППД5[[#This Row],[Скидка фиксированная]]</f>
        <v>0</v>
      </c>
      <c r="CU187" s="3">
        <f>ППД5[[#This Row],[Стоимость ОН без отделки со скидкой]]/ППД5[[#This Row],[Расчетная проектная площадь]]</f>
        <v>103956.6825145272</v>
      </c>
      <c r="CV187" s="3">
        <f>ROUND(ППД5[[#This Row],[Стоимость до скидки]]-ППД5[[#This Row],[Итоговая сумма скидки]],2)</f>
        <v>3935800</v>
      </c>
      <c r="CW18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187" s="197">
        <v>22000</v>
      </c>
      <c r="CY187" s="332">
        <f>ППД5[[#This Row],[Расхождение]]/ППД5[[#This Row],[Расчетная проектная площадь]]</f>
        <v>-4.2260961436873662E-3</v>
      </c>
      <c r="CZ18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-0.67999999999999972</v>
      </c>
      <c r="DA187" s="3">
        <f>ППД5[[#This Row],[Цена м2 без отделки со скидкой]]+ППД5[[#This Row],[Стоимость отделки]]</f>
        <v>125956.6825145272</v>
      </c>
      <c r="DB187" s="3">
        <f>ППД5[[#This Row],[Стоимость квартиры с отделкой]]-ППД5[[#This Row],[Стоимость ОН без отделки со скидкой]]</f>
        <v>832920</v>
      </c>
      <c r="DC187" s="3">
        <f>ППД5[[#This Row],[Цена м2 с отделкой]]*ППД5[[#This Row],[Расчетная проектная площадь]]</f>
        <v>4768720</v>
      </c>
      <c r="DD187" s="3"/>
      <c r="DF187" s="199" t="s">
        <v>172</v>
      </c>
      <c r="DG187" s="245" t="s">
        <v>172</v>
      </c>
      <c r="DH187" s="100" t="b">
        <f>EXACT(ППД5[[#This Row],[Статусы CRM]],ППД5[[#This Row],[Статус]])</f>
        <v>1</v>
      </c>
      <c r="DI187" s="213" t="s">
        <v>359</v>
      </c>
      <c r="DJ187" s="204"/>
      <c r="DK187" s="111" t="s">
        <v>763</v>
      </c>
      <c r="DL187" s="216" t="s">
        <v>14</v>
      </c>
      <c r="DM187" s="201" t="b">
        <f>ППД5[[#This Row],[Отделка CRM]]=ППД5[[#This Row],[Отделка]]</f>
        <v>1</v>
      </c>
      <c r="DN187" s="203">
        <v>4768720</v>
      </c>
      <c r="DO18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87" s="207" t="b">
        <f>IF(AND(ППД5[[#This Row],[Статус]]="свободно",ППД5[[#This Row],[Итоговая сумма скидки]]&lt;&gt;0),FALSE,TRUE)</f>
        <v>1</v>
      </c>
      <c r="DQ187" s="240">
        <f>_xlfn.XLOOKUP(ППД5[[#This Row],[№]],Юрист[№ кв],Юрист[Дата подачи на регистрацию]," ",0,-1)</f>
        <v>45289</v>
      </c>
      <c r="DR187" s="115" t="str">
        <f>_xlfn.XLOOKUP(ППД5[[#This Row],[№]],Юрист[№ кв],Юрист[МОП],"",0,-1)</f>
        <v>Никишов</v>
      </c>
      <c r="DS187" s="333" t="s">
        <v>2666</v>
      </c>
      <c r="DT187" s="333" t="s">
        <v>2667</v>
      </c>
      <c r="DU187" s="333">
        <v>36.299999999999997</v>
      </c>
      <c r="DV187" s="111"/>
    </row>
    <row r="188" spans="1:126" hidden="1" x14ac:dyDescent="0.25">
      <c r="A188" s="112">
        <v>186</v>
      </c>
      <c r="B188" s="111" t="s">
        <v>4</v>
      </c>
      <c r="C188" s="111">
        <v>11</v>
      </c>
      <c r="D188" s="111">
        <v>6</v>
      </c>
      <c r="E188" s="111">
        <v>3</v>
      </c>
      <c r="F188" s="105">
        <v>17.89</v>
      </c>
      <c r="G188" s="105">
        <v>17.2</v>
      </c>
      <c r="H188" s="105">
        <v>14.31</v>
      </c>
      <c r="I188" s="94">
        <f>SUM(ППД5[[#This Row],[Комната 1]:[Комната 3]])</f>
        <v>49.400000000000006</v>
      </c>
      <c r="J188" s="105">
        <v>13.39</v>
      </c>
      <c r="K188" s="105">
        <v>4.2</v>
      </c>
      <c r="L188" s="105">
        <v>2.0499999999999998</v>
      </c>
      <c r="M188" s="105"/>
      <c r="N188" s="105">
        <v>13.21</v>
      </c>
      <c r="O188" s="105">
        <v>2.79</v>
      </c>
      <c r="P188" s="105">
        <v>2.68</v>
      </c>
      <c r="Q188" s="105"/>
      <c r="R188" s="105">
        <f>SUM(ППД5[[#This Row],[Лоджия 1]:[Лоджия 3]])</f>
        <v>5.4700000000000006</v>
      </c>
      <c r="S188" s="8">
        <f>ROUND(SUM(ППД5[[#This Row],[Площадь по проекту жилая]:[Лоджия 3]]),2)</f>
        <v>87.72</v>
      </c>
      <c r="T188" s="8">
        <f>ROUND(ППД5[[#This Row],[Площадь по проекту(общая)]]-ППД5[[#This Row],[Летние]],2)</f>
        <v>82.25</v>
      </c>
      <c r="U188" s="91">
        <f>ROUND(ППД5[[#This Row],[Площадь по проекту(общая)]]-(SUM(ППД5[[#This Row],[Лоджия 1]:[Лоджия 3]])/2),2)</f>
        <v>84.99</v>
      </c>
      <c r="V188" s="91">
        <f>IF(ППД5[[#This Row],[Статус]]="продажа",ППД5[[#This Row],[Расчетная проектная площадь]],ППД5[[#This Row],[Расчетная ТП площадь]])</f>
        <v>84.99</v>
      </c>
      <c r="W188" s="91">
        <v>14.2</v>
      </c>
      <c r="X188" s="91">
        <v>17.899999999999999</v>
      </c>
      <c r="Y188" s="91">
        <v>17.2</v>
      </c>
      <c r="Z188" s="91">
        <f>SUM(ППД5[[#This Row],[ТП Комната 1]:[ТП Комната 3]])</f>
        <v>49.3</v>
      </c>
      <c r="AA188" s="91">
        <v>13.3</v>
      </c>
      <c r="AB188" s="91">
        <v>4.0999999999999996</v>
      </c>
      <c r="AC188" s="91">
        <v>2</v>
      </c>
      <c r="AD188" s="91"/>
      <c r="AE188" s="91">
        <v>13.1</v>
      </c>
      <c r="AF188" s="91">
        <v>1.4</v>
      </c>
      <c r="AG188" s="92">
        <v>1.35</v>
      </c>
      <c r="AH188" s="91"/>
      <c r="AI188" s="91">
        <f>SUM(ППД5[[#This Row],[ТП Лоджия 1]:[ТП Лоджия 3]])</f>
        <v>2.75</v>
      </c>
      <c r="AJ188" s="95">
        <v>5.5</v>
      </c>
      <c r="AK188" s="91">
        <f>SUM(ППД5[[#This Row],[Площадь по ТП жилая]:[ТП Лоджия 3]])-ППД5[[#This Row],[ТП Летние]]+ППД5[[#This Row],[кроме того прочая
(без коэффициента)]]</f>
        <v>87.299999999999983</v>
      </c>
      <c r="AL188" s="95">
        <f>ППД5[[#This Row],[ТП Площадь без летних]]+(ППД5[[#This Row],[ТП Летние]])</f>
        <v>84.549999999999983</v>
      </c>
      <c r="AM188" s="91">
        <f>ППД5[[#This Row],[ТП общая S]]-ППД5[[#This Row],[кроме того прочая
(без коэффициента)]]</f>
        <v>81.799999999999983</v>
      </c>
      <c r="AN188" s="95">
        <f>SUM(ППД5[[#This Row],[ТП Кухня]:[ТП Коридор]])</f>
        <v>32.5</v>
      </c>
      <c r="AO188" s="91">
        <f>ППД5[[#This Row],[Расчетная ТП площадь]]-ППД5[[#This Row],[Расчетная проектная площадь]]</f>
        <v>-0.44000000000001194</v>
      </c>
      <c r="AP188" s="335">
        <f>ППД5[[#This Row],[Расчетная ТП площадь]]/ППД5[[#This Row],[Расчетная проектная площадь]]-1</f>
        <v>-5.1770796564303279E-3</v>
      </c>
      <c r="AQ188" s="91">
        <f>ППД5[[#This Row],[% расхождения]]*ППД5[[#This Row],[Стоимость до скидки]]</f>
        <v>-48855.065301801718</v>
      </c>
      <c r="AR188" s="91">
        <f>VLOOKUP(ППД5[[#This Row],[№]],наценкад5[],COLUMN(наценкад5[[#This Row],[Цена м2 с учетом всех K]]),0)</f>
        <v>72092.790000000008</v>
      </c>
      <c r="AS188" s="8">
        <f>ППД5[[#This Row],[м2 после К]]*5%</f>
        <v>3604.6395000000007</v>
      </c>
      <c r="AT188" s="8">
        <f>ППД5[[#This Row],[м2 после К]]+ППД5[[#This Row],[Повышение 16.08.23 - 5%]]</f>
        <v>75697.429500000013</v>
      </c>
      <c r="AU188" s="93">
        <f>ППД5[[#This Row],[Фикс 16.08.23]]*3%</f>
        <v>2270.9228850000004</v>
      </c>
      <c r="AV188" s="93">
        <f>ППД5[[#This Row],[Фикс 16.08.23]]+ППД5[[#This Row],[Повышение 29.08.23 - 3%]]</f>
        <v>77968.35238500002</v>
      </c>
      <c r="AW188" s="93"/>
      <c r="AX188" s="93">
        <f>ППД5[[#This Row],[Фикс 29.08.23]]+ППД5[[#This Row],[Повышение 06.09.23 СТ и 1К]]</f>
        <v>77968.35238500002</v>
      </c>
      <c r="AY188" s="93"/>
      <c r="AZ188" s="93">
        <f>ППД5[[#This Row],[Повышение 23.10.23  В4 ]]+ППД5[[#This Row],[Фикс 06.09.23]]</f>
        <v>77968.35238500002</v>
      </c>
      <c r="BA188" s="93"/>
      <c r="BB188" s="93">
        <f>ППД5[[#This Row],[Повышение 8.11.23 1К 5%]]+ППД5[[#This Row],[Фикс 23.10.23]]</f>
        <v>77968.35238500002</v>
      </c>
      <c r="BC188" s="93"/>
      <c r="BD188" s="93">
        <f>ППД5[[#This Row],[Корректировка 24.11.23 - 1К В5, 2К А2, №233]]+ППД5[[#This Row],[Фикс 8.11.23]]</f>
        <v>77968.35238500002</v>
      </c>
      <c r="BE188" s="93">
        <f>ППД5[[#This Row],[Фикс 8.11.24]]*1%</f>
        <v>779.68352385000026</v>
      </c>
      <c r="BF188" s="93">
        <f>ППД5[[#This Row],[Наценка за отделку 29.12.23 1%]]+ППД5[[#This Row],[Фикс 8.11.24]]</f>
        <v>78748.035908850026</v>
      </c>
      <c r="BG188" s="93">
        <f>ППД5[[#This Row],[Фикс 29.12.23]]*5%</f>
        <v>3937.4017954425017</v>
      </c>
      <c r="BH188" s="93">
        <f>ППД5[[#This Row],[Фикс 29.12.23]]+ППД5[[#This Row],[Наценка 10.01.24 5%]]</f>
        <v>82685.437704292533</v>
      </c>
      <c r="BI188" s="93"/>
      <c r="BJ188" s="93">
        <f>ППД5[[#This Row],[Наценка 26.02.24 1 Этаж]]+ППД5[[#This Row],[Фикс 10.01.24]]</f>
        <v>82685.437704292533</v>
      </c>
      <c r="BK188" s="93">
        <f>ППД5[[#This Row],[Фикс 26.02.24]]*2%</f>
        <v>1653.7087540858506</v>
      </c>
      <c r="BL188" s="93">
        <f>ППД5[[#This Row],[Фикс 26.02.24]]+ППД5[[#This Row],[Наценка 06.03.24
СТ, 1К - 3%
2К, 3К - 2%]]</f>
        <v>84339.146458378382</v>
      </c>
      <c r="BM188" s="93"/>
      <c r="BN188" s="93">
        <f>ППД5[[#This Row],[Фикс 06.03.24]]+ППД5[[#This Row],[Наценка Г2+500]]</f>
        <v>84339.146458378382</v>
      </c>
      <c r="BO188" s="93">
        <f>ППД5[[#This Row],[Фикс 13.03.25]]*2%</f>
        <v>1686.7829291675678</v>
      </c>
      <c r="BP188" s="93">
        <f>ППД5[[#This Row],[Фикс 13.03.25]]+ППД5[[#This Row],[Наценка 20.03.24
2К, 3К - 2%]]</f>
        <v>86025.929387545955</v>
      </c>
      <c r="BQ188" s="93"/>
      <c r="BR188" s="93">
        <f>ППД5[[#This Row],[Фикс 20.03.24]]+ППД5[[#This Row],[Наценка 08.04.24 
2К: В3 - 150
3К: Г7 +1000]]</f>
        <v>86025.929387545955</v>
      </c>
      <c r="BS188" s="9">
        <f>ППД5[[#This Row],[Фикс 08.04.24]]*1%</f>
        <v>860.25929387545955</v>
      </c>
      <c r="BT188" s="93">
        <f>ППД5[[#This Row],[Фикс 08.04.24]]+ППД5[[#This Row],[Наценка 16.05.24 1%
А4,А6,Б3,Б6,Б7,В2,В3,В5,В6,Г1,Г3-Г5]]</f>
        <v>86886.188681421409</v>
      </c>
      <c r="BU188" s="93"/>
      <c r="BV188" s="93">
        <f>ППД5[[#This Row],[Фикс 16.05.24]]+ППД5[[#This Row],[Наценка 24.05.24
1% - Б4, Б5,Г2,Г6
2% - А1,А3,А5,Б2,Г7]]</f>
        <v>86886.188681421409</v>
      </c>
      <c r="BW188" s="93"/>
      <c r="BX188" s="93">
        <f>ППД5[[#This Row],[Наценка 06.06.24
0К: В2,Г3 +0,5%
1К: А7, Б5/4, Г6 +0,5%
3К: В6 +0,5%
1К: А3 +1%]]+ППД5[[#This Row],[Фикс 24.05.24]]</f>
        <v>86886.188681421409</v>
      </c>
      <c r="BY188" s="93">
        <f>ППД5[[#This Row],[Фикс 06.06.24]]*2%</f>
        <v>1737.7237736284283</v>
      </c>
      <c r="BZ188" s="93">
        <f>ППД5[[#This Row],[Фикс 06.06.24]]+ППД5[[#This Row],[13.06.2024
3К - 2%]]</f>
        <v>88623.912455049838</v>
      </c>
      <c r="CA188" s="93">
        <f>1.5%*ППД5[[#This Row],[Фикс 13.06.24]]</f>
        <v>1329.3586868257476</v>
      </c>
      <c r="CB188" s="93">
        <f>ППД5[[#This Row],[02.07.2024: Г3 А1 А3 Б5 Б7 Г2 Г6 Б3 Б4 В3 Г7 2,5% ост 0,5-1,5%]]+ППД5[[#This Row],[Фикс 13.06.24]]</f>
        <v>89953.271141875579</v>
      </c>
      <c r="CC188" s="93"/>
      <c r="CD188" s="93">
        <f>ППД5[[#This Row],[Фикс 02.07.24]]+ППД5[[#This Row],[04.09.2024 +500
0К - Б2; 1К - А3;
2К - А6, Б4, В3, Г5]]</f>
        <v>89953.271141875579</v>
      </c>
      <c r="CE188" s="93">
        <f>ППД5[[#This Row],[Фикс 04.09.24]]*4%</f>
        <v>3598.130845675023</v>
      </c>
      <c r="CF188" s="93">
        <f>ППД5[[#This Row],[Наценка 16.09.2024
1К: А1,В7,Г6/7,Г8 - 2%
2К: А4,А5,А6,Б1,Б6,Б3/4,В3,В4,Г4,Г5 - 4%
3К: 4%]]+ППД5[[#This Row],[Фикс 04.09.24]]</f>
        <v>93551.401987550606</v>
      </c>
      <c r="CG188" s="93">
        <f>ППД5[[#This Row],[Фикс 16.09.2024]]*5%</f>
        <v>4677.5700993775308</v>
      </c>
      <c r="CH188" s="93">
        <f>ППД5[[#This Row],[Фикс 16.09.2024]]+ППД5[[#This Row],[Наценка 01.11.24
СТ: 4%
1К: 34-40м 5%; 40м+ 8%; МГН 1%
2К: 55-70м 6%; 70-73м 7%; 73-76м 8% 
3К: 5%]]</f>
        <v>98228.97208692813</v>
      </c>
      <c r="CI188" s="93">
        <f>ППД5[[#This Row],[Фикс 01.11.24]]*13%</f>
        <v>12769.766371300657</v>
      </c>
      <c r="CJ188" s="93">
        <f>ППД5[[#This Row],[Наценка 06.11 13%]]+ППД5[[#This Row],[Фикс 01.11.24]]</f>
        <v>110998.73845822879</v>
      </c>
      <c r="CK188" s="93">
        <v>35</v>
      </c>
      <c r="CL188" s="93">
        <f>ППД5[[#This Row],[Фикс 06.11.24]]+ППД5[[#This Row],[Наценка 18.12.24 распределение КВ]]</f>
        <v>111033.73845822879</v>
      </c>
      <c r="CM188" s="93"/>
      <c r="CN188" s="93">
        <f>ППД5[[#This Row],[Фикс 18.12.24]]+ППД5[[#This Row],[Наценка 10.02.25 +1%
1К: А3
2К: Б3, В3]]</f>
        <v>111033.73845822879</v>
      </c>
      <c r="CO188" s="93">
        <f>ROUND(ППД5[[#This Row],[Фикс 10.02.25]],2)</f>
        <v>111033.74</v>
      </c>
      <c r="CP18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9436800</v>
      </c>
      <c r="CQ188" s="93">
        <f>ROUNDUP(ППД5[[#This Row],[Стоимость до скидки]]+ППД5[[#This Row],[Сумма доплаты]],-2)</f>
        <v>9388000</v>
      </c>
      <c r="CR188" s="68">
        <v>936800</v>
      </c>
      <c r="CS188" s="90"/>
      <c r="CT188" s="68">
        <f>ППД5[[#This Row],[Стоимость до скидки]]*ППД5[[#This Row],[Скидка %]]+ППД5[[#This Row],[Скидка фиксированная]]</f>
        <v>936800</v>
      </c>
      <c r="CU188" s="3">
        <f>ППД5[[#This Row],[Стоимость ОН без отделки со скидкой]]/ППД5[[#This Row],[Расчетная проектная площадь]]</f>
        <v>100011.76609012825</v>
      </c>
      <c r="CV188" s="3">
        <f>ROUND(ППД5[[#This Row],[Стоимость до скидки]]-ППД5[[#This Row],[Итоговая сумма скидки]],2)</f>
        <v>8500000</v>
      </c>
      <c r="CW18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88" s="197"/>
      <c r="CY188" s="332">
        <f>ППД5[[#This Row],[Расхождение]]/ППД5[[#This Row],[Расчетная проектная площадь]]</f>
        <v>-5.1770796564303088E-3</v>
      </c>
      <c r="CZ18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-0.35000000000000142</v>
      </c>
      <c r="DA188" s="3">
        <f>ППД5[[#This Row],[Цена м2 без отделки со скидкой]]+ППД5[[#This Row],[Стоимость отделки]]</f>
        <v>100011.76609012825</v>
      </c>
      <c r="DB188" s="3">
        <f>ППД5[[#This Row],[Стоимость квартиры с отделкой]]-ППД5[[#This Row],[Стоимость ОН без отделки со скидкой]]</f>
        <v>0</v>
      </c>
      <c r="DC188" s="3">
        <f>ППД5[[#This Row],[Цена м2 с отделкой]]*ППД5[[#This Row],[Расчетная проектная площадь]]</f>
        <v>8500000</v>
      </c>
      <c r="DD188" s="3"/>
      <c r="DE188" s="111" t="s">
        <v>767</v>
      </c>
      <c r="DF188" s="221" t="s">
        <v>172</v>
      </c>
      <c r="DG188" s="221" t="s">
        <v>172</v>
      </c>
      <c r="DH188" s="100" t="b">
        <f>EXACT(ППД5[[#This Row],[Статусы CRM]],ППД5[[#This Row],[Статус]])</f>
        <v>1</v>
      </c>
      <c r="DI188" s="213" t="s">
        <v>360</v>
      </c>
      <c r="DJ188" s="204"/>
      <c r="DK188" s="111" t="s">
        <v>763</v>
      </c>
      <c r="DL188" s="216" t="s">
        <v>12</v>
      </c>
      <c r="DM188" s="201" t="b">
        <f>ППД5[[#This Row],[Отделка CRM]]=ППД5[[#This Row],[Отделка]]</f>
        <v>1</v>
      </c>
      <c r="DN188" s="203">
        <v>8500000</v>
      </c>
      <c r="DO18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88" s="207" t="b">
        <f>IF(AND(ППД5[[#This Row],[Статус]]="свободно",ППД5[[#This Row],[Итоговая сумма скидки]]&lt;&gt;0),FALSE,TRUE)</f>
        <v>1</v>
      </c>
      <c r="DQ188" s="240" t="str">
        <f>_xlfn.XLOOKUP(ППД5[[#This Row],[№]],Юрист[№ кв],Юрист[Дата подачи на регистрацию]," ",0,-1)</f>
        <v xml:space="preserve"> </v>
      </c>
      <c r="DR188" s="115" t="str">
        <f>_xlfn.XLOOKUP(ППД5[[#This Row],[№]],Юрист[№ кв],Юрист[МОП],"",0,-1)</f>
        <v/>
      </c>
      <c r="DS188" s="333" t="s">
        <v>2668</v>
      </c>
      <c r="DT188" s="333" t="s">
        <v>2669</v>
      </c>
      <c r="DU188" s="333">
        <v>81.8</v>
      </c>
      <c r="DV188" s="111"/>
    </row>
    <row r="189" spans="1:126" hidden="1" x14ac:dyDescent="0.25">
      <c r="A189" s="112">
        <v>187</v>
      </c>
      <c r="B189" s="111" t="s">
        <v>4</v>
      </c>
      <c r="C189" s="111">
        <v>11</v>
      </c>
      <c r="D189" s="111">
        <v>7</v>
      </c>
      <c r="E189" s="111">
        <v>1</v>
      </c>
      <c r="F189" s="105">
        <v>17.89</v>
      </c>
      <c r="G189" s="105"/>
      <c r="H189" s="105"/>
      <c r="I189" s="94">
        <f>SUM(ППД5[[#This Row],[Комната 1]:[Комната 3]])</f>
        <v>17.89</v>
      </c>
      <c r="J189" s="105">
        <v>13.04</v>
      </c>
      <c r="K189" s="105">
        <v>3.9</v>
      </c>
      <c r="L189" s="105"/>
      <c r="M189" s="105"/>
      <c r="N189" s="105">
        <v>6.12</v>
      </c>
      <c r="O189" s="105">
        <v>2.65</v>
      </c>
      <c r="P189" s="105"/>
      <c r="Q189" s="105"/>
      <c r="R189" s="105">
        <f>SUM(ППД5[[#This Row],[Лоджия 1]:[Лоджия 3]])</f>
        <v>2.65</v>
      </c>
      <c r="S189" s="8">
        <f>ROUND(SUM(ППД5[[#This Row],[Площадь по проекту жилая]:[Лоджия 3]]),2)</f>
        <v>43.6</v>
      </c>
      <c r="T189" s="8">
        <f>ROUND(ППД5[[#This Row],[Площадь по проекту(общая)]]-ППД5[[#This Row],[Летние]],2)</f>
        <v>40.950000000000003</v>
      </c>
      <c r="U189" s="91">
        <f>ROUND(ППД5[[#This Row],[Площадь по проекту(общая)]]-(SUM(ППД5[[#This Row],[Лоджия 1]:[Лоджия 3]])/2),2)</f>
        <v>42.28</v>
      </c>
      <c r="V189" s="91">
        <f>IF(ППД5[[#This Row],[Статус]]="продажа",ППД5[[#This Row],[Расчетная проектная площадь]],ППД5[[#This Row],[Расчетная ТП площадь]])</f>
        <v>42.28</v>
      </c>
      <c r="W189" s="91">
        <v>17.899999999999999</v>
      </c>
      <c r="X189" s="91"/>
      <c r="Y189" s="91"/>
      <c r="Z189" s="91">
        <f>SUM(ППД5[[#This Row],[ТП Комната 1]:[ТП Комната 3]])</f>
        <v>17.899999999999999</v>
      </c>
      <c r="AA189" s="91">
        <v>13</v>
      </c>
      <c r="AB189" s="91">
        <v>3.8</v>
      </c>
      <c r="AC189" s="91"/>
      <c r="AD189" s="91"/>
      <c r="AE189" s="91">
        <v>6.1</v>
      </c>
      <c r="AF189" s="91">
        <v>1.35</v>
      </c>
      <c r="AG189" s="91"/>
      <c r="AH189" s="91"/>
      <c r="AI189" s="91">
        <f>SUM(ППД5[[#This Row],[ТП Лоджия 1]:[ТП Лоджия 3]])</f>
        <v>1.35</v>
      </c>
      <c r="AJ189" s="95">
        <v>2.7</v>
      </c>
      <c r="AK189" s="91">
        <f>SUM(ППД5[[#This Row],[Площадь по ТП жилая]:[ТП Лоджия 3]])-ППД5[[#This Row],[ТП Летние]]+ППД5[[#This Row],[кроме того прочая
(без коэффициента)]]</f>
        <v>43.5</v>
      </c>
      <c r="AL189" s="95">
        <f>ППД5[[#This Row],[ТП Площадь без летних]]+(ППД5[[#This Row],[ТП Летние]])</f>
        <v>42.15</v>
      </c>
      <c r="AM189" s="91">
        <f>ППД5[[#This Row],[ТП общая S]]-ППД5[[#This Row],[кроме того прочая
(без коэффициента)]]</f>
        <v>40.799999999999997</v>
      </c>
      <c r="AN189" s="95">
        <f>SUM(ППД5[[#This Row],[ТП Кухня]:[ТП Коридор]])</f>
        <v>22.9</v>
      </c>
      <c r="AO189" s="91">
        <f>ППД5[[#This Row],[Расчетная ТП площадь]]-ППД5[[#This Row],[Расчетная проектная площадь]]</f>
        <v>-0.13000000000000256</v>
      </c>
      <c r="AP189" s="335">
        <f>ППД5[[#This Row],[Расчетная ТП площадь]]/ППД5[[#This Row],[Расчетная проектная площадь]]-1</f>
        <v>-3.0747398297067408E-3</v>
      </c>
      <c r="AQ189" s="91">
        <f>ППД5[[#This Row],[% расхождения]]*ППД5[[#This Row],[Стоимость до скидки]]</f>
        <v>-12157.246404919677</v>
      </c>
      <c r="AR189" s="91">
        <f>VLOOKUP(ППД5[[#This Row],[№]],наценкад5[],COLUMN(наценкад5[[#This Row],[Цена м2 с учетом всех K]]),0)</f>
        <v>83951.4375</v>
      </c>
      <c r="AS189" s="8">
        <f>ППД5[[#This Row],[м2 после К]]*5%</f>
        <v>4197.5718750000005</v>
      </c>
      <c r="AT189" s="8">
        <f>ППД5[[#This Row],[м2 после К]]+ППД5[[#This Row],[Повышение 16.08.23 - 5%]]</f>
        <v>88149.009374999994</v>
      </c>
      <c r="AU189" s="93">
        <f>ППД5[[#This Row],[Фикс 16.08.23]]*3%</f>
        <v>2644.4702812499995</v>
      </c>
      <c r="AV189" s="93">
        <f>ППД5[[#This Row],[Фикс 16.08.23]]+ППД5[[#This Row],[Повышение 29.08.23 - 3%]]</f>
        <v>90793.479656249998</v>
      </c>
      <c r="AW189" s="93">
        <f>ППД5[[#This Row],[Фикс 29.08.23]]*3%</f>
        <v>2723.8043896874997</v>
      </c>
      <c r="AX189" s="93">
        <f>ППД5[[#This Row],[Фикс 29.08.23]]+ППД5[[#This Row],[Повышение 06.09.23 СТ и 1К]]</f>
        <v>93517.2840459375</v>
      </c>
      <c r="AY189" s="93"/>
      <c r="AZ189" s="93">
        <f>ППД5[[#This Row],[Повышение 23.10.23  В4 ]]+ППД5[[#This Row],[Фикс 06.09.23]]</f>
        <v>93517.2840459375</v>
      </c>
      <c r="BA189" s="93"/>
      <c r="BB189" s="93">
        <f>ППД5[[#This Row],[Повышение 8.11.23 1К 5%]]+ППД5[[#This Row],[Фикс 23.10.23]]</f>
        <v>93517.2840459375</v>
      </c>
      <c r="BC189" s="93"/>
      <c r="BD189" s="93">
        <f>ППД5[[#This Row],[Корректировка 24.11.23 - 1К В5, 2К А2, №233]]+ППД5[[#This Row],[Фикс 8.11.23]]</f>
        <v>93517.2840459375</v>
      </c>
      <c r="BE189" s="93"/>
      <c r="BF189" s="93">
        <f>ППД5[[#This Row],[Наценка за отделку 29.12.23 1%]]+ППД5[[#This Row],[Фикс 8.11.24]]</f>
        <v>93517.2840459375</v>
      </c>
      <c r="BG189" s="93"/>
      <c r="BH189" s="93">
        <f>ППД5[[#This Row],[Фикс 29.12.23]]+ППД5[[#This Row],[Наценка 10.01.24 5%]]</f>
        <v>93517.2840459375</v>
      </c>
      <c r="BI189" s="93"/>
      <c r="BJ189" s="93">
        <f>ППД5[[#This Row],[Наценка 26.02.24 1 Этаж]]+ППД5[[#This Row],[Фикс 10.01.24]]</f>
        <v>93517.2840459375</v>
      </c>
      <c r="BK189" s="93"/>
      <c r="BL189" s="93">
        <f>ППД5[[#This Row],[Фикс 26.02.24]]+ППД5[[#This Row],[Наценка 06.03.24
СТ, 1К - 3%
2К, 3К - 2%]]</f>
        <v>93517.2840459375</v>
      </c>
      <c r="BM189" s="93"/>
      <c r="BN189" s="93">
        <f>ППД5[[#This Row],[Фикс 06.03.24]]+ППД5[[#This Row],[Наценка Г2+500]]</f>
        <v>93517.2840459375</v>
      </c>
      <c r="BO189" s="93"/>
      <c r="BP189" s="93">
        <f>ППД5[[#This Row],[Фикс 13.03.25]]+ППД5[[#This Row],[Наценка 20.03.24
2К, 3К - 2%]]</f>
        <v>93517.2840459375</v>
      </c>
      <c r="BQ189" s="93"/>
      <c r="BR189" s="93">
        <f>ППД5[[#This Row],[Фикс 20.03.24]]+ППД5[[#This Row],[Наценка 08.04.24 
2К: В3 - 150
3К: Г7 +1000]]</f>
        <v>93517.2840459375</v>
      </c>
      <c r="BS189" s="9"/>
      <c r="BT189" s="93">
        <f>ППД5[[#This Row],[Фикс 08.04.24]]+ППД5[[#This Row],[Наценка 16.05.24 1%
А4,А6,Б3,Б6,Б7,В2,В3,В5,В6,Г1,Г3-Г5]]</f>
        <v>93517.2840459375</v>
      </c>
      <c r="BU189" s="93"/>
      <c r="BV189" s="93">
        <f>ППД5[[#This Row],[Фикс 16.05.24]]+ППД5[[#This Row],[Наценка 24.05.24
1% - Б4, Б5,Г2,Г6
2% - А1,А3,А5,Б2,Г7]]</f>
        <v>93517.2840459375</v>
      </c>
      <c r="BW189" s="93"/>
      <c r="BX189" s="93">
        <f>ППД5[[#This Row],[Наценка 06.06.24
0К: В2,Г3 +0,5%
1К: А7, Б5/4, Г6 +0,5%
3К: В6 +0,5%
1К: А3 +1%]]+ППД5[[#This Row],[Фикс 24.05.24]]</f>
        <v>93517.2840459375</v>
      </c>
      <c r="BY189" s="93"/>
      <c r="BZ189" s="93">
        <f>ППД5[[#This Row],[Фикс 06.06.24]]+ППД5[[#This Row],[13.06.2024
3К - 2%]]</f>
        <v>93517.2840459375</v>
      </c>
      <c r="CA189" s="93"/>
      <c r="CB189" s="93">
        <f>ППД5[[#This Row],[02.07.2024: Г3 А1 А3 Б5 Б7 Г2 Г6 Б3 Б4 В3 Г7 2,5% ост 0,5-1,5%]]+ППД5[[#This Row],[Фикс 13.06.24]]</f>
        <v>93517.2840459375</v>
      </c>
      <c r="CC189" s="93"/>
      <c r="CD189" s="93">
        <f>ППД5[[#This Row],[Фикс 02.07.24]]+ППД5[[#This Row],[04.09.2024 +500
0К - Б2; 1К - А3;
2К - А6, Б4, В3, Г5]]</f>
        <v>93517.2840459375</v>
      </c>
      <c r="CE189" s="93"/>
      <c r="CF189" s="93">
        <f>ППД5[[#This Row],[Наценка 16.09.2024
1К: А1,В7,Г6/7,Г8 - 2%
2К: А4,А5,А6,Б1,Б6,Б3/4,В3,В4,Г4,Г5 - 4%
3К: 4%]]+ППД5[[#This Row],[Фикс 04.09.24]]</f>
        <v>93517.2840459375</v>
      </c>
      <c r="CG189" s="93"/>
      <c r="CH189" s="93">
        <f>ППД5[[#This Row],[Фикс 16.09.2024]]+ППД5[[#This Row],[Наценка 01.11.24
СТ: 4%
1К: 34-40м 5%; 40м+ 8%; МГН 1%
2К: 55-70м 6%; 70-73м 7%; 73-76м 8% 
3К: 5%]]</f>
        <v>93517.2840459375</v>
      </c>
      <c r="CI189" s="93"/>
      <c r="CJ189" s="93">
        <f>ППД5[[#This Row],[Наценка 06.11 13%]]+ППД5[[#This Row],[Фикс 01.11.24]]</f>
        <v>93517.2840459375</v>
      </c>
      <c r="CK189" s="93"/>
      <c r="CL189" s="93">
        <f>ППД5[[#This Row],[Фикс 06.11.24]]+ППД5[[#This Row],[Наценка 18.12.24 распределение КВ]]</f>
        <v>93517.2840459375</v>
      </c>
      <c r="CM189" s="93"/>
      <c r="CN189" s="93">
        <f>ППД5[[#This Row],[Фикс 18.12.24]]+ППД5[[#This Row],[Наценка 10.02.25 +1%
1К: А3
2К: Б3, В3]]</f>
        <v>93517.2840459375</v>
      </c>
      <c r="CO189" s="93">
        <f>ROUND(ППД5[[#This Row],[Фикс 10.02.25]],2)</f>
        <v>93517.28</v>
      </c>
      <c r="CP18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3953910.6</v>
      </c>
      <c r="CQ189" s="93">
        <f>ROUNDUP(ППД5[[#This Row],[Стоимость до скидки]]+ППД5[[#This Row],[Сумма доплаты]],-2)</f>
        <v>3941800</v>
      </c>
      <c r="CR189" s="68"/>
      <c r="CS189" s="90"/>
      <c r="CT189" s="68">
        <f>ППД5[[#This Row],[Стоимость до скидки]]*ППД5[[#This Row],[Скидка %]]+ППД5[[#This Row],[Скидка фиксированная]]</f>
        <v>0</v>
      </c>
      <c r="CU189" s="3">
        <f>ППД5[[#This Row],[Стоимость ОН без отделки со скидкой]]/ППД5[[#This Row],[Расчетная проектная площадь]]</f>
        <v>93517.280037842953</v>
      </c>
      <c r="CV189" s="3">
        <f>ROUND(ППД5[[#This Row],[Стоимость до скидки]]-ППД5[[#This Row],[Итоговая сумма скидки]],2)</f>
        <v>3953910.6</v>
      </c>
      <c r="CW18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89" s="197"/>
      <c r="CY189" s="332">
        <f>ППД5[[#This Row],[Расхождение]]/ППД5[[#This Row],[Расчетная проектная площадь]]</f>
        <v>-3.0747398297067776E-3</v>
      </c>
      <c r="CZ18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-0.16000000000000192</v>
      </c>
      <c r="DA189" s="3">
        <f>ППД5[[#This Row],[Цена м2 без отделки со скидкой]]+ППД5[[#This Row],[Стоимость отделки]]</f>
        <v>93517.280037842953</v>
      </c>
      <c r="DB189" s="3">
        <f>ППД5[[#This Row],[Стоимость квартиры с отделкой]]-ППД5[[#This Row],[Стоимость ОН без отделки со скидкой]]</f>
        <v>0</v>
      </c>
      <c r="DC189" s="3">
        <f>ППД5[[#This Row],[Цена м2 с отделкой]]*ППД5[[#This Row],[Расчетная проектная площадь]]</f>
        <v>3953910.6</v>
      </c>
      <c r="DD189" s="3"/>
      <c r="DF189" s="199" t="s">
        <v>172</v>
      </c>
      <c r="DG189" s="245" t="s">
        <v>172</v>
      </c>
      <c r="DH189" s="100" t="b">
        <f>EXACT(ППД5[[#This Row],[Статусы CRM]],ППД5[[#This Row],[Статус]])</f>
        <v>1</v>
      </c>
      <c r="DI189" s="213" t="s">
        <v>361</v>
      </c>
      <c r="DJ189" s="204"/>
      <c r="DK189" s="111" t="s">
        <v>76</v>
      </c>
      <c r="DL189" s="216" t="s">
        <v>12</v>
      </c>
      <c r="DM189" s="201" t="b">
        <f>ППД5[[#This Row],[Отделка CRM]]=ППД5[[#This Row],[Отделка]]</f>
        <v>1</v>
      </c>
      <c r="DN189" s="203">
        <v>3953910.6</v>
      </c>
      <c r="DO18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89" s="207" t="b">
        <f>IF(AND(ППД5[[#This Row],[Статус]]="свободно",ППД5[[#This Row],[Итоговая сумма скидки]]&lt;&gt;0),FALSE,TRUE)</f>
        <v>1</v>
      </c>
      <c r="DQ189" s="240">
        <f>_xlfn.XLOOKUP(ППД5[[#This Row],[№]],Юрист[№ кв],Юрист[Дата подачи на регистрацию]," ",0,-1)</f>
        <v>45230</v>
      </c>
      <c r="DR189" s="115" t="str">
        <f>_xlfn.XLOOKUP(ППД5[[#This Row],[№]],Юрист[№ кв],Юрист[МОП],"",0,-1)</f>
        <v>Никишов</v>
      </c>
      <c r="DS189" s="333" t="s">
        <v>2670</v>
      </c>
      <c r="DT189" s="333" t="s">
        <v>2671</v>
      </c>
      <c r="DU189" s="333">
        <v>40.799999999999997</v>
      </c>
      <c r="DV189" s="111"/>
    </row>
    <row r="190" spans="1:126" hidden="1" x14ac:dyDescent="0.25">
      <c r="A190" s="112">
        <v>188</v>
      </c>
      <c r="B190" s="111" t="s">
        <v>4</v>
      </c>
      <c r="C190" s="111">
        <v>12</v>
      </c>
      <c r="D190" s="338">
        <v>1</v>
      </c>
      <c r="E190" s="111">
        <v>2</v>
      </c>
      <c r="F190" s="105">
        <v>15.91</v>
      </c>
      <c r="G190" s="105">
        <v>12.02</v>
      </c>
      <c r="H190" s="105"/>
      <c r="I190" s="94">
        <f>SUM(ППД5[[#This Row],[Комната 1]:[Комната 3]])</f>
        <v>27.93</v>
      </c>
      <c r="J190" s="105">
        <v>15.31</v>
      </c>
      <c r="K190" s="105">
        <v>3.85</v>
      </c>
      <c r="L190" s="105">
        <v>2.2999999999999998</v>
      </c>
      <c r="M190" s="105"/>
      <c r="N190" s="105">
        <v>9.4499999999999993</v>
      </c>
      <c r="O190" s="105">
        <v>2.75</v>
      </c>
      <c r="P190" s="105"/>
      <c r="Q190" s="105"/>
      <c r="R190" s="105">
        <f>SUM(ППД5[[#This Row],[Лоджия 1]:[Лоджия 3]])</f>
        <v>2.75</v>
      </c>
      <c r="S190" s="8">
        <f>ROUND(SUM(ППД5[[#This Row],[Площадь по проекту жилая]:[Лоджия 3]]),2)</f>
        <v>61.59</v>
      </c>
      <c r="T190" s="8">
        <f>ROUND(ППД5[[#This Row],[Площадь по проекту(общая)]]-ППД5[[#This Row],[Летние]],2)</f>
        <v>58.84</v>
      </c>
      <c r="U190" s="91">
        <f>ROUND(ППД5[[#This Row],[Площадь по проекту(общая)]]-(SUM(ППД5[[#This Row],[Лоджия 1]:[Лоджия 3]])/2),2)</f>
        <v>60.22</v>
      </c>
      <c r="V190" s="91">
        <f>IF(ППД5[[#This Row],[Статус]]="продажа",ППД5[[#This Row],[Расчетная проектная площадь]],ППД5[[#This Row],[Расчетная ТП площадь]])</f>
        <v>60.22</v>
      </c>
      <c r="W190" s="91">
        <v>15.8</v>
      </c>
      <c r="X190" s="91">
        <v>12</v>
      </c>
      <c r="Y190" s="91"/>
      <c r="Z190" s="91">
        <f>SUM(ППД5[[#This Row],[ТП Комната 1]:[ТП Комната 3]])</f>
        <v>27.8</v>
      </c>
      <c r="AA190" s="91">
        <v>15.2</v>
      </c>
      <c r="AB190" s="91">
        <v>3.9</v>
      </c>
      <c r="AC190" s="91">
        <v>2.2999999999999998</v>
      </c>
      <c r="AD190" s="91"/>
      <c r="AE190" s="91">
        <v>9.5</v>
      </c>
      <c r="AF190" s="91">
        <v>1.4</v>
      </c>
      <c r="AG190" s="91"/>
      <c r="AH190" s="91"/>
      <c r="AI190" s="91">
        <f>SUM(ППД5[[#This Row],[ТП Лоджия 1]:[ТП Лоджия 3]])</f>
        <v>1.4</v>
      </c>
      <c r="AJ190" s="95">
        <v>2.8</v>
      </c>
      <c r="AK190" s="91">
        <f>SUM(ППД5[[#This Row],[Площадь по ТП жилая]:[ТП Лоджия 3]])-ППД5[[#This Row],[ТП Летние]]+ППД5[[#This Row],[кроме того прочая
(без коэффициента)]]</f>
        <v>61.499999999999993</v>
      </c>
      <c r="AL190" s="95">
        <f>ППД5[[#This Row],[ТП Площадь без летних]]+(ППД5[[#This Row],[ТП Летние]])</f>
        <v>60.099999999999994</v>
      </c>
      <c r="AM190" s="91">
        <f>ППД5[[#This Row],[ТП общая S]]-ППД5[[#This Row],[кроме того прочая
(без коэффициента)]]</f>
        <v>58.699999999999996</v>
      </c>
      <c r="AN190" s="95">
        <f>SUM(ППД5[[#This Row],[ТП Кухня]:[ТП Коридор]])</f>
        <v>30.9</v>
      </c>
      <c r="AO190" s="91">
        <f>ППД5[[#This Row],[Расчетная ТП площадь]]-ППД5[[#This Row],[Расчетная проектная площадь]]</f>
        <v>-0.12000000000000455</v>
      </c>
      <c r="AP190" s="335">
        <f>ППД5[[#This Row],[Расчетная ТП площадь]]/ППД5[[#This Row],[Расчетная проектная площадь]]-1</f>
        <v>-1.9926934573232247E-3</v>
      </c>
      <c r="AQ190" s="91">
        <f>ППД5[[#This Row],[% расхождения]]*ППД5[[#This Row],[Стоимость до скидки]]</f>
        <v>-11720.624377283742</v>
      </c>
      <c r="AR190" s="91">
        <f>VLOOKUP(ППД5[[#This Row],[№]],наценкад5[],COLUMN(наценкад5[[#This Row],[Цена м2 с учетом всех K]]),0)</f>
        <v>81852.246000000014</v>
      </c>
      <c r="AS190" s="8">
        <f>ППД5[[#This Row],[м2 после К]]*5%</f>
        <v>4092.6123000000007</v>
      </c>
      <c r="AT190" s="8">
        <f>ППД5[[#This Row],[м2 после К]]+ППД5[[#This Row],[Повышение 16.08.23 - 5%]]</f>
        <v>85944.858300000022</v>
      </c>
      <c r="AU190" s="93">
        <f>ППД5[[#This Row],[Фикс 16.08.23]]*3%</f>
        <v>2578.3457490000005</v>
      </c>
      <c r="AV190" s="93">
        <f>ППД5[[#This Row],[Фикс 16.08.23]]+ППД5[[#This Row],[Повышение 29.08.23 - 3%]]</f>
        <v>88523.204049000022</v>
      </c>
      <c r="AW190" s="93"/>
      <c r="AX190" s="93">
        <f>ППД5[[#This Row],[Фикс 29.08.23]]+ППД5[[#This Row],[Повышение 06.09.23 СТ и 1К]]</f>
        <v>88523.204049000022</v>
      </c>
      <c r="AY190" s="93"/>
      <c r="AZ190" s="93">
        <f>ППД5[[#This Row],[Повышение 23.10.23  В4 ]]+ППД5[[#This Row],[Фикс 06.09.23]]</f>
        <v>88523.204049000022</v>
      </c>
      <c r="BA190" s="93"/>
      <c r="BB190" s="93">
        <f>ППД5[[#This Row],[Повышение 8.11.23 1К 5%]]+ППД5[[#This Row],[Фикс 23.10.23]]</f>
        <v>88523.204049000022</v>
      </c>
      <c r="BC190" s="93"/>
      <c r="BD190" s="93">
        <f>ППД5[[#This Row],[Корректировка 24.11.23 - 1К В5, 2К А2, №233]]+ППД5[[#This Row],[Фикс 8.11.23]]</f>
        <v>88523.204049000022</v>
      </c>
      <c r="BE190" s="93">
        <f>ППД5[[#This Row],[Фикс 8.11.24]]*1%</f>
        <v>885.23204049000026</v>
      </c>
      <c r="BF190" s="93">
        <f>ППД5[[#This Row],[Наценка за отделку 29.12.23 1%]]+ППД5[[#This Row],[Фикс 8.11.24]]</f>
        <v>89408.436089490016</v>
      </c>
      <c r="BG190" s="93">
        <f>ППД5[[#This Row],[Фикс 29.12.23]]*5%</f>
        <v>4470.4218044745012</v>
      </c>
      <c r="BH190" s="93">
        <f>ППД5[[#This Row],[Фикс 29.12.23]]+ППД5[[#This Row],[Наценка 10.01.24 5%]]</f>
        <v>93878.857893964523</v>
      </c>
      <c r="BI190" s="93"/>
      <c r="BJ190" s="93">
        <f>ППД5[[#This Row],[Наценка 26.02.24 1 Этаж]]+ППД5[[#This Row],[Фикс 10.01.24]]</f>
        <v>93878.857893964523</v>
      </c>
      <c r="BK190" s="93">
        <f>ППД5[[#This Row],[Фикс 26.02.24]]*2%</f>
        <v>1877.5771578792906</v>
      </c>
      <c r="BL190" s="93">
        <f>ППД5[[#This Row],[Фикс 26.02.24]]+ППД5[[#This Row],[Наценка 06.03.24
СТ, 1К - 3%
2К, 3К - 2%]]</f>
        <v>95756.435051843815</v>
      </c>
      <c r="BM190" s="93"/>
      <c r="BN190" s="93">
        <f>ППД5[[#This Row],[Фикс 06.03.24]]+ППД5[[#This Row],[Наценка Г2+500]]</f>
        <v>95756.435051843815</v>
      </c>
      <c r="BO190" s="93">
        <f>ППД5[[#This Row],[Фикс 13.03.25]]*2%</f>
        <v>1915.1287010368762</v>
      </c>
      <c r="BP190" s="93">
        <f>ППД5[[#This Row],[Фикс 13.03.25]]+ППД5[[#This Row],[Наценка 20.03.24
2К, 3К - 2%]]</f>
        <v>97671.563752880698</v>
      </c>
      <c r="BQ190" s="93"/>
      <c r="BR190" s="93">
        <f>ППД5[[#This Row],[Фикс 20.03.24]]+ППД5[[#This Row],[Наценка 08.04.24 
2К: В3 - 150
3К: Г7 +1000]]</f>
        <v>97671.563752880698</v>
      </c>
      <c r="BS190" s="93"/>
      <c r="BT190" s="93">
        <f>ППД5[[#This Row],[Фикс 08.04.24]]+ППД5[[#This Row],[Наценка 16.05.24 1%
А4,А6,Б3,Б6,Б7,В2,В3,В5,В6,Г1,Г3-Г5]]</f>
        <v>97671.563752880698</v>
      </c>
      <c r="BU190" s="93"/>
      <c r="BV190" s="93">
        <f>ППД5[[#This Row],[Фикс 16.05.24]]+ППД5[[#This Row],[Наценка 24.05.24
1% - Б4, Б5,Г2,Г6
2% - А1,А3,А5,Б2,Г7]]</f>
        <v>97671.563752880698</v>
      </c>
      <c r="BW190" s="93"/>
      <c r="BX190" s="93">
        <f>ППД5[[#This Row],[Наценка 06.06.24
0К: В2,Г3 +0,5%
1К: А7, Б5/4, Г6 +0,5%
3К: В6 +0,5%
1К: А3 +1%]]+ППД5[[#This Row],[Фикс 24.05.24]]</f>
        <v>97671.563752880698</v>
      </c>
      <c r="BY190" s="93"/>
      <c r="BZ190" s="93">
        <f>ППД5[[#This Row],[Фикс 06.06.24]]+ППД5[[#This Row],[13.06.2024
3К - 2%]]</f>
        <v>97671.563752880698</v>
      </c>
      <c r="CA190" s="93"/>
      <c r="CB190" s="93">
        <f>ППД5[[#This Row],[02.07.2024: Г3 А1 А3 Б5 Б7 Г2 Г6 Б3 Б4 В3 Г7 2,5% ост 0,5-1,5%]]+ППД5[[#This Row],[Фикс 13.06.24]]</f>
        <v>97671.563752880698</v>
      </c>
      <c r="CC190" s="93"/>
      <c r="CD190" s="93">
        <f>ППД5[[#This Row],[Фикс 02.07.24]]+ППД5[[#This Row],[04.09.2024 +500
0К - Б2; 1К - А3;
2К - А6, Б4, В3, Г5]]</f>
        <v>97671.563752880698</v>
      </c>
      <c r="CE190" s="93"/>
      <c r="CF190" s="93">
        <f>ППД5[[#This Row],[Наценка 16.09.2024
1К: А1,В7,Г6/7,Г8 - 2%
2К: А4,А5,А6,Б1,Б6,Б3/4,В3,В4,Г4,Г5 - 4%
3К: 4%]]+ППД5[[#This Row],[Фикс 04.09.24]]</f>
        <v>97671.563752880698</v>
      </c>
      <c r="CG190" s="93"/>
      <c r="CH190" s="93">
        <f>ППД5[[#This Row],[Фикс 16.09.2024]]+ППД5[[#This Row],[Наценка 01.11.24
СТ: 4%
1К: 34-40м 5%; 40м+ 8%; МГН 1%
2К: 55-70м 6%; 70-73м 7%; 73-76м 8% 
3К: 5%]]</f>
        <v>97671.563752880698</v>
      </c>
      <c r="CI190" s="93"/>
      <c r="CJ190" s="93">
        <f>ППД5[[#This Row],[Наценка 06.11 13%]]+ППД5[[#This Row],[Фикс 01.11.24]]</f>
        <v>97671.563752880698</v>
      </c>
      <c r="CK190" s="93"/>
      <c r="CL190" s="93">
        <f>ППД5[[#This Row],[Фикс 06.11.24]]+ППД5[[#This Row],[Наценка 18.12.24 распределение КВ]]</f>
        <v>97671.563752880698</v>
      </c>
      <c r="CM190" s="93"/>
      <c r="CN190" s="93">
        <f>ППД5[[#This Row],[Фикс 18.12.24]]+ППД5[[#This Row],[Наценка 10.02.25 +1%
1К: А3
2К: Б3, В3]]</f>
        <v>97671.563752880698</v>
      </c>
      <c r="CO190" s="93">
        <f>ROUND(ППД5[[#This Row],[Фикс 10.02.25]],2)</f>
        <v>97671.56</v>
      </c>
      <c r="CP19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5881800</v>
      </c>
      <c r="CQ190" s="93">
        <f>ROUNDUP(ППД5[[#This Row],[Стоимость до скидки]]+ППД5[[#This Row],[Сумма доплаты]],-2)</f>
        <v>5870100</v>
      </c>
      <c r="CR190" s="68"/>
      <c r="CS190" s="90"/>
      <c r="CT190" s="68">
        <f>ППД5[[#This Row],[Стоимость до скидки]]*ППД5[[#This Row],[Скидка %]]+ППД5[[#This Row],[Скидка фиксированная]]</f>
        <v>0</v>
      </c>
      <c r="CU190" s="3">
        <f>ППД5[[#This Row],[Стоимость ОН без отделки со скидкой]]/ППД5[[#This Row],[Расчетная проектная площадь]]</f>
        <v>97671.86981069413</v>
      </c>
      <c r="CV190" s="3">
        <f>ROUND(ППД5[[#This Row],[Стоимость до скидки]]-ППД5[[#This Row],[Итоговая сумма скидки]],2)</f>
        <v>5881800</v>
      </c>
      <c r="CW19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190" s="197">
        <v>7000</v>
      </c>
      <c r="CY190" s="332">
        <f>ППД5[[#This Row],[Расхождение]]/ППД5[[#This Row],[Расчетная проектная площадь]]</f>
        <v>-1.9926934573232238E-3</v>
      </c>
      <c r="CZ19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-1.0000000000001563E-2</v>
      </c>
      <c r="DA190" s="3">
        <f>ППД5[[#This Row],[Цена м2 без отделки со скидкой]]+ППД5[[#This Row],[Стоимость отделки]]</f>
        <v>104671.86981069413</v>
      </c>
      <c r="DB190" s="3">
        <f>ППД5[[#This Row],[Стоимость квартиры с отделкой]]-ППД5[[#This Row],[Стоимость ОН без отделки со скидкой]]</f>
        <v>421540</v>
      </c>
      <c r="DC190" s="3">
        <f>ППД5[[#This Row],[Цена м2 с отделкой]]*ППД5[[#This Row],[Расчетная проектная площадь]]</f>
        <v>6303340</v>
      </c>
      <c r="DD190" s="3"/>
      <c r="DF190" s="199" t="s">
        <v>172</v>
      </c>
      <c r="DG190" s="245" t="s">
        <v>172</v>
      </c>
      <c r="DH190" s="100" t="b">
        <f>EXACT(ППД5[[#This Row],[Статусы CRM]],ППД5[[#This Row],[Статус]])</f>
        <v>1</v>
      </c>
      <c r="DI190" s="213" t="s">
        <v>362</v>
      </c>
      <c r="DJ190" s="204"/>
      <c r="DK190" s="111" t="s">
        <v>763</v>
      </c>
      <c r="DL190" s="216" t="s">
        <v>780</v>
      </c>
      <c r="DM190" s="201" t="b">
        <f>ППД5[[#This Row],[Отделка CRM]]=ППД5[[#This Row],[Отделка]]</f>
        <v>1</v>
      </c>
      <c r="DN190" s="203">
        <v>6303340</v>
      </c>
      <c r="DO19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90" s="207" t="b">
        <f>IF(AND(ППД5[[#This Row],[Статус]]="свободно",ППД5[[#This Row],[Итоговая сумма скидки]]&lt;&gt;0),FALSE,TRUE)</f>
        <v>1</v>
      </c>
      <c r="DQ190" s="240">
        <f>_xlfn.XLOOKUP(ППД5[[#This Row],[№]],Юрист[№ кв],Юрист[Дата подачи на регистрацию]," ",0,-1)</f>
        <v>45433</v>
      </c>
      <c r="DR190" s="115" t="str">
        <f>_xlfn.XLOOKUP(ППД5[[#This Row],[№]],Юрист[№ кв],Юрист[МОП],"",0,-1)</f>
        <v>Дик</v>
      </c>
      <c r="DS190" s="333" t="s">
        <v>2672</v>
      </c>
      <c r="DT190" s="333" t="s">
        <v>2673</v>
      </c>
      <c r="DU190" s="333">
        <v>58.7</v>
      </c>
      <c r="DV190" s="111"/>
    </row>
    <row r="191" spans="1:126" hidden="1" x14ac:dyDescent="0.25">
      <c r="A191" s="112">
        <v>189</v>
      </c>
      <c r="B191" s="111" t="s">
        <v>4</v>
      </c>
      <c r="C191" s="111">
        <v>12</v>
      </c>
      <c r="D191" s="111">
        <v>2</v>
      </c>
      <c r="E191" s="111">
        <v>0</v>
      </c>
      <c r="F191" s="105">
        <v>7.13</v>
      </c>
      <c r="G191" s="105"/>
      <c r="H191" s="105"/>
      <c r="I191" s="94">
        <f>SUM(ППД5[[#This Row],[Комната 1]:[Комната 3]])</f>
        <v>7.13</v>
      </c>
      <c r="J191" s="105">
        <v>5.12</v>
      </c>
      <c r="K191" s="105">
        <v>3.65</v>
      </c>
      <c r="L191" s="105"/>
      <c r="M191" s="105"/>
      <c r="N191" s="105">
        <v>6.92</v>
      </c>
      <c r="O191" s="105">
        <v>2.91</v>
      </c>
      <c r="P191" s="105"/>
      <c r="Q191" s="105"/>
      <c r="R191" s="105">
        <f>SUM(ППД5[[#This Row],[Лоджия 1]:[Лоджия 3]])</f>
        <v>2.91</v>
      </c>
      <c r="S191" s="8">
        <f>ROUND(SUM(ППД5[[#This Row],[Площадь по проекту жилая]:[Лоджия 3]]),2)</f>
        <v>25.73</v>
      </c>
      <c r="T191" s="8">
        <f>ROUND(ППД5[[#This Row],[Площадь по проекту(общая)]]-ППД5[[#This Row],[Летние]],2)</f>
        <v>22.82</v>
      </c>
      <c r="U191" s="91">
        <f>ROUND(ППД5[[#This Row],[Площадь по проекту(общая)]]-(SUM(ППД5[[#This Row],[Лоджия 1]:[Лоджия 3]])/2),2)</f>
        <v>24.28</v>
      </c>
      <c r="V191" s="91">
        <f>IF(ППД5[[#This Row],[Статус]]="продажа",ППД5[[#This Row],[Расчетная проектная площадь]],ППД5[[#This Row],[Расчетная ТП площадь]])</f>
        <v>24.28</v>
      </c>
      <c r="W191" s="91">
        <v>7.1</v>
      </c>
      <c r="X191" s="91"/>
      <c r="Y191" s="91"/>
      <c r="Z191" s="91">
        <f>SUM(ППД5[[#This Row],[ТП Комната 1]:[ТП Комната 3]])</f>
        <v>7.1</v>
      </c>
      <c r="AA191" s="91">
        <v>5.0999999999999996</v>
      </c>
      <c r="AB191" s="91">
        <v>3.6</v>
      </c>
      <c r="AC191" s="91"/>
      <c r="AD191" s="91"/>
      <c r="AE191" s="91">
        <v>7</v>
      </c>
      <c r="AF191" s="91">
        <v>1.45</v>
      </c>
      <c r="AG191" s="91"/>
      <c r="AH191" s="91"/>
      <c r="AI191" s="91">
        <f>SUM(ППД5[[#This Row],[ТП Лоджия 1]:[ТП Лоджия 3]])</f>
        <v>1.45</v>
      </c>
      <c r="AJ191" s="95">
        <v>2.9</v>
      </c>
      <c r="AK191" s="91">
        <f>SUM(ППД5[[#This Row],[Площадь по ТП жилая]:[ТП Лоджия 3]])-ППД5[[#This Row],[ТП Летние]]+ППД5[[#This Row],[кроме того прочая
(без коэффициента)]]</f>
        <v>25.699999999999996</v>
      </c>
      <c r="AL191" s="95">
        <f>ППД5[[#This Row],[ТП Площадь без летних]]+(ППД5[[#This Row],[ТП Летние]])</f>
        <v>24.249999999999996</v>
      </c>
      <c r="AM191" s="91">
        <f>ППД5[[#This Row],[ТП общая S]]-ППД5[[#This Row],[кроме того прочая
(без коэффициента)]]</f>
        <v>22.799999999999997</v>
      </c>
      <c r="AN191" s="95">
        <f>SUM(ППД5[[#This Row],[ТП Кухня]:[ТП Коридор]])</f>
        <v>15.7</v>
      </c>
      <c r="AO191" s="91">
        <f>ППД5[[#This Row],[Расчетная ТП площадь]]-ППД5[[#This Row],[Расчетная проектная площадь]]</f>
        <v>-3.000000000000469E-2</v>
      </c>
      <c r="AP191" s="335">
        <f>ППД5[[#This Row],[Расчетная ТП площадь]]/ППД5[[#This Row],[Расчетная проектная площадь]]-1</f>
        <v>-1.2355848434927319E-3</v>
      </c>
      <c r="AQ191" s="91">
        <f>ППД5[[#This Row],[% расхождения]]*ППД5[[#This Row],[Стоимость до скидки]]</f>
        <v>-2759.4473970349209</v>
      </c>
      <c r="AR191" s="91">
        <f>VLOOKUP(ППД5[[#This Row],[№]],наценкад5[],COLUMN(наценкад5[[#This Row],[Цена м2 с учетом всех K]]),0)</f>
        <v>91981.574999999997</v>
      </c>
      <c r="AS191" s="8"/>
      <c r="AT191" s="8">
        <f>ППД5[[#This Row],[м2 после К]]+ППД5[[#This Row],[Повышение 16.08.23 - 5%]]</f>
        <v>91981.574999999997</v>
      </c>
      <c r="AU191" s="93"/>
      <c r="AV191" s="93">
        <f>ППД5[[#This Row],[Фикс 16.08.23]]+ППД5[[#This Row],[Повышение 29.08.23 - 3%]]</f>
        <v>91981.574999999997</v>
      </c>
      <c r="AW191" s="93"/>
      <c r="AX191" s="93">
        <f>ППД5[[#This Row],[Фикс 29.08.23]]+ППД5[[#This Row],[Повышение 06.09.23 СТ и 1К]]</f>
        <v>91981.574999999997</v>
      </c>
      <c r="AY191" s="93"/>
      <c r="AZ191" s="93">
        <f>ППД5[[#This Row],[Повышение 23.10.23  В4 ]]+ППД5[[#This Row],[Фикс 06.09.23]]</f>
        <v>91981.574999999997</v>
      </c>
      <c r="BA191" s="93"/>
      <c r="BB191" s="93">
        <f>ППД5[[#This Row],[Повышение 8.11.23 1К 5%]]+ППД5[[#This Row],[Фикс 23.10.23]]</f>
        <v>91981.574999999997</v>
      </c>
      <c r="BC191" s="93"/>
      <c r="BD191" s="93">
        <f>ППД5[[#This Row],[Корректировка 24.11.23 - 1К В5, 2К А2, №233]]+ППД5[[#This Row],[Фикс 8.11.23]]</f>
        <v>91981.574999999997</v>
      </c>
      <c r="BE191" s="93"/>
      <c r="BF191" s="93">
        <f>ППД5[[#This Row],[Наценка за отделку 29.12.23 1%]]+ППД5[[#This Row],[Фикс 8.11.24]]</f>
        <v>91981.574999999997</v>
      </c>
      <c r="BG191" s="93"/>
      <c r="BH191" s="93">
        <f>ППД5[[#This Row],[Фикс 29.12.23]]+ППД5[[#This Row],[Наценка 10.01.24 5%]]</f>
        <v>91981.574999999997</v>
      </c>
      <c r="BI191" s="93"/>
      <c r="BJ191" s="93">
        <f>ППД5[[#This Row],[Наценка 26.02.24 1 Этаж]]+ППД5[[#This Row],[Фикс 10.01.24]]</f>
        <v>91981.574999999997</v>
      </c>
      <c r="BK191" s="93"/>
      <c r="BL191" s="93">
        <f>ППД5[[#This Row],[Фикс 26.02.24]]+ППД5[[#This Row],[Наценка 06.03.24
СТ, 1К - 3%
2К, 3К - 2%]]</f>
        <v>91981.574999999997</v>
      </c>
      <c r="BM191" s="93"/>
      <c r="BN191" s="93">
        <f>ППД5[[#This Row],[Фикс 06.03.24]]+ППД5[[#This Row],[Наценка Г2+500]]</f>
        <v>91981.574999999997</v>
      </c>
      <c r="BO191" s="93"/>
      <c r="BP191" s="93">
        <f>ППД5[[#This Row],[Фикс 13.03.25]]+ППД5[[#This Row],[Наценка 20.03.24
2К, 3К - 2%]]</f>
        <v>91981.574999999997</v>
      </c>
      <c r="BQ191" s="93"/>
      <c r="BR191" s="93">
        <f>ППД5[[#This Row],[Фикс 20.03.24]]+ППД5[[#This Row],[Наценка 08.04.24 
2К: В3 - 150
3К: Г7 +1000]]</f>
        <v>91981.574999999997</v>
      </c>
      <c r="BS191" s="93"/>
      <c r="BT191" s="93">
        <f>ППД5[[#This Row],[Фикс 08.04.24]]+ППД5[[#This Row],[Наценка 16.05.24 1%
А4,А6,Б3,Б6,Б7,В2,В3,В5,В6,Г1,Г3-Г5]]</f>
        <v>91981.574999999997</v>
      </c>
      <c r="BU191" s="93"/>
      <c r="BV191" s="93">
        <f>ППД5[[#This Row],[Фикс 16.05.24]]+ППД5[[#This Row],[Наценка 24.05.24
1% - Б4, Б5,Г2,Г6
2% - А1,А3,А5,Б2,Г7]]</f>
        <v>91981.574999999997</v>
      </c>
      <c r="BW191" s="93"/>
      <c r="BX191" s="93">
        <f>ППД5[[#This Row],[Наценка 06.06.24
0К: В2,Г3 +0,5%
1К: А7, Б5/4, Г6 +0,5%
3К: В6 +0,5%
1К: А3 +1%]]+ППД5[[#This Row],[Фикс 24.05.24]]</f>
        <v>91981.574999999997</v>
      </c>
      <c r="BY191" s="93"/>
      <c r="BZ191" s="93">
        <f>ППД5[[#This Row],[Фикс 06.06.24]]+ППД5[[#This Row],[13.06.2024
3К - 2%]]</f>
        <v>91981.574999999997</v>
      </c>
      <c r="CA191" s="93"/>
      <c r="CB191" s="93">
        <f>ППД5[[#This Row],[02.07.2024: Г3 А1 А3 Б5 Б7 Г2 Г6 Б3 Б4 В3 Г7 2,5% ост 0,5-1,5%]]+ППД5[[#This Row],[Фикс 13.06.24]]</f>
        <v>91981.574999999997</v>
      </c>
      <c r="CC191" s="93"/>
      <c r="CD191" s="93">
        <f>ППД5[[#This Row],[Фикс 02.07.24]]+ППД5[[#This Row],[04.09.2024 +500
0К - Б2; 1К - А3;
2К - А6, Б4, В3, Г5]]</f>
        <v>91981.574999999997</v>
      </c>
      <c r="CE191" s="93"/>
      <c r="CF191" s="93">
        <f>ППД5[[#This Row],[Наценка 16.09.2024
1К: А1,В7,Г6/7,Г8 - 2%
2К: А4,А5,А6,Б1,Б6,Б3/4,В3,В4,Г4,Г5 - 4%
3К: 4%]]+ППД5[[#This Row],[Фикс 04.09.24]]</f>
        <v>91981.574999999997</v>
      </c>
      <c r="CG191" s="93"/>
      <c r="CH191" s="93">
        <f>ППД5[[#This Row],[Фикс 16.09.2024]]+ППД5[[#This Row],[Наценка 01.11.24
СТ: 4%
1К: 34-40м 5%; 40м+ 8%; МГН 1%
2К: 55-70м 6%; 70-73м 7%; 73-76м 8% 
3К: 5%]]</f>
        <v>91981.574999999997</v>
      </c>
      <c r="CI191" s="93"/>
      <c r="CJ191" s="93">
        <f>ППД5[[#This Row],[Наценка 06.11 13%]]+ППД5[[#This Row],[Фикс 01.11.24]]</f>
        <v>91981.574999999997</v>
      </c>
      <c r="CK191" s="93"/>
      <c r="CL191" s="93">
        <f>ППД5[[#This Row],[Фикс 06.11.24]]+ППД5[[#This Row],[Наценка 18.12.24 распределение КВ]]</f>
        <v>91981.574999999997</v>
      </c>
      <c r="CM191" s="93"/>
      <c r="CN191" s="93">
        <f>ППД5[[#This Row],[Фикс 18.12.24]]+ППД5[[#This Row],[Наценка 10.02.25 +1%
1К: А3
2К: Б3, В3]]</f>
        <v>91981.574999999997</v>
      </c>
      <c r="CO191" s="93">
        <f>ROUND(ППД5[[#This Row],[Фикс 10.02.25]],2)</f>
        <v>91981.58</v>
      </c>
      <c r="CP19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2233312.7599999998</v>
      </c>
      <c r="CQ191" s="93">
        <f>ROUNDUP(ППД5[[#This Row],[Стоимость до скидки]]+ППД5[[#This Row],[Сумма доплаты]],-2)</f>
        <v>2230600</v>
      </c>
      <c r="CR191" s="68"/>
      <c r="CS191" s="90"/>
      <c r="CT191" s="68">
        <f>ППД5[[#This Row],[Стоимость до скидки]]*ППД5[[#This Row],[Скидка %]]+ППД5[[#This Row],[Скидка фиксированная]]</f>
        <v>0</v>
      </c>
      <c r="CU191" s="3">
        <f>ППД5[[#This Row],[Стоимость ОН без отделки со скидкой]]/ППД5[[#This Row],[Расчетная проектная площадь]]</f>
        <v>91981.579901153193</v>
      </c>
      <c r="CV191" s="3">
        <f>ROUND(ППД5[[#This Row],[Стоимость до скидки]]-ППД5[[#This Row],[Итоговая сумма скидки]],2)</f>
        <v>2233312.7599999998</v>
      </c>
      <c r="CW19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91" s="197"/>
      <c r="CY191" s="332">
        <f>ППД5[[#This Row],[Расхождение]]/ППД5[[#This Row],[Расчетная проектная площадь]]</f>
        <v>-1.2355848434927796E-3</v>
      </c>
      <c r="CZ19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9.9999999999988987E-3</v>
      </c>
      <c r="DA191" s="3">
        <f>ППД5[[#This Row],[Цена м2 без отделки со скидкой]]+ППД5[[#This Row],[Стоимость отделки]]</f>
        <v>91981.579901153193</v>
      </c>
      <c r="DB191" s="3">
        <f>ППД5[[#This Row],[Стоимость квартиры с отделкой]]-ППД5[[#This Row],[Стоимость ОН без отделки со скидкой]]</f>
        <v>0</v>
      </c>
      <c r="DC191" s="3">
        <f>ППД5[[#This Row],[Цена м2 с отделкой]]*ППД5[[#This Row],[Расчетная проектная площадь]]</f>
        <v>2233312.7599999998</v>
      </c>
      <c r="DD191" s="3"/>
      <c r="DF191" s="199" t="s">
        <v>172</v>
      </c>
      <c r="DG191" s="245" t="s">
        <v>172</v>
      </c>
      <c r="DH191" s="100" t="b">
        <f>EXACT(ППД5[[#This Row],[Статусы CRM]],ППД5[[#This Row],[Статус]])</f>
        <v>1</v>
      </c>
      <c r="DI191" s="213" t="s">
        <v>363</v>
      </c>
      <c r="DJ191" s="204"/>
      <c r="DK191" s="111" t="s">
        <v>76</v>
      </c>
      <c r="DL191" s="216" t="s">
        <v>12</v>
      </c>
      <c r="DM191" s="201" t="b">
        <f>ППД5[[#This Row],[Отделка CRM]]=ППД5[[#This Row],[Отделка]]</f>
        <v>1</v>
      </c>
      <c r="DN191" s="203">
        <v>2233312.7599999998</v>
      </c>
      <c r="DO19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91" s="207" t="b">
        <f>IF(AND(ППД5[[#This Row],[Статус]]="свободно",ППД5[[#This Row],[Итоговая сумма скидки]]&lt;&gt;0),FALSE,TRUE)</f>
        <v>1</v>
      </c>
      <c r="DQ191" s="240">
        <f>_xlfn.XLOOKUP(ППД5[[#This Row],[№]],Юрист[№ кв],Юрист[Дата подачи на регистрацию]," ",0,-1)</f>
        <v>45188</v>
      </c>
      <c r="DR191" s="115" t="str">
        <f>_xlfn.XLOOKUP(ППД5[[#This Row],[№]],Юрист[№ кв],Юрист[МОП],"",0,-1)</f>
        <v>Кофанова</v>
      </c>
      <c r="DS191" s="333" t="s">
        <v>2674</v>
      </c>
      <c r="DT191" s="333" t="s">
        <v>2675</v>
      </c>
      <c r="DU191" s="333">
        <v>22.8</v>
      </c>
      <c r="DV191" s="111"/>
    </row>
    <row r="192" spans="1:126" hidden="1" x14ac:dyDescent="0.25">
      <c r="A192" s="112">
        <v>190</v>
      </c>
      <c r="B192" s="111" t="s">
        <v>4</v>
      </c>
      <c r="C192" s="111">
        <v>12</v>
      </c>
      <c r="D192" s="111">
        <v>3</v>
      </c>
      <c r="E192" s="111">
        <v>2</v>
      </c>
      <c r="F192" s="105">
        <v>14.6</v>
      </c>
      <c r="G192" s="105">
        <v>13.12</v>
      </c>
      <c r="H192" s="105"/>
      <c r="I192" s="94">
        <f>SUM(ППД5[[#This Row],[Комната 1]:[Комната 3]])</f>
        <v>27.72</v>
      </c>
      <c r="J192" s="105">
        <v>14.35</v>
      </c>
      <c r="K192" s="105">
        <v>3.68</v>
      </c>
      <c r="L192" s="105">
        <v>2.57</v>
      </c>
      <c r="M192" s="105"/>
      <c r="N192" s="105">
        <v>7.95</v>
      </c>
      <c r="O192" s="105">
        <v>2.65</v>
      </c>
      <c r="P192" s="105"/>
      <c r="Q192" s="105"/>
      <c r="R192" s="105">
        <f>SUM(ППД5[[#This Row],[Лоджия 1]:[Лоджия 3]])</f>
        <v>2.65</v>
      </c>
      <c r="S192" s="8">
        <f>ROUND(SUM(ППД5[[#This Row],[Площадь по проекту жилая]:[Лоджия 3]]),2)</f>
        <v>58.92</v>
      </c>
      <c r="T192" s="8">
        <f>ROUND(ППД5[[#This Row],[Площадь по проекту(общая)]]-ППД5[[#This Row],[Летние]],2)</f>
        <v>56.27</v>
      </c>
      <c r="U192" s="91">
        <f>ROUND(ППД5[[#This Row],[Площадь по проекту(общая)]]-(SUM(ППД5[[#This Row],[Лоджия 1]:[Лоджия 3]])/2),2)</f>
        <v>57.6</v>
      </c>
      <c r="V192" s="91">
        <f>IF(ППД5[[#This Row],[Статус]]="продажа",ППД5[[#This Row],[Расчетная проектная площадь]],ППД5[[#This Row],[Расчетная ТП площадь]])</f>
        <v>57.95</v>
      </c>
      <c r="W192" s="91">
        <v>13</v>
      </c>
      <c r="X192" s="91">
        <v>14.7</v>
      </c>
      <c r="Y192" s="91"/>
      <c r="Z192" s="91">
        <f>SUM(ППД5[[#This Row],[ТП Комната 1]:[ТП Комната 3]])</f>
        <v>27.7</v>
      </c>
      <c r="AA192" s="91">
        <v>14</v>
      </c>
      <c r="AB192" s="91">
        <v>2.6</v>
      </c>
      <c r="AC192" s="91">
        <v>3.9</v>
      </c>
      <c r="AD192" s="91"/>
      <c r="AE192" s="91">
        <v>8.4</v>
      </c>
      <c r="AF192" s="91">
        <v>1.35</v>
      </c>
      <c r="AG192" s="91"/>
      <c r="AH192" s="91"/>
      <c r="AI192" s="91">
        <f>SUM(ППД5[[#This Row],[ТП Лоджия 1]:[ТП Лоджия 3]])</f>
        <v>1.35</v>
      </c>
      <c r="AJ192" s="95">
        <v>2.7</v>
      </c>
      <c r="AK192" s="91">
        <f>SUM(ППД5[[#This Row],[Площадь по ТП жилая]:[ТП Лоджия 3]])-ППД5[[#This Row],[ТП Летние]]+ППД5[[#This Row],[кроме того прочая
(без коэффициента)]]</f>
        <v>59.300000000000004</v>
      </c>
      <c r="AL192" s="95">
        <f>ППД5[[#This Row],[ТП Площадь без летних]]+(ППД5[[#This Row],[ТП Летние]])</f>
        <v>57.95</v>
      </c>
      <c r="AM192" s="91">
        <f>ППД5[[#This Row],[ТП общая S]]-ППД5[[#This Row],[кроме того прочая
(без коэффициента)]]</f>
        <v>56.6</v>
      </c>
      <c r="AN192" s="95">
        <f>SUM(ППД5[[#This Row],[ТП Кухня]:[ТП Коридор]])</f>
        <v>28.9</v>
      </c>
      <c r="AO192" s="91">
        <f>ППД5[[#This Row],[Расчетная ТП площадь]]-ППД5[[#This Row],[Расчетная проектная площадь]]</f>
        <v>0.35000000000000142</v>
      </c>
      <c r="AP192" s="335">
        <f>ППД5[[#This Row],[Расчетная ТП площадь]]/ППД5[[#This Row],[Расчетная проектная площадь]]-1</f>
        <v>6.0763888888888395E-3</v>
      </c>
      <c r="AQ192" s="91">
        <f>ППД5[[#This Row],[% расхождения]]*ППД5[[#This Row],[Стоимость до скидки]]</f>
        <v>43698.958333332979</v>
      </c>
      <c r="AR192" s="91">
        <f>VLOOKUP(ППД5[[#This Row],[№]],наценкад5[],COLUMN(наценкад5[[#This Row],[Цена м2 с учетом всех K]]),0)</f>
        <v>80307.864000000001</v>
      </c>
      <c r="AS192" s="8">
        <f>ППД5[[#This Row],[м2 после К]]*5%</f>
        <v>4015.3932000000004</v>
      </c>
      <c r="AT192" s="8">
        <f>ППД5[[#This Row],[м2 после К]]+ППД5[[#This Row],[Повышение 16.08.23 - 5%]]</f>
        <v>84323.257200000007</v>
      </c>
      <c r="AU192" s="93">
        <f>ППД5[[#This Row],[Фикс 16.08.23]]*3%</f>
        <v>2529.6977160000001</v>
      </c>
      <c r="AV192" s="93">
        <f>ППД5[[#This Row],[Фикс 16.08.23]]+ППД5[[#This Row],[Повышение 29.08.23 - 3%]]</f>
        <v>86852.954916000002</v>
      </c>
      <c r="AW192" s="93"/>
      <c r="AX192" s="93">
        <f>ППД5[[#This Row],[Фикс 29.08.23]]+ППД5[[#This Row],[Повышение 06.09.23 СТ и 1К]]</f>
        <v>86852.954916000002</v>
      </c>
      <c r="AY192" s="93"/>
      <c r="AZ192" s="93">
        <f>ППД5[[#This Row],[Повышение 23.10.23  В4 ]]+ППД5[[#This Row],[Фикс 06.09.23]]</f>
        <v>86852.954916000002</v>
      </c>
      <c r="BA192" s="93"/>
      <c r="BB192" s="93">
        <f>ППД5[[#This Row],[Повышение 8.11.23 1К 5%]]+ППД5[[#This Row],[Фикс 23.10.23]]</f>
        <v>86852.954916000002</v>
      </c>
      <c r="BC192" s="93"/>
      <c r="BD192" s="93">
        <f>ППД5[[#This Row],[Корректировка 24.11.23 - 1К В5, 2К А2, №233]]+ППД5[[#This Row],[Фикс 8.11.23]]</f>
        <v>86852.954916000002</v>
      </c>
      <c r="BE192" s="93">
        <f>ППД5[[#This Row],[Фикс 8.11.24]]*1%</f>
        <v>868.52954915999999</v>
      </c>
      <c r="BF192" s="93">
        <f>ППД5[[#This Row],[Наценка за отделку 29.12.23 1%]]+ППД5[[#This Row],[Фикс 8.11.24]]</f>
        <v>87721.48446516</v>
      </c>
      <c r="BG192" s="93">
        <f>ППД5[[#This Row],[Фикс 29.12.23]]*5%</f>
        <v>4386.0742232580005</v>
      </c>
      <c r="BH192" s="93">
        <f>ППД5[[#This Row],[Фикс 29.12.23]]+ППД5[[#This Row],[Наценка 10.01.24 5%]]</f>
        <v>92107.558688417994</v>
      </c>
      <c r="BI192" s="93"/>
      <c r="BJ192" s="93">
        <f>ППД5[[#This Row],[Наценка 26.02.24 1 Этаж]]+ППД5[[#This Row],[Фикс 10.01.24]]</f>
        <v>92107.558688417994</v>
      </c>
      <c r="BK192" s="93">
        <f>ППД5[[#This Row],[Фикс 26.02.24]]*2%</f>
        <v>1842.15117376836</v>
      </c>
      <c r="BL192" s="93">
        <f>ППД5[[#This Row],[Фикс 26.02.24]]+ППД5[[#This Row],[Наценка 06.03.24
СТ, 1К - 3%
2К, 3К - 2%]]</f>
        <v>93949.709862186355</v>
      </c>
      <c r="BM192" s="93"/>
      <c r="BN192" s="93">
        <f>ППД5[[#This Row],[Фикс 06.03.24]]+ППД5[[#This Row],[Наценка Г2+500]]</f>
        <v>93949.709862186355</v>
      </c>
      <c r="BO192" s="93">
        <f>ППД5[[#This Row],[Фикс 13.03.25]]*2%</f>
        <v>1878.9941972437271</v>
      </c>
      <c r="BP192" s="93">
        <f>ППД5[[#This Row],[Фикс 13.03.25]]+ППД5[[#This Row],[Наценка 20.03.24
2К, 3К - 2%]]</f>
        <v>95828.704059430078</v>
      </c>
      <c r="BQ192" s="93"/>
      <c r="BR192" s="93">
        <f>ППД5[[#This Row],[Фикс 20.03.24]]+ППД5[[#This Row],[Наценка 08.04.24 
2К: В3 - 150
3К: Г7 +1000]]</f>
        <v>95828.704059430078</v>
      </c>
      <c r="BS192" s="9">
        <f>ППД5[[#This Row],[Фикс 08.04.24]]*1%</f>
        <v>958.28704059430083</v>
      </c>
      <c r="BT192" s="93">
        <f>ППД5[[#This Row],[Фикс 08.04.24]]+ППД5[[#This Row],[Наценка 16.05.24 1%
А4,А6,Б3,Б6,Б7,В2,В3,В5,В6,Г1,Г3-Г5]]</f>
        <v>96786.991100024374</v>
      </c>
      <c r="BU192" s="93"/>
      <c r="BV192" s="93">
        <f>ППД5[[#This Row],[Фикс 16.05.24]]+ППД5[[#This Row],[Наценка 24.05.24
1% - Б4, Б5,Г2,Г6
2% - А1,А3,А5,Б2,Г7]]</f>
        <v>96786.991100024374</v>
      </c>
      <c r="BW192" s="93"/>
      <c r="BX192" s="93">
        <f>ППД5[[#This Row],[Наценка 06.06.24
0К: В2,Г3 +0,5%
1К: А7, Б5/4, Г6 +0,5%
3К: В6 +0,5%
1К: А3 +1%]]+ППД5[[#This Row],[Фикс 24.05.24]]</f>
        <v>96786.991100024374</v>
      </c>
      <c r="BY192" s="93"/>
      <c r="BZ192" s="93">
        <f>ППД5[[#This Row],[Фикс 06.06.24]]+ППД5[[#This Row],[13.06.2024
3К - 2%]]</f>
        <v>96786.991100024374</v>
      </c>
      <c r="CA192" s="93">
        <f>2.5%*ППД5[[#This Row],[Фикс 13.06.24]]</f>
        <v>2419.6747775006093</v>
      </c>
      <c r="CB192" s="93">
        <f>ППД5[[#This Row],[02.07.2024: Г3 А1 А3 Б5 Б7 Г2 Г6 Б3 Б4 В3 Г7 2,5% ост 0,5-1,5%]]+ППД5[[#This Row],[Фикс 13.06.24]]</f>
        <v>99206.665877524982</v>
      </c>
      <c r="CC192" s="93"/>
      <c r="CD192" s="93">
        <f>ППД5[[#This Row],[Фикс 02.07.24]]+ППД5[[#This Row],[04.09.2024 +500
0К - Б2; 1К - А3;
2К - А6, Б4, В3, Г5]]</f>
        <v>99206.665877524982</v>
      </c>
      <c r="CE192" s="93">
        <f>ППД5[[#This Row],[Фикс 04.09.24]]*4%</f>
        <v>3968.2666351009993</v>
      </c>
      <c r="CF192" s="93">
        <f>ППД5[[#This Row],[Наценка 16.09.2024
1К: А1,В7,Г6/7,Г8 - 2%
2К: А4,А5,А6,Б1,Б6,Б3/4,В3,В4,Г4,Г5 - 4%
3К: 4%]]+ППД5[[#This Row],[Фикс 04.09.24]]</f>
        <v>103174.93251262598</v>
      </c>
      <c r="CG192" s="93">
        <f>ППД5[[#This Row],[Фикс 16.09.2024]]*6%</f>
        <v>6190.4959507575586</v>
      </c>
      <c r="CH192" s="93">
        <f>ППД5[[#This Row],[Фикс 16.09.2024]]+ППД5[[#This Row],[Наценка 01.11.24
СТ: 4%
1К: 34-40м 5%; 40м+ 8%; МГН 1%
2К: 55-70м 6%; 70-73м 7%; 73-76м 8% 
3К: 5%]]</f>
        <v>109365.42846338353</v>
      </c>
      <c r="CI192" s="93">
        <f>ППД5[[#This Row],[Фикс 01.11.24]]*13%</f>
        <v>14217.505700239861</v>
      </c>
      <c r="CJ192" s="93">
        <f>ППД5[[#This Row],[Наценка 06.11 13%]]+ППД5[[#This Row],[Фикс 01.11.24]]</f>
        <v>123582.9341636234</v>
      </c>
      <c r="CK192" s="93">
        <v>35</v>
      </c>
      <c r="CL192" s="93">
        <f>ППД5[[#This Row],[Фикс 06.11.24]]+ППД5[[#This Row],[Наценка 18.12.24 распределение КВ]]</f>
        <v>123617.9341636234</v>
      </c>
      <c r="CM192" s="93">
        <f>ППД5[[#This Row],[Фикс 18.12.24]]*1%</f>
        <v>1236.1793416362341</v>
      </c>
      <c r="CN192" s="93">
        <f>ППД5[[#This Row],[Фикс 18.12.24]]+ППД5[[#This Row],[Наценка 10.02.25 +1%
1К: А3
2К: Б3, В3]]</f>
        <v>124854.11350525964</v>
      </c>
      <c r="CO192" s="93">
        <f>ROUND(ППД5[[#This Row],[Фикс 10.02.25]],2)</f>
        <v>124854.11</v>
      </c>
      <c r="CP19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7191600</v>
      </c>
      <c r="CQ192" s="93">
        <f>ROUNDUP(ППД5[[#This Row],[Стоимость до скидки]]+ППД5[[#This Row],[Сумма доплаты]],-2)</f>
        <v>7235300</v>
      </c>
      <c r="CR192" s="68"/>
      <c r="CS192" s="90"/>
      <c r="CT192" s="68">
        <f>ППД5[[#This Row],[Стоимость до скидки]]*ППД5[[#This Row],[Скидка %]]+ППД5[[#This Row],[Скидка фиксированная]]</f>
        <v>0</v>
      </c>
      <c r="CU192" s="3">
        <f>ППД5[[#This Row],[Стоимость ОН без отделки со скидкой]]/ППД5[[#This Row],[Расчетная проектная площадь]]</f>
        <v>124854.16666666666</v>
      </c>
      <c r="CV192" s="3">
        <f>ROUND(ППД5[[#This Row],[Стоимость до скидки]]-ППД5[[#This Row],[Итоговая сумма скидки]],2)</f>
        <v>7191600</v>
      </c>
      <c r="CW19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192" s="197">
        <v>25000</v>
      </c>
      <c r="CY192" s="332">
        <f>ППД5[[#This Row],[Расхождение]]/ППД5[[#This Row],[Расчетная проектная площадь]]</f>
        <v>6.0763888888889133E-3</v>
      </c>
      <c r="CZ19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0.34999999999999964</v>
      </c>
      <c r="DA192" s="3">
        <f>ППД5[[#This Row],[Цена м2 без отделки со скидкой]]+ППД5[[#This Row],[Стоимость отделки]]</f>
        <v>149854.16666666666</v>
      </c>
      <c r="DB192" s="3">
        <f>ППД5[[#This Row],[Стоимость квартиры с отделкой]]-ППД5[[#This Row],[Стоимость ОН без отделки со скидкой]]</f>
        <v>1440000</v>
      </c>
      <c r="DC192" s="3">
        <f>ППД5[[#This Row],[Цена м2 с отделкой]]*ППД5[[#This Row],[Расчетная проектная площадь]]</f>
        <v>8631600</v>
      </c>
      <c r="DD192" s="3" t="s">
        <v>154</v>
      </c>
      <c r="DF192" s="155" t="s">
        <v>157</v>
      </c>
      <c r="DG192" s="221" t="s">
        <v>157</v>
      </c>
      <c r="DH192" s="100" t="b">
        <f>EXACT(ППД5[[#This Row],[Статусы CRM]],ППД5[[#This Row],[Статус]])</f>
        <v>1</v>
      </c>
      <c r="DI192" s="213" t="s">
        <v>364</v>
      </c>
      <c r="DJ192" s="204"/>
      <c r="DK192" s="111" t="s">
        <v>763</v>
      </c>
      <c r="DL192" s="216" t="s">
        <v>14</v>
      </c>
      <c r="DM192" s="201" t="b">
        <f>ППД5[[#This Row],[Отделка CRM]]=ППД5[[#This Row],[Отделка]]</f>
        <v>1</v>
      </c>
      <c r="DN192" s="203">
        <v>8631600</v>
      </c>
      <c r="DO19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92" s="207" t="b">
        <f>IF(AND(ППД5[[#This Row],[Статус]]="свободно",ППД5[[#This Row],[Итоговая сумма скидки]]&lt;&gt;0),FALSE,TRUE)</f>
        <v>1</v>
      </c>
      <c r="DQ192" s="240" t="str">
        <f>_xlfn.XLOOKUP(ППД5[[#This Row],[№]],Юрист[№ кв],Юрист[Дата подачи на регистрацию]," ",0,-1)</f>
        <v xml:space="preserve"> </v>
      </c>
      <c r="DR192" s="115" t="str">
        <f>_xlfn.XLOOKUP(ППД5[[#This Row],[№]],Юрист[№ кв],Юрист[МОП],"",0,-1)</f>
        <v/>
      </c>
      <c r="DS192" s="333" t="s">
        <v>2676</v>
      </c>
      <c r="DT192" s="333" t="s">
        <v>2677</v>
      </c>
      <c r="DU192" s="333">
        <v>56.6</v>
      </c>
      <c r="DV192" s="111"/>
    </row>
    <row r="193" spans="1:126" hidden="1" x14ac:dyDescent="0.25">
      <c r="A193" s="112">
        <v>191</v>
      </c>
      <c r="B193" s="111" t="s">
        <v>4</v>
      </c>
      <c r="C193" s="111">
        <v>12</v>
      </c>
      <c r="D193" s="111">
        <v>4</v>
      </c>
      <c r="E193" s="111">
        <v>2</v>
      </c>
      <c r="F193" s="105">
        <v>15.45</v>
      </c>
      <c r="G193" s="105">
        <v>14.5</v>
      </c>
      <c r="H193" s="105"/>
      <c r="I193" s="94">
        <f>SUM(ППД5[[#This Row],[Комната 1]:[Комната 3]])</f>
        <v>29.95</v>
      </c>
      <c r="J193" s="105">
        <v>11.95</v>
      </c>
      <c r="K193" s="105">
        <v>3.86</v>
      </c>
      <c r="L193" s="105">
        <v>2.37</v>
      </c>
      <c r="M193" s="105"/>
      <c r="N193" s="105">
        <v>8.8699999999999992</v>
      </c>
      <c r="O193" s="105">
        <v>2.62</v>
      </c>
      <c r="P193" s="105"/>
      <c r="Q193" s="105"/>
      <c r="R193" s="105">
        <f>SUM(ППД5[[#This Row],[Лоджия 1]:[Лоджия 3]])</f>
        <v>2.62</v>
      </c>
      <c r="S193" s="8">
        <f>ROUND(SUM(ППД5[[#This Row],[Площадь по проекту жилая]:[Лоджия 3]]),2)</f>
        <v>59.62</v>
      </c>
      <c r="T193" s="8">
        <f>ROUND(ППД5[[#This Row],[Площадь по проекту(общая)]]-ППД5[[#This Row],[Летние]],2)</f>
        <v>57</v>
      </c>
      <c r="U193" s="91">
        <f>ROUND(ППД5[[#This Row],[Площадь по проекту(общая)]]-(SUM(ППД5[[#This Row],[Лоджия 1]:[Лоджия 3]])/2),2)</f>
        <v>58.31</v>
      </c>
      <c r="V193" s="91">
        <f>IF(ППД5[[#This Row],[Статус]]="продажа",ППД5[[#This Row],[Расчетная проектная площадь]],ППД5[[#This Row],[Расчетная ТП площадь]])</f>
        <v>58.349999999999994</v>
      </c>
      <c r="W193" s="91">
        <v>14.5</v>
      </c>
      <c r="X193" s="91">
        <v>15.4</v>
      </c>
      <c r="Y193" s="91"/>
      <c r="Z193" s="91">
        <f>SUM(ППД5[[#This Row],[ТП Комната 1]:[ТП Комната 3]])</f>
        <v>29.9</v>
      </c>
      <c r="AA193" s="91">
        <v>12</v>
      </c>
      <c r="AB193" s="91">
        <v>3.8</v>
      </c>
      <c r="AC193" s="91">
        <v>2.2999999999999998</v>
      </c>
      <c r="AD193" s="91"/>
      <c r="AE193" s="91">
        <v>9</v>
      </c>
      <c r="AF193" s="91">
        <v>1.35</v>
      </c>
      <c r="AG193" s="91"/>
      <c r="AH193" s="91"/>
      <c r="AI193" s="91">
        <f>SUM(ППД5[[#This Row],[ТП Лоджия 1]:[ТП Лоджия 3]])</f>
        <v>1.35</v>
      </c>
      <c r="AJ193" s="95">
        <v>2.7</v>
      </c>
      <c r="AK193" s="91">
        <f>SUM(ППД5[[#This Row],[Площадь по ТП жилая]:[ТП Лоджия 3]])-ППД5[[#This Row],[ТП Летние]]+ППД5[[#This Row],[кроме того прочая
(без коэффициента)]]</f>
        <v>59.699999999999996</v>
      </c>
      <c r="AL193" s="95">
        <f>ППД5[[#This Row],[ТП Площадь без летних]]+(ППД5[[#This Row],[ТП Летние]])</f>
        <v>58.349999999999994</v>
      </c>
      <c r="AM193" s="91">
        <f>ППД5[[#This Row],[ТП общая S]]-ППД5[[#This Row],[кроме того прочая
(без коэффициента)]]</f>
        <v>56.999999999999993</v>
      </c>
      <c r="AN193" s="95">
        <f>SUM(ППД5[[#This Row],[ТП Кухня]:[ТП Коридор]])</f>
        <v>27.1</v>
      </c>
      <c r="AO193" s="91">
        <f>ППД5[[#This Row],[Расчетная ТП площадь]]-ППД5[[#This Row],[Расчетная проектная площадь]]</f>
        <v>3.9999999999992042E-2</v>
      </c>
      <c r="AP193" s="335">
        <f>ППД5[[#This Row],[Расчетная ТП площадь]]/ППД5[[#This Row],[Расчетная проектная площадь]]-1</f>
        <v>6.8598868118652234E-4</v>
      </c>
      <c r="AQ193" s="91">
        <f>ППД5[[#This Row],[% расхождения]]*ППД5[[#This Row],[Стоимость до скидки]]</f>
        <v>5040.987823699159</v>
      </c>
      <c r="AR193" s="91">
        <f>VLOOKUP(ППД5[[#This Row],[№]],наценкад5[],COLUMN(наценкад5[[#This Row],[Цена м2 с учетом всех K]]),0)</f>
        <v>81466.150500000003</v>
      </c>
      <c r="AS193" s="8">
        <f>ППД5[[#This Row],[м2 после К]]*5%</f>
        <v>4073.3075250000002</v>
      </c>
      <c r="AT193" s="8">
        <f>ППД5[[#This Row],[м2 после К]]+ППД5[[#This Row],[Повышение 16.08.23 - 5%]]</f>
        <v>85539.458025</v>
      </c>
      <c r="AU193" s="93">
        <f>ППД5[[#This Row],[Фикс 16.08.23]]*3%</f>
        <v>2566.1837407499997</v>
      </c>
      <c r="AV193" s="93">
        <f>ППД5[[#This Row],[Фикс 16.08.23]]+ППД5[[#This Row],[Повышение 29.08.23 - 3%]]</f>
        <v>88105.641765749999</v>
      </c>
      <c r="AW193" s="93"/>
      <c r="AX193" s="93">
        <f>ППД5[[#This Row],[Фикс 29.08.23]]+ППД5[[#This Row],[Повышение 06.09.23 СТ и 1К]]</f>
        <v>88105.641765749999</v>
      </c>
      <c r="AY193" s="93"/>
      <c r="AZ193" s="93">
        <f>ППД5[[#This Row],[Повышение 23.10.23  В4 ]]+ППД5[[#This Row],[Фикс 06.09.23]]</f>
        <v>88105.641765749999</v>
      </c>
      <c r="BA193" s="93"/>
      <c r="BB193" s="93">
        <f>ППД5[[#This Row],[Повышение 8.11.23 1К 5%]]+ППД5[[#This Row],[Фикс 23.10.23]]</f>
        <v>88105.641765749999</v>
      </c>
      <c r="BC193" s="93"/>
      <c r="BD193" s="93">
        <f>ППД5[[#This Row],[Корректировка 24.11.23 - 1К В5, 2К А2, №233]]+ППД5[[#This Row],[Фикс 8.11.23]]</f>
        <v>88105.641765749999</v>
      </c>
      <c r="BE193" s="93">
        <f>ППД5[[#This Row],[Фикс 8.11.24]]*1%</f>
        <v>881.05641765749999</v>
      </c>
      <c r="BF193" s="93">
        <f>ППД5[[#This Row],[Наценка за отделку 29.12.23 1%]]+ППД5[[#This Row],[Фикс 8.11.24]]</f>
        <v>88986.698183407498</v>
      </c>
      <c r="BG193" s="93">
        <f>ППД5[[#This Row],[Фикс 29.12.23]]*5%</f>
        <v>4449.3349091703749</v>
      </c>
      <c r="BH193" s="93">
        <f>ППД5[[#This Row],[Фикс 29.12.23]]+ППД5[[#This Row],[Наценка 10.01.24 5%]]</f>
        <v>93436.033092577869</v>
      </c>
      <c r="BI193" s="93"/>
      <c r="BJ193" s="93">
        <f>ППД5[[#This Row],[Наценка 26.02.24 1 Этаж]]+ППД5[[#This Row],[Фикс 10.01.24]]</f>
        <v>93436.033092577869</v>
      </c>
      <c r="BK193" s="93">
        <f>ППД5[[#This Row],[Фикс 26.02.24]]*2%</f>
        <v>1868.7206618515575</v>
      </c>
      <c r="BL193" s="93">
        <f>ППД5[[#This Row],[Фикс 26.02.24]]+ППД5[[#This Row],[Наценка 06.03.24
СТ, 1К - 3%
2К, 3К - 2%]]</f>
        <v>95304.753754429432</v>
      </c>
      <c r="BM193" s="93"/>
      <c r="BN193" s="93">
        <f>ППД5[[#This Row],[Фикс 06.03.24]]+ППД5[[#This Row],[Наценка Г2+500]]</f>
        <v>95304.753754429432</v>
      </c>
      <c r="BO193" s="93">
        <f>ППД5[[#This Row],[Фикс 13.03.25]]*2%</f>
        <v>1906.0950750885886</v>
      </c>
      <c r="BP193" s="93">
        <f>ППД5[[#This Row],[Фикс 13.03.25]]+ППД5[[#This Row],[Наценка 20.03.24
2К, 3К - 2%]]</f>
        <v>97210.848829518014</v>
      </c>
      <c r="BQ193" s="93"/>
      <c r="BR193" s="93">
        <f>ППД5[[#This Row],[Фикс 20.03.24]]+ППД5[[#This Row],[Наценка 08.04.24 
2К: В3 - 150
3К: Г7 +1000]]</f>
        <v>97210.848829518014</v>
      </c>
      <c r="BS193" s="93"/>
      <c r="BT193" s="93">
        <f>ППД5[[#This Row],[Фикс 08.04.24]]+ППД5[[#This Row],[Наценка 16.05.24 1%
А4,А6,Б3,Б6,Б7,В2,В3,В5,В6,Г1,Г3-Г5]]</f>
        <v>97210.848829518014</v>
      </c>
      <c r="BU193" s="93">
        <f>ППД5[[#This Row],[Фикс 16.05.24]]*1%</f>
        <v>972.10848829518011</v>
      </c>
      <c r="BV193" s="93">
        <f>ППД5[[#This Row],[Фикс 16.05.24]]+ППД5[[#This Row],[Наценка 24.05.24
1% - Б4, Б5,Г2,Г6
2% - А1,А3,А5,Б2,Г7]]</f>
        <v>98182.957317813198</v>
      </c>
      <c r="BW193" s="93"/>
      <c r="BX193" s="93">
        <f>ППД5[[#This Row],[Наценка 06.06.24
0К: В2,Г3 +0,5%
1К: А7, Б5/4, Г6 +0,5%
3К: В6 +0,5%
1К: А3 +1%]]+ППД5[[#This Row],[Фикс 24.05.24]]</f>
        <v>98182.957317813198</v>
      </c>
      <c r="BY193" s="93"/>
      <c r="BZ193" s="93">
        <f>ППД5[[#This Row],[Фикс 06.06.24]]+ППД5[[#This Row],[13.06.2024
3К - 2%]]</f>
        <v>98182.957317813198</v>
      </c>
      <c r="CA193" s="93">
        <f>2.5%*ППД5[[#This Row],[Фикс 13.06.24]]</f>
        <v>2454.5739329453299</v>
      </c>
      <c r="CB193" s="93">
        <f>ППД5[[#This Row],[02.07.2024: Г3 А1 А3 Б5 Б7 Г2 Г6 Б3 Б4 В3 Г7 2,5% ост 0,5-1,5%]]+ППД5[[#This Row],[Фикс 13.06.24]]</f>
        <v>100637.53125075853</v>
      </c>
      <c r="CC193" s="93">
        <v>500</v>
      </c>
      <c r="CD193" s="93">
        <f>ППД5[[#This Row],[Фикс 02.07.24]]+ППД5[[#This Row],[04.09.2024 +500
0К - Б2; 1К - А3;
2К - А6, Б4, В3, Г5]]</f>
        <v>101137.53125075853</v>
      </c>
      <c r="CE193" s="93">
        <f>ППД5[[#This Row],[Фикс 04.09.24]]*4%</f>
        <v>4045.5012500303415</v>
      </c>
      <c r="CF193" s="93">
        <f>ППД5[[#This Row],[Наценка 16.09.2024
1К: А1,В7,Г6/7,Г8 - 2%
2К: А4,А5,А6,Б1,Б6,Б3/4,В3,В4,Г4,Г5 - 4%
3К: 4%]]+ППД5[[#This Row],[Фикс 04.09.24]]</f>
        <v>105183.03250078888</v>
      </c>
      <c r="CG193" s="93">
        <f>ППД5[[#This Row],[Фикс 16.09.2024]]*6%</f>
        <v>6310.9819500473322</v>
      </c>
      <c r="CH193" s="93">
        <f>ППД5[[#This Row],[Фикс 16.09.2024]]+ППД5[[#This Row],[Наценка 01.11.24
СТ: 4%
1К: 34-40м 5%; 40м+ 8%; МГН 1%
2К: 55-70м 6%; 70-73м 7%; 73-76м 8% 
3К: 5%]]</f>
        <v>111494.01445083621</v>
      </c>
      <c r="CI193" s="93">
        <f>ППД5[[#This Row],[Фикс 01.11.24]]*13%</f>
        <v>14494.221878608709</v>
      </c>
      <c r="CJ193" s="93">
        <f>ППД5[[#This Row],[Наценка 06.11 13%]]+ППД5[[#This Row],[Фикс 01.11.24]]</f>
        <v>125988.23632944492</v>
      </c>
      <c r="CK193" s="93">
        <v>35</v>
      </c>
      <c r="CL193" s="93">
        <f>ППД5[[#This Row],[Фикс 06.11.24]]+ППД5[[#This Row],[Наценка 18.12.24 распределение КВ]]</f>
        <v>126023.23632944492</v>
      </c>
      <c r="CM193" s="93"/>
      <c r="CN193" s="93">
        <f>ППД5[[#This Row],[Фикс 18.12.24]]+ППД5[[#This Row],[Наценка 10.02.25 +1%
1К: А3
2К: Б3, В3]]</f>
        <v>126023.23632944492</v>
      </c>
      <c r="CO193" s="93">
        <f>ROUND(ППД5[[#This Row],[Фикс 10.02.25]],2)</f>
        <v>126023.24</v>
      </c>
      <c r="CP19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7348500</v>
      </c>
      <c r="CQ193" s="93">
        <f>ROUNDUP(ППД5[[#This Row],[Стоимость до скидки]]+ППД5[[#This Row],[Сумма доплаты]],-2)</f>
        <v>7353600</v>
      </c>
      <c r="CR193" s="68"/>
      <c r="CS193" s="90"/>
      <c r="CT193" s="68">
        <f>ППД5[[#This Row],[Стоимость до скидки]]*ППД5[[#This Row],[Скидка %]]+ППД5[[#This Row],[Скидка фиксированная]]</f>
        <v>0</v>
      </c>
      <c r="CU193" s="3">
        <f>ППД5[[#This Row],[Стоимость ОН без отделки со скидкой]]/ППД5[[#This Row],[Расчетная проектная площадь]]</f>
        <v>126024.69559252272</v>
      </c>
      <c r="CV193" s="3">
        <f>ROUND(ППД5[[#This Row],[Стоимость до скидки]]-ППД5[[#This Row],[Итоговая сумма скидки]],2)</f>
        <v>7348500</v>
      </c>
      <c r="CW19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193" s="218">
        <v>10000</v>
      </c>
      <c r="CY193" s="332">
        <f>ППД5[[#This Row],[Расхождение]]/ППД5[[#This Row],[Расчетная проектная площадь]]</f>
        <v>6.8598868118662393E-4</v>
      </c>
      <c r="CZ193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5.0000000000004263E-2</v>
      </c>
      <c r="DA193" s="3">
        <f>ППД5[[#This Row],[Цена м2 без отделки со скидкой]]+ППД5[[#This Row],[Стоимость отделки]]</f>
        <v>136024.69559252274</v>
      </c>
      <c r="DB193" s="3">
        <f>ППД5[[#This Row],[Стоимость квартиры с отделкой]]-ППД5[[#This Row],[Стоимость ОН без отделки со скидкой]]</f>
        <v>583100.00000000093</v>
      </c>
      <c r="DC193" s="3">
        <f>ППД5[[#This Row],[Цена м2 с отделкой]]*ППД5[[#This Row],[Расчетная проектная площадь]]</f>
        <v>7931600.0000000009</v>
      </c>
      <c r="DD193" s="3"/>
      <c r="DF193" s="199" t="s">
        <v>157</v>
      </c>
      <c r="DG193" s="245" t="s">
        <v>157</v>
      </c>
      <c r="DH193" s="100" t="b">
        <f>EXACT(ППД5[[#This Row],[Статусы CRM]],ППД5[[#This Row],[Статус]])</f>
        <v>1</v>
      </c>
      <c r="DI193" s="213" t="s">
        <v>365</v>
      </c>
      <c r="DJ193" s="204"/>
      <c r="DK193" s="111" t="s">
        <v>763</v>
      </c>
      <c r="DL193" s="216" t="s">
        <v>780</v>
      </c>
      <c r="DM193" s="201" t="b">
        <f>ППД5[[#This Row],[Отделка CRM]]=ППД5[[#This Row],[Отделка]]</f>
        <v>1</v>
      </c>
      <c r="DN193" s="203">
        <v>7931600</v>
      </c>
      <c r="DO19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-9.3132257461547852E-10</v>
      </c>
      <c r="DP193" s="207" t="b">
        <f>IF(AND(ППД5[[#This Row],[Статус]]="свободно",ППД5[[#This Row],[Итоговая сумма скидки]]&lt;&gt;0),FALSE,TRUE)</f>
        <v>1</v>
      </c>
      <c r="DQ193" s="240" t="str">
        <f>_xlfn.XLOOKUP(ППД5[[#This Row],[№]],Юрист[№ кв],Юрист[Дата подачи на регистрацию]," ",0,-1)</f>
        <v xml:space="preserve"> </v>
      </c>
      <c r="DR193" s="115" t="str">
        <f>_xlfn.XLOOKUP(ППД5[[#This Row],[№]],Юрист[№ кв],Юрист[МОП],"",0,-1)</f>
        <v/>
      </c>
      <c r="DS193" s="333" t="s">
        <v>2678</v>
      </c>
      <c r="DT193" s="333" t="s">
        <v>2679</v>
      </c>
      <c r="DU193" s="333">
        <v>57</v>
      </c>
      <c r="DV193" s="111"/>
    </row>
    <row r="194" spans="1:126" hidden="1" x14ac:dyDescent="0.25">
      <c r="A194" s="112">
        <v>192</v>
      </c>
      <c r="B194" s="111" t="s">
        <v>4</v>
      </c>
      <c r="C194" s="111">
        <v>12</v>
      </c>
      <c r="D194" s="111">
        <v>5</v>
      </c>
      <c r="E194" s="111">
        <v>1</v>
      </c>
      <c r="F194" s="105">
        <v>12.06</v>
      </c>
      <c r="G194" s="105"/>
      <c r="H194" s="105"/>
      <c r="I194" s="94">
        <f>SUM(ППД5[[#This Row],[Комната 1]:[Комната 3]])</f>
        <v>12.06</v>
      </c>
      <c r="J194" s="105">
        <v>13.18</v>
      </c>
      <c r="K194" s="105">
        <v>4.1100000000000003</v>
      </c>
      <c r="L194" s="105"/>
      <c r="M194" s="105"/>
      <c r="N194" s="105">
        <v>7.09</v>
      </c>
      <c r="O194" s="105">
        <v>2.84</v>
      </c>
      <c r="P194" s="105"/>
      <c r="Q194" s="105"/>
      <c r="R194" s="105">
        <f>SUM(ППД5[[#This Row],[Лоджия 1]:[Лоджия 3]])</f>
        <v>2.84</v>
      </c>
      <c r="S194" s="8">
        <f>ROUND(SUM(ППД5[[#This Row],[Площадь по проекту жилая]:[Лоджия 3]]),2)</f>
        <v>39.28</v>
      </c>
      <c r="T194" s="8">
        <f>ROUND(ППД5[[#This Row],[Площадь по проекту(общая)]]-ППД5[[#This Row],[Летние]],2)</f>
        <v>36.44</v>
      </c>
      <c r="U194" s="91">
        <f>ROUND(ППД5[[#This Row],[Площадь по проекту(общая)]]-(SUM(ППД5[[#This Row],[Лоджия 1]:[Лоджия 3]])/2),2)</f>
        <v>37.86</v>
      </c>
      <c r="V194" s="91">
        <f>IF(ППД5[[#This Row],[Статус]]="продажа",ППД5[[#This Row],[Расчетная проектная площадь]],ППД5[[#This Row],[Расчетная ТП площадь]])</f>
        <v>37.549999999999997</v>
      </c>
      <c r="W194" s="91">
        <v>12.5</v>
      </c>
      <c r="X194" s="91"/>
      <c r="Y194" s="91"/>
      <c r="Z194" s="91">
        <f>SUM(ППД5[[#This Row],[ТП Комната 1]:[ТП Комната 3]])</f>
        <v>12.5</v>
      </c>
      <c r="AA194" s="91">
        <v>12.7</v>
      </c>
      <c r="AB194" s="91">
        <v>4.2</v>
      </c>
      <c r="AC194" s="91"/>
      <c r="AD194" s="91"/>
      <c r="AE194" s="91">
        <v>6.9</v>
      </c>
      <c r="AF194" s="92">
        <v>1.25</v>
      </c>
      <c r="AG194" s="91"/>
      <c r="AH194" s="91"/>
      <c r="AI194" s="91">
        <f>SUM(ППД5[[#This Row],[ТП Лоджия 1]:[ТП Лоджия 3]])</f>
        <v>1.25</v>
      </c>
      <c r="AJ194" s="95">
        <v>2.5</v>
      </c>
      <c r="AK194" s="91">
        <f>SUM(ППД5[[#This Row],[Площадь по ТП жилая]:[ТП Лоджия 3]])-ППД5[[#This Row],[ТП Летние]]+ППД5[[#This Row],[кроме того прочая
(без коэффициента)]]</f>
        <v>38.799999999999997</v>
      </c>
      <c r="AL194" s="95">
        <f>ППД5[[#This Row],[ТП Площадь без летних]]+(ППД5[[#This Row],[ТП Летние]])</f>
        <v>37.549999999999997</v>
      </c>
      <c r="AM194" s="91">
        <f>ППД5[[#This Row],[ТП общая S]]-ППД5[[#This Row],[кроме того прочая
(без коэффициента)]]</f>
        <v>36.299999999999997</v>
      </c>
      <c r="AN194" s="95">
        <f>SUM(ППД5[[#This Row],[ТП Кухня]:[ТП Коридор]])</f>
        <v>23.799999999999997</v>
      </c>
      <c r="AO194" s="91">
        <f>ППД5[[#This Row],[Расчетная ТП площадь]]-ППД5[[#This Row],[Расчетная проектная площадь]]</f>
        <v>-0.31000000000000227</v>
      </c>
      <c r="AP194" s="335">
        <f>ППД5[[#This Row],[Расчетная ТП площадь]]/ППД5[[#This Row],[Расчетная проектная площадь]]-1</f>
        <v>-8.1880612783941098E-3</v>
      </c>
      <c r="AQ194" s="91">
        <f>ППД5[[#This Row],[% расхождения]]*ППД5[[#This Row],[Стоимость до скидки]]</f>
        <v>-44270.390913893432</v>
      </c>
      <c r="AR194" s="91">
        <f>VLOOKUP(ППД5[[#This Row],[№]],наценкад5[],COLUMN(наценкад5[[#This Row],[Цена м2 с учетом всех K]]),0)</f>
        <v>89223.75</v>
      </c>
      <c r="AS194" s="8">
        <f>ППД5[[#This Row],[м2 после К]]*5%</f>
        <v>4461.1875</v>
      </c>
      <c r="AT194" s="8">
        <f>ППД5[[#This Row],[м2 после К]]+ППД5[[#This Row],[Повышение 16.08.23 - 5%]]</f>
        <v>93684.9375</v>
      </c>
      <c r="AU194" s="93">
        <f>ППД5[[#This Row],[Фикс 16.08.23]]*3%</f>
        <v>2810.5481249999998</v>
      </c>
      <c r="AV194" s="93">
        <f>ППД5[[#This Row],[Фикс 16.08.23]]+ППД5[[#This Row],[Повышение 29.08.23 - 3%]]</f>
        <v>96495.485625000001</v>
      </c>
      <c r="AW194" s="93">
        <f>ППД5[[#This Row],[Фикс 29.08.23]]*4.5%</f>
        <v>4342.2968531249999</v>
      </c>
      <c r="AX194" s="93">
        <f>ППД5[[#This Row],[Фикс 29.08.23]]+ППД5[[#This Row],[Повышение 06.09.23 СТ и 1К]]</f>
        <v>100837.78247812499</v>
      </c>
      <c r="AY194" s="93"/>
      <c r="AZ194" s="93">
        <f>ППД5[[#This Row],[Повышение 23.10.23  В4 ]]+ППД5[[#This Row],[Фикс 06.09.23]]</f>
        <v>100837.78247812499</v>
      </c>
      <c r="BA194" s="93">
        <f>ППД5[[#This Row],[Фикс 23.10.23]]*5%</f>
        <v>5041.8891239062505</v>
      </c>
      <c r="BB194" s="93">
        <f>ППД5[[#This Row],[Повышение 8.11.23 1К 5%]]+ППД5[[#This Row],[Фикс 23.10.23]]</f>
        <v>105879.67160203125</v>
      </c>
      <c r="BC194" s="93"/>
      <c r="BD194" s="93">
        <f>ППД5[[#This Row],[Корректировка 24.11.23 - 1К В5, 2К А2, №233]]+ППД5[[#This Row],[Фикс 8.11.23]]</f>
        <v>105879.67160203125</v>
      </c>
      <c r="BE194" s="93">
        <f>ППД5[[#This Row],[Фикс 8.11.24]]*1%</f>
        <v>1058.7967160203125</v>
      </c>
      <c r="BF194" s="93">
        <f>ППД5[[#This Row],[Наценка за отделку 29.12.23 1%]]+ППД5[[#This Row],[Фикс 8.11.24]]</f>
        <v>106938.46831805156</v>
      </c>
      <c r="BG194" s="93">
        <f>ППД5[[#This Row],[Фикс 29.12.23]]*5%</f>
        <v>5346.9234159025782</v>
      </c>
      <c r="BH194" s="93">
        <f>ППД5[[#This Row],[Фикс 29.12.23]]+ППД5[[#This Row],[Наценка 10.01.24 5%]]</f>
        <v>112285.39173395414</v>
      </c>
      <c r="BI194" s="93"/>
      <c r="BJ194" s="93">
        <f>ППД5[[#This Row],[Наценка 26.02.24 1 Этаж]]+ППД5[[#This Row],[Фикс 10.01.24]]</f>
        <v>112285.39173395414</v>
      </c>
      <c r="BK194" s="93">
        <f>ППД5[[#This Row],[Фикс 26.02.24]]*3%</f>
        <v>3368.5617520186238</v>
      </c>
      <c r="BL194" s="93">
        <f>ППД5[[#This Row],[Фикс 26.02.24]]+ППД5[[#This Row],[Наценка 06.03.24
СТ, 1К - 3%
2К, 3К - 2%]]</f>
        <v>115653.95348597276</v>
      </c>
      <c r="BM194" s="93"/>
      <c r="BN194" s="93">
        <f>ППД5[[#This Row],[Фикс 06.03.24]]+ППД5[[#This Row],[Наценка Г2+500]]</f>
        <v>115653.95348597276</v>
      </c>
      <c r="BO194" s="93"/>
      <c r="BP194" s="93">
        <f>ППД5[[#This Row],[Фикс 13.03.25]]+ППД5[[#This Row],[Наценка 20.03.24
2К, 3К - 2%]]</f>
        <v>115653.95348597276</v>
      </c>
      <c r="BQ194" s="93"/>
      <c r="BR194" s="93">
        <f>ППД5[[#This Row],[Фикс 20.03.24]]+ППД5[[#This Row],[Наценка 08.04.24 
2К: В3 - 150
3К: Г7 +1000]]</f>
        <v>115653.95348597276</v>
      </c>
      <c r="BS194" s="93"/>
      <c r="BT194" s="93">
        <f>ППД5[[#This Row],[Фикс 08.04.24]]+ППД5[[#This Row],[Наценка 16.05.24 1%
А4,А6,Б3,Б6,Б7,В2,В3,В5,В6,Г1,Г3-Г5]]</f>
        <v>115653.95348597276</v>
      </c>
      <c r="BU194" s="93">
        <f>ППД5[[#This Row],[Фикс 16.05.24]]*1%</f>
        <v>1156.5395348597276</v>
      </c>
      <c r="BV194" s="93">
        <f>ППД5[[#This Row],[Фикс 16.05.24]]+ППД5[[#This Row],[Наценка 24.05.24
1% - Б4, Б5,Г2,Г6
2% - А1,А3,А5,Б2,Г7]]</f>
        <v>116810.49302083248</v>
      </c>
      <c r="BW194" s="93">
        <f>ППД5[[#This Row],[Фикс 24.05.24]]*0.5%</f>
        <v>584.05246510416237</v>
      </c>
      <c r="BX194" s="93">
        <f>ППД5[[#This Row],[Наценка 06.06.24
0К: В2,Г3 +0,5%
1К: А7, Б5/4, Г6 +0,5%
3К: В6 +0,5%
1К: А3 +1%]]+ППД5[[#This Row],[Фикс 24.05.24]]</f>
        <v>117394.54548593664</v>
      </c>
      <c r="BY194" s="93"/>
      <c r="BZ194" s="93">
        <f>ППД5[[#This Row],[Фикс 06.06.24]]+ППД5[[#This Row],[13.06.2024
3К - 2%]]</f>
        <v>117394.54548593664</v>
      </c>
      <c r="CA194" s="93">
        <f>2.5%*ППД5[[#This Row],[Фикс 13.06.24]]</f>
        <v>2934.8636371484163</v>
      </c>
      <c r="CB194" s="93">
        <f>ППД5[[#This Row],[02.07.2024: Г3 А1 А3 Б5 Б7 Г2 Г6 Б3 Б4 В3 Г7 2,5% ост 0,5-1,5%]]+ППД5[[#This Row],[Фикс 13.06.24]]</f>
        <v>120329.40912308506</v>
      </c>
      <c r="CC194" s="93"/>
      <c r="CD194" s="93">
        <f>ППД5[[#This Row],[Фикс 02.07.24]]+ППД5[[#This Row],[04.09.2024 +500
0К - Б2; 1К - А3;
2К - А6, Б4, В3, Г5]]</f>
        <v>120329.40912308506</v>
      </c>
      <c r="CE194" s="93"/>
      <c r="CF194" s="93">
        <f>ППД5[[#This Row],[Наценка 16.09.2024
1К: А1,В7,Г6/7,Г8 - 2%
2К: А4,А5,А6,Б1,Б6,Б3/4,В3,В4,Г4,Г5 - 4%
3К: 4%]]+ППД5[[#This Row],[Фикс 04.09.24]]</f>
        <v>120329.40912308506</v>
      </c>
      <c r="CG194" s="93">
        <f>ППД5[[#This Row],[Фикс 16.09.2024]]*5%</f>
        <v>6016.470456154253</v>
      </c>
      <c r="CH194" s="93">
        <f>ППД5[[#This Row],[Фикс 16.09.2024]]+ППД5[[#This Row],[Наценка 01.11.24
СТ: 4%
1К: 34-40м 5%; 40м+ 8%; МГН 1%
2К: 55-70м 6%; 70-73м 7%; 73-76м 8% 
3К: 5%]]</f>
        <v>126345.87957923932</v>
      </c>
      <c r="CI194" s="93">
        <f>ППД5[[#This Row],[Фикс 01.11.24]]*13%</f>
        <v>16424.964345301112</v>
      </c>
      <c r="CJ194" s="93">
        <f>ППД5[[#This Row],[Наценка 06.11 13%]]+ППД5[[#This Row],[Фикс 01.11.24]]</f>
        <v>142770.84392454044</v>
      </c>
      <c r="CK194" s="93">
        <v>35</v>
      </c>
      <c r="CL194" s="93">
        <f>ППД5[[#This Row],[Фикс 06.11.24]]+ППД5[[#This Row],[Наценка 18.12.24 распределение КВ]]</f>
        <v>142805.84392454044</v>
      </c>
      <c r="CM194" s="93"/>
      <c r="CN194" s="93">
        <f>ППД5[[#This Row],[Фикс 18.12.24]]+ППД5[[#This Row],[Наценка 10.02.25 +1%
1К: А3
2К: Б3, В3]]</f>
        <v>142805.84392454044</v>
      </c>
      <c r="CO194" s="93">
        <f>ROUND(ППД5[[#This Row],[Фикс 10.02.25]],2)</f>
        <v>142805.84</v>
      </c>
      <c r="CP19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5406700</v>
      </c>
      <c r="CQ194" s="93">
        <f>ROUNDUP(ППД5[[#This Row],[Стоимость до скидки]]+ППД5[[#This Row],[Сумма доплаты]],-2)</f>
        <v>5362500</v>
      </c>
      <c r="CR194" s="68"/>
      <c r="CS194" s="90"/>
      <c r="CT194" s="68">
        <f>ППД5[[#This Row],[Стоимость до скидки]]*ППД5[[#This Row],[Скидка %]]+ППД5[[#This Row],[Скидка фиксированная]]</f>
        <v>0</v>
      </c>
      <c r="CU194" s="3">
        <f>ППД5[[#This Row],[Стоимость ОН без отделки со скидкой]]/ППД5[[#This Row],[Расчетная проектная площадь]]</f>
        <v>142807.71262546224</v>
      </c>
      <c r="CV194" s="3">
        <f>ROUND(ППД5[[#This Row],[Стоимость до скидки]]-ППД5[[#This Row],[Итоговая сумма скидки]],2)</f>
        <v>5406700</v>
      </c>
      <c r="CW19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94" s="197"/>
      <c r="CY194" s="332">
        <f>ППД5[[#This Row],[Расхождение]]/ППД5[[#This Row],[Расчетная проектная площадь]]</f>
        <v>-8.1880612783941445E-3</v>
      </c>
      <c r="CZ19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-0.58000000000000185</v>
      </c>
      <c r="DA194" s="3">
        <f>ППД5[[#This Row],[Цена м2 без отделки со скидкой]]+ППД5[[#This Row],[Стоимость отделки]]</f>
        <v>142807.71262546224</v>
      </c>
      <c r="DB194" s="3">
        <f>ППД5[[#This Row],[Стоимость квартиры с отделкой]]-ППД5[[#This Row],[Стоимость ОН без отделки со скидкой]]</f>
        <v>0</v>
      </c>
      <c r="DC194" s="3">
        <f>ППД5[[#This Row],[Цена м2 с отделкой]]*ППД5[[#This Row],[Расчетная проектная площадь]]</f>
        <v>5406700</v>
      </c>
      <c r="DD194" s="3"/>
      <c r="DF194" s="199" t="s">
        <v>157</v>
      </c>
      <c r="DG194" s="352" t="s">
        <v>157</v>
      </c>
      <c r="DH194" s="100" t="b">
        <f>EXACT(ППД5[[#This Row],[Статусы CRM]],ППД5[[#This Row],[Статус]])</f>
        <v>1</v>
      </c>
      <c r="DI194" s="213" t="s">
        <v>366</v>
      </c>
      <c r="DJ194" s="204"/>
      <c r="DK194" s="111" t="s">
        <v>763</v>
      </c>
      <c r="DL194" s="216" t="s">
        <v>12</v>
      </c>
      <c r="DM194" s="201" t="b">
        <f>ППД5[[#This Row],[Отделка CRM]]=ППД5[[#This Row],[Отделка]]</f>
        <v>1</v>
      </c>
      <c r="DN194" s="203">
        <v>5406700</v>
      </c>
      <c r="DO19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94" s="207" t="b">
        <f>IF(AND(ППД5[[#This Row],[Статус]]="свободно",ППД5[[#This Row],[Итоговая сумма скидки]]&lt;&gt;0),FALSE,TRUE)</f>
        <v>1</v>
      </c>
      <c r="DQ194" s="240" t="str">
        <f>_xlfn.XLOOKUP(ППД5[[#This Row],[№]],Юрист[№ кв],Юрист[Дата подачи на регистрацию]," ",0,-1)</f>
        <v xml:space="preserve"> </v>
      </c>
      <c r="DR194" s="115" t="str">
        <f>_xlfn.XLOOKUP(ППД5[[#This Row],[№]],Юрист[№ кв],Юрист[МОП],"",0,-1)</f>
        <v/>
      </c>
      <c r="DS194" s="333" t="s">
        <v>2680</v>
      </c>
      <c r="DT194" s="333" t="s">
        <v>2681</v>
      </c>
      <c r="DU194" s="333">
        <v>36.299999999999997</v>
      </c>
      <c r="DV194" s="111"/>
    </row>
    <row r="195" spans="1:126" hidden="1" x14ac:dyDescent="0.25">
      <c r="A195" s="112">
        <v>193</v>
      </c>
      <c r="B195" s="111" t="s">
        <v>4</v>
      </c>
      <c r="C195" s="111">
        <v>12</v>
      </c>
      <c r="D195" s="111">
        <v>6</v>
      </c>
      <c r="E195" s="111">
        <v>3</v>
      </c>
      <c r="F195" s="105">
        <v>17.89</v>
      </c>
      <c r="G195" s="105">
        <v>17.2</v>
      </c>
      <c r="H195" s="105">
        <v>14.31</v>
      </c>
      <c r="I195" s="94">
        <f>SUM(ППД5[[#This Row],[Комната 1]:[Комната 3]])</f>
        <v>49.400000000000006</v>
      </c>
      <c r="J195" s="105">
        <v>13.39</v>
      </c>
      <c r="K195" s="105">
        <v>4.2</v>
      </c>
      <c r="L195" s="105">
        <v>2.0499999999999998</v>
      </c>
      <c r="M195" s="105"/>
      <c r="N195" s="105">
        <v>13.21</v>
      </c>
      <c r="O195" s="105">
        <v>2.79</v>
      </c>
      <c r="P195" s="105">
        <v>2.68</v>
      </c>
      <c r="Q195" s="105"/>
      <c r="R195" s="105">
        <f>SUM(ППД5[[#This Row],[Лоджия 1]:[Лоджия 3]])</f>
        <v>5.4700000000000006</v>
      </c>
      <c r="S195" s="8">
        <f>ROUND(SUM(ППД5[[#This Row],[Площадь по проекту жилая]:[Лоджия 3]]),2)</f>
        <v>87.72</v>
      </c>
      <c r="T195" s="8">
        <f>ROUND(ППД5[[#This Row],[Площадь по проекту(общая)]]-ППД5[[#This Row],[Летние]],2)</f>
        <v>82.25</v>
      </c>
      <c r="U195" s="91">
        <f>ROUND(ППД5[[#This Row],[Площадь по проекту(общая)]]-(SUM(ППД5[[#This Row],[Лоджия 1]:[Лоджия 3]])/2),2)</f>
        <v>84.99</v>
      </c>
      <c r="V195" s="91">
        <f>IF(ППД5[[#This Row],[Статус]]="продажа",ППД5[[#This Row],[Расчетная проектная площадь]],ППД5[[#This Row],[Расчетная ТП площадь]])</f>
        <v>84.99</v>
      </c>
      <c r="W195" s="91">
        <v>14.3</v>
      </c>
      <c r="X195" s="91">
        <v>17.899999999999999</v>
      </c>
      <c r="Y195" s="91">
        <v>17.100000000000001</v>
      </c>
      <c r="Z195" s="91">
        <f>SUM(ППД5[[#This Row],[ТП Комната 1]:[ТП Комната 3]])</f>
        <v>49.300000000000004</v>
      </c>
      <c r="AA195" s="91">
        <v>13.2</v>
      </c>
      <c r="AB195" s="91">
        <v>4.2</v>
      </c>
      <c r="AC195" s="91">
        <v>2</v>
      </c>
      <c r="AD195" s="91"/>
      <c r="AE195" s="91">
        <v>13</v>
      </c>
      <c r="AF195" s="91">
        <v>1.4</v>
      </c>
      <c r="AG195" s="92">
        <v>1.35</v>
      </c>
      <c r="AH195" s="91"/>
      <c r="AI195" s="91">
        <f>SUM(ППД5[[#This Row],[ТП Лоджия 1]:[ТП Лоджия 3]])</f>
        <v>2.75</v>
      </c>
      <c r="AJ195" s="95">
        <v>5.5</v>
      </c>
      <c r="AK195" s="91">
        <f>SUM(ППД5[[#This Row],[Площадь по ТП жилая]:[ТП Лоджия 3]])-ППД5[[#This Row],[ТП Летние]]+ППД5[[#This Row],[кроме того прочая
(без коэффициента)]]</f>
        <v>87.2</v>
      </c>
      <c r="AL195" s="95">
        <f>ППД5[[#This Row],[ТП Площадь без летних]]+(ППД5[[#This Row],[ТП Летние]])</f>
        <v>84.45</v>
      </c>
      <c r="AM195" s="91">
        <f>ППД5[[#This Row],[ТП общая S]]-ППД5[[#This Row],[кроме того прочая
(без коэффициента)]]</f>
        <v>81.7</v>
      </c>
      <c r="AN195" s="95">
        <f>SUM(ППД5[[#This Row],[ТП Кухня]:[ТП Коридор]])</f>
        <v>32.4</v>
      </c>
      <c r="AO195" s="91">
        <f>ППД5[[#This Row],[Расчетная ТП площадь]]-ППД5[[#This Row],[Расчетная проектная площадь]]</f>
        <v>-0.53999999999999204</v>
      </c>
      <c r="AP195" s="335">
        <f>ППД5[[#This Row],[Расчетная ТП площадь]]/ППД5[[#This Row],[Расчетная проектная площадь]]-1</f>
        <v>-6.3536886692551198E-3</v>
      </c>
      <c r="AQ195" s="91">
        <f>ППД5[[#This Row],[% расхождения]]*ППД5[[#This Row],[Стоимость до скидки]]</f>
        <v>-42936.95728909225</v>
      </c>
      <c r="AR195" s="91">
        <f>VLOOKUP(ППД5[[#This Row],[№]],наценкад5[],COLUMN(наценкад5[[#This Row],[Цена м2 с учетом всех K]]),0)</f>
        <v>73520.37000000001</v>
      </c>
      <c r="AS195" s="8">
        <f>ППД5[[#This Row],[м2 после К]]*5%</f>
        <v>3676.0185000000006</v>
      </c>
      <c r="AT195" s="8">
        <f>ППД5[[#This Row],[м2 после К]]+ППД5[[#This Row],[Повышение 16.08.23 - 5%]]</f>
        <v>77196.388500000015</v>
      </c>
      <c r="AU195" s="93">
        <f>ППД5[[#This Row],[Фикс 16.08.23]]*3%</f>
        <v>2315.8916550000004</v>
      </c>
      <c r="AV195" s="93">
        <f>ППД5[[#This Row],[Фикс 16.08.23]]+ППД5[[#This Row],[Повышение 29.08.23 - 3%]]</f>
        <v>79512.280155000015</v>
      </c>
      <c r="AW195" s="93"/>
      <c r="AX195" s="93">
        <f>ППД5[[#This Row],[Фикс 29.08.23]]+ППД5[[#This Row],[Повышение 06.09.23 СТ и 1К]]</f>
        <v>79512.280155000015</v>
      </c>
      <c r="AY195" s="93"/>
      <c r="AZ195" s="93">
        <f>ППД5[[#This Row],[Повышение 23.10.23  В4 ]]+ППД5[[#This Row],[Фикс 06.09.23]]</f>
        <v>79512.280155000015</v>
      </c>
      <c r="BA195" s="93"/>
      <c r="BB195" s="93">
        <f>ППД5[[#This Row],[Повышение 8.11.23 1К 5%]]+ППД5[[#This Row],[Фикс 23.10.23]]</f>
        <v>79512.280155000015</v>
      </c>
      <c r="BC195" s="93"/>
      <c r="BD195" s="93">
        <f>ППД5[[#This Row],[Корректировка 24.11.23 - 1К В5, 2К А2, №233]]+ППД5[[#This Row],[Фикс 8.11.23]]</f>
        <v>79512.280155000015</v>
      </c>
      <c r="BE195" s="93"/>
      <c r="BF195" s="93">
        <f>ППД5[[#This Row],[Наценка за отделку 29.12.23 1%]]+ППД5[[#This Row],[Фикс 8.11.24]]</f>
        <v>79512.280155000015</v>
      </c>
      <c r="BG195" s="93"/>
      <c r="BH195" s="93">
        <f>ППД5[[#This Row],[Фикс 29.12.23]]+ППД5[[#This Row],[Наценка 10.01.24 5%]]</f>
        <v>79512.280155000015</v>
      </c>
      <c r="BI195" s="93"/>
      <c r="BJ195" s="93">
        <f>ППД5[[#This Row],[Наценка 26.02.24 1 Этаж]]+ППД5[[#This Row],[Фикс 10.01.24]]</f>
        <v>79512.280155000015</v>
      </c>
      <c r="BK195" s="93"/>
      <c r="BL195" s="93">
        <f>ППД5[[#This Row],[Фикс 26.02.24]]+ППД5[[#This Row],[Наценка 06.03.24
СТ, 1К - 3%
2К, 3К - 2%]]</f>
        <v>79512.280155000015</v>
      </c>
      <c r="BM195" s="93"/>
      <c r="BN195" s="93">
        <f>ППД5[[#This Row],[Фикс 06.03.24]]+ППД5[[#This Row],[Наценка Г2+500]]</f>
        <v>79512.280155000015</v>
      </c>
      <c r="BO195" s="93"/>
      <c r="BP195" s="93">
        <f>ППД5[[#This Row],[Фикс 13.03.25]]+ППД5[[#This Row],[Наценка 20.03.24
2К, 3К - 2%]]</f>
        <v>79512.280155000015</v>
      </c>
      <c r="BQ195" s="93"/>
      <c r="BR195" s="93">
        <f>ППД5[[#This Row],[Фикс 20.03.24]]+ППД5[[#This Row],[Наценка 08.04.24 
2К: В3 - 150
3К: Г7 +1000]]</f>
        <v>79512.280155000015</v>
      </c>
      <c r="BS195" s="9"/>
      <c r="BT195" s="93">
        <f>ППД5[[#This Row],[Фикс 08.04.24]]+ППД5[[#This Row],[Наценка 16.05.24 1%
А4,А6,Б3,Б6,Б7,В2,В3,В5,В6,Г1,Г3-Г5]]</f>
        <v>79512.280155000015</v>
      </c>
      <c r="BU195" s="93"/>
      <c r="BV195" s="93">
        <f>ППД5[[#This Row],[Фикс 16.05.24]]+ППД5[[#This Row],[Наценка 24.05.24
1% - Б4, Б5,Г2,Г6
2% - А1,А3,А5,Б2,Г7]]</f>
        <v>79512.280155000015</v>
      </c>
      <c r="BW195" s="93"/>
      <c r="BX195" s="93">
        <f>ППД5[[#This Row],[Наценка 06.06.24
0К: В2,Г3 +0,5%
1К: А7, Б5/4, Г6 +0,5%
3К: В6 +0,5%
1К: А3 +1%]]+ППД5[[#This Row],[Фикс 24.05.24]]</f>
        <v>79512.280155000015</v>
      </c>
      <c r="BY195" s="93"/>
      <c r="BZ195" s="93">
        <f>ППД5[[#This Row],[Фикс 06.06.24]]+ППД5[[#This Row],[13.06.2024
3К - 2%]]</f>
        <v>79512.280155000015</v>
      </c>
      <c r="CA195" s="93"/>
      <c r="CB195" s="93">
        <f>ППД5[[#This Row],[02.07.2024: Г3 А1 А3 Б5 Б7 Г2 Г6 Б3 Б4 В3 Г7 2,5% ост 0,5-1,5%]]+ППД5[[#This Row],[Фикс 13.06.24]]</f>
        <v>79512.280155000015</v>
      </c>
      <c r="CC195" s="93"/>
      <c r="CD195" s="93">
        <f>ППД5[[#This Row],[Фикс 02.07.24]]+ППД5[[#This Row],[04.09.2024 +500
0К - Б2; 1К - А3;
2К - А6, Б4, В3, Г5]]</f>
        <v>79512.280155000015</v>
      </c>
      <c r="CE195" s="93"/>
      <c r="CF195" s="93">
        <f>ППД5[[#This Row],[Наценка 16.09.2024
1К: А1,В7,Г6/7,Г8 - 2%
2К: А4,А5,А6,Б1,Б6,Б3/4,В3,В4,Г4,Г5 - 4%
3К: 4%]]+ППД5[[#This Row],[Фикс 04.09.24]]</f>
        <v>79512.280155000015</v>
      </c>
      <c r="CG195" s="93"/>
      <c r="CH195" s="93">
        <f>ППД5[[#This Row],[Фикс 16.09.2024]]+ППД5[[#This Row],[Наценка 01.11.24
СТ: 4%
1К: 34-40м 5%; 40м+ 8%; МГН 1%
2К: 55-70м 6%; 70-73м 7%; 73-76м 8% 
3К: 5%]]</f>
        <v>79512.280155000015</v>
      </c>
      <c r="CI195" s="93"/>
      <c r="CJ195" s="93">
        <f>ППД5[[#This Row],[Наценка 06.11 13%]]+ППД5[[#This Row],[Фикс 01.11.24]]</f>
        <v>79512.280155000015</v>
      </c>
      <c r="CK195" s="93"/>
      <c r="CL195" s="93">
        <f>ППД5[[#This Row],[Фикс 06.11.24]]+ППД5[[#This Row],[Наценка 18.12.24 распределение КВ]]</f>
        <v>79512.280155000015</v>
      </c>
      <c r="CM195" s="93"/>
      <c r="CN195" s="93">
        <f>ППД5[[#This Row],[Фикс 18.12.24]]+ППД5[[#This Row],[Наценка 10.02.25 +1%
1К: А3
2К: Б3, В3]]</f>
        <v>79512.280155000015</v>
      </c>
      <c r="CO195" s="93">
        <f>ROUND(ППД5[[#This Row],[Фикс 10.02.25]],2)</f>
        <v>79512.28</v>
      </c>
      <c r="CP19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6757800</v>
      </c>
      <c r="CQ195" s="93">
        <f>ROUNDUP(ППД5[[#This Row],[Стоимость до скидки]]+ППД5[[#This Row],[Сумма доплаты]],-2)</f>
        <v>6714900</v>
      </c>
      <c r="CR195" s="68"/>
      <c r="CS195" s="90">
        <v>0.05</v>
      </c>
      <c r="CT195" s="68">
        <f>ППД5[[#This Row],[Стоимость до скидки]]*ППД5[[#This Row],[Скидка %]]+ППД5[[#This Row],[Скидка фиксированная]]</f>
        <v>337890</v>
      </c>
      <c r="CU195" s="3">
        <f>ППД5[[#This Row],[Стоимость ОН без отделки со скидкой]]/ППД5[[#This Row],[Расчетная проектная площадь]]</f>
        <v>75537.239675255914</v>
      </c>
      <c r="CV195" s="3">
        <f>ROUND(ППД5[[#This Row],[Стоимость до скидки]]-ППД5[[#This Row],[Итоговая сумма скидки]],2)</f>
        <v>6419910</v>
      </c>
      <c r="CW19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95" s="197"/>
      <c r="CY195" s="332">
        <f>ППД5[[#This Row],[Расхождение]]/ППД5[[#This Row],[Расчетная проектная площадь]]</f>
        <v>-6.3536886692551128E-3</v>
      </c>
      <c r="CZ19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-0.45000000000000284</v>
      </c>
      <c r="DA195" s="3">
        <f>ППД5[[#This Row],[Цена м2 без отделки со скидкой]]+ППД5[[#This Row],[Стоимость отделки]]</f>
        <v>75537.239675255914</v>
      </c>
      <c r="DB195" s="3">
        <f>ППД5[[#This Row],[Стоимость квартиры с отделкой]]-ППД5[[#This Row],[Стоимость ОН без отделки со скидкой]]</f>
        <v>0</v>
      </c>
      <c r="DC195" s="3">
        <f>ППД5[[#This Row],[Цена м2 с отделкой]]*ППД5[[#This Row],[Расчетная проектная площадь]]</f>
        <v>6419910</v>
      </c>
      <c r="DD195" s="3"/>
      <c r="DE195" s="111" t="s">
        <v>162</v>
      </c>
      <c r="DF195" s="199" t="s">
        <v>172</v>
      </c>
      <c r="DG195" s="245" t="s">
        <v>172</v>
      </c>
      <c r="DH195" s="100" t="b">
        <f>EXACT(ППД5[[#This Row],[Статусы CRM]],ППД5[[#This Row],[Статус]])</f>
        <v>1</v>
      </c>
      <c r="DI195" s="213" t="s">
        <v>367</v>
      </c>
      <c r="DJ195" s="204"/>
      <c r="DK195" s="111" t="s">
        <v>763</v>
      </c>
      <c r="DL195" s="216" t="s">
        <v>12</v>
      </c>
      <c r="DM195" s="201" t="b">
        <f>ППД5[[#This Row],[Отделка CRM]]=ППД5[[#This Row],[Отделка]]</f>
        <v>1</v>
      </c>
      <c r="DN195" s="203">
        <v>6419910</v>
      </c>
      <c r="DO19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95" s="207" t="b">
        <f>IF(AND(ППД5[[#This Row],[Статус]]="свободно",ППД5[[#This Row],[Итоговая сумма скидки]]&lt;&gt;0),FALSE,TRUE)</f>
        <v>1</v>
      </c>
      <c r="DQ195" s="240">
        <f>_xlfn.XLOOKUP(ППД5[[#This Row],[№]],Юрист[№ кв],Юрист[Дата подачи на регистрацию]," ",0,-1)</f>
        <v>45289</v>
      </c>
      <c r="DR195" s="115" t="str">
        <f>_xlfn.XLOOKUP(ППД5[[#This Row],[№]],Юрист[№ кв],Юрист[МОП],"",0,-1)</f>
        <v>Дик</v>
      </c>
      <c r="DS195" s="333" t="s">
        <v>2682</v>
      </c>
      <c r="DT195" s="333" t="s">
        <v>2683</v>
      </c>
      <c r="DU195" s="333">
        <v>81.7</v>
      </c>
      <c r="DV195" s="111"/>
    </row>
    <row r="196" spans="1:126" hidden="1" x14ac:dyDescent="0.25">
      <c r="A196" s="112">
        <v>194</v>
      </c>
      <c r="B196" s="111" t="s">
        <v>4</v>
      </c>
      <c r="C196" s="111">
        <v>12</v>
      </c>
      <c r="D196" s="111">
        <v>7</v>
      </c>
      <c r="E196" s="111">
        <v>1</v>
      </c>
      <c r="F196" s="105">
        <v>17.89</v>
      </c>
      <c r="G196" s="105"/>
      <c r="H196" s="105"/>
      <c r="I196" s="94">
        <f>SUM(ППД5[[#This Row],[Комната 1]:[Комната 3]])</f>
        <v>17.89</v>
      </c>
      <c r="J196" s="105">
        <v>13.04</v>
      </c>
      <c r="K196" s="105">
        <v>3.9</v>
      </c>
      <c r="L196" s="105"/>
      <c r="M196" s="105"/>
      <c r="N196" s="105">
        <v>6.12</v>
      </c>
      <c r="O196" s="105">
        <v>2.65</v>
      </c>
      <c r="P196" s="105"/>
      <c r="Q196" s="105"/>
      <c r="R196" s="105">
        <f>SUM(ППД5[[#This Row],[Лоджия 1]:[Лоджия 3]])</f>
        <v>2.65</v>
      </c>
      <c r="S196" s="8">
        <f>ROUND(SUM(ППД5[[#This Row],[Площадь по проекту жилая]:[Лоджия 3]]),2)</f>
        <v>43.6</v>
      </c>
      <c r="T196" s="8">
        <f>ROUND(ППД5[[#This Row],[Площадь по проекту(общая)]]-ППД5[[#This Row],[Летние]],2)</f>
        <v>40.950000000000003</v>
      </c>
      <c r="U196" s="91">
        <f>ROUND(ППД5[[#This Row],[Площадь по проекту(общая)]]-(SUM(ППД5[[#This Row],[Лоджия 1]:[Лоджия 3]])/2),2)</f>
        <v>42.28</v>
      </c>
      <c r="V196" s="91">
        <f>IF(ППД5[[#This Row],[Статус]]="продажа",ППД5[[#This Row],[Расчетная проектная площадь]],ППД5[[#This Row],[Расчетная ТП площадь]])</f>
        <v>42.28</v>
      </c>
      <c r="W196" s="91">
        <v>17.899999999999999</v>
      </c>
      <c r="X196" s="91"/>
      <c r="Y196" s="91"/>
      <c r="Z196" s="91">
        <f>SUM(ППД5[[#This Row],[ТП Комната 1]:[ТП Комната 3]])</f>
        <v>17.899999999999999</v>
      </c>
      <c r="AA196" s="91">
        <v>13</v>
      </c>
      <c r="AB196" s="91">
        <v>3.8</v>
      </c>
      <c r="AC196" s="91"/>
      <c r="AD196" s="91"/>
      <c r="AE196" s="91">
        <v>6.1</v>
      </c>
      <c r="AF196" s="91">
        <v>1.35</v>
      </c>
      <c r="AG196" s="91"/>
      <c r="AH196" s="91"/>
      <c r="AI196" s="91">
        <f>SUM(ППД5[[#This Row],[ТП Лоджия 1]:[ТП Лоджия 3]])</f>
        <v>1.35</v>
      </c>
      <c r="AJ196" s="95">
        <v>2.7</v>
      </c>
      <c r="AK196" s="91">
        <f>SUM(ППД5[[#This Row],[Площадь по ТП жилая]:[ТП Лоджия 3]])-ППД5[[#This Row],[ТП Летние]]+ППД5[[#This Row],[кроме того прочая
(без коэффициента)]]</f>
        <v>43.5</v>
      </c>
      <c r="AL196" s="95">
        <f>ППД5[[#This Row],[ТП Площадь без летних]]+(ППД5[[#This Row],[ТП Летние]])</f>
        <v>42.15</v>
      </c>
      <c r="AM196" s="91">
        <f>ППД5[[#This Row],[ТП общая S]]-ППД5[[#This Row],[кроме того прочая
(без коэффициента)]]</f>
        <v>40.799999999999997</v>
      </c>
      <c r="AN196" s="95">
        <f>SUM(ППД5[[#This Row],[ТП Кухня]:[ТП Коридор]])</f>
        <v>22.9</v>
      </c>
      <c r="AO196" s="91">
        <f>ППД5[[#This Row],[Расчетная ТП площадь]]-ППД5[[#This Row],[Расчетная проектная площадь]]</f>
        <v>-0.13000000000000256</v>
      </c>
      <c r="AP196" s="335">
        <f>ППД5[[#This Row],[Расчетная ТП площадь]]/ППД5[[#This Row],[Расчетная проектная площадь]]-1</f>
        <v>-3.0747398297067408E-3</v>
      </c>
      <c r="AQ196" s="91">
        <f>ППД5[[#This Row],[% расхождения]]*ППД5[[#This Row],[Стоимость до скидки]]</f>
        <v>-14355.34531693483</v>
      </c>
      <c r="AR196" s="91">
        <f>VLOOKUP(ППД5[[#This Row],[№]],наценкад5[],COLUMN(наценкад5[[#This Row],[Цена м2 с учетом всех K]]),0)</f>
        <v>85573.6875</v>
      </c>
      <c r="AS196" s="8">
        <f>ППД5[[#This Row],[м2 после К]]*5%</f>
        <v>4278.6843749999998</v>
      </c>
      <c r="AT196" s="8">
        <f>ППД5[[#This Row],[м2 после К]]+ППД5[[#This Row],[Повышение 16.08.23 - 5%]]</f>
        <v>89852.371874999997</v>
      </c>
      <c r="AU196" s="93">
        <f>ППД5[[#This Row],[Фикс 16.08.23]]*3%</f>
        <v>2695.5711562499996</v>
      </c>
      <c r="AV196" s="93">
        <f>ППД5[[#This Row],[Фикс 16.08.23]]+ППД5[[#This Row],[Повышение 29.08.23 - 3%]]</f>
        <v>92547.94303124999</v>
      </c>
      <c r="AW196" s="93">
        <f>ППД5[[#This Row],[Фикс 29.08.23]]*3%</f>
        <v>2776.4382909374995</v>
      </c>
      <c r="AX196" s="93">
        <f>ППД5[[#This Row],[Фикс 29.08.23]]+ППД5[[#This Row],[Повышение 06.09.23 СТ и 1К]]</f>
        <v>95324.381322187488</v>
      </c>
      <c r="AY196" s="93"/>
      <c r="AZ196" s="93">
        <f>ППД5[[#This Row],[Повышение 23.10.23  В4 ]]+ППД5[[#This Row],[Фикс 06.09.23]]</f>
        <v>95324.381322187488</v>
      </c>
      <c r="BA196" s="93">
        <f>ППД5[[#This Row],[Фикс 23.10.23]]*5%</f>
        <v>4766.2190661093746</v>
      </c>
      <c r="BB196" s="93">
        <f>ППД5[[#This Row],[Повышение 8.11.23 1К 5%]]+ППД5[[#This Row],[Фикс 23.10.23]]</f>
        <v>100090.60038829687</v>
      </c>
      <c r="BC196" s="93"/>
      <c r="BD196" s="93">
        <f>ППД5[[#This Row],[Корректировка 24.11.23 - 1К В5, 2К А2, №233]]+ППД5[[#This Row],[Фикс 8.11.23]]</f>
        <v>100090.60038829687</v>
      </c>
      <c r="BE196" s="93">
        <f>ППД5[[#This Row],[Фикс 8.11.24]]*1%</f>
        <v>1000.9060038829687</v>
      </c>
      <c r="BF196" s="93">
        <f>ППД5[[#This Row],[Наценка за отделку 29.12.23 1%]]+ППД5[[#This Row],[Фикс 8.11.24]]</f>
        <v>101091.50639217983</v>
      </c>
      <c r="BG196" s="93">
        <f>ППД5[[#This Row],[Фикс 29.12.23]]*5%</f>
        <v>5054.5753196089918</v>
      </c>
      <c r="BH196" s="93">
        <f>ППД5[[#This Row],[Фикс 29.12.23]]+ППД5[[#This Row],[Наценка 10.01.24 5%]]</f>
        <v>106146.08171178882</v>
      </c>
      <c r="BI196" s="93"/>
      <c r="BJ196" s="93">
        <f>ППД5[[#This Row],[Наценка 26.02.24 1 Этаж]]+ППД5[[#This Row],[Фикс 10.01.24]]</f>
        <v>106146.08171178882</v>
      </c>
      <c r="BK196" s="93">
        <f>ППД5[[#This Row],[Фикс 26.02.24]]*3%</f>
        <v>3184.3824513536647</v>
      </c>
      <c r="BL196" s="93">
        <f>ППД5[[#This Row],[Фикс 26.02.24]]+ППД5[[#This Row],[Наценка 06.03.24
СТ, 1К - 3%
2К, 3К - 2%]]</f>
        <v>109330.46416314249</v>
      </c>
      <c r="BM196" s="93"/>
      <c r="BN196" s="93">
        <f>ППД5[[#This Row],[Фикс 06.03.24]]+ППД5[[#This Row],[Наценка Г2+500]]</f>
        <v>109330.46416314249</v>
      </c>
      <c r="BO196" s="93"/>
      <c r="BP196" s="93">
        <f>ППД5[[#This Row],[Фикс 13.03.25]]+ППД5[[#This Row],[Наценка 20.03.24
2К, 3К - 2%]]</f>
        <v>109330.46416314249</v>
      </c>
      <c r="BQ196" s="93"/>
      <c r="BR196" s="93">
        <f>ППД5[[#This Row],[Фикс 20.03.24]]+ППД5[[#This Row],[Наценка 08.04.24 
2К: В3 - 150
3К: Г7 +1000]]</f>
        <v>109330.46416314249</v>
      </c>
      <c r="BS196" s="9">
        <f>ППД5[[#This Row],[Фикс 08.04.24]]*1%</f>
        <v>1093.3046416314248</v>
      </c>
      <c r="BT196" s="93">
        <f>ППД5[[#This Row],[Фикс 08.04.24]]+ППД5[[#This Row],[Наценка 16.05.24 1%
А4,А6,Б3,Б6,Б7,В2,В3,В5,В6,Г1,Г3-Г5]]</f>
        <v>110423.76880477392</v>
      </c>
      <c r="BU196" s="93"/>
      <c r="BV196" s="93">
        <f>ППД5[[#This Row],[Фикс 16.05.24]]+ППД5[[#This Row],[Наценка 24.05.24
1% - Б4, Б5,Г2,Г6
2% - А1,А3,А5,Б2,Г7]]</f>
        <v>110423.76880477392</v>
      </c>
      <c r="BW196" s="93"/>
      <c r="BX196" s="93">
        <f>ППД5[[#This Row],[Наценка 06.06.24
0К: В2,Г3 +0,5%
1К: А7, Б5/4, Г6 +0,5%
3К: В6 +0,5%
1К: А3 +1%]]+ППД5[[#This Row],[Фикс 24.05.24]]</f>
        <v>110423.76880477392</v>
      </c>
      <c r="BY196" s="93"/>
      <c r="BZ196" s="93">
        <f>ППД5[[#This Row],[Фикс 06.06.24]]+ППД5[[#This Row],[13.06.2024
3К - 2%]]</f>
        <v>110423.76880477392</v>
      </c>
      <c r="CA196" s="93"/>
      <c r="CB196" s="93">
        <f>ППД5[[#This Row],[02.07.2024: Г3 А1 А3 Б5 Б7 Г2 Г6 Б3 Б4 В3 Г7 2,5% ост 0,5-1,5%]]+ППД5[[#This Row],[Фикс 13.06.24]]</f>
        <v>110423.76880477392</v>
      </c>
      <c r="CC196" s="93"/>
      <c r="CD196" s="93">
        <f>ППД5[[#This Row],[Фикс 02.07.24]]+ППД5[[#This Row],[04.09.2024 +500
0К - Б2; 1К - А3;
2К - А6, Б4, В3, Г5]]</f>
        <v>110423.76880477392</v>
      </c>
      <c r="CE196" s="93"/>
      <c r="CF196" s="93">
        <f>ППД5[[#This Row],[Наценка 16.09.2024
1К: А1,В7,Г6/7,Г8 - 2%
2К: А4,А5,А6,Б1,Б6,Б3/4,В3,В4,Г4,Г5 - 4%
3К: 4%]]+ППД5[[#This Row],[Фикс 04.09.24]]</f>
        <v>110423.76880477392</v>
      </c>
      <c r="CG196" s="93"/>
      <c r="CH196" s="93">
        <f>ППД5[[#This Row],[Фикс 16.09.2024]]+ППД5[[#This Row],[Наценка 01.11.24
СТ: 4%
1К: 34-40м 5%; 40м+ 8%; МГН 1%
2К: 55-70м 6%; 70-73м 7%; 73-76м 8% 
3К: 5%]]</f>
        <v>110423.76880477392</v>
      </c>
      <c r="CI196" s="93"/>
      <c r="CJ196" s="93">
        <f>ППД5[[#This Row],[Наценка 06.11 13%]]+ППД5[[#This Row],[Фикс 01.11.24]]</f>
        <v>110423.76880477392</v>
      </c>
      <c r="CK196" s="93"/>
      <c r="CL196" s="93">
        <f>ППД5[[#This Row],[Фикс 06.11.24]]+ППД5[[#This Row],[Наценка 18.12.24 распределение КВ]]</f>
        <v>110423.76880477392</v>
      </c>
      <c r="CM196" s="93"/>
      <c r="CN196" s="93">
        <f>ППД5[[#This Row],[Фикс 18.12.24]]+ППД5[[#This Row],[Наценка 10.02.25 +1%
1К: А3
2К: Б3, В3]]</f>
        <v>110423.76880477392</v>
      </c>
      <c r="CO196" s="93">
        <f>ROUND(ППД5[[#This Row],[Фикс 10.02.25]],2)</f>
        <v>110423.77</v>
      </c>
      <c r="CP19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4668800</v>
      </c>
      <c r="CQ196" s="93">
        <f>ROUNDUP(ППД5[[#This Row],[Стоимость до скидки]]+ППД5[[#This Row],[Сумма доплаты]],-2)</f>
        <v>4654500</v>
      </c>
      <c r="CR196" s="68"/>
      <c r="CS196" s="90"/>
      <c r="CT196" s="68">
        <f>ППД5[[#This Row],[Стоимость до скидки]]*ППД5[[#This Row],[Скидка %]]+ППД5[[#This Row],[Скидка фиксированная]]</f>
        <v>0</v>
      </c>
      <c r="CU196" s="3">
        <f>ППД5[[#This Row],[Стоимость ОН без отделки со скидкой]]/ППД5[[#This Row],[Расчетная проектная площадь]]</f>
        <v>110425.73320719016</v>
      </c>
      <c r="CV196" s="3">
        <f>ROUND(ППД5[[#This Row],[Стоимость до скидки]]-ППД5[[#This Row],[Итоговая сумма скидки]],2)</f>
        <v>4668800</v>
      </c>
      <c r="CW19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196" s="197">
        <v>7000</v>
      </c>
      <c r="CY196" s="332">
        <f>ППД5[[#This Row],[Расхождение]]/ППД5[[#This Row],[Расчетная проектная площадь]]</f>
        <v>-3.0747398297067776E-3</v>
      </c>
      <c r="CZ19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-0.16000000000000192</v>
      </c>
      <c r="DA196" s="3">
        <f>ППД5[[#This Row],[Цена м2 без отделки со скидкой]]+ППД5[[#This Row],[Стоимость отделки]]</f>
        <v>117425.73320719016</v>
      </c>
      <c r="DB196" s="3">
        <f>ППД5[[#This Row],[Стоимость квартиры с отделкой]]-ППД5[[#This Row],[Стоимость ОН без отделки со скидкой]]</f>
        <v>295960</v>
      </c>
      <c r="DC196" s="3">
        <f>ППД5[[#This Row],[Цена м2 с отделкой]]*ППД5[[#This Row],[Расчетная проектная площадь]]</f>
        <v>4964760</v>
      </c>
      <c r="DD196" s="3"/>
      <c r="DF196" s="199" t="s">
        <v>172</v>
      </c>
      <c r="DG196" s="245" t="s">
        <v>172</v>
      </c>
      <c r="DH196" s="100" t="b">
        <f>EXACT(ППД5[[#This Row],[Статусы CRM]],ППД5[[#This Row],[Статус]])</f>
        <v>1</v>
      </c>
      <c r="DI196" s="213" t="s">
        <v>368</v>
      </c>
      <c r="DJ196" s="204"/>
      <c r="DK196" s="111" t="s">
        <v>763</v>
      </c>
      <c r="DL196" s="216" t="s">
        <v>780</v>
      </c>
      <c r="DM196" s="201" t="b">
        <f>ППД5[[#This Row],[Отделка CRM]]=ППД5[[#This Row],[Отделка]]</f>
        <v>1</v>
      </c>
      <c r="DN196" s="203">
        <v>4964760</v>
      </c>
      <c r="DO19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96" s="207" t="b">
        <f>IF(AND(ППД5[[#This Row],[Статус]]="свободно",ППД5[[#This Row],[Итоговая сумма скидки]]&lt;&gt;0),FALSE,TRUE)</f>
        <v>1</v>
      </c>
      <c r="DQ196" s="240">
        <f>_xlfn.XLOOKUP(ППД5[[#This Row],[№]],Юрист[№ кв],Юрист[Дата подачи на регистрацию]," ",0,-1)</f>
        <v>45468</v>
      </c>
      <c r="DR196" s="115" t="str">
        <f>_xlfn.XLOOKUP(ППД5[[#This Row],[№]],Юрист[№ кв],Юрист[МОП],"",0,-1)</f>
        <v>Дик</v>
      </c>
      <c r="DS196" s="333" t="s">
        <v>2684</v>
      </c>
      <c r="DT196" s="333" t="s">
        <v>2685</v>
      </c>
      <c r="DU196" s="333">
        <v>40.799999999999997</v>
      </c>
      <c r="DV196" s="111"/>
    </row>
    <row r="197" spans="1:126" hidden="1" x14ac:dyDescent="0.25">
      <c r="A197" s="112">
        <v>195</v>
      </c>
      <c r="B197" s="111" t="s">
        <v>4</v>
      </c>
      <c r="C197" s="111">
        <v>13</v>
      </c>
      <c r="D197" s="338">
        <v>1</v>
      </c>
      <c r="E197" s="111">
        <v>2</v>
      </c>
      <c r="F197" s="105">
        <v>15.91</v>
      </c>
      <c r="G197" s="105">
        <v>12.02</v>
      </c>
      <c r="H197" s="105"/>
      <c r="I197" s="94">
        <f>SUM(ППД5[[#This Row],[Комната 1]:[Комната 3]])</f>
        <v>27.93</v>
      </c>
      <c r="J197" s="105">
        <v>15.31</v>
      </c>
      <c r="K197" s="105">
        <v>3.85</v>
      </c>
      <c r="L197" s="105">
        <v>2.2999999999999998</v>
      </c>
      <c r="M197" s="105"/>
      <c r="N197" s="105">
        <v>9.4499999999999993</v>
      </c>
      <c r="O197" s="105">
        <v>2.75</v>
      </c>
      <c r="P197" s="105"/>
      <c r="Q197" s="105"/>
      <c r="R197" s="105">
        <f>SUM(ППД5[[#This Row],[Лоджия 1]:[Лоджия 3]])</f>
        <v>2.75</v>
      </c>
      <c r="S197" s="8">
        <f>ROUND(SUM(ППД5[[#This Row],[Площадь по проекту жилая]:[Лоджия 3]]),2)</f>
        <v>61.59</v>
      </c>
      <c r="T197" s="8">
        <f>ROUND(ППД5[[#This Row],[Площадь по проекту(общая)]]-ППД5[[#This Row],[Летние]],2)</f>
        <v>58.84</v>
      </c>
      <c r="U197" s="91">
        <f>ROUND(ППД5[[#This Row],[Площадь по проекту(общая)]]-(SUM(ППД5[[#This Row],[Лоджия 1]:[Лоджия 3]])/2),2)</f>
        <v>60.22</v>
      </c>
      <c r="V197" s="91">
        <f>IF(ППД5[[#This Row],[Статус]]="продажа",ППД5[[#This Row],[Расчетная проектная площадь]],ППД5[[#This Row],[Расчетная ТП площадь]])</f>
        <v>60.22</v>
      </c>
      <c r="W197" s="91">
        <v>15.9</v>
      </c>
      <c r="X197" s="91">
        <v>11.9</v>
      </c>
      <c r="Y197" s="91"/>
      <c r="Z197" s="91">
        <f>SUM(ППД5[[#This Row],[ТП Комната 1]:[ТП Комната 3]])</f>
        <v>27.8</v>
      </c>
      <c r="AA197" s="91">
        <v>15.3</v>
      </c>
      <c r="AB197" s="91">
        <v>3.8</v>
      </c>
      <c r="AC197" s="91">
        <v>2.2999999999999998</v>
      </c>
      <c r="AD197" s="91"/>
      <c r="AE197" s="91">
        <v>9.5</v>
      </c>
      <c r="AF197" s="91">
        <v>1.4</v>
      </c>
      <c r="AG197" s="91"/>
      <c r="AH197" s="91"/>
      <c r="AI197" s="91">
        <f>SUM(ППД5[[#This Row],[ТП Лоджия 1]:[ТП Лоджия 3]])</f>
        <v>1.4</v>
      </c>
      <c r="AJ197" s="95">
        <v>2.8</v>
      </c>
      <c r="AK197" s="91">
        <f>SUM(ППД5[[#This Row],[Площадь по ТП жилая]:[ТП Лоджия 3]])-ППД5[[#This Row],[ТП Летние]]+ППД5[[#This Row],[кроме того прочая
(без коэффициента)]]</f>
        <v>61.499999999999993</v>
      </c>
      <c r="AL197" s="95">
        <f>ППД5[[#This Row],[ТП Площадь без летних]]+(ППД5[[#This Row],[ТП Летние]])</f>
        <v>60.099999999999994</v>
      </c>
      <c r="AM197" s="91">
        <f>ППД5[[#This Row],[ТП общая S]]-ППД5[[#This Row],[кроме того прочая
(без коэффициента)]]</f>
        <v>58.699999999999996</v>
      </c>
      <c r="AN197" s="95">
        <f>SUM(ППД5[[#This Row],[ТП Кухня]:[ТП Коридор]])</f>
        <v>30.900000000000002</v>
      </c>
      <c r="AO197" s="91">
        <f>ППД5[[#This Row],[Расчетная ТП площадь]]-ППД5[[#This Row],[Расчетная проектная площадь]]</f>
        <v>-0.12000000000000455</v>
      </c>
      <c r="AP197" s="335">
        <f>ППД5[[#This Row],[Расчетная ТП площадь]]/ППД5[[#This Row],[Расчетная проектная площадь]]-1</f>
        <v>-1.9926934573232247E-3</v>
      </c>
      <c r="AQ197" s="91">
        <f>ППД5[[#This Row],[% расхождения]]*ППД5[[#This Row],[Стоимость до скидки]]</f>
        <v>-11053.072069080463</v>
      </c>
      <c r="AR197" s="91">
        <f>VLOOKUP(ППД5[[#This Row],[№]],наценкад5[],COLUMN(наценкад5[[#This Row],[Цена м2 с учетом всех K]]),0)</f>
        <v>80307.864000000001</v>
      </c>
      <c r="AS197" s="8">
        <f>ППД5[[#This Row],[м2 после К]]*5%</f>
        <v>4015.3932000000004</v>
      </c>
      <c r="AT197" s="8">
        <f>ППД5[[#This Row],[м2 после К]]+ППД5[[#This Row],[Повышение 16.08.23 - 5%]]</f>
        <v>84323.257200000007</v>
      </c>
      <c r="AU197" s="93">
        <f>ППД5[[#This Row],[Фикс 16.08.23]]*3%</f>
        <v>2529.6977160000001</v>
      </c>
      <c r="AV197" s="93">
        <f>ППД5[[#This Row],[Фикс 16.08.23]]+ППД5[[#This Row],[Повышение 29.08.23 - 3%]]</f>
        <v>86852.954916000002</v>
      </c>
      <c r="AW197" s="93"/>
      <c r="AX197" s="93">
        <f>ППД5[[#This Row],[Фикс 29.08.23]]+ППД5[[#This Row],[Повышение 06.09.23 СТ и 1К]]</f>
        <v>86852.954916000002</v>
      </c>
      <c r="AY197" s="93"/>
      <c r="AZ197" s="93">
        <f>ППД5[[#This Row],[Повышение 23.10.23  В4 ]]+ППД5[[#This Row],[Фикс 06.09.23]]</f>
        <v>86852.954916000002</v>
      </c>
      <c r="BA197" s="93"/>
      <c r="BB197" s="93">
        <f>ППД5[[#This Row],[Повышение 8.11.23 1К 5%]]+ППД5[[#This Row],[Фикс 23.10.23]]</f>
        <v>86852.954916000002</v>
      </c>
      <c r="BC197" s="93"/>
      <c r="BD197" s="93">
        <f>ППД5[[#This Row],[Корректировка 24.11.23 - 1К В5, 2К А2, №233]]+ППД5[[#This Row],[Фикс 8.11.23]]</f>
        <v>86852.954916000002</v>
      </c>
      <c r="BE197" s="93">
        <f>ППД5[[#This Row],[Фикс 8.11.24]]*1%</f>
        <v>868.52954915999999</v>
      </c>
      <c r="BF197" s="93">
        <f>ППД5[[#This Row],[Наценка за отделку 29.12.23 1%]]+ППД5[[#This Row],[Фикс 8.11.24]]</f>
        <v>87721.48446516</v>
      </c>
      <c r="BG197" s="93">
        <f>ППД5[[#This Row],[Фикс 29.12.23]]*5%</f>
        <v>4386.0742232580005</v>
      </c>
      <c r="BH197" s="93">
        <f>ППД5[[#This Row],[Фикс 29.12.23]]+ППД5[[#This Row],[Наценка 10.01.24 5%]]</f>
        <v>92107.558688417994</v>
      </c>
      <c r="BI197" s="93"/>
      <c r="BJ197" s="93">
        <f>ППД5[[#This Row],[Наценка 26.02.24 1 Этаж]]+ППД5[[#This Row],[Фикс 10.01.24]]</f>
        <v>92107.558688417994</v>
      </c>
      <c r="BK197" s="93"/>
      <c r="BL197" s="93">
        <f>ППД5[[#This Row],[Фикс 26.02.24]]+ППД5[[#This Row],[Наценка 06.03.24
СТ, 1К - 3%
2К, 3К - 2%]]</f>
        <v>92107.558688417994</v>
      </c>
      <c r="BM197" s="93"/>
      <c r="BN197" s="93">
        <f>ППД5[[#This Row],[Фикс 06.03.24]]+ППД5[[#This Row],[Наценка Г2+500]]</f>
        <v>92107.558688417994</v>
      </c>
      <c r="BO197" s="93"/>
      <c r="BP197" s="93">
        <f>ППД5[[#This Row],[Фикс 13.03.25]]+ППД5[[#This Row],[Наценка 20.03.24
2К, 3К - 2%]]</f>
        <v>92107.558688417994</v>
      </c>
      <c r="BQ197" s="93"/>
      <c r="BR197" s="93">
        <f>ППД5[[#This Row],[Фикс 20.03.24]]+ППД5[[#This Row],[Наценка 08.04.24 
2К: В3 - 150
3К: Г7 +1000]]</f>
        <v>92107.558688417994</v>
      </c>
      <c r="BS197" s="93"/>
      <c r="BT197" s="93">
        <f>ППД5[[#This Row],[Фикс 08.04.24]]+ППД5[[#This Row],[Наценка 16.05.24 1%
А4,А6,Б3,Б6,Б7,В2,В3,В5,В6,Г1,Г3-Г5]]</f>
        <v>92107.558688417994</v>
      </c>
      <c r="BU197" s="93"/>
      <c r="BV197" s="93">
        <f>ППД5[[#This Row],[Фикс 16.05.24]]+ППД5[[#This Row],[Наценка 24.05.24
1% - Б4, Б5,Г2,Г6
2% - А1,А3,А5,Б2,Г7]]</f>
        <v>92107.558688417994</v>
      </c>
      <c r="BW197" s="93"/>
      <c r="BX197" s="93">
        <f>ППД5[[#This Row],[Наценка 06.06.24
0К: В2,Г3 +0,5%
1К: А7, Б5/4, Г6 +0,5%
3К: В6 +0,5%
1К: А3 +1%]]+ППД5[[#This Row],[Фикс 24.05.24]]</f>
        <v>92107.558688417994</v>
      </c>
      <c r="BY197" s="93"/>
      <c r="BZ197" s="93">
        <f>ППД5[[#This Row],[Фикс 06.06.24]]+ППД5[[#This Row],[13.06.2024
3К - 2%]]</f>
        <v>92107.558688417994</v>
      </c>
      <c r="CA197" s="93"/>
      <c r="CB197" s="93">
        <f>ППД5[[#This Row],[02.07.2024: Г3 А1 А3 Б5 Б7 Г2 Г6 Б3 Б4 В3 Г7 2,5% ост 0,5-1,5%]]+ППД5[[#This Row],[Фикс 13.06.24]]</f>
        <v>92107.558688417994</v>
      </c>
      <c r="CC197" s="93"/>
      <c r="CD197" s="93">
        <f>ППД5[[#This Row],[Фикс 02.07.24]]+ППД5[[#This Row],[04.09.2024 +500
0К - Б2; 1К - А3;
2К - А6, Б4, В3, Г5]]</f>
        <v>92107.558688417994</v>
      </c>
      <c r="CE197" s="93"/>
      <c r="CF197" s="93">
        <f>ППД5[[#This Row],[Наценка 16.09.2024
1К: А1,В7,Г6/7,Г8 - 2%
2К: А4,А5,А6,Б1,Б6,Б3/4,В3,В4,Г4,Г5 - 4%
3К: 4%]]+ППД5[[#This Row],[Фикс 04.09.24]]</f>
        <v>92107.558688417994</v>
      </c>
      <c r="CG197" s="93"/>
      <c r="CH197" s="93">
        <f>ППД5[[#This Row],[Фикс 16.09.2024]]+ППД5[[#This Row],[Наценка 01.11.24
СТ: 4%
1К: 34-40м 5%; 40м+ 8%; МГН 1%
2К: 55-70м 6%; 70-73м 7%; 73-76м 8% 
3К: 5%]]</f>
        <v>92107.558688417994</v>
      </c>
      <c r="CI197" s="93"/>
      <c r="CJ197" s="93">
        <f>ППД5[[#This Row],[Наценка 06.11 13%]]+ППД5[[#This Row],[Фикс 01.11.24]]</f>
        <v>92107.558688417994</v>
      </c>
      <c r="CK197" s="93"/>
      <c r="CL197" s="93">
        <f>ППД5[[#This Row],[Фикс 06.11.24]]+ППД5[[#This Row],[Наценка 18.12.24 распределение КВ]]</f>
        <v>92107.558688417994</v>
      </c>
      <c r="CM197" s="93"/>
      <c r="CN197" s="93">
        <f>ППД5[[#This Row],[Фикс 18.12.24]]+ППД5[[#This Row],[Наценка 10.02.25 +1%
1К: А3
2К: Б3, В3]]</f>
        <v>92107.558688417994</v>
      </c>
      <c r="CO197" s="93">
        <f>ROUND(ППД5[[#This Row],[Фикс 10.02.25]],2)</f>
        <v>92107.56</v>
      </c>
      <c r="CP19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5546800</v>
      </c>
      <c r="CQ197" s="93">
        <f>ROUNDUP(ППД5[[#This Row],[Стоимость до скидки]]+ППД5[[#This Row],[Сумма доплаты]],-2)</f>
        <v>5535800</v>
      </c>
      <c r="CR197" s="68"/>
      <c r="CS197" s="90"/>
      <c r="CT197" s="68">
        <f>ППД5[[#This Row],[Стоимость до скидки]]*ППД5[[#This Row],[Скидка %]]+ППД5[[#This Row],[Скидка фиксированная]]</f>
        <v>0</v>
      </c>
      <c r="CU197" s="3">
        <f>ППД5[[#This Row],[Стоимость ОН без отделки со скидкой]]/ППД5[[#This Row],[Расчетная проектная площадь]]</f>
        <v>92108.933909000334</v>
      </c>
      <c r="CV197" s="3">
        <f>ROUND(ППД5[[#This Row],[Стоимость до скидки]]-ППД5[[#This Row],[Итоговая сумма скидки]],2)</f>
        <v>5546800</v>
      </c>
      <c r="CW19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197" s="197"/>
      <c r="CY197" s="332">
        <f>ППД5[[#This Row],[Расхождение]]/ППД5[[#This Row],[Расчетная проектная площадь]]</f>
        <v>-1.9926934573232238E-3</v>
      </c>
      <c r="CZ19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-9.9999999999980105E-3</v>
      </c>
      <c r="DA197" s="3">
        <f>ППД5[[#This Row],[Цена м2 без отделки со скидкой]]+ППД5[[#This Row],[Стоимость отделки]]</f>
        <v>92108.933909000334</v>
      </c>
      <c r="DB197" s="3">
        <f>ППД5[[#This Row],[Стоимость квартиры с отделкой]]-ППД5[[#This Row],[Стоимость ОН без отделки со скидкой]]</f>
        <v>0</v>
      </c>
      <c r="DC197" s="3">
        <f>ППД5[[#This Row],[Цена м2 с отделкой]]*ППД5[[#This Row],[Расчетная проектная площадь]]</f>
        <v>5546800</v>
      </c>
      <c r="DD197" s="3"/>
      <c r="DF197" s="199" t="s">
        <v>172</v>
      </c>
      <c r="DG197" s="245" t="s">
        <v>172</v>
      </c>
      <c r="DH197" s="100" t="b">
        <f>EXACT(ППД5[[#This Row],[Статусы CRM]],ППД5[[#This Row],[Статус]])</f>
        <v>1</v>
      </c>
      <c r="DI197" s="213" t="s">
        <v>369</v>
      </c>
      <c r="DJ197" s="204"/>
      <c r="DK197" s="111" t="s">
        <v>763</v>
      </c>
      <c r="DL197" s="216" t="s">
        <v>12</v>
      </c>
      <c r="DM197" s="201" t="b">
        <f>ППД5[[#This Row],[Отделка CRM]]=ППД5[[#This Row],[Отделка]]</f>
        <v>1</v>
      </c>
      <c r="DN197" s="203">
        <v>5546800</v>
      </c>
      <c r="DO19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97" s="207" t="b">
        <f>IF(AND(ППД5[[#This Row],[Статус]]="свободно",ППД5[[#This Row],[Итоговая сумма скидки]]&lt;&gt;0),FALSE,TRUE)</f>
        <v>1</v>
      </c>
      <c r="DQ197" s="240">
        <f>_xlfn.XLOOKUP(ППД5[[#This Row],[№]],Юрист[№ кв],Юрист[Дата подачи на регистрацию]," ",0,-1)</f>
        <v>45349</v>
      </c>
      <c r="DR197" s="115" t="str">
        <f>_xlfn.XLOOKUP(ППД5[[#This Row],[№]],Юрист[№ кв],Юрист[МОП],"",0,-1)</f>
        <v>Полехович</v>
      </c>
      <c r="DS197" s="333" t="s">
        <v>2686</v>
      </c>
      <c r="DT197" s="333" t="s">
        <v>2687</v>
      </c>
      <c r="DU197" s="333">
        <v>58.7</v>
      </c>
      <c r="DV197" s="111"/>
    </row>
    <row r="198" spans="1:126" hidden="1" x14ac:dyDescent="0.25">
      <c r="A198" s="112">
        <v>196</v>
      </c>
      <c r="B198" s="111" t="s">
        <v>4</v>
      </c>
      <c r="C198" s="111">
        <v>13</v>
      </c>
      <c r="D198" s="111">
        <v>2</v>
      </c>
      <c r="E198" s="111">
        <v>0</v>
      </c>
      <c r="F198" s="105">
        <v>7.13</v>
      </c>
      <c r="G198" s="105"/>
      <c r="H198" s="105"/>
      <c r="I198" s="94">
        <f>SUM(ППД5[[#This Row],[Комната 1]:[Комната 3]])</f>
        <v>7.13</v>
      </c>
      <c r="J198" s="105">
        <v>5.12</v>
      </c>
      <c r="K198" s="105">
        <v>3.65</v>
      </c>
      <c r="L198" s="105"/>
      <c r="M198" s="105"/>
      <c r="N198" s="105">
        <v>6.92</v>
      </c>
      <c r="O198" s="105">
        <v>2.91</v>
      </c>
      <c r="P198" s="105"/>
      <c r="Q198" s="105"/>
      <c r="R198" s="105">
        <f>SUM(ППД5[[#This Row],[Лоджия 1]:[Лоджия 3]])</f>
        <v>2.91</v>
      </c>
      <c r="S198" s="8">
        <f>ROUND(SUM(ППД5[[#This Row],[Площадь по проекту жилая]:[Лоджия 3]]),2)</f>
        <v>25.73</v>
      </c>
      <c r="T198" s="8">
        <f>ROUND(ППД5[[#This Row],[Площадь по проекту(общая)]]-ППД5[[#This Row],[Летние]],2)</f>
        <v>22.82</v>
      </c>
      <c r="U198" s="91">
        <f>ROUND(ППД5[[#This Row],[Площадь по проекту(общая)]]-(SUM(ППД5[[#This Row],[Лоджия 1]:[Лоджия 3]])/2),2)</f>
        <v>24.28</v>
      </c>
      <c r="V198" s="91">
        <f>IF(ППД5[[#This Row],[Статус]]="продажа",ППД5[[#This Row],[Расчетная проектная площадь]],ППД5[[#This Row],[Расчетная ТП площадь]])</f>
        <v>24.05</v>
      </c>
      <c r="W198" s="91">
        <v>7.1</v>
      </c>
      <c r="X198" s="91"/>
      <c r="Y198" s="91"/>
      <c r="Z198" s="91">
        <f>SUM(ППД5[[#This Row],[ТП Комната 1]:[ТП Комната 3]])</f>
        <v>7.1</v>
      </c>
      <c r="AA198" s="91">
        <v>5</v>
      </c>
      <c r="AB198" s="91">
        <v>3.6</v>
      </c>
      <c r="AC198" s="91"/>
      <c r="AD198" s="91"/>
      <c r="AE198" s="91">
        <v>6.9</v>
      </c>
      <c r="AF198" s="91">
        <v>1.45</v>
      </c>
      <c r="AG198" s="91"/>
      <c r="AH198" s="91"/>
      <c r="AI198" s="91">
        <f>SUM(ППД5[[#This Row],[ТП Лоджия 1]:[ТП Лоджия 3]])</f>
        <v>1.45</v>
      </c>
      <c r="AJ198" s="95">
        <v>2.9</v>
      </c>
      <c r="AK198" s="91">
        <f>SUM(ППД5[[#This Row],[Площадь по ТП жилая]:[ТП Лоджия 3]])-ППД5[[#This Row],[ТП Летние]]+ППД5[[#This Row],[кроме того прочая
(без коэффициента)]]</f>
        <v>25.5</v>
      </c>
      <c r="AL198" s="95">
        <f>ППД5[[#This Row],[ТП Площадь без летних]]+(ППД5[[#This Row],[ТП Летние]])</f>
        <v>24.05</v>
      </c>
      <c r="AM198" s="91">
        <f>ППД5[[#This Row],[ТП общая S]]-ППД5[[#This Row],[кроме того прочая
(без коэффициента)]]</f>
        <v>22.6</v>
      </c>
      <c r="AN198" s="95">
        <f>SUM(ППД5[[#This Row],[ТП Кухня]:[ТП Коридор]])</f>
        <v>15.5</v>
      </c>
      <c r="AO198" s="91">
        <f>ППД5[[#This Row],[Расчетная ТП площадь]]-ППД5[[#This Row],[Расчетная проектная площадь]]</f>
        <v>-0.23000000000000043</v>
      </c>
      <c r="AP198" s="335">
        <f>ППД5[[#This Row],[Расчетная ТП площадь]]/ППД5[[#This Row],[Расчетная проектная площадь]]-1</f>
        <v>-9.4728171334431677E-3</v>
      </c>
      <c r="AQ198" s="91">
        <f>ППД5[[#This Row],[% расхождения]]*ППД5[[#This Row],[Стоимость до скидки]]</f>
        <v>-34446.004942339394</v>
      </c>
      <c r="AR198" s="91">
        <f>VLOOKUP(ППД5[[#This Row],[№]],наценкад5[],COLUMN(наценкад5[[#This Row],[Цена м2 с учетом всех K]]),0)</f>
        <v>90229.544999999998</v>
      </c>
      <c r="AS198" s="8">
        <f>ППД5[[#This Row],[м2 после К]]*5%</f>
        <v>4511.4772499999999</v>
      </c>
      <c r="AT198" s="8">
        <f>ППД5[[#This Row],[м2 после К]]+ППД5[[#This Row],[Повышение 16.08.23 - 5%]]</f>
        <v>94741.022249999995</v>
      </c>
      <c r="AU198" s="93">
        <f>ППД5[[#This Row],[Фикс 16.08.23]]*3%</f>
        <v>2842.2306674999995</v>
      </c>
      <c r="AV198" s="93">
        <f>ППД5[[#This Row],[Фикс 16.08.23]]+ППД5[[#This Row],[Повышение 29.08.23 - 3%]]</f>
        <v>97583.252917499995</v>
      </c>
      <c r="AW198" s="93">
        <f>ППД5[[#This Row],[Фикс 29.08.23]]*15%</f>
        <v>14637.487937624999</v>
      </c>
      <c r="AX198" s="93">
        <f>ППД5[[#This Row],[Фикс 29.08.23]]+ППД5[[#This Row],[Повышение 06.09.23 СТ и 1К]]</f>
        <v>112220.740855125</v>
      </c>
      <c r="AY198" s="93"/>
      <c r="AZ198" s="93">
        <f>ППД5[[#This Row],[Повышение 23.10.23  В4 ]]+ППД5[[#This Row],[Фикс 06.09.23]]</f>
        <v>112220.740855125</v>
      </c>
      <c r="BA198" s="93"/>
      <c r="BB198" s="93">
        <f>ППД5[[#This Row],[Повышение 8.11.23 1К 5%]]+ППД5[[#This Row],[Фикс 23.10.23]]</f>
        <v>112220.740855125</v>
      </c>
      <c r="BC198" s="93"/>
      <c r="BD198" s="93">
        <f>ППД5[[#This Row],[Корректировка 24.11.23 - 1К В5, 2К А2, №233]]+ППД5[[#This Row],[Фикс 8.11.23]]</f>
        <v>112220.740855125</v>
      </c>
      <c r="BE198" s="93">
        <f>ППД5[[#This Row],[Фикс 8.11.24]]*1%</f>
        <v>1122.20740855125</v>
      </c>
      <c r="BF198" s="93">
        <f>ППД5[[#This Row],[Наценка за отделку 29.12.23 1%]]+ППД5[[#This Row],[Фикс 8.11.24]]</f>
        <v>113342.94826367624</v>
      </c>
      <c r="BG198" s="93">
        <f>ППД5[[#This Row],[Фикс 29.12.23]]*5%</f>
        <v>5667.1474131838122</v>
      </c>
      <c r="BH198" s="93">
        <f>ППД5[[#This Row],[Фикс 29.12.23]]+ППД5[[#This Row],[Наценка 10.01.24 5%]]</f>
        <v>119010.09567686006</v>
      </c>
      <c r="BI198" s="93"/>
      <c r="BJ198" s="93">
        <f>ППД5[[#This Row],[Наценка 26.02.24 1 Этаж]]+ППД5[[#This Row],[Фикс 10.01.24]]</f>
        <v>119010.09567686006</v>
      </c>
      <c r="BK198" s="93">
        <f>ППД5[[#This Row],[Фикс 26.02.24]]*3%</f>
        <v>3570.3028703058017</v>
      </c>
      <c r="BL198" s="93">
        <f>ППД5[[#This Row],[Фикс 26.02.24]]+ППД5[[#This Row],[Наценка 06.03.24
СТ, 1К - 3%
2К, 3К - 2%]]</f>
        <v>122580.39854716587</v>
      </c>
      <c r="BM198" s="93"/>
      <c r="BN198" s="93">
        <f>ППД5[[#This Row],[Фикс 06.03.24]]+ППД5[[#This Row],[Наценка Г2+500]]</f>
        <v>122580.39854716587</v>
      </c>
      <c r="BO198" s="93"/>
      <c r="BP198" s="93">
        <f>ППД5[[#This Row],[Фикс 13.03.25]]+ППД5[[#This Row],[Наценка 20.03.24
2К, 3К - 2%]]</f>
        <v>122580.39854716587</v>
      </c>
      <c r="BQ198" s="93"/>
      <c r="BR198" s="93">
        <f>ППД5[[#This Row],[Фикс 20.03.24]]+ППД5[[#This Row],[Наценка 08.04.24 
2К: В3 - 150
3К: Г7 +1000]]</f>
        <v>122580.39854716587</v>
      </c>
      <c r="BS198" s="93"/>
      <c r="BT198" s="93">
        <f>ППД5[[#This Row],[Фикс 08.04.24]]+ППД5[[#This Row],[Наценка 16.05.24 1%
А4,А6,Б3,Б6,Б7,В2,В3,В5,В6,Г1,Г3-Г5]]</f>
        <v>122580.39854716587</v>
      </c>
      <c r="BU198" s="93">
        <f>ППД5[[#This Row],[Фикс 16.05.24]]*2%</f>
        <v>2451.6079709433175</v>
      </c>
      <c r="BV198" s="93">
        <f>ППД5[[#This Row],[Фикс 16.05.24]]+ППД5[[#This Row],[Наценка 24.05.24
1% - Б4, Б5,Г2,Г6
2% - А1,А3,А5,Б2,Г7]]</f>
        <v>125032.00651810918</v>
      </c>
      <c r="BW198" s="93"/>
      <c r="BX198" s="93">
        <f>ППД5[[#This Row],[Наценка 06.06.24
0К: В2,Г3 +0,5%
1К: А7, Б5/4, Г6 +0,5%
3К: В6 +0,5%
1К: А3 +1%]]+ППД5[[#This Row],[Фикс 24.05.24]]</f>
        <v>125032.00651810918</v>
      </c>
      <c r="BY198" s="93"/>
      <c r="BZ198" s="93">
        <f>ППД5[[#This Row],[Фикс 06.06.24]]+ППД5[[#This Row],[13.06.2024
3К - 2%]]</f>
        <v>125032.00651810918</v>
      </c>
      <c r="CA198" s="93">
        <f>1.5%*ППД5[[#This Row],[Фикс 13.06.24]]</f>
        <v>1875.4800977716377</v>
      </c>
      <c r="CB198" s="93">
        <f>ППД5[[#This Row],[02.07.2024: Г3 А1 А3 Б5 Б7 Г2 Г6 Б3 Б4 В3 Г7 2,5% ост 0,5-1,5%]]+ППД5[[#This Row],[Фикс 13.06.24]]</f>
        <v>126907.48661588081</v>
      </c>
      <c r="CC198" s="93">
        <v>500</v>
      </c>
      <c r="CD198" s="93">
        <f>ППД5[[#This Row],[Фикс 02.07.24]]+ППД5[[#This Row],[04.09.2024 +500
0К - Б2; 1К - А3;
2К - А6, Б4, В3, Г5]]</f>
        <v>127407.48661588081</v>
      </c>
      <c r="CE198" s="93"/>
      <c r="CF198" s="93">
        <f>ППД5[[#This Row],[Наценка 16.09.2024
1К: А1,В7,Г6/7,Г8 - 2%
2К: А4,А5,А6,Б1,Б6,Б3/4,В3,В4,Г4,Г5 - 4%
3К: 4%]]+ППД5[[#This Row],[Фикс 04.09.24]]</f>
        <v>127407.48661588081</v>
      </c>
      <c r="CG198" s="93">
        <f>ППД5[[#This Row],[Фикс 16.09.2024]]*4%</f>
        <v>5096.2994646352327</v>
      </c>
      <c r="CH198" s="93">
        <f>ППД5[[#This Row],[Фикс 16.09.2024]]+ППД5[[#This Row],[Наценка 01.11.24
СТ: 4%
1К: 34-40м 5%; 40м+ 8%; МГН 1%
2К: 55-70м 6%; 70-73м 7%; 73-76м 8% 
3К: 5%]]</f>
        <v>132503.78608051606</v>
      </c>
      <c r="CI198" s="93">
        <f>ППД5[[#This Row],[Фикс 01.11.24]]*13%</f>
        <v>17225.492190467088</v>
      </c>
      <c r="CJ198" s="93">
        <f>ППД5[[#This Row],[Наценка 06.11 13%]]+ППД5[[#This Row],[Фикс 01.11.24]]</f>
        <v>149729.27827098314</v>
      </c>
      <c r="CK198" s="93">
        <v>35</v>
      </c>
      <c r="CL198" s="93">
        <f>ППД5[[#This Row],[Фикс 06.11.24]]+ППД5[[#This Row],[Наценка 18.12.24 распределение КВ]]</f>
        <v>149764.27827098314</v>
      </c>
      <c r="CM198" s="93"/>
      <c r="CN198" s="93">
        <f>ППД5[[#This Row],[Фикс 18.12.24]]+ППД5[[#This Row],[Наценка 10.02.25 +1%
1К: А3
2К: Б3, В3]]</f>
        <v>149764.27827098314</v>
      </c>
      <c r="CO198" s="93">
        <f>ROUND(ППД5[[#This Row],[Фикс 10.02.25]],2)</f>
        <v>149764.28</v>
      </c>
      <c r="CP19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3636300</v>
      </c>
      <c r="CQ198" s="93">
        <f>ROUNDUP(ППД5[[#This Row],[Стоимость до скидки]]+ППД5[[#This Row],[Сумма доплаты]],-2)</f>
        <v>3601900</v>
      </c>
      <c r="CR198" s="68"/>
      <c r="CS198" s="90"/>
      <c r="CT198" s="68">
        <f>ППД5[[#This Row],[Стоимость до скидки]]*ППД5[[#This Row],[Скидка %]]+ППД5[[#This Row],[Скидка фиксированная]]</f>
        <v>0</v>
      </c>
      <c r="CU198" s="3">
        <f>ППД5[[#This Row],[Стоимость ОН без отделки со скидкой]]/ППД5[[#This Row],[Расчетная проектная площадь]]</f>
        <v>149765.2388797364</v>
      </c>
      <c r="CV198" s="3">
        <f>ROUND(ППД5[[#This Row],[Стоимость до скидки]]-ППД5[[#This Row],[Итоговая сумма скидки]],2)</f>
        <v>3636300</v>
      </c>
      <c r="CW19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198" s="218">
        <v>10000</v>
      </c>
      <c r="CY198" s="332">
        <f>ППД5[[#This Row],[Расхождение]]/ППД5[[#This Row],[Расчетная проектная площадь]]</f>
        <v>-9.4728171334431798E-3</v>
      </c>
      <c r="CZ198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-0.19000000000000039</v>
      </c>
      <c r="DA198" s="3">
        <f>ППД5[[#This Row],[Цена м2 без отделки со скидкой]]+ППД5[[#This Row],[Стоимость отделки]]</f>
        <v>159765.2388797364</v>
      </c>
      <c r="DB198" s="3">
        <f>ППД5[[#This Row],[Стоимость квартиры с отделкой]]-ППД5[[#This Row],[Стоимость ОН без отделки со скидкой]]</f>
        <v>242800</v>
      </c>
      <c r="DC198" s="3">
        <f>ППД5[[#This Row],[Цена м2 с отделкой]]*ППД5[[#This Row],[Расчетная проектная площадь]]</f>
        <v>3879100</v>
      </c>
      <c r="DD198" s="3"/>
      <c r="DF198" s="155" t="s">
        <v>157</v>
      </c>
      <c r="DG198" s="221" t="s">
        <v>157</v>
      </c>
      <c r="DH198" s="100" t="b">
        <f>EXACT(ППД5[[#This Row],[Статусы CRM]],ППД5[[#This Row],[Статус]])</f>
        <v>1</v>
      </c>
      <c r="DI198" s="213" t="s">
        <v>370</v>
      </c>
      <c r="DJ198" s="204"/>
      <c r="DK198" s="111" t="s">
        <v>763</v>
      </c>
      <c r="DL198" s="216" t="s">
        <v>780</v>
      </c>
      <c r="DM198" s="201" t="b">
        <f>ППД5[[#This Row],[Отделка CRM]]=ППД5[[#This Row],[Отделка]]</f>
        <v>1</v>
      </c>
      <c r="DN198" s="203">
        <v>3879100</v>
      </c>
      <c r="DO19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98" s="207" t="b">
        <f>IF(AND(ППД5[[#This Row],[Статус]]="свободно",ППД5[[#This Row],[Итоговая сумма скидки]]&lt;&gt;0),FALSE,TRUE)</f>
        <v>1</v>
      </c>
      <c r="DQ198" s="240" t="str">
        <f>_xlfn.XLOOKUP(ППД5[[#This Row],[№]],Юрист[№ кв],Юрист[Дата подачи на регистрацию]," ",0,-1)</f>
        <v xml:space="preserve"> </v>
      </c>
      <c r="DR198" s="115" t="str">
        <f>_xlfn.XLOOKUP(ППД5[[#This Row],[№]],Юрист[№ кв],Юрист[МОП],"",0,-1)</f>
        <v/>
      </c>
      <c r="DS198" s="333" t="s">
        <v>2688</v>
      </c>
      <c r="DT198" s="333" t="s">
        <v>2689</v>
      </c>
      <c r="DU198" s="333">
        <v>22.6</v>
      </c>
      <c r="DV198" s="111"/>
    </row>
    <row r="199" spans="1:126" hidden="1" x14ac:dyDescent="0.25">
      <c r="A199" s="112">
        <v>197</v>
      </c>
      <c r="B199" s="111" t="s">
        <v>4</v>
      </c>
      <c r="C199" s="111">
        <v>13</v>
      </c>
      <c r="D199" s="111">
        <v>3</v>
      </c>
      <c r="E199" s="111">
        <v>2</v>
      </c>
      <c r="F199" s="105">
        <v>14.6</v>
      </c>
      <c r="G199" s="105">
        <v>13.12</v>
      </c>
      <c r="H199" s="105"/>
      <c r="I199" s="94">
        <f>SUM(ППД5[[#This Row],[Комната 1]:[Комната 3]])</f>
        <v>27.72</v>
      </c>
      <c r="J199" s="105">
        <v>14.35</v>
      </c>
      <c r="K199" s="105">
        <v>3.68</v>
      </c>
      <c r="L199" s="105">
        <v>2.57</v>
      </c>
      <c r="M199" s="105"/>
      <c r="N199" s="105">
        <v>7.95</v>
      </c>
      <c r="O199" s="105">
        <v>2.65</v>
      </c>
      <c r="P199" s="105"/>
      <c r="Q199" s="105"/>
      <c r="R199" s="105">
        <f>SUM(ППД5[[#This Row],[Лоджия 1]:[Лоджия 3]])</f>
        <v>2.65</v>
      </c>
      <c r="S199" s="8">
        <f>ROUND(SUM(ППД5[[#This Row],[Площадь по проекту жилая]:[Лоджия 3]]),2)</f>
        <v>58.92</v>
      </c>
      <c r="T199" s="8">
        <f>ROUND(ППД5[[#This Row],[Площадь по проекту(общая)]]-ППД5[[#This Row],[Летние]],2)</f>
        <v>56.27</v>
      </c>
      <c r="U199" s="91">
        <f>ROUND(ППД5[[#This Row],[Площадь по проекту(общая)]]-(SUM(ППД5[[#This Row],[Лоджия 1]:[Лоджия 3]])/2),2)</f>
        <v>57.6</v>
      </c>
      <c r="V199" s="91">
        <f>IF(ППД5[[#This Row],[Статус]]="продажа",ППД5[[#This Row],[Расчетная проектная площадь]],ППД5[[#This Row],[Расчетная ТП площадь]])</f>
        <v>57.6</v>
      </c>
      <c r="W199" s="91">
        <v>13</v>
      </c>
      <c r="X199" s="91">
        <v>14.6</v>
      </c>
      <c r="Y199" s="91"/>
      <c r="Z199" s="91">
        <f>SUM(ППД5[[#This Row],[ТП Комната 1]:[ТП Комната 3]])</f>
        <v>27.6</v>
      </c>
      <c r="AA199" s="91">
        <v>14.5</v>
      </c>
      <c r="AB199" s="91">
        <v>2.6</v>
      </c>
      <c r="AC199" s="91">
        <v>3.9</v>
      </c>
      <c r="AD199" s="91"/>
      <c r="AE199" s="91">
        <v>8</v>
      </c>
      <c r="AF199" s="91">
        <v>1.35</v>
      </c>
      <c r="AG199" s="91"/>
      <c r="AH199" s="91"/>
      <c r="AI199" s="91">
        <f>SUM(ППД5[[#This Row],[ТП Лоджия 1]:[ТП Лоджия 3]])</f>
        <v>1.35</v>
      </c>
      <c r="AJ199" s="95">
        <v>2.7</v>
      </c>
      <c r="AK199" s="91">
        <f>SUM(ППД5[[#This Row],[Площадь по ТП жилая]:[ТП Лоджия 3]])-ППД5[[#This Row],[ТП Летние]]+ППД5[[#This Row],[кроме того прочая
(без коэффициента)]]</f>
        <v>59.300000000000004</v>
      </c>
      <c r="AL199" s="95">
        <f>ППД5[[#This Row],[ТП Площадь без летних]]+(ППД5[[#This Row],[ТП Летние]])</f>
        <v>57.95</v>
      </c>
      <c r="AM199" s="91">
        <f>ППД5[[#This Row],[ТП общая S]]-ППД5[[#This Row],[кроме того прочая
(без коэффициента)]]</f>
        <v>56.6</v>
      </c>
      <c r="AN199" s="95">
        <f>SUM(ППД5[[#This Row],[ТП Кухня]:[ТП Коридор]])</f>
        <v>29</v>
      </c>
      <c r="AO199" s="91">
        <f>ППД5[[#This Row],[Расчетная ТП площадь]]-ППД5[[#This Row],[Расчетная проектная площадь]]</f>
        <v>0.35000000000000142</v>
      </c>
      <c r="AP199" s="335">
        <f>ППД5[[#This Row],[Расчетная ТП площадь]]/ППД5[[#This Row],[Расчетная проектная площадь]]-1</f>
        <v>6.0763888888888395E-3</v>
      </c>
      <c r="AQ199" s="91">
        <f>ППД5[[#This Row],[% расхождения]]*ППД5[[#This Row],[Стоимость до скидки]]</f>
        <v>42859.201388888541</v>
      </c>
      <c r="AR199" s="91">
        <f>VLOOKUP(ППД5[[#This Row],[№]],наценкад5[],COLUMN(наценкад5[[#This Row],[Цена м2 с учетом всех K]]),0)</f>
        <v>78763.482000000004</v>
      </c>
      <c r="AS199" s="8">
        <f>ППД5[[#This Row],[м2 после К]]*5%</f>
        <v>3938.1741000000002</v>
      </c>
      <c r="AT199" s="8">
        <f>ППД5[[#This Row],[м2 после К]]+ППД5[[#This Row],[Повышение 16.08.23 - 5%]]</f>
        <v>82701.656100000007</v>
      </c>
      <c r="AU199" s="93">
        <f>ППД5[[#This Row],[Фикс 16.08.23]]*3%</f>
        <v>2481.0496830000002</v>
      </c>
      <c r="AV199" s="93">
        <f>ППД5[[#This Row],[Фикс 16.08.23]]+ППД5[[#This Row],[Повышение 29.08.23 - 3%]]</f>
        <v>85182.705783000012</v>
      </c>
      <c r="AW199" s="93"/>
      <c r="AX199" s="93">
        <f>ППД5[[#This Row],[Фикс 29.08.23]]+ППД5[[#This Row],[Повышение 06.09.23 СТ и 1К]]</f>
        <v>85182.705783000012</v>
      </c>
      <c r="AY199" s="93"/>
      <c r="AZ199" s="93">
        <f>ППД5[[#This Row],[Повышение 23.10.23  В4 ]]+ППД5[[#This Row],[Фикс 06.09.23]]</f>
        <v>85182.705783000012</v>
      </c>
      <c r="BA199" s="93"/>
      <c r="BB199" s="93">
        <f>ППД5[[#This Row],[Повышение 8.11.23 1К 5%]]+ППД5[[#This Row],[Фикс 23.10.23]]</f>
        <v>85182.705783000012</v>
      </c>
      <c r="BC199" s="93"/>
      <c r="BD199" s="93">
        <f>ППД5[[#This Row],[Корректировка 24.11.23 - 1К В5, 2К А2, №233]]+ППД5[[#This Row],[Фикс 8.11.23]]</f>
        <v>85182.705783000012</v>
      </c>
      <c r="BE199" s="93">
        <f>ППД5[[#This Row],[Фикс 8.11.24]]*1%</f>
        <v>851.82705783000017</v>
      </c>
      <c r="BF199" s="93">
        <f>ППД5[[#This Row],[Наценка за отделку 29.12.23 1%]]+ППД5[[#This Row],[Фикс 8.11.24]]</f>
        <v>86034.532840830012</v>
      </c>
      <c r="BG199" s="93">
        <f>ППД5[[#This Row],[Фикс 29.12.23]]*5%</f>
        <v>4301.7266420415008</v>
      </c>
      <c r="BH199" s="93">
        <f>ППД5[[#This Row],[Фикс 29.12.23]]+ППД5[[#This Row],[Наценка 10.01.24 5%]]</f>
        <v>90336.259482871508</v>
      </c>
      <c r="BI199" s="93"/>
      <c r="BJ199" s="93">
        <f>ППД5[[#This Row],[Наценка 26.02.24 1 Этаж]]+ППД5[[#This Row],[Фикс 10.01.24]]</f>
        <v>90336.259482871508</v>
      </c>
      <c r="BK199" s="93">
        <f>ППД5[[#This Row],[Фикс 26.02.24]]*2%</f>
        <v>1806.7251896574303</v>
      </c>
      <c r="BL199" s="93">
        <f>ППД5[[#This Row],[Фикс 26.02.24]]+ППД5[[#This Row],[Наценка 06.03.24
СТ, 1К - 3%
2К, 3К - 2%]]</f>
        <v>92142.984672528939</v>
      </c>
      <c r="BM199" s="93"/>
      <c r="BN199" s="93">
        <f>ППД5[[#This Row],[Фикс 06.03.24]]+ППД5[[#This Row],[Наценка Г2+500]]</f>
        <v>92142.984672528939</v>
      </c>
      <c r="BO199" s="93">
        <f>ППД5[[#This Row],[Фикс 13.03.25]]*2%</f>
        <v>1842.8596934505788</v>
      </c>
      <c r="BP199" s="93">
        <f>ППД5[[#This Row],[Фикс 13.03.25]]+ППД5[[#This Row],[Наценка 20.03.24
2К, 3К - 2%]]</f>
        <v>93985.844365979516</v>
      </c>
      <c r="BQ199" s="93"/>
      <c r="BR199" s="93">
        <f>ППД5[[#This Row],[Фикс 20.03.24]]+ППД5[[#This Row],[Наценка 08.04.24 
2К: В3 - 150
3К: Г7 +1000]]</f>
        <v>93985.844365979516</v>
      </c>
      <c r="BS199" s="9">
        <f>ППД5[[#This Row],[Фикс 08.04.24]]*1%</f>
        <v>939.85844365979517</v>
      </c>
      <c r="BT199" s="93">
        <f>ППД5[[#This Row],[Фикс 08.04.24]]+ППД5[[#This Row],[Наценка 16.05.24 1%
А4,А6,Б3,Б6,Б7,В2,В3,В5,В6,Г1,Г3-Г5]]</f>
        <v>94925.702809639304</v>
      </c>
      <c r="BU199" s="93"/>
      <c r="BV199" s="93">
        <f>ППД5[[#This Row],[Фикс 16.05.24]]+ППД5[[#This Row],[Наценка 24.05.24
1% - Б4, Б5,Г2,Г6
2% - А1,А3,А5,Б2,Г7]]</f>
        <v>94925.702809639304</v>
      </c>
      <c r="BW199" s="93"/>
      <c r="BX199" s="93">
        <f>ППД5[[#This Row],[Наценка 06.06.24
0К: В2,Г3 +0,5%
1К: А7, Б5/4, Г6 +0,5%
3К: В6 +0,5%
1К: А3 +1%]]+ППД5[[#This Row],[Фикс 24.05.24]]</f>
        <v>94925.702809639304</v>
      </c>
      <c r="BY199" s="93"/>
      <c r="BZ199" s="93">
        <f>ППД5[[#This Row],[Фикс 06.06.24]]+ППД5[[#This Row],[13.06.2024
3К - 2%]]</f>
        <v>94925.702809639304</v>
      </c>
      <c r="CA199" s="93">
        <f>2.5%*ППД5[[#This Row],[Фикс 13.06.24]]</f>
        <v>2373.1425702409829</v>
      </c>
      <c r="CB199" s="93">
        <f>ППД5[[#This Row],[02.07.2024: Г3 А1 А3 Б5 Б7 Г2 Г6 Б3 Б4 В3 Г7 2,5% ост 0,5-1,5%]]+ППД5[[#This Row],[Фикс 13.06.24]]</f>
        <v>97298.84537988028</v>
      </c>
      <c r="CC199" s="93"/>
      <c r="CD199" s="93">
        <f>ППД5[[#This Row],[Фикс 02.07.24]]+ППД5[[#This Row],[04.09.2024 +500
0К - Б2; 1К - А3;
2К - А6, Б4, В3, Г5]]</f>
        <v>97298.84537988028</v>
      </c>
      <c r="CE199" s="93">
        <f>ППД5[[#This Row],[Фикс 04.09.24]]*4%</f>
        <v>3891.9538151952111</v>
      </c>
      <c r="CF199" s="93">
        <f>ППД5[[#This Row],[Наценка 16.09.2024
1К: А1,В7,Г6/7,Г8 - 2%
2К: А4,А5,А6,Б1,Б6,Б3/4,В3,В4,Г4,Г5 - 4%
3К: 4%]]+ППД5[[#This Row],[Фикс 04.09.24]]</f>
        <v>101190.79919507549</v>
      </c>
      <c r="CG199" s="93">
        <f>ППД5[[#This Row],[Фикс 16.09.2024]]*6%</f>
        <v>6071.4479517045293</v>
      </c>
      <c r="CH199" s="93">
        <f>ППД5[[#This Row],[Фикс 16.09.2024]]+ППД5[[#This Row],[Наценка 01.11.24
СТ: 4%
1К: 34-40м 5%; 40м+ 8%; МГН 1%
2К: 55-70м 6%; 70-73м 7%; 73-76м 8% 
3К: 5%]]</f>
        <v>107262.24714678002</v>
      </c>
      <c r="CI199" s="93">
        <f>ППД5[[#This Row],[Фикс 01.11.24]]*13%</f>
        <v>13944.092129081404</v>
      </c>
      <c r="CJ199" s="93">
        <f>ППД5[[#This Row],[Наценка 06.11 13%]]+ППД5[[#This Row],[Фикс 01.11.24]]</f>
        <v>121206.33927586142</v>
      </c>
      <c r="CK199" s="93">
        <v>35</v>
      </c>
      <c r="CL199" s="93">
        <f>ППД5[[#This Row],[Фикс 06.11.24]]+ППД5[[#This Row],[Наценка 18.12.24 распределение КВ]]</f>
        <v>121241.33927586142</v>
      </c>
      <c r="CM199" s="93">
        <f>ППД5[[#This Row],[Фикс 18.12.24]]*1%</f>
        <v>1212.4133927586142</v>
      </c>
      <c r="CN199" s="93">
        <f>ППД5[[#This Row],[Фикс 18.12.24]]+ППД5[[#This Row],[Наценка 10.02.25 +1%
1К: А3
2К: Б3, В3]]</f>
        <v>122453.75266862003</v>
      </c>
      <c r="CO199" s="93">
        <f>ROUND(ППД5[[#This Row],[Фикс 10.02.25]],2)</f>
        <v>122453.75</v>
      </c>
      <c r="CP19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7053400</v>
      </c>
      <c r="CQ199" s="93">
        <f>ROUNDUP(ППД5[[#This Row],[Стоимость до скидки]]+ППД5[[#This Row],[Сумма доплаты]],-2)</f>
        <v>7096300</v>
      </c>
      <c r="CR199" s="68">
        <v>300000</v>
      </c>
      <c r="CS199" s="90"/>
      <c r="CT199" s="68">
        <f>ППД5[[#This Row],[Стоимость до скидки]]*ППД5[[#This Row],[Скидка %]]+ППД5[[#This Row],[Скидка фиксированная]]</f>
        <v>300000</v>
      </c>
      <c r="CU199" s="3">
        <f>ППД5[[#This Row],[Стоимость ОН без отделки со скидкой]]/ППД5[[#This Row],[Расчетная проектная площадь]]</f>
        <v>117246.52777777778</v>
      </c>
      <c r="CV199" s="3">
        <f>ROUND(ППД5[[#This Row],[Стоимость до скидки]]-ППД5[[#This Row],[Итоговая сумма скидки]],2)</f>
        <v>6753400</v>
      </c>
      <c r="CW19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199" s="218">
        <v>25000</v>
      </c>
      <c r="CY199" s="332">
        <f>ППД5[[#This Row],[Расхождение]]/ППД5[[#This Row],[Расчетная проектная площадь]]</f>
        <v>6.0763888888889133E-3</v>
      </c>
      <c r="CZ199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0.45000000000000107</v>
      </c>
      <c r="DA199" s="3">
        <f>ППД5[[#This Row],[Цена м2 без отделки со скидкой]]+ППД5[[#This Row],[Стоимость отделки]]</f>
        <v>142246.52777777778</v>
      </c>
      <c r="DB199" s="3">
        <f>ППД5[[#This Row],[Стоимость квартиры с отделкой]]-ППД5[[#This Row],[Стоимость ОН без отделки со скидкой]]</f>
        <v>1440000</v>
      </c>
      <c r="DC199" s="3">
        <f>ППД5[[#This Row],[Цена м2 с отделкой]]*ППД5[[#This Row],[Расчетная проектная площадь]]</f>
        <v>8193400</v>
      </c>
      <c r="DD199" s="3" t="s">
        <v>154</v>
      </c>
      <c r="DE199" s="111" t="s">
        <v>2114</v>
      </c>
      <c r="DF199" s="199" t="s">
        <v>172</v>
      </c>
      <c r="DG199" s="221" t="s">
        <v>172</v>
      </c>
      <c r="DH199" s="100" t="b">
        <f>EXACT(ППД5[[#This Row],[Статусы CRM]],ППД5[[#This Row],[Статус]])</f>
        <v>1</v>
      </c>
      <c r="DI199" s="213" t="s">
        <v>371</v>
      </c>
      <c r="DJ199" s="204"/>
      <c r="DK199" s="111" t="s">
        <v>763</v>
      </c>
      <c r="DL199" s="216" t="s">
        <v>14</v>
      </c>
      <c r="DM199" s="201" t="b">
        <f>ППД5[[#This Row],[Отделка CRM]]=ППД5[[#This Row],[Отделка]]</f>
        <v>1</v>
      </c>
      <c r="DN199" s="203">
        <v>8193400</v>
      </c>
      <c r="DO19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199" s="207" t="b">
        <f>IF(AND(ППД5[[#This Row],[Статус]]="свободно",ППД5[[#This Row],[Итоговая сумма скидки]]&lt;&gt;0),FALSE,TRUE)</f>
        <v>1</v>
      </c>
      <c r="DQ199" s="240">
        <f>_xlfn.XLOOKUP(ППД5[[#This Row],[№]],Юрист[№ кв],Юрист[Дата подачи на регистрацию]," ",0,-1)</f>
        <v>45805</v>
      </c>
      <c r="DR199" s="115" t="str">
        <f>_xlfn.XLOOKUP(ППД5[[#This Row],[№]],Юрист[№ кв],Юрист[МОП],"",0,-1)</f>
        <v>Полехович</v>
      </c>
      <c r="DS199" s="333" t="s">
        <v>2690</v>
      </c>
      <c r="DT199" s="333" t="s">
        <v>2691</v>
      </c>
      <c r="DU199" s="333">
        <v>56.6</v>
      </c>
      <c r="DV199" s="111"/>
    </row>
    <row r="200" spans="1:126" hidden="1" x14ac:dyDescent="0.25">
      <c r="A200" s="112">
        <v>198</v>
      </c>
      <c r="B200" s="111" t="s">
        <v>4</v>
      </c>
      <c r="C200" s="111">
        <v>13</v>
      </c>
      <c r="D200" s="111">
        <v>4</v>
      </c>
      <c r="E200" s="111">
        <v>2</v>
      </c>
      <c r="F200" s="105">
        <v>15.45</v>
      </c>
      <c r="G200" s="105">
        <v>14.5</v>
      </c>
      <c r="H200" s="105"/>
      <c r="I200" s="94">
        <f>SUM(ППД5[[#This Row],[Комната 1]:[Комната 3]])</f>
        <v>29.95</v>
      </c>
      <c r="J200" s="105">
        <v>11.95</v>
      </c>
      <c r="K200" s="105">
        <v>3.86</v>
      </c>
      <c r="L200" s="105">
        <v>2.37</v>
      </c>
      <c r="M200" s="105"/>
      <c r="N200" s="105">
        <v>8.8699999999999992</v>
      </c>
      <c r="O200" s="105">
        <v>2.62</v>
      </c>
      <c r="P200" s="105"/>
      <c r="Q200" s="105"/>
      <c r="R200" s="105">
        <f>SUM(ППД5[[#This Row],[Лоджия 1]:[Лоджия 3]])</f>
        <v>2.62</v>
      </c>
      <c r="S200" s="8">
        <f>ROUND(SUM(ППД5[[#This Row],[Площадь по проекту жилая]:[Лоджия 3]]),2)</f>
        <v>59.62</v>
      </c>
      <c r="T200" s="8">
        <f>ROUND(ППД5[[#This Row],[Площадь по проекту(общая)]]-ППД5[[#This Row],[Летние]],2)</f>
        <v>57</v>
      </c>
      <c r="U200" s="91">
        <f>ROUND(ППД5[[#This Row],[Площадь по проекту(общая)]]-(SUM(ППД5[[#This Row],[Лоджия 1]:[Лоджия 3]])/2),2)</f>
        <v>58.31</v>
      </c>
      <c r="V200" s="91">
        <f>IF(ППД5[[#This Row],[Статус]]="продажа",ППД5[[#This Row],[Расчетная проектная площадь]],ППД5[[#This Row],[Расчетная ТП площадь]])</f>
        <v>58.31</v>
      </c>
      <c r="W200" s="91">
        <v>14.5</v>
      </c>
      <c r="X200" s="91">
        <v>15.4</v>
      </c>
      <c r="Y200" s="91"/>
      <c r="Z200" s="91">
        <f>SUM(ППД5[[#This Row],[ТП Комната 1]:[ТП Комната 3]])</f>
        <v>29.9</v>
      </c>
      <c r="AA200" s="91">
        <v>11.9</v>
      </c>
      <c r="AB200" s="91">
        <v>3.9</v>
      </c>
      <c r="AC200" s="91">
        <v>2.4</v>
      </c>
      <c r="AD200" s="91"/>
      <c r="AE200" s="91">
        <v>8.8000000000000007</v>
      </c>
      <c r="AF200" s="91">
        <v>1.3</v>
      </c>
      <c r="AG200" s="91"/>
      <c r="AH200" s="91"/>
      <c r="AI200" s="91">
        <f>SUM(ППД5[[#This Row],[ТП Лоджия 1]:[ТП Лоджия 3]])</f>
        <v>1.3</v>
      </c>
      <c r="AJ200" s="95">
        <v>2.6</v>
      </c>
      <c r="AK200" s="91">
        <f>SUM(ППД5[[#This Row],[Площадь по ТП жилая]:[ТП Лоджия 3]])-ППД5[[#This Row],[ТП Летние]]+ППД5[[#This Row],[кроме того прочая
(без коэффициента)]]</f>
        <v>59.499999999999993</v>
      </c>
      <c r="AL200" s="95">
        <f>ППД5[[#This Row],[ТП Площадь без летних]]+(ППД5[[#This Row],[ТП Летние]])</f>
        <v>58.199999999999989</v>
      </c>
      <c r="AM200" s="91">
        <f>ППД5[[#This Row],[ТП общая S]]-ППД5[[#This Row],[кроме того прочая
(без коэффициента)]]</f>
        <v>56.899999999999991</v>
      </c>
      <c r="AN200" s="95">
        <f>SUM(ППД5[[#This Row],[ТП Кухня]:[ТП Коридор]])</f>
        <v>27</v>
      </c>
      <c r="AO200" s="91">
        <f>ППД5[[#This Row],[Расчетная ТП площадь]]-ППД5[[#This Row],[Расчетная проектная площадь]]</f>
        <v>-0.11000000000001364</v>
      </c>
      <c r="AP200" s="335">
        <f>ППД5[[#This Row],[Расчетная ТП площадь]]/ППД5[[#This Row],[Расчетная проектная площадь]]-1</f>
        <v>-1.8864688732638246E-3</v>
      </c>
      <c r="AQ200" s="91">
        <f>ППД5[[#This Row],[% расхождения]]*ППД5[[#This Row],[Стоимость до скидки]]</f>
        <v>-10490.653404220129</v>
      </c>
      <c r="AR200" s="91">
        <f>VLOOKUP(ППД5[[#This Row],[№]],наценкад5[],COLUMN(наценкад5[[#This Row],[Цена м2 с учетом всех K]]),0)</f>
        <v>79921.768500000006</v>
      </c>
      <c r="AS200" s="8">
        <f>ППД5[[#This Row],[м2 после К]]*5%</f>
        <v>3996.0884250000004</v>
      </c>
      <c r="AT200" s="8">
        <f>ППД5[[#This Row],[м2 после К]]+ППД5[[#This Row],[Повышение 16.08.23 - 5%]]</f>
        <v>83917.856925</v>
      </c>
      <c r="AU200" s="93">
        <f>ППД5[[#This Row],[Фикс 16.08.23]]*3%</f>
        <v>2517.5357077499998</v>
      </c>
      <c r="AV200" s="93">
        <f>ППД5[[#This Row],[Фикс 16.08.23]]+ППД5[[#This Row],[Повышение 29.08.23 - 3%]]</f>
        <v>86435.392632749994</v>
      </c>
      <c r="AW200" s="93"/>
      <c r="AX200" s="93">
        <f>ППД5[[#This Row],[Фикс 29.08.23]]+ППД5[[#This Row],[Повышение 06.09.23 СТ и 1К]]</f>
        <v>86435.392632749994</v>
      </c>
      <c r="AY200" s="93"/>
      <c r="AZ200" s="93">
        <f>ППД5[[#This Row],[Повышение 23.10.23  В4 ]]+ППД5[[#This Row],[Фикс 06.09.23]]</f>
        <v>86435.392632749994</v>
      </c>
      <c r="BA200" s="93"/>
      <c r="BB200" s="93">
        <f>ППД5[[#This Row],[Повышение 8.11.23 1К 5%]]+ППД5[[#This Row],[Фикс 23.10.23]]</f>
        <v>86435.392632749994</v>
      </c>
      <c r="BC200" s="93"/>
      <c r="BD200" s="93">
        <f>ППД5[[#This Row],[Корректировка 24.11.23 - 1К В5, 2К А2, №233]]+ППД5[[#This Row],[Фикс 8.11.23]]</f>
        <v>86435.392632749994</v>
      </c>
      <c r="BE200" s="93">
        <f>ППД5[[#This Row],[Фикс 8.11.24]]*1%</f>
        <v>864.35392632749995</v>
      </c>
      <c r="BF200" s="93">
        <f>ППД5[[#This Row],[Наценка за отделку 29.12.23 1%]]+ППД5[[#This Row],[Фикс 8.11.24]]</f>
        <v>87299.746559077495</v>
      </c>
      <c r="BG200" s="93">
        <f>ППД5[[#This Row],[Фикс 29.12.23]]*5%</f>
        <v>4364.9873279538751</v>
      </c>
      <c r="BH200" s="93">
        <f>ППД5[[#This Row],[Фикс 29.12.23]]+ППД5[[#This Row],[Наценка 10.01.24 5%]]</f>
        <v>91664.733887031369</v>
      </c>
      <c r="BI200" s="93"/>
      <c r="BJ200" s="93">
        <f>ППД5[[#This Row],[Наценка 26.02.24 1 Этаж]]+ППД5[[#This Row],[Фикс 10.01.24]]</f>
        <v>91664.733887031369</v>
      </c>
      <c r="BK200" s="93">
        <f>ППД5[[#This Row],[Фикс 26.02.24]]*2%</f>
        <v>1833.2946777406273</v>
      </c>
      <c r="BL200" s="93">
        <f>ППД5[[#This Row],[Фикс 26.02.24]]+ППД5[[#This Row],[Наценка 06.03.24
СТ, 1К - 3%
2К, 3К - 2%]]</f>
        <v>93498.028564772001</v>
      </c>
      <c r="BM200" s="93"/>
      <c r="BN200" s="93">
        <f>ППД5[[#This Row],[Фикс 06.03.24]]+ППД5[[#This Row],[Наценка Г2+500]]</f>
        <v>93498.028564772001</v>
      </c>
      <c r="BO200" s="93">
        <f>ППД5[[#This Row],[Фикс 13.03.25]]*2%</f>
        <v>1869.9605712954401</v>
      </c>
      <c r="BP200" s="93">
        <f>ППД5[[#This Row],[Фикс 13.03.25]]+ППД5[[#This Row],[Наценка 20.03.24
2К, 3К - 2%]]</f>
        <v>95367.989136067437</v>
      </c>
      <c r="BQ200" s="93"/>
      <c r="BR200" s="93">
        <f>ППД5[[#This Row],[Фикс 20.03.24]]+ППД5[[#This Row],[Наценка 08.04.24 
2К: В3 - 150
3К: Г7 +1000]]</f>
        <v>95367.989136067437</v>
      </c>
      <c r="BS200" s="93"/>
      <c r="BT200" s="93">
        <f>ППД5[[#This Row],[Фикс 08.04.24]]+ППД5[[#This Row],[Наценка 16.05.24 1%
А4,А6,Б3,Б6,Б7,В2,В3,В5,В6,Г1,Г3-Г5]]</f>
        <v>95367.989136067437</v>
      </c>
      <c r="BU200" s="93"/>
      <c r="BV200" s="93">
        <f>ППД5[[#This Row],[Фикс 16.05.24]]+ППД5[[#This Row],[Наценка 24.05.24
1% - Б4, Б5,Г2,Г6
2% - А1,А3,А5,Б2,Г7]]</f>
        <v>95367.989136067437</v>
      </c>
      <c r="BW200" s="93"/>
      <c r="BX200" s="93">
        <f>ППД5[[#This Row],[Наценка 06.06.24
0К: В2,Г3 +0,5%
1К: А7, Б5/4, Г6 +0,5%
3К: В6 +0,5%
1К: А3 +1%]]+ППД5[[#This Row],[Фикс 24.05.24]]</f>
        <v>95367.989136067437</v>
      </c>
      <c r="BY200" s="93"/>
      <c r="BZ200" s="93">
        <f>ППД5[[#This Row],[Фикс 06.06.24]]+ППД5[[#This Row],[13.06.2024
3К - 2%]]</f>
        <v>95367.989136067437</v>
      </c>
      <c r="CA200" s="93"/>
      <c r="CB200" s="93">
        <f>ППД5[[#This Row],[02.07.2024: Г3 А1 А3 Б5 Б7 Г2 Г6 Б3 Б4 В3 Г7 2,5% ост 0,5-1,5%]]+ППД5[[#This Row],[Фикс 13.06.24]]</f>
        <v>95367.989136067437</v>
      </c>
      <c r="CC200" s="93"/>
      <c r="CD200" s="93">
        <f>ППД5[[#This Row],[Фикс 02.07.24]]+ППД5[[#This Row],[04.09.2024 +500
0К - Б2; 1К - А3;
2К - А6, Б4, В3, Г5]]</f>
        <v>95367.989136067437</v>
      </c>
      <c r="CE200" s="93"/>
      <c r="CF200" s="93">
        <f>ППД5[[#This Row],[Наценка 16.09.2024
1К: А1,В7,Г6/7,Г8 - 2%
2К: А4,А5,А6,Б1,Б6,Б3/4,В3,В4,Г4,Г5 - 4%
3К: 4%]]+ППД5[[#This Row],[Фикс 04.09.24]]</f>
        <v>95367.989136067437</v>
      </c>
      <c r="CG200" s="93"/>
      <c r="CH200" s="93">
        <f>ППД5[[#This Row],[Фикс 16.09.2024]]+ППД5[[#This Row],[Наценка 01.11.24
СТ: 4%
1К: 34-40м 5%; 40м+ 8%; МГН 1%
2К: 55-70м 6%; 70-73м 7%; 73-76м 8% 
3К: 5%]]</f>
        <v>95367.989136067437</v>
      </c>
      <c r="CI200" s="93"/>
      <c r="CJ200" s="93">
        <f>ППД5[[#This Row],[Наценка 06.11 13%]]+ППД5[[#This Row],[Фикс 01.11.24]]</f>
        <v>95367.989136067437</v>
      </c>
      <c r="CK200" s="93"/>
      <c r="CL200" s="93">
        <f>ППД5[[#This Row],[Фикс 06.11.24]]+ППД5[[#This Row],[Наценка 18.12.24 распределение КВ]]</f>
        <v>95367.989136067437</v>
      </c>
      <c r="CM200" s="93"/>
      <c r="CN200" s="93">
        <f>ППД5[[#This Row],[Фикс 18.12.24]]+ППД5[[#This Row],[Наценка 10.02.25 +1%
1К: А3
2К: Б3, В3]]</f>
        <v>95367.989136067437</v>
      </c>
      <c r="CO200" s="93">
        <f>ROUND(ППД5[[#This Row],[Фикс 10.02.25]],2)</f>
        <v>95367.99</v>
      </c>
      <c r="CP20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5561000</v>
      </c>
      <c r="CQ200" s="93">
        <f>ROUNDUP(ППД5[[#This Row],[Стоимость до скидки]]+ППД5[[#This Row],[Сумма доплаты]],-2)</f>
        <v>5550600</v>
      </c>
      <c r="CR200" s="68"/>
      <c r="CS200" s="90">
        <v>0.03</v>
      </c>
      <c r="CT200" s="68">
        <f>ППД5[[#This Row],[Стоимость до скидки]]*ППД5[[#This Row],[Скидка %]]+ППД5[[#This Row],[Скидка фиксированная]]</f>
        <v>166830</v>
      </c>
      <c r="CU200" s="3">
        <f>ППД5[[#This Row],[Стоимость ОН без отделки со скидкой]]/ППД5[[#This Row],[Расчетная проектная площадь]]</f>
        <v>92508.48910992968</v>
      </c>
      <c r="CV200" s="3">
        <f>ROUND(ППД5[[#This Row],[Стоимость до скидки]]-ППД5[[#This Row],[Итоговая сумма скидки]],2)</f>
        <v>5394170</v>
      </c>
      <c r="CW20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00" s="197">
        <v>20000</v>
      </c>
      <c r="CY200" s="332">
        <f>ППД5[[#This Row],[Расхождение]]/ППД5[[#This Row],[Расчетная проектная площадь]]</f>
        <v>-1.8864688732638251E-3</v>
      </c>
      <c r="CZ20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-4.9999999999997158E-2</v>
      </c>
      <c r="DA200" s="3">
        <f>ППД5[[#This Row],[Цена м2 без отделки со скидкой]]+ППД5[[#This Row],[Стоимость отделки]]</f>
        <v>112508.48910992968</v>
      </c>
      <c r="DB200" s="3">
        <f>ППД5[[#This Row],[Стоимость квартиры с отделкой]]-ППД5[[#This Row],[Стоимость ОН без отделки со скидкой]]</f>
        <v>1166200</v>
      </c>
      <c r="DC200" s="3">
        <f>ППД5[[#This Row],[Цена м2 с отделкой]]*ППД5[[#This Row],[Расчетная проектная площадь]]</f>
        <v>6560370</v>
      </c>
      <c r="DD200" s="3"/>
      <c r="DE200" s="111" t="s">
        <v>162</v>
      </c>
      <c r="DF200" s="199" t="s">
        <v>172</v>
      </c>
      <c r="DG200" s="245" t="s">
        <v>172</v>
      </c>
      <c r="DH200" s="100" t="b">
        <f>EXACT(ППД5[[#This Row],[Статусы CRM]],ППД5[[#This Row],[Статус]])</f>
        <v>1</v>
      </c>
      <c r="DI200" s="213" t="s">
        <v>372</v>
      </c>
      <c r="DJ200" s="204"/>
      <c r="DK200" s="111" t="s">
        <v>763</v>
      </c>
      <c r="DL200" s="216" t="s">
        <v>14</v>
      </c>
      <c r="DM200" s="201" t="b">
        <f>ППД5[[#This Row],[Отделка CRM]]=ППД5[[#This Row],[Отделка]]</f>
        <v>1</v>
      </c>
      <c r="DN200" s="203">
        <v>6560370</v>
      </c>
      <c r="DO20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00" s="207" t="b">
        <f>IF(AND(ППД5[[#This Row],[Статус]]="свободно",ППД5[[#This Row],[Итоговая сумма скидки]]&lt;&gt;0),FALSE,TRUE)</f>
        <v>1</v>
      </c>
      <c r="DQ200" s="240">
        <f>_xlfn.XLOOKUP(ППД5[[#This Row],[№]],Юрист[№ кв],Юрист[Дата подачи на регистрацию]," ",0,-1)</f>
        <v>45441</v>
      </c>
      <c r="DR200" s="115" t="str">
        <f>_xlfn.XLOOKUP(ППД5[[#This Row],[№]],Юрист[№ кв],Юрист[МОП],"",0,-1)</f>
        <v>Дик</v>
      </c>
      <c r="DS200" s="333" t="s">
        <v>2692</v>
      </c>
      <c r="DT200" s="333" t="s">
        <v>2693</v>
      </c>
      <c r="DU200" s="333">
        <v>56.9</v>
      </c>
      <c r="DV200" s="111"/>
    </row>
    <row r="201" spans="1:126" hidden="1" x14ac:dyDescent="0.25">
      <c r="A201" s="112">
        <v>199</v>
      </c>
      <c r="B201" s="111" t="s">
        <v>4</v>
      </c>
      <c r="C201" s="111">
        <v>13</v>
      </c>
      <c r="D201" s="111">
        <v>5</v>
      </c>
      <c r="E201" s="111">
        <v>1</v>
      </c>
      <c r="F201" s="105">
        <v>12.06</v>
      </c>
      <c r="G201" s="105"/>
      <c r="H201" s="105"/>
      <c r="I201" s="94">
        <f>SUM(ППД5[[#This Row],[Комната 1]:[Комната 3]])</f>
        <v>12.06</v>
      </c>
      <c r="J201" s="105">
        <v>13.18</v>
      </c>
      <c r="K201" s="105">
        <v>4.1100000000000003</v>
      </c>
      <c r="L201" s="105"/>
      <c r="M201" s="105"/>
      <c r="N201" s="105">
        <v>7.09</v>
      </c>
      <c r="O201" s="105">
        <v>2.84</v>
      </c>
      <c r="P201" s="105"/>
      <c r="Q201" s="105"/>
      <c r="R201" s="105">
        <f>SUM(ППД5[[#This Row],[Лоджия 1]:[Лоджия 3]])</f>
        <v>2.84</v>
      </c>
      <c r="S201" s="8">
        <f>ROUND(SUM(ППД5[[#This Row],[Площадь по проекту жилая]:[Лоджия 3]]),2)</f>
        <v>39.28</v>
      </c>
      <c r="T201" s="8">
        <f>ROUND(ППД5[[#This Row],[Площадь по проекту(общая)]]-ППД5[[#This Row],[Летние]],2)</f>
        <v>36.44</v>
      </c>
      <c r="U201" s="91">
        <f>ROUND(ППД5[[#This Row],[Площадь по проекту(общая)]]-(SUM(ППД5[[#This Row],[Лоджия 1]:[Лоджия 3]])/2),2)</f>
        <v>37.86</v>
      </c>
      <c r="V201" s="91">
        <f>IF(ППД5[[#This Row],[Статус]]="продажа",ППД5[[#This Row],[Расчетная проектная площадь]],ППД5[[#This Row],[Расчетная ТП площадь]])</f>
        <v>37.86</v>
      </c>
      <c r="W201" s="91">
        <v>12.7</v>
      </c>
      <c r="X201" s="91"/>
      <c r="Y201" s="91"/>
      <c r="Z201" s="91">
        <f>SUM(ППД5[[#This Row],[ТП Комната 1]:[ТП Комната 3]])</f>
        <v>12.7</v>
      </c>
      <c r="AA201" s="91">
        <v>12.7</v>
      </c>
      <c r="AB201" s="91">
        <v>4.0999999999999996</v>
      </c>
      <c r="AC201" s="91"/>
      <c r="AD201" s="91"/>
      <c r="AE201" s="91">
        <v>7</v>
      </c>
      <c r="AF201" s="91">
        <v>1.4</v>
      </c>
      <c r="AG201" s="91"/>
      <c r="AH201" s="91"/>
      <c r="AI201" s="91">
        <f>SUM(ППД5[[#This Row],[ТП Лоджия 1]:[ТП Лоджия 3]])</f>
        <v>1.4</v>
      </c>
      <c r="AJ201" s="95">
        <v>2.8</v>
      </c>
      <c r="AK201" s="91">
        <f>SUM(ППД5[[#This Row],[Площадь по ТП жилая]:[ТП Лоджия 3]])-ППД5[[#This Row],[ТП Летние]]+ППД5[[#This Row],[кроме того прочая
(без коэффициента)]]</f>
        <v>39.299999999999997</v>
      </c>
      <c r="AL201" s="95">
        <f>ППД5[[#This Row],[ТП Площадь без летних]]+(ППД5[[#This Row],[ТП Летние]])</f>
        <v>37.9</v>
      </c>
      <c r="AM201" s="91">
        <f>ППД5[[#This Row],[ТП общая S]]-ППД5[[#This Row],[кроме того прочая
(без коэффициента)]]</f>
        <v>36.5</v>
      </c>
      <c r="AN201" s="95">
        <f>SUM(ППД5[[#This Row],[ТП Кухня]:[ТП Коридор]])</f>
        <v>23.799999999999997</v>
      </c>
      <c r="AO201" s="91">
        <f>ППД5[[#This Row],[Расчетная ТП площадь]]-ППД5[[#This Row],[Расчетная проектная площадь]]</f>
        <v>3.9999999999999147E-2</v>
      </c>
      <c r="AP201" s="335">
        <f>ППД5[[#This Row],[Расчетная ТП площадь]]/ППД5[[#This Row],[Расчетная проектная площадь]]-1</f>
        <v>1.0565240359217132E-3</v>
      </c>
      <c r="AQ201" s="91">
        <f>ППД5[[#This Row],[% расхождения]]*ППД5[[#This Row],[Стоимость до скидки]]</f>
        <v>5608.4521922868225</v>
      </c>
      <c r="AR201" s="91">
        <f>VLOOKUP(ППД5[[#This Row],[№]],наценкад5[],COLUMN(наценкад5[[#This Row],[Цена м2 с учетом всех K]]),0)</f>
        <v>87601.5</v>
      </c>
      <c r="AS201" s="8">
        <f>ППД5[[#This Row],[м2 после К]]*5%</f>
        <v>4380.0749999999998</v>
      </c>
      <c r="AT201" s="8">
        <f>ППД5[[#This Row],[м2 после К]]+ППД5[[#This Row],[Повышение 16.08.23 - 5%]]</f>
        <v>91981.574999999997</v>
      </c>
      <c r="AU201" s="93">
        <f>ППД5[[#This Row],[Фикс 16.08.23]]*3%</f>
        <v>2759.4472499999997</v>
      </c>
      <c r="AV201" s="93">
        <f>ППД5[[#This Row],[Фикс 16.08.23]]+ППД5[[#This Row],[Повышение 29.08.23 - 3%]]</f>
        <v>94741.022249999995</v>
      </c>
      <c r="AW201" s="93">
        <f>ППД5[[#This Row],[Фикс 29.08.23]]*4.5%</f>
        <v>4263.34600125</v>
      </c>
      <c r="AX201" s="93">
        <f>ППД5[[#This Row],[Фикс 29.08.23]]+ППД5[[#This Row],[Повышение 06.09.23 СТ и 1К]]</f>
        <v>99004.368251249995</v>
      </c>
      <c r="AY201" s="93"/>
      <c r="AZ201" s="93">
        <f>ППД5[[#This Row],[Повышение 23.10.23  В4 ]]+ППД5[[#This Row],[Фикс 06.09.23]]</f>
        <v>99004.368251249995</v>
      </c>
      <c r="BA201" s="93">
        <f>ППД5[[#This Row],[Фикс 23.10.23]]*5%</f>
        <v>4950.2184125624999</v>
      </c>
      <c r="BB201" s="93">
        <f>ППД5[[#This Row],[Повышение 8.11.23 1К 5%]]+ППД5[[#This Row],[Фикс 23.10.23]]</f>
        <v>103954.5866638125</v>
      </c>
      <c r="BC201" s="93"/>
      <c r="BD201" s="93">
        <f>ППД5[[#This Row],[Корректировка 24.11.23 - 1К В5, 2К А2, №233]]+ППД5[[#This Row],[Фикс 8.11.23]]</f>
        <v>103954.5866638125</v>
      </c>
      <c r="BE201" s="93">
        <f>ППД5[[#This Row],[Фикс 8.11.24]]*1%</f>
        <v>1039.5458666381251</v>
      </c>
      <c r="BF201" s="93">
        <f>ППД5[[#This Row],[Наценка за отделку 29.12.23 1%]]+ППД5[[#This Row],[Фикс 8.11.24]]</f>
        <v>104994.13253045063</v>
      </c>
      <c r="BG201" s="93">
        <f>ППД5[[#This Row],[Фикс 29.12.23]]*5%</f>
        <v>5249.7066265225321</v>
      </c>
      <c r="BH201" s="93">
        <f>ППД5[[#This Row],[Фикс 29.12.23]]+ППД5[[#This Row],[Наценка 10.01.24 5%]]</f>
        <v>110243.83915697316</v>
      </c>
      <c r="BI201" s="93"/>
      <c r="BJ201" s="93">
        <f>ППД5[[#This Row],[Наценка 26.02.24 1 Этаж]]+ППД5[[#This Row],[Фикс 10.01.24]]</f>
        <v>110243.83915697316</v>
      </c>
      <c r="BK201" s="93">
        <f>ППД5[[#This Row],[Фикс 26.02.24]]*3%</f>
        <v>3307.3151747091947</v>
      </c>
      <c r="BL201" s="93">
        <f>ППД5[[#This Row],[Фикс 26.02.24]]+ППД5[[#This Row],[Наценка 06.03.24
СТ, 1К - 3%
2К, 3К - 2%]]</f>
        <v>113551.15433168235</v>
      </c>
      <c r="BM201" s="93"/>
      <c r="BN201" s="93">
        <f>ППД5[[#This Row],[Фикс 06.03.24]]+ППД5[[#This Row],[Наценка Г2+500]]</f>
        <v>113551.15433168235</v>
      </c>
      <c r="BO201" s="93"/>
      <c r="BP201" s="93">
        <f>ППД5[[#This Row],[Фикс 13.03.25]]+ППД5[[#This Row],[Наценка 20.03.24
2К, 3К - 2%]]</f>
        <v>113551.15433168235</v>
      </c>
      <c r="BQ201" s="93"/>
      <c r="BR201" s="93">
        <f>ППД5[[#This Row],[Фикс 20.03.24]]+ППД5[[#This Row],[Наценка 08.04.24 
2К: В3 - 150
3К: Г7 +1000]]</f>
        <v>113551.15433168235</v>
      </c>
      <c r="BS201" s="93"/>
      <c r="BT201" s="93">
        <f>ППД5[[#This Row],[Фикс 08.04.24]]+ППД5[[#This Row],[Наценка 16.05.24 1%
А4,А6,Б3,Б6,Б7,В2,В3,В5,В6,Г1,Г3-Г5]]</f>
        <v>113551.15433168235</v>
      </c>
      <c r="BU201" s="93">
        <f>ППД5[[#This Row],[Фикс 16.05.24]]*1%</f>
        <v>1135.5115433168235</v>
      </c>
      <c r="BV201" s="93">
        <f>ППД5[[#This Row],[Фикс 16.05.24]]+ППД5[[#This Row],[Наценка 24.05.24
1% - Б4, Б5,Г2,Г6
2% - А1,А3,А5,Б2,Г7]]</f>
        <v>114686.66587499918</v>
      </c>
      <c r="BW201" s="93">
        <f>ППД5[[#This Row],[Фикс 24.05.24]]*0.5%</f>
        <v>573.43332937499588</v>
      </c>
      <c r="BX201" s="93">
        <f>ППД5[[#This Row],[Наценка 06.06.24
0К: В2,Г3 +0,5%
1К: А7, Б5/4, Г6 +0,5%
3К: В6 +0,5%
1К: А3 +1%]]+ППД5[[#This Row],[Фикс 24.05.24]]</f>
        <v>115260.09920437417</v>
      </c>
      <c r="BY201" s="93"/>
      <c r="BZ201" s="93">
        <f>ППД5[[#This Row],[Фикс 06.06.24]]+ППД5[[#This Row],[13.06.2024
3К - 2%]]</f>
        <v>115260.09920437417</v>
      </c>
      <c r="CA201" s="93">
        <f>ППД5[[#This Row],[Фикс 13.06.24]]*2.5%</f>
        <v>2881.5024801093546</v>
      </c>
      <c r="CB201" s="93">
        <f>ППД5[[#This Row],[02.07.2024: Г3 А1 А3 Б5 Б7 Г2 Г6 Б3 Б4 В3 Г7 2,5% ост 0,5-1,5%]]+ППД5[[#This Row],[Фикс 13.06.24]]</f>
        <v>118141.60168448352</v>
      </c>
      <c r="CC201" s="93"/>
      <c r="CD201" s="93">
        <f>ППД5[[#This Row],[Фикс 02.07.24]]+ППД5[[#This Row],[04.09.2024 +500
0К - Б2; 1К - А3;
2К - А6, Б4, В3, Г5]]</f>
        <v>118141.60168448352</v>
      </c>
      <c r="CE201" s="93"/>
      <c r="CF201" s="93">
        <f>ППД5[[#This Row],[Наценка 16.09.2024
1К: А1,В7,Г6/7,Г8 - 2%
2К: А4,А5,А6,Б1,Б6,Б3/4,В3,В4,Г4,Г5 - 4%
3К: 4%]]+ППД5[[#This Row],[Фикс 04.09.24]]</f>
        <v>118141.60168448352</v>
      </c>
      <c r="CG201" s="93">
        <f>ППД5[[#This Row],[Фикс 16.09.2024]]*5%</f>
        <v>5907.080084224177</v>
      </c>
      <c r="CH201" s="93">
        <f>ППД5[[#This Row],[Фикс 16.09.2024]]+ППД5[[#This Row],[Наценка 01.11.24
СТ: 4%
1К: 34-40м 5%; 40м+ 8%; МГН 1%
2К: 55-70м 6%; 70-73м 7%; 73-76м 8% 
3К: 5%]]</f>
        <v>124048.6817687077</v>
      </c>
      <c r="CI201" s="93">
        <f>ППД5[[#This Row],[Фикс 01.11.24]]*13%</f>
        <v>16126.328629932001</v>
      </c>
      <c r="CJ201" s="93">
        <f>ППД5[[#This Row],[Наценка 06.11 13%]]+ППД5[[#This Row],[Фикс 01.11.24]]</f>
        <v>140175.01039863969</v>
      </c>
      <c r="CK201" s="93">
        <v>35</v>
      </c>
      <c r="CL201" s="93">
        <f>ППД5[[#This Row],[Фикс 06.11.24]]+ППД5[[#This Row],[Наценка 18.12.24 распределение КВ]]</f>
        <v>140210.01039863969</v>
      </c>
      <c r="CM201" s="93"/>
      <c r="CN201" s="93">
        <f>ППД5[[#This Row],[Фикс 18.12.24]]+ППД5[[#This Row],[Наценка 10.02.25 +1%
1К: А3
2К: Б3, В3]]</f>
        <v>140210.01039863969</v>
      </c>
      <c r="CO201" s="93">
        <f>ROUND(ППД5[[#This Row],[Фикс 10.02.25]],2)</f>
        <v>140210.01</v>
      </c>
      <c r="CP20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5308400</v>
      </c>
      <c r="CQ201" s="93">
        <f>ROUNDUP(ППД5[[#This Row],[Стоимость до скидки]]+ППД5[[#This Row],[Сумма доплаты]],-2)</f>
        <v>5314100</v>
      </c>
      <c r="CR201" s="68">
        <f>ППД5[[#This Row],[Расчетная проектная площадь]]*8000</f>
        <v>302880</v>
      </c>
      <c r="CS201" s="90"/>
      <c r="CT201" s="68">
        <f>ППД5[[#This Row],[Стоимость до скидки]]*ППД5[[#This Row],[Скидка %]]+ППД5[[#This Row],[Скидка фиксированная]]</f>
        <v>302880</v>
      </c>
      <c r="CU201" s="3">
        <f>ППД5[[#This Row],[Стоимость ОН без отделки со скидкой]]/ППД5[[#This Row],[Расчетная проектная площадь]]</f>
        <v>132211.30480718435</v>
      </c>
      <c r="CV201" s="3">
        <f>ROUND(ППД5[[#This Row],[Стоимость до скидки]]-ППД5[[#This Row],[Итоговая сумма скидки]],2)</f>
        <v>5005520</v>
      </c>
      <c r="CW20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01" s="218">
        <v>25000</v>
      </c>
      <c r="CY201" s="332">
        <f>ППД5[[#This Row],[Расхождение]]/ППД5[[#This Row],[Расчетная проектная площадь]]</f>
        <v>1.0565240359217947E-3</v>
      </c>
      <c r="CZ201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-0.58000000000000185</v>
      </c>
      <c r="DA201" s="3">
        <f>ППД5[[#This Row],[Цена м2 без отделки со скидкой]]+ППД5[[#This Row],[Стоимость отделки]]</f>
        <v>157211.30480718435</v>
      </c>
      <c r="DB201" s="3">
        <f>ППД5[[#This Row],[Стоимость квартиры с отделкой]]-ППД5[[#This Row],[Стоимость ОН без отделки со скидкой]]</f>
        <v>946499.99999999907</v>
      </c>
      <c r="DC201" s="3">
        <f>ППД5[[#This Row],[Цена м2 с отделкой]]*ППД5[[#This Row],[Расчетная проектная площадь]]</f>
        <v>5952019.9999999991</v>
      </c>
      <c r="DD201" s="3"/>
      <c r="DE201" s="111" t="s">
        <v>2122</v>
      </c>
      <c r="DF201" s="199" t="s">
        <v>172</v>
      </c>
      <c r="DG201" s="221" t="s">
        <v>172</v>
      </c>
      <c r="DH201" s="100" t="b">
        <f>EXACT(ППД5[[#This Row],[Статусы CRM]],ППД5[[#This Row],[Статус]])</f>
        <v>1</v>
      </c>
      <c r="DI201" s="213" t="s">
        <v>373</v>
      </c>
      <c r="DJ201" s="204"/>
      <c r="DK201" s="111" t="s">
        <v>763</v>
      </c>
      <c r="DL201" s="216" t="s">
        <v>14</v>
      </c>
      <c r="DM201" s="201" t="b">
        <f>ППД5[[#This Row],[Отделка CRM]]=ППД5[[#This Row],[Отделка]]</f>
        <v>1</v>
      </c>
      <c r="DN201" s="203">
        <v>5952020</v>
      </c>
      <c r="DO20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9.3132257461547852E-10</v>
      </c>
      <c r="DP201" s="207" t="b">
        <f>IF(AND(ППД5[[#This Row],[Статус]]="свободно",ППД5[[#This Row],[Итоговая сумма скидки]]&lt;&gt;0),FALSE,TRUE)</f>
        <v>1</v>
      </c>
      <c r="DQ201" s="240">
        <f>_xlfn.XLOOKUP(ППД5[[#This Row],[№]],Юрист[№ кв],Юрист[Дата подачи на регистрацию]," ",0,-1)</f>
        <v>45814</v>
      </c>
      <c r="DR201" s="115" t="str">
        <f>_xlfn.XLOOKUP(ППД5[[#This Row],[№]],Юрист[№ кв],Юрист[МОП],"",0,-1)</f>
        <v>Дик</v>
      </c>
      <c r="DS201" s="333" t="s">
        <v>2694</v>
      </c>
      <c r="DT201" s="333" t="s">
        <v>2695</v>
      </c>
      <c r="DU201" s="333">
        <v>36.5</v>
      </c>
      <c r="DV201" s="111"/>
    </row>
    <row r="202" spans="1:126" hidden="1" x14ac:dyDescent="0.25">
      <c r="A202" s="112">
        <v>200</v>
      </c>
      <c r="B202" s="111" t="s">
        <v>4</v>
      </c>
      <c r="C202" s="111">
        <v>13</v>
      </c>
      <c r="D202" s="111">
        <v>6</v>
      </c>
      <c r="E202" s="111">
        <v>3</v>
      </c>
      <c r="F202" s="105">
        <v>17.89</v>
      </c>
      <c r="G202" s="105">
        <v>17.2</v>
      </c>
      <c r="H202" s="105">
        <v>14.31</v>
      </c>
      <c r="I202" s="94">
        <f>SUM(ППД5[[#This Row],[Комната 1]:[Комната 3]])</f>
        <v>49.400000000000006</v>
      </c>
      <c r="J202" s="105">
        <v>13.39</v>
      </c>
      <c r="K202" s="105">
        <v>4.2</v>
      </c>
      <c r="L202" s="105">
        <v>2.0499999999999998</v>
      </c>
      <c r="M202" s="105"/>
      <c r="N202" s="105">
        <v>13.21</v>
      </c>
      <c r="O202" s="105">
        <v>2.79</v>
      </c>
      <c r="P202" s="105">
        <v>2.68</v>
      </c>
      <c r="Q202" s="105"/>
      <c r="R202" s="105">
        <f>SUM(ППД5[[#This Row],[Лоджия 1]:[Лоджия 3]])</f>
        <v>5.4700000000000006</v>
      </c>
      <c r="S202" s="8">
        <f>ROUND(SUM(ППД5[[#This Row],[Площадь по проекту жилая]:[Лоджия 3]]),2)</f>
        <v>87.72</v>
      </c>
      <c r="T202" s="8">
        <f>ROUND(ППД5[[#This Row],[Площадь по проекту(общая)]]-ППД5[[#This Row],[Летние]],2)</f>
        <v>82.25</v>
      </c>
      <c r="U202" s="91">
        <f>ROUND(ППД5[[#This Row],[Площадь по проекту(общая)]]-(SUM(ППД5[[#This Row],[Лоджия 1]:[Лоджия 3]])/2),2)</f>
        <v>84.99</v>
      </c>
      <c r="V202" s="91">
        <f>IF(ППД5[[#This Row],[Статус]]="продажа",ППД5[[#This Row],[Расчетная проектная площадь]],ППД5[[#This Row],[Расчетная ТП площадь]])</f>
        <v>84.99</v>
      </c>
      <c r="W202" s="91">
        <v>14.2</v>
      </c>
      <c r="X202" s="91">
        <v>17.899999999999999</v>
      </c>
      <c r="Y202" s="91">
        <v>17.100000000000001</v>
      </c>
      <c r="Z202" s="91">
        <f>SUM(ППД5[[#This Row],[ТП Комната 1]:[ТП Комната 3]])</f>
        <v>49.199999999999996</v>
      </c>
      <c r="AA202" s="91">
        <v>13.3</v>
      </c>
      <c r="AB202" s="91">
        <v>4.0999999999999996</v>
      </c>
      <c r="AC202" s="91">
        <v>2</v>
      </c>
      <c r="AD202" s="91"/>
      <c r="AE202" s="91">
        <v>13</v>
      </c>
      <c r="AF202" s="91">
        <v>1.4</v>
      </c>
      <c r="AG202" s="92">
        <v>1.35</v>
      </c>
      <c r="AH202" s="91"/>
      <c r="AI202" s="91">
        <f>SUM(ППД5[[#This Row],[ТП Лоджия 1]:[ТП Лоджия 3]])</f>
        <v>2.75</v>
      </c>
      <c r="AJ202" s="95">
        <v>5.5</v>
      </c>
      <c r="AK202" s="91">
        <f>SUM(ППД5[[#This Row],[Площадь по ТП жилая]:[ТП Лоджия 3]])-ППД5[[#This Row],[ТП Летние]]+ППД5[[#This Row],[кроме того прочая
(без коэффициента)]]</f>
        <v>87.1</v>
      </c>
      <c r="AL202" s="95">
        <f>ППД5[[#This Row],[ТП Площадь без летних]]+(ППД5[[#This Row],[ТП Летние]])</f>
        <v>84.35</v>
      </c>
      <c r="AM202" s="91">
        <f>ППД5[[#This Row],[ТП общая S]]-ППД5[[#This Row],[кроме того прочая
(без коэффициента)]]</f>
        <v>81.599999999999994</v>
      </c>
      <c r="AN202" s="95">
        <f>SUM(ППД5[[#This Row],[ТП Кухня]:[ТП Коридор]])</f>
        <v>32.4</v>
      </c>
      <c r="AO202" s="91">
        <f>ППД5[[#This Row],[Расчетная ТП площадь]]-ППД5[[#This Row],[Расчетная проектная площадь]]</f>
        <v>-0.64000000000000057</v>
      </c>
      <c r="AP202" s="335">
        <f>ППД5[[#This Row],[Расчетная ТП площадь]]/ППД5[[#This Row],[Расчетная проектная площадь]]-1</f>
        <v>-7.5302976820802447E-3</v>
      </c>
      <c r="AQ202" s="91">
        <f>ППД5[[#This Row],[% расхождения]]*ППД5[[#This Row],[Стоимость до скидки]]</f>
        <v>-71061.913166254861</v>
      </c>
      <c r="AR202" s="91">
        <f>VLOOKUP(ППД5[[#This Row],[№]],наценкад5[],COLUMN(наценкад5[[#This Row],[Цена м2 с учетом всех K]]),0)</f>
        <v>72092.790000000008</v>
      </c>
      <c r="AS202" s="8">
        <f>ППД5[[#This Row],[м2 после К]]*5%</f>
        <v>3604.6395000000007</v>
      </c>
      <c r="AT202" s="8">
        <f>ППД5[[#This Row],[м2 после К]]+ППД5[[#This Row],[Повышение 16.08.23 - 5%]]</f>
        <v>75697.429500000013</v>
      </c>
      <c r="AU202" s="93">
        <f>ППД5[[#This Row],[Фикс 16.08.23]]*3%</f>
        <v>2270.9228850000004</v>
      </c>
      <c r="AV202" s="93">
        <f>ППД5[[#This Row],[Фикс 16.08.23]]+ППД5[[#This Row],[Повышение 29.08.23 - 3%]]</f>
        <v>77968.35238500002</v>
      </c>
      <c r="AW202" s="93"/>
      <c r="AX202" s="93">
        <f>ППД5[[#This Row],[Фикс 29.08.23]]+ППД5[[#This Row],[Повышение 06.09.23 СТ и 1К]]</f>
        <v>77968.35238500002</v>
      </c>
      <c r="AY202" s="93"/>
      <c r="AZ202" s="93">
        <f>ППД5[[#This Row],[Повышение 23.10.23  В4 ]]+ППД5[[#This Row],[Фикс 06.09.23]]</f>
        <v>77968.35238500002</v>
      </c>
      <c r="BA202" s="93"/>
      <c r="BB202" s="93">
        <f>ППД5[[#This Row],[Повышение 8.11.23 1К 5%]]+ППД5[[#This Row],[Фикс 23.10.23]]</f>
        <v>77968.35238500002</v>
      </c>
      <c r="BC202" s="93"/>
      <c r="BD202" s="93">
        <f>ППД5[[#This Row],[Корректировка 24.11.23 - 1К В5, 2К А2, №233]]+ППД5[[#This Row],[Фикс 8.11.23]]</f>
        <v>77968.35238500002</v>
      </c>
      <c r="BE202" s="93">
        <f>ППД5[[#This Row],[Фикс 8.11.24]]*1%</f>
        <v>779.68352385000026</v>
      </c>
      <c r="BF202" s="93">
        <f>ППД5[[#This Row],[Наценка за отделку 29.12.23 1%]]+ППД5[[#This Row],[Фикс 8.11.24]]</f>
        <v>78748.035908850026</v>
      </c>
      <c r="BG202" s="93">
        <f>ППД5[[#This Row],[Фикс 29.12.23]]*5%</f>
        <v>3937.4017954425017</v>
      </c>
      <c r="BH202" s="93">
        <f>ППД5[[#This Row],[Фикс 29.12.23]]+ППД5[[#This Row],[Наценка 10.01.24 5%]]</f>
        <v>82685.437704292533</v>
      </c>
      <c r="BI202" s="93"/>
      <c r="BJ202" s="93">
        <f>ППД5[[#This Row],[Наценка 26.02.24 1 Этаж]]+ППД5[[#This Row],[Фикс 10.01.24]]</f>
        <v>82685.437704292533</v>
      </c>
      <c r="BK202" s="93">
        <f>ППД5[[#This Row],[Фикс 26.02.24]]*2%</f>
        <v>1653.7087540858506</v>
      </c>
      <c r="BL202" s="93">
        <f>ППД5[[#This Row],[Фикс 26.02.24]]+ППД5[[#This Row],[Наценка 06.03.24
СТ, 1К - 3%
2К, 3К - 2%]]</f>
        <v>84339.146458378382</v>
      </c>
      <c r="BM202" s="93"/>
      <c r="BN202" s="93">
        <f>ППД5[[#This Row],[Фикс 06.03.24]]+ППД5[[#This Row],[Наценка Г2+500]]</f>
        <v>84339.146458378382</v>
      </c>
      <c r="BO202" s="93">
        <f>ППД5[[#This Row],[Фикс 13.03.25]]*2%</f>
        <v>1686.7829291675678</v>
      </c>
      <c r="BP202" s="93">
        <f>ППД5[[#This Row],[Фикс 13.03.25]]+ППД5[[#This Row],[Наценка 20.03.24
2К, 3К - 2%]]</f>
        <v>86025.929387545955</v>
      </c>
      <c r="BQ202" s="93"/>
      <c r="BR202" s="93">
        <f>ППД5[[#This Row],[Фикс 20.03.24]]+ППД5[[#This Row],[Наценка 08.04.24 
2К: В3 - 150
3К: Г7 +1000]]</f>
        <v>86025.929387545955</v>
      </c>
      <c r="BS202" s="9">
        <f>ППД5[[#This Row],[Фикс 08.04.24]]*1%</f>
        <v>860.25929387545955</v>
      </c>
      <c r="BT202" s="93">
        <f>ППД5[[#This Row],[Фикс 08.04.24]]+ППД5[[#This Row],[Наценка 16.05.24 1%
А4,А6,Б3,Б6,Б7,В2,В3,В5,В6,Г1,Г3-Г5]]</f>
        <v>86886.188681421409</v>
      </c>
      <c r="BU202" s="93"/>
      <c r="BV202" s="93">
        <f>ППД5[[#This Row],[Фикс 16.05.24]]+ППД5[[#This Row],[Наценка 24.05.24
1% - Б4, Б5,Г2,Г6
2% - А1,А3,А5,Б2,Г7]]</f>
        <v>86886.188681421409</v>
      </c>
      <c r="BW202" s="93"/>
      <c r="BX202" s="93">
        <f>ППД5[[#This Row],[Наценка 06.06.24
0К: В2,Г3 +0,5%
1К: А7, Б5/4, Г6 +0,5%
3К: В6 +0,5%
1К: А3 +1%]]+ППД5[[#This Row],[Фикс 24.05.24]]</f>
        <v>86886.188681421409</v>
      </c>
      <c r="BY202" s="93">
        <f>ППД5[[#This Row],[Фикс 06.06.24]]*2%</f>
        <v>1737.7237736284283</v>
      </c>
      <c r="BZ202" s="93">
        <f>ППД5[[#This Row],[Фикс 06.06.24]]+ППД5[[#This Row],[13.06.2024
3К - 2%]]</f>
        <v>88623.912455049838</v>
      </c>
      <c r="CA202" s="93">
        <f>1.5%*ППД5[[#This Row],[Фикс 13.06.24]]</f>
        <v>1329.3586868257476</v>
      </c>
      <c r="CB202" s="93">
        <f>ППД5[[#This Row],[02.07.2024: Г3 А1 А3 Б5 Б7 Г2 Г6 Б3 Б4 В3 Г7 2,5% ост 0,5-1,5%]]+ППД5[[#This Row],[Фикс 13.06.24]]</f>
        <v>89953.271141875579</v>
      </c>
      <c r="CC202" s="93"/>
      <c r="CD202" s="93">
        <f>ППД5[[#This Row],[Фикс 02.07.24]]+ППД5[[#This Row],[04.09.2024 +500
0К - Б2; 1К - А3;
2К - А6, Б4, В3, Г5]]</f>
        <v>89953.271141875579</v>
      </c>
      <c r="CE202" s="93">
        <f>ППД5[[#This Row],[Фикс 04.09.24]]*4%</f>
        <v>3598.130845675023</v>
      </c>
      <c r="CF202" s="93">
        <f>ППД5[[#This Row],[Наценка 16.09.2024
1К: А1,В7,Г6/7,Г8 - 2%
2К: А4,А5,А6,Б1,Б6,Б3/4,В3,В4,Г4,Г5 - 4%
3К: 4%]]+ППД5[[#This Row],[Фикс 04.09.24]]</f>
        <v>93551.401987550606</v>
      </c>
      <c r="CG202" s="93">
        <f>ППД5[[#This Row],[Фикс 16.09.2024]]*5%</f>
        <v>4677.5700993775308</v>
      </c>
      <c r="CH202" s="93">
        <f>ППД5[[#This Row],[Фикс 16.09.2024]]+ППД5[[#This Row],[Наценка 01.11.24
СТ: 4%
1К: 34-40м 5%; 40м+ 8%; МГН 1%
2К: 55-70м 6%; 70-73м 7%; 73-76м 8% 
3К: 5%]]</f>
        <v>98228.97208692813</v>
      </c>
      <c r="CI202" s="93">
        <f>ППД5[[#This Row],[Фикс 01.11.24]]*13%</f>
        <v>12769.766371300657</v>
      </c>
      <c r="CJ202" s="93">
        <f>ППД5[[#This Row],[Наценка 06.11 13%]]+ППД5[[#This Row],[Фикс 01.11.24]]</f>
        <v>110998.73845822879</v>
      </c>
      <c r="CK202" s="93">
        <v>35</v>
      </c>
      <c r="CL202" s="93">
        <f>ППД5[[#This Row],[Фикс 06.11.24]]+ППД5[[#This Row],[Наценка 18.12.24 распределение КВ]]</f>
        <v>111033.73845822879</v>
      </c>
      <c r="CM202" s="93"/>
      <c r="CN202" s="93">
        <f>ППД5[[#This Row],[Фикс 18.12.24]]+ППД5[[#This Row],[Наценка 10.02.25 +1%
1К: А3
2К: Б3, В3]]</f>
        <v>111033.73845822879</v>
      </c>
      <c r="CO202" s="93">
        <f>ROUND(ППД5[[#This Row],[Фикс 10.02.25]],2)</f>
        <v>111033.74</v>
      </c>
      <c r="CP20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9436800</v>
      </c>
      <c r="CQ202" s="93">
        <f>ROUNDUP(ППД5[[#This Row],[Стоимость до скидки]]+ППД5[[#This Row],[Сумма доплаты]],-2)</f>
        <v>9365800</v>
      </c>
      <c r="CR202" s="68">
        <v>400000</v>
      </c>
      <c r="CS202" s="90"/>
      <c r="CT202" s="68">
        <f>ППД5[[#This Row],[Стоимость до скидки]]*ППД5[[#This Row],[Скидка %]]+ППД5[[#This Row],[Скидка фиксированная]]</f>
        <v>400000</v>
      </c>
      <c r="CU202" s="3">
        <f>ППД5[[#This Row],[Стоимость ОН без отделки со скидкой]]/ППД5[[#This Row],[Расчетная проектная площадь]]</f>
        <v>106327.80327097306</v>
      </c>
      <c r="CV202" s="3">
        <f>ROUND(ППД5[[#This Row],[Стоимость до скидки]]-ППД5[[#This Row],[Итоговая сумма скидки]],2)</f>
        <v>9036800</v>
      </c>
      <c r="CW20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02" s="197"/>
      <c r="CY202" s="332">
        <f>ППД5[[#This Row],[Расхождение]]/ППД5[[#This Row],[Расчетная проектная площадь]]</f>
        <v>-7.5302976820802517E-3</v>
      </c>
      <c r="CZ20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-0.45000000000000284</v>
      </c>
      <c r="DA202" s="3">
        <f>ППД5[[#This Row],[Цена м2 без отделки со скидкой]]+ППД5[[#This Row],[Стоимость отделки]]</f>
        <v>106327.80327097306</v>
      </c>
      <c r="DB202" s="3">
        <f>ППД5[[#This Row],[Стоимость квартиры с отделкой]]-ППД5[[#This Row],[Стоимость ОН без отделки со скидкой]]</f>
        <v>0</v>
      </c>
      <c r="DC202" s="3">
        <f>ППД5[[#This Row],[Цена м2 с отделкой]]*ППД5[[#This Row],[Расчетная проектная площадь]]</f>
        <v>9036800</v>
      </c>
      <c r="DD202" s="3"/>
      <c r="DE202" s="111" t="s">
        <v>2114</v>
      </c>
      <c r="DF202" s="155" t="s">
        <v>172</v>
      </c>
      <c r="DG202" s="221" t="s">
        <v>172</v>
      </c>
      <c r="DH202" s="100" t="b">
        <f>EXACT(ППД5[[#This Row],[Статусы CRM]],ППД5[[#This Row],[Статус]])</f>
        <v>1</v>
      </c>
      <c r="DI202" s="213" t="s">
        <v>374</v>
      </c>
      <c r="DJ202" s="204"/>
      <c r="DK202" s="111" t="s">
        <v>763</v>
      </c>
      <c r="DL202" s="216" t="s">
        <v>12</v>
      </c>
      <c r="DM202" s="201" t="b">
        <f>ППД5[[#This Row],[Отделка CRM]]=ППД5[[#This Row],[Отделка]]</f>
        <v>1</v>
      </c>
      <c r="DN202" s="203">
        <v>9036800</v>
      </c>
      <c r="DO20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02" s="207" t="b">
        <f>IF(AND(ППД5[[#This Row],[Статус]]="свободно",ППД5[[#This Row],[Итоговая сумма скидки]]&lt;&gt;0),FALSE,TRUE)</f>
        <v>1</v>
      </c>
      <c r="DQ202" s="240">
        <f>_xlfn.XLOOKUP(ППД5[[#This Row],[№]],Юрист[№ кв],Юрист[Дата подачи на регистрацию]," ",0,-1)</f>
        <v>45777</v>
      </c>
      <c r="DR202" s="115" t="str">
        <f>_xlfn.XLOOKUP(ППД5[[#This Row],[№]],Юрист[№ кв],Юрист[МОП],"",0,-1)</f>
        <v>Нуждина</v>
      </c>
      <c r="DS202" s="333" t="s">
        <v>2696</v>
      </c>
      <c r="DT202" s="333" t="s">
        <v>2697</v>
      </c>
      <c r="DU202" s="333">
        <v>81.599999999999994</v>
      </c>
      <c r="DV202" s="111"/>
    </row>
    <row r="203" spans="1:126" hidden="1" x14ac:dyDescent="0.25">
      <c r="A203" s="112">
        <v>201</v>
      </c>
      <c r="B203" s="111" t="s">
        <v>4</v>
      </c>
      <c r="C203" s="111">
        <v>13</v>
      </c>
      <c r="D203" s="111">
        <v>7</v>
      </c>
      <c r="E203" s="111">
        <v>1</v>
      </c>
      <c r="F203" s="105">
        <v>17.89</v>
      </c>
      <c r="G203" s="105"/>
      <c r="H203" s="105"/>
      <c r="I203" s="94">
        <f>SUM(ППД5[[#This Row],[Комната 1]:[Комната 3]])</f>
        <v>17.89</v>
      </c>
      <c r="J203" s="105">
        <v>13.04</v>
      </c>
      <c r="K203" s="105">
        <v>3.9</v>
      </c>
      <c r="L203" s="105"/>
      <c r="M203" s="105"/>
      <c r="N203" s="105">
        <v>6.12</v>
      </c>
      <c r="O203" s="105">
        <v>2.65</v>
      </c>
      <c r="P203" s="105"/>
      <c r="Q203" s="105"/>
      <c r="R203" s="105">
        <f>SUM(ППД5[[#This Row],[Лоджия 1]:[Лоджия 3]])</f>
        <v>2.65</v>
      </c>
      <c r="S203" s="8">
        <f>ROUND(SUM(ППД5[[#This Row],[Площадь по проекту жилая]:[Лоджия 3]]),2)</f>
        <v>43.6</v>
      </c>
      <c r="T203" s="8">
        <f>ROUND(ППД5[[#This Row],[Площадь по проекту(общая)]]-ППД5[[#This Row],[Летние]],2)</f>
        <v>40.950000000000003</v>
      </c>
      <c r="U203" s="91">
        <f>ROUND(ППД5[[#This Row],[Площадь по проекту(общая)]]-(SUM(ППД5[[#This Row],[Лоджия 1]:[Лоджия 3]])/2),2)</f>
        <v>42.28</v>
      </c>
      <c r="V203" s="91">
        <f>IF(ППД5[[#This Row],[Статус]]="продажа",ППД5[[#This Row],[Расчетная проектная площадь]],ППД5[[#This Row],[Расчетная ТП площадь]])</f>
        <v>42.35</v>
      </c>
      <c r="W203" s="91">
        <v>18</v>
      </c>
      <c r="X203" s="91"/>
      <c r="Y203" s="91"/>
      <c r="Z203" s="91">
        <f>SUM(ППД5[[#This Row],[ТП Комната 1]:[ТП Комната 3]])</f>
        <v>18</v>
      </c>
      <c r="AA203" s="91">
        <v>13.1</v>
      </c>
      <c r="AB203" s="91">
        <v>3.8</v>
      </c>
      <c r="AC203" s="91"/>
      <c r="AD203" s="91"/>
      <c r="AE203" s="91">
        <v>6.1</v>
      </c>
      <c r="AF203" s="91">
        <v>1.35</v>
      </c>
      <c r="AG203" s="91"/>
      <c r="AH203" s="91"/>
      <c r="AI203" s="91">
        <f>SUM(ППД5[[#This Row],[ТП Лоджия 1]:[ТП Лоджия 3]])</f>
        <v>1.35</v>
      </c>
      <c r="AJ203" s="95">
        <v>2.7</v>
      </c>
      <c r="AK203" s="91">
        <f>SUM(ППД5[[#This Row],[Площадь по ТП жилая]:[ТП Лоджия 3]])-ППД5[[#This Row],[ТП Летние]]+ППД5[[#This Row],[кроме того прочая
(без коэффициента)]]</f>
        <v>43.7</v>
      </c>
      <c r="AL203" s="91">
        <f>ППД5[[#This Row],[ТП Площадь без летних]]+(ППД5[[#This Row],[ТП Летние]])</f>
        <v>42.35</v>
      </c>
      <c r="AM203" s="91">
        <f>ППД5[[#This Row],[ТП общая S]]-ППД5[[#This Row],[кроме того прочая
(без коэффициента)]]</f>
        <v>41</v>
      </c>
      <c r="AN203" s="91">
        <f>SUM(ППД5[[#This Row],[ТП Кухня]:[ТП Коридор]])</f>
        <v>23</v>
      </c>
      <c r="AO203" s="91">
        <f>ППД5[[#This Row],[Расчетная ТП площадь]]-ППД5[[#This Row],[Расчетная проектная площадь]]</f>
        <v>7.0000000000000284E-2</v>
      </c>
      <c r="AP203" s="335">
        <f>ППД5[[#This Row],[Расчетная ТП площадь]]/ППД5[[#This Row],[Расчетная проектная площадь]]-1</f>
        <v>1.6556291390728006E-3</v>
      </c>
      <c r="AQ203" s="91">
        <f>ППД5[[#This Row],[% расхождения]]*ППД5[[#This Row],[Стоимость до скидки]]</f>
        <v>9488.4105960262204</v>
      </c>
      <c r="AR203" s="91">
        <f>VLOOKUP(ППД5[[#This Row],[№]],наценкад5[],COLUMN(наценкад5[[#This Row],[Цена м2 с учетом всех K]]),0)</f>
        <v>83951.4375</v>
      </c>
      <c r="AS203" s="8">
        <f>ППД5[[#This Row],[м2 после К]]*5%</f>
        <v>4197.5718750000005</v>
      </c>
      <c r="AT203" s="8">
        <f>ППД5[[#This Row],[м2 после К]]+ППД5[[#This Row],[Повышение 16.08.23 - 5%]]</f>
        <v>88149.009374999994</v>
      </c>
      <c r="AU203" s="93">
        <f>ППД5[[#This Row],[Фикс 16.08.23]]*3%</f>
        <v>2644.4702812499995</v>
      </c>
      <c r="AV203" s="93">
        <f>ППД5[[#This Row],[Фикс 16.08.23]]+ППД5[[#This Row],[Повышение 29.08.23 - 3%]]</f>
        <v>90793.479656249998</v>
      </c>
      <c r="AW203" s="93">
        <f>ППД5[[#This Row],[Фикс 29.08.23]]*3%</f>
        <v>2723.8043896874997</v>
      </c>
      <c r="AX203" s="93">
        <f>ППД5[[#This Row],[Фикс 29.08.23]]+ППД5[[#This Row],[Повышение 06.09.23 СТ и 1К]]</f>
        <v>93517.2840459375</v>
      </c>
      <c r="AY203" s="93"/>
      <c r="AZ203" s="93">
        <f>ППД5[[#This Row],[Повышение 23.10.23  В4 ]]+ППД5[[#This Row],[Фикс 06.09.23]]</f>
        <v>93517.2840459375</v>
      </c>
      <c r="BA203" s="93">
        <f>ППД5[[#This Row],[Фикс 23.10.23]]*5%</f>
        <v>4675.8642022968752</v>
      </c>
      <c r="BB203" s="93">
        <f>ППД5[[#This Row],[Повышение 8.11.23 1К 5%]]+ППД5[[#This Row],[Фикс 23.10.23]]</f>
        <v>98193.148248234371</v>
      </c>
      <c r="BC203" s="93"/>
      <c r="BD203" s="93">
        <f>ППД5[[#This Row],[Корректировка 24.11.23 - 1К В5, 2К А2, №233]]+ППД5[[#This Row],[Фикс 8.11.23]]</f>
        <v>98193.148248234371</v>
      </c>
      <c r="BE203" s="93">
        <f>ППД5[[#This Row],[Фикс 8.11.24]]*1%</f>
        <v>981.93148248234377</v>
      </c>
      <c r="BF203" s="93">
        <f>ППД5[[#This Row],[Наценка за отделку 29.12.23 1%]]+ППД5[[#This Row],[Фикс 8.11.24]]</f>
        <v>99175.079730716709</v>
      </c>
      <c r="BG203" s="93">
        <f>ППД5[[#This Row],[Фикс 29.12.23]]*5%</f>
        <v>4958.7539865358358</v>
      </c>
      <c r="BH203" s="93">
        <f>ППД5[[#This Row],[Фикс 29.12.23]]+ППД5[[#This Row],[Наценка 10.01.24 5%]]</f>
        <v>104133.83371725255</v>
      </c>
      <c r="BI203" s="93"/>
      <c r="BJ203" s="93">
        <f>ППД5[[#This Row],[Наценка 26.02.24 1 Этаж]]+ППД5[[#This Row],[Фикс 10.01.24]]</f>
        <v>104133.83371725255</v>
      </c>
      <c r="BK203" s="93">
        <f>ППД5[[#This Row],[Фикс 26.02.24]]*3%</f>
        <v>3124.0150115175766</v>
      </c>
      <c r="BL203" s="93">
        <f>ППД5[[#This Row],[Фикс 26.02.24]]+ППД5[[#This Row],[Наценка 06.03.24
СТ, 1К - 3%
2К, 3К - 2%]]</f>
        <v>107257.84872877013</v>
      </c>
      <c r="BM203" s="93"/>
      <c r="BN203" s="93">
        <f>ППД5[[#This Row],[Фикс 06.03.24]]+ППД5[[#This Row],[Наценка Г2+500]]</f>
        <v>107257.84872877013</v>
      </c>
      <c r="BO203" s="93"/>
      <c r="BP203" s="93">
        <f>ППД5[[#This Row],[Фикс 13.03.25]]+ППД5[[#This Row],[Наценка 20.03.24
2К, 3К - 2%]]</f>
        <v>107257.84872877013</v>
      </c>
      <c r="BQ203" s="93"/>
      <c r="BR203" s="93">
        <f>ППД5[[#This Row],[Фикс 20.03.24]]+ППД5[[#This Row],[Наценка 08.04.24 
2К: В3 - 150
3К: Г7 +1000]]</f>
        <v>107257.84872877013</v>
      </c>
      <c r="BS203" s="9">
        <f>ППД5[[#This Row],[Фикс 08.04.24]]*1%</f>
        <v>1072.5784872877014</v>
      </c>
      <c r="BT203" s="93">
        <f>ППД5[[#This Row],[Фикс 08.04.24]]+ППД5[[#This Row],[Наценка 16.05.24 1%
А4,А6,Б3,Б6,Б7,В2,В3,В5,В6,Г1,Г3-Г5]]</f>
        <v>108330.42721605783</v>
      </c>
      <c r="BU203" s="93"/>
      <c r="BV203" s="93">
        <f>ППД5[[#This Row],[Фикс 16.05.24]]+ППД5[[#This Row],[Наценка 24.05.24
1% - Б4, Б5,Г2,Г6
2% - А1,А3,А5,Б2,Г7]]</f>
        <v>108330.42721605783</v>
      </c>
      <c r="BW203" s="93"/>
      <c r="BX203" s="93">
        <f>ППД5[[#This Row],[Наценка 06.06.24
0К: В2,Г3 +0,5%
1К: А7, Б5/4, Г6 +0,5%
3К: В6 +0,5%
1К: А3 +1%]]+ППД5[[#This Row],[Фикс 24.05.24]]</f>
        <v>108330.42721605783</v>
      </c>
      <c r="BY203" s="93"/>
      <c r="BZ203" s="93">
        <f>ППД5[[#This Row],[Фикс 06.06.24]]+ППД5[[#This Row],[13.06.2024
3К - 2%]]</f>
        <v>108330.42721605783</v>
      </c>
      <c r="CA203" s="93">
        <f>2.5%*ППД5[[#This Row],[Фикс 13.06.24]]</f>
        <v>2708.2606804014458</v>
      </c>
      <c r="CB203" s="93">
        <f>ППД5[[#This Row],[02.07.2024: Г3 А1 А3 Б5 Б7 Г2 Г6 Б3 Б4 В3 Г7 2,5% ост 0,5-1,5%]]+ППД5[[#This Row],[Фикс 13.06.24]]</f>
        <v>111038.68789645928</v>
      </c>
      <c r="CC203" s="93"/>
      <c r="CD203" s="93">
        <f>ППД5[[#This Row],[Фикс 02.07.24]]+ППД5[[#This Row],[04.09.2024 +500
0К - Б2; 1К - А3;
2К - А6, Б4, В3, Г5]]</f>
        <v>111038.68789645928</v>
      </c>
      <c r="CE203" s="93"/>
      <c r="CF203" s="93">
        <f>ППД5[[#This Row],[Наценка 16.09.2024
1К: А1,В7,Г6/7,Г8 - 2%
2К: А4,А5,А6,Б1,Б6,Б3/4,В3,В4,Г4,Г5 - 4%
3К: 4%]]+ППД5[[#This Row],[Фикс 04.09.24]]</f>
        <v>111038.68789645928</v>
      </c>
      <c r="CG203" s="93">
        <f>ППД5[[#This Row],[Фикс 16.09.2024]]*8%</f>
        <v>8883.0950317167426</v>
      </c>
      <c r="CH203" s="93">
        <f>ППД5[[#This Row],[Фикс 16.09.2024]]+ППД5[[#This Row],[Наценка 01.11.24
СТ: 4%
1К: 34-40м 5%; 40м+ 8%; МГН 1%
2К: 55-70м 6%; 70-73м 7%; 73-76м 8% 
3К: 5%]]</f>
        <v>119921.78292817602</v>
      </c>
      <c r="CI203" s="93">
        <f>ППД5[[#This Row],[Фикс 01.11.24]]*13%</f>
        <v>15589.831780662884</v>
      </c>
      <c r="CJ203" s="93">
        <f>ППД5[[#This Row],[Наценка 06.11 13%]]+ППД5[[#This Row],[Фикс 01.11.24]]</f>
        <v>135511.6147088389</v>
      </c>
      <c r="CK203" s="93">
        <v>35</v>
      </c>
      <c r="CL203" s="93">
        <f>ППД5[[#This Row],[Фикс 06.11.24]]+ППД5[[#This Row],[Наценка 18.12.24 распределение КВ]]</f>
        <v>135546.6147088389</v>
      </c>
      <c r="CM203" s="93"/>
      <c r="CN203" s="93">
        <f>ППД5[[#This Row],[Фикс 18.12.24]]+ППД5[[#This Row],[Наценка 10.02.25 +1%
1К: А3
2К: Б3, В3]]</f>
        <v>135546.6147088389</v>
      </c>
      <c r="CO203" s="93">
        <f>ROUND(ППД5[[#This Row],[Фикс 10.02.25]],2)</f>
        <v>135546.60999999999</v>
      </c>
      <c r="CP20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5731000</v>
      </c>
      <c r="CQ203" s="93">
        <f>ROUNDUP(ППД5[[#This Row],[Стоимость до скидки]]+ППД5[[#This Row],[Сумма доплаты]],-2)</f>
        <v>5740500</v>
      </c>
      <c r="CR203" s="68"/>
      <c r="CS203" s="90"/>
      <c r="CT203" s="68">
        <f>ППД5[[#This Row],[Стоимость до скидки]]*ППД5[[#This Row],[Скидка %]]+ППД5[[#This Row],[Скидка фиксированная]]</f>
        <v>0</v>
      </c>
      <c r="CU203" s="3">
        <f>ППД5[[#This Row],[Стоимость ОН без отделки со скидкой]]/ППД5[[#This Row],[Расчетная проектная площадь]]</f>
        <v>135548.72280037843</v>
      </c>
      <c r="CV203" s="3">
        <f>ROUND(ППД5[[#This Row],[Стоимость до скидки]]-ППД5[[#This Row],[Итоговая сумма скидки]],2)</f>
        <v>5731000</v>
      </c>
      <c r="CW20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03" s="197"/>
      <c r="CY203" s="332">
        <f>ППД5[[#This Row],[Расхождение]]/ППД5[[#This Row],[Расчетная проектная площадь]]</f>
        <v>1.6556291390728544E-3</v>
      </c>
      <c r="CZ20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-6.0000000000000497E-2</v>
      </c>
      <c r="DA203" s="3">
        <f>ППД5[[#This Row],[Цена м2 без отделки со скидкой]]+ППД5[[#This Row],[Стоимость отделки]]</f>
        <v>135548.72280037843</v>
      </c>
      <c r="DB203" s="3">
        <f>ППД5[[#This Row],[Стоимость квартиры с отделкой]]-ППД5[[#This Row],[Стоимость ОН без отделки со скидкой]]</f>
        <v>0</v>
      </c>
      <c r="DC203" s="3">
        <f>ППД5[[#This Row],[Цена м2 с отделкой]]*ППД5[[#This Row],[Расчетная проектная площадь]]</f>
        <v>5731000</v>
      </c>
      <c r="DD203" s="3"/>
      <c r="DF203" s="155" t="s">
        <v>161</v>
      </c>
      <c r="DG203" s="221" t="s">
        <v>161</v>
      </c>
      <c r="DH203" s="100" t="b">
        <f>EXACT(ППД5[[#This Row],[Статусы CRM]],ППД5[[#This Row],[Статус]])</f>
        <v>1</v>
      </c>
      <c r="DI203" s="213" t="s">
        <v>375</v>
      </c>
      <c r="DJ203" s="204"/>
      <c r="DK203" s="111" t="s">
        <v>763</v>
      </c>
      <c r="DL203" s="216" t="s">
        <v>12</v>
      </c>
      <c r="DM203" s="201" t="b">
        <f>ППД5[[#This Row],[Отделка CRM]]=ППД5[[#This Row],[Отделка]]</f>
        <v>1</v>
      </c>
      <c r="DN203" s="203">
        <v>5731000</v>
      </c>
      <c r="DO20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03" s="207" t="b">
        <f>IF(AND(ППД5[[#This Row],[Статус]]="свободно",ППД5[[#This Row],[Итоговая сумма скидки]]&lt;&gt;0),FALSE,TRUE)</f>
        <v>1</v>
      </c>
      <c r="DQ203" s="240" t="str">
        <f>_xlfn.XLOOKUP(ППД5[[#This Row],[№]],Юрист[№ кв],Юрист[Дата подачи на регистрацию]," ",0,-1)</f>
        <v xml:space="preserve"> </v>
      </c>
      <c r="DR203" s="115" t="str">
        <f>_xlfn.XLOOKUP(ППД5[[#This Row],[№]],Юрист[№ кв],Юрист[МОП],"",0,-1)</f>
        <v/>
      </c>
      <c r="DS203" s="333" t="s">
        <v>2698</v>
      </c>
      <c r="DT203" s="333" t="s">
        <v>2699</v>
      </c>
      <c r="DU203" s="333">
        <v>41</v>
      </c>
      <c r="DV203" s="111"/>
    </row>
    <row r="204" spans="1:126" hidden="1" x14ac:dyDescent="0.25">
      <c r="A204" s="112">
        <v>202</v>
      </c>
      <c r="B204" s="111" t="s">
        <v>4</v>
      </c>
      <c r="C204" s="111">
        <v>14</v>
      </c>
      <c r="D204" s="338">
        <v>1</v>
      </c>
      <c r="E204" s="111">
        <v>2</v>
      </c>
      <c r="F204" s="105">
        <v>15.91</v>
      </c>
      <c r="G204" s="105">
        <v>12.02</v>
      </c>
      <c r="H204" s="105"/>
      <c r="I204" s="94">
        <f>SUM(ППД5[[#This Row],[Комната 1]:[Комната 3]])</f>
        <v>27.93</v>
      </c>
      <c r="J204" s="105">
        <v>15.31</v>
      </c>
      <c r="K204" s="105">
        <v>3.85</v>
      </c>
      <c r="L204" s="105">
        <v>2.2999999999999998</v>
      </c>
      <c r="M204" s="105"/>
      <c r="N204" s="105">
        <v>9.4499999999999993</v>
      </c>
      <c r="O204" s="105">
        <v>2.75</v>
      </c>
      <c r="P204" s="105"/>
      <c r="Q204" s="105"/>
      <c r="R204" s="105">
        <f>SUM(ППД5[[#This Row],[Лоджия 1]:[Лоджия 3]])</f>
        <v>2.75</v>
      </c>
      <c r="S204" s="8">
        <f>ROUND(SUM(ППД5[[#This Row],[Площадь по проекту жилая]:[Лоджия 3]]),2)</f>
        <v>61.59</v>
      </c>
      <c r="T204" s="8">
        <f>ROUND(ППД5[[#This Row],[Площадь по проекту(общая)]]-ППД5[[#This Row],[Летние]],2)</f>
        <v>58.84</v>
      </c>
      <c r="U204" s="91">
        <f>ROUND(ППД5[[#This Row],[Площадь по проекту(общая)]]-(SUM(ППД5[[#This Row],[Лоджия 1]:[Лоджия 3]])/2),2)</f>
        <v>60.22</v>
      </c>
      <c r="V204" s="91">
        <f>IF(ППД5[[#This Row],[Статус]]="продажа",ППД5[[#This Row],[Расчетная проектная площадь]],ППД5[[#This Row],[Расчетная ТП площадь]])</f>
        <v>60.22</v>
      </c>
      <c r="W204" s="91">
        <v>15.9</v>
      </c>
      <c r="X204" s="91">
        <v>12</v>
      </c>
      <c r="Y204" s="91"/>
      <c r="Z204" s="91">
        <f>SUM(ППД5[[#This Row],[ТП Комната 1]:[ТП Комната 3]])</f>
        <v>27.9</v>
      </c>
      <c r="AA204" s="91">
        <v>15.4</v>
      </c>
      <c r="AB204" s="91">
        <v>3.8</v>
      </c>
      <c r="AC204" s="91">
        <v>2.2999999999999998</v>
      </c>
      <c r="AD204" s="91"/>
      <c r="AE204" s="91">
        <v>9.6999999999999993</v>
      </c>
      <c r="AF204" s="91">
        <v>1.4</v>
      </c>
      <c r="AG204" s="91"/>
      <c r="AH204" s="91"/>
      <c r="AI204" s="91">
        <f>SUM(ППД5[[#This Row],[ТП Лоджия 1]:[ТП Лоджия 3]])</f>
        <v>1.4</v>
      </c>
      <c r="AJ204" s="95">
        <v>2.8</v>
      </c>
      <c r="AK204" s="91">
        <f>SUM(ППД5[[#This Row],[Площадь по ТП жилая]:[ТП Лоджия 3]])-ППД5[[#This Row],[ТП Летние]]+ППД5[[#This Row],[кроме того прочая
(без коэффициента)]]</f>
        <v>61.899999999999991</v>
      </c>
      <c r="AL204" s="95">
        <f>ППД5[[#This Row],[ТП Площадь без летних]]+(ППД5[[#This Row],[ТП Летние]])</f>
        <v>60.499999999999993</v>
      </c>
      <c r="AM204" s="91">
        <f>ППД5[[#This Row],[ТП общая S]]-ППД5[[#This Row],[кроме того прочая
(без коэффициента)]]</f>
        <v>59.099999999999994</v>
      </c>
      <c r="AN204" s="95">
        <f>SUM(ППД5[[#This Row],[ТП Кухня]:[ТП Коридор]])</f>
        <v>31.2</v>
      </c>
      <c r="AO204" s="91">
        <f>ППД5[[#This Row],[Расчетная ТП площадь]]-ППД5[[#This Row],[Расчетная проектная площадь]]</f>
        <v>0.27999999999999403</v>
      </c>
      <c r="AP204" s="335">
        <f>ППД5[[#This Row],[Расчетная ТП площадь]]/ППД5[[#This Row],[Расчетная проектная площадь]]-1</f>
        <v>4.6496180670871912E-3</v>
      </c>
      <c r="AQ204" s="91">
        <f>ППД5[[#This Row],[% расхождения]]*ППД5[[#This Row],[Стоимость до скидки]]</f>
        <v>34579.209564927442</v>
      </c>
      <c r="AR204" s="91">
        <f>VLOOKUP(ППД5[[#This Row],[№]],наценкад5[],COLUMN(наценкад5[[#This Row],[Цена м2 с учетом всех K]]),0)</f>
        <v>81852.246000000014</v>
      </c>
      <c r="AS204" s="8">
        <f>ППД5[[#This Row],[м2 после К]]*5%</f>
        <v>4092.6123000000007</v>
      </c>
      <c r="AT204" s="8">
        <f>ППД5[[#This Row],[м2 после К]]+ППД5[[#This Row],[Повышение 16.08.23 - 5%]]</f>
        <v>85944.858300000022</v>
      </c>
      <c r="AU204" s="93">
        <f>ППД5[[#This Row],[Фикс 16.08.23]]*3%</f>
        <v>2578.3457490000005</v>
      </c>
      <c r="AV204" s="93">
        <f>ППД5[[#This Row],[Фикс 16.08.23]]+ППД5[[#This Row],[Повышение 29.08.23 - 3%]]</f>
        <v>88523.204049000022</v>
      </c>
      <c r="AW204" s="93"/>
      <c r="AX204" s="93">
        <f>ППД5[[#This Row],[Фикс 29.08.23]]+ППД5[[#This Row],[Повышение 06.09.23 СТ и 1К]]</f>
        <v>88523.204049000022</v>
      </c>
      <c r="AY204" s="93"/>
      <c r="AZ204" s="93">
        <f>ППД5[[#This Row],[Повышение 23.10.23  В4 ]]+ППД5[[#This Row],[Фикс 06.09.23]]</f>
        <v>88523.204049000022</v>
      </c>
      <c r="BA204" s="93"/>
      <c r="BB204" s="93">
        <f>ППД5[[#This Row],[Повышение 8.11.23 1К 5%]]+ППД5[[#This Row],[Фикс 23.10.23]]</f>
        <v>88523.204049000022</v>
      </c>
      <c r="BC204" s="93"/>
      <c r="BD204" s="93">
        <f>ППД5[[#This Row],[Корректировка 24.11.23 - 1К В5, 2К А2, №233]]+ППД5[[#This Row],[Фикс 8.11.23]]</f>
        <v>88523.204049000022</v>
      </c>
      <c r="BE204" s="93">
        <f>ППД5[[#This Row],[Фикс 8.11.24]]*1%</f>
        <v>885.23204049000026</v>
      </c>
      <c r="BF204" s="93">
        <f>ППД5[[#This Row],[Наценка за отделку 29.12.23 1%]]+ППД5[[#This Row],[Фикс 8.11.24]]</f>
        <v>89408.436089490016</v>
      </c>
      <c r="BG204" s="93">
        <f>ППД5[[#This Row],[Фикс 29.12.23]]*5%</f>
        <v>4470.4218044745012</v>
      </c>
      <c r="BH204" s="93">
        <f>ППД5[[#This Row],[Фикс 29.12.23]]+ППД5[[#This Row],[Наценка 10.01.24 5%]]</f>
        <v>93878.857893964523</v>
      </c>
      <c r="BI204" s="93"/>
      <c r="BJ204" s="93">
        <f>ППД5[[#This Row],[Наценка 26.02.24 1 Этаж]]+ППД5[[#This Row],[Фикс 10.01.24]]</f>
        <v>93878.857893964523</v>
      </c>
      <c r="BK204" s="93">
        <f>ППД5[[#This Row],[Фикс 26.02.24]]*2%</f>
        <v>1877.5771578792906</v>
      </c>
      <c r="BL204" s="93">
        <f>ППД5[[#This Row],[Фикс 26.02.24]]+ППД5[[#This Row],[Наценка 06.03.24
СТ, 1К - 3%
2К, 3К - 2%]]</f>
        <v>95756.435051843815</v>
      </c>
      <c r="BM204" s="93"/>
      <c r="BN204" s="93">
        <f>ППД5[[#This Row],[Фикс 06.03.24]]+ППД5[[#This Row],[Наценка Г2+500]]</f>
        <v>95756.435051843815</v>
      </c>
      <c r="BO204" s="93">
        <f>ППД5[[#This Row],[Фикс 13.03.25]]*2%</f>
        <v>1915.1287010368762</v>
      </c>
      <c r="BP204" s="93">
        <f>ППД5[[#This Row],[Фикс 13.03.25]]+ППД5[[#This Row],[Наценка 20.03.24
2К, 3К - 2%]]</f>
        <v>97671.563752880698</v>
      </c>
      <c r="BQ204" s="93"/>
      <c r="BR204" s="93">
        <f>ППД5[[#This Row],[Фикс 20.03.24]]+ППД5[[#This Row],[Наценка 08.04.24 
2К: В3 - 150
3К: Г7 +1000]]</f>
        <v>97671.563752880698</v>
      </c>
      <c r="BS204" s="93"/>
      <c r="BT204" s="93">
        <f>ППД5[[#This Row],[Фикс 08.04.24]]+ППД5[[#This Row],[Наценка 16.05.24 1%
А4,А6,Б3,Б6,Б7,В2,В3,В5,В6,Г1,Г3-Г5]]</f>
        <v>97671.563752880698</v>
      </c>
      <c r="BU204" s="93"/>
      <c r="BV204" s="93">
        <f>ППД5[[#This Row],[Фикс 16.05.24]]+ППД5[[#This Row],[Наценка 24.05.24
1% - Б4, Б5,Г2,Г6
2% - А1,А3,А5,Б2,Г7]]</f>
        <v>97671.563752880698</v>
      </c>
      <c r="BW204" s="93"/>
      <c r="BX204" s="93">
        <f>ППД5[[#This Row],[Наценка 06.06.24
0К: В2,Г3 +0,5%
1К: А7, Б5/4, Г6 +0,5%
3К: В6 +0,5%
1К: А3 +1%]]+ППД5[[#This Row],[Фикс 24.05.24]]</f>
        <v>97671.563752880698</v>
      </c>
      <c r="BY204" s="93"/>
      <c r="BZ204" s="93">
        <f>ППД5[[#This Row],[Фикс 06.06.24]]+ППД5[[#This Row],[13.06.2024
3К - 2%]]</f>
        <v>97671.563752880698</v>
      </c>
      <c r="CA204" s="47">
        <f>1.5%*ППД5[[#This Row],[Фикс 13.06.24]]</f>
        <v>1465.0734562932105</v>
      </c>
      <c r="CB204" s="93">
        <f>ППД5[[#This Row],[02.07.2024: Г3 А1 А3 Б5 Б7 Г2 Г6 Б3 Б4 В3 Г7 2,5% ост 0,5-1,5%]]+ППД5[[#This Row],[Фикс 13.06.24]]</f>
        <v>99136.637209173903</v>
      </c>
      <c r="CC204" s="93"/>
      <c r="CD204" s="93">
        <f>ППД5[[#This Row],[Фикс 02.07.24]]+ППД5[[#This Row],[04.09.2024 +500
0К - Б2; 1К - А3;
2К - А6, Б4, В3, Г5]]</f>
        <v>99136.637209173903</v>
      </c>
      <c r="CE204" s="93">
        <f>ППД5[[#This Row],[Фикс 04.09.24]]*4%</f>
        <v>3965.4654883669564</v>
      </c>
      <c r="CF204" s="93">
        <f>ППД5[[#This Row],[Наценка 16.09.2024
1К: А1,В7,Г6/7,Г8 - 2%
2К: А4,А5,А6,Б1,Б6,Б3/4,В3,В4,Г4,Г5 - 4%
3К: 4%]]+ППД5[[#This Row],[Фикс 04.09.24]]</f>
        <v>103102.10269754086</v>
      </c>
      <c r="CG204" s="93">
        <f>ППД5[[#This Row],[Фикс 16.09.2024]]*6%</f>
        <v>6186.1261618524513</v>
      </c>
      <c r="CH204" s="93">
        <f>ППД5[[#This Row],[Фикс 16.09.2024]]+ППД5[[#This Row],[Наценка 01.11.24
СТ: 4%
1К: 34-40м 5%; 40м+ 8%; МГН 1%
2К: 55-70м 6%; 70-73м 7%; 73-76м 8% 
3К: 5%]]</f>
        <v>109288.2288593933</v>
      </c>
      <c r="CI204" s="93">
        <f>ППД5[[#This Row],[Фикс 01.11.24]]*13%</f>
        <v>14207.46975172113</v>
      </c>
      <c r="CJ204" s="93">
        <f>ППД5[[#This Row],[Наценка 06.11 13%]]+ППД5[[#This Row],[Фикс 01.11.24]]</f>
        <v>123495.69861111444</v>
      </c>
      <c r="CK204" s="93"/>
      <c r="CL204" s="93">
        <f>ППД5[[#This Row],[Фикс 06.11.24]]+ППД5[[#This Row],[Наценка 18.12.24 распределение КВ]]</f>
        <v>123495.69861111444</v>
      </c>
      <c r="CM204" s="93"/>
      <c r="CN204" s="93">
        <f>ППД5[[#This Row],[Фикс 18.12.24]]+ППД5[[#This Row],[Наценка 10.02.25 +1%
1К: А3
2К: Б3, В3]]</f>
        <v>123495.69861111444</v>
      </c>
      <c r="CO204" s="93">
        <f>ROUND(ППД5[[#This Row],[Фикс 10.02.25]],2)</f>
        <v>123495.7</v>
      </c>
      <c r="CP20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7437000</v>
      </c>
      <c r="CQ204" s="93">
        <f>ROUNDUP(ППД5[[#This Row],[Стоимость до скидки]]+ППД5[[#This Row],[Сумма доплаты]],-2)</f>
        <v>7471600</v>
      </c>
      <c r="CR204" s="68"/>
      <c r="CS204" s="90">
        <v>0.03</v>
      </c>
      <c r="CT204" s="68">
        <f>ППД5[[#This Row],[Стоимость до скидки]]*ППД5[[#This Row],[Скидка %]]+ППД5[[#This Row],[Скидка фиксированная]]</f>
        <v>223110</v>
      </c>
      <c r="CU204" s="3">
        <f>ППД5[[#This Row],[Стоимость ОН без отделки со скидкой]]/ППД5[[#This Row],[Расчетная проектная площадь]]</f>
        <v>119792.26170707407</v>
      </c>
      <c r="CV204" s="3">
        <f>ROUND(ППД5[[#This Row],[Стоимость до скидки]]-ППД5[[#This Row],[Итоговая сумма скидки]],2)</f>
        <v>7213890</v>
      </c>
      <c r="CW20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204" s="218">
        <v>10000</v>
      </c>
      <c r="CY204" s="332">
        <f>ППД5[[#This Row],[Расхождение]]/ППД5[[#This Row],[Расчетная проектная площадь]]</f>
        <v>4.6496180670872475E-3</v>
      </c>
      <c r="CZ204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0.28999999999999915</v>
      </c>
      <c r="DA204" s="3">
        <f>ППД5[[#This Row],[Цена м2 без отделки со скидкой]]+ППД5[[#This Row],[Стоимость отделки]]</f>
        <v>129792.26170707407</v>
      </c>
      <c r="DB204" s="3">
        <f>ППД5[[#This Row],[Стоимость квартиры с отделкой]]-ППД5[[#This Row],[Стоимость ОН без отделки со скидкой]]</f>
        <v>602200</v>
      </c>
      <c r="DC204" s="3">
        <f>ППД5[[#This Row],[Цена м2 с отделкой]]*ППД5[[#This Row],[Расчетная проектная площадь]]</f>
        <v>7816090</v>
      </c>
      <c r="DD204" s="3"/>
      <c r="DE204" s="111" t="s">
        <v>162</v>
      </c>
      <c r="DF204" s="199" t="s">
        <v>172</v>
      </c>
      <c r="DG204" s="245" t="s">
        <v>172</v>
      </c>
      <c r="DH204" s="100" t="b">
        <f>EXACT(ППД5[[#This Row],[Статусы CRM]],ППД5[[#This Row],[Статус]])</f>
        <v>1</v>
      </c>
      <c r="DI204" s="213" t="s">
        <v>376</v>
      </c>
      <c r="DJ204" s="204"/>
      <c r="DK204" s="111" t="s">
        <v>763</v>
      </c>
      <c r="DL204" s="216" t="s">
        <v>780</v>
      </c>
      <c r="DM204" s="201" t="b">
        <f>ППД5[[#This Row],[Отделка CRM]]=ППД5[[#This Row],[Отделка]]</f>
        <v>1</v>
      </c>
      <c r="DN204" s="203">
        <v>7816090</v>
      </c>
      <c r="DO20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04" s="207" t="b">
        <f>IF(AND(ППД5[[#This Row],[Статус]]="свободно",ППД5[[#This Row],[Итоговая сумма скидки]]&lt;&gt;0),FALSE,TRUE)</f>
        <v>1</v>
      </c>
      <c r="DQ204" s="240">
        <f>_xlfn.XLOOKUP(ППД5[[#This Row],[№]],Юрист[№ кв],Юрист[Дата подачи на регистрацию]," ",0,-1)</f>
        <v>45621</v>
      </c>
      <c r="DR204" s="115" t="str">
        <f>_xlfn.XLOOKUP(ППД5[[#This Row],[№]],Юрист[№ кв],Юрист[МОП],"",0,-1)</f>
        <v>Дик</v>
      </c>
      <c r="DS204" s="333" t="s">
        <v>2700</v>
      </c>
      <c r="DT204" s="333" t="s">
        <v>2701</v>
      </c>
      <c r="DU204" s="333">
        <v>59.1</v>
      </c>
      <c r="DV204" s="111"/>
    </row>
    <row r="205" spans="1:126" hidden="1" x14ac:dyDescent="0.25">
      <c r="A205" s="112">
        <v>203</v>
      </c>
      <c r="B205" s="111" t="s">
        <v>4</v>
      </c>
      <c r="C205" s="111">
        <v>14</v>
      </c>
      <c r="D205" s="111">
        <v>2</v>
      </c>
      <c r="E205" s="111">
        <v>0</v>
      </c>
      <c r="F205" s="105">
        <v>7.13</v>
      </c>
      <c r="G205" s="105"/>
      <c r="H205" s="105"/>
      <c r="I205" s="94">
        <f>SUM(ППД5[[#This Row],[Комната 1]:[Комната 3]])</f>
        <v>7.13</v>
      </c>
      <c r="J205" s="105">
        <v>5.12</v>
      </c>
      <c r="K205" s="105">
        <v>3.65</v>
      </c>
      <c r="L205" s="105"/>
      <c r="M205" s="105"/>
      <c r="N205" s="105">
        <v>6.92</v>
      </c>
      <c r="O205" s="105">
        <v>2.91</v>
      </c>
      <c r="P205" s="105"/>
      <c r="Q205" s="105"/>
      <c r="R205" s="105">
        <f>SUM(ППД5[[#This Row],[Лоджия 1]:[Лоджия 3]])</f>
        <v>2.91</v>
      </c>
      <c r="S205" s="8">
        <f>ROUND(SUM(ППД5[[#This Row],[Площадь по проекту жилая]:[Лоджия 3]]),2)</f>
        <v>25.73</v>
      </c>
      <c r="T205" s="8">
        <f>ROUND(ППД5[[#This Row],[Площадь по проекту(общая)]]-ППД5[[#This Row],[Летние]],2)</f>
        <v>22.82</v>
      </c>
      <c r="U205" s="91">
        <f>ROUND(ППД5[[#This Row],[Площадь по проекту(общая)]]-(SUM(ППД5[[#This Row],[Лоджия 1]:[Лоджия 3]])/2),2)</f>
        <v>24.28</v>
      </c>
      <c r="V205" s="91">
        <f>IF(ППД5[[#This Row],[Статус]]="продажа",ППД5[[#This Row],[Расчетная проектная площадь]],ППД5[[#This Row],[Расчетная ТП площадь]])</f>
        <v>24.28</v>
      </c>
      <c r="W205" s="91">
        <v>7.1</v>
      </c>
      <c r="X205" s="91"/>
      <c r="Y205" s="91"/>
      <c r="Z205" s="91">
        <f>SUM(ППД5[[#This Row],[ТП Комната 1]:[ТП Комната 3]])</f>
        <v>7.1</v>
      </c>
      <c r="AA205" s="91">
        <v>5.2</v>
      </c>
      <c r="AB205" s="91">
        <v>3.6</v>
      </c>
      <c r="AC205" s="91"/>
      <c r="AD205" s="91"/>
      <c r="AE205" s="91">
        <v>6.8</v>
      </c>
      <c r="AF205" s="91">
        <v>1.45</v>
      </c>
      <c r="AG205" s="91"/>
      <c r="AH205" s="91"/>
      <c r="AI205" s="91">
        <f>SUM(ППД5[[#This Row],[ТП Лоджия 1]:[ТП Лоджия 3]])</f>
        <v>1.45</v>
      </c>
      <c r="AJ205" s="95">
        <v>2.9</v>
      </c>
      <c r="AK205" s="91">
        <f>SUM(ППД5[[#This Row],[Площадь по ТП жилая]:[ТП Лоджия 3]])-ППД5[[#This Row],[ТП Летние]]+ППД5[[#This Row],[кроме того прочая
(без коэффициента)]]</f>
        <v>25.599999999999998</v>
      </c>
      <c r="AL205" s="95">
        <f>ППД5[[#This Row],[ТП Площадь без летних]]+(ППД5[[#This Row],[ТП Летние]])</f>
        <v>24.15</v>
      </c>
      <c r="AM205" s="91">
        <f>ППД5[[#This Row],[ТП общая S]]-ППД5[[#This Row],[кроме того прочая
(без коэффициента)]]</f>
        <v>22.7</v>
      </c>
      <c r="AN205" s="95">
        <f>SUM(ППД5[[#This Row],[ТП Кухня]:[ТП Коридор]])</f>
        <v>15.600000000000001</v>
      </c>
      <c r="AO205" s="91">
        <f>ППД5[[#This Row],[Расчетная ТП площадь]]-ППД5[[#This Row],[Расчетная проектная площадь]]</f>
        <v>-0.13000000000000256</v>
      </c>
      <c r="AP205" s="335">
        <f>ППД5[[#This Row],[Расчетная ТП площадь]]/ППД5[[#This Row],[Расчетная проектная площадь]]-1</f>
        <v>-5.3542009884679498E-3</v>
      </c>
      <c r="AQ205" s="91">
        <f>ППД5[[#This Row],[% расхождения]]*ППД5[[#This Row],[Стоимость до скидки]]</f>
        <v>-19845.881383855303</v>
      </c>
      <c r="AR205" s="91">
        <f>VLOOKUP(ППД5[[#This Row],[№]],наценкад5[],COLUMN(наценкад5[[#This Row],[Цена м2 с учетом всех K]]),0)</f>
        <v>91981.574999999997</v>
      </c>
      <c r="AS205" s="8">
        <f>ППД5[[#This Row],[м2 после К]]*5%</f>
        <v>4599.0787499999997</v>
      </c>
      <c r="AT205" s="8">
        <f>ППД5[[#This Row],[м2 после К]]+ППД5[[#This Row],[Повышение 16.08.23 - 5%]]</f>
        <v>96580.653749999998</v>
      </c>
      <c r="AU205" s="93">
        <f>ППД5[[#This Row],[Фикс 16.08.23]]*3%</f>
        <v>2897.4196124999999</v>
      </c>
      <c r="AV205" s="93">
        <f>ППД5[[#This Row],[Фикс 16.08.23]]+ППД5[[#This Row],[Повышение 29.08.23 - 3%]]</f>
        <v>99478.073362499999</v>
      </c>
      <c r="AW205" s="93">
        <f>ППД5[[#This Row],[Фикс 29.08.23]]*15%</f>
        <v>14921.711004375</v>
      </c>
      <c r="AX205" s="93">
        <f>ППД5[[#This Row],[Фикс 29.08.23]]+ППД5[[#This Row],[Повышение 06.09.23 СТ и 1К]]</f>
        <v>114399.784366875</v>
      </c>
      <c r="AY205" s="93"/>
      <c r="AZ205" s="93">
        <f>ППД5[[#This Row],[Повышение 23.10.23  В4 ]]+ППД5[[#This Row],[Фикс 06.09.23]]</f>
        <v>114399.784366875</v>
      </c>
      <c r="BA205" s="93"/>
      <c r="BB205" s="93">
        <f>ППД5[[#This Row],[Повышение 8.11.23 1К 5%]]+ППД5[[#This Row],[Фикс 23.10.23]]</f>
        <v>114399.784366875</v>
      </c>
      <c r="BC205" s="93"/>
      <c r="BD205" s="93">
        <f>ППД5[[#This Row],[Корректировка 24.11.23 - 1К В5, 2К А2, №233]]+ППД5[[#This Row],[Фикс 8.11.23]]</f>
        <v>114399.784366875</v>
      </c>
      <c r="BE205" s="93">
        <f>ППД5[[#This Row],[Фикс 8.11.24]]*1%</f>
        <v>1143.99784366875</v>
      </c>
      <c r="BF205" s="93">
        <f>ППД5[[#This Row],[Наценка за отделку 29.12.23 1%]]+ППД5[[#This Row],[Фикс 8.11.24]]</f>
        <v>115543.78221054375</v>
      </c>
      <c r="BG205" s="93">
        <f>ППД5[[#This Row],[Фикс 29.12.23]]*5%</f>
        <v>5777.1891105271879</v>
      </c>
      <c r="BH205" s="93">
        <f>ППД5[[#This Row],[Фикс 29.12.23]]+ППД5[[#This Row],[Наценка 10.01.24 5%]]</f>
        <v>121320.97132107095</v>
      </c>
      <c r="BI205" s="93"/>
      <c r="BJ205" s="93">
        <f>ППД5[[#This Row],[Наценка 26.02.24 1 Этаж]]+ППД5[[#This Row],[Фикс 10.01.24]]</f>
        <v>121320.97132107095</v>
      </c>
      <c r="BK205" s="93">
        <f>ППД5[[#This Row],[Фикс 26.02.24]]*3%</f>
        <v>3639.629139632128</v>
      </c>
      <c r="BL205" s="93">
        <f>ППД5[[#This Row],[Фикс 26.02.24]]+ППД5[[#This Row],[Наценка 06.03.24
СТ, 1К - 3%
2К, 3К - 2%]]</f>
        <v>124960.60046070308</v>
      </c>
      <c r="BM205" s="93"/>
      <c r="BN205" s="93">
        <f>ППД5[[#This Row],[Фикс 06.03.24]]+ППД5[[#This Row],[Наценка Г2+500]]</f>
        <v>124960.60046070308</v>
      </c>
      <c r="BO205" s="93"/>
      <c r="BP205" s="93">
        <f>ППД5[[#This Row],[Фикс 13.03.25]]+ППД5[[#This Row],[Наценка 20.03.24
2К, 3К - 2%]]</f>
        <v>124960.60046070308</v>
      </c>
      <c r="BQ205" s="93"/>
      <c r="BR205" s="93">
        <f>ППД5[[#This Row],[Фикс 20.03.24]]+ППД5[[#This Row],[Наценка 08.04.24 
2К: В3 - 150
3К: Г7 +1000]]</f>
        <v>124960.60046070308</v>
      </c>
      <c r="BS205" s="93"/>
      <c r="BT205" s="93">
        <f>ППД5[[#This Row],[Фикс 08.04.24]]+ППД5[[#This Row],[Наценка 16.05.24 1%
А4,А6,Б3,Б6,Б7,В2,В3,В5,В6,Г1,Г3-Г5]]</f>
        <v>124960.60046070308</v>
      </c>
      <c r="BU205" s="93">
        <f>ППД5[[#This Row],[Фикс 16.05.24]]*2%</f>
        <v>2499.2120092140617</v>
      </c>
      <c r="BV205" s="93">
        <f>ППД5[[#This Row],[Фикс 16.05.24]]+ППД5[[#This Row],[Наценка 24.05.24
1% - Б4, Б5,Г2,Г6
2% - А1,А3,А5,Б2,Г7]]</f>
        <v>127459.81246991715</v>
      </c>
      <c r="BW205" s="93"/>
      <c r="BX205" s="93">
        <f>ППД5[[#This Row],[Наценка 06.06.24
0К: В2,Г3 +0,5%
1К: А7, Б5/4, Г6 +0,5%
3К: В6 +0,5%
1К: А3 +1%]]+ППД5[[#This Row],[Фикс 24.05.24]]</f>
        <v>127459.81246991715</v>
      </c>
      <c r="BY205" s="93"/>
      <c r="BZ205" s="93">
        <f>ППД5[[#This Row],[Фикс 06.06.24]]+ППД5[[#This Row],[13.06.2024
3К - 2%]]</f>
        <v>127459.81246991715</v>
      </c>
      <c r="CA205" s="93">
        <f>1.5%*ППД5[[#This Row],[Фикс 13.06.24]]</f>
        <v>1911.8971870487571</v>
      </c>
      <c r="CB205" s="93">
        <f>ППД5[[#This Row],[02.07.2024: Г3 А1 А3 Б5 Б7 Г2 Г6 Б3 Б4 В3 Г7 2,5% ост 0,5-1,5%]]+ППД5[[#This Row],[Фикс 13.06.24]]</f>
        <v>129371.7096569659</v>
      </c>
      <c r="CC205" s="93">
        <v>500</v>
      </c>
      <c r="CD205" s="93">
        <f>ППД5[[#This Row],[Фикс 02.07.24]]+ППД5[[#This Row],[04.09.2024 +500
0К - Б2; 1К - А3;
2К - А6, Б4, В3, Г5]]</f>
        <v>129871.7096569659</v>
      </c>
      <c r="CE205" s="93"/>
      <c r="CF205" s="93">
        <f>ППД5[[#This Row],[Наценка 16.09.2024
1К: А1,В7,Г6/7,Г8 - 2%
2К: А4,А5,А6,Б1,Б6,Б3/4,В3,В4,Г4,Г5 - 4%
3К: 4%]]+ППД5[[#This Row],[Фикс 04.09.24]]</f>
        <v>129871.7096569659</v>
      </c>
      <c r="CG205" s="93">
        <f>ППД5[[#This Row],[Фикс 16.09.2024]]*4%</f>
        <v>5194.8683862786365</v>
      </c>
      <c r="CH205" s="93">
        <f>ППД5[[#This Row],[Фикс 16.09.2024]]+ППД5[[#This Row],[Наценка 01.11.24
СТ: 4%
1К: 34-40м 5%; 40м+ 8%; МГН 1%
2К: 55-70м 6%; 70-73м 7%; 73-76м 8% 
3К: 5%]]</f>
        <v>135066.57804324455</v>
      </c>
      <c r="CI205" s="93">
        <f>ППД5[[#This Row],[Фикс 01.11.24]]*13%</f>
        <v>17558.655145621793</v>
      </c>
      <c r="CJ205" s="93">
        <f>ППД5[[#This Row],[Наценка 06.11 13%]]+ППД5[[#This Row],[Фикс 01.11.24]]</f>
        <v>152625.23318886635</v>
      </c>
      <c r="CK205" s="93">
        <v>35</v>
      </c>
      <c r="CL205" s="93">
        <f>ППД5[[#This Row],[Фикс 06.11.24]]+ППД5[[#This Row],[Наценка 18.12.24 распределение КВ]]</f>
        <v>152660.23318886635</v>
      </c>
      <c r="CM205" s="93"/>
      <c r="CN205" s="93">
        <f>ППД5[[#This Row],[Фикс 18.12.24]]+ППД5[[#This Row],[Наценка 10.02.25 +1%
1К: А3
2К: Б3, В3]]</f>
        <v>152660.23318886635</v>
      </c>
      <c r="CO205" s="93">
        <f>ROUND(ППД5[[#This Row],[Фикс 10.02.25]],2)</f>
        <v>152660.23000000001</v>
      </c>
      <c r="CP20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3706600</v>
      </c>
      <c r="CQ205" s="93">
        <f>ROUNDUP(ППД5[[#This Row],[Стоимость до скидки]]+ППД5[[#This Row],[Сумма доплаты]],-2)</f>
        <v>3686800</v>
      </c>
      <c r="CR205" s="68"/>
      <c r="CS205" s="90"/>
      <c r="CT205" s="68">
        <f>ППД5[[#This Row],[Стоимость до скидки]]*ППД5[[#This Row],[Скидка %]]+ППД5[[#This Row],[Скидка фиксированная]]</f>
        <v>0</v>
      </c>
      <c r="CU205" s="3">
        <f>ППД5[[#This Row],[Стоимость ОН без отделки со скидкой]]/ППД5[[#This Row],[Расчетная проектная площадь]]</f>
        <v>152660.62602965403</v>
      </c>
      <c r="CV205" s="3">
        <f>ROUND(ППД5[[#This Row],[Стоимость до скидки]]-ППД5[[#This Row],[Итоговая сумма скидки]],2)</f>
        <v>3706600</v>
      </c>
      <c r="CW20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05" s="197">
        <v>25000</v>
      </c>
      <c r="CY205" s="332">
        <f>ППД5[[#This Row],[Расхождение]]/ППД5[[#This Row],[Расчетная проектная площадь]]</f>
        <v>-5.3542009884679801E-3</v>
      </c>
      <c r="CZ20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-8.999999999999897E-2</v>
      </c>
      <c r="DA205" s="3">
        <f>ППД5[[#This Row],[Цена м2 без отделки со скидкой]]+ППД5[[#This Row],[Стоимость отделки]]</f>
        <v>177660.62602965403</v>
      </c>
      <c r="DB205" s="3">
        <f>ППД5[[#This Row],[Стоимость квартиры с отделкой]]-ППД5[[#This Row],[Стоимость ОН без отделки со скидкой]]</f>
        <v>607000</v>
      </c>
      <c r="DC205" s="3">
        <f>ППД5[[#This Row],[Цена м2 с отделкой]]*ППД5[[#This Row],[Расчетная проектная площадь]]</f>
        <v>4313600</v>
      </c>
      <c r="DD205" s="3"/>
      <c r="DF205" s="199" t="s">
        <v>172</v>
      </c>
      <c r="DG205" s="245" t="s">
        <v>172</v>
      </c>
      <c r="DH205" s="100" t="b">
        <f>EXACT(ППД5[[#This Row],[Статусы CRM]],ППД5[[#This Row],[Статус]])</f>
        <v>1</v>
      </c>
      <c r="DI205" s="213" t="s">
        <v>377</v>
      </c>
      <c r="DJ205" s="204"/>
      <c r="DK205" s="111" t="s">
        <v>763</v>
      </c>
      <c r="DL205" s="216" t="s">
        <v>14</v>
      </c>
      <c r="DM205" s="201" t="b">
        <f>ППД5[[#This Row],[Отделка CRM]]=ППД5[[#This Row],[Отделка]]</f>
        <v>1</v>
      </c>
      <c r="DN205" s="203">
        <v>4313600</v>
      </c>
      <c r="DO20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05" s="207" t="b">
        <f>IF(AND(ППД5[[#This Row],[Статус]]="свободно",ППД5[[#This Row],[Итоговая сумма скидки]]&lt;&gt;0),FALSE,TRUE)</f>
        <v>1</v>
      </c>
      <c r="DQ205" s="240">
        <f>_xlfn.XLOOKUP(ППД5[[#This Row],[№]],Юрист[№ кв],Юрист[Дата подачи на регистрацию]," ",0,-1)</f>
        <v>45716</v>
      </c>
      <c r="DR205" s="115" t="str">
        <f>_xlfn.XLOOKUP(ППД5[[#This Row],[№]],Юрист[№ кв],Юрист[МОП],"",0,-1)</f>
        <v>Полехович</v>
      </c>
      <c r="DS205" s="333" t="s">
        <v>2702</v>
      </c>
      <c r="DT205" s="333" t="s">
        <v>2703</v>
      </c>
      <c r="DU205" s="333">
        <v>22.7</v>
      </c>
      <c r="DV205" s="111"/>
    </row>
    <row r="206" spans="1:126" hidden="1" x14ac:dyDescent="0.25">
      <c r="A206" s="112">
        <v>204</v>
      </c>
      <c r="B206" s="111" t="s">
        <v>4</v>
      </c>
      <c r="C206" s="111">
        <v>14</v>
      </c>
      <c r="D206" s="111">
        <v>3</v>
      </c>
      <c r="E206" s="111">
        <v>2</v>
      </c>
      <c r="F206" s="105">
        <v>14.6</v>
      </c>
      <c r="G206" s="105">
        <v>13.12</v>
      </c>
      <c r="H206" s="105"/>
      <c r="I206" s="94">
        <f>SUM(ППД5[[#This Row],[Комната 1]:[Комната 3]])</f>
        <v>27.72</v>
      </c>
      <c r="J206" s="105">
        <v>14.35</v>
      </c>
      <c r="K206" s="105">
        <v>3.68</v>
      </c>
      <c r="L206" s="105">
        <v>2.57</v>
      </c>
      <c r="M206" s="105"/>
      <c r="N206" s="105">
        <v>7.95</v>
      </c>
      <c r="O206" s="105">
        <v>2.65</v>
      </c>
      <c r="P206" s="105"/>
      <c r="Q206" s="105"/>
      <c r="R206" s="105">
        <f>SUM(ППД5[[#This Row],[Лоджия 1]:[Лоджия 3]])</f>
        <v>2.65</v>
      </c>
      <c r="S206" s="8">
        <f>ROUND(SUM(ППД5[[#This Row],[Площадь по проекту жилая]:[Лоджия 3]]),2)</f>
        <v>58.92</v>
      </c>
      <c r="T206" s="8">
        <f>ROUND(ППД5[[#This Row],[Площадь по проекту(общая)]]-ППД5[[#This Row],[Летние]],2)</f>
        <v>56.27</v>
      </c>
      <c r="U206" s="91">
        <f>ROUND(ППД5[[#This Row],[Площадь по проекту(общая)]]-(SUM(ППД5[[#This Row],[Лоджия 1]:[Лоджия 3]])/2),2)</f>
        <v>57.6</v>
      </c>
      <c r="V206" s="91">
        <f>IF(ППД5[[#This Row],[Статус]]="продажа",ППД5[[#This Row],[Расчетная проектная площадь]],ППД5[[#This Row],[Расчетная ТП площадь]])</f>
        <v>57.6</v>
      </c>
      <c r="W206" s="91">
        <v>13</v>
      </c>
      <c r="X206" s="91">
        <v>14.6</v>
      </c>
      <c r="Y206" s="91"/>
      <c r="Z206" s="91">
        <f>SUM(ППД5[[#This Row],[ТП Комната 1]:[ТП Комната 3]])</f>
        <v>27.6</v>
      </c>
      <c r="AA206" s="91">
        <v>14.4</v>
      </c>
      <c r="AB206" s="91">
        <v>2.6</v>
      </c>
      <c r="AC206" s="91">
        <v>3.8</v>
      </c>
      <c r="AD206" s="91"/>
      <c r="AE206" s="91">
        <v>8</v>
      </c>
      <c r="AF206" s="91">
        <v>1.35</v>
      </c>
      <c r="AG206" s="91"/>
      <c r="AH206" s="91"/>
      <c r="AI206" s="91">
        <f>SUM(ППД5[[#This Row],[ТП Лоджия 1]:[ТП Лоджия 3]])</f>
        <v>1.35</v>
      </c>
      <c r="AJ206" s="95">
        <v>2.7</v>
      </c>
      <c r="AK206" s="91">
        <f>SUM(ППД5[[#This Row],[Площадь по ТП жилая]:[ТП Лоджия 3]])-ППД5[[#This Row],[ТП Летние]]+ППД5[[#This Row],[кроме того прочая
(без коэффициента)]]</f>
        <v>59.1</v>
      </c>
      <c r="AL206" s="95">
        <f>ППД5[[#This Row],[ТП Площадь без летних]]+(ППД5[[#This Row],[ТП Летние]])</f>
        <v>57.75</v>
      </c>
      <c r="AM206" s="91">
        <f>ППД5[[#This Row],[ТП общая S]]-ППД5[[#This Row],[кроме того прочая
(без коэффициента)]]</f>
        <v>56.4</v>
      </c>
      <c r="AN206" s="95">
        <f>SUM(ППД5[[#This Row],[ТП Кухня]:[ТП Коридор]])</f>
        <v>28.8</v>
      </c>
      <c r="AO206" s="91">
        <f>ППД5[[#This Row],[Расчетная ТП площадь]]-ППД5[[#This Row],[Расчетная проектная площадь]]</f>
        <v>0.14999999999999858</v>
      </c>
      <c r="AP206" s="335">
        <f>ППД5[[#This Row],[Расчетная ТП площадь]]/ППД5[[#This Row],[Расчетная проектная площадь]]-1</f>
        <v>2.6041666666667407E-3</v>
      </c>
      <c r="AQ206" s="91">
        <f>ППД5[[#This Row],[% расхождения]]*ППД5[[#This Row],[Стоимость до скидки]]</f>
        <v>12648.489010417026</v>
      </c>
      <c r="AR206" s="91">
        <f>VLOOKUP(ППД5[[#This Row],[№]],наценкад5[],COLUMN(наценкад5[[#This Row],[Цена м2 с учетом всех K]]),0)</f>
        <v>80307.864000000001</v>
      </c>
      <c r="AS206" s="8">
        <f>ППД5[[#This Row],[м2 после К]]*5%</f>
        <v>4015.3932000000004</v>
      </c>
      <c r="AT206" s="8">
        <f>ППД5[[#This Row],[м2 после К]]+ППД5[[#This Row],[Повышение 16.08.23 - 5%]]</f>
        <v>84323.257200000007</v>
      </c>
      <c r="AU206" s="93"/>
      <c r="AV206" s="93">
        <f>ППД5[[#This Row],[Фикс 16.08.23]]+ППД5[[#This Row],[Повышение 29.08.23 - 3%]]</f>
        <v>84323.257200000007</v>
      </c>
      <c r="AW206" s="93"/>
      <c r="AX206" s="93">
        <f>ППД5[[#This Row],[Фикс 29.08.23]]+ППД5[[#This Row],[Повышение 06.09.23 СТ и 1К]]</f>
        <v>84323.257200000007</v>
      </c>
      <c r="AY206" s="93"/>
      <c r="AZ206" s="93">
        <f>ППД5[[#This Row],[Повышение 23.10.23  В4 ]]+ППД5[[#This Row],[Фикс 06.09.23]]</f>
        <v>84323.257200000007</v>
      </c>
      <c r="BA206" s="93"/>
      <c r="BB206" s="93">
        <f>ППД5[[#This Row],[Повышение 8.11.23 1К 5%]]+ППД5[[#This Row],[Фикс 23.10.23]]</f>
        <v>84323.257200000007</v>
      </c>
      <c r="BC206" s="93"/>
      <c r="BD206" s="93">
        <f>ППД5[[#This Row],[Корректировка 24.11.23 - 1К В5, 2К А2, №233]]+ППД5[[#This Row],[Фикс 8.11.23]]</f>
        <v>84323.257200000007</v>
      </c>
      <c r="BE206" s="93"/>
      <c r="BF206" s="93">
        <f>ППД5[[#This Row],[Наценка за отделку 29.12.23 1%]]+ППД5[[#This Row],[Фикс 8.11.24]]</f>
        <v>84323.257200000007</v>
      </c>
      <c r="BG206" s="93"/>
      <c r="BH206" s="93">
        <f>ППД5[[#This Row],[Фикс 29.12.23]]+ППД5[[#This Row],[Наценка 10.01.24 5%]]</f>
        <v>84323.257200000007</v>
      </c>
      <c r="BI206" s="93"/>
      <c r="BJ206" s="93">
        <f>ППД5[[#This Row],[Наценка 26.02.24 1 Этаж]]+ППД5[[#This Row],[Фикс 10.01.24]]</f>
        <v>84323.257200000007</v>
      </c>
      <c r="BK206" s="93"/>
      <c r="BL206" s="93">
        <f>ППД5[[#This Row],[Фикс 26.02.24]]+ППД5[[#This Row],[Наценка 06.03.24
СТ, 1К - 3%
2К, 3К - 2%]]</f>
        <v>84323.257200000007</v>
      </c>
      <c r="BM206" s="93"/>
      <c r="BN206" s="93">
        <f>ППД5[[#This Row],[Фикс 06.03.24]]+ППД5[[#This Row],[Наценка Г2+500]]</f>
        <v>84323.257200000007</v>
      </c>
      <c r="BO206" s="93"/>
      <c r="BP206" s="93">
        <f>ППД5[[#This Row],[Фикс 13.03.25]]+ППД5[[#This Row],[Наценка 20.03.24
2К, 3К - 2%]]</f>
        <v>84323.257200000007</v>
      </c>
      <c r="BQ206" s="93"/>
      <c r="BR206" s="93">
        <f>ППД5[[#This Row],[Фикс 20.03.24]]+ППД5[[#This Row],[Наценка 08.04.24 
2К: В3 - 150
3К: Г7 +1000]]</f>
        <v>84323.257200000007</v>
      </c>
      <c r="BS206" s="9"/>
      <c r="BT206" s="93">
        <f>ППД5[[#This Row],[Фикс 08.04.24]]+ППД5[[#This Row],[Наценка 16.05.24 1%
А4,А6,Б3,Б6,Б7,В2,В3,В5,В6,Г1,Г3-Г5]]</f>
        <v>84323.257200000007</v>
      </c>
      <c r="BU206" s="93"/>
      <c r="BV206" s="93">
        <f>ППД5[[#This Row],[Фикс 16.05.24]]+ППД5[[#This Row],[Наценка 24.05.24
1% - Б4, Б5,Г2,Г6
2% - А1,А3,А5,Б2,Г7]]</f>
        <v>84323.257200000007</v>
      </c>
      <c r="BW206" s="93"/>
      <c r="BX206" s="93">
        <f>ППД5[[#This Row],[Наценка 06.06.24
0К: В2,Г3 +0,5%
1К: А7, Б5/4, Г6 +0,5%
3К: В6 +0,5%
1К: А3 +1%]]+ППД5[[#This Row],[Фикс 24.05.24]]</f>
        <v>84323.257200000007</v>
      </c>
      <c r="BY206" s="93"/>
      <c r="BZ206" s="93">
        <f>ППД5[[#This Row],[Фикс 06.06.24]]+ППД5[[#This Row],[13.06.2024
3К - 2%]]</f>
        <v>84323.257200000007</v>
      </c>
      <c r="CA206" s="93"/>
      <c r="CB206" s="93">
        <f>ППД5[[#This Row],[02.07.2024: Г3 А1 А3 Б5 Б7 Г2 Г6 Б3 Б4 В3 Г7 2,5% ост 0,5-1,5%]]+ППД5[[#This Row],[Фикс 13.06.24]]</f>
        <v>84323.257200000007</v>
      </c>
      <c r="CC206" s="93"/>
      <c r="CD206" s="93">
        <f>ППД5[[#This Row],[Фикс 02.07.24]]+ППД5[[#This Row],[04.09.2024 +500
0К - Б2; 1К - А3;
2К - А6, Б4, В3, Г5]]</f>
        <v>84323.257200000007</v>
      </c>
      <c r="CE206" s="93"/>
      <c r="CF206" s="93">
        <f>ППД5[[#This Row],[Наценка 16.09.2024
1К: А1,В7,Г6/7,Г8 - 2%
2К: А4,А5,А6,Б1,Б6,Б3/4,В3,В4,Г4,Г5 - 4%
3К: 4%]]+ППД5[[#This Row],[Фикс 04.09.24]]</f>
        <v>84323.257200000007</v>
      </c>
      <c r="CG206" s="93"/>
      <c r="CH206" s="93">
        <f>ППД5[[#This Row],[Фикс 16.09.2024]]+ППД5[[#This Row],[Наценка 01.11.24
СТ: 4%
1К: 34-40м 5%; 40м+ 8%; МГН 1%
2К: 55-70м 6%; 70-73м 7%; 73-76м 8% 
3К: 5%]]</f>
        <v>84323.257200000007</v>
      </c>
      <c r="CI206" s="93"/>
      <c r="CJ206" s="93">
        <f>ППД5[[#This Row],[Наценка 06.11 13%]]+ППД5[[#This Row],[Фикс 01.11.24]]</f>
        <v>84323.257200000007</v>
      </c>
      <c r="CK206" s="93"/>
      <c r="CL206" s="93">
        <f>ППД5[[#This Row],[Фикс 06.11.24]]+ППД5[[#This Row],[Наценка 18.12.24 распределение КВ]]</f>
        <v>84323.257200000007</v>
      </c>
      <c r="CM206" s="93"/>
      <c r="CN206" s="93">
        <f>ППД5[[#This Row],[Фикс 18.12.24]]+ППД5[[#This Row],[Наценка 10.02.25 +1%
1К: А3
2К: Б3, В3]]</f>
        <v>84323.257200000007</v>
      </c>
      <c r="CO206" s="93">
        <f>ROUND(ППД5[[#This Row],[Фикс 10.02.25]],2)</f>
        <v>84323.26</v>
      </c>
      <c r="CP20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4857019.78</v>
      </c>
      <c r="CQ206" s="93">
        <f>ROUNDUP(ППД5[[#This Row],[Стоимость до скидки]]+ППД5[[#This Row],[Сумма доплаты]],-2)</f>
        <v>4869700</v>
      </c>
      <c r="CR206" s="68"/>
      <c r="CS206" s="90"/>
      <c r="CT206" s="68">
        <f>ППД5[[#This Row],[Стоимость до скидки]]*ППД5[[#This Row],[Скидка %]]+ППД5[[#This Row],[Скидка фиксированная]]</f>
        <v>0</v>
      </c>
      <c r="CU206" s="3">
        <f>ППД5[[#This Row],[Стоимость ОН без отделки со скидкой]]/ППД5[[#This Row],[Расчетная проектная площадь]]</f>
        <v>84323.260069444441</v>
      </c>
      <c r="CV206" s="3">
        <f>ROUND(ППД5[[#This Row],[Стоимость до скидки]]-ППД5[[#This Row],[Итоговая сумма скидки]],2)</f>
        <v>4857019.78</v>
      </c>
      <c r="CW20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06" s="197">
        <v>16000</v>
      </c>
      <c r="CY206" s="332">
        <f>ППД5[[#This Row],[Расхождение]]/ППД5[[#This Row],[Расчетная проектная площадь]]</f>
        <v>2.6041666666666418E-3</v>
      </c>
      <c r="CZ20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0.25000000000000178</v>
      </c>
      <c r="DA206" s="3">
        <f>ППД5[[#This Row],[Цена м2 без отделки со скидкой]]+ППД5[[#This Row],[Стоимость отделки]]</f>
        <v>100323.26006944444</v>
      </c>
      <c r="DB206" s="3">
        <f>ППД5[[#This Row],[Стоимость квартиры с отделкой]]-ППД5[[#This Row],[Стоимость ОН без отделки со скидкой]]</f>
        <v>921600</v>
      </c>
      <c r="DC206" s="3">
        <f>ППД5[[#This Row],[Цена м2 с отделкой]]*ППД5[[#This Row],[Расчетная проектная площадь]]</f>
        <v>5778619.7800000003</v>
      </c>
      <c r="DD206" s="3" t="s">
        <v>154</v>
      </c>
      <c r="DF206" s="199" t="s">
        <v>172</v>
      </c>
      <c r="DG206" s="245" t="s">
        <v>172</v>
      </c>
      <c r="DH206" s="100" t="b">
        <f>EXACT(ППД5[[#This Row],[Статусы CRM]],ППД5[[#This Row],[Статус]])</f>
        <v>1</v>
      </c>
      <c r="DI206" s="213" t="s">
        <v>378</v>
      </c>
      <c r="DJ206" s="204"/>
      <c r="DK206" s="111" t="s">
        <v>76</v>
      </c>
      <c r="DL206" s="216" t="s">
        <v>14</v>
      </c>
      <c r="DM206" s="201" t="b">
        <f>ППД5[[#This Row],[Отделка CRM]]=ППД5[[#This Row],[Отделка]]</f>
        <v>1</v>
      </c>
      <c r="DN206" s="203">
        <v>5778619.7800000003</v>
      </c>
      <c r="DO20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06" s="207" t="b">
        <f>IF(AND(ППД5[[#This Row],[Статус]]="свободно",ППД5[[#This Row],[Итоговая сумма скидки]]&lt;&gt;0),FALSE,TRUE)</f>
        <v>1</v>
      </c>
      <c r="DQ206" s="240">
        <f>_xlfn.XLOOKUP(ППД5[[#This Row],[№]],Юрист[№ кв],Юрист[Дата подачи на регистрацию]," ",0,-1)</f>
        <v>45184</v>
      </c>
      <c r="DR206" s="115" t="str">
        <f>_xlfn.XLOOKUP(ППД5[[#This Row],[№]],Юрист[№ кв],Юрист[МОП],"",0,-1)</f>
        <v>Никишов</v>
      </c>
      <c r="DS206" s="333" t="s">
        <v>2704</v>
      </c>
      <c r="DT206" s="333" t="s">
        <v>2705</v>
      </c>
      <c r="DU206" s="333">
        <v>56.4</v>
      </c>
      <c r="DV206" s="111"/>
    </row>
    <row r="207" spans="1:126" ht="60" hidden="1" x14ac:dyDescent="0.25">
      <c r="A207" s="112">
        <v>205</v>
      </c>
      <c r="B207" s="111" t="s">
        <v>4</v>
      </c>
      <c r="C207" s="111">
        <v>14</v>
      </c>
      <c r="D207" s="111">
        <v>4</v>
      </c>
      <c r="E207" s="111">
        <v>2</v>
      </c>
      <c r="F207" s="105">
        <v>15.45</v>
      </c>
      <c r="G207" s="105">
        <v>14.5</v>
      </c>
      <c r="H207" s="105"/>
      <c r="I207" s="94">
        <f>SUM(ППД5[[#This Row],[Комната 1]:[Комната 3]])</f>
        <v>29.95</v>
      </c>
      <c r="J207" s="105">
        <v>11.95</v>
      </c>
      <c r="K207" s="105">
        <v>3.86</v>
      </c>
      <c r="L207" s="105">
        <v>2.37</v>
      </c>
      <c r="M207" s="105"/>
      <c r="N207" s="105">
        <v>8.8699999999999992</v>
      </c>
      <c r="O207" s="105">
        <v>2.62</v>
      </c>
      <c r="P207" s="105"/>
      <c r="Q207" s="105"/>
      <c r="R207" s="105">
        <f>SUM(ППД5[[#This Row],[Лоджия 1]:[Лоджия 3]])</f>
        <v>2.62</v>
      </c>
      <c r="S207" s="8">
        <f>ROUND(SUM(ППД5[[#This Row],[Площадь по проекту жилая]:[Лоджия 3]]),2)</f>
        <v>59.62</v>
      </c>
      <c r="T207" s="8">
        <f>ROUND(ППД5[[#This Row],[Площадь по проекту(общая)]]-ППД5[[#This Row],[Летние]],2)</f>
        <v>57</v>
      </c>
      <c r="U207" s="91">
        <f>ROUND(ППД5[[#This Row],[Площадь по проекту(общая)]]-(SUM(ППД5[[#This Row],[Лоджия 1]:[Лоджия 3]])/2),2)</f>
        <v>58.31</v>
      </c>
      <c r="V207" s="91">
        <f>IF(ППД5[[#This Row],[Статус]]="продажа",ППД5[[#This Row],[Расчетная проектная площадь]],ППД5[[#This Row],[Расчетная ТП площадь]])</f>
        <v>58.31</v>
      </c>
      <c r="W207" s="91">
        <v>14.5</v>
      </c>
      <c r="X207" s="91">
        <v>15.6</v>
      </c>
      <c r="Y207" s="91"/>
      <c r="Z207" s="91">
        <f>SUM(ППД5[[#This Row],[ТП Комната 1]:[ТП Комната 3]])</f>
        <v>30.1</v>
      </c>
      <c r="AA207" s="91">
        <v>11.8</v>
      </c>
      <c r="AB207" s="91">
        <v>3.9</v>
      </c>
      <c r="AC207" s="91">
        <v>2.4</v>
      </c>
      <c r="AD207" s="91"/>
      <c r="AE207" s="91">
        <v>8.8000000000000007</v>
      </c>
      <c r="AF207" s="91">
        <v>1.3</v>
      </c>
      <c r="AG207" s="91"/>
      <c r="AH207" s="91"/>
      <c r="AI207" s="91">
        <f>SUM(ППД5[[#This Row],[ТП Лоджия 1]:[ТП Лоджия 3]])</f>
        <v>1.3</v>
      </c>
      <c r="AJ207" s="95">
        <v>2.6</v>
      </c>
      <c r="AK207" s="91">
        <f>SUM(ППД5[[#This Row],[Площадь по ТП жилая]:[ТП Лоджия 3]])-ППД5[[#This Row],[ТП Летние]]+ППД5[[#This Row],[кроме того прочая
(без коэффициента)]]</f>
        <v>59.6</v>
      </c>
      <c r="AL207" s="95">
        <f>ППД5[[#This Row],[ТП Площадь без летних]]+(ППД5[[#This Row],[ТП Летние]])</f>
        <v>58.3</v>
      </c>
      <c r="AM207" s="91">
        <f>ППД5[[#This Row],[ТП общая S]]-ППД5[[#This Row],[кроме того прочая
(без коэффициента)]]</f>
        <v>57</v>
      </c>
      <c r="AN207" s="95">
        <f>SUM(ППД5[[#This Row],[ТП Кухня]:[ТП Коридор]])</f>
        <v>26.900000000000002</v>
      </c>
      <c r="AO207" s="91">
        <f>ППД5[[#This Row],[Расчетная ТП площадь]]-ППД5[[#This Row],[Расчетная проектная площадь]]</f>
        <v>-1.0000000000005116E-2</v>
      </c>
      <c r="AP207" s="335">
        <f>ППД5[[#This Row],[Расчетная ТП площадь]]/ППД5[[#This Row],[Расчетная проектная площадь]]-1</f>
        <v>-1.7149717029674161E-4</v>
      </c>
      <c r="AQ207" s="91">
        <f>ППД5[[#This Row],[% расхождения]]*ППД5[[#This Row],[Стоимость до скидки]]</f>
        <v>-881.06671239951004</v>
      </c>
      <c r="AR207" s="91">
        <f>VLOOKUP(ППД5[[#This Row],[№]],наценкад5[],COLUMN(наценкад5[[#This Row],[Цена м2 с учетом всех K]]),0)</f>
        <v>81466.150500000003</v>
      </c>
      <c r="AS207" s="8">
        <f>ППД5[[#This Row],[м2 после К]]*5%</f>
        <v>4073.3075250000002</v>
      </c>
      <c r="AT207" s="8">
        <f>ППД5[[#This Row],[м2 после К]]+ППД5[[#This Row],[Повышение 16.08.23 - 5%]]</f>
        <v>85539.458025</v>
      </c>
      <c r="AU207" s="93">
        <f>ППД5[[#This Row],[Фикс 16.08.23]]*3%</f>
        <v>2566.1837407499997</v>
      </c>
      <c r="AV207" s="93">
        <f>ППД5[[#This Row],[Фикс 16.08.23]]+ППД5[[#This Row],[Повышение 29.08.23 - 3%]]</f>
        <v>88105.641765749999</v>
      </c>
      <c r="AW207" s="93"/>
      <c r="AX207" s="93">
        <f>ППД5[[#This Row],[Фикс 29.08.23]]+ППД5[[#This Row],[Повышение 06.09.23 СТ и 1К]]</f>
        <v>88105.641765749999</v>
      </c>
      <c r="AY207" s="93"/>
      <c r="AZ207" s="93">
        <f>ППД5[[#This Row],[Повышение 23.10.23  В4 ]]+ППД5[[#This Row],[Фикс 06.09.23]]</f>
        <v>88105.641765749999</v>
      </c>
      <c r="BA207" s="93"/>
      <c r="BB207" s="93">
        <f>ППД5[[#This Row],[Повышение 8.11.23 1К 5%]]+ППД5[[#This Row],[Фикс 23.10.23]]</f>
        <v>88105.641765749999</v>
      </c>
      <c r="BC207" s="93"/>
      <c r="BD207" s="93">
        <f>ППД5[[#This Row],[Корректировка 24.11.23 - 1К В5, 2К А2, №233]]+ППД5[[#This Row],[Фикс 8.11.23]]</f>
        <v>88105.641765749999</v>
      </c>
      <c r="BE207" s="93"/>
      <c r="BF207" s="93">
        <f>ППД5[[#This Row],[Наценка за отделку 29.12.23 1%]]+ППД5[[#This Row],[Фикс 8.11.24]]</f>
        <v>88105.641765749999</v>
      </c>
      <c r="BG207" s="93"/>
      <c r="BH207" s="93">
        <f>ППД5[[#This Row],[Фикс 29.12.23]]+ППД5[[#This Row],[Наценка 10.01.24 5%]]</f>
        <v>88105.641765749999</v>
      </c>
      <c r="BI207" s="93"/>
      <c r="BJ207" s="93">
        <f>ППД5[[#This Row],[Наценка 26.02.24 1 Этаж]]+ППД5[[#This Row],[Фикс 10.01.24]]</f>
        <v>88105.641765749999</v>
      </c>
      <c r="BK207" s="93"/>
      <c r="BL207" s="93">
        <f>ППД5[[#This Row],[Фикс 26.02.24]]+ППД5[[#This Row],[Наценка 06.03.24
СТ, 1К - 3%
2К, 3К - 2%]]</f>
        <v>88105.641765749999</v>
      </c>
      <c r="BM207" s="93"/>
      <c r="BN207" s="93">
        <f>ППД5[[#This Row],[Фикс 06.03.24]]+ППД5[[#This Row],[Наценка Г2+500]]</f>
        <v>88105.641765749999</v>
      </c>
      <c r="BO207" s="93"/>
      <c r="BP207" s="93">
        <f>ППД5[[#This Row],[Фикс 13.03.25]]+ППД5[[#This Row],[Наценка 20.03.24
2К, 3К - 2%]]</f>
        <v>88105.641765749999</v>
      </c>
      <c r="BQ207" s="93"/>
      <c r="BR207" s="93">
        <f>ППД5[[#This Row],[Фикс 20.03.24]]+ППД5[[#This Row],[Наценка 08.04.24 
2К: В3 - 150
3К: Г7 +1000]]</f>
        <v>88105.641765749999</v>
      </c>
      <c r="BS207" s="93"/>
      <c r="BT207" s="93">
        <f>ППД5[[#This Row],[Фикс 08.04.24]]+ППД5[[#This Row],[Наценка 16.05.24 1%
А4,А6,Б3,Б6,Б7,В2,В3,В5,В6,Г1,Г3-Г5]]</f>
        <v>88105.641765749999</v>
      </c>
      <c r="BU207" s="93"/>
      <c r="BV207" s="93">
        <f>ППД5[[#This Row],[Фикс 16.05.24]]+ППД5[[#This Row],[Наценка 24.05.24
1% - Б4, Б5,Г2,Г6
2% - А1,А3,А5,Б2,Г7]]</f>
        <v>88105.641765749999</v>
      </c>
      <c r="BW207" s="93"/>
      <c r="BX207" s="93">
        <f>ППД5[[#This Row],[Наценка 06.06.24
0К: В2,Г3 +0,5%
1К: А7, Б5/4, Г6 +0,5%
3К: В6 +0,5%
1К: А3 +1%]]+ППД5[[#This Row],[Фикс 24.05.24]]</f>
        <v>88105.641765749999</v>
      </c>
      <c r="BY207" s="93"/>
      <c r="BZ207" s="93">
        <f>ППД5[[#This Row],[Фикс 06.06.24]]+ППД5[[#This Row],[13.06.2024
3К - 2%]]</f>
        <v>88105.641765749999</v>
      </c>
      <c r="CA207" s="93"/>
      <c r="CB207" s="93">
        <f>ППД5[[#This Row],[02.07.2024: Г3 А1 А3 Б5 Б7 Г2 Г6 Б3 Б4 В3 Г7 2,5% ост 0,5-1,5%]]+ППД5[[#This Row],[Фикс 13.06.24]]</f>
        <v>88105.641765749999</v>
      </c>
      <c r="CC207" s="93"/>
      <c r="CD207" s="93">
        <f>ППД5[[#This Row],[Фикс 02.07.24]]+ППД5[[#This Row],[04.09.2024 +500
0К - Б2; 1К - А3;
2К - А6, Б4, В3, Г5]]</f>
        <v>88105.641765749999</v>
      </c>
      <c r="CE207" s="93"/>
      <c r="CF207" s="93">
        <f>ППД5[[#This Row],[Наценка 16.09.2024
1К: А1,В7,Г6/7,Г8 - 2%
2К: А4,А5,А6,Б1,Б6,Б3/4,В3,В4,Г4,Г5 - 4%
3К: 4%]]+ППД5[[#This Row],[Фикс 04.09.24]]</f>
        <v>88105.641765749999</v>
      </c>
      <c r="CG207" s="93"/>
      <c r="CH207" s="93">
        <f>ППД5[[#This Row],[Фикс 16.09.2024]]+ППД5[[#This Row],[Наценка 01.11.24
СТ: 4%
1К: 34-40м 5%; 40м+ 8%; МГН 1%
2К: 55-70м 6%; 70-73м 7%; 73-76м 8% 
3К: 5%]]</f>
        <v>88105.641765749999</v>
      </c>
      <c r="CI207" s="93"/>
      <c r="CJ207" s="93">
        <f>ППД5[[#This Row],[Наценка 06.11 13%]]+ППД5[[#This Row],[Фикс 01.11.24]]</f>
        <v>88105.641765749999</v>
      </c>
      <c r="CK207" s="93"/>
      <c r="CL207" s="93">
        <f>ППД5[[#This Row],[Фикс 06.11.24]]+ППД5[[#This Row],[Наценка 18.12.24 распределение КВ]]</f>
        <v>88105.641765749999</v>
      </c>
      <c r="CM207" s="93"/>
      <c r="CN207" s="93">
        <f>ППД5[[#This Row],[Фикс 18.12.24]]+ППД5[[#This Row],[Наценка 10.02.25 +1%
1К: А3
2К: Б3, В3]]</f>
        <v>88105.641765749999</v>
      </c>
      <c r="CO207" s="93">
        <f>ROUND(ППД5[[#This Row],[Фикс 10.02.25]],2)</f>
        <v>88105.64</v>
      </c>
      <c r="CP20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5137500</v>
      </c>
      <c r="CQ207" s="93">
        <f>ROUNDUP(ППД5[[#This Row],[Стоимость до скидки]]+ППД5[[#This Row],[Сумма доплаты]],-2)</f>
        <v>5136700</v>
      </c>
      <c r="CR207" s="68"/>
      <c r="CS207" s="90">
        <v>0.05</v>
      </c>
      <c r="CT207" s="68">
        <f>ППД5[[#This Row],[Стоимость до скидки]]*ППД5[[#This Row],[Скидка %]]+ППД5[[#This Row],[Скидка фиксированная]]</f>
        <v>256875</v>
      </c>
      <c r="CU207" s="3">
        <f>ППД5[[#This Row],[Стоимость ОН без отделки со скидкой]]/ППД5[[#This Row],[Расчетная проектная площадь]]</f>
        <v>83701.337677928313</v>
      </c>
      <c r="CV207" s="3">
        <f>ROUND(ППД5[[#This Row],[Стоимость до скидки]]-ППД5[[#This Row],[Итоговая сумма скидки]],2)</f>
        <v>4880625</v>
      </c>
      <c r="CW20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07" s="197">
        <v>7500</v>
      </c>
      <c r="CY207" s="332">
        <f>ППД5[[#This Row],[Расхождение]]/ППД5[[#This Row],[Расчетная проектная площадь]]</f>
        <v>-1.7149717029677785E-4</v>
      </c>
      <c r="CZ20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-0.14999999999999858</v>
      </c>
      <c r="DA207" s="3">
        <f>ППД5[[#This Row],[Цена м2 без отделки со скидкой]]+ППД5[[#This Row],[Стоимость отделки]]</f>
        <v>91201.337677928313</v>
      </c>
      <c r="DB207" s="3">
        <f>ППД5[[#This Row],[Стоимость квартиры с отделкой]]-ППД5[[#This Row],[Стоимость ОН без отделки со скидкой]]</f>
        <v>437325</v>
      </c>
      <c r="DC207" s="3">
        <f>ППД5[[#This Row],[Цена м2 с отделкой]]*ППД5[[#This Row],[Расчетная проектная площадь]]</f>
        <v>5317950</v>
      </c>
      <c r="DD207" s="3"/>
      <c r="DE207" s="200" t="s">
        <v>768</v>
      </c>
      <c r="DF207" s="199" t="s">
        <v>172</v>
      </c>
      <c r="DG207" s="245" t="s">
        <v>172</v>
      </c>
      <c r="DH207" s="100" t="b">
        <f>EXACT(ППД5[[#This Row],[Статусы CRM]],ППД5[[#This Row],[Статус]])</f>
        <v>1</v>
      </c>
      <c r="DI207" s="213" t="s">
        <v>379</v>
      </c>
      <c r="DJ207" s="204"/>
      <c r="DK207" s="111" t="s">
        <v>763</v>
      </c>
      <c r="DL207" s="216" t="s">
        <v>14</v>
      </c>
      <c r="DM207" s="201" t="b">
        <f>ППД5[[#This Row],[Отделка CRM]]=ППД5[[#This Row],[Отделка]]</f>
        <v>1</v>
      </c>
      <c r="DN207" s="203">
        <v>5317950</v>
      </c>
      <c r="DO20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07" s="207" t="b">
        <f>IF(AND(ППД5[[#This Row],[Статус]]="свободно",ППД5[[#This Row],[Итоговая сумма скидки]]&lt;&gt;0),FALSE,TRUE)</f>
        <v>1</v>
      </c>
      <c r="DQ207" s="240">
        <f>_xlfn.XLOOKUP(ППД5[[#This Row],[№]],Юрист[№ кв],Юрист[Дата подачи на регистрацию]," ",0,-1)</f>
        <v>45275</v>
      </c>
      <c r="DR207" s="115" t="str">
        <f>_xlfn.XLOOKUP(ППД5[[#This Row],[№]],Юрист[№ кв],Юрист[МОП],"",0,-1)</f>
        <v>Дик</v>
      </c>
      <c r="DS207" s="333" t="s">
        <v>2706</v>
      </c>
      <c r="DT207" s="333" t="s">
        <v>2707</v>
      </c>
      <c r="DU207" s="333">
        <v>57</v>
      </c>
      <c r="DV207" s="111"/>
    </row>
    <row r="208" spans="1:126" hidden="1" x14ac:dyDescent="0.25">
      <c r="A208" s="112">
        <v>206</v>
      </c>
      <c r="B208" s="111" t="s">
        <v>4</v>
      </c>
      <c r="C208" s="111">
        <v>14</v>
      </c>
      <c r="D208" s="111">
        <v>5</v>
      </c>
      <c r="E208" s="111">
        <v>1</v>
      </c>
      <c r="F208" s="105">
        <v>12.06</v>
      </c>
      <c r="G208" s="105"/>
      <c r="H208" s="105"/>
      <c r="I208" s="94">
        <f>SUM(ППД5[[#This Row],[Комната 1]:[Комната 3]])</f>
        <v>12.06</v>
      </c>
      <c r="J208" s="105">
        <v>13.18</v>
      </c>
      <c r="K208" s="105">
        <v>4.1100000000000003</v>
      </c>
      <c r="L208" s="105"/>
      <c r="M208" s="105"/>
      <c r="N208" s="105">
        <v>7.09</v>
      </c>
      <c r="O208" s="105">
        <v>2.84</v>
      </c>
      <c r="P208" s="105"/>
      <c r="Q208" s="105"/>
      <c r="R208" s="105">
        <f>SUM(ППД5[[#This Row],[Лоджия 1]:[Лоджия 3]])</f>
        <v>2.84</v>
      </c>
      <c r="S208" s="8">
        <f>ROUND(SUM(ППД5[[#This Row],[Площадь по проекту жилая]:[Лоджия 3]]),2)</f>
        <v>39.28</v>
      </c>
      <c r="T208" s="8">
        <f>ROUND(ППД5[[#This Row],[Площадь по проекту(общая)]]-ППД5[[#This Row],[Летние]],2)</f>
        <v>36.44</v>
      </c>
      <c r="U208" s="91">
        <f>ROUND(ППД5[[#This Row],[Площадь по проекту(общая)]]-(SUM(ППД5[[#This Row],[Лоджия 1]:[Лоджия 3]])/2),2)</f>
        <v>37.86</v>
      </c>
      <c r="V208" s="91">
        <f>IF(ППД5[[#This Row],[Статус]]="продажа",ППД5[[#This Row],[Расчетная проектная площадь]],ППД5[[#This Row],[Расчетная ТП площадь]])</f>
        <v>37.86</v>
      </c>
      <c r="W208" s="91">
        <v>12.6</v>
      </c>
      <c r="X208" s="91"/>
      <c r="Y208" s="91"/>
      <c r="Z208" s="91">
        <f>SUM(ППД5[[#This Row],[ТП Комната 1]:[ТП Комната 3]])</f>
        <v>12.6</v>
      </c>
      <c r="AA208" s="91">
        <v>12.5</v>
      </c>
      <c r="AB208" s="91">
        <v>4.0999999999999996</v>
      </c>
      <c r="AC208" s="91"/>
      <c r="AD208" s="91"/>
      <c r="AE208" s="91">
        <v>7</v>
      </c>
      <c r="AF208" s="91">
        <v>1.45</v>
      </c>
      <c r="AG208" s="91"/>
      <c r="AH208" s="91"/>
      <c r="AI208" s="91">
        <f>SUM(ППД5[[#This Row],[ТП Лоджия 1]:[ТП Лоджия 3]])</f>
        <v>1.45</v>
      </c>
      <c r="AJ208" s="95">
        <v>2.9</v>
      </c>
      <c r="AK208" s="91">
        <f>SUM(ППД5[[#This Row],[Площадь по ТП жилая]:[ТП Лоджия 3]])-ППД5[[#This Row],[ТП Летние]]+ППД5[[#This Row],[кроме того прочая
(без коэффициента)]]</f>
        <v>39.1</v>
      </c>
      <c r="AL208" s="95">
        <f>ППД5[[#This Row],[ТП Площадь без летних]]+(ППД5[[#This Row],[ТП Летние]])</f>
        <v>37.650000000000006</v>
      </c>
      <c r="AM208" s="91">
        <f>ППД5[[#This Row],[ТП общая S]]-ППД5[[#This Row],[кроме того прочая
(без коэффициента)]]</f>
        <v>36.200000000000003</v>
      </c>
      <c r="AN208" s="95">
        <f>SUM(ППД5[[#This Row],[ТП Кухня]:[ТП Коридор]])</f>
        <v>23.6</v>
      </c>
      <c r="AO208" s="91">
        <f>ППД5[[#This Row],[Расчетная ТП площадь]]-ППД5[[#This Row],[Расчетная проектная площадь]]</f>
        <v>-0.20999999999999375</v>
      </c>
      <c r="AP208" s="335">
        <f>ППД5[[#This Row],[Расчетная ТП площадь]]/ППД5[[#This Row],[Расчетная проектная площадь]]-1</f>
        <v>-5.5467511885893828E-3</v>
      </c>
      <c r="AQ208" s="91">
        <f>ППД5[[#This Row],[% расхождения]]*ППД5[[#This Row],[Стоимость до скидки]]</f>
        <v>-18736.987527733225</v>
      </c>
      <c r="AR208" s="91">
        <f>VLOOKUP(ППД5[[#This Row],[№]],наценкад5[],COLUMN(наценкад5[[#This Row],[Цена м2 с учетом всех K]]),0)</f>
        <v>89223.75</v>
      </c>
      <c r="AS208" s="8"/>
      <c r="AT208" s="8">
        <f>ППД5[[#This Row],[м2 после К]]+ППД5[[#This Row],[Повышение 16.08.23 - 5%]]</f>
        <v>89223.75</v>
      </c>
      <c r="AU208" s="93"/>
      <c r="AV208" s="93">
        <f>ППД5[[#This Row],[Фикс 16.08.23]]+ППД5[[#This Row],[Повышение 29.08.23 - 3%]]</f>
        <v>89223.75</v>
      </c>
      <c r="AW208" s="93"/>
      <c r="AX208" s="93">
        <f>ППД5[[#This Row],[Фикс 29.08.23]]+ППД5[[#This Row],[Повышение 06.09.23 СТ и 1К]]</f>
        <v>89223.75</v>
      </c>
      <c r="AY208" s="93"/>
      <c r="AZ208" s="93">
        <f>ППД5[[#This Row],[Повышение 23.10.23  В4 ]]+ППД5[[#This Row],[Фикс 06.09.23]]</f>
        <v>89223.75</v>
      </c>
      <c r="BA208" s="93"/>
      <c r="BB208" s="93">
        <f>ППД5[[#This Row],[Повышение 8.11.23 1К 5%]]+ППД5[[#This Row],[Фикс 23.10.23]]</f>
        <v>89223.75</v>
      </c>
      <c r="BC208" s="93"/>
      <c r="BD208" s="93">
        <f>ППД5[[#This Row],[Корректировка 24.11.23 - 1К В5, 2К А2, №233]]+ППД5[[#This Row],[Фикс 8.11.23]]</f>
        <v>89223.75</v>
      </c>
      <c r="BE208" s="93"/>
      <c r="BF208" s="93">
        <f>ППД5[[#This Row],[Наценка за отделку 29.12.23 1%]]+ППД5[[#This Row],[Фикс 8.11.24]]</f>
        <v>89223.75</v>
      </c>
      <c r="BG208" s="93"/>
      <c r="BH208" s="93">
        <f>ППД5[[#This Row],[Фикс 29.12.23]]+ППД5[[#This Row],[Наценка 10.01.24 5%]]</f>
        <v>89223.75</v>
      </c>
      <c r="BI208" s="93"/>
      <c r="BJ208" s="93">
        <f>ППД5[[#This Row],[Наценка 26.02.24 1 Этаж]]+ППД5[[#This Row],[Фикс 10.01.24]]</f>
        <v>89223.75</v>
      </c>
      <c r="BK208" s="93"/>
      <c r="BL208" s="93">
        <f>ППД5[[#This Row],[Фикс 26.02.24]]+ППД5[[#This Row],[Наценка 06.03.24
СТ, 1К - 3%
2К, 3К - 2%]]</f>
        <v>89223.75</v>
      </c>
      <c r="BM208" s="93"/>
      <c r="BN208" s="93">
        <f>ППД5[[#This Row],[Фикс 06.03.24]]+ППД5[[#This Row],[Наценка Г2+500]]</f>
        <v>89223.75</v>
      </c>
      <c r="BO208" s="93"/>
      <c r="BP208" s="93">
        <f>ППД5[[#This Row],[Фикс 13.03.25]]+ППД5[[#This Row],[Наценка 20.03.24
2К, 3К - 2%]]</f>
        <v>89223.75</v>
      </c>
      <c r="BQ208" s="93"/>
      <c r="BR208" s="93">
        <f>ППД5[[#This Row],[Фикс 20.03.24]]+ППД5[[#This Row],[Наценка 08.04.24 
2К: В3 - 150
3К: Г7 +1000]]</f>
        <v>89223.75</v>
      </c>
      <c r="BS208" s="93"/>
      <c r="BT208" s="93">
        <f>ППД5[[#This Row],[Фикс 08.04.24]]+ППД5[[#This Row],[Наценка 16.05.24 1%
А4,А6,Б3,Б6,Б7,В2,В3,В5,В6,Г1,Г3-Г5]]</f>
        <v>89223.75</v>
      </c>
      <c r="BU208" s="93"/>
      <c r="BV208" s="93">
        <f>ППД5[[#This Row],[Фикс 16.05.24]]+ППД5[[#This Row],[Наценка 24.05.24
1% - Б4, Б5,Г2,Г6
2% - А1,А3,А5,Б2,Г7]]</f>
        <v>89223.75</v>
      </c>
      <c r="BW208" s="93"/>
      <c r="BX208" s="93">
        <f>ППД5[[#This Row],[Наценка 06.06.24
0К: В2,Г3 +0,5%
1К: А7, Б5/4, Г6 +0,5%
3К: В6 +0,5%
1К: А3 +1%]]+ППД5[[#This Row],[Фикс 24.05.24]]</f>
        <v>89223.75</v>
      </c>
      <c r="BY208" s="93"/>
      <c r="BZ208" s="93">
        <f>ППД5[[#This Row],[Фикс 06.06.24]]+ППД5[[#This Row],[13.06.2024
3К - 2%]]</f>
        <v>89223.75</v>
      </c>
      <c r="CA208" s="93"/>
      <c r="CB208" s="93">
        <f>ППД5[[#This Row],[02.07.2024: Г3 А1 А3 Б5 Б7 Г2 Г6 Б3 Б4 В3 Г7 2,5% ост 0,5-1,5%]]+ППД5[[#This Row],[Фикс 13.06.24]]</f>
        <v>89223.75</v>
      </c>
      <c r="CC208" s="93"/>
      <c r="CD208" s="93">
        <f>ППД5[[#This Row],[Фикс 02.07.24]]+ППД5[[#This Row],[04.09.2024 +500
0К - Б2; 1К - А3;
2К - А6, Б4, В3, Г5]]</f>
        <v>89223.75</v>
      </c>
      <c r="CE208" s="93"/>
      <c r="CF208" s="93">
        <f>ППД5[[#This Row],[Наценка 16.09.2024
1К: А1,В7,Г6/7,Г8 - 2%
2К: А4,А5,А6,Б1,Б6,Б3/4,В3,В4,Г4,Г5 - 4%
3К: 4%]]+ППД5[[#This Row],[Фикс 04.09.24]]</f>
        <v>89223.75</v>
      </c>
      <c r="CG208" s="93"/>
      <c r="CH208" s="93">
        <f>ППД5[[#This Row],[Фикс 16.09.2024]]+ППД5[[#This Row],[Наценка 01.11.24
СТ: 4%
1К: 34-40м 5%; 40м+ 8%; МГН 1%
2К: 55-70м 6%; 70-73м 7%; 73-76м 8% 
3К: 5%]]</f>
        <v>89223.75</v>
      </c>
      <c r="CI208" s="93"/>
      <c r="CJ208" s="93">
        <f>ППД5[[#This Row],[Наценка 06.11 13%]]+ППД5[[#This Row],[Фикс 01.11.24]]</f>
        <v>89223.75</v>
      </c>
      <c r="CK208" s="93"/>
      <c r="CL208" s="93">
        <f>ППД5[[#This Row],[Фикс 06.11.24]]+ППД5[[#This Row],[Наценка 18.12.24 распределение КВ]]</f>
        <v>89223.75</v>
      </c>
      <c r="CM208" s="93"/>
      <c r="CN208" s="93">
        <f>ППД5[[#This Row],[Фикс 18.12.24]]+ППД5[[#This Row],[Наценка 10.02.25 +1%
1К: А3
2К: Б3, В3]]</f>
        <v>89223.75</v>
      </c>
      <c r="CO208" s="93">
        <f>ROUND(ППД5[[#This Row],[Фикс 10.02.25]],2)</f>
        <v>89223.75</v>
      </c>
      <c r="CP20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3378011.18</v>
      </c>
      <c r="CQ208" s="93">
        <f>ROUNDUP(ППД5[[#This Row],[Стоимость до скидки]]+ППД5[[#This Row],[Сумма доплаты]],-2)</f>
        <v>3359300</v>
      </c>
      <c r="CR208" s="68"/>
      <c r="CS208" s="90"/>
      <c r="CT208" s="68">
        <f>ППД5[[#This Row],[Стоимость до скидки]]*ППД5[[#This Row],[Скидка %]]+ППД5[[#This Row],[Скидка фиксированная]]</f>
        <v>0</v>
      </c>
      <c r="CU208" s="3">
        <f>ППД5[[#This Row],[Стоимость ОН без отделки со скидкой]]/ППД5[[#This Row],[Расчетная проектная площадь]]</f>
        <v>89223.750132065514</v>
      </c>
      <c r="CV208" s="3">
        <f>ROUND(ППД5[[#This Row],[Стоимость до скидки]]-ППД5[[#This Row],[Итоговая сумма скидки]],2)</f>
        <v>3378011.18</v>
      </c>
      <c r="CW20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208" s="197">
        <v>4500</v>
      </c>
      <c r="CY208" s="332">
        <f>ППД5[[#This Row],[Расхождение]]/ППД5[[#This Row],[Расчетная проектная площадь]]</f>
        <v>-5.546751188589375E-3</v>
      </c>
      <c r="CZ20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-0.77999999999999758</v>
      </c>
      <c r="DA208" s="3">
        <f>ППД5[[#This Row],[Цена м2 без отделки со скидкой]]+ППД5[[#This Row],[Стоимость отделки]]</f>
        <v>93723.750132065514</v>
      </c>
      <c r="DB208" s="3">
        <f>ППД5[[#This Row],[Стоимость квартиры с отделкой]]-ППД5[[#This Row],[Стоимость ОН без отделки со скидкой]]</f>
        <v>170370</v>
      </c>
      <c r="DC208" s="3">
        <f>ППД5[[#This Row],[Цена м2 с отделкой]]*ППД5[[#This Row],[Расчетная проектная площадь]]</f>
        <v>3548381.18</v>
      </c>
      <c r="DD208" s="3"/>
      <c r="DF208" s="199" t="s">
        <v>172</v>
      </c>
      <c r="DG208" s="245" t="s">
        <v>172</v>
      </c>
      <c r="DH208" s="100" t="b">
        <f>EXACT(ППД5[[#This Row],[Статусы CRM]],ППД5[[#This Row],[Статус]])</f>
        <v>1</v>
      </c>
      <c r="DI208" s="213" t="s">
        <v>380</v>
      </c>
      <c r="DJ208" s="204"/>
      <c r="DK208" s="111" t="s">
        <v>76</v>
      </c>
      <c r="DL208" s="216" t="s">
        <v>13</v>
      </c>
      <c r="DM208" s="201" t="b">
        <f>ППД5[[#This Row],[Отделка CRM]]=ППД5[[#This Row],[Отделка]]</f>
        <v>1</v>
      </c>
      <c r="DN208" s="203">
        <v>3548381.18</v>
      </c>
      <c r="DO20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08" s="207" t="b">
        <f>IF(AND(ППД5[[#This Row],[Статус]]="свободно",ППД5[[#This Row],[Итоговая сумма скидки]]&lt;&gt;0),FALSE,TRUE)</f>
        <v>1</v>
      </c>
      <c r="DQ208" s="240">
        <f>_xlfn.XLOOKUP(ППД5[[#This Row],[№]],Юрист[№ кв],Юрист[Дата подачи на регистрацию]," ",0,-1)</f>
        <v>45184</v>
      </c>
      <c r="DR208" s="115" t="str">
        <f>_xlfn.XLOOKUP(ППД5[[#This Row],[№]],Юрист[№ кв],Юрист[МОП],"",0,-1)</f>
        <v>Никишов</v>
      </c>
      <c r="DS208" s="333" t="s">
        <v>2708</v>
      </c>
      <c r="DT208" s="333" t="s">
        <v>2709</v>
      </c>
      <c r="DU208" s="333">
        <v>36.200000000000003</v>
      </c>
      <c r="DV208" s="111"/>
    </row>
    <row r="209" spans="1:126" hidden="1" x14ac:dyDescent="0.25">
      <c r="A209" s="112">
        <v>207</v>
      </c>
      <c r="B209" s="111" t="s">
        <v>4</v>
      </c>
      <c r="C209" s="111">
        <v>14</v>
      </c>
      <c r="D209" s="111">
        <v>6</v>
      </c>
      <c r="E209" s="111">
        <v>3</v>
      </c>
      <c r="F209" s="105">
        <v>17.89</v>
      </c>
      <c r="G209" s="105">
        <v>17.2</v>
      </c>
      <c r="H209" s="105">
        <v>14.31</v>
      </c>
      <c r="I209" s="94">
        <f>SUM(ППД5[[#This Row],[Комната 1]:[Комната 3]])</f>
        <v>49.400000000000006</v>
      </c>
      <c r="J209" s="105">
        <v>13.39</v>
      </c>
      <c r="K209" s="105">
        <v>4.2</v>
      </c>
      <c r="L209" s="105">
        <v>2.0499999999999998</v>
      </c>
      <c r="M209" s="105"/>
      <c r="N209" s="105">
        <v>13.21</v>
      </c>
      <c r="O209" s="105">
        <v>2.79</v>
      </c>
      <c r="P209" s="105">
        <v>2.68</v>
      </c>
      <c r="Q209" s="105"/>
      <c r="R209" s="105">
        <f>SUM(ППД5[[#This Row],[Лоджия 1]:[Лоджия 3]])</f>
        <v>5.4700000000000006</v>
      </c>
      <c r="S209" s="8">
        <f>ROUND(SUM(ППД5[[#This Row],[Площадь по проекту жилая]:[Лоджия 3]]),2)</f>
        <v>87.72</v>
      </c>
      <c r="T209" s="8">
        <f>ROUND(ППД5[[#This Row],[Площадь по проекту(общая)]]-ППД5[[#This Row],[Летние]],2)</f>
        <v>82.25</v>
      </c>
      <c r="U209" s="91">
        <f>ROUND(ППД5[[#This Row],[Площадь по проекту(общая)]]-(SUM(ППД5[[#This Row],[Лоджия 1]:[Лоджия 3]])/2),2)</f>
        <v>84.99</v>
      </c>
      <c r="V209" s="91">
        <f>IF(ППД5[[#This Row],[Статус]]="продажа",ППД5[[#This Row],[Расчетная проектная площадь]],ППД5[[#This Row],[Расчетная ТП площадь]])</f>
        <v>84.99</v>
      </c>
      <c r="W209" s="91">
        <v>14.3</v>
      </c>
      <c r="X209" s="91">
        <v>17.899999999999999</v>
      </c>
      <c r="Y209" s="91">
        <v>17.3</v>
      </c>
      <c r="Z209" s="91">
        <f>SUM(ППД5[[#This Row],[ТП Комната 1]:[ТП Комната 3]])</f>
        <v>49.5</v>
      </c>
      <c r="AA209" s="91">
        <v>13.3</v>
      </c>
      <c r="AB209" s="91">
        <v>4.0999999999999996</v>
      </c>
      <c r="AC209" s="91">
        <v>2.1</v>
      </c>
      <c r="AD209" s="91"/>
      <c r="AE209" s="91">
        <v>13</v>
      </c>
      <c r="AF209" s="91">
        <v>1.4</v>
      </c>
      <c r="AG209" s="92">
        <v>1.35</v>
      </c>
      <c r="AH209" s="91"/>
      <c r="AI209" s="91">
        <f>SUM(ППД5[[#This Row],[ТП Лоджия 1]:[ТП Лоджия 3]])</f>
        <v>2.75</v>
      </c>
      <c r="AJ209" s="95">
        <v>5.5</v>
      </c>
      <c r="AK209" s="91">
        <f>SUM(ППД5[[#This Row],[Площадь по ТП жилая]:[ТП Лоджия 3]])-ППД5[[#This Row],[ТП Летние]]+ППД5[[#This Row],[кроме того прочая
(без коэффициента)]]</f>
        <v>87.499999999999986</v>
      </c>
      <c r="AL209" s="95">
        <f>ППД5[[#This Row],[ТП Площадь без летних]]+(ППД5[[#This Row],[ТП Летние]])</f>
        <v>84.749999999999986</v>
      </c>
      <c r="AM209" s="91">
        <f>ППД5[[#This Row],[ТП общая S]]-ППД5[[#This Row],[кроме того прочая
(без коэффициента)]]</f>
        <v>81.999999999999986</v>
      </c>
      <c r="AN209" s="95">
        <f>SUM(ППД5[[#This Row],[ТП Кухня]:[ТП Коридор]])</f>
        <v>32.5</v>
      </c>
      <c r="AO209" s="91">
        <f>ППД5[[#This Row],[Расчетная ТП площадь]]-ППД5[[#This Row],[Расчетная проектная площадь]]</f>
        <v>-0.24000000000000909</v>
      </c>
      <c r="AP209" s="335">
        <f>ППД5[[#This Row],[Расчетная ТП площадь]]/ППД5[[#This Row],[Расчетная проектная площадь]]-1</f>
        <v>-2.8238616307801889E-3</v>
      </c>
      <c r="AQ209" s="91">
        <f>ППД5[[#This Row],[% расхождения]]*ППД5[[#This Row],[Стоимость до скидки]]</f>
        <v>-21690.928344511864</v>
      </c>
      <c r="AR209" s="91">
        <f>VLOOKUP(ППД5[[#This Row],[№]],наценкад5[],COLUMN(наценкад5[[#This Row],[Цена м2 с учетом всех K]]),0)</f>
        <v>73520.37000000001</v>
      </c>
      <c r="AS209" s="8">
        <f>ППД5[[#This Row],[м2 после К]]*5%</f>
        <v>3676.0185000000006</v>
      </c>
      <c r="AT209" s="8">
        <f>ППД5[[#This Row],[м2 после К]]+ППД5[[#This Row],[Повышение 16.08.23 - 5%]]</f>
        <v>77196.388500000015</v>
      </c>
      <c r="AU209" s="93">
        <f>ППД5[[#This Row],[Фикс 16.08.23]]*3%</f>
        <v>2315.8916550000004</v>
      </c>
      <c r="AV209" s="93">
        <f>ППД5[[#This Row],[Фикс 16.08.23]]+ППД5[[#This Row],[Повышение 29.08.23 - 3%]]</f>
        <v>79512.280155000015</v>
      </c>
      <c r="AW209" s="93"/>
      <c r="AX209" s="93">
        <f>ППД5[[#This Row],[Фикс 29.08.23]]+ППД5[[#This Row],[Повышение 06.09.23 СТ и 1К]]</f>
        <v>79512.280155000015</v>
      </c>
      <c r="AY209" s="93"/>
      <c r="AZ209" s="93">
        <f>ППД5[[#This Row],[Повышение 23.10.23  В4 ]]+ППД5[[#This Row],[Фикс 06.09.23]]</f>
        <v>79512.280155000015</v>
      </c>
      <c r="BA209" s="93"/>
      <c r="BB209" s="93">
        <f>ППД5[[#This Row],[Повышение 8.11.23 1К 5%]]+ППД5[[#This Row],[Фикс 23.10.23]]</f>
        <v>79512.280155000015</v>
      </c>
      <c r="BC209" s="93"/>
      <c r="BD209" s="93">
        <f>ППД5[[#This Row],[Корректировка 24.11.23 - 1К В5, 2К А2, №233]]+ППД5[[#This Row],[Фикс 8.11.23]]</f>
        <v>79512.280155000015</v>
      </c>
      <c r="BE209" s="93">
        <f>ППД5[[#This Row],[Фикс 8.11.24]]*1%</f>
        <v>795.12280155000019</v>
      </c>
      <c r="BF209" s="93">
        <f>ППД5[[#This Row],[Наценка за отделку 29.12.23 1%]]+ППД5[[#This Row],[Фикс 8.11.24]]</f>
        <v>80307.40295655001</v>
      </c>
      <c r="BG209" s="93">
        <f>ППД5[[#This Row],[Фикс 29.12.23]]*5%</f>
        <v>4015.3701478275007</v>
      </c>
      <c r="BH209" s="93">
        <f>ППД5[[#This Row],[Фикс 29.12.23]]+ППД5[[#This Row],[Наценка 10.01.24 5%]]</f>
        <v>84322.773104377513</v>
      </c>
      <c r="BI209" s="93"/>
      <c r="BJ209" s="93">
        <f>ППД5[[#This Row],[Наценка 26.02.24 1 Этаж]]+ППД5[[#This Row],[Фикс 10.01.24]]</f>
        <v>84322.773104377513</v>
      </c>
      <c r="BK209" s="93">
        <f>ППД5[[#This Row],[Фикс 26.02.24]]*2%</f>
        <v>1686.4554620875504</v>
      </c>
      <c r="BL209" s="93">
        <f>ППД5[[#This Row],[Фикс 26.02.24]]+ППД5[[#This Row],[Наценка 06.03.24
СТ, 1К - 3%
2К, 3К - 2%]]</f>
        <v>86009.22856646507</v>
      </c>
      <c r="BM209" s="93"/>
      <c r="BN209" s="93">
        <f>ППД5[[#This Row],[Фикс 06.03.24]]+ППД5[[#This Row],[Наценка Г2+500]]</f>
        <v>86009.22856646507</v>
      </c>
      <c r="BO209" s="93">
        <f>ППД5[[#This Row],[Фикс 13.03.25]]*2%</f>
        <v>1720.1845713293014</v>
      </c>
      <c r="BP209" s="93">
        <f>ППД5[[#This Row],[Фикс 13.03.25]]+ППД5[[#This Row],[Наценка 20.03.24
2К, 3К - 2%]]</f>
        <v>87729.41313779437</v>
      </c>
      <c r="BQ209" s="93"/>
      <c r="BR209" s="93">
        <f>ППД5[[#This Row],[Фикс 20.03.24]]+ППД5[[#This Row],[Наценка 08.04.24 
2К: В3 - 150
3К: Г7 +1000]]</f>
        <v>87729.41313779437</v>
      </c>
      <c r="BS209" s="9">
        <f>ППД5[[#This Row],[Фикс 08.04.24]]*1%</f>
        <v>877.2941313779437</v>
      </c>
      <c r="BT209" s="93">
        <f>ППД5[[#This Row],[Фикс 08.04.24]]+ППД5[[#This Row],[Наценка 16.05.24 1%
А4,А6,Б3,Б6,Б7,В2,В3,В5,В6,Г1,Г3-Г5]]</f>
        <v>88606.707269172315</v>
      </c>
      <c r="BU209" s="93"/>
      <c r="BV209" s="93">
        <f>ППД5[[#This Row],[Фикс 16.05.24]]+ППД5[[#This Row],[Наценка 24.05.24
1% - Б4, Б5,Г2,Г6
2% - А1,А3,А5,Б2,Г7]]</f>
        <v>88606.707269172315</v>
      </c>
      <c r="BW209" s="93"/>
      <c r="BX209" s="93">
        <f>ППД5[[#This Row],[Наценка 06.06.24
0К: В2,Г3 +0,5%
1К: А7, Б5/4, Г6 +0,5%
3К: В6 +0,5%
1К: А3 +1%]]+ППД5[[#This Row],[Фикс 24.05.24]]</f>
        <v>88606.707269172315</v>
      </c>
      <c r="BY209" s="93">
        <f>ППД5[[#This Row],[Фикс 06.06.24]]*2%</f>
        <v>1772.1341453834464</v>
      </c>
      <c r="BZ209" s="93">
        <f>ППД5[[#This Row],[Фикс 06.06.24]]+ППД5[[#This Row],[13.06.2024
3К - 2%]]</f>
        <v>90378.841414555762</v>
      </c>
      <c r="CA209" s="93"/>
      <c r="CB209" s="93">
        <f>ППД5[[#This Row],[02.07.2024: Г3 А1 А3 Б5 Б7 Г2 Г6 Б3 Б4 В3 Г7 2,5% ост 0,5-1,5%]]+ППД5[[#This Row],[Фикс 13.06.24]]</f>
        <v>90378.841414555762</v>
      </c>
      <c r="CC209" s="93"/>
      <c r="CD209" s="93">
        <f>ППД5[[#This Row],[Фикс 02.07.24]]+ППД5[[#This Row],[04.09.2024 +500
0К - Б2; 1К - А3;
2К - А6, Б4, В3, Г5]]</f>
        <v>90378.841414555762</v>
      </c>
      <c r="CE209" s="93"/>
      <c r="CF209" s="93">
        <f>ППД5[[#This Row],[Наценка 16.09.2024
1К: А1,В7,Г6/7,Г8 - 2%
2К: А4,А5,А6,Б1,Б6,Б3/4,В3,В4,Г4,Г5 - 4%
3К: 4%]]+ППД5[[#This Row],[Фикс 04.09.24]]</f>
        <v>90378.841414555762</v>
      </c>
      <c r="CG209" s="93"/>
      <c r="CH209" s="93">
        <f>ППД5[[#This Row],[Фикс 16.09.2024]]+ППД5[[#This Row],[Наценка 01.11.24
СТ: 4%
1К: 34-40м 5%; 40м+ 8%; МГН 1%
2К: 55-70м 6%; 70-73м 7%; 73-76м 8% 
3К: 5%]]</f>
        <v>90378.841414555762</v>
      </c>
      <c r="CI209" s="93"/>
      <c r="CJ209" s="93">
        <f>ППД5[[#This Row],[Наценка 06.11 13%]]+ППД5[[#This Row],[Фикс 01.11.24]]</f>
        <v>90378.841414555762</v>
      </c>
      <c r="CK209" s="93"/>
      <c r="CL209" s="93">
        <f>ППД5[[#This Row],[Фикс 06.11.24]]+ППД5[[#This Row],[Наценка 18.12.24 распределение КВ]]</f>
        <v>90378.841414555762</v>
      </c>
      <c r="CM209" s="93"/>
      <c r="CN209" s="93">
        <f>ППД5[[#This Row],[Фикс 18.12.24]]+ППД5[[#This Row],[Наценка 10.02.25 +1%
1К: А3
2К: Б3, В3]]</f>
        <v>90378.841414555762</v>
      </c>
      <c r="CO209" s="93">
        <f>ROUND(ППД5[[#This Row],[Фикс 10.02.25]],2)</f>
        <v>90378.84</v>
      </c>
      <c r="CP20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7681300</v>
      </c>
      <c r="CQ209" s="93">
        <f>ROUNDUP(ППД5[[#This Row],[Стоимость до скидки]]+ППД5[[#This Row],[Сумма доплаты]],-2)</f>
        <v>7659700</v>
      </c>
      <c r="CR209" s="68"/>
      <c r="CS209" s="90">
        <v>0.03</v>
      </c>
      <c r="CT209" s="68">
        <f>ППД5[[#This Row],[Стоимость до скидки]]*ППД5[[#This Row],[Скидка %]]+ППД5[[#This Row],[Скидка фиксированная]]</f>
        <v>230439</v>
      </c>
      <c r="CU209" s="3">
        <f>ППД5[[#This Row],[Стоимость ОН без отделки со скидкой]]/ППД5[[#This Row],[Расчетная проектная площадь]]</f>
        <v>87667.50205906578</v>
      </c>
      <c r="CV209" s="3">
        <f>ROUND(ППД5[[#This Row],[Стоимость до скидки]]-ППД5[[#This Row],[Итоговая сумма скидки]],2)</f>
        <v>7450861</v>
      </c>
      <c r="CW20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09" s="197"/>
      <c r="CY209" s="332">
        <f>ППД5[[#This Row],[Расхождение]]/ППД5[[#This Row],[Расчетная проектная площадь]]</f>
        <v>-2.8238616307801989E-3</v>
      </c>
      <c r="CZ20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-0.35000000000000142</v>
      </c>
      <c r="DA209" s="3">
        <f>ППД5[[#This Row],[Цена м2 без отделки со скидкой]]+ППД5[[#This Row],[Стоимость отделки]]</f>
        <v>87667.50205906578</v>
      </c>
      <c r="DB209" s="3">
        <f>ППД5[[#This Row],[Стоимость квартиры с отделкой]]-ППД5[[#This Row],[Стоимость ОН без отделки со скидкой]]</f>
        <v>0</v>
      </c>
      <c r="DC209" s="3">
        <f>ППД5[[#This Row],[Цена м2 с отделкой]]*ППД5[[#This Row],[Расчетная проектная площадь]]</f>
        <v>7450861</v>
      </c>
      <c r="DD209" s="3"/>
      <c r="DE209" s="111" t="s">
        <v>167</v>
      </c>
      <c r="DF209" s="199" t="s">
        <v>172</v>
      </c>
      <c r="DG209" s="245" t="s">
        <v>172</v>
      </c>
      <c r="DH209" s="100" t="b">
        <f>EXACT(ППД5[[#This Row],[Статусы CRM]],ППД5[[#This Row],[Статус]])</f>
        <v>1</v>
      </c>
      <c r="DI209" s="213" t="s">
        <v>381</v>
      </c>
      <c r="DJ209" s="204"/>
      <c r="DK209" s="111" t="s">
        <v>763</v>
      </c>
      <c r="DL209" s="216" t="s">
        <v>12</v>
      </c>
      <c r="DM209" s="201" t="b">
        <f>ППД5[[#This Row],[Отделка CRM]]=ППД5[[#This Row],[Отделка]]</f>
        <v>1</v>
      </c>
      <c r="DN209" s="203">
        <v>7450861</v>
      </c>
      <c r="DO20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09" s="207" t="b">
        <f>IF(AND(ППД5[[#This Row],[Статус]]="свободно",ППД5[[#This Row],[Итоговая сумма скидки]]&lt;&gt;0),FALSE,TRUE)</f>
        <v>1</v>
      </c>
      <c r="DQ209" s="240">
        <f>_xlfn.XLOOKUP(ППД5[[#This Row],[№]],Юрист[№ кв],Юрист[Дата подачи на регистрацию]," ",0,-1)</f>
        <v>45472</v>
      </c>
      <c r="DR209" s="115" t="str">
        <f>_xlfn.XLOOKUP(ППД5[[#This Row],[№]],Юрист[№ кв],Юрист[МОП],"",0,-1)</f>
        <v>Полехович</v>
      </c>
      <c r="DS209" s="333" t="s">
        <v>2710</v>
      </c>
      <c r="DT209" s="333" t="s">
        <v>2711</v>
      </c>
      <c r="DU209" s="333">
        <v>82</v>
      </c>
      <c r="DV209" s="111"/>
    </row>
    <row r="210" spans="1:126" hidden="1" x14ac:dyDescent="0.25">
      <c r="A210" s="112">
        <v>208</v>
      </c>
      <c r="B210" s="111" t="s">
        <v>4</v>
      </c>
      <c r="C210" s="111">
        <v>14</v>
      </c>
      <c r="D210" s="111">
        <v>7</v>
      </c>
      <c r="E210" s="111">
        <v>1</v>
      </c>
      <c r="F210" s="105">
        <v>17.89</v>
      </c>
      <c r="G210" s="105"/>
      <c r="H210" s="105"/>
      <c r="I210" s="94">
        <f>SUM(ППД5[[#This Row],[Комната 1]:[Комната 3]])</f>
        <v>17.89</v>
      </c>
      <c r="J210" s="105">
        <v>13.04</v>
      </c>
      <c r="K210" s="105">
        <v>3.9</v>
      </c>
      <c r="L210" s="105"/>
      <c r="M210" s="105"/>
      <c r="N210" s="105">
        <v>6.12</v>
      </c>
      <c r="O210" s="105">
        <v>2.65</v>
      </c>
      <c r="P210" s="105"/>
      <c r="Q210" s="105"/>
      <c r="R210" s="105">
        <f>SUM(ППД5[[#This Row],[Лоджия 1]:[Лоджия 3]])</f>
        <v>2.65</v>
      </c>
      <c r="S210" s="8">
        <f>ROUND(SUM(ППД5[[#This Row],[Площадь по проекту жилая]:[Лоджия 3]]),2)</f>
        <v>43.6</v>
      </c>
      <c r="T210" s="8">
        <f>ROUND(ППД5[[#This Row],[Площадь по проекту(общая)]]-ППД5[[#This Row],[Летние]],2)</f>
        <v>40.950000000000003</v>
      </c>
      <c r="U210" s="91">
        <f>ROUND(ППД5[[#This Row],[Площадь по проекту(общая)]]-(SUM(ППД5[[#This Row],[Лоджия 1]:[Лоджия 3]])/2),2)</f>
        <v>42.28</v>
      </c>
      <c r="V210" s="91">
        <f>IF(ППД5[[#This Row],[Статус]]="продажа",ППД5[[#This Row],[Расчетная проектная площадь]],ППД5[[#This Row],[Расчетная ТП площадь]])</f>
        <v>42.28</v>
      </c>
      <c r="W210" s="91">
        <v>17.8</v>
      </c>
      <c r="X210" s="91"/>
      <c r="Y210" s="91"/>
      <c r="Z210" s="91">
        <f>SUM(ППД5[[#This Row],[ТП Комната 1]:[ТП Комната 3]])</f>
        <v>17.8</v>
      </c>
      <c r="AA210" s="91">
        <v>13.1</v>
      </c>
      <c r="AB210" s="91">
        <v>3.8</v>
      </c>
      <c r="AC210" s="91"/>
      <c r="AD210" s="91"/>
      <c r="AE210" s="91">
        <v>6.1</v>
      </c>
      <c r="AF210" s="91">
        <v>1.3</v>
      </c>
      <c r="AG210" s="91"/>
      <c r="AH210" s="91"/>
      <c r="AI210" s="91">
        <f>SUM(ППД5[[#This Row],[ТП Лоджия 1]:[ТП Лоджия 3]])</f>
        <v>1.3</v>
      </c>
      <c r="AJ210" s="95">
        <v>2.6</v>
      </c>
      <c r="AK210" s="91">
        <f>SUM(ППД5[[#This Row],[Площадь по ТП жилая]:[ТП Лоджия 3]])-ППД5[[#This Row],[ТП Летние]]+ППД5[[#This Row],[кроме того прочая
(без коэффициента)]]</f>
        <v>43.4</v>
      </c>
      <c r="AL210" s="95">
        <f>ППД5[[#This Row],[ТП Площадь без летних]]+(ППД5[[#This Row],[ТП Летние]])</f>
        <v>42.099999999999994</v>
      </c>
      <c r="AM210" s="91">
        <f>ППД5[[#This Row],[ТП общая S]]-ППД5[[#This Row],[кроме того прочая
(без коэффициента)]]</f>
        <v>40.799999999999997</v>
      </c>
      <c r="AN210" s="95">
        <f>SUM(ППД5[[#This Row],[ТП Кухня]:[ТП Коридор]])</f>
        <v>23</v>
      </c>
      <c r="AO210" s="91">
        <f>ППД5[[#This Row],[Расчетная ТП площадь]]-ППД5[[#This Row],[Расчетная проектная площадь]]</f>
        <v>-0.18000000000000682</v>
      </c>
      <c r="AP210" s="335">
        <f>ППД5[[#This Row],[Расчетная ТП площадь]]/ППД5[[#This Row],[Расчетная проектная площадь]]-1</f>
        <v>-4.2573320719018204E-3</v>
      </c>
      <c r="AQ210" s="91">
        <f>ППД5[[#This Row],[% расхождения]]*ППД5[[#This Row],[Стоимость до скидки]]</f>
        <v>-17158.388415327252</v>
      </c>
      <c r="AR210" s="91">
        <f>VLOOKUP(ППД5[[#This Row],[№]],наценкад5[],COLUMN(наценкад5[[#This Row],[Цена м2 с учетом всех K]]),0)</f>
        <v>85573.6875</v>
      </c>
      <c r="AS210" s="8">
        <f>ППД5[[#This Row],[м2 после К]]*5%</f>
        <v>4278.6843749999998</v>
      </c>
      <c r="AT210" s="8">
        <f>ППД5[[#This Row],[м2 после К]]+ППД5[[#This Row],[Повышение 16.08.23 - 5%]]</f>
        <v>89852.371874999997</v>
      </c>
      <c r="AU210" s="93">
        <f>ППД5[[#This Row],[Фикс 16.08.23]]*3%</f>
        <v>2695.5711562499996</v>
      </c>
      <c r="AV210" s="93">
        <f>ППД5[[#This Row],[Фикс 16.08.23]]+ППД5[[#This Row],[Повышение 29.08.23 - 3%]]</f>
        <v>92547.94303124999</v>
      </c>
      <c r="AW210" s="93">
        <f>ППД5[[#This Row],[Фикс 29.08.23]]*3%</f>
        <v>2776.4382909374995</v>
      </c>
      <c r="AX210" s="93">
        <f>ППД5[[#This Row],[Фикс 29.08.23]]+ППД5[[#This Row],[Повышение 06.09.23 СТ и 1К]]</f>
        <v>95324.381322187488</v>
      </c>
      <c r="AY210" s="93"/>
      <c r="AZ210" s="93">
        <f>ППД5[[#This Row],[Повышение 23.10.23  В4 ]]+ППД5[[#This Row],[Фикс 06.09.23]]</f>
        <v>95324.381322187488</v>
      </c>
      <c r="BA210" s="93"/>
      <c r="BB210" s="93">
        <f>ППД5[[#This Row],[Повышение 8.11.23 1К 5%]]+ППД5[[#This Row],[Фикс 23.10.23]]</f>
        <v>95324.381322187488</v>
      </c>
      <c r="BC210" s="93"/>
      <c r="BD210" s="93">
        <f>ППД5[[#This Row],[Корректировка 24.11.23 - 1К В5, 2К А2, №233]]+ППД5[[#This Row],[Фикс 8.11.23]]</f>
        <v>95324.381322187488</v>
      </c>
      <c r="BE210" s="93"/>
      <c r="BF210" s="93">
        <f>ППД5[[#This Row],[Наценка за отделку 29.12.23 1%]]+ППД5[[#This Row],[Фикс 8.11.24]]</f>
        <v>95324.381322187488</v>
      </c>
      <c r="BG210" s="93"/>
      <c r="BH210" s="93">
        <f>ППД5[[#This Row],[Фикс 29.12.23]]+ППД5[[#This Row],[Наценка 10.01.24 5%]]</f>
        <v>95324.381322187488</v>
      </c>
      <c r="BI210" s="93"/>
      <c r="BJ210" s="93">
        <f>ППД5[[#This Row],[Наценка 26.02.24 1 Этаж]]+ППД5[[#This Row],[Фикс 10.01.24]]</f>
        <v>95324.381322187488</v>
      </c>
      <c r="BK210" s="93"/>
      <c r="BL210" s="93">
        <f>ППД5[[#This Row],[Фикс 26.02.24]]+ППД5[[#This Row],[Наценка 06.03.24
СТ, 1К - 3%
2К, 3К - 2%]]</f>
        <v>95324.381322187488</v>
      </c>
      <c r="BM210" s="93"/>
      <c r="BN210" s="93">
        <f>ППД5[[#This Row],[Фикс 06.03.24]]+ППД5[[#This Row],[Наценка Г2+500]]</f>
        <v>95324.381322187488</v>
      </c>
      <c r="BO210" s="93"/>
      <c r="BP210" s="93">
        <f>ППД5[[#This Row],[Фикс 13.03.25]]+ППД5[[#This Row],[Наценка 20.03.24
2К, 3К - 2%]]</f>
        <v>95324.381322187488</v>
      </c>
      <c r="BQ210" s="93"/>
      <c r="BR210" s="93">
        <f>ППД5[[#This Row],[Фикс 20.03.24]]+ППД5[[#This Row],[Наценка 08.04.24 
2К: В3 - 150
3К: Г7 +1000]]</f>
        <v>95324.381322187488</v>
      </c>
      <c r="BS210" s="9"/>
      <c r="BT210" s="93">
        <f>ППД5[[#This Row],[Фикс 08.04.24]]+ППД5[[#This Row],[Наценка 16.05.24 1%
А4,А6,Б3,Б6,Б7,В2,В3,В5,В6,Г1,Г3-Г5]]</f>
        <v>95324.381322187488</v>
      </c>
      <c r="BU210" s="93"/>
      <c r="BV210" s="93">
        <f>ППД5[[#This Row],[Фикс 16.05.24]]+ППД5[[#This Row],[Наценка 24.05.24
1% - Б4, Б5,Г2,Г6
2% - А1,А3,А5,Б2,Г7]]</f>
        <v>95324.381322187488</v>
      </c>
      <c r="BW210" s="93"/>
      <c r="BX210" s="93">
        <f>ППД5[[#This Row],[Наценка 06.06.24
0К: В2,Г3 +0,5%
1К: А7, Б5/4, Г6 +0,5%
3К: В6 +0,5%
1К: А3 +1%]]+ППД5[[#This Row],[Фикс 24.05.24]]</f>
        <v>95324.381322187488</v>
      </c>
      <c r="BY210" s="93"/>
      <c r="BZ210" s="93">
        <f>ППД5[[#This Row],[Фикс 06.06.24]]+ППД5[[#This Row],[13.06.2024
3К - 2%]]</f>
        <v>95324.381322187488</v>
      </c>
      <c r="CA210" s="93"/>
      <c r="CB210" s="93">
        <f>ППД5[[#This Row],[02.07.2024: Г3 А1 А3 Б5 Б7 Г2 Г6 Б3 Б4 В3 Г7 2,5% ост 0,5-1,5%]]+ППД5[[#This Row],[Фикс 13.06.24]]</f>
        <v>95324.381322187488</v>
      </c>
      <c r="CC210" s="93"/>
      <c r="CD210" s="93">
        <f>ППД5[[#This Row],[Фикс 02.07.24]]+ППД5[[#This Row],[04.09.2024 +500
0К - Б2; 1К - А3;
2К - А6, Б4, В3, Г5]]</f>
        <v>95324.381322187488</v>
      </c>
      <c r="CE210" s="93"/>
      <c r="CF210" s="93">
        <f>ППД5[[#This Row],[Наценка 16.09.2024
1К: А1,В7,Г6/7,Г8 - 2%
2К: А4,А5,А6,Б1,Б6,Б3/4,В3,В4,Г4,Г5 - 4%
3К: 4%]]+ППД5[[#This Row],[Фикс 04.09.24]]</f>
        <v>95324.381322187488</v>
      </c>
      <c r="CG210" s="93"/>
      <c r="CH210" s="93">
        <f>ППД5[[#This Row],[Фикс 16.09.2024]]+ППД5[[#This Row],[Наценка 01.11.24
СТ: 4%
1К: 34-40м 5%; 40м+ 8%; МГН 1%
2К: 55-70м 6%; 70-73м 7%; 73-76м 8% 
3К: 5%]]</f>
        <v>95324.381322187488</v>
      </c>
      <c r="CI210" s="93"/>
      <c r="CJ210" s="93">
        <f>ППД5[[#This Row],[Наценка 06.11 13%]]+ППД5[[#This Row],[Фикс 01.11.24]]</f>
        <v>95324.381322187488</v>
      </c>
      <c r="CK210" s="93"/>
      <c r="CL210" s="93">
        <f>ППД5[[#This Row],[Фикс 06.11.24]]+ППД5[[#This Row],[Наценка 18.12.24 распределение КВ]]</f>
        <v>95324.381322187488</v>
      </c>
      <c r="CM210" s="93"/>
      <c r="CN210" s="93">
        <f>ППД5[[#This Row],[Фикс 18.12.24]]+ППД5[[#This Row],[Наценка 10.02.25 +1%
1К: А3
2К: Б3, В3]]</f>
        <v>95324.381322187488</v>
      </c>
      <c r="CO210" s="93">
        <f>ROUND(ППД5[[#This Row],[Фикс 10.02.25]],2)</f>
        <v>95324.38</v>
      </c>
      <c r="CP21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4030314.79</v>
      </c>
      <c r="CQ210" s="93">
        <f>ROUNDUP(ППД5[[#This Row],[Стоимость до скидки]]+ППД5[[#This Row],[Сумма доплаты]],-2)</f>
        <v>4013200</v>
      </c>
      <c r="CR210" s="68"/>
      <c r="CS210" s="90">
        <v>0.06</v>
      </c>
      <c r="CT210" s="68">
        <f>ППД5[[#This Row],[Стоимость до скидки]]*ППД5[[#This Row],[Скидка %]]+ППД5[[#This Row],[Скидка фиксированная]]</f>
        <v>241818.88740000001</v>
      </c>
      <c r="CU210" s="3">
        <f>ППД5[[#This Row],[Стоимость ОН без отделки со скидкой]]/ППД5[[#This Row],[Расчетная проектная площадь]]</f>
        <v>89604.917218543036</v>
      </c>
      <c r="CV210" s="3">
        <f>ROUND(ППД5[[#This Row],[Стоимость до скидки]]-ППД5[[#This Row],[Итоговая сумма скидки]],2)</f>
        <v>3788495.9</v>
      </c>
      <c r="CW21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10" s="197"/>
      <c r="CY210" s="332">
        <f>ППД5[[#This Row],[Расхождение]]/ППД5[[#This Row],[Расчетная проектная площадь]]</f>
        <v>-4.2573320719017692E-3</v>
      </c>
      <c r="CZ21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-6.0000000000000497E-2</v>
      </c>
      <c r="DA210" s="3">
        <f>ППД5[[#This Row],[Цена м2 без отделки со скидкой]]+ППД5[[#This Row],[Стоимость отделки]]</f>
        <v>89604.917218543036</v>
      </c>
      <c r="DB210" s="3">
        <f>ППД5[[#This Row],[Стоимость квартиры с отделкой]]-ППД5[[#This Row],[Стоимость ОН без отделки со скидкой]]</f>
        <v>0</v>
      </c>
      <c r="DC210" s="3">
        <f>ППД5[[#This Row],[Цена м2 с отделкой]]*ППД5[[#This Row],[Расчетная проектная площадь]]</f>
        <v>3788495.8999999994</v>
      </c>
      <c r="DD210" s="3"/>
      <c r="DE210" s="111" t="s">
        <v>162</v>
      </c>
      <c r="DF210" s="199" t="s">
        <v>172</v>
      </c>
      <c r="DG210" s="245" t="s">
        <v>172</v>
      </c>
      <c r="DH210" s="100" t="b">
        <f>EXACT(ППД5[[#This Row],[Статусы CRM]],ППД5[[#This Row],[Статус]])</f>
        <v>1</v>
      </c>
      <c r="DI210" s="213" t="s">
        <v>382</v>
      </c>
      <c r="DJ210" s="204"/>
      <c r="DK210" s="111" t="s">
        <v>76</v>
      </c>
      <c r="DL210" s="216" t="s">
        <v>12</v>
      </c>
      <c r="DM210" s="201" t="b">
        <f>ППД5[[#This Row],[Отделка CRM]]=ППД5[[#This Row],[Отделка]]</f>
        <v>1</v>
      </c>
      <c r="DN210" s="203">
        <v>3788495.9</v>
      </c>
      <c r="DO21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4.6566128730773926E-10</v>
      </c>
      <c r="DP210" s="207" t="b">
        <f>IF(AND(ППД5[[#This Row],[Статус]]="свободно",ППД5[[#This Row],[Итоговая сумма скидки]]&lt;&gt;0),FALSE,TRUE)</f>
        <v>1</v>
      </c>
      <c r="DQ210" s="240">
        <f>_xlfn.XLOOKUP(ППД5[[#This Row],[№]],Юрист[№ кв],Юрист[Дата подачи на регистрацию]," ",0,-1)</f>
        <v>45194</v>
      </c>
      <c r="DR210" s="115" t="str">
        <f>_xlfn.XLOOKUP(ППД5[[#This Row],[№]],Юрист[№ кв],Юрист[МОП],"",0,-1)</f>
        <v>Дик</v>
      </c>
      <c r="DS210" s="333" t="s">
        <v>2712</v>
      </c>
      <c r="DT210" s="333" t="s">
        <v>2713</v>
      </c>
      <c r="DU210" s="333">
        <v>40.799999999999997</v>
      </c>
      <c r="DV210" s="111"/>
    </row>
    <row r="211" spans="1:126" hidden="1" x14ac:dyDescent="0.25">
      <c r="A211" s="112">
        <v>209</v>
      </c>
      <c r="B211" s="111" t="s">
        <v>4</v>
      </c>
      <c r="C211" s="111">
        <v>15</v>
      </c>
      <c r="D211" s="338">
        <v>1</v>
      </c>
      <c r="E211" s="111">
        <v>2</v>
      </c>
      <c r="F211" s="105">
        <v>15.91</v>
      </c>
      <c r="G211" s="105">
        <v>12.02</v>
      </c>
      <c r="H211" s="105"/>
      <c r="I211" s="94">
        <f>SUM(ППД5[[#This Row],[Комната 1]:[Комната 3]])</f>
        <v>27.93</v>
      </c>
      <c r="J211" s="105">
        <v>15.31</v>
      </c>
      <c r="K211" s="105">
        <v>3.85</v>
      </c>
      <c r="L211" s="105">
        <v>2.2999999999999998</v>
      </c>
      <c r="M211" s="105"/>
      <c r="N211" s="105">
        <v>9.4499999999999993</v>
      </c>
      <c r="O211" s="105">
        <v>2.75</v>
      </c>
      <c r="P211" s="105"/>
      <c r="Q211" s="105"/>
      <c r="R211" s="105">
        <f>SUM(ППД5[[#This Row],[Лоджия 1]:[Лоджия 3]])</f>
        <v>2.75</v>
      </c>
      <c r="S211" s="8">
        <f>ROUND(SUM(ППД5[[#This Row],[Площадь по проекту жилая]:[Лоджия 3]]),2)</f>
        <v>61.59</v>
      </c>
      <c r="T211" s="8">
        <f>ROUND(ППД5[[#This Row],[Площадь по проекту(общая)]]-ППД5[[#This Row],[Летние]],2)</f>
        <v>58.84</v>
      </c>
      <c r="U211" s="91">
        <f>ROUND(ППД5[[#This Row],[Площадь по проекту(общая)]]-(SUM(ППД5[[#This Row],[Лоджия 1]:[Лоджия 3]])/2),2)</f>
        <v>60.22</v>
      </c>
      <c r="V211" s="91">
        <f>IF(ППД5[[#This Row],[Статус]]="продажа",ППД5[[#This Row],[Расчетная проектная площадь]],ППД5[[#This Row],[Расчетная ТП площадь]])</f>
        <v>60.22</v>
      </c>
      <c r="W211" s="91">
        <v>15.9</v>
      </c>
      <c r="X211" s="91">
        <v>12</v>
      </c>
      <c r="Y211" s="91"/>
      <c r="Z211" s="91">
        <f>SUM(ППД5[[#This Row],[ТП Комната 1]:[ТП Комната 3]])</f>
        <v>27.9</v>
      </c>
      <c r="AA211" s="91">
        <v>15.3</v>
      </c>
      <c r="AB211" s="91">
        <v>3.8</v>
      </c>
      <c r="AC211" s="91">
        <v>2.2999999999999998</v>
      </c>
      <c r="AD211" s="91"/>
      <c r="AE211" s="91">
        <v>9.5</v>
      </c>
      <c r="AF211" s="91">
        <v>1.35</v>
      </c>
      <c r="AG211" s="91"/>
      <c r="AH211" s="91"/>
      <c r="AI211" s="91">
        <f>SUM(ППД5[[#This Row],[ТП Лоджия 1]:[ТП Лоджия 3]])</f>
        <v>1.35</v>
      </c>
      <c r="AJ211" s="95">
        <v>2.7</v>
      </c>
      <c r="AK211" s="91">
        <f>SUM(ППД5[[#This Row],[Площадь по ТП жилая]:[ТП Лоджия 3]])-ППД5[[#This Row],[ТП Летние]]+ППД5[[#This Row],[кроме того прочая
(без коэффициента)]]</f>
        <v>61.5</v>
      </c>
      <c r="AL211" s="95">
        <f>ППД5[[#This Row],[ТП Площадь без летних]]+(ППД5[[#This Row],[ТП Летние]])</f>
        <v>60.15</v>
      </c>
      <c r="AM211" s="91">
        <f>ППД5[[#This Row],[ТП общая S]]-ППД5[[#This Row],[кроме того прочая
(без коэффициента)]]</f>
        <v>58.8</v>
      </c>
      <c r="AN211" s="95">
        <f>SUM(ППД5[[#This Row],[ТП Кухня]:[ТП Коридор]])</f>
        <v>30.900000000000002</v>
      </c>
      <c r="AO211" s="91">
        <f>ППД5[[#This Row],[Расчетная ТП площадь]]-ППД5[[#This Row],[Расчетная проектная площадь]]</f>
        <v>-7.0000000000000284E-2</v>
      </c>
      <c r="AP211" s="335">
        <f>ППД5[[#This Row],[Расчетная ТП площадь]]/ППД5[[#This Row],[Расчетная проектная площадь]]-1</f>
        <v>-1.1624045167718533E-3</v>
      </c>
      <c r="AQ211" s="91">
        <f>ППД5[[#This Row],[% расхождения]]*ППД5[[#This Row],[Стоимость до скидки]]</f>
        <v>-6708.1202258386884</v>
      </c>
      <c r="AR211" s="91">
        <f>VLOOKUP(ППД5[[#This Row],[№]],наценкад5[],COLUMN(наценкад5[[#This Row],[Цена м2 с учетом всех K]]),0)</f>
        <v>80307.864000000001</v>
      </c>
      <c r="AS211" s="8">
        <f>ППД5[[#This Row],[м2 после К]]*5%</f>
        <v>4015.3932000000004</v>
      </c>
      <c r="AT211" s="8">
        <f>ППД5[[#This Row],[м2 после К]]+ППД5[[#This Row],[Повышение 16.08.23 - 5%]]</f>
        <v>84323.257200000007</v>
      </c>
      <c r="AU211" s="93">
        <f>ППД5[[#This Row],[Фикс 16.08.23]]*3%</f>
        <v>2529.6977160000001</v>
      </c>
      <c r="AV211" s="93">
        <f>ППД5[[#This Row],[Фикс 16.08.23]]+ППД5[[#This Row],[Повышение 29.08.23 - 3%]]</f>
        <v>86852.954916000002</v>
      </c>
      <c r="AW211" s="93"/>
      <c r="AX211" s="93">
        <f>ППД5[[#This Row],[Фикс 29.08.23]]+ППД5[[#This Row],[Повышение 06.09.23 СТ и 1К]]</f>
        <v>86852.954916000002</v>
      </c>
      <c r="AY211" s="93"/>
      <c r="AZ211" s="93">
        <f>ППД5[[#This Row],[Повышение 23.10.23  В4 ]]+ППД5[[#This Row],[Фикс 06.09.23]]</f>
        <v>86852.954916000002</v>
      </c>
      <c r="BA211" s="93"/>
      <c r="BB211" s="93">
        <f>ППД5[[#This Row],[Повышение 8.11.23 1К 5%]]+ППД5[[#This Row],[Фикс 23.10.23]]</f>
        <v>86852.954916000002</v>
      </c>
      <c r="BC211" s="93"/>
      <c r="BD211" s="93">
        <f>ППД5[[#This Row],[Корректировка 24.11.23 - 1К В5, 2К А2, №233]]+ППД5[[#This Row],[Фикс 8.11.23]]</f>
        <v>86852.954916000002</v>
      </c>
      <c r="BE211" s="93">
        <f>ППД5[[#This Row],[Фикс 8.11.24]]*1%</f>
        <v>868.52954915999999</v>
      </c>
      <c r="BF211" s="93">
        <f>ППД5[[#This Row],[Наценка за отделку 29.12.23 1%]]+ППД5[[#This Row],[Фикс 8.11.24]]</f>
        <v>87721.48446516</v>
      </c>
      <c r="BG211" s="93">
        <f>ППД5[[#This Row],[Фикс 29.12.23]]*5%</f>
        <v>4386.0742232580005</v>
      </c>
      <c r="BH211" s="93">
        <f>ППД5[[#This Row],[Фикс 29.12.23]]+ППД5[[#This Row],[Наценка 10.01.24 5%]]</f>
        <v>92107.558688417994</v>
      </c>
      <c r="BI211" s="93"/>
      <c r="BJ211" s="93">
        <f>ППД5[[#This Row],[Наценка 26.02.24 1 Этаж]]+ППД5[[#This Row],[Фикс 10.01.24]]</f>
        <v>92107.558688417994</v>
      </c>
      <c r="BK211" s="93">
        <f>ППД5[[#This Row],[Фикс 26.02.24]]*2%</f>
        <v>1842.15117376836</v>
      </c>
      <c r="BL211" s="93">
        <f>ППД5[[#This Row],[Фикс 26.02.24]]+ППД5[[#This Row],[Наценка 06.03.24
СТ, 1К - 3%
2К, 3К - 2%]]</f>
        <v>93949.709862186355</v>
      </c>
      <c r="BM211" s="93"/>
      <c r="BN211" s="93">
        <f>ППД5[[#This Row],[Фикс 06.03.24]]+ППД5[[#This Row],[Наценка Г2+500]]</f>
        <v>93949.709862186355</v>
      </c>
      <c r="BO211" s="93">
        <f>ППД5[[#This Row],[Фикс 13.03.25]]*2%</f>
        <v>1878.9941972437271</v>
      </c>
      <c r="BP211" s="93">
        <f>ППД5[[#This Row],[Фикс 13.03.25]]+ППД5[[#This Row],[Наценка 20.03.24
2К, 3К - 2%]]</f>
        <v>95828.704059430078</v>
      </c>
      <c r="BQ211" s="93"/>
      <c r="BR211" s="93">
        <f>ППД5[[#This Row],[Фикс 20.03.24]]+ППД5[[#This Row],[Наценка 08.04.24 
2К: В3 - 150
3К: Г7 +1000]]</f>
        <v>95828.704059430078</v>
      </c>
      <c r="BS211" s="93"/>
      <c r="BT211" s="93">
        <f>ППД5[[#This Row],[Фикс 08.04.24]]+ППД5[[#This Row],[Наценка 16.05.24 1%
А4,А6,Б3,Б6,Б7,В2,В3,В5,В6,Г1,Г3-Г5]]</f>
        <v>95828.704059430078</v>
      </c>
      <c r="BU211" s="93"/>
      <c r="BV211" s="93">
        <f>ППД5[[#This Row],[Фикс 16.05.24]]+ППД5[[#This Row],[Наценка 24.05.24
1% - Б4, Б5,Г2,Г6
2% - А1,А3,А5,Б2,Г7]]</f>
        <v>95828.704059430078</v>
      </c>
      <c r="BW211" s="93"/>
      <c r="BX211" s="93">
        <f>ППД5[[#This Row],[Наценка 06.06.24
0К: В2,Г3 +0,5%
1К: А7, Б5/4, Г6 +0,5%
3К: В6 +0,5%
1К: А3 +1%]]+ППД5[[#This Row],[Фикс 24.05.24]]</f>
        <v>95828.704059430078</v>
      </c>
      <c r="BY211" s="93"/>
      <c r="BZ211" s="93">
        <f>ППД5[[#This Row],[Фикс 06.06.24]]+ППД5[[#This Row],[13.06.2024
3К - 2%]]</f>
        <v>95828.704059430078</v>
      </c>
      <c r="CA211" s="93"/>
      <c r="CB211" s="93">
        <f>ППД5[[#This Row],[02.07.2024: Г3 А1 А3 Б5 Б7 Г2 Г6 Б3 Б4 В3 Г7 2,5% ост 0,5-1,5%]]+ППД5[[#This Row],[Фикс 13.06.24]]</f>
        <v>95828.704059430078</v>
      </c>
      <c r="CC211" s="93"/>
      <c r="CD211" s="93">
        <f>ППД5[[#This Row],[Фикс 02.07.24]]+ППД5[[#This Row],[04.09.2024 +500
0К - Б2; 1К - А3;
2К - А6, Б4, В3, Г5]]</f>
        <v>95828.704059430078</v>
      </c>
      <c r="CE211" s="93"/>
      <c r="CF211" s="93">
        <f>ППД5[[#This Row],[Наценка 16.09.2024
1К: А1,В7,Г6/7,Г8 - 2%
2К: А4,А5,А6,Б1,Б6,Б3/4,В3,В4,Г4,Г5 - 4%
3К: 4%]]+ППД5[[#This Row],[Фикс 04.09.24]]</f>
        <v>95828.704059430078</v>
      </c>
      <c r="CG211" s="93"/>
      <c r="CH211" s="93">
        <f>ППД5[[#This Row],[Фикс 16.09.2024]]+ППД5[[#This Row],[Наценка 01.11.24
СТ: 4%
1К: 34-40м 5%; 40м+ 8%; МГН 1%
2К: 55-70м 6%; 70-73м 7%; 73-76м 8% 
3К: 5%]]</f>
        <v>95828.704059430078</v>
      </c>
      <c r="CI211" s="93"/>
      <c r="CJ211" s="93">
        <f>ППД5[[#This Row],[Наценка 06.11 13%]]+ППД5[[#This Row],[Фикс 01.11.24]]</f>
        <v>95828.704059430078</v>
      </c>
      <c r="CK211" s="93"/>
      <c r="CL211" s="93">
        <f>ППД5[[#This Row],[Фикс 06.11.24]]+ППД5[[#This Row],[Наценка 18.12.24 распределение КВ]]</f>
        <v>95828.704059430078</v>
      </c>
      <c r="CM211" s="93"/>
      <c r="CN211" s="93">
        <f>ППД5[[#This Row],[Фикс 18.12.24]]+ППД5[[#This Row],[Наценка 10.02.25 +1%
1К: А3
2К: Б3, В3]]</f>
        <v>95828.704059430078</v>
      </c>
      <c r="CO211" s="93">
        <f>ROUND(ППД5[[#This Row],[Фикс 10.02.25]],2)</f>
        <v>95828.7</v>
      </c>
      <c r="CP21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5770900</v>
      </c>
      <c r="CQ211" s="93">
        <f>ROUNDUP(ППД5[[#This Row],[Стоимость до скидки]]+ППД5[[#This Row],[Сумма доплаты]],-2)</f>
        <v>5764200</v>
      </c>
      <c r="CR211" s="68"/>
      <c r="CS211" s="90"/>
      <c r="CT211" s="68">
        <f>ППД5[[#This Row],[Стоимость до скидки]]*ППД5[[#This Row],[Скидка %]]+ППД5[[#This Row],[Скидка фиксированная]]</f>
        <v>0</v>
      </c>
      <c r="CU211" s="3">
        <f>ППД5[[#This Row],[Стоимость ОН без отделки со скидкой]]/ППД5[[#This Row],[Расчетная проектная площадь]]</f>
        <v>95830.288940551312</v>
      </c>
      <c r="CV211" s="3">
        <f>ROUND(ППД5[[#This Row],[Стоимость до скидки]]-ППД5[[#This Row],[Итоговая сумма скидки]],2)</f>
        <v>5770900</v>
      </c>
      <c r="CW21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11" s="197"/>
      <c r="CY211" s="332">
        <f>ППД5[[#This Row],[Расхождение]]/ППД5[[#This Row],[Расчетная проектная площадь]]</f>
        <v>-1.1624045167718414E-3</v>
      </c>
      <c r="CZ21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-9.9999999999980105E-3</v>
      </c>
      <c r="DA211" s="3">
        <f>ППД5[[#This Row],[Цена м2 без отделки со скидкой]]+ППД5[[#This Row],[Стоимость отделки]]</f>
        <v>95830.288940551312</v>
      </c>
      <c r="DB211" s="3">
        <f>ППД5[[#This Row],[Стоимость квартиры с отделкой]]-ППД5[[#This Row],[Стоимость ОН без отделки со скидкой]]</f>
        <v>0</v>
      </c>
      <c r="DC211" s="3">
        <f>ППД5[[#This Row],[Цена м2 с отделкой]]*ППД5[[#This Row],[Расчетная проектная площадь]]</f>
        <v>5770900</v>
      </c>
      <c r="DD211" s="3"/>
      <c r="DF211" s="199" t="s">
        <v>172</v>
      </c>
      <c r="DG211" s="245" t="s">
        <v>172</v>
      </c>
      <c r="DH211" s="100" t="b">
        <f>EXACT(ППД5[[#This Row],[Статусы CRM]],ППД5[[#This Row],[Статус]])</f>
        <v>1</v>
      </c>
      <c r="DI211" s="213" t="s">
        <v>383</v>
      </c>
      <c r="DJ211" s="204"/>
      <c r="DK211" s="111" t="s">
        <v>763</v>
      </c>
      <c r="DL211" s="216" t="s">
        <v>12</v>
      </c>
      <c r="DM211" s="201" t="b">
        <f>ППД5[[#This Row],[Отделка CRM]]=ППД5[[#This Row],[Отделка]]</f>
        <v>1</v>
      </c>
      <c r="DN211" s="203">
        <v>5770900</v>
      </c>
      <c r="DO21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11" s="207" t="b">
        <f>IF(AND(ППД5[[#This Row],[Статус]]="свободно",ППД5[[#This Row],[Итоговая сумма скидки]]&lt;&gt;0),FALSE,TRUE)</f>
        <v>1</v>
      </c>
      <c r="DQ211" s="240">
        <f>_xlfn.XLOOKUP(ППД5[[#This Row],[№]],Юрист[№ кв],Юрист[Дата подачи на регистрацию]," ",0,-1)</f>
        <v>45469</v>
      </c>
      <c r="DR211" s="115" t="str">
        <f>_xlfn.XLOOKUP(ППД5[[#This Row],[№]],Юрист[№ кв],Юрист[МОП],"",0,-1)</f>
        <v>Дик</v>
      </c>
      <c r="DS211" s="333" t="s">
        <v>2714</v>
      </c>
      <c r="DT211" s="333" t="s">
        <v>2715</v>
      </c>
      <c r="DU211" s="333">
        <v>58.8</v>
      </c>
      <c r="DV211" s="111"/>
    </row>
    <row r="212" spans="1:126" hidden="1" x14ac:dyDescent="0.25">
      <c r="A212" s="112">
        <v>210</v>
      </c>
      <c r="B212" s="111" t="s">
        <v>4</v>
      </c>
      <c r="C212" s="111">
        <v>15</v>
      </c>
      <c r="D212" s="111">
        <v>2</v>
      </c>
      <c r="E212" s="111">
        <v>0</v>
      </c>
      <c r="F212" s="105">
        <v>7.13</v>
      </c>
      <c r="G212" s="105"/>
      <c r="H212" s="105"/>
      <c r="I212" s="94">
        <f>SUM(ППД5[[#This Row],[Комната 1]:[Комната 3]])</f>
        <v>7.13</v>
      </c>
      <c r="J212" s="105">
        <v>5.12</v>
      </c>
      <c r="K212" s="105">
        <v>3.65</v>
      </c>
      <c r="L212" s="105"/>
      <c r="M212" s="105"/>
      <c r="N212" s="105">
        <v>6.92</v>
      </c>
      <c r="O212" s="105">
        <v>2.91</v>
      </c>
      <c r="P212" s="105"/>
      <c r="Q212" s="105"/>
      <c r="R212" s="105">
        <f>SUM(ППД5[[#This Row],[Лоджия 1]:[Лоджия 3]])</f>
        <v>2.91</v>
      </c>
      <c r="S212" s="8">
        <f>ROUND(SUM(ППД5[[#This Row],[Площадь по проекту жилая]:[Лоджия 3]]),2)</f>
        <v>25.73</v>
      </c>
      <c r="T212" s="8">
        <f>ROUND(ППД5[[#This Row],[Площадь по проекту(общая)]]-ППД5[[#This Row],[Летние]],2)</f>
        <v>22.82</v>
      </c>
      <c r="U212" s="91">
        <f>ROUND(ППД5[[#This Row],[Площадь по проекту(общая)]]-(SUM(ППД5[[#This Row],[Лоджия 1]:[Лоджия 3]])/2),2)</f>
        <v>24.28</v>
      </c>
      <c r="V212" s="91">
        <f>IF(ППД5[[#This Row],[Статус]]="продажа",ППД5[[#This Row],[Расчетная проектная площадь]],ППД5[[#This Row],[Расчетная ТП площадь]])</f>
        <v>24.28</v>
      </c>
      <c r="W212" s="91">
        <v>7.1</v>
      </c>
      <c r="X212" s="91"/>
      <c r="Y212" s="91"/>
      <c r="Z212" s="91">
        <f>SUM(ППД5[[#This Row],[ТП Комната 1]:[ТП Комната 3]])</f>
        <v>7.1</v>
      </c>
      <c r="AA212" s="91">
        <v>5.0999999999999996</v>
      </c>
      <c r="AB212" s="91">
        <v>3.6</v>
      </c>
      <c r="AC212" s="91"/>
      <c r="AD212" s="91"/>
      <c r="AE212" s="91">
        <v>6.9</v>
      </c>
      <c r="AF212" s="91">
        <v>1.5</v>
      </c>
      <c r="AG212" s="91"/>
      <c r="AH212" s="91"/>
      <c r="AI212" s="91">
        <f>SUM(ППД5[[#This Row],[ТП Лоджия 1]:[ТП Лоджия 3]])</f>
        <v>1.5</v>
      </c>
      <c r="AJ212" s="95">
        <v>3</v>
      </c>
      <c r="AK212" s="91">
        <f>SUM(ППД5[[#This Row],[Площадь по ТП жилая]:[ТП Лоджия 3]])-ППД5[[#This Row],[ТП Летние]]+ППД5[[#This Row],[кроме того прочая
(без коэффициента)]]</f>
        <v>25.7</v>
      </c>
      <c r="AL212" s="95">
        <f>ППД5[[#This Row],[ТП Площадь без летних]]+(ППД5[[#This Row],[ТП Летние]])</f>
        <v>24.2</v>
      </c>
      <c r="AM212" s="91">
        <f>ППД5[[#This Row],[ТП общая S]]-ППД5[[#This Row],[кроме того прочая
(без коэффициента)]]</f>
        <v>22.7</v>
      </c>
      <c r="AN212" s="95">
        <f>SUM(ППД5[[#This Row],[ТП Кухня]:[ТП Коридор]])</f>
        <v>15.6</v>
      </c>
      <c r="AO212" s="91">
        <f>ППД5[[#This Row],[Расчетная ТП площадь]]-ППД5[[#This Row],[Расчетная проектная площадь]]</f>
        <v>-8.0000000000001847E-2</v>
      </c>
      <c r="AP212" s="335">
        <f>ППД5[[#This Row],[Расчетная ТП площадь]]/ППД5[[#This Row],[Расчетная проектная площадь]]-1</f>
        <v>-3.2948929159802853E-3</v>
      </c>
      <c r="AQ212" s="91">
        <f>ППД5[[#This Row],[% расхождения]]*ППД5[[#This Row],[Стоимость до скидки]]</f>
        <v>-10152.883031301651</v>
      </c>
      <c r="AR212" s="91">
        <f>VLOOKUP(ППД5[[#This Row],[№]],наценкад5[],COLUMN(наценкад5[[#This Row],[Цена м2 с учетом всех K]]),0)</f>
        <v>90229.544999999998</v>
      </c>
      <c r="AS212" s="8">
        <f>ППД5[[#This Row],[м2 после К]]*5%</f>
        <v>4511.4772499999999</v>
      </c>
      <c r="AT212" s="8">
        <f>ППД5[[#This Row],[м2 после К]]+ППД5[[#This Row],[Повышение 16.08.23 - 5%]]</f>
        <v>94741.022249999995</v>
      </c>
      <c r="AU212" s="93">
        <f>ППД5[[#This Row],[Фикс 16.08.23]]*3%</f>
        <v>2842.2306674999995</v>
      </c>
      <c r="AV212" s="93">
        <f>ППД5[[#This Row],[Фикс 16.08.23]]+ППД5[[#This Row],[Повышение 29.08.23 - 3%]]</f>
        <v>97583.252917499995</v>
      </c>
      <c r="AW212" s="93">
        <f>ППД5[[#This Row],[Фикс 29.08.23]]*15%</f>
        <v>14637.487937624999</v>
      </c>
      <c r="AX212" s="93">
        <f>ППД5[[#This Row],[Фикс 29.08.23]]+ППД5[[#This Row],[Повышение 06.09.23 СТ и 1К]]</f>
        <v>112220.740855125</v>
      </c>
      <c r="AY212" s="93"/>
      <c r="AZ212" s="93">
        <f>ППД5[[#This Row],[Повышение 23.10.23  В4 ]]+ППД5[[#This Row],[Фикс 06.09.23]]</f>
        <v>112220.740855125</v>
      </c>
      <c r="BA212" s="93"/>
      <c r="BB212" s="93">
        <f>ППД5[[#This Row],[Повышение 8.11.23 1К 5%]]+ППД5[[#This Row],[Фикс 23.10.23]]</f>
        <v>112220.740855125</v>
      </c>
      <c r="BC212" s="93"/>
      <c r="BD212" s="93">
        <f>ППД5[[#This Row],[Корректировка 24.11.23 - 1К В5, 2К А2, №233]]+ППД5[[#This Row],[Фикс 8.11.23]]</f>
        <v>112220.740855125</v>
      </c>
      <c r="BE212" s="93">
        <f>ППД5[[#This Row],[Фикс 8.11.24]]*1%</f>
        <v>1122.20740855125</v>
      </c>
      <c r="BF212" s="93">
        <f>ППД5[[#This Row],[Наценка за отделку 29.12.23 1%]]+ППД5[[#This Row],[Фикс 8.11.24]]</f>
        <v>113342.94826367624</v>
      </c>
      <c r="BG212" s="93">
        <f>ППД5[[#This Row],[Фикс 29.12.23]]*5%</f>
        <v>5667.1474131838122</v>
      </c>
      <c r="BH212" s="93">
        <f>ППД5[[#This Row],[Фикс 29.12.23]]+ППД5[[#This Row],[Наценка 10.01.24 5%]]</f>
        <v>119010.09567686006</v>
      </c>
      <c r="BI212" s="93"/>
      <c r="BJ212" s="93">
        <f>ППД5[[#This Row],[Наценка 26.02.24 1 Этаж]]+ППД5[[#This Row],[Фикс 10.01.24]]</f>
        <v>119010.09567686006</v>
      </c>
      <c r="BK212" s="93">
        <f>ППД5[[#This Row],[Фикс 26.02.24]]*3%</f>
        <v>3570.3028703058017</v>
      </c>
      <c r="BL212" s="93">
        <f>ППД5[[#This Row],[Фикс 26.02.24]]+ППД5[[#This Row],[Наценка 06.03.24
СТ, 1К - 3%
2К, 3К - 2%]]</f>
        <v>122580.39854716587</v>
      </c>
      <c r="BM212" s="93"/>
      <c r="BN212" s="93">
        <f>ППД5[[#This Row],[Фикс 06.03.24]]+ППД5[[#This Row],[Наценка Г2+500]]</f>
        <v>122580.39854716587</v>
      </c>
      <c r="BO212" s="93"/>
      <c r="BP212" s="93">
        <f>ППД5[[#This Row],[Фикс 13.03.25]]+ППД5[[#This Row],[Наценка 20.03.24
2К, 3К - 2%]]</f>
        <v>122580.39854716587</v>
      </c>
      <c r="BQ212" s="93"/>
      <c r="BR212" s="93">
        <f>ППД5[[#This Row],[Фикс 20.03.24]]+ППД5[[#This Row],[Наценка 08.04.24 
2К: В3 - 150
3К: Г7 +1000]]</f>
        <v>122580.39854716587</v>
      </c>
      <c r="BS212" s="93"/>
      <c r="BT212" s="93">
        <f>ППД5[[#This Row],[Фикс 08.04.24]]+ППД5[[#This Row],[Наценка 16.05.24 1%
А4,А6,Б3,Б6,Б7,В2,В3,В5,В6,Г1,Г3-Г5]]</f>
        <v>122580.39854716587</v>
      </c>
      <c r="BU212" s="93">
        <f>ППД5[[#This Row],[Фикс 16.05.24]]*2%</f>
        <v>2451.6079709433175</v>
      </c>
      <c r="BV212" s="93">
        <f>ППД5[[#This Row],[Фикс 16.05.24]]+ППД5[[#This Row],[Наценка 24.05.24
1% - Б4, Б5,Г2,Г6
2% - А1,А3,А5,Б2,Г7]]</f>
        <v>125032.00651810918</v>
      </c>
      <c r="BW212" s="93"/>
      <c r="BX212" s="93">
        <f>ППД5[[#This Row],[Наценка 06.06.24
0К: В2,Г3 +0,5%
1К: А7, Б5/4, Г6 +0,5%
3К: В6 +0,5%
1К: А3 +1%]]+ППД5[[#This Row],[Фикс 24.05.24]]</f>
        <v>125032.00651810918</v>
      </c>
      <c r="BY212" s="93"/>
      <c r="BZ212" s="93">
        <f>ППД5[[#This Row],[Фикс 06.06.24]]+ППД5[[#This Row],[13.06.2024
3К - 2%]]</f>
        <v>125032.00651810918</v>
      </c>
      <c r="CA212" s="93">
        <f>1.5%*ППД5[[#This Row],[Фикс 13.06.24]]</f>
        <v>1875.4800977716377</v>
      </c>
      <c r="CB212" s="93">
        <f>ППД5[[#This Row],[02.07.2024: Г3 А1 А3 Б5 Б7 Г2 Г6 Б3 Б4 В3 Г7 2,5% ост 0,5-1,5%]]+ППД5[[#This Row],[Фикс 13.06.24]]</f>
        <v>126907.48661588081</v>
      </c>
      <c r="CC212" s="93"/>
      <c r="CD212" s="93">
        <f>ППД5[[#This Row],[Фикс 02.07.24]]+ППД5[[#This Row],[04.09.2024 +500
0К - Б2; 1К - А3;
2К - А6, Б4, В3, Г5]]</f>
        <v>126907.48661588081</v>
      </c>
      <c r="CE212" s="93"/>
      <c r="CF212" s="93">
        <f>ППД5[[#This Row],[Наценка 16.09.2024
1К: А1,В7,Г6/7,Г8 - 2%
2К: А4,А5,А6,Б1,Б6,Б3/4,В3,В4,Г4,Г5 - 4%
3К: 4%]]+ППД5[[#This Row],[Фикс 04.09.24]]</f>
        <v>126907.48661588081</v>
      </c>
      <c r="CG212" s="93"/>
      <c r="CH212" s="93">
        <f>ППД5[[#This Row],[Фикс 16.09.2024]]+ППД5[[#This Row],[Наценка 01.11.24
СТ: 4%
1К: 34-40м 5%; 40м+ 8%; МГН 1%
2К: 55-70м 6%; 70-73м 7%; 73-76м 8% 
3К: 5%]]</f>
        <v>126907.48661588081</v>
      </c>
      <c r="CI212" s="93"/>
      <c r="CJ212" s="93">
        <f>ППД5[[#This Row],[Наценка 06.11 13%]]+ППД5[[#This Row],[Фикс 01.11.24]]</f>
        <v>126907.48661588081</v>
      </c>
      <c r="CK212" s="93"/>
      <c r="CL212" s="93">
        <f>ППД5[[#This Row],[Фикс 06.11.24]]+ППД5[[#This Row],[Наценка 18.12.24 распределение КВ]]</f>
        <v>126907.48661588081</v>
      </c>
      <c r="CM212" s="93"/>
      <c r="CN212" s="93">
        <f>ППД5[[#This Row],[Фикс 18.12.24]]+ППД5[[#This Row],[Наценка 10.02.25 +1%
1К: А3
2К: Б3, В3]]</f>
        <v>126907.48661588081</v>
      </c>
      <c r="CO212" s="93">
        <f>ROUND(ППД5[[#This Row],[Фикс 10.02.25]],2)</f>
        <v>126907.49</v>
      </c>
      <c r="CP21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3081400</v>
      </c>
      <c r="CQ212" s="93">
        <f>ROUNDUP(ППД5[[#This Row],[Стоимость до скидки]]+ППД5[[#This Row],[Сумма доплаты]],-2)</f>
        <v>3071300</v>
      </c>
      <c r="CR212" s="68"/>
      <c r="CS212" s="90"/>
      <c r="CT212" s="68">
        <f>ППД5[[#This Row],[Стоимость до скидки]]*ППД5[[#This Row],[Скидка %]]+ППД5[[#This Row],[Скидка фиксированная]]</f>
        <v>0</v>
      </c>
      <c r="CU212" s="3">
        <f>ППД5[[#This Row],[Стоимость ОН без отделки со скидкой]]/ППД5[[#This Row],[Расчетная проектная площадь]]</f>
        <v>126911.03789126853</v>
      </c>
      <c r="CV212" s="3">
        <f>ROUND(ППД5[[#This Row],[Стоимость до скидки]]-ППД5[[#This Row],[Итоговая сумма скидки]],2)</f>
        <v>3081400</v>
      </c>
      <c r="CW21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12" s="197">
        <v>20000</v>
      </c>
      <c r="CY212" s="332">
        <f>ППД5[[#This Row],[Расхождение]]/ППД5[[#This Row],[Расчетная проектная площадь]]</f>
        <v>-3.2948929159803066E-3</v>
      </c>
      <c r="CZ21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-9.0000000000000746E-2</v>
      </c>
      <c r="DA212" s="3">
        <f>ППД5[[#This Row],[Цена м2 без отделки со скидкой]]+ППД5[[#This Row],[Стоимость отделки]]</f>
        <v>146911.03789126853</v>
      </c>
      <c r="DB212" s="3">
        <f>ППД5[[#This Row],[Стоимость квартиры с отделкой]]-ППД5[[#This Row],[Стоимость ОН без отделки со скидкой]]</f>
        <v>485600</v>
      </c>
      <c r="DC212" s="3">
        <f>ППД5[[#This Row],[Цена м2 с отделкой]]*ППД5[[#This Row],[Расчетная проектная площадь]]</f>
        <v>3567000</v>
      </c>
      <c r="DD212" s="3"/>
      <c r="DF212" s="199" t="s">
        <v>172</v>
      </c>
      <c r="DG212" s="245" t="s">
        <v>172</v>
      </c>
      <c r="DH212" s="100" t="b">
        <f>EXACT(ППД5[[#This Row],[Статусы CRM]],ППД5[[#This Row],[Статус]])</f>
        <v>1</v>
      </c>
      <c r="DI212" s="213" t="s">
        <v>384</v>
      </c>
      <c r="DJ212" s="204"/>
      <c r="DK212" s="111" t="s">
        <v>763</v>
      </c>
      <c r="DL212" s="216" t="s">
        <v>14</v>
      </c>
      <c r="DM212" s="201" t="b">
        <f>ППД5[[#This Row],[Отделка CRM]]=ППД5[[#This Row],[Отделка]]</f>
        <v>1</v>
      </c>
      <c r="DN212" s="203">
        <v>3567000</v>
      </c>
      <c r="DO21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12" s="207" t="b">
        <f>IF(AND(ППД5[[#This Row],[Статус]]="свободно",ППД5[[#This Row],[Итоговая сумма скидки]]&lt;&gt;0),FALSE,TRUE)</f>
        <v>1</v>
      </c>
      <c r="DQ212" s="240">
        <f>_xlfn.XLOOKUP(ППД5[[#This Row],[№]],Юрист[№ кв],Юрист[Дата подачи на регистрацию]," ",0,-1)</f>
        <v>45504</v>
      </c>
      <c r="DR212" s="115" t="str">
        <f>_xlfn.XLOOKUP(ППД5[[#This Row],[№]],Юрист[№ кв],Юрист[МОП],"",0,-1)</f>
        <v>Полехович</v>
      </c>
      <c r="DS212" s="333" t="s">
        <v>2716</v>
      </c>
      <c r="DT212" s="333" t="s">
        <v>2717</v>
      </c>
      <c r="DU212" s="333">
        <v>22.7</v>
      </c>
      <c r="DV212" s="111"/>
    </row>
    <row r="213" spans="1:126" hidden="1" x14ac:dyDescent="0.25">
      <c r="A213" s="112">
        <v>211</v>
      </c>
      <c r="B213" s="111" t="s">
        <v>4</v>
      </c>
      <c r="C213" s="111">
        <v>15</v>
      </c>
      <c r="D213" s="111">
        <v>3</v>
      </c>
      <c r="E213" s="111">
        <v>2</v>
      </c>
      <c r="F213" s="105">
        <v>14.6</v>
      </c>
      <c r="G213" s="105">
        <v>13.12</v>
      </c>
      <c r="H213" s="105"/>
      <c r="I213" s="94">
        <f>SUM(ППД5[[#This Row],[Комната 1]:[Комната 3]])</f>
        <v>27.72</v>
      </c>
      <c r="J213" s="105">
        <v>14.35</v>
      </c>
      <c r="K213" s="105">
        <v>3.68</v>
      </c>
      <c r="L213" s="105">
        <v>2.57</v>
      </c>
      <c r="M213" s="105"/>
      <c r="N213" s="105">
        <v>7.95</v>
      </c>
      <c r="O213" s="105">
        <v>2.65</v>
      </c>
      <c r="P213" s="105"/>
      <c r="Q213" s="105"/>
      <c r="R213" s="105">
        <f>SUM(ППД5[[#This Row],[Лоджия 1]:[Лоджия 3]])</f>
        <v>2.65</v>
      </c>
      <c r="S213" s="8">
        <f>ROUND(SUM(ППД5[[#This Row],[Площадь по проекту жилая]:[Лоджия 3]]),2)</f>
        <v>58.92</v>
      </c>
      <c r="T213" s="8">
        <f>ROUND(ППД5[[#This Row],[Площадь по проекту(общая)]]-ППД5[[#This Row],[Летние]],2)</f>
        <v>56.27</v>
      </c>
      <c r="U213" s="91">
        <f>ROUND(ППД5[[#This Row],[Площадь по проекту(общая)]]-(SUM(ППД5[[#This Row],[Лоджия 1]:[Лоджия 3]])/2),2)</f>
        <v>57.6</v>
      </c>
      <c r="V213" s="91">
        <f>IF(ППД5[[#This Row],[Статус]]="продажа",ППД5[[#This Row],[Расчетная проектная площадь]],ППД5[[#This Row],[Расчетная ТП площадь]])</f>
        <v>57.6</v>
      </c>
      <c r="W213" s="91">
        <v>13</v>
      </c>
      <c r="X213" s="91">
        <v>14.7</v>
      </c>
      <c r="Y213" s="91"/>
      <c r="Z213" s="91">
        <f>SUM(ППД5[[#This Row],[ТП Комната 1]:[ТП Комната 3]])</f>
        <v>27.7</v>
      </c>
      <c r="AA213" s="91">
        <v>14.5</v>
      </c>
      <c r="AB213" s="91">
        <v>2.6</v>
      </c>
      <c r="AC213" s="91">
        <v>3.8</v>
      </c>
      <c r="AD213" s="91"/>
      <c r="AE213" s="91">
        <v>8</v>
      </c>
      <c r="AF213" s="91">
        <v>1.35</v>
      </c>
      <c r="AG213" s="91"/>
      <c r="AH213" s="91"/>
      <c r="AI213" s="91">
        <f>SUM(ППД5[[#This Row],[ТП Лоджия 1]:[ТП Лоджия 3]])</f>
        <v>1.35</v>
      </c>
      <c r="AJ213" s="95">
        <v>2.7</v>
      </c>
      <c r="AK213" s="91">
        <f>SUM(ППД5[[#This Row],[Площадь по ТП жилая]:[ТП Лоджия 3]])-ППД5[[#This Row],[ТП Летние]]+ППД5[[#This Row],[кроме того прочая
(без коэффициента)]]</f>
        <v>59.300000000000004</v>
      </c>
      <c r="AL213" s="95">
        <f>ППД5[[#This Row],[ТП Площадь без летних]]+(ППД5[[#This Row],[ТП Летние]])</f>
        <v>57.95</v>
      </c>
      <c r="AM213" s="91">
        <f>ППД5[[#This Row],[ТП общая S]]-ППД5[[#This Row],[кроме того прочая
(без коэффициента)]]</f>
        <v>56.6</v>
      </c>
      <c r="AN213" s="95">
        <f>SUM(ППД5[[#This Row],[ТП Кухня]:[ТП Коридор]])</f>
        <v>28.900000000000002</v>
      </c>
      <c r="AO213" s="91">
        <f>ППД5[[#This Row],[Расчетная ТП площадь]]-ППД5[[#This Row],[Расчетная проектная площадь]]</f>
        <v>0.35000000000000142</v>
      </c>
      <c r="AP213" s="335">
        <f>ППД5[[#This Row],[Расчетная ТП площадь]]/ППД5[[#This Row],[Расчетная проектная площадь]]-1</f>
        <v>6.0763888888888395E-3</v>
      </c>
      <c r="AQ213" s="91">
        <f>ППД5[[#This Row],[% расхождения]]*ППД5[[#This Row],[Стоимость до скидки]]</f>
        <v>33224.479166666395</v>
      </c>
      <c r="AR213" s="91">
        <f>VLOOKUP(ППД5[[#This Row],[№]],наценкад5[],COLUMN(наценкад5[[#This Row],[Цена м2 с учетом всех K]]),0)</f>
        <v>78763.482000000004</v>
      </c>
      <c r="AS213" s="8">
        <f>ППД5[[#This Row],[м2 после К]]*5%</f>
        <v>3938.1741000000002</v>
      </c>
      <c r="AT213" s="8">
        <f>ППД5[[#This Row],[м2 после К]]+ППД5[[#This Row],[Повышение 16.08.23 - 5%]]</f>
        <v>82701.656100000007</v>
      </c>
      <c r="AU213" s="93">
        <f>ППД5[[#This Row],[Фикс 16.08.23]]*3%</f>
        <v>2481.0496830000002</v>
      </c>
      <c r="AV213" s="93">
        <f>ППД5[[#This Row],[Фикс 16.08.23]]+ППД5[[#This Row],[Повышение 29.08.23 - 3%]]</f>
        <v>85182.705783000012</v>
      </c>
      <c r="AW213" s="93"/>
      <c r="AX213" s="93">
        <f>ППД5[[#This Row],[Фикс 29.08.23]]+ППД5[[#This Row],[Повышение 06.09.23 СТ и 1К]]</f>
        <v>85182.705783000012</v>
      </c>
      <c r="AY213" s="93"/>
      <c r="AZ213" s="93">
        <f>ППД5[[#This Row],[Повышение 23.10.23  В4 ]]+ППД5[[#This Row],[Фикс 06.09.23]]</f>
        <v>85182.705783000012</v>
      </c>
      <c r="BA213" s="93"/>
      <c r="BB213" s="93">
        <f>ППД5[[#This Row],[Повышение 8.11.23 1К 5%]]+ППД5[[#This Row],[Фикс 23.10.23]]</f>
        <v>85182.705783000012</v>
      </c>
      <c r="BC213" s="93"/>
      <c r="BD213" s="93">
        <f>ППД5[[#This Row],[Корректировка 24.11.23 - 1К В5, 2К А2, №233]]+ППД5[[#This Row],[Фикс 8.11.23]]</f>
        <v>85182.705783000012</v>
      </c>
      <c r="BE213" s="93">
        <f>ППД5[[#This Row],[Фикс 8.11.24]]*1%</f>
        <v>851.82705783000017</v>
      </c>
      <c r="BF213" s="93">
        <f>ППД5[[#This Row],[Наценка за отделку 29.12.23 1%]]+ППД5[[#This Row],[Фикс 8.11.24]]</f>
        <v>86034.532840830012</v>
      </c>
      <c r="BG213" s="93">
        <f>ППД5[[#This Row],[Фикс 29.12.23]]*5%</f>
        <v>4301.7266420415008</v>
      </c>
      <c r="BH213" s="93">
        <f>ППД5[[#This Row],[Фикс 29.12.23]]+ППД5[[#This Row],[Наценка 10.01.24 5%]]</f>
        <v>90336.259482871508</v>
      </c>
      <c r="BI213" s="93"/>
      <c r="BJ213" s="93">
        <f>ППД5[[#This Row],[Наценка 26.02.24 1 Этаж]]+ППД5[[#This Row],[Фикс 10.01.24]]</f>
        <v>90336.259482871508</v>
      </c>
      <c r="BK213" s="93">
        <f>ППД5[[#This Row],[Фикс 26.02.24]]*2%</f>
        <v>1806.7251896574303</v>
      </c>
      <c r="BL213" s="93">
        <f>ППД5[[#This Row],[Фикс 26.02.24]]+ППД5[[#This Row],[Наценка 06.03.24
СТ, 1К - 3%
2К, 3К - 2%]]</f>
        <v>92142.984672528939</v>
      </c>
      <c r="BM213" s="93"/>
      <c r="BN213" s="93">
        <f>ППД5[[#This Row],[Фикс 06.03.24]]+ППД5[[#This Row],[Наценка Г2+500]]</f>
        <v>92142.984672528939</v>
      </c>
      <c r="BO213" s="93">
        <f>ППД5[[#This Row],[Фикс 13.03.25]]*2%</f>
        <v>1842.8596934505788</v>
      </c>
      <c r="BP213" s="93">
        <f>ППД5[[#This Row],[Фикс 13.03.25]]+ППД5[[#This Row],[Наценка 20.03.24
2К, 3К - 2%]]</f>
        <v>93985.844365979516</v>
      </c>
      <c r="BQ213" s="93"/>
      <c r="BR213" s="93">
        <f>ППД5[[#This Row],[Фикс 20.03.24]]+ППД5[[#This Row],[Наценка 08.04.24 
2К: В3 - 150
3К: Г7 +1000]]</f>
        <v>93985.844365979516</v>
      </c>
      <c r="BS213" s="9">
        <f>ППД5[[#This Row],[Фикс 08.04.24]]*1%</f>
        <v>939.85844365979517</v>
      </c>
      <c r="BT213" s="93">
        <f>ППД5[[#This Row],[Фикс 08.04.24]]+ППД5[[#This Row],[Наценка 16.05.24 1%
А4,А6,Б3,Б6,Б7,В2,В3,В5,В6,Г1,Г3-Г5]]</f>
        <v>94925.702809639304</v>
      </c>
      <c r="BU213" s="93"/>
      <c r="BV213" s="93">
        <f>ППД5[[#This Row],[Фикс 16.05.24]]+ППД5[[#This Row],[Наценка 24.05.24
1% - Б4, Б5,Г2,Г6
2% - А1,А3,А5,Б2,Г7]]</f>
        <v>94925.702809639304</v>
      </c>
      <c r="BW213" s="93"/>
      <c r="BX213" s="93">
        <f>ППД5[[#This Row],[Наценка 06.06.24
0К: В2,Г3 +0,5%
1К: А7, Б5/4, Г6 +0,5%
3К: В6 +0,5%
1К: А3 +1%]]+ППД5[[#This Row],[Фикс 24.05.24]]</f>
        <v>94925.702809639304</v>
      </c>
      <c r="BY213" s="93"/>
      <c r="BZ213" s="93">
        <f>ППД5[[#This Row],[Фикс 06.06.24]]+ППД5[[#This Row],[13.06.2024
3К - 2%]]</f>
        <v>94925.702809639304</v>
      </c>
      <c r="CA213" s="93"/>
      <c r="CB213" s="93">
        <f>ППД5[[#This Row],[02.07.2024: Г3 А1 А3 Б5 Б7 Г2 Г6 Б3 Б4 В3 Г7 2,5% ост 0,5-1,5%]]+ППД5[[#This Row],[Фикс 13.06.24]]</f>
        <v>94925.702809639304</v>
      </c>
      <c r="CC213" s="93"/>
      <c r="CD213" s="93">
        <f>ППД5[[#This Row],[Фикс 02.07.24]]+ППД5[[#This Row],[04.09.2024 +500
0К - Б2; 1К - А3;
2К - А6, Б4, В3, Г5]]</f>
        <v>94925.702809639304</v>
      </c>
      <c r="CE213" s="93"/>
      <c r="CF213" s="93">
        <f>ППД5[[#This Row],[Наценка 16.09.2024
1К: А1,В7,Г6/7,Г8 - 2%
2К: А4,А5,А6,Б1,Б6,Б3/4,В3,В4,Г4,Г5 - 4%
3К: 4%]]+ППД5[[#This Row],[Фикс 04.09.24]]</f>
        <v>94925.702809639304</v>
      </c>
      <c r="CG213" s="93"/>
      <c r="CH213" s="93">
        <f>ППД5[[#This Row],[Фикс 16.09.2024]]+ППД5[[#This Row],[Наценка 01.11.24
СТ: 4%
1К: 34-40м 5%; 40м+ 8%; МГН 1%
2К: 55-70м 6%; 70-73м 7%; 73-76м 8% 
3К: 5%]]</f>
        <v>94925.702809639304</v>
      </c>
      <c r="CI213" s="93"/>
      <c r="CJ213" s="93">
        <f>ППД5[[#This Row],[Наценка 06.11 13%]]+ППД5[[#This Row],[Фикс 01.11.24]]</f>
        <v>94925.702809639304</v>
      </c>
      <c r="CK213" s="93"/>
      <c r="CL213" s="93">
        <f>ППД5[[#This Row],[Фикс 06.11.24]]+ППД5[[#This Row],[Наценка 18.12.24 распределение КВ]]</f>
        <v>94925.702809639304</v>
      </c>
      <c r="CM213" s="93"/>
      <c r="CN213" s="93">
        <f>ППД5[[#This Row],[Фикс 18.12.24]]+ППД5[[#This Row],[Наценка 10.02.25 +1%
1К: А3
2К: Б3, В3]]</f>
        <v>94925.702809639304</v>
      </c>
      <c r="CO213" s="93">
        <f>ROUND(ППД5[[#This Row],[Фикс 10.02.25]],2)</f>
        <v>94925.7</v>
      </c>
      <c r="CP21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5467800</v>
      </c>
      <c r="CQ213" s="93">
        <f>ROUNDUP(ППД5[[#This Row],[Стоимость до скидки]]+ППД5[[#This Row],[Сумма доплаты]],-2)</f>
        <v>5501100</v>
      </c>
      <c r="CR213" s="68"/>
      <c r="CS213" s="90"/>
      <c r="CT213" s="68">
        <f>ППД5[[#This Row],[Стоимость до скидки]]*ППД5[[#This Row],[Скидка %]]+ППД5[[#This Row],[Скидка фиксированная]]</f>
        <v>0</v>
      </c>
      <c r="CU213" s="3">
        <f>ППД5[[#This Row],[Стоимость ОН без отделки со скидкой]]/ППД5[[#This Row],[Расчетная проектная площадь]]</f>
        <v>94927.083333333328</v>
      </c>
      <c r="CV213" s="3">
        <f>ROUND(ППД5[[#This Row],[Стоимость до скидки]]-ППД5[[#This Row],[Итоговая сумма скидки]],2)</f>
        <v>5467800</v>
      </c>
      <c r="CW21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13" s="197">
        <v>20000</v>
      </c>
      <c r="CY213" s="332">
        <f>ППД5[[#This Row],[Расхождение]]/ППД5[[#This Row],[Расчетная проектная площадь]]</f>
        <v>6.0763888888889133E-3</v>
      </c>
      <c r="CZ21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0.3500000000000032</v>
      </c>
      <c r="DA213" s="3">
        <f>ППД5[[#This Row],[Цена м2 без отделки со скидкой]]+ППД5[[#This Row],[Стоимость отделки]]</f>
        <v>114927.08333333333</v>
      </c>
      <c r="DB213" s="3">
        <f>ППД5[[#This Row],[Стоимость квартиры с отделкой]]-ППД5[[#This Row],[Стоимость ОН без отделки со скидкой]]</f>
        <v>1152000</v>
      </c>
      <c r="DC213" s="3">
        <f>ППД5[[#This Row],[Цена м2 с отделкой]]*ППД5[[#This Row],[Расчетная проектная площадь]]</f>
        <v>6619800</v>
      </c>
      <c r="DD213" s="3" t="s">
        <v>154</v>
      </c>
      <c r="DF213" s="199" t="s">
        <v>172</v>
      </c>
      <c r="DG213" s="245" t="s">
        <v>172</v>
      </c>
      <c r="DH213" s="100" t="b">
        <f>EXACT(ППД5[[#This Row],[Статусы CRM]],ППД5[[#This Row],[Статус]])</f>
        <v>1</v>
      </c>
      <c r="DI213" s="213" t="s">
        <v>385</v>
      </c>
      <c r="DJ213" s="204"/>
      <c r="DK213" s="111" t="s">
        <v>763</v>
      </c>
      <c r="DL213" s="216" t="s">
        <v>14</v>
      </c>
      <c r="DM213" s="201" t="b">
        <f>ППД5[[#This Row],[Отделка CRM]]=ППД5[[#This Row],[Отделка]]</f>
        <v>1</v>
      </c>
      <c r="DN213" s="203">
        <v>6619800</v>
      </c>
      <c r="DO21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13" s="207" t="b">
        <f>IF(AND(ППД5[[#This Row],[Статус]]="свободно",ППД5[[#This Row],[Итоговая сумма скидки]]&lt;&gt;0),FALSE,TRUE)</f>
        <v>1</v>
      </c>
      <c r="DQ213" s="240">
        <f>_xlfn.XLOOKUP(ППД5[[#This Row],[№]],Юрист[№ кв],Юрист[Дата подачи на регистрацию]," ",0,-1)</f>
        <v>45440</v>
      </c>
      <c r="DR213" s="115" t="str">
        <f>_xlfn.XLOOKUP(ППД5[[#This Row],[№]],Юрист[№ кв],Юрист[МОП],"",0,-1)</f>
        <v>Калачева</v>
      </c>
      <c r="DS213" s="333" t="s">
        <v>2718</v>
      </c>
      <c r="DT213" s="333" t="s">
        <v>2719</v>
      </c>
      <c r="DU213" s="333">
        <v>56.6</v>
      </c>
      <c r="DV213" s="111"/>
    </row>
    <row r="214" spans="1:126" hidden="1" x14ac:dyDescent="0.25">
      <c r="A214" s="112">
        <v>212</v>
      </c>
      <c r="B214" s="111" t="s">
        <v>4</v>
      </c>
      <c r="C214" s="111">
        <v>15</v>
      </c>
      <c r="D214" s="111">
        <v>4</v>
      </c>
      <c r="E214" s="111">
        <v>2</v>
      </c>
      <c r="F214" s="105">
        <v>15.45</v>
      </c>
      <c r="G214" s="105">
        <v>14.5</v>
      </c>
      <c r="H214" s="105"/>
      <c r="I214" s="94">
        <f>SUM(ППД5[[#This Row],[Комната 1]:[Комната 3]])</f>
        <v>29.95</v>
      </c>
      <c r="J214" s="105">
        <v>11.95</v>
      </c>
      <c r="K214" s="105">
        <v>3.86</v>
      </c>
      <c r="L214" s="105">
        <v>2.37</v>
      </c>
      <c r="M214" s="105"/>
      <c r="N214" s="105">
        <v>8.8699999999999992</v>
      </c>
      <c r="O214" s="105">
        <v>2.62</v>
      </c>
      <c r="P214" s="105"/>
      <c r="Q214" s="105"/>
      <c r="R214" s="105">
        <f>SUM(ППД5[[#This Row],[Лоджия 1]:[Лоджия 3]])</f>
        <v>2.62</v>
      </c>
      <c r="S214" s="8">
        <f>ROUND(SUM(ППД5[[#This Row],[Площадь по проекту жилая]:[Лоджия 3]]),2)</f>
        <v>59.62</v>
      </c>
      <c r="T214" s="8">
        <f>ROUND(ППД5[[#This Row],[Площадь по проекту(общая)]]-ППД5[[#This Row],[Летние]],2)</f>
        <v>57</v>
      </c>
      <c r="U214" s="91">
        <f>ROUND(ППД5[[#This Row],[Площадь по проекту(общая)]]-(SUM(ППД5[[#This Row],[Лоджия 1]:[Лоджия 3]])/2),2)</f>
        <v>58.31</v>
      </c>
      <c r="V214" s="91">
        <f>IF(ППД5[[#This Row],[Статус]]="продажа",ППД5[[#This Row],[Расчетная проектная площадь]],ППД5[[#This Row],[Расчетная ТП площадь]])</f>
        <v>58.31</v>
      </c>
      <c r="W214" s="91">
        <v>14.5</v>
      </c>
      <c r="X214" s="91">
        <v>15.5</v>
      </c>
      <c r="Y214" s="91"/>
      <c r="Z214" s="91">
        <f>SUM(ППД5[[#This Row],[ТП Комната 1]:[ТП Комната 3]])</f>
        <v>30</v>
      </c>
      <c r="AA214" s="91">
        <v>11.9</v>
      </c>
      <c r="AB214" s="91">
        <v>3.9</v>
      </c>
      <c r="AC214" s="91">
        <v>2.4</v>
      </c>
      <c r="AD214" s="91"/>
      <c r="AE214" s="91">
        <v>8.9</v>
      </c>
      <c r="AF214" s="91">
        <v>1.35</v>
      </c>
      <c r="AG214" s="91"/>
      <c r="AH214" s="91"/>
      <c r="AI214" s="91">
        <f>SUM(ППД5[[#This Row],[ТП Лоджия 1]:[ТП Лоджия 3]])</f>
        <v>1.35</v>
      </c>
      <c r="AJ214" s="95">
        <v>2.7</v>
      </c>
      <c r="AK214" s="91">
        <f>SUM(ППД5[[#This Row],[Площадь по ТП жилая]:[ТП Лоджия 3]])-ППД5[[#This Row],[ТП Летние]]+ППД5[[#This Row],[кроме того прочая
(без коэффициента)]]</f>
        <v>59.8</v>
      </c>
      <c r="AL214" s="95">
        <f>ППД5[[#This Row],[ТП Площадь без летних]]+(ППД5[[#This Row],[ТП Летние]])</f>
        <v>58.449999999999996</v>
      </c>
      <c r="AM214" s="91">
        <f>ППД5[[#This Row],[ТП общая S]]-ППД5[[#This Row],[кроме того прочая
(без коэффициента)]]</f>
        <v>57.099999999999994</v>
      </c>
      <c r="AN214" s="95">
        <f>SUM(ППД5[[#This Row],[ТП Кухня]:[ТП Коридор]])</f>
        <v>27.1</v>
      </c>
      <c r="AO214" s="91">
        <f>ППД5[[#This Row],[Расчетная ТП площадь]]-ППД5[[#This Row],[Расчетная проектная площадь]]</f>
        <v>0.13999999999999346</v>
      </c>
      <c r="AP214" s="335">
        <f>ППД5[[#This Row],[Расчетная ТП площадь]]/ППД5[[#This Row],[Расчетная проектная площадь]]-1</f>
        <v>2.4009603841534943E-3</v>
      </c>
      <c r="AQ214" s="91">
        <f>ППД5[[#This Row],[% расхождения]]*ППД5[[#This Row],[Стоимость до скидки]]</f>
        <v>12100.954597838292</v>
      </c>
      <c r="AR214" s="91">
        <f>VLOOKUP(ППД5[[#This Row],[№]],наценкад5[],COLUMN(наценкад5[[#This Row],[Цена м2 с учетом всех K]]),0)</f>
        <v>79921.768500000006</v>
      </c>
      <c r="AS214" s="8">
        <f>ППД5[[#This Row],[м2 после К]]*5%</f>
        <v>3996.0884250000004</v>
      </c>
      <c r="AT214" s="8">
        <f>ППД5[[#This Row],[м2 после К]]+ППД5[[#This Row],[Повышение 16.08.23 - 5%]]</f>
        <v>83917.856925</v>
      </c>
      <c r="AU214" s="93">
        <f>ППД5[[#This Row],[Фикс 16.08.23]]*3%</f>
        <v>2517.5357077499998</v>
      </c>
      <c r="AV214" s="93">
        <f>ППД5[[#This Row],[Фикс 16.08.23]]+ППД5[[#This Row],[Повышение 29.08.23 - 3%]]</f>
        <v>86435.392632749994</v>
      </c>
      <c r="AW214" s="93"/>
      <c r="AX214" s="93">
        <f>ППД5[[#This Row],[Фикс 29.08.23]]+ППД5[[#This Row],[Повышение 06.09.23 СТ и 1К]]</f>
        <v>86435.392632749994</v>
      </c>
      <c r="AY214" s="93"/>
      <c r="AZ214" s="93">
        <f>ППД5[[#This Row],[Повышение 23.10.23  В4 ]]+ППД5[[#This Row],[Фикс 06.09.23]]</f>
        <v>86435.392632749994</v>
      </c>
      <c r="BA214" s="93"/>
      <c r="BB214" s="93">
        <f>ППД5[[#This Row],[Повышение 8.11.23 1К 5%]]+ППД5[[#This Row],[Фикс 23.10.23]]</f>
        <v>86435.392632749994</v>
      </c>
      <c r="BC214" s="93"/>
      <c r="BD214" s="93">
        <f>ППД5[[#This Row],[Корректировка 24.11.23 - 1К В5, 2К А2, №233]]+ППД5[[#This Row],[Фикс 8.11.23]]</f>
        <v>86435.392632749994</v>
      </c>
      <c r="BE214" s="93"/>
      <c r="BF214" s="93">
        <f>ППД5[[#This Row],[Наценка за отделку 29.12.23 1%]]+ППД5[[#This Row],[Фикс 8.11.24]]</f>
        <v>86435.392632749994</v>
      </c>
      <c r="BG214" s="93"/>
      <c r="BH214" s="93">
        <f>ППД5[[#This Row],[Фикс 29.12.23]]+ППД5[[#This Row],[Наценка 10.01.24 5%]]</f>
        <v>86435.392632749994</v>
      </c>
      <c r="BI214" s="93"/>
      <c r="BJ214" s="93">
        <f>ППД5[[#This Row],[Наценка 26.02.24 1 Этаж]]+ППД5[[#This Row],[Фикс 10.01.24]]</f>
        <v>86435.392632749994</v>
      </c>
      <c r="BK214" s="93"/>
      <c r="BL214" s="93">
        <f>ППД5[[#This Row],[Фикс 26.02.24]]+ППД5[[#This Row],[Наценка 06.03.24
СТ, 1К - 3%
2К, 3К - 2%]]</f>
        <v>86435.392632749994</v>
      </c>
      <c r="BM214" s="93"/>
      <c r="BN214" s="93">
        <f>ППД5[[#This Row],[Фикс 06.03.24]]+ППД5[[#This Row],[Наценка Г2+500]]</f>
        <v>86435.392632749994</v>
      </c>
      <c r="BO214" s="93"/>
      <c r="BP214" s="93">
        <f>ППД5[[#This Row],[Фикс 13.03.25]]+ППД5[[#This Row],[Наценка 20.03.24
2К, 3К - 2%]]</f>
        <v>86435.392632749994</v>
      </c>
      <c r="BQ214" s="93"/>
      <c r="BR214" s="93">
        <f>ППД5[[#This Row],[Фикс 20.03.24]]+ППД5[[#This Row],[Наценка 08.04.24 
2К: В3 - 150
3К: Г7 +1000]]</f>
        <v>86435.392632749994</v>
      </c>
      <c r="BS214" s="93"/>
      <c r="BT214" s="93">
        <f>ППД5[[#This Row],[Фикс 08.04.24]]+ППД5[[#This Row],[Наценка 16.05.24 1%
А4,А6,Б3,Б6,Б7,В2,В3,В5,В6,Г1,Г3-Г5]]</f>
        <v>86435.392632749994</v>
      </c>
      <c r="BU214" s="93"/>
      <c r="BV214" s="93">
        <f>ППД5[[#This Row],[Фикс 16.05.24]]+ППД5[[#This Row],[Наценка 24.05.24
1% - Б4, Б5,Г2,Г6
2% - А1,А3,А5,Б2,Г7]]</f>
        <v>86435.392632749994</v>
      </c>
      <c r="BW214" s="93"/>
      <c r="BX214" s="93">
        <f>ППД5[[#This Row],[Наценка 06.06.24
0К: В2,Г3 +0,5%
1К: А7, Б5/4, Г6 +0,5%
3К: В6 +0,5%
1К: А3 +1%]]+ППД5[[#This Row],[Фикс 24.05.24]]</f>
        <v>86435.392632749994</v>
      </c>
      <c r="BY214" s="93"/>
      <c r="BZ214" s="93">
        <f>ППД5[[#This Row],[Фикс 06.06.24]]+ППД5[[#This Row],[13.06.2024
3К - 2%]]</f>
        <v>86435.392632749994</v>
      </c>
      <c r="CA214" s="93"/>
      <c r="CB214" s="93">
        <f>ППД5[[#This Row],[02.07.2024: Г3 А1 А3 Б5 Б7 Г2 Г6 Б3 Б4 В3 Г7 2,5% ост 0,5-1,5%]]+ППД5[[#This Row],[Фикс 13.06.24]]</f>
        <v>86435.392632749994</v>
      </c>
      <c r="CC214" s="93"/>
      <c r="CD214" s="93">
        <f>ППД5[[#This Row],[Фикс 02.07.24]]+ППД5[[#This Row],[04.09.2024 +500
0К - Б2; 1К - А3;
2К - А6, Б4, В3, Г5]]</f>
        <v>86435.392632749994</v>
      </c>
      <c r="CE214" s="93"/>
      <c r="CF214" s="93">
        <f>ППД5[[#This Row],[Наценка 16.09.2024
1К: А1,В7,Г6/7,Г8 - 2%
2К: А4,А5,А6,Б1,Б6,Б3/4,В3,В4,Г4,Г5 - 4%
3К: 4%]]+ППД5[[#This Row],[Фикс 04.09.24]]</f>
        <v>86435.392632749994</v>
      </c>
      <c r="CG214" s="93"/>
      <c r="CH214" s="93">
        <f>ППД5[[#This Row],[Фикс 16.09.2024]]+ППД5[[#This Row],[Наценка 01.11.24
СТ: 4%
1К: 34-40м 5%; 40м+ 8%; МГН 1%
2К: 55-70м 6%; 70-73м 7%; 73-76м 8% 
3К: 5%]]</f>
        <v>86435.392632749994</v>
      </c>
      <c r="CI214" s="93"/>
      <c r="CJ214" s="93">
        <f>ППД5[[#This Row],[Наценка 06.11 13%]]+ППД5[[#This Row],[Фикс 01.11.24]]</f>
        <v>86435.392632749994</v>
      </c>
      <c r="CK214" s="93"/>
      <c r="CL214" s="93">
        <f>ППД5[[#This Row],[Фикс 06.11.24]]+ППД5[[#This Row],[Наценка 18.12.24 распределение КВ]]</f>
        <v>86435.392632749994</v>
      </c>
      <c r="CM214" s="93"/>
      <c r="CN214" s="93">
        <f>ППД5[[#This Row],[Фикс 18.12.24]]+ППД5[[#This Row],[Наценка 10.02.25 +1%
1К: А3
2К: Б3, В3]]</f>
        <v>86435.392632749994</v>
      </c>
      <c r="CO214" s="93">
        <f>ROUND(ППД5[[#This Row],[Фикс 10.02.25]],2)</f>
        <v>86435.39</v>
      </c>
      <c r="CP21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5040047.59</v>
      </c>
      <c r="CQ214" s="93">
        <f>ROUNDUP(ППД5[[#This Row],[Стоимость до скидки]]+ППД5[[#This Row],[Сумма доплаты]],-2)</f>
        <v>5052200</v>
      </c>
      <c r="CR214" s="68">
        <v>120000</v>
      </c>
      <c r="CS214" s="90"/>
      <c r="CT214" s="68">
        <f>ППД5[[#This Row],[Стоимость до скидки]]*ППД5[[#This Row],[Скидка %]]+ППД5[[#This Row],[Скидка фиксированная]]</f>
        <v>120000</v>
      </c>
      <c r="CU214" s="3">
        <f>ППД5[[#This Row],[Стоимость ОН без отделки со скидкой]]/ППД5[[#This Row],[Расчетная проектная площадь]]</f>
        <v>84377.423941004963</v>
      </c>
      <c r="CV214" s="3">
        <f>ROUND(ППД5[[#This Row],[Стоимость до скидки]]-ППД5[[#This Row],[Итоговая сумма скидки]],2)</f>
        <v>4920047.59</v>
      </c>
      <c r="CW21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14" s="197"/>
      <c r="CY214" s="332">
        <f>ППД5[[#This Row],[Расхождение]]/ППД5[[#This Row],[Расчетная проектная площадь]]</f>
        <v>2.4009603841535494E-3</v>
      </c>
      <c r="CZ21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5.0000000000004263E-2</v>
      </c>
      <c r="DA214" s="3">
        <f>ППД5[[#This Row],[Цена м2 без отделки со скидкой]]+ППД5[[#This Row],[Стоимость отделки]]</f>
        <v>84377.423941004963</v>
      </c>
      <c r="DB214" s="3">
        <f>ППД5[[#This Row],[Стоимость квартиры с отделкой]]-ППД5[[#This Row],[Стоимость ОН без отделки со скидкой]]</f>
        <v>0</v>
      </c>
      <c r="DC214" s="3">
        <f>ППД5[[#This Row],[Цена м2 с отделкой]]*ППД5[[#This Row],[Расчетная проектная площадь]]</f>
        <v>4920047.59</v>
      </c>
      <c r="DD214" s="3"/>
      <c r="DE214" s="111" t="s">
        <v>171</v>
      </c>
      <c r="DF214" s="199" t="s">
        <v>172</v>
      </c>
      <c r="DG214" s="245" t="s">
        <v>172</v>
      </c>
      <c r="DH214" s="100" t="b">
        <f>EXACT(ППД5[[#This Row],[Статусы CRM]],ППД5[[#This Row],[Статус]])</f>
        <v>1</v>
      </c>
      <c r="DI214" s="213" t="s">
        <v>386</v>
      </c>
      <c r="DJ214" s="204"/>
      <c r="DK214" s="111" t="s">
        <v>76</v>
      </c>
      <c r="DL214" s="216" t="s">
        <v>12</v>
      </c>
      <c r="DM214" s="201" t="b">
        <f>ППД5[[#This Row],[Отделка CRM]]=ППД5[[#This Row],[Отделка]]</f>
        <v>1</v>
      </c>
      <c r="DN214" s="203">
        <v>4920047.59</v>
      </c>
      <c r="DO21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14" s="207" t="b">
        <f>IF(AND(ППД5[[#This Row],[Статус]]="свободно",ППД5[[#This Row],[Итоговая сумма скидки]]&lt;&gt;0),FALSE,TRUE)</f>
        <v>1</v>
      </c>
      <c r="DQ214" s="240">
        <f>_xlfn.XLOOKUP(ППД5[[#This Row],[№]],Юрист[№ кв],Юрист[Дата подачи на регистрацию]," ",0,-1)</f>
        <v>45247</v>
      </c>
      <c r="DR214" s="115" t="str">
        <f>_xlfn.XLOOKUP(ППД5[[#This Row],[№]],Юрист[№ кв],Юрист[МОП],"",0,-1)</f>
        <v>Никишов</v>
      </c>
      <c r="DS214" s="333" t="s">
        <v>2720</v>
      </c>
      <c r="DT214" s="333" t="s">
        <v>2721</v>
      </c>
      <c r="DU214" s="333">
        <v>57.1</v>
      </c>
      <c r="DV214" s="111"/>
    </row>
    <row r="215" spans="1:126" hidden="1" x14ac:dyDescent="0.25">
      <c r="A215" s="112">
        <v>213</v>
      </c>
      <c r="B215" s="111" t="s">
        <v>4</v>
      </c>
      <c r="C215" s="111">
        <v>15</v>
      </c>
      <c r="D215" s="111">
        <v>5</v>
      </c>
      <c r="E215" s="111">
        <v>1</v>
      </c>
      <c r="F215" s="105">
        <v>12.06</v>
      </c>
      <c r="G215" s="105"/>
      <c r="H215" s="105"/>
      <c r="I215" s="94">
        <f>SUM(ППД5[[#This Row],[Комната 1]:[Комната 3]])</f>
        <v>12.06</v>
      </c>
      <c r="J215" s="105">
        <v>13.18</v>
      </c>
      <c r="K215" s="105">
        <v>4.1100000000000003</v>
      </c>
      <c r="L215" s="105"/>
      <c r="M215" s="105"/>
      <c r="N215" s="105">
        <v>7.09</v>
      </c>
      <c r="O215" s="105">
        <v>2.84</v>
      </c>
      <c r="P215" s="105"/>
      <c r="Q215" s="105"/>
      <c r="R215" s="105">
        <f>SUM(ППД5[[#This Row],[Лоджия 1]:[Лоджия 3]])</f>
        <v>2.84</v>
      </c>
      <c r="S215" s="8">
        <f>ROUND(SUM(ППД5[[#This Row],[Площадь по проекту жилая]:[Лоджия 3]]),2)</f>
        <v>39.28</v>
      </c>
      <c r="T215" s="8">
        <f>ROUND(ППД5[[#This Row],[Площадь по проекту(общая)]]-ППД5[[#This Row],[Летние]],2)</f>
        <v>36.44</v>
      </c>
      <c r="U215" s="91">
        <f>ROUND(ППД5[[#This Row],[Площадь по проекту(общая)]]-(SUM(ППД5[[#This Row],[Лоджия 1]:[Лоджия 3]])/2),2)</f>
        <v>37.86</v>
      </c>
      <c r="V215" s="91">
        <f>IF(ППД5[[#This Row],[Статус]]="продажа",ППД5[[#This Row],[Расчетная проектная площадь]],ППД5[[#This Row],[Расчетная ТП площадь]])</f>
        <v>37.950000000000003</v>
      </c>
      <c r="W215" s="91">
        <v>12.6</v>
      </c>
      <c r="X215" s="91"/>
      <c r="Y215" s="91"/>
      <c r="Z215" s="91">
        <f>SUM(ППД5[[#This Row],[ТП Комната 1]:[ТП Комната 3]])</f>
        <v>12.6</v>
      </c>
      <c r="AA215" s="91">
        <v>12.6</v>
      </c>
      <c r="AB215" s="91">
        <v>4.0999999999999996</v>
      </c>
      <c r="AC215" s="91"/>
      <c r="AD215" s="91"/>
      <c r="AE215" s="91">
        <v>7.2</v>
      </c>
      <c r="AF215" s="91">
        <v>1.45</v>
      </c>
      <c r="AG215" s="91"/>
      <c r="AH215" s="91"/>
      <c r="AI215" s="91">
        <f>SUM(ППД5[[#This Row],[ТП Лоджия 1]:[ТП Лоджия 3]])</f>
        <v>1.45</v>
      </c>
      <c r="AJ215" s="95">
        <v>2.9</v>
      </c>
      <c r="AK215" s="91">
        <f>SUM(ППД5[[#This Row],[Площадь по ТП жилая]:[ТП Лоджия 3]])-ППД5[[#This Row],[ТП Летние]]+ППД5[[#This Row],[кроме того прочая
(без коэффициента)]]</f>
        <v>39.4</v>
      </c>
      <c r="AL215" s="95">
        <f>ППД5[[#This Row],[ТП Площадь без летних]]+(ППД5[[#This Row],[ТП Летние]])</f>
        <v>37.950000000000003</v>
      </c>
      <c r="AM215" s="91">
        <f>ППД5[[#This Row],[ТП общая S]]-ППД5[[#This Row],[кроме того прочая
(без коэффициента)]]</f>
        <v>36.5</v>
      </c>
      <c r="AN215" s="95">
        <f>SUM(ППД5[[#This Row],[ТП Кухня]:[ТП Коридор]])</f>
        <v>23.9</v>
      </c>
      <c r="AO215" s="91">
        <f>ППД5[[#This Row],[Расчетная ТП площадь]]-ППД5[[#This Row],[Расчетная проектная площадь]]</f>
        <v>9.0000000000003411E-2</v>
      </c>
      <c r="AP215" s="335">
        <f>ППД5[[#This Row],[Расчетная ТП площадь]]/ППД5[[#This Row],[Расчетная проектная площадь]]-1</f>
        <v>2.3771790808242432E-3</v>
      </c>
      <c r="AQ215" s="91">
        <f>ППД5[[#This Row],[% расхождения]]*ППД5[[#This Row],[Стоимость до скидки]]</f>
        <v>12619.017432647413</v>
      </c>
      <c r="AR215" s="91">
        <f>VLOOKUP(ППД5[[#This Row],[№]],наценкад5[],COLUMN(наценкад5[[#This Row],[Цена м2 с учетом всех K]]),0)</f>
        <v>87601.5</v>
      </c>
      <c r="AS215" s="8">
        <f>ППД5[[#This Row],[м2 после К]]*5%</f>
        <v>4380.0749999999998</v>
      </c>
      <c r="AT215" s="8">
        <f>ППД5[[#This Row],[м2 после К]]+ППД5[[#This Row],[Повышение 16.08.23 - 5%]]</f>
        <v>91981.574999999997</v>
      </c>
      <c r="AU215" s="93">
        <f>ППД5[[#This Row],[Фикс 16.08.23]]*3%</f>
        <v>2759.4472499999997</v>
      </c>
      <c r="AV215" s="93">
        <f>ППД5[[#This Row],[Фикс 16.08.23]]+ППД5[[#This Row],[Повышение 29.08.23 - 3%]]</f>
        <v>94741.022249999995</v>
      </c>
      <c r="AW215" s="93">
        <f>ППД5[[#This Row],[Фикс 29.08.23]]*4.5%</f>
        <v>4263.34600125</v>
      </c>
      <c r="AX215" s="93">
        <f>ППД5[[#This Row],[Фикс 29.08.23]]+ППД5[[#This Row],[Повышение 06.09.23 СТ и 1К]]</f>
        <v>99004.368251249995</v>
      </c>
      <c r="AY215" s="93"/>
      <c r="AZ215" s="93">
        <f>ППД5[[#This Row],[Повышение 23.10.23  В4 ]]+ППД5[[#This Row],[Фикс 06.09.23]]</f>
        <v>99004.368251249995</v>
      </c>
      <c r="BA215" s="93">
        <f>ППД5[[#This Row],[Фикс 23.10.23]]*5%</f>
        <v>4950.2184125624999</v>
      </c>
      <c r="BB215" s="93">
        <f>ППД5[[#This Row],[Повышение 8.11.23 1К 5%]]+ППД5[[#This Row],[Фикс 23.10.23]]</f>
        <v>103954.5866638125</v>
      </c>
      <c r="BC215" s="93"/>
      <c r="BD215" s="93">
        <f>ППД5[[#This Row],[Корректировка 24.11.23 - 1К В5, 2К А2, №233]]+ППД5[[#This Row],[Фикс 8.11.23]]</f>
        <v>103954.5866638125</v>
      </c>
      <c r="BE215" s="93">
        <f>ППД5[[#This Row],[Фикс 8.11.24]]*1%</f>
        <v>1039.5458666381251</v>
      </c>
      <c r="BF215" s="93">
        <f>ППД5[[#This Row],[Наценка за отделку 29.12.23 1%]]+ППД5[[#This Row],[Фикс 8.11.24]]</f>
        <v>104994.13253045063</v>
      </c>
      <c r="BG215" s="93">
        <f>ППД5[[#This Row],[Фикс 29.12.23]]*5%</f>
        <v>5249.7066265225321</v>
      </c>
      <c r="BH215" s="93">
        <f>ППД5[[#This Row],[Фикс 29.12.23]]+ППД5[[#This Row],[Наценка 10.01.24 5%]]</f>
        <v>110243.83915697316</v>
      </c>
      <c r="BI215" s="93"/>
      <c r="BJ215" s="93">
        <f>ППД5[[#This Row],[Наценка 26.02.24 1 Этаж]]+ППД5[[#This Row],[Фикс 10.01.24]]</f>
        <v>110243.83915697316</v>
      </c>
      <c r="BK215" s="93">
        <f>ППД5[[#This Row],[Фикс 26.02.24]]*3%</f>
        <v>3307.3151747091947</v>
      </c>
      <c r="BL215" s="93">
        <f>ППД5[[#This Row],[Фикс 26.02.24]]+ППД5[[#This Row],[Наценка 06.03.24
СТ, 1К - 3%
2К, 3К - 2%]]</f>
        <v>113551.15433168235</v>
      </c>
      <c r="BM215" s="93"/>
      <c r="BN215" s="93">
        <f>ППД5[[#This Row],[Фикс 06.03.24]]+ППД5[[#This Row],[Наценка Г2+500]]</f>
        <v>113551.15433168235</v>
      </c>
      <c r="BO215" s="93"/>
      <c r="BP215" s="93">
        <f>ППД5[[#This Row],[Фикс 13.03.25]]+ППД5[[#This Row],[Наценка 20.03.24
2К, 3К - 2%]]</f>
        <v>113551.15433168235</v>
      </c>
      <c r="BQ215" s="93"/>
      <c r="BR215" s="93">
        <f>ППД5[[#This Row],[Фикс 20.03.24]]+ППД5[[#This Row],[Наценка 08.04.24 
2К: В3 - 150
3К: Г7 +1000]]</f>
        <v>113551.15433168235</v>
      </c>
      <c r="BS215" s="93"/>
      <c r="BT215" s="93">
        <f>ППД5[[#This Row],[Фикс 08.04.24]]+ППД5[[#This Row],[Наценка 16.05.24 1%
А4,А6,Б3,Б6,Б7,В2,В3,В5,В6,Г1,Г3-Г5]]</f>
        <v>113551.15433168235</v>
      </c>
      <c r="BU215" s="93">
        <f>ППД5[[#This Row],[Фикс 16.05.24]]*1%</f>
        <v>1135.5115433168235</v>
      </c>
      <c r="BV215" s="93">
        <f>ППД5[[#This Row],[Фикс 16.05.24]]+ППД5[[#This Row],[Наценка 24.05.24
1% - Б4, Б5,Г2,Г6
2% - А1,А3,А5,Б2,Г7]]</f>
        <v>114686.66587499918</v>
      </c>
      <c r="BW215" s="93">
        <f>ППД5[[#This Row],[Фикс 24.05.24]]*0.5%</f>
        <v>573.43332937499588</v>
      </c>
      <c r="BX215" s="93">
        <f>ППД5[[#This Row],[Наценка 06.06.24
0К: В2,Г3 +0,5%
1К: А7, Б5/4, Г6 +0,5%
3К: В6 +0,5%
1К: А3 +1%]]+ППД5[[#This Row],[Фикс 24.05.24]]</f>
        <v>115260.09920437417</v>
      </c>
      <c r="BY215" s="93"/>
      <c r="BZ215" s="93">
        <f>ППД5[[#This Row],[Фикс 06.06.24]]+ППД5[[#This Row],[13.06.2024
3К - 2%]]</f>
        <v>115260.09920437417</v>
      </c>
      <c r="CA215" s="93">
        <f>2.5%*ППД5[[#This Row],[Фикс 13.06.24]]</f>
        <v>2881.5024801093546</v>
      </c>
      <c r="CB215" s="93">
        <f>ППД5[[#This Row],[02.07.2024: Г3 А1 А3 Б5 Б7 Г2 Г6 Б3 Б4 В3 Г7 2,5% ост 0,5-1,5%]]+ППД5[[#This Row],[Фикс 13.06.24]]</f>
        <v>118141.60168448352</v>
      </c>
      <c r="CC215" s="93"/>
      <c r="CD215" s="93">
        <f>ППД5[[#This Row],[Фикс 02.07.24]]+ППД5[[#This Row],[04.09.2024 +500
0К - Б2; 1К - А3;
2К - А6, Б4, В3, Г5]]</f>
        <v>118141.60168448352</v>
      </c>
      <c r="CE215" s="93"/>
      <c r="CF215" s="93">
        <f>ППД5[[#This Row],[Наценка 16.09.2024
1К: А1,В7,Г6/7,Г8 - 2%
2К: А4,А5,А6,Б1,Б6,Б3/4,В3,В4,Г4,Г5 - 4%
3К: 4%]]+ППД5[[#This Row],[Фикс 04.09.24]]</f>
        <v>118141.60168448352</v>
      </c>
      <c r="CG215" s="93">
        <f>ППД5[[#This Row],[Фикс 16.09.2024]]*5%</f>
        <v>5907.080084224177</v>
      </c>
      <c r="CH215" s="93">
        <f>ППД5[[#This Row],[Фикс 16.09.2024]]+ППД5[[#This Row],[Наценка 01.11.24
СТ: 4%
1К: 34-40м 5%; 40м+ 8%; МГН 1%
2К: 55-70м 6%; 70-73м 7%; 73-76м 8% 
3К: 5%]]</f>
        <v>124048.6817687077</v>
      </c>
      <c r="CI215" s="93">
        <f>ППД5[[#This Row],[Фикс 01.11.24]]*13%</f>
        <v>16126.328629932001</v>
      </c>
      <c r="CJ215" s="93">
        <f>ППД5[[#This Row],[Наценка 06.11 13%]]+ППД5[[#This Row],[Фикс 01.11.24]]</f>
        <v>140175.01039863969</v>
      </c>
      <c r="CK215" s="93">
        <v>35</v>
      </c>
      <c r="CL215" s="93">
        <f>ППД5[[#This Row],[Фикс 06.11.24]]+ППД5[[#This Row],[Наценка 18.12.24 распределение КВ]]</f>
        <v>140210.01039863969</v>
      </c>
      <c r="CM215" s="93"/>
      <c r="CN215" s="93">
        <f>ППД5[[#This Row],[Фикс 18.12.24]]+ППД5[[#This Row],[Наценка 10.02.25 +1%
1К: А3
2К: Б3, В3]]</f>
        <v>140210.01039863969</v>
      </c>
      <c r="CO215" s="93">
        <f>ROUND(ППД5[[#This Row],[Фикс 10.02.25]],2)</f>
        <v>140210.01</v>
      </c>
      <c r="CP21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5308400</v>
      </c>
      <c r="CQ215" s="93">
        <f>ROUNDUP(ППД5[[#This Row],[Стоимость до скидки]]+ППД5[[#This Row],[Сумма доплаты]],-2)</f>
        <v>5321100</v>
      </c>
      <c r="CR215" s="68"/>
      <c r="CS215" s="90"/>
      <c r="CT215" s="68">
        <f>ППД5[[#This Row],[Стоимость до скидки]]*ППД5[[#This Row],[Скидка %]]+ППД5[[#This Row],[Скидка фиксированная]]</f>
        <v>0</v>
      </c>
      <c r="CU215" s="3">
        <f>ППД5[[#This Row],[Стоимость ОН без отделки со скидкой]]/ППД5[[#This Row],[Расчетная проектная площадь]]</f>
        <v>140211.30480718435</v>
      </c>
      <c r="CV215" s="3">
        <f>ROUND(ППД5[[#This Row],[Стоимость до скидки]]-ППД5[[#This Row],[Итоговая сумма скидки]],2)</f>
        <v>5308400</v>
      </c>
      <c r="CW21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15" s="197"/>
      <c r="CY215" s="332">
        <f>ППД5[[#This Row],[Расхождение]]/ППД5[[#This Row],[Расчетная проектная площадь]]</f>
        <v>2.377179080824179E-3</v>
      </c>
      <c r="CZ21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-0.48000000000000043</v>
      </c>
      <c r="DA215" s="3">
        <f>ППД5[[#This Row],[Цена м2 без отделки со скидкой]]+ППД5[[#This Row],[Стоимость отделки]]</f>
        <v>140211.30480718435</v>
      </c>
      <c r="DB215" s="3">
        <f>ППД5[[#This Row],[Стоимость квартиры с отделкой]]-ППД5[[#This Row],[Стоимость ОН без отделки со скидкой]]</f>
        <v>0</v>
      </c>
      <c r="DC215" s="3">
        <f>ППД5[[#This Row],[Цена м2 с отделкой]]*ППД5[[#This Row],[Расчетная проектная площадь]]</f>
        <v>5308399.9999999991</v>
      </c>
      <c r="DD215" s="3"/>
      <c r="DF215" s="155" t="s">
        <v>157</v>
      </c>
      <c r="DG215" s="221" t="s">
        <v>157</v>
      </c>
      <c r="DH215" s="100" t="b">
        <f>EXACT(ППД5[[#This Row],[Статусы CRM]],ППД5[[#This Row],[Статус]])</f>
        <v>1</v>
      </c>
      <c r="DI215" s="213" t="s">
        <v>387</v>
      </c>
      <c r="DJ215" s="204"/>
      <c r="DK215" s="111" t="s">
        <v>763</v>
      </c>
      <c r="DL215" s="216" t="s">
        <v>12</v>
      </c>
      <c r="DM215" s="201" t="b">
        <f>ППД5[[#This Row],[Отделка CRM]]=ППД5[[#This Row],[Отделка]]</f>
        <v>1</v>
      </c>
      <c r="DN215" s="203">
        <v>5308400</v>
      </c>
      <c r="DO21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9.3132257461547852E-10</v>
      </c>
      <c r="DP215" s="207" t="b">
        <f>IF(AND(ППД5[[#This Row],[Статус]]="свободно",ППД5[[#This Row],[Итоговая сумма скидки]]&lt;&gt;0),FALSE,TRUE)</f>
        <v>1</v>
      </c>
      <c r="DQ215" s="240" t="str">
        <f>_xlfn.XLOOKUP(ППД5[[#This Row],[№]],Юрист[№ кв],Юрист[Дата подачи на регистрацию]," ",0,-1)</f>
        <v xml:space="preserve"> </v>
      </c>
      <c r="DR215" s="115" t="str">
        <f>_xlfn.XLOOKUP(ППД5[[#This Row],[№]],Юрист[№ кв],Юрист[МОП],"",0,-1)</f>
        <v/>
      </c>
      <c r="DS215" s="333" t="s">
        <v>2722</v>
      </c>
      <c r="DT215" s="333" t="s">
        <v>2723</v>
      </c>
      <c r="DU215" s="333">
        <v>36.5</v>
      </c>
      <c r="DV215" s="111"/>
    </row>
    <row r="216" spans="1:126" hidden="1" x14ac:dyDescent="0.25">
      <c r="A216" s="112">
        <v>214</v>
      </c>
      <c r="B216" s="111" t="s">
        <v>4</v>
      </c>
      <c r="C216" s="111">
        <v>15</v>
      </c>
      <c r="D216" s="111">
        <v>6</v>
      </c>
      <c r="E216" s="111">
        <v>3</v>
      </c>
      <c r="F216" s="105">
        <v>17.89</v>
      </c>
      <c r="G216" s="105">
        <v>17.2</v>
      </c>
      <c r="H216" s="105">
        <v>14.31</v>
      </c>
      <c r="I216" s="94">
        <f>SUM(ППД5[[#This Row],[Комната 1]:[Комната 3]])</f>
        <v>49.400000000000006</v>
      </c>
      <c r="J216" s="105">
        <v>13.39</v>
      </c>
      <c r="K216" s="105">
        <v>4.2</v>
      </c>
      <c r="L216" s="105">
        <v>2.0499999999999998</v>
      </c>
      <c r="M216" s="105"/>
      <c r="N216" s="105">
        <v>13.21</v>
      </c>
      <c r="O216" s="105">
        <v>2.79</v>
      </c>
      <c r="P216" s="105">
        <v>2.68</v>
      </c>
      <c r="Q216" s="105"/>
      <c r="R216" s="105">
        <f>SUM(ППД5[[#This Row],[Лоджия 1]:[Лоджия 3]])</f>
        <v>5.4700000000000006</v>
      </c>
      <c r="S216" s="8">
        <f>ROUND(SUM(ППД5[[#This Row],[Площадь по проекту жилая]:[Лоджия 3]]),2)</f>
        <v>87.72</v>
      </c>
      <c r="T216" s="8">
        <f>ROUND(ППД5[[#This Row],[Площадь по проекту(общая)]]-ППД5[[#This Row],[Летние]],2)</f>
        <v>82.25</v>
      </c>
      <c r="U216" s="91">
        <f>ROUND(ППД5[[#This Row],[Площадь по проекту(общая)]]-(SUM(ППД5[[#This Row],[Лоджия 1]:[Лоджия 3]])/2),2)</f>
        <v>84.99</v>
      </c>
      <c r="V216" s="91">
        <f>IF(ППД5[[#This Row],[Статус]]="продажа",ППД5[[#This Row],[Расчетная проектная площадь]],ППД5[[#This Row],[Расчетная ТП площадь]])</f>
        <v>84.99</v>
      </c>
      <c r="W216" s="91">
        <v>14.3</v>
      </c>
      <c r="X216" s="91">
        <v>18</v>
      </c>
      <c r="Y216" s="91">
        <v>17.2</v>
      </c>
      <c r="Z216" s="91">
        <f>SUM(ППД5[[#This Row],[ТП Комната 1]:[ТП Комната 3]])</f>
        <v>49.5</v>
      </c>
      <c r="AA216" s="91">
        <v>13.3</v>
      </c>
      <c r="AB216" s="91">
        <v>4.0999999999999996</v>
      </c>
      <c r="AC216" s="91">
        <v>2</v>
      </c>
      <c r="AD216" s="91"/>
      <c r="AE216" s="91">
        <v>12.9</v>
      </c>
      <c r="AF216" s="91">
        <v>1.4</v>
      </c>
      <c r="AG216" s="92">
        <v>1.35</v>
      </c>
      <c r="AH216" s="91"/>
      <c r="AI216" s="91">
        <f>SUM(ППД5[[#This Row],[ТП Лоджия 1]:[ТП Лоджия 3]])</f>
        <v>2.75</v>
      </c>
      <c r="AJ216" s="95">
        <v>5.5</v>
      </c>
      <c r="AK216" s="91">
        <f>SUM(ППД5[[#This Row],[Площадь по ТП жилая]:[ТП Лоджия 3]])-ППД5[[#This Row],[ТП Летние]]+ППД5[[#This Row],[кроме того прочая
(без коэффициента)]]</f>
        <v>87.3</v>
      </c>
      <c r="AL216" s="95">
        <f>ППД5[[#This Row],[ТП Площадь без летних]]+(ППД5[[#This Row],[ТП Летние]])</f>
        <v>84.55</v>
      </c>
      <c r="AM216" s="91">
        <f>ППД5[[#This Row],[ТП общая S]]-ППД5[[#This Row],[кроме того прочая
(без коэффициента)]]</f>
        <v>81.8</v>
      </c>
      <c r="AN216" s="95">
        <f>SUM(ППД5[[#This Row],[ТП Кухня]:[ТП Коридор]])</f>
        <v>32.299999999999997</v>
      </c>
      <c r="AO216" s="91">
        <f>ППД5[[#This Row],[Расчетная ТП площадь]]-ППД5[[#This Row],[Расчетная проектная площадь]]</f>
        <v>-0.43999999999999773</v>
      </c>
      <c r="AP216" s="335">
        <f>ППД5[[#This Row],[Расчетная ТП площадь]]/ППД5[[#This Row],[Расчетная проектная площадь]]-1</f>
        <v>-5.1770796564301058E-3</v>
      </c>
      <c r="AQ216" s="91">
        <f>ППД5[[#This Row],[% расхождения]]*ППД5[[#This Row],[Стоимость до скидки]]</f>
        <v>-36381.927285562568</v>
      </c>
      <c r="AR216" s="91">
        <f>VLOOKUP(ППД5[[#This Row],[№]],наценкад5[],COLUMN(наценкад5[[#This Row],[Цена м2 с учетом всех K]]),0)</f>
        <v>72092.790000000008</v>
      </c>
      <c r="AS216" s="8">
        <f>ППД5[[#This Row],[м2 после К]]*5%</f>
        <v>3604.6395000000007</v>
      </c>
      <c r="AT216" s="8">
        <f>ППД5[[#This Row],[м2 после К]]+ППД5[[#This Row],[Повышение 16.08.23 - 5%]]</f>
        <v>75697.429500000013</v>
      </c>
      <c r="AU216" s="93">
        <f>ППД5[[#This Row],[Фикс 16.08.23]]*3%</f>
        <v>2270.9228850000004</v>
      </c>
      <c r="AV216" s="93">
        <f>ППД5[[#This Row],[Фикс 16.08.23]]+ППД5[[#This Row],[Повышение 29.08.23 - 3%]]</f>
        <v>77968.35238500002</v>
      </c>
      <c r="AW216" s="93"/>
      <c r="AX216" s="93">
        <f>ППД5[[#This Row],[Фикс 29.08.23]]+ППД5[[#This Row],[Повышение 06.09.23 СТ и 1К]]</f>
        <v>77968.35238500002</v>
      </c>
      <c r="AY216" s="93"/>
      <c r="AZ216" s="93">
        <f>ППД5[[#This Row],[Повышение 23.10.23  В4 ]]+ППД5[[#This Row],[Фикс 06.09.23]]</f>
        <v>77968.35238500002</v>
      </c>
      <c r="BA216" s="93"/>
      <c r="BB216" s="93">
        <f>ППД5[[#This Row],[Повышение 8.11.23 1К 5%]]+ППД5[[#This Row],[Фикс 23.10.23]]</f>
        <v>77968.35238500002</v>
      </c>
      <c r="BC216" s="93"/>
      <c r="BD216" s="93">
        <f>ППД5[[#This Row],[Корректировка 24.11.23 - 1К В5, 2К А2, №233]]+ППД5[[#This Row],[Фикс 8.11.23]]</f>
        <v>77968.35238500002</v>
      </c>
      <c r="BE216" s="93">
        <f>ППД5[[#This Row],[Фикс 8.11.24]]*1%</f>
        <v>779.68352385000026</v>
      </c>
      <c r="BF216" s="93">
        <f>ППД5[[#This Row],[Наценка за отделку 29.12.23 1%]]+ППД5[[#This Row],[Фикс 8.11.24]]</f>
        <v>78748.035908850026</v>
      </c>
      <c r="BG216" s="93">
        <f>ППД5[[#This Row],[Фикс 29.12.23]]*5%</f>
        <v>3937.4017954425017</v>
      </c>
      <c r="BH216" s="93">
        <f>ППД5[[#This Row],[Фикс 29.12.23]]+ППД5[[#This Row],[Наценка 10.01.24 5%]]</f>
        <v>82685.437704292533</v>
      </c>
      <c r="BI216" s="93"/>
      <c r="BJ216" s="93">
        <f>ППД5[[#This Row],[Наценка 26.02.24 1 Этаж]]+ППД5[[#This Row],[Фикс 10.01.24]]</f>
        <v>82685.437704292533</v>
      </c>
      <c r="BK216" s="93"/>
      <c r="BL216" s="93">
        <f>ППД5[[#This Row],[Фикс 26.02.24]]+ППД5[[#This Row],[Наценка 06.03.24
СТ, 1К - 3%
2К, 3К - 2%]]</f>
        <v>82685.437704292533</v>
      </c>
      <c r="BM216" s="93"/>
      <c r="BN216" s="93">
        <f>ППД5[[#This Row],[Фикс 06.03.24]]+ППД5[[#This Row],[Наценка Г2+500]]</f>
        <v>82685.437704292533</v>
      </c>
      <c r="BO216" s="93"/>
      <c r="BP216" s="93">
        <f>ППД5[[#This Row],[Фикс 13.03.25]]+ППД5[[#This Row],[Наценка 20.03.24
2К, 3К - 2%]]</f>
        <v>82685.437704292533</v>
      </c>
      <c r="BQ216" s="93"/>
      <c r="BR216" s="93">
        <f>ППД5[[#This Row],[Фикс 20.03.24]]+ППД5[[#This Row],[Наценка 08.04.24 
2К: В3 - 150
3К: Г7 +1000]]</f>
        <v>82685.437704292533</v>
      </c>
      <c r="BS216" s="9"/>
      <c r="BT216" s="93">
        <f>ППД5[[#This Row],[Фикс 08.04.24]]+ППД5[[#This Row],[Наценка 16.05.24 1%
А4,А6,Б3,Б6,Б7,В2,В3,В5,В6,Г1,Г3-Г5]]</f>
        <v>82685.437704292533</v>
      </c>
      <c r="BU216" s="93"/>
      <c r="BV216" s="93">
        <f>ППД5[[#This Row],[Фикс 16.05.24]]+ППД5[[#This Row],[Наценка 24.05.24
1% - Б4, Б5,Г2,Г6
2% - А1,А3,А5,Б2,Г7]]</f>
        <v>82685.437704292533</v>
      </c>
      <c r="BW216" s="93"/>
      <c r="BX216" s="93">
        <f>ППД5[[#This Row],[Наценка 06.06.24
0К: В2,Г3 +0,5%
1К: А7, Б5/4, Г6 +0,5%
3К: В6 +0,5%
1К: А3 +1%]]+ППД5[[#This Row],[Фикс 24.05.24]]</f>
        <v>82685.437704292533</v>
      </c>
      <c r="BY216" s="93"/>
      <c r="BZ216" s="93">
        <f>ППД5[[#This Row],[Фикс 06.06.24]]+ППД5[[#This Row],[13.06.2024
3К - 2%]]</f>
        <v>82685.437704292533</v>
      </c>
      <c r="CA216" s="93"/>
      <c r="CB216" s="93">
        <f>ППД5[[#This Row],[02.07.2024: Г3 А1 А3 Б5 Б7 Г2 Г6 Б3 Б4 В3 Г7 2,5% ост 0,5-1,5%]]+ППД5[[#This Row],[Фикс 13.06.24]]</f>
        <v>82685.437704292533</v>
      </c>
      <c r="CC216" s="93"/>
      <c r="CD216" s="93">
        <f>ППД5[[#This Row],[Фикс 02.07.24]]+ППД5[[#This Row],[04.09.2024 +500
0К - Б2; 1К - А3;
2К - А6, Б4, В3, Г5]]</f>
        <v>82685.437704292533</v>
      </c>
      <c r="CE216" s="93"/>
      <c r="CF216" s="93">
        <f>ППД5[[#This Row],[Наценка 16.09.2024
1К: А1,В7,Г6/7,Г8 - 2%
2К: А4,А5,А6,Б1,Б6,Б3/4,В3,В4,Г4,Г5 - 4%
3К: 4%]]+ППД5[[#This Row],[Фикс 04.09.24]]</f>
        <v>82685.437704292533</v>
      </c>
      <c r="CG216" s="93"/>
      <c r="CH216" s="93">
        <f>ППД5[[#This Row],[Фикс 16.09.2024]]+ППД5[[#This Row],[Наценка 01.11.24
СТ: 4%
1К: 34-40м 5%; 40м+ 8%; МГН 1%
2К: 55-70м 6%; 70-73м 7%; 73-76м 8% 
3К: 5%]]</f>
        <v>82685.437704292533</v>
      </c>
      <c r="CI216" s="93"/>
      <c r="CJ216" s="93">
        <f>ППД5[[#This Row],[Наценка 06.11 13%]]+ППД5[[#This Row],[Фикс 01.11.24]]</f>
        <v>82685.437704292533</v>
      </c>
      <c r="CK216" s="93"/>
      <c r="CL216" s="93">
        <f>ППД5[[#This Row],[Фикс 06.11.24]]+ППД5[[#This Row],[Наценка 18.12.24 распределение КВ]]</f>
        <v>82685.437704292533</v>
      </c>
      <c r="CM216" s="93"/>
      <c r="CN216" s="93">
        <f>ППД5[[#This Row],[Фикс 18.12.24]]+ППД5[[#This Row],[Наценка 10.02.25 +1%
1К: А3
2К: Б3, В3]]</f>
        <v>82685.437704292533</v>
      </c>
      <c r="CO216" s="93">
        <f>ROUND(ППД5[[#This Row],[Фикс 10.02.25]],2)</f>
        <v>82685.440000000002</v>
      </c>
      <c r="CP21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7027500</v>
      </c>
      <c r="CQ216" s="93">
        <f>ROUNDUP(ППД5[[#This Row],[Стоимость до скидки]]+ППД5[[#This Row],[Сумма доплаты]],-2)</f>
        <v>6991200</v>
      </c>
      <c r="CR216" s="68"/>
      <c r="CS216" s="90"/>
      <c r="CT216" s="68">
        <f>ППД5[[#This Row],[Стоимость до скидки]]*ППД5[[#This Row],[Скидка %]]+ППД5[[#This Row],[Скидка фиксированная]]</f>
        <v>0</v>
      </c>
      <c r="CU216" s="3">
        <f>ППД5[[#This Row],[Стоимость ОН без отделки со скидкой]]/ППД5[[#This Row],[Расчетная проектная площадь]]</f>
        <v>82686.198376279572</v>
      </c>
      <c r="CV216" s="3">
        <f>ROUND(ППД5[[#This Row],[Стоимость до скидки]]-ППД5[[#This Row],[Итоговая сумма скидки]],2)</f>
        <v>7027500</v>
      </c>
      <c r="CW21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16" s="197">
        <v>20000</v>
      </c>
      <c r="CY216" s="332">
        <f>ППД5[[#This Row],[Расхождение]]/ППД5[[#This Row],[Расчетная проектная площадь]]</f>
        <v>-5.1770796564301422E-3</v>
      </c>
      <c r="CZ21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-0.55000000000000426</v>
      </c>
      <c r="DA216" s="3">
        <f>ППД5[[#This Row],[Цена м2 без отделки со скидкой]]+ППД5[[#This Row],[Стоимость отделки]]</f>
        <v>102686.19837627957</v>
      </c>
      <c r="DB216" s="3">
        <f>ППД5[[#This Row],[Стоимость квартиры с отделкой]]-ППД5[[#This Row],[Стоимость ОН без отделки со скидкой]]</f>
        <v>1699800</v>
      </c>
      <c r="DC216" s="3">
        <f>ППД5[[#This Row],[Цена м2 с отделкой]]*ППД5[[#This Row],[Расчетная проектная площадь]]</f>
        <v>8727300</v>
      </c>
      <c r="DD216" s="3"/>
      <c r="DF216" s="199" t="s">
        <v>172</v>
      </c>
      <c r="DG216" s="245" t="s">
        <v>172</v>
      </c>
      <c r="DH216" s="100" t="b">
        <f>EXACT(ППД5[[#This Row],[Статусы CRM]],ППД5[[#This Row],[Статус]])</f>
        <v>1</v>
      </c>
      <c r="DI216" s="213" t="s">
        <v>388</v>
      </c>
      <c r="DJ216" s="204"/>
      <c r="DK216" s="111" t="s">
        <v>763</v>
      </c>
      <c r="DL216" s="216" t="s">
        <v>14</v>
      </c>
      <c r="DM216" s="201" t="b">
        <f>ППД5[[#This Row],[Отделка CRM]]=ППД5[[#This Row],[Отделка]]</f>
        <v>1</v>
      </c>
      <c r="DN216" s="203">
        <v>8727300</v>
      </c>
      <c r="DO21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16" s="207" t="b">
        <f>IF(AND(ППД5[[#This Row],[Статус]]="свободно",ППД5[[#This Row],[Итоговая сумма скидки]]&lt;&gt;0),FALSE,TRUE)</f>
        <v>1</v>
      </c>
      <c r="DQ216" s="240">
        <f>_xlfn.XLOOKUP(ППД5[[#This Row],[№]],Юрист[№ кв],Юрист[Дата подачи на регистрацию]," ",0,-1)</f>
        <v>45377</v>
      </c>
      <c r="DR216" s="115" t="str">
        <f>_xlfn.XLOOKUP(ППД5[[#This Row],[№]],Юрист[№ кв],Юрист[МОП],"",0,-1)</f>
        <v>Дик</v>
      </c>
      <c r="DS216" s="333" t="s">
        <v>2724</v>
      </c>
      <c r="DT216" s="333" t="s">
        <v>2725</v>
      </c>
      <c r="DU216" s="333">
        <v>81.8</v>
      </c>
      <c r="DV216" s="111"/>
    </row>
    <row r="217" spans="1:126" hidden="1" x14ac:dyDescent="0.25">
      <c r="A217" s="112">
        <v>215</v>
      </c>
      <c r="B217" s="111" t="s">
        <v>4</v>
      </c>
      <c r="C217" s="111">
        <v>15</v>
      </c>
      <c r="D217" s="111">
        <v>7</v>
      </c>
      <c r="E217" s="111">
        <v>1</v>
      </c>
      <c r="F217" s="105">
        <v>17.89</v>
      </c>
      <c r="G217" s="105"/>
      <c r="H217" s="105"/>
      <c r="I217" s="94">
        <f>SUM(ППД5[[#This Row],[Комната 1]:[Комната 3]])</f>
        <v>17.89</v>
      </c>
      <c r="J217" s="105">
        <v>13.04</v>
      </c>
      <c r="K217" s="105">
        <v>3.9</v>
      </c>
      <c r="L217" s="105"/>
      <c r="M217" s="105"/>
      <c r="N217" s="105">
        <v>6.12</v>
      </c>
      <c r="O217" s="105">
        <v>2.65</v>
      </c>
      <c r="P217" s="105"/>
      <c r="Q217" s="105"/>
      <c r="R217" s="105">
        <f>SUM(ППД5[[#This Row],[Лоджия 1]:[Лоджия 3]])</f>
        <v>2.65</v>
      </c>
      <c r="S217" s="8">
        <f>ROUND(SUM(ППД5[[#This Row],[Площадь по проекту жилая]:[Лоджия 3]]),2)</f>
        <v>43.6</v>
      </c>
      <c r="T217" s="8">
        <f>ROUND(ППД5[[#This Row],[Площадь по проекту(общая)]]-ППД5[[#This Row],[Летние]],2)</f>
        <v>40.950000000000003</v>
      </c>
      <c r="U217" s="91">
        <f>ROUND(ППД5[[#This Row],[Площадь по проекту(общая)]]-(SUM(ППД5[[#This Row],[Лоджия 1]:[Лоджия 3]])/2),2)</f>
        <v>42.28</v>
      </c>
      <c r="V217" s="91">
        <f>IF(ППД5[[#This Row],[Статус]]="продажа",ППД5[[#This Row],[Расчетная проектная площадь]],ППД5[[#This Row],[Расчетная ТП площадь]])</f>
        <v>42.35</v>
      </c>
      <c r="W217" s="91">
        <v>18</v>
      </c>
      <c r="X217" s="91"/>
      <c r="Y217" s="91"/>
      <c r="Z217" s="91">
        <f>SUM(ППД5[[#This Row],[ТП Комната 1]:[ТП Комната 3]])</f>
        <v>18</v>
      </c>
      <c r="AA217" s="91">
        <v>13</v>
      </c>
      <c r="AB217" s="91">
        <v>3.8</v>
      </c>
      <c r="AC217" s="91"/>
      <c r="AD217" s="91"/>
      <c r="AE217" s="91">
        <v>6.2</v>
      </c>
      <c r="AF217" s="91">
        <v>1.35</v>
      </c>
      <c r="AG217" s="91"/>
      <c r="AH217" s="91"/>
      <c r="AI217" s="91">
        <f>SUM(ППД5[[#This Row],[ТП Лоджия 1]:[ТП Лоджия 3]])</f>
        <v>1.35</v>
      </c>
      <c r="AJ217" s="95">
        <v>2.7</v>
      </c>
      <c r="AK217" s="91">
        <f>SUM(ППД5[[#This Row],[Площадь по ТП жилая]:[ТП Лоджия 3]])-ППД5[[#This Row],[ТП Летние]]+ППД5[[#This Row],[кроме того прочая
(без коэффициента)]]</f>
        <v>43.7</v>
      </c>
      <c r="AL217" s="95">
        <f>ППД5[[#This Row],[ТП Площадь без летних]]+(ППД5[[#This Row],[ТП Летние]])</f>
        <v>42.35</v>
      </c>
      <c r="AM217" s="91">
        <f>ППД5[[#This Row],[ТП общая S]]-ППД5[[#This Row],[кроме того прочая
(без коэффициента)]]</f>
        <v>41</v>
      </c>
      <c r="AN217" s="95">
        <f>SUM(ППД5[[#This Row],[ТП Кухня]:[ТП Коридор]])</f>
        <v>23</v>
      </c>
      <c r="AO217" s="91">
        <f>ППД5[[#This Row],[Расчетная ТП площадь]]-ППД5[[#This Row],[Расчетная проектная площадь]]</f>
        <v>7.0000000000000284E-2</v>
      </c>
      <c r="AP217" s="335">
        <f>ППД5[[#This Row],[Расчетная ТП площадь]]/ППД5[[#This Row],[Расчетная проектная площадь]]-1</f>
        <v>1.6556291390728006E-3</v>
      </c>
      <c r="AQ217" s="91">
        <f>ППД5[[#This Row],[% расхождения]]*ППД5[[#This Row],[Стоимость до скидки]]</f>
        <v>9488.4105960262204</v>
      </c>
      <c r="AR217" s="91">
        <f>VLOOKUP(ППД5[[#This Row],[№]],наценкад5[],COLUMN(наценкад5[[#This Row],[Цена м2 с учетом всех K]]),0)</f>
        <v>83951.4375</v>
      </c>
      <c r="AS217" s="8">
        <f>ППД5[[#This Row],[м2 после К]]*5%</f>
        <v>4197.5718750000005</v>
      </c>
      <c r="AT217" s="8">
        <f>ППД5[[#This Row],[м2 после К]]+ППД5[[#This Row],[Повышение 16.08.23 - 5%]]</f>
        <v>88149.009374999994</v>
      </c>
      <c r="AU217" s="93">
        <f>ППД5[[#This Row],[Фикс 16.08.23]]*3%</f>
        <v>2644.4702812499995</v>
      </c>
      <c r="AV217" s="93">
        <f>ППД5[[#This Row],[Фикс 16.08.23]]+ППД5[[#This Row],[Повышение 29.08.23 - 3%]]</f>
        <v>90793.479656249998</v>
      </c>
      <c r="AW217" s="93">
        <f>ППД5[[#This Row],[Фикс 29.08.23]]*3%</f>
        <v>2723.8043896874997</v>
      </c>
      <c r="AX217" s="93">
        <f>ППД5[[#This Row],[Фикс 29.08.23]]+ППД5[[#This Row],[Повышение 06.09.23 СТ и 1К]]</f>
        <v>93517.2840459375</v>
      </c>
      <c r="AY217" s="93"/>
      <c r="AZ217" s="93">
        <f>ППД5[[#This Row],[Повышение 23.10.23  В4 ]]+ППД5[[#This Row],[Фикс 06.09.23]]</f>
        <v>93517.2840459375</v>
      </c>
      <c r="BA217" s="93">
        <f>ППД5[[#This Row],[Фикс 23.10.23]]*5%</f>
        <v>4675.8642022968752</v>
      </c>
      <c r="BB217" s="93">
        <f>ППД5[[#This Row],[Повышение 8.11.23 1К 5%]]+ППД5[[#This Row],[Фикс 23.10.23]]</f>
        <v>98193.148248234371</v>
      </c>
      <c r="BC217" s="93"/>
      <c r="BD217" s="93">
        <f>ППД5[[#This Row],[Корректировка 24.11.23 - 1К В5, 2К А2, №233]]+ППД5[[#This Row],[Фикс 8.11.23]]</f>
        <v>98193.148248234371</v>
      </c>
      <c r="BE217" s="93">
        <f>ППД5[[#This Row],[Фикс 8.11.24]]*1%</f>
        <v>981.93148248234377</v>
      </c>
      <c r="BF217" s="93">
        <f>ППД5[[#This Row],[Наценка за отделку 29.12.23 1%]]+ППД5[[#This Row],[Фикс 8.11.24]]</f>
        <v>99175.079730716709</v>
      </c>
      <c r="BG217" s="93">
        <f>ППД5[[#This Row],[Фикс 29.12.23]]*5%</f>
        <v>4958.7539865358358</v>
      </c>
      <c r="BH217" s="93">
        <f>ППД5[[#This Row],[Фикс 29.12.23]]+ППД5[[#This Row],[Наценка 10.01.24 5%]]</f>
        <v>104133.83371725255</v>
      </c>
      <c r="BI217" s="93"/>
      <c r="BJ217" s="93">
        <f>ППД5[[#This Row],[Наценка 26.02.24 1 Этаж]]+ППД5[[#This Row],[Фикс 10.01.24]]</f>
        <v>104133.83371725255</v>
      </c>
      <c r="BK217" s="93">
        <f>ППД5[[#This Row],[Фикс 26.02.24]]*3%</f>
        <v>3124.0150115175766</v>
      </c>
      <c r="BL217" s="93">
        <f>ППД5[[#This Row],[Фикс 26.02.24]]+ППД5[[#This Row],[Наценка 06.03.24
СТ, 1К - 3%
2К, 3К - 2%]]</f>
        <v>107257.84872877013</v>
      </c>
      <c r="BM217" s="93"/>
      <c r="BN217" s="93">
        <f>ППД5[[#This Row],[Фикс 06.03.24]]+ППД5[[#This Row],[Наценка Г2+500]]</f>
        <v>107257.84872877013</v>
      </c>
      <c r="BO217" s="93"/>
      <c r="BP217" s="93">
        <f>ППД5[[#This Row],[Фикс 13.03.25]]+ППД5[[#This Row],[Наценка 20.03.24
2К, 3К - 2%]]</f>
        <v>107257.84872877013</v>
      </c>
      <c r="BQ217" s="93"/>
      <c r="BR217" s="93">
        <f>ППД5[[#This Row],[Фикс 20.03.24]]+ППД5[[#This Row],[Наценка 08.04.24 
2К: В3 - 150
3К: Г7 +1000]]</f>
        <v>107257.84872877013</v>
      </c>
      <c r="BS217" s="9">
        <f>ППД5[[#This Row],[Фикс 08.04.24]]*1%</f>
        <v>1072.5784872877014</v>
      </c>
      <c r="BT217" s="93">
        <f>ППД5[[#This Row],[Фикс 08.04.24]]+ППД5[[#This Row],[Наценка 16.05.24 1%
А4,А6,Б3,Б6,Б7,В2,В3,В5,В6,Г1,Г3-Г5]]</f>
        <v>108330.42721605783</v>
      </c>
      <c r="BU217" s="93"/>
      <c r="BV217" s="93">
        <f>ППД5[[#This Row],[Фикс 16.05.24]]+ППД5[[#This Row],[Наценка 24.05.24
1% - Б4, Б5,Г2,Г6
2% - А1,А3,А5,Б2,Г7]]</f>
        <v>108330.42721605783</v>
      </c>
      <c r="BW217" s="93"/>
      <c r="BX217" s="93">
        <f>ППД5[[#This Row],[Наценка 06.06.24
0К: В2,Г3 +0,5%
1К: А7, Б5/4, Г6 +0,5%
3К: В6 +0,5%
1К: А3 +1%]]+ППД5[[#This Row],[Фикс 24.05.24]]</f>
        <v>108330.42721605783</v>
      </c>
      <c r="BY217" s="93"/>
      <c r="BZ217" s="93">
        <f>ППД5[[#This Row],[Фикс 06.06.24]]+ППД5[[#This Row],[13.06.2024
3К - 2%]]</f>
        <v>108330.42721605783</v>
      </c>
      <c r="CA217" s="93">
        <f>2.5%*ППД5[[#This Row],[Фикс 13.06.24]]</f>
        <v>2708.2606804014458</v>
      </c>
      <c r="CB217" s="93">
        <f>ППД5[[#This Row],[02.07.2024: Г3 А1 А3 Б5 Б7 Г2 Г6 Б3 Б4 В3 Г7 2,5% ост 0,5-1,5%]]+ППД5[[#This Row],[Фикс 13.06.24]]</f>
        <v>111038.68789645928</v>
      </c>
      <c r="CC217" s="93"/>
      <c r="CD217" s="93">
        <f>ППД5[[#This Row],[Фикс 02.07.24]]+ППД5[[#This Row],[04.09.2024 +500
0К - Б2; 1К - А3;
2К - А6, Б4, В3, Г5]]</f>
        <v>111038.68789645928</v>
      </c>
      <c r="CE217" s="93"/>
      <c r="CF217" s="93">
        <f>ППД5[[#This Row],[Наценка 16.09.2024
1К: А1,В7,Г6/7,Г8 - 2%
2К: А4,А5,А6,Б1,Б6,Б3/4,В3,В4,Г4,Г5 - 4%
3К: 4%]]+ППД5[[#This Row],[Фикс 04.09.24]]</f>
        <v>111038.68789645928</v>
      </c>
      <c r="CG217" s="93">
        <f>ППД5[[#This Row],[Фикс 16.09.2024]]*8%</f>
        <v>8883.0950317167426</v>
      </c>
      <c r="CH217" s="93">
        <f>ППД5[[#This Row],[Фикс 16.09.2024]]+ППД5[[#This Row],[Наценка 01.11.24
СТ: 4%
1К: 34-40м 5%; 40м+ 8%; МГН 1%
2К: 55-70м 6%; 70-73м 7%; 73-76м 8% 
3К: 5%]]</f>
        <v>119921.78292817602</v>
      </c>
      <c r="CI217" s="93">
        <f>ППД5[[#This Row],[Фикс 01.11.24]]*13%</f>
        <v>15589.831780662884</v>
      </c>
      <c r="CJ217" s="93">
        <f>ППД5[[#This Row],[Наценка 06.11 13%]]+ППД5[[#This Row],[Фикс 01.11.24]]</f>
        <v>135511.6147088389</v>
      </c>
      <c r="CK217" s="93">
        <v>35</v>
      </c>
      <c r="CL217" s="93">
        <f>ППД5[[#This Row],[Фикс 06.11.24]]+ППД5[[#This Row],[Наценка 18.12.24 распределение КВ]]</f>
        <v>135546.6147088389</v>
      </c>
      <c r="CM217" s="93"/>
      <c r="CN217" s="93">
        <f>ППД5[[#This Row],[Фикс 18.12.24]]+ППД5[[#This Row],[Наценка 10.02.25 +1%
1К: А3
2К: Б3, В3]]</f>
        <v>135546.6147088389</v>
      </c>
      <c r="CO217" s="93">
        <f>ROUND(ППД5[[#This Row],[Фикс 10.02.25]],2)</f>
        <v>135546.60999999999</v>
      </c>
      <c r="CP21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5731000</v>
      </c>
      <c r="CQ217" s="93">
        <f>ROUNDUP(ППД5[[#This Row],[Стоимость до скидки]]+ППД5[[#This Row],[Сумма доплаты]],-2)</f>
        <v>5740500</v>
      </c>
      <c r="CR217" s="68"/>
      <c r="CS217" s="90"/>
      <c r="CT217" s="68">
        <f>ППД5[[#This Row],[Стоимость до скидки]]*ППД5[[#This Row],[Скидка %]]+ППД5[[#This Row],[Скидка фиксированная]]</f>
        <v>0</v>
      </c>
      <c r="CU217" s="3">
        <f>ППД5[[#This Row],[Стоимость ОН без отделки со скидкой]]/ППД5[[#This Row],[Расчетная проектная площадь]]</f>
        <v>135548.72280037843</v>
      </c>
      <c r="CV217" s="3">
        <f>ROUND(ППД5[[#This Row],[Стоимость до скидки]]-ППД5[[#This Row],[Итоговая сумма скидки]],2)</f>
        <v>5731000</v>
      </c>
      <c r="CW21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17" s="197"/>
      <c r="CY217" s="332">
        <f>ППД5[[#This Row],[Расхождение]]/ППД5[[#This Row],[Расчетная проектная площадь]]</f>
        <v>1.6556291390728544E-3</v>
      </c>
      <c r="CZ21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-6.0000000000000497E-2</v>
      </c>
      <c r="DA217" s="3">
        <f>ППД5[[#This Row],[Цена м2 без отделки со скидкой]]+ППД5[[#This Row],[Стоимость отделки]]</f>
        <v>135548.72280037843</v>
      </c>
      <c r="DB217" s="3">
        <f>ППД5[[#This Row],[Стоимость квартиры с отделкой]]-ППД5[[#This Row],[Стоимость ОН без отделки со скидкой]]</f>
        <v>0</v>
      </c>
      <c r="DC217" s="3">
        <f>ППД5[[#This Row],[Цена м2 с отделкой]]*ППД5[[#This Row],[Расчетная проектная площадь]]</f>
        <v>5731000</v>
      </c>
      <c r="DD217" s="3"/>
      <c r="DF217" s="199" t="s">
        <v>157</v>
      </c>
      <c r="DG217" s="245" t="s">
        <v>157</v>
      </c>
      <c r="DH217" s="100" t="b">
        <f>EXACT(ППД5[[#This Row],[Статусы CRM]],ППД5[[#This Row],[Статус]])</f>
        <v>1</v>
      </c>
      <c r="DI217" s="213" t="s">
        <v>389</v>
      </c>
      <c r="DJ217" s="204"/>
      <c r="DK217" s="111" t="s">
        <v>763</v>
      </c>
      <c r="DL217" s="216" t="s">
        <v>12</v>
      </c>
      <c r="DM217" s="201" t="b">
        <f>ППД5[[#This Row],[Отделка CRM]]=ППД5[[#This Row],[Отделка]]</f>
        <v>1</v>
      </c>
      <c r="DN217" s="203">
        <v>5731000</v>
      </c>
      <c r="DO21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17" s="207" t="b">
        <f>IF(AND(ППД5[[#This Row],[Статус]]="свободно",ППД5[[#This Row],[Итоговая сумма скидки]]&lt;&gt;0),FALSE,TRUE)</f>
        <v>1</v>
      </c>
      <c r="DQ217" s="240" t="str">
        <f>_xlfn.XLOOKUP(ППД5[[#This Row],[№]],Юрист[№ кв],Юрист[Дата подачи на регистрацию]," ",0,-1)</f>
        <v xml:space="preserve"> </v>
      </c>
      <c r="DR217" s="115" t="str">
        <f>_xlfn.XLOOKUP(ППД5[[#This Row],[№]],Юрист[№ кв],Юрист[МОП],"",0,-1)</f>
        <v/>
      </c>
      <c r="DS217" s="333" t="s">
        <v>2726</v>
      </c>
      <c r="DT217" s="333" t="s">
        <v>2727</v>
      </c>
      <c r="DU217" s="333">
        <v>41</v>
      </c>
      <c r="DV217" s="111"/>
    </row>
    <row r="218" spans="1:126" hidden="1" x14ac:dyDescent="0.25">
      <c r="A218" s="112">
        <v>216</v>
      </c>
      <c r="B218" s="111" t="s">
        <v>4</v>
      </c>
      <c r="C218" s="111">
        <v>16</v>
      </c>
      <c r="D218" s="338">
        <v>1</v>
      </c>
      <c r="E218" s="111">
        <v>2</v>
      </c>
      <c r="F218" s="105">
        <v>15.91</v>
      </c>
      <c r="G218" s="105">
        <v>12.02</v>
      </c>
      <c r="H218" s="105"/>
      <c r="I218" s="94">
        <f>SUM(ППД5[[#This Row],[Комната 1]:[Комната 3]])</f>
        <v>27.93</v>
      </c>
      <c r="J218" s="105">
        <v>15.31</v>
      </c>
      <c r="K218" s="105">
        <v>3.85</v>
      </c>
      <c r="L218" s="105">
        <v>2.2999999999999998</v>
      </c>
      <c r="M218" s="105"/>
      <c r="N218" s="105">
        <v>9.4499999999999993</v>
      </c>
      <c r="O218" s="105">
        <v>2.75</v>
      </c>
      <c r="P218" s="105"/>
      <c r="Q218" s="105"/>
      <c r="R218" s="105">
        <f>SUM(ППД5[[#This Row],[Лоджия 1]:[Лоджия 3]])</f>
        <v>2.75</v>
      </c>
      <c r="S218" s="8">
        <f>ROUND(SUM(ППД5[[#This Row],[Площадь по проекту жилая]:[Лоджия 3]]),2)</f>
        <v>61.59</v>
      </c>
      <c r="T218" s="8">
        <f>ROUND(ППД5[[#This Row],[Площадь по проекту(общая)]]-ППД5[[#This Row],[Летние]],2)</f>
        <v>58.84</v>
      </c>
      <c r="U218" s="91">
        <f>ROUND(ППД5[[#This Row],[Площадь по проекту(общая)]]-(SUM(ППД5[[#This Row],[Лоджия 1]:[Лоджия 3]])/2),2)</f>
        <v>60.22</v>
      </c>
      <c r="V218" s="91">
        <f>IF(ППД5[[#This Row],[Статус]]="продажа",ППД5[[#This Row],[Расчетная проектная площадь]],ППД5[[#This Row],[Расчетная ТП площадь]])</f>
        <v>60.22</v>
      </c>
      <c r="W218" s="91">
        <v>15.9</v>
      </c>
      <c r="X218" s="91">
        <v>12.1</v>
      </c>
      <c r="Y218" s="91"/>
      <c r="Z218" s="91">
        <f>SUM(ППД5[[#This Row],[ТП Комната 1]:[ТП Комната 3]])</f>
        <v>28</v>
      </c>
      <c r="AA218" s="91">
        <v>15.3</v>
      </c>
      <c r="AB218" s="91">
        <v>3.8</v>
      </c>
      <c r="AC218" s="91">
        <v>2.4</v>
      </c>
      <c r="AD218" s="91"/>
      <c r="AE218" s="91">
        <v>9.4</v>
      </c>
      <c r="AF218" s="91">
        <v>1.4</v>
      </c>
      <c r="AG218" s="91"/>
      <c r="AH218" s="91"/>
      <c r="AI218" s="91">
        <f>SUM(ППД5[[#This Row],[ТП Лоджия 1]:[ТП Лоджия 3]])</f>
        <v>1.4</v>
      </c>
      <c r="AJ218" s="95">
        <v>2.8</v>
      </c>
      <c r="AK218" s="91">
        <f>SUM(ППД5[[#This Row],[Площадь по ТП жилая]:[ТП Лоджия 3]])-ППД5[[#This Row],[ТП Летние]]+ППД5[[#This Row],[кроме того прочая
(без коэффициента)]]</f>
        <v>61.699999999999989</v>
      </c>
      <c r="AL218" s="95">
        <f>ППД5[[#This Row],[ТП Площадь без летних]]+(ППД5[[#This Row],[ТП Летние]])</f>
        <v>60.29999999999999</v>
      </c>
      <c r="AM218" s="91">
        <f>ППД5[[#This Row],[ТП общая S]]-ППД5[[#This Row],[кроме того прочая
(без коэффициента)]]</f>
        <v>58.899999999999991</v>
      </c>
      <c r="AN218" s="95">
        <f>SUM(ППД5[[#This Row],[ТП Кухня]:[ТП Коридор]])</f>
        <v>30.9</v>
      </c>
      <c r="AO218" s="91">
        <f>ППД5[[#This Row],[Расчетная ТП площадь]]-ППД5[[#This Row],[Расчетная проектная площадь]]</f>
        <v>7.9999999999991189E-2</v>
      </c>
      <c r="AP218" s="335">
        <f>ППД5[[#This Row],[Расчетная ТП площадь]]/ППД5[[#This Row],[Расчетная проектная площадь]]-1</f>
        <v>1.3284623048819277E-3</v>
      </c>
      <c r="AQ218" s="91">
        <f>ППД5[[#This Row],[% расхождения]]*ППД5[[#This Row],[Стоимость до скидки]]</f>
        <v>7510.3287944194899</v>
      </c>
      <c r="AR218" s="91">
        <f>VLOOKUP(ППД5[[#This Row],[№]],наценкад5[],COLUMN(наценкад5[[#This Row],[Цена м2 с учетом всех K]]),0)</f>
        <v>81852.246000000014</v>
      </c>
      <c r="AS218" s="8">
        <f>ППД5[[#This Row],[м2 после К]]*5%</f>
        <v>4092.6123000000007</v>
      </c>
      <c r="AT218" s="8">
        <f>ППД5[[#This Row],[м2 после К]]+ППД5[[#This Row],[Повышение 16.08.23 - 5%]]</f>
        <v>85944.858300000022</v>
      </c>
      <c r="AU218" s="93">
        <f>ППД5[[#This Row],[Фикс 16.08.23]]*3%</f>
        <v>2578.3457490000005</v>
      </c>
      <c r="AV218" s="93">
        <f>ППД5[[#This Row],[Фикс 16.08.23]]+ППД5[[#This Row],[Повышение 29.08.23 - 3%]]</f>
        <v>88523.204049000022</v>
      </c>
      <c r="AW218" s="93"/>
      <c r="AX218" s="93">
        <f>ППД5[[#This Row],[Фикс 29.08.23]]+ППД5[[#This Row],[Повышение 06.09.23 СТ и 1К]]</f>
        <v>88523.204049000022</v>
      </c>
      <c r="AY218" s="93"/>
      <c r="AZ218" s="93">
        <f>ППД5[[#This Row],[Повышение 23.10.23  В4 ]]+ППД5[[#This Row],[Фикс 06.09.23]]</f>
        <v>88523.204049000022</v>
      </c>
      <c r="BA218" s="93"/>
      <c r="BB218" s="93">
        <f>ППД5[[#This Row],[Повышение 8.11.23 1К 5%]]+ППД5[[#This Row],[Фикс 23.10.23]]</f>
        <v>88523.204049000022</v>
      </c>
      <c r="BC218" s="93"/>
      <c r="BD218" s="93">
        <f>ППД5[[#This Row],[Корректировка 24.11.23 - 1К В5, 2К А2, №233]]+ППД5[[#This Row],[Фикс 8.11.23]]</f>
        <v>88523.204049000022</v>
      </c>
      <c r="BE218" s="93">
        <f>ППД5[[#This Row],[Фикс 8.11.24]]*1%</f>
        <v>885.23204049000026</v>
      </c>
      <c r="BF218" s="93">
        <f>ППД5[[#This Row],[Наценка за отделку 29.12.23 1%]]+ППД5[[#This Row],[Фикс 8.11.24]]</f>
        <v>89408.436089490016</v>
      </c>
      <c r="BG218" s="93">
        <f>ППД5[[#This Row],[Фикс 29.12.23]]*5%</f>
        <v>4470.4218044745012</v>
      </c>
      <c r="BH218" s="93">
        <f>ППД5[[#This Row],[Фикс 29.12.23]]+ППД5[[#This Row],[Наценка 10.01.24 5%]]</f>
        <v>93878.857893964523</v>
      </c>
      <c r="BI218" s="93"/>
      <c r="BJ218" s="93">
        <f>ППД5[[#This Row],[Наценка 26.02.24 1 Этаж]]+ППД5[[#This Row],[Фикс 10.01.24]]</f>
        <v>93878.857893964523</v>
      </c>
      <c r="BK218" s="93"/>
      <c r="BL218" s="93">
        <f>ППД5[[#This Row],[Фикс 26.02.24]]+ППД5[[#This Row],[Наценка 06.03.24
СТ, 1К - 3%
2К, 3К - 2%]]</f>
        <v>93878.857893964523</v>
      </c>
      <c r="BM218" s="93"/>
      <c r="BN218" s="93">
        <f>ППД5[[#This Row],[Фикс 06.03.24]]+ППД5[[#This Row],[Наценка Г2+500]]</f>
        <v>93878.857893964523</v>
      </c>
      <c r="BO218" s="93"/>
      <c r="BP218" s="93">
        <f>ППД5[[#This Row],[Фикс 13.03.25]]+ППД5[[#This Row],[Наценка 20.03.24
2К, 3К - 2%]]</f>
        <v>93878.857893964523</v>
      </c>
      <c r="BQ218" s="93"/>
      <c r="BR218" s="93">
        <f>ППД5[[#This Row],[Фикс 20.03.24]]+ППД5[[#This Row],[Наценка 08.04.24 
2К: В3 - 150
3К: Г7 +1000]]</f>
        <v>93878.857893964523</v>
      </c>
      <c r="BS218" s="93"/>
      <c r="BT218" s="93">
        <f>ППД5[[#This Row],[Фикс 08.04.24]]+ППД5[[#This Row],[Наценка 16.05.24 1%
А4,А6,Б3,Б6,Б7,В2,В3,В5,В6,Г1,Г3-Г5]]</f>
        <v>93878.857893964523</v>
      </c>
      <c r="BU218" s="93"/>
      <c r="BV218" s="93">
        <f>ППД5[[#This Row],[Фикс 16.05.24]]+ППД5[[#This Row],[Наценка 24.05.24
1% - Б4, Б5,Г2,Г6
2% - А1,А3,А5,Б2,Г7]]</f>
        <v>93878.857893964523</v>
      </c>
      <c r="BW218" s="93"/>
      <c r="BX218" s="93">
        <f>ППД5[[#This Row],[Наценка 06.06.24
0К: В2,Г3 +0,5%
1К: А7, Б5/4, Г6 +0,5%
3К: В6 +0,5%
1К: А3 +1%]]+ППД5[[#This Row],[Фикс 24.05.24]]</f>
        <v>93878.857893964523</v>
      </c>
      <c r="BY218" s="93"/>
      <c r="BZ218" s="93">
        <f>ППД5[[#This Row],[Фикс 06.06.24]]+ППД5[[#This Row],[13.06.2024
3К - 2%]]</f>
        <v>93878.857893964523</v>
      </c>
      <c r="CA218" s="93"/>
      <c r="CB218" s="93">
        <f>ППД5[[#This Row],[02.07.2024: Г3 А1 А3 Б5 Б7 Г2 Г6 Б3 Б4 В3 Г7 2,5% ост 0,5-1,5%]]+ППД5[[#This Row],[Фикс 13.06.24]]</f>
        <v>93878.857893964523</v>
      </c>
      <c r="CC218" s="93"/>
      <c r="CD218" s="93">
        <f>ППД5[[#This Row],[Фикс 02.07.24]]+ППД5[[#This Row],[04.09.2024 +500
0К - Б2; 1К - А3;
2К - А6, Б4, В3, Г5]]</f>
        <v>93878.857893964523</v>
      </c>
      <c r="CE218" s="93"/>
      <c r="CF218" s="93">
        <f>ППД5[[#This Row],[Наценка 16.09.2024
1К: А1,В7,Г6/7,Г8 - 2%
2К: А4,А5,А6,Б1,Б6,Б3/4,В3,В4,Г4,Г5 - 4%
3К: 4%]]+ППД5[[#This Row],[Фикс 04.09.24]]</f>
        <v>93878.857893964523</v>
      </c>
      <c r="CG218" s="93"/>
      <c r="CH218" s="93">
        <f>ППД5[[#This Row],[Фикс 16.09.2024]]+ППД5[[#This Row],[Наценка 01.11.24
СТ: 4%
1К: 34-40м 5%; 40м+ 8%; МГН 1%
2К: 55-70м 6%; 70-73м 7%; 73-76м 8% 
3К: 5%]]</f>
        <v>93878.857893964523</v>
      </c>
      <c r="CI218" s="93"/>
      <c r="CJ218" s="93">
        <f>ППД5[[#This Row],[Наценка 06.11 13%]]+ППД5[[#This Row],[Фикс 01.11.24]]</f>
        <v>93878.857893964523</v>
      </c>
      <c r="CK218" s="93"/>
      <c r="CL218" s="93">
        <f>ППД5[[#This Row],[Фикс 06.11.24]]+ППД5[[#This Row],[Наценка 18.12.24 распределение КВ]]</f>
        <v>93878.857893964523</v>
      </c>
      <c r="CM218" s="93"/>
      <c r="CN218" s="93">
        <f>ППД5[[#This Row],[Фикс 18.12.24]]+ППД5[[#This Row],[Наценка 10.02.25 +1%
1К: А3
2К: Б3, В3]]</f>
        <v>93878.857893964523</v>
      </c>
      <c r="CO218" s="93">
        <f>ROUND(ППД5[[#This Row],[Фикс 10.02.25]],2)</f>
        <v>93878.86</v>
      </c>
      <c r="CP21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5653400</v>
      </c>
      <c r="CQ218" s="93">
        <f>ROUNDUP(ППД5[[#This Row],[Стоимость до скидки]]+ППД5[[#This Row],[Сумма доплаты]],-2)</f>
        <v>5661000</v>
      </c>
      <c r="CR218" s="68"/>
      <c r="CS218" s="90"/>
      <c r="CT218" s="68">
        <f>ППД5[[#This Row],[Стоимость до скидки]]*ППД5[[#This Row],[Скидка %]]+ППД5[[#This Row],[Скидка фиксированная]]</f>
        <v>0</v>
      </c>
      <c r="CU218" s="3">
        <f>ППД5[[#This Row],[Стоимость ОН без отделки со скидкой]]/ППД5[[#This Row],[Расчетная проектная площадь]]</f>
        <v>93879.109930255727</v>
      </c>
      <c r="CV218" s="3">
        <f>ROUND(ППД5[[#This Row],[Стоимость до скидки]]-ППД5[[#This Row],[Итоговая сумма скидки]],2)</f>
        <v>5653400</v>
      </c>
      <c r="CW21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18" s="197"/>
      <c r="CY218" s="332">
        <f>ППД5[[#This Row],[Расхождение]]/ППД5[[#This Row],[Расчетная проектная площадь]]</f>
        <v>1.3284623048819527E-3</v>
      </c>
      <c r="CZ21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-1.0000000000001563E-2</v>
      </c>
      <c r="DA218" s="3">
        <f>ППД5[[#This Row],[Цена м2 без отделки со скидкой]]+ППД5[[#This Row],[Стоимость отделки]]</f>
        <v>93879.109930255727</v>
      </c>
      <c r="DB218" s="3">
        <f>ППД5[[#This Row],[Стоимость квартиры с отделкой]]-ППД5[[#This Row],[Стоимость ОН без отделки со скидкой]]</f>
        <v>0</v>
      </c>
      <c r="DC218" s="3">
        <f>ППД5[[#This Row],[Цена м2 с отделкой]]*ППД5[[#This Row],[Расчетная проектная площадь]]</f>
        <v>5653400</v>
      </c>
      <c r="DD218" s="3"/>
      <c r="DF218" s="199" t="s">
        <v>172</v>
      </c>
      <c r="DG218" s="245" t="s">
        <v>172</v>
      </c>
      <c r="DH218" s="100" t="b">
        <f>EXACT(ППД5[[#This Row],[Статусы CRM]],ППД5[[#This Row],[Статус]])</f>
        <v>1</v>
      </c>
      <c r="DI218" s="213" t="s">
        <v>390</v>
      </c>
      <c r="DJ218" s="204"/>
      <c r="DK218" s="111" t="s">
        <v>763</v>
      </c>
      <c r="DL218" s="216" t="s">
        <v>12</v>
      </c>
      <c r="DM218" s="201" t="b">
        <f>ППД5[[#This Row],[Отделка CRM]]=ППД5[[#This Row],[Отделка]]</f>
        <v>1</v>
      </c>
      <c r="DN218" s="203">
        <v>5653400</v>
      </c>
      <c r="DO21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18" s="207" t="b">
        <f>IF(AND(ППД5[[#This Row],[Статус]]="свободно",ППД5[[#This Row],[Итоговая сумма скидки]]&lt;&gt;0),FALSE,TRUE)</f>
        <v>1</v>
      </c>
      <c r="DQ218" s="240">
        <f>_xlfn.XLOOKUP(ППД5[[#This Row],[№]],Юрист[№ кв],Юрист[Дата подачи на регистрацию]," ",0,-1)</f>
        <v>45351</v>
      </c>
      <c r="DR218" s="115" t="str">
        <f>_xlfn.XLOOKUP(ППД5[[#This Row],[№]],Юрист[№ кв],Юрист[МОП],"",0,-1)</f>
        <v>Никишов</v>
      </c>
      <c r="DS218" s="333" t="s">
        <v>2728</v>
      </c>
      <c r="DT218" s="333" t="s">
        <v>2729</v>
      </c>
      <c r="DU218" s="333">
        <v>58.9</v>
      </c>
      <c r="DV218" s="111"/>
    </row>
    <row r="219" spans="1:126" hidden="1" x14ac:dyDescent="0.25">
      <c r="A219" s="112">
        <v>217</v>
      </c>
      <c r="B219" s="111" t="s">
        <v>4</v>
      </c>
      <c r="C219" s="111">
        <v>16</v>
      </c>
      <c r="D219" s="111">
        <v>2</v>
      </c>
      <c r="E219" s="111">
        <v>0</v>
      </c>
      <c r="F219" s="105">
        <v>7.13</v>
      </c>
      <c r="G219" s="105"/>
      <c r="H219" s="105"/>
      <c r="I219" s="94">
        <f>SUM(ППД5[[#This Row],[Комната 1]:[Комната 3]])</f>
        <v>7.13</v>
      </c>
      <c r="J219" s="105">
        <v>5.12</v>
      </c>
      <c r="K219" s="105">
        <v>3.65</v>
      </c>
      <c r="L219" s="105"/>
      <c r="M219" s="105"/>
      <c r="N219" s="105">
        <v>6.92</v>
      </c>
      <c r="O219" s="105">
        <v>2.91</v>
      </c>
      <c r="P219" s="105"/>
      <c r="Q219" s="105"/>
      <c r="R219" s="105">
        <f>SUM(ППД5[[#This Row],[Лоджия 1]:[Лоджия 3]])</f>
        <v>2.91</v>
      </c>
      <c r="S219" s="8">
        <f>ROUND(SUM(ППД5[[#This Row],[Площадь по проекту жилая]:[Лоджия 3]]),2)</f>
        <v>25.73</v>
      </c>
      <c r="T219" s="8">
        <f>ROUND(ППД5[[#This Row],[Площадь по проекту(общая)]]-ППД5[[#This Row],[Летние]],2)</f>
        <v>22.82</v>
      </c>
      <c r="U219" s="91">
        <f>ROUND(ППД5[[#This Row],[Площадь по проекту(общая)]]-(SUM(ППД5[[#This Row],[Лоджия 1]:[Лоджия 3]])/2),2)</f>
        <v>24.28</v>
      </c>
      <c r="V219" s="91">
        <f>IF(ППД5[[#This Row],[Статус]]="продажа",ППД5[[#This Row],[Расчетная проектная площадь]],ППД5[[#This Row],[Расчетная ТП площадь]])</f>
        <v>24.28</v>
      </c>
      <c r="W219" s="91">
        <v>7.1</v>
      </c>
      <c r="X219" s="91"/>
      <c r="Y219" s="91"/>
      <c r="Z219" s="91">
        <f>SUM(ППД5[[#This Row],[ТП Комната 1]:[ТП Комната 3]])</f>
        <v>7.1</v>
      </c>
      <c r="AA219" s="91">
        <v>5.0999999999999996</v>
      </c>
      <c r="AB219" s="91">
        <v>3.7</v>
      </c>
      <c r="AC219" s="91"/>
      <c r="AD219" s="91"/>
      <c r="AE219" s="91">
        <v>6.7</v>
      </c>
      <c r="AF219" s="91">
        <v>1.5</v>
      </c>
      <c r="AG219" s="91"/>
      <c r="AH219" s="91"/>
      <c r="AI219" s="91">
        <f>SUM(ППД5[[#This Row],[ТП Лоджия 1]:[ТП Лоджия 3]])</f>
        <v>1.5</v>
      </c>
      <c r="AJ219" s="95">
        <v>3</v>
      </c>
      <c r="AK219" s="91">
        <f>SUM(ППД5[[#This Row],[Площадь по ТП жилая]:[ТП Лоджия 3]])-ППД5[[#This Row],[ТП Летние]]+ППД5[[#This Row],[кроме того прочая
(без коэффициента)]]</f>
        <v>25.599999999999998</v>
      </c>
      <c r="AL219" s="95">
        <f>ППД5[[#This Row],[ТП Площадь без летних]]+(ППД5[[#This Row],[ТП Летние]])</f>
        <v>24.099999999999998</v>
      </c>
      <c r="AM219" s="91">
        <f>ППД5[[#This Row],[ТП общая S]]-ППД5[[#This Row],[кроме того прочая
(без коэффициента)]]</f>
        <v>22.599999999999998</v>
      </c>
      <c r="AN219" s="95">
        <f>SUM(ППД5[[#This Row],[ТП Кухня]:[ТП Коридор]])</f>
        <v>15.5</v>
      </c>
      <c r="AO219" s="91">
        <f>ППД5[[#This Row],[Расчетная ТП площадь]]-ППД5[[#This Row],[Расчетная проектная площадь]]</f>
        <v>-0.18000000000000327</v>
      </c>
      <c r="AP219" s="335">
        <f>ППД5[[#This Row],[Расчетная ТП площадь]]/ППД5[[#This Row],[Расчетная проектная площадь]]-1</f>
        <v>-7.4135090609556142E-3</v>
      </c>
      <c r="AQ219" s="91">
        <f>ППД5[[#This Row],[% расхождения]]*ППД5[[#This Row],[Стоимость до скидки]]</f>
        <v>-27472.981878089315</v>
      </c>
      <c r="AR219" s="91">
        <f>VLOOKUP(ППД5[[#This Row],[№]],наценкад5[],COLUMN(наценкад5[[#This Row],[Цена м2 с учетом всех K]]),0)</f>
        <v>91981.574999999997</v>
      </c>
      <c r="AS219" s="8">
        <f>ППД5[[#This Row],[м2 после К]]*5%</f>
        <v>4599.0787499999997</v>
      </c>
      <c r="AT219" s="8">
        <f>ППД5[[#This Row],[м2 после К]]+ППД5[[#This Row],[Повышение 16.08.23 - 5%]]</f>
        <v>96580.653749999998</v>
      </c>
      <c r="AU219" s="93">
        <f>ППД5[[#This Row],[Фикс 16.08.23]]*3%</f>
        <v>2897.4196124999999</v>
      </c>
      <c r="AV219" s="93">
        <f>ППД5[[#This Row],[Фикс 16.08.23]]+ППД5[[#This Row],[Повышение 29.08.23 - 3%]]</f>
        <v>99478.073362499999</v>
      </c>
      <c r="AW219" s="93">
        <f>ППД5[[#This Row],[Фикс 29.08.23]]*15%</f>
        <v>14921.711004375</v>
      </c>
      <c r="AX219" s="93">
        <f>ППД5[[#This Row],[Фикс 29.08.23]]+ППД5[[#This Row],[Повышение 06.09.23 СТ и 1К]]</f>
        <v>114399.784366875</v>
      </c>
      <c r="AY219" s="93"/>
      <c r="AZ219" s="93">
        <f>ППД5[[#This Row],[Повышение 23.10.23  В4 ]]+ППД5[[#This Row],[Фикс 06.09.23]]</f>
        <v>114399.784366875</v>
      </c>
      <c r="BA219" s="93"/>
      <c r="BB219" s="93">
        <f>ППД5[[#This Row],[Повышение 8.11.23 1К 5%]]+ППД5[[#This Row],[Фикс 23.10.23]]</f>
        <v>114399.784366875</v>
      </c>
      <c r="BC219" s="93"/>
      <c r="BD219" s="93">
        <f>ППД5[[#This Row],[Корректировка 24.11.23 - 1К В5, 2К А2, №233]]+ППД5[[#This Row],[Фикс 8.11.23]]</f>
        <v>114399.784366875</v>
      </c>
      <c r="BE219" s="93">
        <f>ППД5[[#This Row],[Фикс 8.11.24]]*1%</f>
        <v>1143.99784366875</v>
      </c>
      <c r="BF219" s="93">
        <f>ППД5[[#This Row],[Наценка за отделку 29.12.23 1%]]+ППД5[[#This Row],[Фикс 8.11.24]]</f>
        <v>115543.78221054375</v>
      </c>
      <c r="BG219" s="93">
        <f>ППД5[[#This Row],[Фикс 29.12.23]]*5%</f>
        <v>5777.1891105271879</v>
      </c>
      <c r="BH219" s="93">
        <f>ППД5[[#This Row],[Фикс 29.12.23]]+ППД5[[#This Row],[Наценка 10.01.24 5%]]</f>
        <v>121320.97132107095</v>
      </c>
      <c r="BI219" s="93"/>
      <c r="BJ219" s="93">
        <f>ППД5[[#This Row],[Наценка 26.02.24 1 Этаж]]+ППД5[[#This Row],[Фикс 10.01.24]]</f>
        <v>121320.97132107095</v>
      </c>
      <c r="BK219" s="93">
        <f>ППД5[[#This Row],[Фикс 26.02.24]]*3%</f>
        <v>3639.629139632128</v>
      </c>
      <c r="BL219" s="93">
        <f>ППД5[[#This Row],[Фикс 26.02.24]]+ППД5[[#This Row],[Наценка 06.03.24
СТ, 1К - 3%
2К, 3К - 2%]]</f>
        <v>124960.60046070308</v>
      </c>
      <c r="BM219" s="93"/>
      <c r="BN219" s="93">
        <f>ППД5[[#This Row],[Фикс 06.03.24]]+ППД5[[#This Row],[Наценка Г2+500]]</f>
        <v>124960.60046070308</v>
      </c>
      <c r="BO219" s="93"/>
      <c r="BP219" s="93">
        <f>ППД5[[#This Row],[Фикс 13.03.25]]+ППД5[[#This Row],[Наценка 20.03.24
2К, 3К - 2%]]</f>
        <v>124960.60046070308</v>
      </c>
      <c r="BQ219" s="93"/>
      <c r="BR219" s="93">
        <f>ППД5[[#This Row],[Фикс 20.03.24]]+ППД5[[#This Row],[Наценка 08.04.24 
2К: В3 - 150
3К: Г7 +1000]]</f>
        <v>124960.60046070308</v>
      </c>
      <c r="BS219" s="93"/>
      <c r="BT219" s="93">
        <f>ППД5[[#This Row],[Фикс 08.04.24]]+ППД5[[#This Row],[Наценка 16.05.24 1%
А4,А6,Б3,Б6,Б7,В2,В3,В5,В6,Г1,Г3-Г5]]</f>
        <v>124960.60046070308</v>
      </c>
      <c r="BU219" s="93">
        <f>ППД5[[#This Row],[Фикс 16.05.24]]*2%</f>
        <v>2499.2120092140617</v>
      </c>
      <c r="BV219" s="93">
        <f>ППД5[[#This Row],[Фикс 16.05.24]]+ППД5[[#This Row],[Наценка 24.05.24
1% - Б4, Б5,Г2,Г6
2% - А1,А3,А5,Б2,Г7]]</f>
        <v>127459.81246991715</v>
      </c>
      <c r="BW219" s="93"/>
      <c r="BX219" s="93">
        <f>ППД5[[#This Row],[Наценка 06.06.24
0К: В2,Г3 +0,5%
1К: А7, Б5/4, Г6 +0,5%
3К: В6 +0,5%
1К: А3 +1%]]+ППД5[[#This Row],[Фикс 24.05.24]]</f>
        <v>127459.81246991715</v>
      </c>
      <c r="BY219" s="93"/>
      <c r="BZ219" s="93">
        <f>ППД5[[#This Row],[Фикс 06.06.24]]+ППД5[[#This Row],[13.06.2024
3К - 2%]]</f>
        <v>127459.81246991715</v>
      </c>
      <c r="CA219" s="93">
        <f>1.5%*ППД5[[#This Row],[Фикс 13.06.24]]</f>
        <v>1911.8971870487571</v>
      </c>
      <c r="CB219" s="93">
        <f>ППД5[[#This Row],[02.07.2024: Г3 А1 А3 Б5 Б7 Г2 Г6 Б3 Б4 В3 Г7 2,5% ост 0,5-1,5%]]+ППД5[[#This Row],[Фикс 13.06.24]]</f>
        <v>129371.7096569659</v>
      </c>
      <c r="CC219" s="93">
        <v>500</v>
      </c>
      <c r="CD219" s="93">
        <f>ППД5[[#This Row],[Фикс 02.07.24]]+ППД5[[#This Row],[04.09.2024 +500
0К - Б2; 1К - А3;
2К - А6, Б4, В3, Г5]]</f>
        <v>129871.7096569659</v>
      </c>
      <c r="CE219" s="93"/>
      <c r="CF219" s="93">
        <f>ППД5[[#This Row],[Наценка 16.09.2024
1К: А1,В7,Г6/7,Г8 - 2%
2К: А4,А5,А6,Б1,Б6,Б3/4,В3,В4,Г4,Г5 - 4%
3К: 4%]]+ППД5[[#This Row],[Фикс 04.09.24]]</f>
        <v>129871.7096569659</v>
      </c>
      <c r="CG219" s="93">
        <f>ППД5[[#This Row],[Фикс 16.09.2024]]*4%</f>
        <v>5194.8683862786365</v>
      </c>
      <c r="CH219" s="93">
        <f>ППД5[[#This Row],[Фикс 16.09.2024]]+ППД5[[#This Row],[Наценка 01.11.24
СТ: 4%
1К: 34-40м 5%; 40м+ 8%; МГН 1%
2К: 55-70м 6%; 70-73м 7%; 73-76м 8% 
3К: 5%]]</f>
        <v>135066.57804324455</v>
      </c>
      <c r="CI219" s="93">
        <f>ППД5[[#This Row],[Фикс 01.11.24]]*13%</f>
        <v>17558.655145621793</v>
      </c>
      <c r="CJ219" s="93">
        <f>ППД5[[#This Row],[Наценка 06.11 13%]]+ППД5[[#This Row],[Фикс 01.11.24]]</f>
        <v>152625.23318886635</v>
      </c>
      <c r="CK219" s="93"/>
      <c r="CL219" s="93">
        <f>ППД5[[#This Row],[Фикс 06.11.24]]+ППД5[[#This Row],[Наценка 18.12.24 распределение КВ]]</f>
        <v>152625.23318886635</v>
      </c>
      <c r="CM219" s="93"/>
      <c r="CN219" s="93">
        <f>ППД5[[#This Row],[Фикс 18.12.24]]+ППД5[[#This Row],[Наценка 10.02.25 +1%
1К: А3
2К: Б3, В3]]</f>
        <v>152625.23318886635</v>
      </c>
      <c r="CO219" s="93">
        <f>ROUND(ППД5[[#This Row],[Фикс 10.02.25]],2)</f>
        <v>152625.23000000001</v>
      </c>
      <c r="CP21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3705800</v>
      </c>
      <c r="CQ219" s="93">
        <f>ROUNDUP(ППД5[[#This Row],[Стоимость до скидки]]+ППД5[[#This Row],[Сумма доплаты]],-2)</f>
        <v>3678400</v>
      </c>
      <c r="CR219" s="68"/>
      <c r="CS219" s="90">
        <v>0.02</v>
      </c>
      <c r="CT219" s="68">
        <f>ППД5[[#This Row],[Стоимость до скидки]]*ППД5[[#This Row],[Скидка %]]+ППД5[[#This Row],[Скидка фиксированная]]</f>
        <v>74116</v>
      </c>
      <c r="CU219" s="3">
        <f>ППД5[[#This Row],[Стоимость ОН без отделки со скидкой]]/ППД5[[#This Row],[Расчетная проектная площадь]]</f>
        <v>149575.12355848434</v>
      </c>
      <c r="CV219" s="3">
        <f>ROUND(ППД5[[#This Row],[Стоимость до скидки]]-ППД5[[#This Row],[Итоговая сумма скидки]],2)</f>
        <v>3631684</v>
      </c>
      <c r="CW21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19" s="197"/>
      <c r="CY219" s="332">
        <f>ППД5[[#This Row],[Расхождение]]/ППД5[[#This Row],[Расчетная проектная площадь]]</f>
        <v>-7.4135090609556533E-3</v>
      </c>
      <c r="CZ21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-0.19000000000000039</v>
      </c>
      <c r="DA219" s="3">
        <f>ППД5[[#This Row],[Цена м2 без отделки со скидкой]]+ППД5[[#This Row],[Стоимость отделки]]</f>
        <v>149575.12355848434</v>
      </c>
      <c r="DB219" s="3">
        <f>ППД5[[#This Row],[Стоимость квартиры с отделкой]]-ППД5[[#This Row],[Стоимость ОН без отделки со скидкой]]</f>
        <v>0</v>
      </c>
      <c r="DC219" s="3">
        <f>ППД5[[#This Row],[Цена м2 с отделкой]]*ППД5[[#This Row],[Расчетная проектная площадь]]</f>
        <v>3631684</v>
      </c>
      <c r="DD219" s="3"/>
      <c r="DE219" s="111" t="s">
        <v>757</v>
      </c>
      <c r="DF219" s="199" t="s">
        <v>172</v>
      </c>
      <c r="DG219" s="245" t="s">
        <v>172</v>
      </c>
      <c r="DH219" s="100" t="b">
        <f>EXACT(ППД5[[#This Row],[Статусы CRM]],ППД5[[#This Row],[Статус]])</f>
        <v>1</v>
      </c>
      <c r="DI219" s="213" t="s">
        <v>391</v>
      </c>
      <c r="DJ219" s="204"/>
      <c r="DK219" s="111" t="s">
        <v>763</v>
      </c>
      <c r="DL219" s="216" t="s">
        <v>12</v>
      </c>
      <c r="DM219" s="201" t="b">
        <f>ППД5[[#This Row],[Отделка CRM]]=ППД5[[#This Row],[Отделка]]</f>
        <v>1</v>
      </c>
      <c r="DN219" s="203">
        <v>3631684</v>
      </c>
      <c r="DO21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19" s="207" t="b">
        <f>IF(AND(ППД5[[#This Row],[Статус]]="свободно",ППД5[[#This Row],[Итоговая сумма скидки]]&lt;&gt;0),FALSE,TRUE)</f>
        <v>1</v>
      </c>
      <c r="DQ219" s="240">
        <f>_xlfn.XLOOKUP(ППД5[[#This Row],[№]],Юрист[№ кв],Юрист[Дата подачи на регистрацию]," ",0,-1)</f>
        <v>45618</v>
      </c>
      <c r="DR219" s="115" t="str">
        <f>_xlfn.XLOOKUP(ППД5[[#This Row],[№]],Юрист[№ кв],Юрист[МОП],"",0,-1)</f>
        <v>Никишов</v>
      </c>
      <c r="DS219" s="333" t="s">
        <v>2730</v>
      </c>
      <c r="DT219" s="333" t="s">
        <v>2731</v>
      </c>
      <c r="DU219" s="333">
        <v>22.6</v>
      </c>
      <c r="DV219" s="111"/>
    </row>
    <row r="220" spans="1:126" hidden="1" x14ac:dyDescent="0.25">
      <c r="A220" s="112">
        <v>218</v>
      </c>
      <c r="B220" s="111" t="s">
        <v>4</v>
      </c>
      <c r="C220" s="111">
        <v>16</v>
      </c>
      <c r="D220" s="111">
        <v>3</v>
      </c>
      <c r="E220" s="111">
        <v>2</v>
      </c>
      <c r="F220" s="105">
        <v>14.6</v>
      </c>
      <c r="G220" s="105">
        <v>13.12</v>
      </c>
      <c r="H220" s="105"/>
      <c r="I220" s="94">
        <f>SUM(ППД5[[#This Row],[Комната 1]:[Комната 3]])</f>
        <v>27.72</v>
      </c>
      <c r="J220" s="105">
        <v>14.35</v>
      </c>
      <c r="K220" s="105">
        <v>3.68</v>
      </c>
      <c r="L220" s="105">
        <v>2.57</v>
      </c>
      <c r="M220" s="105"/>
      <c r="N220" s="105">
        <v>7.95</v>
      </c>
      <c r="O220" s="105">
        <v>2.65</v>
      </c>
      <c r="P220" s="105"/>
      <c r="Q220" s="105"/>
      <c r="R220" s="105">
        <f>SUM(ППД5[[#This Row],[Лоджия 1]:[Лоджия 3]])</f>
        <v>2.65</v>
      </c>
      <c r="S220" s="8">
        <f>ROUND(SUM(ППД5[[#This Row],[Площадь по проекту жилая]:[Лоджия 3]]),2)</f>
        <v>58.92</v>
      </c>
      <c r="T220" s="8">
        <f>ROUND(ППД5[[#This Row],[Площадь по проекту(общая)]]-ППД5[[#This Row],[Летние]],2)</f>
        <v>56.27</v>
      </c>
      <c r="U220" s="91">
        <f>ROUND(ППД5[[#This Row],[Площадь по проекту(общая)]]-(SUM(ППД5[[#This Row],[Лоджия 1]:[Лоджия 3]])/2),2)</f>
        <v>57.6</v>
      </c>
      <c r="V220" s="91">
        <f>IF(ППД5[[#This Row],[Статус]]="продажа",ППД5[[#This Row],[Расчетная проектная площадь]],ППД5[[#This Row],[Расчетная ТП площадь]])</f>
        <v>57.6</v>
      </c>
      <c r="W220" s="91">
        <v>13</v>
      </c>
      <c r="X220" s="91">
        <v>14.5</v>
      </c>
      <c r="Y220" s="91"/>
      <c r="Z220" s="91">
        <f>SUM(ППД5[[#This Row],[ТП Комната 1]:[ТП Комната 3]])</f>
        <v>27.5</v>
      </c>
      <c r="AA220" s="91">
        <v>14.3</v>
      </c>
      <c r="AB220" s="91">
        <v>2.6</v>
      </c>
      <c r="AC220" s="91">
        <v>4</v>
      </c>
      <c r="AD220" s="91"/>
      <c r="AE220" s="91">
        <v>7.8</v>
      </c>
      <c r="AF220" s="91">
        <v>1.35</v>
      </c>
      <c r="AG220" s="91"/>
      <c r="AH220" s="91"/>
      <c r="AI220" s="91">
        <f>SUM(ППД5[[#This Row],[ТП Лоджия 1]:[ТП Лоджия 3]])</f>
        <v>1.35</v>
      </c>
      <c r="AJ220" s="95">
        <v>2.7</v>
      </c>
      <c r="AK220" s="91">
        <f>SUM(ППД5[[#This Row],[Площадь по ТП жилая]:[ТП Лоджия 3]])-ППД5[[#This Row],[ТП Летние]]+ППД5[[#This Row],[кроме того прочая
(без коэффициента)]]</f>
        <v>58.9</v>
      </c>
      <c r="AL220" s="95">
        <f>ППД5[[#This Row],[ТП Площадь без летних]]+(ППД5[[#This Row],[ТП Летние]])</f>
        <v>57.55</v>
      </c>
      <c r="AM220" s="91">
        <f>ППД5[[#This Row],[ТП общая S]]-ППД5[[#This Row],[кроме того прочая
(без коэффициента)]]</f>
        <v>56.199999999999996</v>
      </c>
      <c r="AN220" s="95">
        <f>SUM(ППД5[[#This Row],[ТП Кухня]:[ТП Коридор]])</f>
        <v>28.700000000000003</v>
      </c>
      <c r="AO220" s="91">
        <f>ППД5[[#This Row],[Расчетная ТП площадь]]-ППД5[[#This Row],[Расчетная проектная площадь]]</f>
        <v>-5.0000000000004263E-2</v>
      </c>
      <c r="AP220" s="335">
        <f>ППД5[[#This Row],[Расчетная ТП площадь]]/ППД5[[#This Row],[Расчетная проектная площадь]]-1</f>
        <v>-8.6805555555558023E-4</v>
      </c>
      <c r="AQ220" s="91">
        <f>ППД5[[#This Row],[% расхождения]]*ППД5[[#This Row],[Стоимость до скидки]]</f>
        <v>-4839.40972222236</v>
      </c>
      <c r="AR220" s="91">
        <f>VLOOKUP(ППД5[[#This Row],[№]],наценкад5[],COLUMN(наценкад5[[#This Row],[Цена м2 с учетом всех K]]),0)</f>
        <v>80307.864000000001</v>
      </c>
      <c r="AS220" s="8">
        <f>ППД5[[#This Row],[м2 после К]]*5%</f>
        <v>4015.3932000000004</v>
      </c>
      <c r="AT220" s="8">
        <f>ППД5[[#This Row],[м2 после К]]+ППД5[[#This Row],[Повышение 16.08.23 - 5%]]</f>
        <v>84323.257200000007</v>
      </c>
      <c r="AU220" s="93">
        <f>ППД5[[#This Row],[Фикс 16.08.23]]*3%</f>
        <v>2529.6977160000001</v>
      </c>
      <c r="AV220" s="93">
        <f>ППД5[[#This Row],[Фикс 16.08.23]]+ППД5[[#This Row],[Повышение 29.08.23 - 3%]]</f>
        <v>86852.954916000002</v>
      </c>
      <c r="AW220" s="93"/>
      <c r="AX220" s="93">
        <f>ППД5[[#This Row],[Фикс 29.08.23]]+ППД5[[#This Row],[Повышение 06.09.23 СТ и 1К]]</f>
        <v>86852.954916000002</v>
      </c>
      <c r="AY220" s="93"/>
      <c r="AZ220" s="93">
        <f>ППД5[[#This Row],[Повышение 23.10.23  В4 ]]+ППД5[[#This Row],[Фикс 06.09.23]]</f>
        <v>86852.954916000002</v>
      </c>
      <c r="BA220" s="93"/>
      <c r="BB220" s="93">
        <f>ППД5[[#This Row],[Повышение 8.11.23 1К 5%]]+ППД5[[#This Row],[Фикс 23.10.23]]</f>
        <v>86852.954916000002</v>
      </c>
      <c r="BC220" s="93"/>
      <c r="BD220" s="93">
        <f>ППД5[[#This Row],[Корректировка 24.11.23 - 1К В5, 2К А2, №233]]+ППД5[[#This Row],[Фикс 8.11.23]]</f>
        <v>86852.954916000002</v>
      </c>
      <c r="BE220" s="93">
        <f>ППД5[[#This Row],[Фикс 8.11.24]]*1%</f>
        <v>868.52954915999999</v>
      </c>
      <c r="BF220" s="93">
        <f>ППД5[[#This Row],[Наценка за отделку 29.12.23 1%]]+ППД5[[#This Row],[Фикс 8.11.24]]</f>
        <v>87721.48446516</v>
      </c>
      <c r="BG220" s="93">
        <f>ППД5[[#This Row],[Фикс 29.12.23]]*5%</f>
        <v>4386.0742232580005</v>
      </c>
      <c r="BH220" s="93">
        <f>ППД5[[#This Row],[Фикс 29.12.23]]+ППД5[[#This Row],[Наценка 10.01.24 5%]]</f>
        <v>92107.558688417994</v>
      </c>
      <c r="BI220" s="93"/>
      <c r="BJ220" s="93">
        <f>ППД5[[#This Row],[Наценка 26.02.24 1 Этаж]]+ППД5[[#This Row],[Фикс 10.01.24]]</f>
        <v>92107.558688417994</v>
      </c>
      <c r="BK220" s="93">
        <f>ППД5[[#This Row],[Фикс 26.02.24]]*2%</f>
        <v>1842.15117376836</v>
      </c>
      <c r="BL220" s="93">
        <f>ППД5[[#This Row],[Фикс 26.02.24]]+ППД5[[#This Row],[Наценка 06.03.24
СТ, 1К - 3%
2К, 3К - 2%]]</f>
        <v>93949.709862186355</v>
      </c>
      <c r="BM220" s="93"/>
      <c r="BN220" s="93">
        <f>ППД5[[#This Row],[Фикс 06.03.24]]+ППД5[[#This Row],[Наценка Г2+500]]</f>
        <v>93949.709862186355</v>
      </c>
      <c r="BO220" s="93">
        <f>ППД5[[#This Row],[Фикс 13.03.25]]*2%</f>
        <v>1878.9941972437271</v>
      </c>
      <c r="BP220" s="93">
        <f>ППД5[[#This Row],[Фикс 13.03.25]]+ППД5[[#This Row],[Наценка 20.03.24
2К, 3К - 2%]]</f>
        <v>95828.704059430078</v>
      </c>
      <c r="BQ220" s="93"/>
      <c r="BR220" s="93">
        <f>ППД5[[#This Row],[Фикс 20.03.24]]+ППД5[[#This Row],[Наценка 08.04.24 
2К: В3 - 150
3К: Г7 +1000]]</f>
        <v>95828.704059430078</v>
      </c>
      <c r="BS220" s="9">
        <f>ППД5[[#This Row],[Фикс 08.04.24]]*1%</f>
        <v>958.28704059430083</v>
      </c>
      <c r="BT220" s="93">
        <f>ППД5[[#This Row],[Фикс 08.04.24]]+ППД5[[#This Row],[Наценка 16.05.24 1%
А4,А6,Б3,Б6,Б7,В2,В3,В5,В6,Г1,Г3-Г5]]</f>
        <v>96786.991100024374</v>
      </c>
      <c r="BU220" s="93"/>
      <c r="BV220" s="93">
        <f>ППД5[[#This Row],[Фикс 16.05.24]]+ППД5[[#This Row],[Наценка 24.05.24
1% - Б4, Б5,Г2,Г6
2% - А1,А3,А5,Б2,Г7]]</f>
        <v>96786.991100024374</v>
      </c>
      <c r="BW220" s="93"/>
      <c r="BX220" s="93">
        <f>ППД5[[#This Row],[Наценка 06.06.24
0К: В2,Г3 +0,5%
1К: А7, Б5/4, Г6 +0,5%
3К: В6 +0,5%
1К: А3 +1%]]+ППД5[[#This Row],[Фикс 24.05.24]]</f>
        <v>96786.991100024374</v>
      </c>
      <c r="BY220" s="93"/>
      <c r="BZ220" s="93">
        <f>ППД5[[#This Row],[Фикс 06.06.24]]+ППД5[[#This Row],[13.06.2024
3К - 2%]]</f>
        <v>96786.991100024374</v>
      </c>
      <c r="CA220" s="93"/>
      <c r="CB220" s="93">
        <f>ППД5[[#This Row],[02.07.2024: Г3 А1 А3 Б5 Б7 Г2 Г6 Б3 Б4 В3 Г7 2,5% ост 0,5-1,5%]]+ППД5[[#This Row],[Фикс 13.06.24]]</f>
        <v>96786.991100024374</v>
      </c>
      <c r="CC220" s="93"/>
      <c r="CD220" s="93">
        <f>ППД5[[#This Row],[Фикс 02.07.24]]+ППД5[[#This Row],[04.09.2024 +500
0К - Б2; 1К - А3;
2К - А6, Б4, В3, Г5]]</f>
        <v>96786.991100024374</v>
      </c>
      <c r="CE220" s="93"/>
      <c r="CF220" s="93">
        <f>ППД5[[#This Row],[Наценка 16.09.2024
1К: А1,В7,Г6/7,Г8 - 2%
2К: А4,А5,А6,Б1,Б6,Б3/4,В3,В4,Г4,Г5 - 4%
3К: 4%]]+ППД5[[#This Row],[Фикс 04.09.24]]</f>
        <v>96786.991100024374</v>
      </c>
      <c r="CG220" s="93"/>
      <c r="CH220" s="93">
        <f>ППД5[[#This Row],[Фикс 16.09.2024]]+ППД5[[#This Row],[Наценка 01.11.24
СТ: 4%
1К: 34-40м 5%; 40м+ 8%; МГН 1%
2К: 55-70м 6%; 70-73м 7%; 73-76м 8% 
3К: 5%]]</f>
        <v>96786.991100024374</v>
      </c>
      <c r="CI220" s="93"/>
      <c r="CJ220" s="93">
        <f>ППД5[[#This Row],[Наценка 06.11 13%]]+ППД5[[#This Row],[Фикс 01.11.24]]</f>
        <v>96786.991100024374</v>
      </c>
      <c r="CK220" s="93"/>
      <c r="CL220" s="93">
        <f>ППД5[[#This Row],[Фикс 06.11.24]]+ППД5[[#This Row],[Наценка 18.12.24 распределение КВ]]</f>
        <v>96786.991100024374</v>
      </c>
      <c r="CM220" s="93"/>
      <c r="CN220" s="93">
        <f>ППД5[[#This Row],[Фикс 18.12.24]]+ППД5[[#This Row],[Наценка 10.02.25 +1%
1К: А3
2К: Б3, В3]]</f>
        <v>96786.991100024374</v>
      </c>
      <c r="CO220" s="93">
        <f>ROUND(ППД5[[#This Row],[Фикс 10.02.25]],2)</f>
        <v>96786.99</v>
      </c>
      <c r="CP22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5575000</v>
      </c>
      <c r="CQ220" s="93">
        <f>ROUNDUP(ППД5[[#This Row],[Стоимость до скидки]]+ППД5[[#This Row],[Сумма доплаты]],-2)</f>
        <v>5570200</v>
      </c>
      <c r="CR220" s="68"/>
      <c r="CS220" s="90"/>
      <c r="CT220" s="68">
        <f>ППД5[[#This Row],[Стоимость до скидки]]*ППД5[[#This Row],[Скидка %]]+ППД5[[#This Row],[Скидка фиксированная]]</f>
        <v>0</v>
      </c>
      <c r="CU220" s="3">
        <f>ППД5[[#This Row],[Стоимость ОН без отделки со скидкой]]/ППД5[[#This Row],[Расчетная проектная площадь]]</f>
        <v>96788.194444444438</v>
      </c>
      <c r="CV220" s="3">
        <f>ROUND(ППД5[[#This Row],[Стоимость до скидки]]-ППД5[[#This Row],[Итоговая сумма скидки]],2)</f>
        <v>5575000</v>
      </c>
      <c r="CW22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220" s="197">
        <v>7000</v>
      </c>
      <c r="CY220" s="332">
        <f>ППД5[[#This Row],[Расхождение]]/ППД5[[#This Row],[Расчетная проектная площадь]]</f>
        <v>-8.6805555555562956E-4</v>
      </c>
      <c r="CZ22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0.15000000000000391</v>
      </c>
      <c r="DA220" s="3">
        <f>ППД5[[#This Row],[Цена м2 без отделки со скидкой]]+ППД5[[#This Row],[Стоимость отделки]]</f>
        <v>103788.19444444444</v>
      </c>
      <c r="DB220" s="3">
        <f>ППД5[[#This Row],[Стоимость квартиры с отделкой]]-ППД5[[#This Row],[Стоимость ОН без отделки со скидкой]]</f>
        <v>403200</v>
      </c>
      <c r="DC220" s="3">
        <f>ППД5[[#This Row],[Цена м2 с отделкой]]*ППД5[[#This Row],[Расчетная проектная площадь]]</f>
        <v>5978200</v>
      </c>
      <c r="DD220" s="3" t="s">
        <v>154</v>
      </c>
      <c r="DF220" s="199" t="s">
        <v>172</v>
      </c>
      <c r="DG220" s="245" t="s">
        <v>172</v>
      </c>
      <c r="DH220" s="100" t="b">
        <f>EXACT(ППД5[[#This Row],[Статусы CRM]],ППД5[[#This Row],[Статус]])</f>
        <v>1</v>
      </c>
      <c r="DI220" s="213" t="s">
        <v>392</v>
      </c>
      <c r="DJ220" s="204"/>
      <c r="DK220" s="111" t="s">
        <v>763</v>
      </c>
      <c r="DL220" s="216" t="s">
        <v>780</v>
      </c>
      <c r="DM220" s="201" t="b">
        <f>ППД5[[#This Row],[Отделка CRM]]=ППД5[[#This Row],[Отделка]]</f>
        <v>1</v>
      </c>
      <c r="DN220" s="203">
        <v>5978200</v>
      </c>
      <c r="DO22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20" s="207" t="b">
        <f>IF(AND(ППД5[[#This Row],[Статус]]="свободно",ППД5[[#This Row],[Итоговая сумма скидки]]&lt;&gt;0),FALSE,TRUE)</f>
        <v>1</v>
      </c>
      <c r="DQ220" s="240">
        <f>_xlfn.XLOOKUP(ППД5[[#This Row],[№]],Юрист[№ кв],Юрист[Дата подачи на регистрацию]," ",0,-1)</f>
        <v>45467</v>
      </c>
      <c r="DR220" s="115" t="str">
        <f>_xlfn.XLOOKUP(ППД5[[#This Row],[№]],Юрист[№ кв],Юрист[МОП],"",0,-1)</f>
        <v>Никишов</v>
      </c>
      <c r="DS220" s="333" t="s">
        <v>2732</v>
      </c>
      <c r="DT220" s="333" t="s">
        <v>2733</v>
      </c>
      <c r="DU220" s="333">
        <v>56.2</v>
      </c>
      <c r="DV220" s="111"/>
    </row>
    <row r="221" spans="1:126" hidden="1" x14ac:dyDescent="0.25">
      <c r="A221" s="112">
        <v>219</v>
      </c>
      <c r="B221" s="111" t="s">
        <v>4</v>
      </c>
      <c r="C221" s="111">
        <v>16</v>
      </c>
      <c r="D221" s="111">
        <v>4</v>
      </c>
      <c r="E221" s="111">
        <v>2</v>
      </c>
      <c r="F221" s="105">
        <v>15.45</v>
      </c>
      <c r="G221" s="105">
        <v>14.5</v>
      </c>
      <c r="H221" s="105"/>
      <c r="I221" s="94">
        <f>SUM(ППД5[[#This Row],[Комната 1]:[Комната 3]])</f>
        <v>29.95</v>
      </c>
      <c r="J221" s="105">
        <v>11.95</v>
      </c>
      <c r="K221" s="105">
        <v>3.86</v>
      </c>
      <c r="L221" s="105">
        <v>2.37</v>
      </c>
      <c r="M221" s="105"/>
      <c r="N221" s="105">
        <v>8.8699999999999992</v>
      </c>
      <c r="O221" s="105">
        <v>2.62</v>
      </c>
      <c r="P221" s="105"/>
      <c r="Q221" s="105"/>
      <c r="R221" s="105">
        <f>SUM(ППД5[[#This Row],[Лоджия 1]:[Лоджия 3]])</f>
        <v>2.62</v>
      </c>
      <c r="S221" s="8">
        <f>ROUND(SUM(ППД5[[#This Row],[Площадь по проекту жилая]:[Лоджия 3]]),2)</f>
        <v>59.62</v>
      </c>
      <c r="T221" s="8">
        <f>ROUND(ППД5[[#This Row],[Площадь по проекту(общая)]]-ППД5[[#This Row],[Летние]],2)</f>
        <v>57</v>
      </c>
      <c r="U221" s="91">
        <f>ROUND(ППД5[[#This Row],[Площадь по проекту(общая)]]-(SUM(ППД5[[#This Row],[Лоджия 1]:[Лоджия 3]])/2),2)</f>
        <v>58.31</v>
      </c>
      <c r="V221" s="91">
        <f>IF(ППД5[[#This Row],[Статус]]="продажа",ППД5[[#This Row],[Расчетная проектная площадь]],ППД5[[#This Row],[Расчетная ТП площадь]])</f>
        <v>58.25</v>
      </c>
      <c r="W221" s="91">
        <v>14.4</v>
      </c>
      <c r="X221" s="91">
        <v>15.5</v>
      </c>
      <c r="Y221" s="91"/>
      <c r="Z221" s="91">
        <f>SUM(ППД5[[#This Row],[ТП Комната 1]:[ТП Комната 3]])</f>
        <v>29.9</v>
      </c>
      <c r="AA221" s="91">
        <v>11.8</v>
      </c>
      <c r="AB221" s="91">
        <v>3.9</v>
      </c>
      <c r="AC221" s="91">
        <v>2.4</v>
      </c>
      <c r="AD221" s="91"/>
      <c r="AE221" s="91">
        <v>8.9</v>
      </c>
      <c r="AF221" s="91">
        <v>1.35</v>
      </c>
      <c r="AG221" s="91"/>
      <c r="AH221" s="91"/>
      <c r="AI221" s="91">
        <f>SUM(ППД5[[#This Row],[ТП Лоджия 1]:[ТП Лоджия 3]])</f>
        <v>1.35</v>
      </c>
      <c r="AJ221" s="95">
        <v>2.7</v>
      </c>
      <c r="AK221" s="91">
        <f>SUM(ППД5[[#This Row],[Площадь по ТП жилая]:[ТП Лоджия 3]])-ППД5[[#This Row],[ТП Летние]]+ППД5[[#This Row],[кроме того прочая
(без коэффициента)]]</f>
        <v>59.6</v>
      </c>
      <c r="AL221" s="95">
        <f>ППД5[[#This Row],[ТП Площадь без летних]]+(ППД5[[#This Row],[ТП Летние]])</f>
        <v>58.25</v>
      </c>
      <c r="AM221" s="91">
        <f>ППД5[[#This Row],[ТП общая S]]-ППД5[[#This Row],[кроме того прочая
(без коэффициента)]]</f>
        <v>56.9</v>
      </c>
      <c r="AN221" s="95">
        <f>SUM(ППД5[[#This Row],[ТП Кухня]:[ТП Коридор]])</f>
        <v>27</v>
      </c>
      <c r="AO221" s="91">
        <f>ППД5[[#This Row],[Расчетная ТП площадь]]-ППД5[[#This Row],[Расчетная проектная площадь]]</f>
        <v>-6.0000000000002274E-2</v>
      </c>
      <c r="AP221" s="335">
        <f>ППД5[[#This Row],[Расчетная ТП площадь]]/ППД5[[#This Row],[Расчетная проектная площадь]]-1</f>
        <v>-1.0289830217802276E-3</v>
      </c>
      <c r="AQ221" s="91">
        <f>ППД5[[#This Row],[% расхождения]]*ППД5[[#This Row],[Стоимость до скидки]]</f>
        <v>-7561.4817355520026</v>
      </c>
      <c r="AR221" s="91">
        <f>VLOOKUP(ППД5[[#This Row],[№]],наценкад5[],COLUMN(наценкад5[[#This Row],[Цена м2 с учетом всех K]]),0)</f>
        <v>81466.150500000003</v>
      </c>
      <c r="AS221" s="8">
        <f>ППД5[[#This Row],[м2 после К]]*5%</f>
        <v>4073.3075250000002</v>
      </c>
      <c r="AT221" s="8">
        <f>ППД5[[#This Row],[м2 после К]]+ППД5[[#This Row],[Повышение 16.08.23 - 5%]]</f>
        <v>85539.458025</v>
      </c>
      <c r="AU221" s="93">
        <f>ППД5[[#This Row],[Фикс 16.08.23]]*3%</f>
        <v>2566.1837407499997</v>
      </c>
      <c r="AV221" s="93">
        <f>ППД5[[#This Row],[Фикс 16.08.23]]+ППД5[[#This Row],[Повышение 29.08.23 - 3%]]</f>
        <v>88105.641765749999</v>
      </c>
      <c r="AW221" s="93"/>
      <c r="AX221" s="93">
        <f>ППД5[[#This Row],[Фикс 29.08.23]]+ППД5[[#This Row],[Повышение 06.09.23 СТ и 1К]]</f>
        <v>88105.641765749999</v>
      </c>
      <c r="AY221" s="93"/>
      <c r="AZ221" s="93">
        <f>ППД5[[#This Row],[Повышение 23.10.23  В4 ]]+ППД5[[#This Row],[Фикс 06.09.23]]</f>
        <v>88105.641765749999</v>
      </c>
      <c r="BA221" s="93"/>
      <c r="BB221" s="93">
        <f>ППД5[[#This Row],[Повышение 8.11.23 1К 5%]]+ППД5[[#This Row],[Фикс 23.10.23]]</f>
        <v>88105.641765749999</v>
      </c>
      <c r="BC221" s="93"/>
      <c r="BD221" s="93">
        <f>ППД5[[#This Row],[Корректировка 24.11.23 - 1К В5, 2К А2, №233]]+ППД5[[#This Row],[Фикс 8.11.23]]</f>
        <v>88105.641765749999</v>
      </c>
      <c r="BE221" s="93">
        <f>ППД5[[#This Row],[Фикс 8.11.24]]*1%</f>
        <v>881.05641765749999</v>
      </c>
      <c r="BF221" s="93">
        <f>ППД5[[#This Row],[Наценка за отделку 29.12.23 1%]]+ППД5[[#This Row],[Фикс 8.11.24]]</f>
        <v>88986.698183407498</v>
      </c>
      <c r="BG221" s="93">
        <f>ППД5[[#This Row],[Фикс 29.12.23]]*5%</f>
        <v>4449.3349091703749</v>
      </c>
      <c r="BH221" s="93">
        <f>ППД5[[#This Row],[Фикс 29.12.23]]+ППД5[[#This Row],[Наценка 10.01.24 5%]]</f>
        <v>93436.033092577869</v>
      </c>
      <c r="BI221" s="93"/>
      <c r="BJ221" s="93">
        <f>ППД5[[#This Row],[Наценка 26.02.24 1 Этаж]]+ППД5[[#This Row],[Фикс 10.01.24]]</f>
        <v>93436.033092577869</v>
      </c>
      <c r="BK221" s="93">
        <f>ППД5[[#This Row],[Фикс 26.02.24]]*2%</f>
        <v>1868.7206618515575</v>
      </c>
      <c r="BL221" s="93">
        <f>ППД5[[#This Row],[Фикс 26.02.24]]+ППД5[[#This Row],[Наценка 06.03.24
СТ, 1К - 3%
2К, 3К - 2%]]</f>
        <v>95304.753754429432</v>
      </c>
      <c r="BM221" s="93"/>
      <c r="BN221" s="93">
        <f>ППД5[[#This Row],[Фикс 06.03.24]]+ППД5[[#This Row],[Наценка Г2+500]]</f>
        <v>95304.753754429432</v>
      </c>
      <c r="BO221" s="93">
        <f>ППД5[[#This Row],[Фикс 13.03.25]]*2%</f>
        <v>1906.0950750885886</v>
      </c>
      <c r="BP221" s="93">
        <f>ППД5[[#This Row],[Фикс 13.03.25]]+ППД5[[#This Row],[Наценка 20.03.24
2К, 3К - 2%]]</f>
        <v>97210.848829518014</v>
      </c>
      <c r="BQ221" s="93"/>
      <c r="BR221" s="93">
        <f>ППД5[[#This Row],[Фикс 20.03.24]]+ППД5[[#This Row],[Наценка 08.04.24 
2К: В3 - 150
3К: Г7 +1000]]</f>
        <v>97210.848829518014</v>
      </c>
      <c r="BS221" s="93"/>
      <c r="BT221" s="93">
        <f>ППД5[[#This Row],[Фикс 08.04.24]]+ППД5[[#This Row],[Наценка 16.05.24 1%
А4,А6,Б3,Б6,Б7,В2,В3,В5,В6,Г1,Г3-Г5]]</f>
        <v>97210.848829518014</v>
      </c>
      <c r="BU221" s="93">
        <f>ППД5[[#This Row],[Фикс 16.05.24]]*1%</f>
        <v>972.10848829518011</v>
      </c>
      <c r="BV221" s="93">
        <f>ППД5[[#This Row],[Фикс 16.05.24]]+ППД5[[#This Row],[Наценка 24.05.24
1% - Б4, Б5,Г2,Г6
2% - А1,А3,А5,Б2,Г7]]</f>
        <v>98182.957317813198</v>
      </c>
      <c r="BW221" s="93"/>
      <c r="BX221" s="93">
        <f>ППД5[[#This Row],[Наценка 06.06.24
0К: В2,Г3 +0,5%
1К: А7, Б5/4, Г6 +0,5%
3К: В6 +0,5%
1К: А3 +1%]]+ППД5[[#This Row],[Фикс 24.05.24]]</f>
        <v>98182.957317813198</v>
      </c>
      <c r="BY221" s="93"/>
      <c r="BZ221" s="93">
        <f>ППД5[[#This Row],[Фикс 06.06.24]]+ППД5[[#This Row],[13.06.2024
3К - 2%]]</f>
        <v>98182.957317813198</v>
      </c>
      <c r="CA221" s="93">
        <f>2.5%*ППД5[[#This Row],[Фикс 13.06.24]]</f>
        <v>2454.5739329453299</v>
      </c>
      <c r="CB221" s="93">
        <f>ППД5[[#This Row],[02.07.2024: Г3 А1 А3 Б5 Б7 Г2 Г6 Б3 Б4 В3 Г7 2,5% ост 0,5-1,5%]]+ППД5[[#This Row],[Фикс 13.06.24]]</f>
        <v>100637.53125075853</v>
      </c>
      <c r="CC221" s="93">
        <v>500</v>
      </c>
      <c r="CD221" s="93">
        <f>ППД5[[#This Row],[Фикс 02.07.24]]+ППД5[[#This Row],[04.09.2024 +500
0К - Б2; 1К - А3;
2К - А6, Б4, В3, Г5]]</f>
        <v>101137.53125075853</v>
      </c>
      <c r="CE221" s="93">
        <f>ППД5[[#This Row],[Фикс 04.09.24]]*4%</f>
        <v>4045.5012500303415</v>
      </c>
      <c r="CF221" s="93">
        <f>ППД5[[#This Row],[Наценка 16.09.2024
1К: А1,В7,Г6/7,Г8 - 2%
2К: А4,А5,А6,Б1,Б6,Б3/4,В3,В4,Г4,Г5 - 4%
3К: 4%]]+ППД5[[#This Row],[Фикс 04.09.24]]</f>
        <v>105183.03250078888</v>
      </c>
      <c r="CG221" s="93">
        <f>ППД5[[#This Row],[Фикс 16.09.2024]]*6%</f>
        <v>6310.9819500473322</v>
      </c>
      <c r="CH221" s="93">
        <f>ППД5[[#This Row],[Фикс 16.09.2024]]+ППД5[[#This Row],[Наценка 01.11.24
СТ: 4%
1К: 34-40м 5%; 40м+ 8%; МГН 1%
2К: 55-70м 6%; 70-73м 7%; 73-76м 8% 
3К: 5%]]</f>
        <v>111494.01445083621</v>
      </c>
      <c r="CI221" s="93">
        <f>ППД5[[#This Row],[Фикс 01.11.24]]*13%</f>
        <v>14494.221878608709</v>
      </c>
      <c r="CJ221" s="93">
        <f>ППД5[[#This Row],[Наценка 06.11 13%]]+ППД5[[#This Row],[Фикс 01.11.24]]</f>
        <v>125988.23632944492</v>
      </c>
      <c r="CK221" s="93">
        <v>35</v>
      </c>
      <c r="CL221" s="93">
        <f>ППД5[[#This Row],[Фикс 06.11.24]]+ППД5[[#This Row],[Наценка 18.12.24 распределение КВ]]</f>
        <v>126023.23632944492</v>
      </c>
      <c r="CM221" s="93"/>
      <c r="CN221" s="93">
        <f>ППД5[[#This Row],[Фикс 18.12.24]]+ППД5[[#This Row],[Наценка 10.02.25 +1%
1К: А3
2К: Б3, В3]]</f>
        <v>126023.23632944492</v>
      </c>
      <c r="CO221" s="93">
        <f>ROUND(ППД5[[#This Row],[Фикс 10.02.25]],2)</f>
        <v>126023.24</v>
      </c>
      <c r="CP22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7348500</v>
      </c>
      <c r="CQ221" s="93">
        <f>ROUNDUP(ППД5[[#This Row],[Стоимость до скидки]]+ППД5[[#This Row],[Сумма доплаты]],-2)</f>
        <v>7341000</v>
      </c>
      <c r="CR221" s="68"/>
      <c r="CS221" s="90"/>
      <c r="CT221" s="68">
        <f>ППД5[[#This Row],[Стоимость до скидки]]*ППД5[[#This Row],[Скидка %]]+ППД5[[#This Row],[Скидка фиксированная]]</f>
        <v>0</v>
      </c>
      <c r="CU221" s="3">
        <f>ППД5[[#This Row],[Стоимость ОН без отделки со скидкой]]/ППД5[[#This Row],[Расчетная проектная площадь]]</f>
        <v>126024.69559252272</v>
      </c>
      <c r="CV221" s="3">
        <f>ROUND(ППД5[[#This Row],[Стоимость до скидки]]-ППД5[[#This Row],[Итоговая сумма скидки]],2)</f>
        <v>7348500</v>
      </c>
      <c r="CW22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21" s="197"/>
      <c r="CY221" s="332">
        <f>ППД5[[#This Row],[Расхождение]]/ППД5[[#This Row],[Расчетная проектная площадь]]</f>
        <v>-1.0289830217801797E-3</v>
      </c>
      <c r="CZ22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-4.9999999999997158E-2</v>
      </c>
      <c r="DA221" s="3">
        <f>ППД5[[#This Row],[Цена м2 без отделки со скидкой]]+ППД5[[#This Row],[Стоимость отделки]]</f>
        <v>126024.69559252272</v>
      </c>
      <c r="DB221" s="3">
        <f>ППД5[[#This Row],[Стоимость квартиры с отделкой]]-ППД5[[#This Row],[Стоимость ОН без отделки со скидкой]]</f>
        <v>0</v>
      </c>
      <c r="DC221" s="3">
        <f>ППД5[[#This Row],[Цена м2 с отделкой]]*ППД5[[#This Row],[Расчетная проектная площадь]]</f>
        <v>7348500</v>
      </c>
      <c r="DD221" s="3"/>
      <c r="DF221" s="199" t="s">
        <v>157</v>
      </c>
      <c r="DG221" s="245" t="s">
        <v>157</v>
      </c>
      <c r="DH221" s="100" t="b">
        <f>EXACT(ППД5[[#This Row],[Статусы CRM]],ППД5[[#This Row],[Статус]])</f>
        <v>1</v>
      </c>
      <c r="DI221" s="213" t="s">
        <v>393</v>
      </c>
      <c r="DJ221" s="204"/>
      <c r="DK221" s="111" t="s">
        <v>763</v>
      </c>
      <c r="DL221" s="216" t="s">
        <v>12</v>
      </c>
      <c r="DM221" s="201" t="b">
        <f>ППД5[[#This Row],[Отделка CRM]]=ППД5[[#This Row],[Отделка]]</f>
        <v>1</v>
      </c>
      <c r="DN221" s="203">
        <v>7348500</v>
      </c>
      <c r="DO22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21" s="207" t="b">
        <f>IF(AND(ППД5[[#This Row],[Статус]]="свободно",ППД5[[#This Row],[Итоговая сумма скидки]]&lt;&gt;0),FALSE,TRUE)</f>
        <v>1</v>
      </c>
      <c r="DQ221" s="240" t="str">
        <f>_xlfn.XLOOKUP(ППД5[[#This Row],[№]],Юрист[№ кв],Юрист[Дата подачи на регистрацию]," ",0,-1)</f>
        <v xml:space="preserve"> </v>
      </c>
      <c r="DR221" s="115" t="str">
        <f>_xlfn.XLOOKUP(ППД5[[#This Row],[№]],Юрист[№ кв],Юрист[МОП],"",0,-1)</f>
        <v/>
      </c>
      <c r="DS221" s="333" t="s">
        <v>2734</v>
      </c>
      <c r="DT221" s="333" t="s">
        <v>2735</v>
      </c>
      <c r="DU221" s="333">
        <v>56.9</v>
      </c>
      <c r="DV221" s="111"/>
    </row>
    <row r="222" spans="1:126" hidden="1" x14ac:dyDescent="0.25">
      <c r="A222" s="112">
        <v>220</v>
      </c>
      <c r="B222" s="111" t="s">
        <v>4</v>
      </c>
      <c r="C222" s="111">
        <v>16</v>
      </c>
      <c r="D222" s="111">
        <v>5</v>
      </c>
      <c r="E222" s="111">
        <v>1</v>
      </c>
      <c r="F222" s="105">
        <v>12.06</v>
      </c>
      <c r="G222" s="105"/>
      <c r="H222" s="105"/>
      <c r="I222" s="94">
        <f>SUM(ППД5[[#This Row],[Комната 1]:[Комната 3]])</f>
        <v>12.06</v>
      </c>
      <c r="J222" s="105">
        <v>13.18</v>
      </c>
      <c r="K222" s="105">
        <v>4.1100000000000003</v>
      </c>
      <c r="L222" s="105"/>
      <c r="M222" s="105"/>
      <c r="N222" s="105">
        <v>7.09</v>
      </c>
      <c r="O222" s="105">
        <v>2.84</v>
      </c>
      <c r="P222" s="105"/>
      <c r="Q222" s="105"/>
      <c r="R222" s="105">
        <f>SUM(ППД5[[#This Row],[Лоджия 1]:[Лоджия 3]])</f>
        <v>2.84</v>
      </c>
      <c r="S222" s="8">
        <f>ROUND(SUM(ППД5[[#This Row],[Площадь по проекту жилая]:[Лоджия 3]]),2)</f>
        <v>39.28</v>
      </c>
      <c r="T222" s="8">
        <f>ROUND(ППД5[[#This Row],[Площадь по проекту(общая)]]-ППД5[[#This Row],[Летние]],2)</f>
        <v>36.44</v>
      </c>
      <c r="U222" s="91">
        <f>ROUND(ППД5[[#This Row],[Площадь по проекту(общая)]]-(SUM(ППД5[[#This Row],[Лоджия 1]:[Лоджия 3]])/2),2)</f>
        <v>37.86</v>
      </c>
      <c r="V222" s="91">
        <f>IF(ППД5[[#This Row],[Статус]]="продажа",ППД5[[#This Row],[Расчетная проектная площадь]],ППД5[[#This Row],[Расчетная ТП площадь]])</f>
        <v>37.650000000000006</v>
      </c>
      <c r="W222" s="91">
        <v>12.6</v>
      </c>
      <c r="X222" s="91"/>
      <c r="Y222" s="91"/>
      <c r="Z222" s="91">
        <f>SUM(ППД5[[#This Row],[ТП Комната 1]:[ТП Комната 3]])</f>
        <v>12.6</v>
      </c>
      <c r="AA222" s="91">
        <v>12.5</v>
      </c>
      <c r="AB222" s="91">
        <v>4.0999999999999996</v>
      </c>
      <c r="AC222" s="91"/>
      <c r="AD222" s="91"/>
      <c r="AE222" s="91">
        <v>7</v>
      </c>
      <c r="AF222" s="91">
        <v>1.45</v>
      </c>
      <c r="AG222" s="91"/>
      <c r="AH222" s="91"/>
      <c r="AI222" s="91">
        <f>SUM(ППД5[[#This Row],[ТП Лоджия 1]:[ТП Лоджия 3]])</f>
        <v>1.45</v>
      </c>
      <c r="AJ222" s="95">
        <v>2.9</v>
      </c>
      <c r="AK222" s="91">
        <f>SUM(ППД5[[#This Row],[Площадь по ТП жилая]:[ТП Лоджия 3]])-ППД5[[#This Row],[ТП Летние]]+ППД5[[#This Row],[кроме того прочая
(без коэффициента)]]</f>
        <v>39.1</v>
      </c>
      <c r="AL222" s="95">
        <f>ППД5[[#This Row],[ТП Площадь без летних]]+(ППД5[[#This Row],[ТП Летние]])</f>
        <v>37.650000000000006</v>
      </c>
      <c r="AM222" s="91">
        <f>ППД5[[#This Row],[ТП общая S]]-ППД5[[#This Row],[кроме того прочая
(без коэффициента)]]</f>
        <v>36.200000000000003</v>
      </c>
      <c r="AN222" s="95">
        <f>SUM(ППД5[[#This Row],[ТП Кухня]:[ТП Коридор]])</f>
        <v>23.6</v>
      </c>
      <c r="AO222" s="91">
        <f>ППД5[[#This Row],[Расчетная ТП площадь]]-ППД5[[#This Row],[Расчетная проектная площадь]]</f>
        <v>-0.20999999999999375</v>
      </c>
      <c r="AP222" s="335">
        <f>ППД5[[#This Row],[Расчетная ТП площадь]]/ППД5[[#This Row],[Расчетная проектная площадь]]-1</f>
        <v>-5.5467511885893828E-3</v>
      </c>
      <c r="AQ222" s="91">
        <f>ППД5[[#This Row],[% расхождения]]*ППД5[[#This Row],[Стоимость до скидки]]</f>
        <v>-29989.619651346216</v>
      </c>
      <c r="AR222" s="91">
        <f>VLOOKUP(ППД5[[#This Row],[№]],наценкад5[],COLUMN(наценкад5[[#This Row],[Цена м2 с учетом всех K]]),0)</f>
        <v>89223.75</v>
      </c>
      <c r="AS222" s="8">
        <f>ППД5[[#This Row],[м2 после К]]*5%</f>
        <v>4461.1875</v>
      </c>
      <c r="AT222" s="8">
        <f>ППД5[[#This Row],[м2 после К]]+ППД5[[#This Row],[Повышение 16.08.23 - 5%]]</f>
        <v>93684.9375</v>
      </c>
      <c r="AU222" s="93">
        <f>ППД5[[#This Row],[Фикс 16.08.23]]*3%</f>
        <v>2810.5481249999998</v>
      </c>
      <c r="AV222" s="93">
        <f>ППД5[[#This Row],[Фикс 16.08.23]]+ППД5[[#This Row],[Повышение 29.08.23 - 3%]]</f>
        <v>96495.485625000001</v>
      </c>
      <c r="AW222" s="93">
        <f>ППД5[[#This Row],[Фикс 29.08.23]]*4.5%</f>
        <v>4342.2968531249999</v>
      </c>
      <c r="AX222" s="93">
        <f>ППД5[[#This Row],[Фикс 29.08.23]]+ППД5[[#This Row],[Повышение 06.09.23 СТ и 1К]]</f>
        <v>100837.78247812499</v>
      </c>
      <c r="AY222" s="93"/>
      <c r="AZ222" s="93">
        <f>ППД5[[#This Row],[Повышение 23.10.23  В4 ]]+ППД5[[#This Row],[Фикс 06.09.23]]</f>
        <v>100837.78247812499</v>
      </c>
      <c r="BA222" s="93">
        <f>ППД5[[#This Row],[Фикс 23.10.23]]*5%</f>
        <v>5041.8891239062505</v>
      </c>
      <c r="BB222" s="93">
        <f>ППД5[[#This Row],[Повышение 8.11.23 1К 5%]]+ППД5[[#This Row],[Фикс 23.10.23]]</f>
        <v>105879.67160203125</v>
      </c>
      <c r="BC222" s="93"/>
      <c r="BD222" s="93">
        <f>ППД5[[#This Row],[Корректировка 24.11.23 - 1К В5, 2К А2, №233]]+ППД5[[#This Row],[Фикс 8.11.23]]</f>
        <v>105879.67160203125</v>
      </c>
      <c r="BE222" s="93">
        <f>ППД5[[#This Row],[Фикс 8.11.24]]*1%</f>
        <v>1058.7967160203125</v>
      </c>
      <c r="BF222" s="93">
        <f>ППД5[[#This Row],[Наценка за отделку 29.12.23 1%]]+ППД5[[#This Row],[Фикс 8.11.24]]</f>
        <v>106938.46831805156</v>
      </c>
      <c r="BG222" s="93">
        <f>ППД5[[#This Row],[Фикс 29.12.23]]*5%</f>
        <v>5346.9234159025782</v>
      </c>
      <c r="BH222" s="93">
        <f>ППД5[[#This Row],[Фикс 29.12.23]]+ППД5[[#This Row],[Наценка 10.01.24 5%]]</f>
        <v>112285.39173395414</v>
      </c>
      <c r="BI222" s="93"/>
      <c r="BJ222" s="93">
        <f>ППД5[[#This Row],[Наценка 26.02.24 1 Этаж]]+ППД5[[#This Row],[Фикс 10.01.24]]</f>
        <v>112285.39173395414</v>
      </c>
      <c r="BK222" s="93">
        <f>ППД5[[#This Row],[Фикс 26.02.24]]*3%</f>
        <v>3368.5617520186238</v>
      </c>
      <c r="BL222" s="93">
        <f>ППД5[[#This Row],[Фикс 26.02.24]]+ППД5[[#This Row],[Наценка 06.03.24
СТ, 1К - 3%
2К, 3К - 2%]]</f>
        <v>115653.95348597276</v>
      </c>
      <c r="BM222" s="93"/>
      <c r="BN222" s="93">
        <f>ППД5[[#This Row],[Фикс 06.03.24]]+ППД5[[#This Row],[Наценка Г2+500]]</f>
        <v>115653.95348597276</v>
      </c>
      <c r="BO222" s="93"/>
      <c r="BP222" s="93">
        <f>ППД5[[#This Row],[Фикс 13.03.25]]+ППД5[[#This Row],[Наценка 20.03.24
2К, 3К - 2%]]</f>
        <v>115653.95348597276</v>
      </c>
      <c r="BQ222" s="93"/>
      <c r="BR222" s="93">
        <f>ППД5[[#This Row],[Фикс 20.03.24]]+ППД5[[#This Row],[Наценка 08.04.24 
2К: В3 - 150
3К: Г7 +1000]]</f>
        <v>115653.95348597276</v>
      </c>
      <c r="BS222" s="93"/>
      <c r="BT222" s="93">
        <f>ППД5[[#This Row],[Фикс 08.04.24]]+ППД5[[#This Row],[Наценка 16.05.24 1%
А4,А6,Б3,Б6,Б7,В2,В3,В5,В6,Г1,Г3-Г5]]</f>
        <v>115653.95348597276</v>
      </c>
      <c r="BU222" s="93">
        <f>ППД5[[#This Row],[Фикс 16.05.24]]*1%</f>
        <v>1156.5395348597276</v>
      </c>
      <c r="BV222" s="93">
        <f>ППД5[[#This Row],[Фикс 16.05.24]]+ППД5[[#This Row],[Наценка 24.05.24
1% - Б4, Б5,Г2,Г6
2% - А1,А3,А5,Б2,Г7]]</f>
        <v>116810.49302083248</v>
      </c>
      <c r="BW222" s="93">
        <f>ППД5[[#This Row],[Фикс 24.05.24]]*0.5%</f>
        <v>584.05246510416237</v>
      </c>
      <c r="BX222" s="93">
        <f>ППД5[[#This Row],[Наценка 06.06.24
0К: В2,Г3 +0,5%
1К: А7, Б5/4, Г6 +0,5%
3К: В6 +0,5%
1К: А3 +1%]]+ППД5[[#This Row],[Фикс 24.05.24]]</f>
        <v>117394.54548593664</v>
      </c>
      <c r="BY222" s="93"/>
      <c r="BZ222" s="93">
        <f>ППД5[[#This Row],[Фикс 06.06.24]]+ППД5[[#This Row],[13.06.2024
3К - 2%]]</f>
        <v>117394.54548593664</v>
      </c>
      <c r="CA222" s="93">
        <f>2.5%*ППД5[[#This Row],[Фикс 13.06.24]]</f>
        <v>2934.8636371484163</v>
      </c>
      <c r="CB222" s="93">
        <f>ППД5[[#This Row],[02.07.2024: Г3 А1 А3 Б5 Б7 Г2 Г6 Б3 Б4 В3 Г7 2,5% ост 0,5-1,5%]]+ППД5[[#This Row],[Фикс 13.06.24]]</f>
        <v>120329.40912308506</v>
      </c>
      <c r="CC222" s="93"/>
      <c r="CD222" s="93">
        <f>ППД5[[#This Row],[Фикс 02.07.24]]+ППД5[[#This Row],[04.09.2024 +500
0К - Б2; 1К - А3;
2К - А6, Б4, В3, Г5]]</f>
        <v>120329.40912308506</v>
      </c>
      <c r="CE222" s="93"/>
      <c r="CF222" s="93">
        <f>ППД5[[#This Row],[Наценка 16.09.2024
1К: А1,В7,Г6/7,Г8 - 2%
2К: А4,А5,А6,Б1,Б6,Б3/4,В3,В4,Г4,Г5 - 4%
3К: 4%]]+ППД5[[#This Row],[Фикс 04.09.24]]</f>
        <v>120329.40912308506</v>
      </c>
      <c r="CG222" s="93">
        <f>ППД5[[#This Row],[Фикс 16.09.2024]]*5%</f>
        <v>6016.470456154253</v>
      </c>
      <c r="CH222" s="93">
        <f>ППД5[[#This Row],[Фикс 16.09.2024]]+ППД5[[#This Row],[Наценка 01.11.24
СТ: 4%
1К: 34-40м 5%; 40м+ 8%; МГН 1%
2К: 55-70м 6%; 70-73м 7%; 73-76м 8% 
3К: 5%]]</f>
        <v>126345.87957923932</v>
      </c>
      <c r="CI222" s="93">
        <f>ППД5[[#This Row],[Фикс 01.11.24]]*13%</f>
        <v>16424.964345301112</v>
      </c>
      <c r="CJ222" s="93">
        <f>ППД5[[#This Row],[Наценка 06.11 13%]]+ППД5[[#This Row],[Фикс 01.11.24]]</f>
        <v>142770.84392454044</v>
      </c>
      <c r="CK222" s="93">
        <v>35</v>
      </c>
      <c r="CL222" s="93">
        <f>ППД5[[#This Row],[Фикс 06.11.24]]+ППД5[[#This Row],[Наценка 18.12.24 распределение КВ]]</f>
        <v>142805.84392454044</v>
      </c>
      <c r="CM222" s="93"/>
      <c r="CN222" s="93">
        <f>ППД5[[#This Row],[Фикс 18.12.24]]+ППД5[[#This Row],[Наценка 10.02.25 +1%
1К: А3
2К: Б3, В3]]</f>
        <v>142805.84392454044</v>
      </c>
      <c r="CO222" s="93">
        <f>ROUND(ППД5[[#This Row],[Фикс 10.02.25]],2)</f>
        <v>142805.84</v>
      </c>
      <c r="CP22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5406700</v>
      </c>
      <c r="CQ222" s="93">
        <f>ROUNDUP(ППД5[[#This Row],[Стоимость до скидки]]+ППД5[[#This Row],[Сумма доплаты]],-2)</f>
        <v>5376800</v>
      </c>
      <c r="CR222" s="68"/>
      <c r="CS222" s="90"/>
      <c r="CT222" s="68">
        <f>ППД5[[#This Row],[Стоимость до скидки]]*ППД5[[#This Row],[Скидка %]]+ППД5[[#This Row],[Скидка фиксированная]]</f>
        <v>0</v>
      </c>
      <c r="CU222" s="3">
        <f>ППД5[[#This Row],[Стоимость ОН без отделки со скидкой]]/ППД5[[#This Row],[Расчетная проектная площадь]]</f>
        <v>142807.71262546224</v>
      </c>
      <c r="CV222" s="3">
        <f>ROUND(ППД5[[#This Row],[Стоимость до скидки]]-ППД5[[#This Row],[Итоговая сумма скидки]],2)</f>
        <v>5406700</v>
      </c>
      <c r="CW22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22" s="197"/>
      <c r="CY222" s="332">
        <f>ППД5[[#This Row],[Расхождение]]/ППД5[[#This Row],[Расчетная проектная площадь]]</f>
        <v>-5.546751188589375E-3</v>
      </c>
      <c r="CZ22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-0.77999999999999758</v>
      </c>
      <c r="DA222" s="3">
        <f>ППД5[[#This Row],[Цена м2 без отделки со скидкой]]+ППД5[[#This Row],[Стоимость отделки]]</f>
        <v>142807.71262546224</v>
      </c>
      <c r="DB222" s="3">
        <f>ППД5[[#This Row],[Стоимость квартиры с отделкой]]-ППД5[[#This Row],[Стоимость ОН без отделки со скидкой]]</f>
        <v>0</v>
      </c>
      <c r="DC222" s="3">
        <f>ППД5[[#This Row],[Цена м2 с отделкой]]*ППД5[[#This Row],[Расчетная проектная площадь]]</f>
        <v>5406700</v>
      </c>
      <c r="DD222" s="3"/>
      <c r="DF222" s="155" t="s">
        <v>157</v>
      </c>
      <c r="DG222" s="221" t="s">
        <v>157</v>
      </c>
      <c r="DH222" s="100" t="b">
        <f>EXACT(ППД5[[#This Row],[Статусы CRM]],ППД5[[#This Row],[Статус]])</f>
        <v>1</v>
      </c>
      <c r="DI222" s="213" t="s">
        <v>394</v>
      </c>
      <c r="DJ222" s="204"/>
      <c r="DK222" s="111" t="s">
        <v>763</v>
      </c>
      <c r="DL222" s="216" t="s">
        <v>12</v>
      </c>
      <c r="DM222" s="201" t="b">
        <f>ППД5[[#This Row],[Отделка CRM]]=ППД5[[#This Row],[Отделка]]</f>
        <v>1</v>
      </c>
      <c r="DN222" s="203">
        <v>5406700</v>
      </c>
      <c r="DO22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22" s="207" t="b">
        <f>IF(AND(ППД5[[#This Row],[Статус]]="свободно",ППД5[[#This Row],[Итоговая сумма скидки]]&lt;&gt;0),FALSE,TRUE)</f>
        <v>1</v>
      </c>
      <c r="DQ222" s="240" t="str">
        <f>_xlfn.XLOOKUP(ППД5[[#This Row],[№]],Юрист[№ кв],Юрист[Дата подачи на регистрацию]," ",0,-1)</f>
        <v xml:space="preserve"> </v>
      </c>
      <c r="DR222" s="115" t="str">
        <f>_xlfn.XLOOKUP(ППД5[[#This Row],[№]],Юрист[№ кв],Юрист[МОП],"",0,-1)</f>
        <v/>
      </c>
      <c r="DS222" s="333" t="s">
        <v>2736</v>
      </c>
      <c r="DT222" s="333" t="s">
        <v>2737</v>
      </c>
      <c r="DU222" s="333">
        <v>36.200000000000003</v>
      </c>
      <c r="DV222" s="111"/>
    </row>
    <row r="223" spans="1:126" hidden="1" x14ac:dyDescent="0.25">
      <c r="A223" s="112">
        <v>221</v>
      </c>
      <c r="B223" s="111" t="s">
        <v>4</v>
      </c>
      <c r="C223" s="111">
        <v>16</v>
      </c>
      <c r="D223" s="111">
        <v>6</v>
      </c>
      <c r="E223" s="111">
        <v>3</v>
      </c>
      <c r="F223" s="105">
        <v>17.89</v>
      </c>
      <c r="G223" s="105">
        <v>17.2</v>
      </c>
      <c r="H223" s="105">
        <v>14.31</v>
      </c>
      <c r="I223" s="94">
        <f>SUM(ППД5[[#This Row],[Комната 1]:[Комната 3]])</f>
        <v>49.400000000000006</v>
      </c>
      <c r="J223" s="105">
        <v>13.39</v>
      </c>
      <c r="K223" s="105">
        <v>4.2</v>
      </c>
      <c r="L223" s="105">
        <v>2.0499999999999998</v>
      </c>
      <c r="M223" s="105"/>
      <c r="N223" s="105">
        <v>13.21</v>
      </c>
      <c r="O223" s="105">
        <v>2.79</v>
      </c>
      <c r="P223" s="105">
        <v>2.68</v>
      </c>
      <c r="Q223" s="105"/>
      <c r="R223" s="105">
        <f>SUM(ППД5[[#This Row],[Лоджия 1]:[Лоджия 3]])</f>
        <v>5.4700000000000006</v>
      </c>
      <c r="S223" s="8">
        <f>ROUND(SUM(ППД5[[#This Row],[Площадь по проекту жилая]:[Лоджия 3]]),2)</f>
        <v>87.72</v>
      </c>
      <c r="T223" s="8">
        <f>ROUND(ППД5[[#This Row],[Площадь по проекту(общая)]]-ППД5[[#This Row],[Летние]],2)</f>
        <v>82.25</v>
      </c>
      <c r="U223" s="91">
        <f>ROUND(ППД5[[#This Row],[Площадь по проекту(общая)]]-(SUM(ППД5[[#This Row],[Лоджия 1]:[Лоджия 3]])/2),2)</f>
        <v>84.99</v>
      </c>
      <c r="V223" s="91">
        <f>IF(ППД5[[#This Row],[Статус]]="продажа",ППД5[[#This Row],[Расчетная проектная площадь]],ППД5[[#This Row],[Расчетная ТП площадь]])</f>
        <v>84.55</v>
      </c>
      <c r="W223" s="91">
        <v>14.2</v>
      </c>
      <c r="X223" s="91">
        <v>17.899999999999999</v>
      </c>
      <c r="Y223" s="91">
        <v>17.3</v>
      </c>
      <c r="Z223" s="91">
        <f>SUM(ППД5[[#This Row],[ТП Комната 1]:[ТП Комната 3]])</f>
        <v>49.399999999999991</v>
      </c>
      <c r="AA223" s="91">
        <v>13.2</v>
      </c>
      <c r="AB223" s="91">
        <v>4.0999999999999996</v>
      </c>
      <c r="AC223" s="91">
        <v>2</v>
      </c>
      <c r="AD223" s="91"/>
      <c r="AE223" s="91">
        <v>13</v>
      </c>
      <c r="AF223" s="91">
        <v>1.4</v>
      </c>
      <c r="AG223" s="91">
        <v>1.45</v>
      </c>
      <c r="AH223" s="91"/>
      <c r="AI223" s="91">
        <f>SUM(ППД5[[#This Row],[ТП Лоджия 1]:[ТП Лоджия 3]])</f>
        <v>2.8499999999999996</v>
      </c>
      <c r="AJ223" s="95">
        <v>5.6999999999999993</v>
      </c>
      <c r="AK223" s="91">
        <f>SUM(ППД5[[#This Row],[Площадь по ТП жилая]:[ТП Лоджия 3]])-ППД5[[#This Row],[ТП Летние]]+ППД5[[#This Row],[кроме того прочая
(без коэффициента)]]</f>
        <v>87.4</v>
      </c>
      <c r="AL223" s="95">
        <f>ППД5[[#This Row],[ТП Площадь без летних]]+(ППД5[[#This Row],[ТП Летние]])</f>
        <v>84.55</v>
      </c>
      <c r="AM223" s="91">
        <f>ППД5[[#This Row],[ТП общая S]]-ППД5[[#This Row],[кроме того прочая
(без коэффициента)]]</f>
        <v>81.7</v>
      </c>
      <c r="AN223" s="95">
        <f>SUM(ППД5[[#This Row],[ТП Кухня]:[ТП Коридор]])</f>
        <v>32.299999999999997</v>
      </c>
      <c r="AO223" s="91">
        <f>ППД5[[#This Row],[Расчетная ТП площадь]]-ППД5[[#This Row],[Расчетная проектная площадь]]</f>
        <v>-0.43999999999999773</v>
      </c>
      <c r="AP223" s="335">
        <f>ППД5[[#This Row],[Расчетная ТП площадь]]/ППД5[[#This Row],[Расчетная проектная площадь]]-1</f>
        <v>-5.1770796564301058E-3</v>
      </c>
      <c r="AQ223" s="91">
        <f>ППД5[[#This Row],[% расхождения]]*ППД5[[#This Row],[Стоимость до скидки]]</f>
        <v>-50071.161313095057</v>
      </c>
      <c r="AR223" s="91">
        <f>VLOOKUP(ППД5[[#This Row],[№]],наценкад5[],COLUMN(наценкад5[[#This Row],[Цена м2 с учетом всех K]]),0)</f>
        <v>73520.37000000001</v>
      </c>
      <c r="AS223" s="8">
        <f>ППД5[[#This Row],[м2 после К]]*5%</f>
        <v>3676.0185000000006</v>
      </c>
      <c r="AT223" s="8">
        <f>ППД5[[#This Row],[м2 после К]]+ППД5[[#This Row],[Повышение 16.08.23 - 5%]]</f>
        <v>77196.388500000015</v>
      </c>
      <c r="AU223" s="93">
        <f>ППД5[[#This Row],[Фикс 16.08.23]]*3%</f>
        <v>2315.8916550000004</v>
      </c>
      <c r="AV223" s="93">
        <f>ППД5[[#This Row],[Фикс 16.08.23]]+ППД5[[#This Row],[Повышение 29.08.23 - 3%]]</f>
        <v>79512.280155000015</v>
      </c>
      <c r="AW223" s="93"/>
      <c r="AX223" s="93">
        <f>ППД5[[#This Row],[Фикс 29.08.23]]+ППД5[[#This Row],[Повышение 06.09.23 СТ и 1К]]</f>
        <v>79512.280155000015</v>
      </c>
      <c r="AY223" s="93"/>
      <c r="AZ223" s="93">
        <f>ППД5[[#This Row],[Повышение 23.10.23  В4 ]]+ППД5[[#This Row],[Фикс 06.09.23]]</f>
        <v>79512.280155000015</v>
      </c>
      <c r="BA223" s="93"/>
      <c r="BB223" s="93">
        <f>ППД5[[#This Row],[Повышение 8.11.23 1К 5%]]+ППД5[[#This Row],[Фикс 23.10.23]]</f>
        <v>79512.280155000015</v>
      </c>
      <c r="BC223" s="93"/>
      <c r="BD223" s="93">
        <f>ППД5[[#This Row],[Корректировка 24.11.23 - 1К В5, 2К А2, №233]]+ППД5[[#This Row],[Фикс 8.11.23]]</f>
        <v>79512.280155000015</v>
      </c>
      <c r="BE223" s="93">
        <f>ППД5[[#This Row],[Фикс 8.11.24]]*1%</f>
        <v>795.12280155000019</v>
      </c>
      <c r="BF223" s="93">
        <f>ППД5[[#This Row],[Наценка за отделку 29.12.23 1%]]+ППД5[[#This Row],[Фикс 8.11.24]]</f>
        <v>80307.40295655001</v>
      </c>
      <c r="BG223" s="93">
        <f>ППД5[[#This Row],[Фикс 29.12.23]]*5%</f>
        <v>4015.3701478275007</v>
      </c>
      <c r="BH223" s="93">
        <f>ППД5[[#This Row],[Фикс 29.12.23]]+ППД5[[#This Row],[Наценка 10.01.24 5%]]</f>
        <v>84322.773104377513</v>
      </c>
      <c r="BI223" s="93"/>
      <c r="BJ223" s="93">
        <f>ППД5[[#This Row],[Наценка 26.02.24 1 Этаж]]+ППД5[[#This Row],[Фикс 10.01.24]]</f>
        <v>84322.773104377513</v>
      </c>
      <c r="BK223" s="93">
        <f>ППД5[[#This Row],[Фикс 26.02.24]]*2%</f>
        <v>1686.4554620875504</v>
      </c>
      <c r="BL223" s="93">
        <f>ППД5[[#This Row],[Фикс 26.02.24]]+ППД5[[#This Row],[Наценка 06.03.24
СТ, 1К - 3%
2К, 3К - 2%]]</f>
        <v>86009.22856646507</v>
      </c>
      <c r="BM223" s="93"/>
      <c r="BN223" s="93">
        <f>ППД5[[#This Row],[Фикс 06.03.24]]+ППД5[[#This Row],[Наценка Г2+500]]</f>
        <v>86009.22856646507</v>
      </c>
      <c r="BO223" s="93">
        <f>ППД5[[#This Row],[Фикс 13.03.25]]*2%</f>
        <v>1720.1845713293014</v>
      </c>
      <c r="BP223" s="93">
        <f>ППД5[[#This Row],[Фикс 13.03.25]]+ППД5[[#This Row],[Наценка 20.03.24
2К, 3К - 2%]]</f>
        <v>87729.41313779437</v>
      </c>
      <c r="BQ223" s="93"/>
      <c r="BR223" s="93">
        <f>ППД5[[#This Row],[Фикс 20.03.24]]+ППД5[[#This Row],[Наценка 08.04.24 
2К: В3 - 150
3К: Г7 +1000]]</f>
        <v>87729.41313779437</v>
      </c>
      <c r="BS223" s="9">
        <f>ППД5[[#This Row],[Фикс 08.04.24]]*1%</f>
        <v>877.2941313779437</v>
      </c>
      <c r="BT223" s="93">
        <f>ППД5[[#This Row],[Фикс 08.04.24]]+ППД5[[#This Row],[Наценка 16.05.24 1%
А4,А6,Б3,Б6,Б7,В2,В3,В5,В6,Г1,Г3-Г5]]</f>
        <v>88606.707269172315</v>
      </c>
      <c r="BU223" s="93"/>
      <c r="BV223" s="93">
        <f>ППД5[[#This Row],[Фикс 16.05.24]]+ППД5[[#This Row],[Наценка 24.05.24
1% - Б4, Б5,Г2,Г6
2% - А1,А3,А5,Б2,Г7]]</f>
        <v>88606.707269172315</v>
      </c>
      <c r="BW223" s="93">
        <f>ППД5[[#This Row],[Фикс 24.05.24]]*0.5%</f>
        <v>443.03353634586159</v>
      </c>
      <c r="BX223" s="93">
        <f>ППД5[[#This Row],[Наценка 06.06.24
0К: В2,Г3 +0,5%
1К: А7, Б5/4, Г6 +0,5%
3К: В6 +0,5%
1К: А3 +1%]]+ППД5[[#This Row],[Фикс 24.05.24]]</f>
        <v>89049.740805518173</v>
      </c>
      <c r="BY223" s="93">
        <f>ППД5[[#This Row],[Фикс 06.06.24]]*2%</f>
        <v>1780.9948161103634</v>
      </c>
      <c r="BZ223" s="93">
        <f>ППД5[[#This Row],[Фикс 06.06.24]]+ППД5[[#This Row],[13.06.2024
3К - 2%]]</f>
        <v>90830.735621628541</v>
      </c>
      <c r="CA223" s="93">
        <f>1.5%*ППД5[[#This Row],[Фикс 13.06.24]]</f>
        <v>1362.4610343244281</v>
      </c>
      <c r="CB223" s="93">
        <f>ППД5[[#This Row],[02.07.2024: Г3 А1 А3 Б5 Б7 Г2 Г6 Б3 Б4 В3 Г7 2,5% ост 0,5-1,5%]]+ППД5[[#This Row],[Фикс 13.06.24]]</f>
        <v>92193.196655952968</v>
      </c>
      <c r="CC223" s="93"/>
      <c r="CD223" s="93">
        <f>ППД5[[#This Row],[Фикс 02.07.24]]+ППД5[[#This Row],[04.09.2024 +500
0К - Б2; 1К - А3;
2К - А6, Б4, В3, Г5]]</f>
        <v>92193.196655952968</v>
      </c>
      <c r="CE223" s="93">
        <f>ППД5[[#This Row],[Фикс 04.09.24]]*4%</f>
        <v>3687.7278662381186</v>
      </c>
      <c r="CF223" s="93">
        <f>ППД5[[#This Row],[Наценка 16.09.2024
1К: А1,В7,Г6/7,Г8 - 2%
2К: А4,А5,А6,Б1,Б6,Б3/4,В3,В4,Г4,Г5 - 4%
3К: 4%]]+ППД5[[#This Row],[Фикс 04.09.24]]</f>
        <v>95880.924522191082</v>
      </c>
      <c r="CG223" s="93">
        <f>ППД5[[#This Row],[Фикс 16.09.2024]]*5%</f>
        <v>4794.0462261095545</v>
      </c>
      <c r="CH223" s="93">
        <f>ППД5[[#This Row],[Фикс 16.09.2024]]+ППД5[[#This Row],[Наценка 01.11.24
СТ: 4%
1К: 34-40м 5%; 40м+ 8%; МГН 1%
2К: 55-70м 6%; 70-73м 7%; 73-76м 8% 
3К: 5%]]</f>
        <v>100674.97074830064</v>
      </c>
      <c r="CI223" s="93">
        <f>ППД5[[#This Row],[Фикс 01.11.24]]*13%</f>
        <v>13087.746197279082</v>
      </c>
      <c r="CJ223" s="93">
        <f>ППД5[[#This Row],[Наценка 06.11 13%]]+ППД5[[#This Row],[Фикс 01.11.24]]</f>
        <v>113762.71694557971</v>
      </c>
      <c r="CK223" s="93">
        <v>35</v>
      </c>
      <c r="CL223" s="93">
        <f>ППД5[[#This Row],[Фикс 06.11.24]]+ППД5[[#This Row],[Наценка 18.12.24 распределение КВ]]</f>
        <v>113797.71694557971</v>
      </c>
      <c r="CM223" s="93"/>
      <c r="CN223" s="93">
        <f>ППД5[[#This Row],[Фикс 18.12.24]]+ППД5[[#This Row],[Наценка 10.02.25 +1%
1К: А3
2К: Б3, В3]]</f>
        <v>113797.71694557971</v>
      </c>
      <c r="CO223" s="93">
        <f>ROUND(ППД5[[#This Row],[Фикс 10.02.25]],2)</f>
        <v>113797.72</v>
      </c>
      <c r="CP22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9671700</v>
      </c>
      <c r="CQ223" s="93">
        <f>ROUNDUP(ППД5[[#This Row],[Стоимость до скидки]]+ППД5[[#This Row],[Сумма доплаты]],-2)</f>
        <v>9621700</v>
      </c>
      <c r="CR223" s="68"/>
      <c r="CS223" s="90"/>
      <c r="CT223" s="68">
        <f>ППД5[[#This Row],[Стоимость до скидки]]*ППД5[[#This Row],[Скидка %]]+ППД5[[#This Row],[Скидка фиксированная]]</f>
        <v>0</v>
      </c>
      <c r="CU223" s="3">
        <f>ППД5[[#This Row],[Стоимость ОН без отделки со скидкой]]/ППД5[[#This Row],[Расчетная проектная площадь]]</f>
        <v>113798.09389339923</v>
      </c>
      <c r="CV223" s="3">
        <f>ROUND(ППД5[[#This Row],[Стоимость до скидки]]-ППД5[[#This Row],[Итоговая сумма скидки]],2)</f>
        <v>9671700</v>
      </c>
      <c r="CW22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223" s="218">
        <v>10000</v>
      </c>
      <c r="CY223" s="332">
        <f>ППД5[[#This Row],[Расхождение]]/ППД5[[#This Row],[Расчетная проектная площадь]]</f>
        <v>-5.1770796564301422E-3</v>
      </c>
      <c r="CZ223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-0.55000000000000426</v>
      </c>
      <c r="DA223" s="3">
        <f>ППД5[[#This Row],[Цена м2 без отделки со скидкой]]+ППД5[[#This Row],[Стоимость отделки]]</f>
        <v>123798.09389339923</v>
      </c>
      <c r="DB223" s="3">
        <f>ППД5[[#This Row],[Стоимость квартиры с отделкой]]-ППД5[[#This Row],[Стоимость ОН без отделки со скидкой]]</f>
        <v>849900</v>
      </c>
      <c r="DC223" s="3">
        <f>ППД5[[#This Row],[Цена м2 с отделкой]]*ППД5[[#This Row],[Расчетная проектная площадь]]</f>
        <v>10521600</v>
      </c>
      <c r="DD223" s="3"/>
      <c r="DF223" s="199" t="s">
        <v>157</v>
      </c>
      <c r="DG223" s="245" t="s">
        <v>157</v>
      </c>
      <c r="DH223" s="100" t="b">
        <f>EXACT(ППД5[[#This Row],[Статусы CRM]],ППД5[[#This Row],[Статус]])</f>
        <v>1</v>
      </c>
      <c r="DI223" s="213" t="s">
        <v>395</v>
      </c>
      <c r="DJ223" s="204"/>
      <c r="DK223" s="111" t="s">
        <v>763</v>
      </c>
      <c r="DL223" s="216" t="s">
        <v>780</v>
      </c>
      <c r="DM223" s="201" t="b">
        <f>ППД5[[#This Row],[Отделка CRM]]=ППД5[[#This Row],[Отделка]]</f>
        <v>1</v>
      </c>
      <c r="DN223" s="203">
        <v>10521600</v>
      </c>
      <c r="DO22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23" s="207" t="b">
        <f>IF(AND(ППД5[[#This Row],[Статус]]="свободно",ППД5[[#This Row],[Итоговая сумма скидки]]&lt;&gt;0),FALSE,TRUE)</f>
        <v>1</v>
      </c>
      <c r="DQ223" s="240" t="str">
        <f>_xlfn.XLOOKUP(ППД5[[#This Row],[№]],Юрист[№ кв],Юрист[Дата подачи на регистрацию]," ",0,-1)</f>
        <v xml:space="preserve"> </v>
      </c>
      <c r="DR223" s="115" t="str">
        <f>_xlfn.XLOOKUP(ППД5[[#This Row],[№]],Юрист[№ кв],Юрист[МОП],"",0,-1)</f>
        <v/>
      </c>
      <c r="DS223" s="333" t="s">
        <v>2738</v>
      </c>
      <c r="DT223" s="333" t="s">
        <v>2739</v>
      </c>
      <c r="DU223" s="333">
        <v>81.7</v>
      </c>
      <c r="DV223" s="111"/>
    </row>
    <row r="224" spans="1:126" hidden="1" x14ac:dyDescent="0.25">
      <c r="A224" s="112">
        <v>222</v>
      </c>
      <c r="B224" s="111" t="s">
        <v>4</v>
      </c>
      <c r="C224" s="111">
        <v>16</v>
      </c>
      <c r="D224" s="111">
        <v>7</v>
      </c>
      <c r="E224" s="111">
        <v>1</v>
      </c>
      <c r="F224" s="105">
        <v>17.89</v>
      </c>
      <c r="G224" s="105"/>
      <c r="H224" s="105"/>
      <c r="I224" s="94">
        <f>SUM(ППД5[[#This Row],[Комната 1]:[Комната 3]])</f>
        <v>17.89</v>
      </c>
      <c r="J224" s="105">
        <v>13.04</v>
      </c>
      <c r="K224" s="105">
        <v>3.9</v>
      </c>
      <c r="L224" s="105"/>
      <c r="M224" s="105"/>
      <c r="N224" s="105">
        <v>6.12</v>
      </c>
      <c r="O224" s="105">
        <v>2.65</v>
      </c>
      <c r="P224" s="105"/>
      <c r="Q224" s="105"/>
      <c r="R224" s="105">
        <f>SUM(ППД5[[#This Row],[Лоджия 1]:[Лоджия 3]])</f>
        <v>2.65</v>
      </c>
      <c r="S224" s="8">
        <f>ROUND(SUM(ППД5[[#This Row],[Площадь по проекту жилая]:[Лоджия 3]]),2)</f>
        <v>43.6</v>
      </c>
      <c r="T224" s="8">
        <f>ROUND(ППД5[[#This Row],[Площадь по проекту(общая)]]-ППД5[[#This Row],[Летние]],2)</f>
        <v>40.950000000000003</v>
      </c>
      <c r="U224" s="91">
        <f>ROUND(ППД5[[#This Row],[Площадь по проекту(общая)]]-(SUM(ППД5[[#This Row],[Лоджия 1]:[Лоджия 3]])/2),2)</f>
        <v>42.28</v>
      </c>
      <c r="V224" s="91">
        <f>IF(ППД5[[#This Row],[Статус]]="продажа",ППД5[[#This Row],[Расчетная проектная площадь]],ППД5[[#This Row],[Расчетная ТП площадь]])</f>
        <v>42.28</v>
      </c>
      <c r="W224" s="91">
        <v>17.8</v>
      </c>
      <c r="X224" s="91"/>
      <c r="Y224" s="91"/>
      <c r="Z224" s="91">
        <f>SUM(ППД5[[#This Row],[ТП Комната 1]:[ТП Комната 3]])</f>
        <v>17.8</v>
      </c>
      <c r="AA224" s="91">
        <v>13.1</v>
      </c>
      <c r="AB224" s="91">
        <v>3.8</v>
      </c>
      <c r="AC224" s="91"/>
      <c r="AD224" s="91"/>
      <c r="AE224" s="91">
        <v>6.1</v>
      </c>
      <c r="AF224" s="91">
        <v>1.35</v>
      </c>
      <c r="AG224" s="91"/>
      <c r="AH224" s="91"/>
      <c r="AI224" s="91">
        <f>SUM(ППД5[[#This Row],[ТП Лоджия 1]:[ТП Лоджия 3]])</f>
        <v>1.35</v>
      </c>
      <c r="AJ224" s="95">
        <v>2.7</v>
      </c>
      <c r="AK224" s="91">
        <f>SUM(ППД5[[#This Row],[Площадь по ТП жилая]:[ТП Лоджия 3]])-ППД5[[#This Row],[ТП Летние]]+ППД5[[#This Row],[кроме того прочая
(без коэффициента)]]</f>
        <v>43.5</v>
      </c>
      <c r="AL224" s="95">
        <f>ППД5[[#This Row],[ТП Площадь без летних]]+(ППД5[[#This Row],[ТП Летние]])</f>
        <v>42.15</v>
      </c>
      <c r="AM224" s="91">
        <f>ППД5[[#This Row],[ТП общая S]]-ППД5[[#This Row],[кроме того прочая
(без коэффициента)]]</f>
        <v>40.799999999999997</v>
      </c>
      <c r="AN224" s="95">
        <f>SUM(ППД5[[#This Row],[ТП Кухня]:[ТП Коридор]])</f>
        <v>23</v>
      </c>
      <c r="AO224" s="91">
        <f>ППД5[[#This Row],[Расчетная ТП площадь]]-ППД5[[#This Row],[Расчетная проектная площадь]]</f>
        <v>-0.13000000000000256</v>
      </c>
      <c r="AP224" s="335">
        <f>ППД5[[#This Row],[Расчетная ТП площадь]]/ППД5[[#This Row],[Расчетная проектная площадь]]-1</f>
        <v>-3.0747398297067408E-3</v>
      </c>
      <c r="AQ224" s="91">
        <f>ППД5[[#This Row],[% расхождения]]*ППД5[[#This Row],[Стоимость до скидки]]</f>
        <v>-14355.34531693483</v>
      </c>
      <c r="AR224" s="91">
        <f>VLOOKUP(ППД5[[#This Row],[№]],наценкад5[],COLUMN(наценкад5[[#This Row],[Цена м2 с учетом всех K]]),0)</f>
        <v>85573.6875</v>
      </c>
      <c r="AS224" s="8">
        <f>ППД5[[#This Row],[м2 после К]]*5%</f>
        <v>4278.6843749999998</v>
      </c>
      <c r="AT224" s="8">
        <f>ППД5[[#This Row],[м2 после К]]+ППД5[[#This Row],[Повышение 16.08.23 - 5%]]</f>
        <v>89852.371874999997</v>
      </c>
      <c r="AU224" s="93">
        <f>ППД5[[#This Row],[Фикс 16.08.23]]*3%</f>
        <v>2695.5711562499996</v>
      </c>
      <c r="AV224" s="93">
        <f>ППД5[[#This Row],[Фикс 16.08.23]]+ППД5[[#This Row],[Повышение 29.08.23 - 3%]]</f>
        <v>92547.94303124999</v>
      </c>
      <c r="AW224" s="93">
        <f>ППД5[[#This Row],[Фикс 29.08.23]]*3%</f>
        <v>2776.4382909374995</v>
      </c>
      <c r="AX224" s="93">
        <f>ППД5[[#This Row],[Фикс 29.08.23]]+ППД5[[#This Row],[Повышение 06.09.23 СТ и 1К]]</f>
        <v>95324.381322187488</v>
      </c>
      <c r="AY224" s="93"/>
      <c r="AZ224" s="93">
        <f>ППД5[[#This Row],[Повышение 23.10.23  В4 ]]+ППД5[[#This Row],[Фикс 06.09.23]]</f>
        <v>95324.381322187488</v>
      </c>
      <c r="BA224" s="93">
        <f>ППД5[[#This Row],[Фикс 23.10.23]]*5%</f>
        <v>4766.2190661093746</v>
      </c>
      <c r="BB224" s="93">
        <f>ППД5[[#This Row],[Повышение 8.11.23 1К 5%]]+ППД5[[#This Row],[Фикс 23.10.23]]</f>
        <v>100090.60038829687</v>
      </c>
      <c r="BC224" s="93"/>
      <c r="BD224" s="93">
        <f>ППД5[[#This Row],[Корректировка 24.11.23 - 1К В5, 2К А2, №233]]+ППД5[[#This Row],[Фикс 8.11.23]]</f>
        <v>100090.60038829687</v>
      </c>
      <c r="BE224" s="93">
        <f>ППД5[[#This Row],[Фикс 8.11.24]]*1%</f>
        <v>1000.9060038829687</v>
      </c>
      <c r="BF224" s="93">
        <f>ППД5[[#This Row],[Наценка за отделку 29.12.23 1%]]+ППД5[[#This Row],[Фикс 8.11.24]]</f>
        <v>101091.50639217983</v>
      </c>
      <c r="BG224" s="93">
        <f>ППД5[[#This Row],[Фикс 29.12.23]]*5%</f>
        <v>5054.5753196089918</v>
      </c>
      <c r="BH224" s="93">
        <f>ППД5[[#This Row],[Фикс 29.12.23]]+ППД5[[#This Row],[Наценка 10.01.24 5%]]</f>
        <v>106146.08171178882</v>
      </c>
      <c r="BI224" s="93"/>
      <c r="BJ224" s="93">
        <f>ППД5[[#This Row],[Наценка 26.02.24 1 Этаж]]+ППД5[[#This Row],[Фикс 10.01.24]]</f>
        <v>106146.08171178882</v>
      </c>
      <c r="BK224" s="93">
        <f>ППД5[[#This Row],[Фикс 26.02.24]]*3%</f>
        <v>3184.3824513536647</v>
      </c>
      <c r="BL224" s="93">
        <f>ППД5[[#This Row],[Фикс 26.02.24]]+ППД5[[#This Row],[Наценка 06.03.24
СТ, 1К - 3%
2К, 3К - 2%]]</f>
        <v>109330.46416314249</v>
      </c>
      <c r="BM224" s="93"/>
      <c r="BN224" s="93">
        <f>ППД5[[#This Row],[Фикс 06.03.24]]+ППД5[[#This Row],[Наценка Г2+500]]</f>
        <v>109330.46416314249</v>
      </c>
      <c r="BO224" s="93"/>
      <c r="BP224" s="93">
        <f>ППД5[[#This Row],[Фикс 13.03.25]]+ППД5[[#This Row],[Наценка 20.03.24
2К, 3К - 2%]]</f>
        <v>109330.46416314249</v>
      </c>
      <c r="BQ224" s="93"/>
      <c r="BR224" s="93">
        <f>ППД5[[#This Row],[Фикс 20.03.24]]+ППД5[[#This Row],[Наценка 08.04.24 
2К: В3 - 150
3К: Г7 +1000]]</f>
        <v>109330.46416314249</v>
      </c>
      <c r="BS224" s="9">
        <f>ППД5[[#This Row],[Фикс 08.04.24]]*1%</f>
        <v>1093.3046416314248</v>
      </c>
      <c r="BT224" s="93">
        <f>ППД5[[#This Row],[Фикс 08.04.24]]+ППД5[[#This Row],[Наценка 16.05.24 1%
А4,А6,Б3,Б6,Б7,В2,В3,В5,В6,Г1,Г3-Г5]]</f>
        <v>110423.76880477392</v>
      </c>
      <c r="BU224" s="93"/>
      <c r="BV224" s="93">
        <f>ППД5[[#This Row],[Фикс 16.05.24]]+ППД5[[#This Row],[Наценка 24.05.24
1% - Б4, Б5,Г2,Г6
2% - А1,А3,А5,Б2,Г7]]</f>
        <v>110423.76880477392</v>
      </c>
      <c r="BW224" s="93"/>
      <c r="BX224" s="93">
        <f>ППД5[[#This Row],[Наценка 06.06.24
0К: В2,Г3 +0,5%
1К: А7, Б5/4, Г6 +0,5%
3К: В6 +0,5%
1К: А3 +1%]]+ППД5[[#This Row],[Фикс 24.05.24]]</f>
        <v>110423.76880477392</v>
      </c>
      <c r="BY224" s="93"/>
      <c r="BZ224" s="93">
        <f>ППД5[[#This Row],[Фикс 06.06.24]]+ППД5[[#This Row],[13.06.2024
3К - 2%]]</f>
        <v>110423.76880477392</v>
      </c>
      <c r="CA224" s="93"/>
      <c r="CB224" s="93">
        <f>ППД5[[#This Row],[02.07.2024: Г3 А1 А3 Б5 Б7 Г2 Г6 Б3 Б4 В3 Г7 2,5% ост 0,5-1,5%]]+ППД5[[#This Row],[Фикс 13.06.24]]</f>
        <v>110423.76880477392</v>
      </c>
      <c r="CC224" s="93"/>
      <c r="CD224" s="93">
        <f>ППД5[[#This Row],[Фикс 02.07.24]]+ППД5[[#This Row],[04.09.2024 +500
0К - Б2; 1К - А3;
2К - А6, Б4, В3, Г5]]</f>
        <v>110423.76880477392</v>
      </c>
      <c r="CE224" s="93"/>
      <c r="CF224" s="93">
        <f>ППД5[[#This Row],[Наценка 16.09.2024
1К: А1,В7,Г6/7,Г8 - 2%
2К: А4,А5,А6,Б1,Б6,Б3/4,В3,В4,Г4,Г5 - 4%
3К: 4%]]+ППД5[[#This Row],[Фикс 04.09.24]]</f>
        <v>110423.76880477392</v>
      </c>
      <c r="CG224" s="93"/>
      <c r="CH224" s="93">
        <f>ППД5[[#This Row],[Фикс 16.09.2024]]+ППД5[[#This Row],[Наценка 01.11.24
СТ: 4%
1К: 34-40м 5%; 40м+ 8%; МГН 1%
2К: 55-70м 6%; 70-73м 7%; 73-76м 8% 
3К: 5%]]</f>
        <v>110423.76880477392</v>
      </c>
      <c r="CI224" s="93"/>
      <c r="CJ224" s="93">
        <f>ППД5[[#This Row],[Наценка 06.11 13%]]+ППД5[[#This Row],[Фикс 01.11.24]]</f>
        <v>110423.76880477392</v>
      </c>
      <c r="CK224" s="93"/>
      <c r="CL224" s="93">
        <f>ППД5[[#This Row],[Фикс 06.11.24]]+ППД5[[#This Row],[Наценка 18.12.24 распределение КВ]]</f>
        <v>110423.76880477392</v>
      </c>
      <c r="CM224" s="93"/>
      <c r="CN224" s="93">
        <f>ППД5[[#This Row],[Фикс 18.12.24]]+ППД5[[#This Row],[Наценка 10.02.25 +1%
1К: А3
2К: Б3, В3]]</f>
        <v>110423.76880477392</v>
      </c>
      <c r="CO224" s="93">
        <f>ROUND(ППД5[[#This Row],[Фикс 10.02.25]],2)</f>
        <v>110423.77</v>
      </c>
      <c r="CP22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4668800</v>
      </c>
      <c r="CQ224" s="93">
        <f>ROUNDUP(ППД5[[#This Row],[Стоимость до скидки]]+ППД5[[#This Row],[Сумма доплаты]],-2)</f>
        <v>4654500</v>
      </c>
      <c r="CR224" s="68"/>
      <c r="CS224" s="90"/>
      <c r="CT224" s="68">
        <f>ППД5[[#This Row],[Стоимость до скидки]]*ППД5[[#This Row],[Скидка %]]+ППД5[[#This Row],[Скидка фиксированная]]</f>
        <v>0</v>
      </c>
      <c r="CU224" s="3">
        <f>ППД5[[#This Row],[Стоимость ОН без отделки со скидкой]]/ППД5[[#This Row],[Расчетная проектная площадь]]</f>
        <v>110425.73320719016</v>
      </c>
      <c r="CV224" s="3">
        <f>ROUND(ППД5[[#This Row],[Стоимость до скидки]]-ППД5[[#This Row],[Итоговая сумма скидки]],2)</f>
        <v>4668800</v>
      </c>
      <c r="CW22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24" s="197">
        <v>20000</v>
      </c>
      <c r="CY224" s="332">
        <f>ППД5[[#This Row],[Расхождение]]/ППД5[[#This Row],[Расчетная проектная площадь]]</f>
        <v>-3.0747398297067776E-3</v>
      </c>
      <c r="CZ22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-6.0000000000000497E-2</v>
      </c>
      <c r="DA224" s="3">
        <f>ППД5[[#This Row],[Цена м2 без отделки со скидкой]]+ППД5[[#This Row],[Стоимость отделки]]</f>
        <v>130425.73320719016</v>
      </c>
      <c r="DB224" s="3">
        <f>ППД5[[#This Row],[Стоимость квартиры с отделкой]]-ППД5[[#This Row],[Стоимость ОН без отделки со скидкой]]</f>
        <v>845600</v>
      </c>
      <c r="DC224" s="3">
        <f>ППД5[[#This Row],[Цена м2 с отделкой]]*ППД5[[#This Row],[Расчетная проектная площадь]]</f>
        <v>5514400</v>
      </c>
      <c r="DD224" s="3"/>
      <c r="DF224" s="199" t="s">
        <v>172</v>
      </c>
      <c r="DG224" s="245" t="s">
        <v>172</v>
      </c>
      <c r="DH224" s="100" t="b">
        <f>EXACT(ППД5[[#This Row],[Статусы CRM]],ППД5[[#This Row],[Статус]])</f>
        <v>1</v>
      </c>
      <c r="DI224" s="213" t="s">
        <v>396</v>
      </c>
      <c r="DJ224" s="204"/>
      <c r="DK224" s="111" t="s">
        <v>763</v>
      </c>
      <c r="DL224" s="216" t="s">
        <v>14</v>
      </c>
      <c r="DM224" s="201" t="b">
        <f>ППД5[[#This Row],[Отделка CRM]]=ППД5[[#This Row],[Отделка]]</f>
        <v>1</v>
      </c>
      <c r="DN224" s="203">
        <v>5514400</v>
      </c>
      <c r="DO22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24" s="207" t="b">
        <f>IF(AND(ППД5[[#This Row],[Статус]]="свободно",ППД5[[#This Row],[Итоговая сумма скидки]]&lt;&gt;0),FALSE,TRUE)</f>
        <v>1</v>
      </c>
      <c r="DQ224" s="240">
        <f>_xlfn.XLOOKUP(ППД5[[#This Row],[№]],Юрист[№ кв],Юрист[Дата подачи на регистрацию]," ",0,-1)</f>
        <v>45465</v>
      </c>
      <c r="DR224" s="115" t="str">
        <f>_xlfn.XLOOKUP(ППД5[[#This Row],[№]],Юрист[№ кв],Юрист[МОП],"",0,-1)</f>
        <v>Дик</v>
      </c>
      <c r="DS224" s="333" t="s">
        <v>2740</v>
      </c>
      <c r="DT224" s="333" t="s">
        <v>2741</v>
      </c>
      <c r="DU224" s="333">
        <v>40.799999999999997</v>
      </c>
      <c r="DV224" s="111"/>
    </row>
    <row r="225" spans="1:126" hidden="1" x14ac:dyDescent="0.25">
      <c r="A225" s="112">
        <v>223</v>
      </c>
      <c r="B225" s="111" t="s">
        <v>3</v>
      </c>
      <c r="C225" s="111">
        <v>1</v>
      </c>
      <c r="D225" s="338">
        <v>1</v>
      </c>
      <c r="E225" s="111">
        <v>2</v>
      </c>
      <c r="F225" s="105">
        <v>17.63</v>
      </c>
      <c r="G225" s="105">
        <v>13.69</v>
      </c>
      <c r="H225" s="105"/>
      <c r="I225" s="94">
        <f>SUM(ППД5[[#This Row],[Комната 1]:[Комната 3]])</f>
        <v>31.32</v>
      </c>
      <c r="J225" s="105">
        <v>20.05</v>
      </c>
      <c r="K225" s="105">
        <v>3.54</v>
      </c>
      <c r="L225" s="105">
        <v>2.93</v>
      </c>
      <c r="M225" s="105"/>
      <c r="N225" s="105">
        <v>12.19</v>
      </c>
      <c r="O225" s="105">
        <v>2.68</v>
      </c>
      <c r="P225" s="105"/>
      <c r="Q225" s="105"/>
      <c r="R225" s="105">
        <f>SUM(ППД5[[#This Row],[Лоджия 1]:[Лоджия 3]])</f>
        <v>2.68</v>
      </c>
      <c r="S225" s="96">
        <f>ROUND(SUM(ППД5[[#This Row],[Площадь по проекту жилая]:[Лоджия 3]]),2)</f>
        <v>72.709999999999994</v>
      </c>
      <c r="T225" s="96">
        <f>ROUND(ППД5[[#This Row],[Площадь по проекту(общая)]]-ППД5[[#This Row],[Летние]],2)</f>
        <v>70.03</v>
      </c>
      <c r="U225" s="91">
        <f>ROUND(ППД5[[#This Row],[Площадь по проекту(общая)]]-(SUM(ППД5[[#This Row],[Лоджия 1]:[Лоджия 3]])/2),2)</f>
        <v>71.37</v>
      </c>
      <c r="V225" s="91">
        <f>IF(ППД5[[#This Row],[Статус]]="продажа",ППД5[[#This Row],[Расчетная проектная площадь]],ППД5[[#This Row],[Расчетная ТП площадь]])</f>
        <v>71.249999999999986</v>
      </c>
      <c r="W225" s="92">
        <v>17.5</v>
      </c>
      <c r="X225" s="92">
        <v>13.7</v>
      </c>
      <c r="Y225" s="91"/>
      <c r="Z225" s="91">
        <f>SUM(ППД5[[#This Row],[ТП Комната 1]:[ТП Комната 3]])</f>
        <v>31.2</v>
      </c>
      <c r="AA225" s="91">
        <v>19.899999999999999</v>
      </c>
      <c r="AB225" s="91">
        <v>3.6</v>
      </c>
      <c r="AC225" s="91">
        <v>2.9</v>
      </c>
      <c r="AD225" s="91"/>
      <c r="AE225" s="91">
        <v>12.3</v>
      </c>
      <c r="AF225" s="91">
        <v>1.35</v>
      </c>
      <c r="AG225" s="91"/>
      <c r="AH225" s="91"/>
      <c r="AI225" s="91">
        <f>SUM(ППД5[[#This Row],[ТП Лоджия 1]:[ТП Лоджия 3]])</f>
        <v>1.35</v>
      </c>
      <c r="AJ225" s="95">
        <v>2.7</v>
      </c>
      <c r="AK225" s="91">
        <f>SUM(ППД5[[#This Row],[Площадь по ТП жилая]:[ТП Лоджия 3]])-ППД5[[#This Row],[ТП Летние]]+ППД5[[#This Row],[кроме того прочая
(без коэффициента)]]</f>
        <v>72.599999999999994</v>
      </c>
      <c r="AL225" s="95">
        <f>ППД5[[#This Row],[ТП Площадь без летних]]+(ППД5[[#This Row],[ТП Летние]])</f>
        <v>71.249999999999986</v>
      </c>
      <c r="AM225" s="91">
        <f>ППД5[[#This Row],[ТП общая S]]-ППД5[[#This Row],[кроме того прочая
(без коэффициента)]]</f>
        <v>69.899999999999991</v>
      </c>
      <c r="AN225" s="95">
        <f>SUM(ППД5[[#This Row],[ТП Кухня]:[ТП Коридор]])</f>
        <v>38.700000000000003</v>
      </c>
      <c r="AO225" s="91">
        <f>ППД5[[#This Row],[Расчетная ТП площадь]]-ППД5[[#This Row],[Расчетная проектная площадь]]</f>
        <v>-0.12000000000001876</v>
      </c>
      <c r="AP225" s="335">
        <f>ППД5[[#This Row],[Расчетная ТП площадь]]/ППД5[[#This Row],[Расчетная проектная площадь]]-1</f>
        <v>-1.6813787305592909E-3</v>
      </c>
      <c r="AQ225" s="91">
        <f>ППД5[[#This Row],[% расхождения]]*ППД5[[#This Row],[Стоимость до скидки]]</f>
        <v>-15326.103404794048</v>
      </c>
      <c r="AR225" s="91">
        <f>VLOOKUP(ППД5[[#This Row],[№]],наценкад5[],COLUMN(наценкад5[[#This Row],[Цена м2 с учетом всех K]]),0)</f>
        <v>77219.100000000006</v>
      </c>
      <c r="AS225" s="96">
        <f>ППД5[[#This Row],[м2 после К]]*5%</f>
        <v>3860.9550000000004</v>
      </c>
      <c r="AT225" s="96">
        <f>ППД5[[#This Row],[м2 после К]]+ППД5[[#This Row],[Повышение 16.08.23 - 5%]]</f>
        <v>81080.055000000008</v>
      </c>
      <c r="AU225" s="93">
        <f>ППД5[[#This Row],[Фикс 16.08.23]]*3%</f>
        <v>2432.4016500000002</v>
      </c>
      <c r="AV225" s="93">
        <f>ППД5[[#This Row],[Фикс 16.08.23]]+ППД5[[#This Row],[Повышение 29.08.23 - 3%]]</f>
        <v>83512.456650000007</v>
      </c>
      <c r="AW225" s="93"/>
      <c r="AX225" s="93">
        <f>ППД5[[#This Row],[Фикс 29.08.23]]+ППД5[[#This Row],[Повышение 06.09.23 СТ и 1К]]</f>
        <v>83512.456650000007</v>
      </c>
      <c r="AY225" s="93"/>
      <c r="AZ225" s="93">
        <f>ППД5[[#This Row],[Повышение 23.10.23  В4 ]]+ППД5[[#This Row],[Фикс 06.09.23]]</f>
        <v>83512.456650000007</v>
      </c>
      <c r="BA225" s="93"/>
      <c r="BB225" s="93">
        <f>ППД5[[#This Row],[Повышение 8.11.23 1К 5%]]+ППД5[[#This Row],[Фикс 23.10.23]]</f>
        <v>83512.456650000007</v>
      </c>
      <c r="BC225" s="93">
        <v>4059</v>
      </c>
      <c r="BD225" s="93">
        <f>ППД5[[#This Row],[Корректировка 24.11.23 - 1К В5, 2К А2, №233]]+ППД5[[#This Row],[Фикс 8.11.23]]</f>
        <v>87571.456650000007</v>
      </c>
      <c r="BE225" s="93">
        <f>ППД5[[#This Row],[Фикс 8.11.24]]*1%</f>
        <v>875.71456650000005</v>
      </c>
      <c r="BF225" s="93">
        <f>ППД5[[#This Row],[Наценка за отделку 29.12.23 1%]]+ППД5[[#This Row],[Фикс 8.11.24]]</f>
        <v>88447.171216500006</v>
      </c>
      <c r="BG225" s="93">
        <f>ППД5[[#This Row],[Фикс 29.12.23]]*5%</f>
        <v>4422.3585608250005</v>
      </c>
      <c r="BH225" s="93">
        <f>ППД5[[#This Row],[Фикс 29.12.23]]+ППД5[[#This Row],[Наценка 10.01.24 5%]]</f>
        <v>92869.529777325006</v>
      </c>
      <c r="BI225" s="93">
        <f>100000-ППД5[[#This Row],[Фикс 10.01.24]]</f>
        <v>7130.4702226749941</v>
      </c>
      <c r="BJ225" s="93">
        <f>ППД5[[#This Row],[Наценка 26.02.24 1 Этаж]]+ППД5[[#This Row],[Фикс 10.01.24]]</f>
        <v>100000</v>
      </c>
      <c r="BK225" s="93">
        <f>ППД5[[#This Row],[Фикс 26.02.24]]*2%</f>
        <v>2000</v>
      </c>
      <c r="BL225" s="93">
        <f>ППД5[[#This Row],[Фикс 26.02.24]]+ППД5[[#This Row],[Наценка 06.03.24
СТ, 1К - 3%
2К, 3К - 2%]]</f>
        <v>102000</v>
      </c>
      <c r="BM225" s="93"/>
      <c r="BN225" s="93">
        <f>ППД5[[#This Row],[Фикс 06.03.24]]+ППД5[[#This Row],[Наценка Г2+500]]</f>
        <v>102000</v>
      </c>
      <c r="BO225" s="93">
        <f>ППД5[[#This Row],[Фикс 13.03.25]]*2%</f>
        <v>2040</v>
      </c>
      <c r="BP225" s="93">
        <f>ППД5[[#This Row],[Фикс 13.03.25]]+ППД5[[#This Row],[Наценка 20.03.24
2К, 3К - 2%]]</f>
        <v>104040</v>
      </c>
      <c r="BQ225" s="93"/>
      <c r="BR225" s="93">
        <f>ППД5[[#This Row],[Фикс 20.03.24]]+ППД5[[#This Row],[Наценка 08.04.24 
2К: В3 - 150
3К: Г7 +1000]]</f>
        <v>104040</v>
      </c>
      <c r="BS225" s="93"/>
      <c r="BT225" s="93">
        <f>ППД5[[#This Row],[Фикс 08.04.24]]+ППД5[[#This Row],[Наценка 16.05.24 1%
А4,А6,Б3,Б6,Б7,В2,В3,В5,В6,Г1,Г3-Г5]]</f>
        <v>104040</v>
      </c>
      <c r="BU225" s="93"/>
      <c r="BV225" s="93">
        <f>ППД5[[#This Row],[Фикс 16.05.24]]+ППД5[[#This Row],[Наценка 24.05.24
1% - Б4, Б5,Г2,Г6
2% - А1,А3,А5,Б2,Г7]]</f>
        <v>104040</v>
      </c>
      <c r="BW225" s="93"/>
      <c r="BX225" s="93">
        <f>ППД5[[#This Row],[Наценка 06.06.24
0К: В2,Г3 +0,5%
1К: А7, Б5/4, Г6 +0,5%
3К: В6 +0,5%
1К: А3 +1%]]+ППД5[[#This Row],[Фикс 24.05.24]]</f>
        <v>104040</v>
      </c>
      <c r="BY225" s="93"/>
      <c r="BZ225" s="93">
        <f>ППД5[[#This Row],[Фикс 06.06.24]]+ППД5[[#This Row],[13.06.2024
3К - 2%]]</f>
        <v>104040</v>
      </c>
      <c r="CA225" s="47">
        <f>1.5%*ППД5[[#This Row],[Фикс 13.06.24]]</f>
        <v>1560.6</v>
      </c>
      <c r="CB225" s="93">
        <f>ППД5[[#This Row],[02.07.2024: Г3 А1 А3 Б5 Б7 Г2 Г6 Б3 Б4 В3 Г7 2,5% ост 0,5-1,5%]]+ППД5[[#This Row],[Фикс 13.06.24]]</f>
        <v>105600.6</v>
      </c>
      <c r="CC225" s="93"/>
      <c r="CD225" s="93">
        <f>ППД5[[#This Row],[Фикс 02.07.24]]+ППД5[[#This Row],[04.09.2024 +500
0К - Б2; 1К - А3;
2К - А6, Б4, В3, Г5]]</f>
        <v>105600.6</v>
      </c>
      <c r="CE225" s="93"/>
      <c r="CF225" s="93">
        <f>ППД5[[#This Row],[Наценка 16.09.2024
1К: А1,В7,Г6/7,Г8 - 2%
2К: А4,А5,А6,Б1,Б6,Б3/4,В3,В4,Г4,Г5 - 4%
3К: 4%]]+ППД5[[#This Row],[Фикс 04.09.24]]</f>
        <v>105600.6</v>
      </c>
      <c r="CG225" s="93">
        <f>ППД5[[#This Row],[Фикс 16.09.2024]]*7%</f>
        <v>7392.0420000000013</v>
      </c>
      <c r="CH225" s="93">
        <f>ППД5[[#This Row],[Фикс 16.09.2024]]+ППД5[[#This Row],[Наценка 01.11.24
СТ: 4%
1К: 34-40м 5%; 40м+ 8%; МГН 1%
2К: 55-70м 6%; 70-73м 7%; 73-76м 8% 
3К: 5%]]</f>
        <v>112992.64200000001</v>
      </c>
      <c r="CI225" s="93">
        <f>ППД5[[#This Row],[Фикс 01.11.24]]*13%</f>
        <v>14689.043460000001</v>
      </c>
      <c r="CJ225" s="93">
        <f>ППД5[[#This Row],[Наценка 06.11 13%]]+ППД5[[#This Row],[Фикс 01.11.24]]</f>
        <v>127681.68546000001</v>
      </c>
      <c r="CK225" s="93">
        <v>35</v>
      </c>
      <c r="CL225" s="93">
        <f>ППД5[[#This Row],[Фикс 06.11.24]]+ППД5[[#This Row],[Наценка 18.12.24 распределение КВ]]</f>
        <v>127716.68546000001</v>
      </c>
      <c r="CM225" s="93"/>
      <c r="CN225" s="93">
        <f>ППД5[[#This Row],[Фикс 18.12.24]]+ППД5[[#This Row],[Наценка 10.02.25 +1%
1К: А3
2К: Б3, В3]]</f>
        <v>127716.68546000001</v>
      </c>
      <c r="CO225" s="93">
        <f>ROUND(ППД5[[#This Row],[Фикс 10.02.25]],2)</f>
        <v>127716.69</v>
      </c>
      <c r="CP22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9115200</v>
      </c>
      <c r="CQ225" s="93">
        <f>ROUNDUP(ППД5[[#This Row],[Стоимость до скидки]]+ППД5[[#This Row],[Сумма доплаты]],-2)</f>
        <v>9099900</v>
      </c>
      <c r="CR225" s="68"/>
      <c r="CS225" s="90"/>
      <c r="CT225" s="68">
        <f>ППД5[[#This Row],[Стоимость до скидки]]*ППД5[[#This Row],[Скидка %]]+ППД5[[#This Row],[Скидка фиксированная]]</f>
        <v>0</v>
      </c>
      <c r="CU225" s="3">
        <f>ППД5[[#This Row],[Стоимость ОН без отделки со скидкой]]/ППД5[[#This Row],[Расчетная проектная площадь]]</f>
        <v>127717.52837326608</v>
      </c>
      <c r="CV225" s="3">
        <f>ROUND(ППД5[[#This Row],[Стоимость до скидки]]-ППД5[[#This Row],[Итоговая сумма скидки]],2)</f>
        <v>9115200</v>
      </c>
      <c r="CW22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25" s="197"/>
      <c r="CY225" s="332">
        <f>ППД5[[#This Row],[Расхождение]]/ППД5[[#This Row],[Расчетная проектная площадь]]</f>
        <v>-1.6813787305593212E-3</v>
      </c>
      <c r="CZ22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-9.9999999999944578E-3</v>
      </c>
      <c r="DA225" s="3">
        <f>ППД5[[#This Row],[Цена м2 без отделки со скидкой]]+ППД5[[#This Row],[Стоимость отделки]]</f>
        <v>127717.52837326608</v>
      </c>
      <c r="DB225" s="3">
        <f>ППД5[[#This Row],[Стоимость квартиры с отделкой]]-ППД5[[#This Row],[Стоимость ОН без отделки со скидкой]]</f>
        <v>0</v>
      </c>
      <c r="DC225" s="3">
        <f>ППД5[[#This Row],[Цена м2 с отделкой]]*ППД5[[#This Row],[Расчетная проектная площадь]]</f>
        <v>9115200</v>
      </c>
      <c r="DD225" s="3" t="s">
        <v>158</v>
      </c>
      <c r="DE225" s="111" t="s">
        <v>1698</v>
      </c>
      <c r="DF225" s="199" t="s">
        <v>157</v>
      </c>
      <c r="DG225" s="245" t="s">
        <v>157</v>
      </c>
      <c r="DH225" s="100" t="b">
        <f>EXACT(ППД5[[#This Row],[Статусы CRM]],ППД5[[#This Row],[Статус]])</f>
        <v>1</v>
      </c>
      <c r="DI225" s="213" t="s">
        <v>397</v>
      </c>
      <c r="DJ225" s="204"/>
      <c r="DK225" s="111" t="s">
        <v>763</v>
      </c>
      <c r="DL225" s="216" t="s">
        <v>12</v>
      </c>
      <c r="DM225" s="201" t="b">
        <f>ППД5[[#This Row],[Отделка CRM]]=ППД5[[#This Row],[Отделка]]</f>
        <v>1</v>
      </c>
      <c r="DN225" s="203">
        <v>9115200</v>
      </c>
      <c r="DO22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25" s="207" t="b">
        <f>IF(AND(ППД5[[#This Row],[Статус]]="свободно",ППД5[[#This Row],[Итоговая сумма скидки]]&lt;&gt;0),FALSE,TRUE)</f>
        <v>1</v>
      </c>
      <c r="DQ225" s="240" t="str">
        <f>_xlfn.XLOOKUP(ППД5[[#This Row],[№]],Юрист[№ кв],Юрист[Дата подачи на регистрацию]," ",0,-1)</f>
        <v xml:space="preserve"> </v>
      </c>
      <c r="DR225" s="115" t="str">
        <f>_xlfn.XLOOKUP(ППД5[[#This Row],[№]],Юрист[№ кв],Юрист[МОП],"",0,-1)</f>
        <v/>
      </c>
      <c r="DS225" s="333" t="s">
        <v>2742</v>
      </c>
      <c r="DT225" s="333" t="s">
        <v>2743</v>
      </c>
      <c r="DU225" s="333">
        <v>69.900000000000006</v>
      </c>
      <c r="DV225" s="111"/>
    </row>
    <row r="226" spans="1:126" hidden="1" x14ac:dyDescent="0.25">
      <c r="A226" s="112">
        <v>224</v>
      </c>
      <c r="B226" s="111" t="s">
        <v>3</v>
      </c>
      <c r="C226" s="111">
        <v>1</v>
      </c>
      <c r="D226" s="115">
        <v>2</v>
      </c>
      <c r="E226" s="111">
        <v>0</v>
      </c>
      <c r="F226" s="105">
        <v>7.18</v>
      </c>
      <c r="G226" s="105"/>
      <c r="H226" s="105"/>
      <c r="I226" s="94">
        <f>SUM(ППД5[[#This Row],[Комната 1]:[Комната 3]])</f>
        <v>7.18</v>
      </c>
      <c r="J226" s="105">
        <v>5.17</v>
      </c>
      <c r="K226" s="105">
        <v>3.72</v>
      </c>
      <c r="L226" s="105"/>
      <c r="M226" s="105"/>
      <c r="N226" s="105">
        <v>6.97</v>
      </c>
      <c r="O226" s="105">
        <v>2.97</v>
      </c>
      <c r="P226" s="105"/>
      <c r="Q226" s="105"/>
      <c r="R226" s="105">
        <f>SUM(ППД5[[#This Row],[Лоджия 1]:[Лоджия 3]])</f>
        <v>2.97</v>
      </c>
      <c r="S226" s="96">
        <f>ROUND(SUM(ППД5[[#This Row],[Площадь по проекту жилая]:[Лоджия 3]]),2)</f>
        <v>26.01</v>
      </c>
      <c r="T226" s="96">
        <f>ROUND(ППД5[[#This Row],[Площадь по проекту(общая)]]-ППД5[[#This Row],[Летние]],2)</f>
        <v>23.04</v>
      </c>
      <c r="U226" s="91">
        <f>ROUND(ППД5[[#This Row],[Площадь по проекту(общая)]]-(SUM(ППД5[[#This Row],[Лоджия 1]:[Лоджия 3]])/2),2)</f>
        <v>24.53</v>
      </c>
      <c r="V226" s="91">
        <f>IF(ППД5[[#This Row],[Статус]]="продажа",ППД5[[#This Row],[Расчетная проектная площадь]],ППД5[[#This Row],[Расчетная ТП площадь]])</f>
        <v>24.53</v>
      </c>
      <c r="W226" s="91">
        <v>7.2</v>
      </c>
      <c r="X226" s="91"/>
      <c r="Y226" s="91"/>
      <c r="Z226" s="91">
        <f>SUM(ППД5[[#This Row],[ТП Комната 1]:[ТП Комната 3]])</f>
        <v>7.2</v>
      </c>
      <c r="AA226" s="91">
        <v>5.2</v>
      </c>
      <c r="AB226" s="91">
        <v>3.7</v>
      </c>
      <c r="AC226" s="91"/>
      <c r="AD226" s="91"/>
      <c r="AE226" s="91">
        <v>7.2</v>
      </c>
      <c r="AF226" s="91">
        <v>1.45</v>
      </c>
      <c r="AG226" s="91"/>
      <c r="AH226" s="91"/>
      <c r="AI226" s="91">
        <f>SUM(ППД5[[#This Row],[ТП Лоджия 1]:[ТП Лоджия 3]])</f>
        <v>1.45</v>
      </c>
      <c r="AJ226" s="95">
        <v>2.9</v>
      </c>
      <c r="AK226" s="91">
        <f>SUM(ППД5[[#This Row],[Площадь по ТП жилая]:[ТП Лоджия 3]])-ППД5[[#This Row],[ТП Летние]]+ППД5[[#This Row],[кроме того прочая
(без коэффициента)]]</f>
        <v>26.2</v>
      </c>
      <c r="AL226" s="95">
        <f>ППД5[[#This Row],[ТП Площадь без летних]]+(ППД5[[#This Row],[ТП Летние]])</f>
        <v>24.75</v>
      </c>
      <c r="AM226" s="91">
        <f>ППД5[[#This Row],[ТП общая S]]-ППД5[[#This Row],[кроме того прочая
(без коэффициента)]]</f>
        <v>23.3</v>
      </c>
      <c r="AN226" s="95">
        <f>SUM(ППД5[[#This Row],[ТП Кухня]:[ТП Коридор]])</f>
        <v>16.100000000000001</v>
      </c>
      <c r="AO226" s="91">
        <f>ППД5[[#This Row],[Расчетная ТП площадь]]-ППД5[[#This Row],[Расчетная проектная площадь]]</f>
        <v>0.21999999999999886</v>
      </c>
      <c r="AP226" s="335">
        <f>ППД5[[#This Row],[Расчетная ТП площадь]]/ППД5[[#This Row],[Расчетная проектная площадь]]-1</f>
        <v>8.9686098654708779E-3</v>
      </c>
      <c r="AQ226" s="91">
        <f>ППД5[[#This Row],[% расхождения]]*ППД5[[#This Row],[Стоимость до скидки]]</f>
        <v>23068.980000000065</v>
      </c>
      <c r="AR226" s="91">
        <f>VLOOKUP(ППД5[[#This Row],[№]],наценкад5[],COLUMN(наценкад5[[#This Row],[Цена м2 с учетом всех K]]),0)</f>
        <v>99865.71</v>
      </c>
      <c r="AS226" s="96">
        <f>ППД5[[#This Row],[м2 после К]]*5%</f>
        <v>4993.2855000000009</v>
      </c>
      <c r="AT226" s="96">
        <f>ППД5[[#This Row],[м2 после К]]+ППД5[[#This Row],[Повышение 16.08.23 - 5%]]</f>
        <v>104858.9955</v>
      </c>
      <c r="AU226" s="93"/>
      <c r="AV226" s="93">
        <f>ППД5[[#This Row],[Фикс 16.08.23]]+ППД5[[#This Row],[Повышение 29.08.23 - 3%]]</f>
        <v>104858.9955</v>
      </c>
      <c r="AW226" s="93"/>
      <c r="AX226" s="93">
        <f>ППД5[[#This Row],[Фикс 29.08.23]]+ППД5[[#This Row],[Повышение 06.09.23 СТ и 1К]]</f>
        <v>104858.9955</v>
      </c>
      <c r="AY226" s="93"/>
      <c r="AZ226" s="93">
        <f>ППД5[[#This Row],[Повышение 23.10.23  В4 ]]+ППД5[[#This Row],[Фикс 06.09.23]]</f>
        <v>104858.9955</v>
      </c>
      <c r="BA226" s="93"/>
      <c r="BB226" s="93">
        <f>ППД5[[#This Row],[Повышение 8.11.23 1К 5%]]+ППД5[[#This Row],[Фикс 23.10.23]]</f>
        <v>104858.9955</v>
      </c>
      <c r="BC226" s="93"/>
      <c r="BD226" s="93">
        <f>ППД5[[#This Row],[Корректировка 24.11.23 - 1К В5, 2К А2, №233]]+ППД5[[#This Row],[Фикс 8.11.23]]</f>
        <v>104858.9955</v>
      </c>
      <c r="BE226" s="93"/>
      <c r="BF226" s="93">
        <f>ППД5[[#This Row],[Наценка за отделку 29.12.23 1%]]+ППД5[[#This Row],[Фикс 8.11.24]]</f>
        <v>104858.9955</v>
      </c>
      <c r="BG226" s="93"/>
      <c r="BH226" s="93">
        <f>ППД5[[#This Row],[Фикс 29.12.23]]+ППД5[[#This Row],[Наценка 10.01.24 5%]]</f>
        <v>104858.9955</v>
      </c>
      <c r="BI226" s="93"/>
      <c r="BJ226" s="93">
        <f>ППД5[[#This Row],[Наценка 26.02.24 1 Этаж]]+ППД5[[#This Row],[Фикс 10.01.24]]</f>
        <v>104858.9955</v>
      </c>
      <c r="BK226" s="93"/>
      <c r="BL226" s="93">
        <f>ППД5[[#This Row],[Фикс 26.02.24]]+ППД5[[#This Row],[Наценка 06.03.24
СТ, 1К - 3%
2К, 3К - 2%]]</f>
        <v>104858.9955</v>
      </c>
      <c r="BM226" s="93"/>
      <c r="BN226" s="93">
        <f>ППД5[[#This Row],[Фикс 06.03.24]]+ППД5[[#This Row],[Наценка Г2+500]]</f>
        <v>104858.9955</v>
      </c>
      <c r="BO226" s="93"/>
      <c r="BP226" s="93">
        <f>ППД5[[#This Row],[Фикс 13.03.25]]+ППД5[[#This Row],[Наценка 20.03.24
2К, 3К - 2%]]</f>
        <v>104858.9955</v>
      </c>
      <c r="BQ226" s="93"/>
      <c r="BR226" s="93">
        <f>ППД5[[#This Row],[Фикс 20.03.24]]+ППД5[[#This Row],[Наценка 08.04.24 
2К: В3 - 150
3К: Г7 +1000]]</f>
        <v>104858.9955</v>
      </c>
      <c r="BS226" s="93"/>
      <c r="BT226" s="93">
        <f>ППД5[[#This Row],[Фикс 08.04.24]]+ППД5[[#This Row],[Наценка 16.05.24 1%
А4,А6,Б3,Б6,Б7,В2,В3,В5,В6,Г1,Г3-Г5]]</f>
        <v>104858.9955</v>
      </c>
      <c r="BU226" s="93"/>
      <c r="BV226" s="93">
        <f>ППД5[[#This Row],[Фикс 16.05.24]]+ППД5[[#This Row],[Наценка 24.05.24
1% - Б4, Б5,Г2,Г6
2% - А1,А3,А5,Б2,Г7]]</f>
        <v>104858.9955</v>
      </c>
      <c r="BW226" s="93"/>
      <c r="BX226" s="93">
        <f>ППД5[[#This Row],[Наценка 06.06.24
0К: В2,Г3 +0,5%
1К: А7, Б5/4, Г6 +0,5%
3К: В6 +0,5%
1К: А3 +1%]]+ППД5[[#This Row],[Фикс 24.05.24]]</f>
        <v>104858.9955</v>
      </c>
      <c r="BY226" s="93"/>
      <c r="BZ226" s="93">
        <f>ППД5[[#This Row],[Фикс 06.06.24]]+ППД5[[#This Row],[13.06.2024
3К - 2%]]</f>
        <v>104858.9955</v>
      </c>
      <c r="CA226" s="93"/>
      <c r="CB226" s="93">
        <f>ППД5[[#This Row],[02.07.2024: Г3 А1 А3 Б5 Б7 Г2 Г6 Б3 Б4 В3 Г7 2,5% ост 0,5-1,5%]]+ППД5[[#This Row],[Фикс 13.06.24]]</f>
        <v>104858.9955</v>
      </c>
      <c r="CC226" s="93"/>
      <c r="CD226" s="93">
        <f>ППД5[[#This Row],[Фикс 02.07.24]]+ППД5[[#This Row],[04.09.2024 +500
0К - Б2; 1К - А3;
2К - А6, Б4, В3, Г5]]</f>
        <v>104858.9955</v>
      </c>
      <c r="CE226" s="93"/>
      <c r="CF226" s="93">
        <f>ППД5[[#This Row],[Наценка 16.09.2024
1К: А1,В7,Г6/7,Г8 - 2%
2К: А4,А5,А6,Б1,Б6,Б3/4,В3,В4,Г4,Г5 - 4%
3К: 4%]]+ППД5[[#This Row],[Фикс 04.09.24]]</f>
        <v>104858.9955</v>
      </c>
      <c r="CG226" s="93"/>
      <c r="CH226" s="93">
        <f>ППД5[[#This Row],[Фикс 16.09.2024]]+ППД5[[#This Row],[Наценка 01.11.24
СТ: 4%
1К: 34-40м 5%; 40м+ 8%; МГН 1%
2К: 55-70м 6%; 70-73м 7%; 73-76м 8% 
3К: 5%]]</f>
        <v>104858.9955</v>
      </c>
      <c r="CI226" s="93"/>
      <c r="CJ226" s="93">
        <f>ППД5[[#This Row],[Наценка 06.11 13%]]+ППД5[[#This Row],[Фикс 01.11.24]]</f>
        <v>104858.9955</v>
      </c>
      <c r="CK226" s="93"/>
      <c r="CL226" s="93">
        <f>ППД5[[#This Row],[Фикс 06.11.24]]+ППД5[[#This Row],[Наценка 18.12.24 распределение КВ]]</f>
        <v>104858.9955</v>
      </c>
      <c r="CM226" s="93"/>
      <c r="CN226" s="93">
        <f>ППД5[[#This Row],[Фикс 18.12.24]]+ППД5[[#This Row],[Наценка 10.02.25 +1%
1К: А3
2К: Б3, В3]]</f>
        <v>104858.9955</v>
      </c>
      <c r="CO226" s="93">
        <f>ROUND(ППД5[[#This Row],[Фикс 10.02.25]],2)</f>
        <v>104859</v>
      </c>
      <c r="CP22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2572191.27</v>
      </c>
      <c r="CQ226" s="93">
        <f>ROUNDUP(ППД5[[#This Row],[Стоимость до скидки]]+ППД5[[#This Row],[Сумма доплаты]],-2)</f>
        <v>2595300</v>
      </c>
      <c r="CR226" s="68"/>
      <c r="CS226" s="90"/>
      <c r="CT226" s="68">
        <f>ППД5[[#This Row],[Стоимость до скидки]]*ППД5[[#This Row],[Скидка %]]+ППД5[[#This Row],[Скидка фиксированная]]</f>
        <v>0</v>
      </c>
      <c r="CU226" s="3">
        <f>ППД5[[#This Row],[Стоимость ОН без отделки со скидкой]]/ППД5[[#This Row],[Расчетная проектная площадь]]</f>
        <v>104859</v>
      </c>
      <c r="CV226" s="3">
        <f>ROUND(ППД5[[#This Row],[Стоимость до скидки]]-ППД5[[#This Row],[Итоговая сумма скидки]],2)</f>
        <v>2572191.27</v>
      </c>
      <c r="CW22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26" s="197"/>
      <c r="CY226" s="332">
        <f>ППД5[[#This Row],[Расхождение]]/ППД5[[#This Row],[Расчетная проектная площадь]]</f>
        <v>8.968609865470805E-3</v>
      </c>
      <c r="CZ22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0.24000000000000199</v>
      </c>
      <c r="DA226" s="3">
        <f>ППД5[[#This Row],[Цена м2 без отделки со скидкой]]+ППД5[[#This Row],[Стоимость отделки]]</f>
        <v>104859</v>
      </c>
      <c r="DB226" s="3">
        <f>ППД5[[#This Row],[Стоимость квартиры с отделкой]]-ППД5[[#This Row],[Стоимость ОН без отделки со скидкой]]</f>
        <v>0</v>
      </c>
      <c r="DC226" s="3">
        <f>ППД5[[#This Row],[Цена м2 с отделкой]]*ППД5[[#This Row],[Расчетная проектная площадь]]</f>
        <v>2572191.27</v>
      </c>
      <c r="DD226" s="3"/>
      <c r="DF226" s="199" t="s">
        <v>172</v>
      </c>
      <c r="DG226" s="245" t="s">
        <v>172</v>
      </c>
      <c r="DH226" s="100" t="b">
        <f>EXACT(ППД5[[#This Row],[Статусы CRM]],ППД5[[#This Row],[Статус]])</f>
        <v>1</v>
      </c>
      <c r="DI226" s="213" t="s">
        <v>398</v>
      </c>
      <c r="DJ226" s="204"/>
      <c r="DK226" s="111" t="s">
        <v>76</v>
      </c>
      <c r="DL226" s="216" t="s">
        <v>12</v>
      </c>
      <c r="DM226" s="201" t="b">
        <f>ППД5[[#This Row],[Отделка CRM]]=ППД5[[#This Row],[Отделка]]</f>
        <v>1</v>
      </c>
      <c r="DN226" s="203">
        <v>2572191.27</v>
      </c>
      <c r="DO22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26" s="207" t="b">
        <f>IF(AND(ППД5[[#This Row],[Статус]]="свободно",ППД5[[#This Row],[Итоговая сумма скидки]]&lt;&gt;0),FALSE,TRUE)</f>
        <v>1</v>
      </c>
      <c r="DQ226" s="240">
        <f>_xlfn.XLOOKUP(ППД5[[#This Row],[№]],Юрист[№ кв],Юрист[Дата подачи на регистрацию]," ",0,-1)</f>
        <v>45188</v>
      </c>
      <c r="DR226" s="115" t="str">
        <f>_xlfn.XLOOKUP(ППД5[[#This Row],[№]],Юрист[№ кв],Юрист[МОП],"",0,-1)</f>
        <v>Дик</v>
      </c>
      <c r="DS226" s="333" t="s">
        <v>2744</v>
      </c>
      <c r="DT226" s="333" t="s">
        <v>2745</v>
      </c>
      <c r="DU226" s="333">
        <v>23.3</v>
      </c>
      <c r="DV226" s="111"/>
    </row>
    <row r="227" spans="1:126" hidden="1" x14ac:dyDescent="0.25">
      <c r="A227" s="112">
        <v>225</v>
      </c>
      <c r="B227" s="111" t="s">
        <v>3</v>
      </c>
      <c r="C227" s="111">
        <v>1</v>
      </c>
      <c r="D227" s="115">
        <v>3</v>
      </c>
      <c r="E227" s="111">
        <v>2</v>
      </c>
      <c r="F227" s="105">
        <v>13.69</v>
      </c>
      <c r="G227" s="105">
        <v>10.16</v>
      </c>
      <c r="H227" s="105"/>
      <c r="I227" s="94">
        <f>SUM(ППД5[[#This Row],[Комната 1]:[Комната 3]])</f>
        <v>23.85</v>
      </c>
      <c r="J227" s="105">
        <v>18.71</v>
      </c>
      <c r="K227" s="105">
        <v>3.49</v>
      </c>
      <c r="L227" s="105">
        <v>2.11</v>
      </c>
      <c r="M227" s="105"/>
      <c r="N227" s="105">
        <v>7.09</v>
      </c>
      <c r="O227" s="105">
        <v>2.65</v>
      </c>
      <c r="P227" s="105"/>
      <c r="Q227" s="105"/>
      <c r="R227" s="105">
        <f>SUM(ППД5[[#This Row],[Лоджия 1]:[Лоджия 3]])</f>
        <v>2.65</v>
      </c>
      <c r="S227" s="96">
        <f>ROUND(SUM(ППД5[[#This Row],[Площадь по проекту жилая]:[Лоджия 3]]),2)</f>
        <v>57.9</v>
      </c>
      <c r="T227" s="96">
        <f>ROUND(ППД5[[#This Row],[Площадь по проекту(общая)]]-ППД5[[#This Row],[Летние]],2)</f>
        <v>55.25</v>
      </c>
      <c r="U227" s="91">
        <f>ROUND(ППД5[[#This Row],[Площадь по проекту(общая)]]-(SUM(ППД5[[#This Row],[Лоджия 1]:[Лоджия 3]])/2),2)</f>
        <v>56.58</v>
      </c>
      <c r="V227" s="91">
        <f>IF(ППД5[[#This Row],[Статус]]="продажа",ППД5[[#This Row],[Расчетная проектная площадь]],ППД5[[#This Row],[Расчетная ТП площадь]])</f>
        <v>56.6</v>
      </c>
      <c r="W227" s="92">
        <v>13.5</v>
      </c>
      <c r="X227" s="92">
        <v>10.199999999999999</v>
      </c>
      <c r="Y227" s="91"/>
      <c r="Z227" s="91">
        <f>SUM(ППД5[[#This Row],[ТП Комната 1]:[ТП Комната 3]])</f>
        <v>23.7</v>
      </c>
      <c r="AA227" s="91">
        <v>18.8</v>
      </c>
      <c r="AB227" s="91">
        <v>3.6</v>
      </c>
      <c r="AC227" s="91">
        <v>2.2000000000000002</v>
      </c>
      <c r="AD227" s="91"/>
      <c r="AE227" s="91">
        <v>7</v>
      </c>
      <c r="AF227" s="91">
        <v>1.3</v>
      </c>
      <c r="AG227" s="91"/>
      <c r="AH227" s="91"/>
      <c r="AI227" s="91">
        <f>SUM(ППД5[[#This Row],[ТП Лоджия 1]:[ТП Лоджия 3]])</f>
        <v>1.3</v>
      </c>
      <c r="AJ227" s="95">
        <v>2.6</v>
      </c>
      <c r="AK227" s="91">
        <f>SUM(ППД5[[#This Row],[Площадь по ТП жилая]:[ТП Лоджия 3]])-ППД5[[#This Row],[ТП Летние]]+ППД5[[#This Row],[кроме того прочая
(без коэффициента)]]</f>
        <v>57.900000000000006</v>
      </c>
      <c r="AL227" s="95">
        <f>ППД5[[#This Row],[ТП Площадь без летних]]+(ППД5[[#This Row],[ТП Летние]])</f>
        <v>56.6</v>
      </c>
      <c r="AM227" s="91">
        <f>ППД5[[#This Row],[ТП общая S]]-ППД5[[#This Row],[кроме того прочая
(без коэффициента)]]</f>
        <v>55.300000000000004</v>
      </c>
      <c r="AN227" s="95">
        <f>SUM(ППД5[[#This Row],[ТП Кухня]:[ТП Коридор]])</f>
        <v>31.6</v>
      </c>
      <c r="AO227" s="91">
        <f>ППД5[[#This Row],[Расчетная ТП площадь]]-ППД5[[#This Row],[Расчетная проектная площадь]]</f>
        <v>2.0000000000003126E-2</v>
      </c>
      <c r="AP227" s="335">
        <f>ППД5[[#This Row],[Расчетная ТП площадь]]/ППД5[[#This Row],[Расчетная проектная площадь]]-1</f>
        <v>3.5348179568761573E-4</v>
      </c>
      <c r="AQ227" s="91">
        <f>ППД5[[#This Row],[% расхождения]]*ППД5[[#This Row],[Стоимость до скидки]]</f>
        <v>2727.5008837052119</v>
      </c>
      <c r="AR227" s="91">
        <f>VLOOKUP(ППД5[[#This Row],[№]],наценкад5[],COLUMN(наценкад5[[#This Row],[Цена м2 с учетом всех K]]),0)</f>
        <v>80307.864000000001</v>
      </c>
      <c r="AS227" s="96">
        <f>ППД5[[#This Row],[м2 после К]]*5%</f>
        <v>4015.3932000000004</v>
      </c>
      <c r="AT227" s="96">
        <f>ППД5[[#This Row],[м2 после К]]+ППД5[[#This Row],[Повышение 16.08.23 - 5%]]</f>
        <v>84323.257200000007</v>
      </c>
      <c r="AU227" s="93">
        <f>ППД5[[#This Row],[Фикс 16.08.23]]*3%</f>
        <v>2529.6977160000001</v>
      </c>
      <c r="AV227" s="93">
        <f>ППД5[[#This Row],[Фикс 16.08.23]]+ППД5[[#This Row],[Повышение 29.08.23 - 3%]]</f>
        <v>86852.954916000002</v>
      </c>
      <c r="AW227" s="93"/>
      <c r="AX227" s="93">
        <f>ППД5[[#This Row],[Фикс 29.08.23]]+ППД5[[#This Row],[Повышение 06.09.23 СТ и 1К]]</f>
        <v>86852.954916000002</v>
      </c>
      <c r="AY227" s="93"/>
      <c r="AZ227" s="93">
        <f>ППД5[[#This Row],[Повышение 23.10.23  В4 ]]+ППД5[[#This Row],[Фикс 06.09.23]]</f>
        <v>86852.954916000002</v>
      </c>
      <c r="BA227" s="93"/>
      <c r="BB227" s="93">
        <f>ППД5[[#This Row],[Повышение 8.11.23 1К 5%]]+ППД5[[#This Row],[Фикс 23.10.23]]</f>
        <v>86852.954916000002</v>
      </c>
      <c r="BC227" s="93"/>
      <c r="BD227" s="93">
        <f>ППД5[[#This Row],[Корректировка 24.11.23 - 1К В5, 2К А2, №233]]+ППД5[[#This Row],[Фикс 8.11.23]]</f>
        <v>86852.954916000002</v>
      </c>
      <c r="BE227" s="93">
        <f>ППД5[[#This Row],[Фикс 8.11.24]]*1%</f>
        <v>868.52954915999999</v>
      </c>
      <c r="BF227" s="93">
        <f>ППД5[[#This Row],[Наценка за отделку 29.12.23 1%]]+ППД5[[#This Row],[Фикс 8.11.24]]</f>
        <v>87721.48446516</v>
      </c>
      <c r="BG227" s="93">
        <f>ППД5[[#This Row],[Фикс 29.12.23]]*5%</f>
        <v>4386.0742232580005</v>
      </c>
      <c r="BH227" s="93">
        <f>ППД5[[#This Row],[Фикс 29.12.23]]+ППД5[[#This Row],[Наценка 10.01.24 5%]]</f>
        <v>92107.558688417994</v>
      </c>
      <c r="BI227" s="93">
        <f>100000-ППД5[[#This Row],[Фикс 10.01.24]]</f>
        <v>7892.4413115820062</v>
      </c>
      <c r="BJ227" s="93">
        <f>ППД5[[#This Row],[Наценка 26.02.24 1 Этаж]]+ППД5[[#This Row],[Фикс 10.01.24]]</f>
        <v>100000</v>
      </c>
      <c r="BK227" s="93">
        <f>ППД5[[#This Row],[Фикс 26.02.24]]*2%</f>
        <v>2000</v>
      </c>
      <c r="BL227" s="93">
        <f>ППД5[[#This Row],[Фикс 26.02.24]]+ППД5[[#This Row],[Наценка 06.03.24
СТ, 1К - 3%
2К, 3К - 2%]]</f>
        <v>102000</v>
      </c>
      <c r="BM227" s="93"/>
      <c r="BN227" s="93">
        <f>ППД5[[#This Row],[Фикс 06.03.24]]+ППД5[[#This Row],[Наценка Г2+500]]</f>
        <v>102000</v>
      </c>
      <c r="BO227" s="93">
        <f>ППД5[[#This Row],[Фикс 13.03.25]]*2%</f>
        <v>2040</v>
      </c>
      <c r="BP227" s="93">
        <f>ППД5[[#This Row],[Фикс 13.03.25]]+ППД5[[#This Row],[Наценка 20.03.24
2К, 3К - 2%]]</f>
        <v>104040</v>
      </c>
      <c r="BQ227" s="93">
        <v>150</v>
      </c>
      <c r="BR227" s="93">
        <f>ППД5[[#This Row],[Фикс 20.03.24]]+ППД5[[#This Row],[Наценка 08.04.24 
2К: В3 - 150
3К: Г7 +1000]]</f>
        <v>104190</v>
      </c>
      <c r="BS227" s="93">
        <f>ППД5[[#This Row],[Фикс 08.04.24]]*1%</f>
        <v>1041.9000000000001</v>
      </c>
      <c r="BT227" s="93">
        <f>ППД5[[#This Row],[Фикс 08.04.24]]+ППД5[[#This Row],[Наценка 16.05.24 1%
А4,А6,Б3,Б6,Б7,В2,В3,В5,В6,Г1,Г3-Г5]]</f>
        <v>105231.9</v>
      </c>
      <c r="BU227" s="93"/>
      <c r="BV227" s="93">
        <f>ППД5[[#This Row],[Фикс 16.05.24]]+ППД5[[#This Row],[Наценка 24.05.24
1% - Б4, Б5,Г2,Г6
2% - А1,А3,А5,Б2,Г7]]</f>
        <v>105231.9</v>
      </c>
      <c r="BW227" s="93"/>
      <c r="BX227" s="93">
        <f>ППД5[[#This Row],[Наценка 06.06.24
0К: В2,Г3 +0,5%
1К: А7, Б5/4, Г6 +0,5%
3К: В6 +0,5%
1К: А3 +1%]]+ППД5[[#This Row],[Фикс 24.05.24]]</f>
        <v>105231.9</v>
      </c>
      <c r="BY227" s="93"/>
      <c r="BZ227" s="93">
        <f>ППД5[[#This Row],[Фикс 06.06.24]]+ППД5[[#This Row],[13.06.2024
3К - 2%]]</f>
        <v>105231.9</v>
      </c>
      <c r="CA227" s="93">
        <f>2.5%*ППД5[[#This Row],[Фикс 13.06.24]]</f>
        <v>2630.7975000000001</v>
      </c>
      <c r="CB227" s="93">
        <f>ППД5[[#This Row],[02.07.2024: Г3 А1 А3 Б5 Б7 Г2 Г6 Б3 Б4 В3 Г7 2,5% ост 0,5-1,5%]]+ППД5[[#This Row],[Фикс 13.06.24]]</f>
        <v>107862.69749999999</v>
      </c>
      <c r="CC227" s="93">
        <v>500</v>
      </c>
      <c r="CD227" s="93">
        <f>ППД5[[#This Row],[Фикс 02.07.24]]+ППД5[[#This Row],[04.09.2024 +500
0К - Б2; 1К - А3;
2К - А6, Б4, В3, Г5]]</f>
        <v>108362.69749999999</v>
      </c>
      <c r="CE227" s="93">
        <f>ППД5[[#This Row],[Фикс 04.09.24]]*4%</f>
        <v>4334.5078999999996</v>
      </c>
      <c r="CF227" s="93">
        <f>ППД5[[#This Row],[Наценка 16.09.2024
1К: А1,В7,Г6/7,Г8 - 2%
2К: А4,А5,А6,Б1,Б6,Б3/4,В3,В4,Г4,Г5 - 4%
3К: 4%]]+ППД5[[#This Row],[Фикс 04.09.24]]</f>
        <v>112697.20539999999</v>
      </c>
      <c r="CG227" s="93">
        <f>ППД5[[#This Row],[Фикс 16.09.2024]]*6%</f>
        <v>6761.8323239999991</v>
      </c>
      <c r="CH227" s="93">
        <f>ППД5[[#This Row],[Фикс 16.09.2024]]+ППД5[[#This Row],[Наценка 01.11.24
СТ: 4%
1К: 34-40м 5%; 40м+ 8%; МГН 1%
2К: 55-70м 6%; 70-73м 7%; 73-76м 8% 
3К: 5%]]</f>
        <v>119459.03772399999</v>
      </c>
      <c r="CI227" s="93">
        <f>ППД5[[#This Row],[Фикс 01.11.24]]*13%</f>
        <v>15529.67490412</v>
      </c>
      <c r="CJ227" s="93">
        <f>ППД5[[#This Row],[Наценка 06.11 13%]]+ППД5[[#This Row],[Фикс 01.11.24]]</f>
        <v>134988.71262812</v>
      </c>
      <c r="CK227" s="93">
        <v>35</v>
      </c>
      <c r="CL227" s="93">
        <f>ППД5[[#This Row],[Фикс 06.11.24]]+ППД5[[#This Row],[Наценка 18.12.24 распределение КВ]]</f>
        <v>135023.71262812</v>
      </c>
      <c r="CM227" s="93">
        <f>ППД5[[#This Row],[Фикс 18.12.24]]*1%</f>
        <v>1350.2371262812001</v>
      </c>
      <c r="CN227" s="93">
        <f>ППД5[[#This Row],[Фикс 18.12.24]]+ППД5[[#This Row],[Наценка 10.02.25 +1%
1К: А3
2К: Б3, В3]]</f>
        <v>136373.9497544012</v>
      </c>
      <c r="CO227" s="93">
        <f>ROUND(ППД5[[#This Row],[Фикс 10.02.25]],2)</f>
        <v>136373.95000000001</v>
      </c>
      <c r="CP22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7716100</v>
      </c>
      <c r="CQ227" s="93">
        <f>ROUNDUP(ППД5[[#This Row],[Стоимость до скидки]]+ППД5[[#This Row],[Сумма доплаты]],-2)</f>
        <v>7718900</v>
      </c>
      <c r="CR227" s="68"/>
      <c r="CS227" s="90"/>
      <c r="CT227" s="68">
        <f>ППД5[[#This Row],[Стоимость до скидки]]*ППД5[[#This Row],[Скидка %]]+ППД5[[#This Row],[Скидка фиксированная]]</f>
        <v>0</v>
      </c>
      <c r="CU227" s="3">
        <f>ППД5[[#This Row],[Стоимость ОН без отделки со скидкой]]/ППД5[[#This Row],[Расчетная проектная площадь]]</f>
        <v>136375.04418522445</v>
      </c>
      <c r="CV227" s="3">
        <f>ROUND(ППД5[[#This Row],[Стоимость до скидки]]-ППД5[[#This Row],[Итоговая сумма скидки]],2)</f>
        <v>7716100</v>
      </c>
      <c r="CW22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27" s="197"/>
      <c r="CY227" s="332">
        <f>ППД5[[#This Row],[Расхождение]]/ППД5[[#This Row],[Расчетная проектная площадь]]</f>
        <v>3.5348179568757735E-4</v>
      </c>
      <c r="CZ22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0.20000000000000284</v>
      </c>
      <c r="DA227" s="3">
        <f>ППД5[[#This Row],[Цена м2 без отделки со скидкой]]+ППД5[[#This Row],[Стоимость отделки]]</f>
        <v>136375.04418522445</v>
      </c>
      <c r="DB227" s="3">
        <f>ППД5[[#This Row],[Стоимость квартиры с отделкой]]-ППД5[[#This Row],[Стоимость ОН без отделки со скидкой]]</f>
        <v>0</v>
      </c>
      <c r="DC227" s="3">
        <f>ППД5[[#This Row],[Цена м2 с отделкой]]*ППД5[[#This Row],[Расчетная проектная площадь]]</f>
        <v>7716099.9999999991</v>
      </c>
      <c r="DD227" s="3" t="s">
        <v>154</v>
      </c>
      <c r="DF227" s="155" t="s">
        <v>157</v>
      </c>
      <c r="DG227" s="221" t="s">
        <v>157</v>
      </c>
      <c r="DH227" s="100" t="b">
        <f>EXACT(ППД5[[#This Row],[Статусы CRM]],ППД5[[#This Row],[Статус]])</f>
        <v>1</v>
      </c>
      <c r="DI227" s="213" t="s">
        <v>399</v>
      </c>
      <c r="DJ227" s="204"/>
      <c r="DK227" s="111" t="s">
        <v>763</v>
      </c>
      <c r="DL227" s="216" t="s">
        <v>12</v>
      </c>
      <c r="DM227" s="201" t="b">
        <f>ППД5[[#This Row],[Отделка CRM]]=ППД5[[#This Row],[Отделка]]</f>
        <v>1</v>
      </c>
      <c r="DN227" s="203">
        <v>7716100</v>
      </c>
      <c r="DO22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9.3132257461547852E-10</v>
      </c>
      <c r="DP227" s="207" t="b">
        <f>IF(AND(ППД5[[#This Row],[Статус]]="свободно",ППД5[[#This Row],[Итоговая сумма скидки]]&lt;&gt;0),FALSE,TRUE)</f>
        <v>1</v>
      </c>
      <c r="DQ227" s="240" t="str">
        <f>_xlfn.XLOOKUP(ППД5[[#This Row],[№]],Юрист[№ кв],Юрист[Дата подачи на регистрацию]," ",0,-1)</f>
        <v xml:space="preserve"> </v>
      </c>
      <c r="DR227" s="115" t="str">
        <f>_xlfn.XLOOKUP(ППД5[[#This Row],[№]],Юрист[№ кв],Юрист[МОП],"",0,-1)</f>
        <v/>
      </c>
      <c r="DS227" s="333" t="s">
        <v>2746</v>
      </c>
      <c r="DT227" s="333" t="s">
        <v>2747</v>
      </c>
      <c r="DU227" s="333">
        <v>55.3</v>
      </c>
      <c r="DV227" s="111"/>
    </row>
    <row r="228" spans="1:126" hidden="1" x14ac:dyDescent="0.25">
      <c r="A228" s="112">
        <v>226</v>
      </c>
      <c r="B228" s="111" t="s">
        <v>3</v>
      </c>
      <c r="C228" s="111">
        <v>1</v>
      </c>
      <c r="D228" s="111">
        <v>4</v>
      </c>
      <c r="E228" s="111">
        <v>2</v>
      </c>
      <c r="F228" s="105">
        <v>12.54</v>
      </c>
      <c r="G228" s="105">
        <v>9.9</v>
      </c>
      <c r="H228" s="105"/>
      <c r="I228" s="94">
        <f>SUM(ППД5[[#This Row],[Комната 1]:[Комната 3]])</f>
        <v>22.439999999999998</v>
      </c>
      <c r="J228" s="105">
        <v>12.74</v>
      </c>
      <c r="K228" s="105">
        <v>4.05</v>
      </c>
      <c r="L228" s="105"/>
      <c r="M228" s="105"/>
      <c r="N228" s="105">
        <v>7.09</v>
      </c>
      <c r="O228" s="105">
        <v>2.84</v>
      </c>
      <c r="P228" s="105"/>
      <c r="Q228" s="105"/>
      <c r="R228" s="105">
        <f>SUM(ППД5[[#This Row],[Лоджия 1]:[Лоджия 3]])</f>
        <v>2.84</v>
      </c>
      <c r="S228" s="8">
        <f>ROUND(SUM(ППД5[[#This Row],[Площадь по проекту жилая]:[Лоджия 3]]),2)</f>
        <v>49.16</v>
      </c>
      <c r="T228" s="8">
        <f>ROUND(ППД5[[#This Row],[Площадь по проекту(общая)]]-ППД5[[#This Row],[Летние]],2)</f>
        <v>46.32</v>
      </c>
      <c r="U228" s="91">
        <f>ROUND(ППД5[[#This Row],[Площадь по проекту(общая)]]-(SUM(ППД5[[#This Row],[Лоджия 1]:[Лоджия 3]])/2),2)</f>
        <v>47.74</v>
      </c>
      <c r="V228" s="91">
        <f>IF(ППД5[[#This Row],[Статус]]="продажа",ППД5[[#This Row],[Расчетная проектная площадь]],ППД5[[#This Row],[Расчетная ТП площадь]])</f>
        <v>47.74</v>
      </c>
      <c r="W228" s="92">
        <v>12.4</v>
      </c>
      <c r="X228" s="92">
        <v>10.1</v>
      </c>
      <c r="Y228" s="91"/>
      <c r="Z228" s="91">
        <f>SUM(ППД5[[#This Row],[ТП Комната 1]:[ТП Комната 3]])</f>
        <v>22.5</v>
      </c>
      <c r="AA228" s="91">
        <v>12.6</v>
      </c>
      <c r="AB228" s="91">
        <v>4.0999999999999996</v>
      </c>
      <c r="AC228" s="91"/>
      <c r="AD228" s="91"/>
      <c r="AE228" s="91">
        <v>7.2</v>
      </c>
      <c r="AF228" s="91">
        <v>1.4</v>
      </c>
      <c r="AG228" s="91"/>
      <c r="AH228" s="91"/>
      <c r="AI228" s="91">
        <f>SUM(ППД5[[#This Row],[ТП Лоджия 1]:[ТП Лоджия 3]])</f>
        <v>1.4</v>
      </c>
      <c r="AJ228" s="95">
        <v>2.8</v>
      </c>
      <c r="AK228" s="91">
        <f>SUM(ППД5[[#This Row],[Площадь по ТП жилая]:[ТП Лоджия 3]])-ППД5[[#This Row],[ТП Летние]]+ППД5[[#This Row],[кроме того прочая
(без коэффициента)]]</f>
        <v>49.2</v>
      </c>
      <c r="AL228" s="95">
        <f>ППД5[[#This Row],[ТП Площадь без летних]]+(ППД5[[#This Row],[ТП Летние]])</f>
        <v>47.800000000000004</v>
      </c>
      <c r="AM228" s="91">
        <f>ППД5[[#This Row],[ТП общая S]]-ППД5[[#This Row],[кроме того прочая
(без коэффициента)]]</f>
        <v>46.400000000000006</v>
      </c>
      <c r="AN228" s="95">
        <f>SUM(ППД5[[#This Row],[ТП Кухня]:[ТП Коридор]])</f>
        <v>23.9</v>
      </c>
      <c r="AO228" s="91">
        <f>ППД5[[#This Row],[Расчетная ТП площадь]]-ППД5[[#This Row],[Расчетная проектная площадь]]</f>
        <v>6.0000000000002274E-2</v>
      </c>
      <c r="AP228" s="335">
        <f>ППД5[[#This Row],[Расчетная ТП площадь]]/ППД5[[#This Row],[Расчетная проектная площадь]]-1</f>
        <v>1.2568077084207374E-3</v>
      </c>
      <c r="AQ228" s="91">
        <f>ППД5[[#This Row],[% расхождения]]*ППД5[[#This Row],[Стоимость до скидки]]</f>
        <v>6866.6945957275411</v>
      </c>
      <c r="AR228" s="91">
        <f>VLOOKUP(ППД5[[#This Row],[№]],наценкад5[],COLUMN(наценкад5[[#This Row],[Цена м2 с учетом всех K]]),0)</f>
        <v>86485.392000000007</v>
      </c>
      <c r="AS228" s="8">
        <f>ППД5[[#This Row],[м2 после К]]*5%</f>
        <v>4324.2696000000005</v>
      </c>
      <c r="AT228" s="8">
        <f>ППД5[[#This Row],[м2 после К]]+ППД5[[#This Row],[Повышение 16.08.23 - 5%]]</f>
        <v>90809.661600000007</v>
      </c>
      <c r="AU228" s="93">
        <f>ППД5[[#This Row],[Фикс 16.08.23]]*3%</f>
        <v>2724.2898479999999</v>
      </c>
      <c r="AV228" s="93">
        <f>ППД5[[#This Row],[Фикс 16.08.23]]+ППД5[[#This Row],[Повышение 29.08.23 - 3%]]</f>
        <v>93533.951448000007</v>
      </c>
      <c r="AW228" s="93"/>
      <c r="AX228" s="93">
        <f>ППД5[[#This Row],[Фикс 29.08.23]]+ППД5[[#This Row],[Повышение 06.09.23 СТ и 1К]]</f>
        <v>93533.951448000007</v>
      </c>
      <c r="AY228" s="93"/>
      <c r="AZ228" s="93">
        <f>ППД5[[#This Row],[Повышение 23.10.23  В4 ]]+ППД5[[#This Row],[Фикс 06.09.23]]</f>
        <v>93533.951448000007</v>
      </c>
      <c r="BA228" s="93"/>
      <c r="BB228" s="93">
        <f>ППД5[[#This Row],[Повышение 8.11.23 1К 5%]]+ППД5[[#This Row],[Фикс 23.10.23]]</f>
        <v>93533.951448000007</v>
      </c>
      <c r="BC228" s="93"/>
      <c r="BD228" s="93">
        <f>ППД5[[#This Row],[Корректировка 24.11.23 - 1К В5, 2К А2, №233]]+ППД5[[#This Row],[Фикс 8.11.23]]</f>
        <v>93533.951448000007</v>
      </c>
      <c r="BE228" s="93">
        <f>ППД5[[#This Row],[Фикс 8.11.24]]*1%</f>
        <v>935.33951448000005</v>
      </c>
      <c r="BF228" s="93">
        <f>ППД5[[#This Row],[Наценка за отделку 29.12.23 1%]]+ППД5[[#This Row],[Фикс 8.11.24]]</f>
        <v>94469.290962480009</v>
      </c>
      <c r="BG228" s="93">
        <f>ППД5[[#This Row],[Фикс 29.12.23]]*5%</f>
        <v>4723.4645481240004</v>
      </c>
      <c r="BH228" s="93">
        <f>ППД5[[#This Row],[Фикс 29.12.23]]+ППД5[[#This Row],[Наценка 10.01.24 5%]]</f>
        <v>99192.755510604009</v>
      </c>
      <c r="BI228" s="93">
        <f>110000-ППД5[[#This Row],[Фикс 10.01.24]]</f>
        <v>10807.244489395991</v>
      </c>
      <c r="BJ228" s="93">
        <f>ППД5[[#This Row],[Наценка 26.02.24 1 Этаж]]+ППД5[[#This Row],[Фикс 10.01.24]]</f>
        <v>110000</v>
      </c>
      <c r="BK228" s="93">
        <f>ППД5[[#This Row],[Фикс 26.02.24]]*2%</f>
        <v>2200</v>
      </c>
      <c r="BL228" s="93">
        <f>ППД5[[#This Row],[Фикс 26.02.24]]+ППД5[[#This Row],[Наценка 06.03.24
СТ, 1К - 3%
2К, 3К - 2%]]</f>
        <v>112200</v>
      </c>
      <c r="BM228" s="93"/>
      <c r="BN228" s="93">
        <f>ППД5[[#This Row],[Фикс 06.03.24]]+ППД5[[#This Row],[Наценка Г2+500]]</f>
        <v>112200</v>
      </c>
      <c r="BO228" s="93">
        <f>ППД5[[#This Row],[Фикс 13.03.25]]*2%</f>
        <v>2244</v>
      </c>
      <c r="BP228" s="93">
        <f>ППД5[[#This Row],[Фикс 13.03.25]]+ППД5[[#This Row],[Наценка 20.03.24
2К, 3К - 2%]]</f>
        <v>114444</v>
      </c>
      <c r="BQ228" s="93"/>
      <c r="BR228" s="93">
        <f>ППД5[[#This Row],[Фикс 20.03.24]]+ППД5[[#This Row],[Наценка 08.04.24 
2К: В3 - 150
3К: Г7 +1000]]</f>
        <v>114444</v>
      </c>
      <c r="BS228" s="93"/>
      <c r="BT228" s="93">
        <f>ППД5[[#This Row],[Фикс 08.04.24]]+ППД5[[#This Row],[Наценка 16.05.24 1%
А4,А6,Б3,Б6,Б7,В2,В3,В5,В6,Г1,Г3-Г5]]</f>
        <v>114444</v>
      </c>
      <c r="BU228" s="93"/>
      <c r="BV228" s="93">
        <f>ППД5[[#This Row],[Фикс 16.05.24]]+ППД5[[#This Row],[Наценка 24.05.24
1% - Б4, Б5,Г2,Г6
2% - А1,А3,А5,Б2,Г7]]</f>
        <v>114444</v>
      </c>
      <c r="BW228" s="93"/>
      <c r="BX228" s="93">
        <f>ППД5[[#This Row],[Наценка 06.06.24
0К: В2,Г3 +0,5%
1К: А7, Б5/4, Г6 +0,5%
3К: В6 +0,5%
1К: А3 +1%]]+ППД5[[#This Row],[Фикс 24.05.24]]</f>
        <v>114444</v>
      </c>
      <c r="BY228" s="93"/>
      <c r="BZ228" s="93">
        <f>ППД5[[#This Row],[Фикс 06.06.24]]+ППД5[[#This Row],[13.06.2024
3К - 2%]]</f>
        <v>114444</v>
      </c>
      <c r="CA228" s="93"/>
      <c r="CB228" s="93">
        <f>ППД5[[#This Row],[02.07.2024: Г3 А1 А3 Б5 Б7 Г2 Г6 Б3 Б4 В3 Г7 2,5% ост 0,5-1,5%]]+ППД5[[#This Row],[Фикс 13.06.24]]</f>
        <v>114444</v>
      </c>
      <c r="CC228" s="93"/>
      <c r="CD228" s="93">
        <f>ППД5[[#This Row],[Фикс 02.07.24]]+ППД5[[#This Row],[04.09.2024 +500
0К - Б2; 1К - А3;
2К - А6, Б4, В3, Г5]]</f>
        <v>114444</v>
      </c>
      <c r="CE228" s="93"/>
      <c r="CF228" s="93">
        <f>ППД5[[#This Row],[Наценка 16.09.2024
1К: А1,В7,Г6/7,Г8 - 2%
2К: А4,А5,А6,Б1,Б6,Б3/4,В3,В4,Г4,Г5 - 4%
3К: 4%]]+ППД5[[#This Row],[Фикс 04.09.24]]</f>
        <v>114444</v>
      </c>
      <c r="CG228" s="93"/>
      <c r="CH228" s="93">
        <f>ППД5[[#This Row],[Фикс 16.09.2024]]+ППД5[[#This Row],[Наценка 01.11.24
СТ: 4%
1К: 34-40м 5%; 40м+ 8%; МГН 1%
2К: 55-70м 6%; 70-73м 7%; 73-76м 8% 
3К: 5%]]</f>
        <v>114444</v>
      </c>
      <c r="CI228" s="93"/>
      <c r="CJ228" s="93">
        <f>ППД5[[#This Row],[Наценка 06.11 13%]]+ППД5[[#This Row],[Фикс 01.11.24]]</f>
        <v>114444</v>
      </c>
      <c r="CK228" s="93"/>
      <c r="CL228" s="93">
        <f>ППД5[[#This Row],[Фикс 06.11.24]]+ППД5[[#This Row],[Наценка 18.12.24 распределение КВ]]</f>
        <v>114444</v>
      </c>
      <c r="CM228" s="93"/>
      <c r="CN228" s="93">
        <f>ППД5[[#This Row],[Фикс 18.12.24]]+ППД5[[#This Row],[Наценка 10.02.25 +1%
1К: А3
2К: Б3, В3]]</f>
        <v>114444</v>
      </c>
      <c r="CO228" s="93">
        <f>ROUND(ППД5[[#This Row],[Фикс 10.02.25]],2)</f>
        <v>114444</v>
      </c>
      <c r="CP22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5463600</v>
      </c>
      <c r="CQ228" s="93">
        <f>ROUNDUP(ППД5[[#This Row],[Стоимость до скидки]]+ППД5[[#This Row],[Сумма доплаты]],-2)</f>
        <v>5470500</v>
      </c>
      <c r="CR228" s="68"/>
      <c r="CS228" s="90">
        <v>0.03</v>
      </c>
      <c r="CT228" s="68">
        <f>ППД5[[#This Row],[Стоимость до скидки]]*ППД5[[#This Row],[Скидка %]]+ППД5[[#This Row],[Скидка фиксированная]]</f>
        <v>163908</v>
      </c>
      <c r="CU228" s="3">
        <f>ППД5[[#This Row],[Стоимость ОН без отделки со скидкой]]/ППД5[[#This Row],[Расчетная проектная площадь]]</f>
        <v>111011.56263091747</v>
      </c>
      <c r="CV228" s="3">
        <f>ROUND(ППД5[[#This Row],[Стоимость до скидки]]-ППД5[[#This Row],[Итоговая сумма скидки]],2)</f>
        <v>5299692</v>
      </c>
      <c r="CW22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28" s="197"/>
      <c r="CY228" s="332">
        <f>ППД5[[#This Row],[Расхождение]]/ППД5[[#This Row],[Расчетная проектная площадь]]</f>
        <v>1.2568077084206591E-3</v>
      </c>
      <c r="CZ22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1.9999999999997797E-2</v>
      </c>
      <c r="DA228" s="3">
        <f>ППД5[[#This Row],[Цена м2 без отделки со скидкой]]+ППД5[[#This Row],[Стоимость отделки]]</f>
        <v>111011.56263091747</v>
      </c>
      <c r="DB228" s="3">
        <f>ППД5[[#This Row],[Стоимость квартиры с отделкой]]-ППД5[[#This Row],[Стоимость ОН без отделки со скидкой]]</f>
        <v>0</v>
      </c>
      <c r="DC228" s="3">
        <f>ППД5[[#This Row],[Цена м2 с отделкой]]*ППД5[[#This Row],[Расчетная проектная площадь]]</f>
        <v>5299692</v>
      </c>
      <c r="DD228" s="3"/>
      <c r="DE228" s="111" t="s">
        <v>162</v>
      </c>
      <c r="DF228" s="199" t="s">
        <v>172</v>
      </c>
      <c r="DG228" s="245" t="s">
        <v>172</v>
      </c>
      <c r="DH228" s="100" t="b">
        <f>EXACT(ППД5[[#This Row],[Статусы CRM]],ППД5[[#This Row],[Статус]])</f>
        <v>1</v>
      </c>
      <c r="DI228" s="213" t="s">
        <v>400</v>
      </c>
      <c r="DJ228" s="204"/>
      <c r="DK228" s="111" t="s">
        <v>763</v>
      </c>
      <c r="DL228" s="216" t="s">
        <v>12</v>
      </c>
      <c r="DM228" s="201" t="b">
        <f>ППД5[[#This Row],[Отделка CRM]]=ППД5[[#This Row],[Отделка]]</f>
        <v>1</v>
      </c>
      <c r="DN228" s="203">
        <v>5299692</v>
      </c>
      <c r="DO22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28" s="207" t="b">
        <f>IF(AND(ППД5[[#This Row],[Статус]]="свободно",ППД5[[#This Row],[Итоговая сумма скидки]]&lt;&gt;0),FALSE,TRUE)</f>
        <v>1</v>
      </c>
      <c r="DQ228" s="240">
        <f>_xlfn.XLOOKUP(ППД5[[#This Row],[№]],Юрист[№ кв],Юрист[Дата подачи на регистрацию]," ",0,-1)</f>
        <v>45404</v>
      </c>
      <c r="DR228" s="115" t="str">
        <f>_xlfn.XLOOKUP(ППД5[[#This Row],[№]],Юрист[№ кв],Юрист[МОП],"",0,-1)</f>
        <v>Голенко</v>
      </c>
      <c r="DS228" s="333" t="s">
        <v>2748</v>
      </c>
      <c r="DT228" s="333" t="s">
        <v>2749</v>
      </c>
      <c r="DU228" s="333">
        <v>46.4</v>
      </c>
      <c r="DV228" s="111"/>
    </row>
    <row r="229" spans="1:126" hidden="1" x14ac:dyDescent="0.25">
      <c r="A229" s="112">
        <v>227</v>
      </c>
      <c r="B229" s="111" t="s">
        <v>3</v>
      </c>
      <c r="C229" s="111">
        <v>1</v>
      </c>
      <c r="D229" s="111">
        <v>5</v>
      </c>
      <c r="E229" s="111">
        <v>3</v>
      </c>
      <c r="F229" s="105">
        <v>17.2</v>
      </c>
      <c r="G229" s="105">
        <v>14.64</v>
      </c>
      <c r="H229" s="105">
        <v>14.34</v>
      </c>
      <c r="I229" s="94">
        <f>SUM(ППД5[[#This Row],[Комната 1]:[Комната 3]])</f>
        <v>46.18</v>
      </c>
      <c r="J229" s="105">
        <v>13.15</v>
      </c>
      <c r="K229" s="105">
        <v>4.03</v>
      </c>
      <c r="L229" s="105">
        <v>1.76</v>
      </c>
      <c r="M229" s="105"/>
      <c r="N229" s="105">
        <v>13.11</v>
      </c>
      <c r="O229" s="105">
        <v>2.79</v>
      </c>
      <c r="P229" s="105">
        <v>2.68</v>
      </c>
      <c r="Q229" s="105"/>
      <c r="R229" s="105">
        <f>SUM(ППД5[[#This Row],[Лоджия 1]:[Лоджия 3]])</f>
        <v>5.4700000000000006</v>
      </c>
      <c r="S229" s="8">
        <f>ROUND(SUM(ППД5[[#This Row],[Площадь по проекту жилая]:[Лоджия 3]]),2)</f>
        <v>83.7</v>
      </c>
      <c r="T229" s="8">
        <f>ROUND(ППД5[[#This Row],[Площадь по проекту(общая)]]-ППД5[[#This Row],[Летние]],2)</f>
        <v>78.23</v>
      </c>
      <c r="U229" s="91">
        <f>ROUND(ППД5[[#This Row],[Площадь по проекту(общая)]]-(SUM(ППД5[[#This Row],[Лоджия 1]:[Лоджия 3]])/2),2)</f>
        <v>80.97</v>
      </c>
      <c r="V229" s="91">
        <f>IF(ППД5[[#This Row],[Статус]]="продажа",ППД5[[#This Row],[Расчетная проектная площадь]],ППД5[[#This Row],[Расчетная ТП площадь]])</f>
        <v>80.97</v>
      </c>
      <c r="W229" s="91">
        <v>14.1</v>
      </c>
      <c r="X229" s="91">
        <v>14.2</v>
      </c>
      <c r="Y229" s="91">
        <v>17.2</v>
      </c>
      <c r="Z229" s="91">
        <f>SUM(ППД5[[#This Row],[ТП Комната 1]:[ТП Комната 3]])</f>
        <v>45.5</v>
      </c>
      <c r="AA229" s="91">
        <v>13.1</v>
      </c>
      <c r="AB229" s="91">
        <v>4.2</v>
      </c>
      <c r="AC229" s="91">
        <v>1.8</v>
      </c>
      <c r="AD229" s="91"/>
      <c r="AE229" s="91">
        <v>13.1</v>
      </c>
      <c r="AF229" s="91">
        <v>1.35</v>
      </c>
      <c r="AG229" s="91">
        <v>1.35</v>
      </c>
      <c r="AH229" s="91"/>
      <c r="AI229" s="91">
        <f>SUM(ППД5[[#This Row],[ТП Лоджия 1]:[ТП Лоджия 3]])</f>
        <v>2.7</v>
      </c>
      <c r="AJ229" s="95">
        <v>5.4</v>
      </c>
      <c r="AK229" s="91">
        <f>SUM(ППД5[[#This Row],[Площадь по ТП жилая]:[ТП Лоджия 3]])-ППД5[[#This Row],[ТП Летние]]+ППД5[[#This Row],[кроме того прочая
(без коэффициента)]]</f>
        <v>83.1</v>
      </c>
      <c r="AL229" s="95">
        <f>ППД5[[#This Row],[ТП Площадь без летних]]+(ППД5[[#This Row],[ТП Летние]])</f>
        <v>80.399999999999991</v>
      </c>
      <c r="AM229" s="91">
        <f>ППД5[[#This Row],[ТП общая S]]-ППД5[[#This Row],[кроме того прочая
(без коэффициента)]]</f>
        <v>77.699999999999989</v>
      </c>
      <c r="AN229" s="95">
        <f>SUM(ППД5[[#This Row],[ТП Кухня]:[ТП Коридор]])</f>
        <v>32.200000000000003</v>
      </c>
      <c r="AO229" s="91">
        <f>ППД5[[#This Row],[Расчетная ТП площадь]]-ППД5[[#This Row],[Расчетная проектная площадь]]</f>
        <v>-0.57000000000000739</v>
      </c>
      <c r="AP229" s="335">
        <f>ППД5[[#This Row],[Расчетная ТП площадь]]/ППД5[[#This Row],[Расчетная проектная площадь]]-1</f>
        <v>-7.0396443127085373E-3</v>
      </c>
      <c r="AQ229" s="91">
        <f>ППД5[[#This Row],[% расхождения]]*ППД5[[#This Row],[Стоимость до скидки]]</f>
        <v>-53373.175250093591</v>
      </c>
      <c r="AR229" s="91">
        <f>VLOOKUP(ППД5[[#This Row],[№]],наценкад5[],COLUMN(наценкад5[[#This Row],[Цена м2 с учетом всех K]]),0)</f>
        <v>74234.160000000018</v>
      </c>
      <c r="AS229" s="8">
        <f>ППД5[[#This Row],[м2 после К]]*5%</f>
        <v>3711.708000000001</v>
      </c>
      <c r="AT229" s="8">
        <f>ППД5[[#This Row],[м2 после К]]+ППД5[[#This Row],[Повышение 16.08.23 - 5%]]</f>
        <v>77945.868000000017</v>
      </c>
      <c r="AU229" s="93">
        <f>ППД5[[#This Row],[Фикс 16.08.23]]*3%</f>
        <v>2338.3760400000006</v>
      </c>
      <c r="AV229" s="93">
        <f>ППД5[[#This Row],[Фикс 16.08.23]]+ППД5[[#This Row],[Повышение 29.08.23 - 3%]]</f>
        <v>80284.24404000002</v>
      </c>
      <c r="AW229" s="93"/>
      <c r="AX229" s="93">
        <f>ППД5[[#This Row],[Фикс 29.08.23]]+ППД5[[#This Row],[Повышение 06.09.23 СТ и 1К]]</f>
        <v>80284.24404000002</v>
      </c>
      <c r="AY229" s="93"/>
      <c r="AZ229" s="93">
        <f>ППД5[[#This Row],[Повышение 23.10.23  В4 ]]+ППД5[[#This Row],[Фикс 06.09.23]]</f>
        <v>80284.24404000002</v>
      </c>
      <c r="BA229" s="93"/>
      <c r="BB229" s="93">
        <f>ППД5[[#This Row],[Повышение 8.11.23 1К 5%]]+ППД5[[#This Row],[Фикс 23.10.23]]</f>
        <v>80284.24404000002</v>
      </c>
      <c r="BC229" s="93"/>
      <c r="BD229" s="93">
        <f>ППД5[[#This Row],[Корректировка 24.11.23 - 1К В5, 2К А2, №233]]+ППД5[[#This Row],[Фикс 8.11.23]]</f>
        <v>80284.24404000002</v>
      </c>
      <c r="BE229" s="93">
        <f>ППД5[[#This Row],[Фикс 8.11.24]]*1%</f>
        <v>802.84244040000021</v>
      </c>
      <c r="BF229" s="93">
        <f>ППД5[[#This Row],[Наценка за отделку 29.12.23 1%]]+ППД5[[#This Row],[Фикс 8.11.24]]</f>
        <v>81087.086480400016</v>
      </c>
      <c r="BG229" s="93">
        <f>ППД5[[#This Row],[Фикс 29.12.23]]*5%</f>
        <v>4054.3543240200011</v>
      </c>
      <c r="BH229" s="93">
        <f>ППД5[[#This Row],[Фикс 29.12.23]]+ППД5[[#This Row],[Наценка 10.01.24 5%]]</f>
        <v>85141.44080442001</v>
      </c>
      <c r="BI229" s="93">
        <f>90000-ППД5[[#This Row],[Фикс 10.01.24]]</f>
        <v>4858.55919557999</v>
      </c>
      <c r="BJ229" s="93">
        <f>ППД5[[#This Row],[Наценка 26.02.24 1 Этаж]]+ППД5[[#This Row],[Фикс 10.01.24]]</f>
        <v>90000</v>
      </c>
      <c r="BK229" s="93">
        <f>ППД5[[#This Row],[Фикс 26.02.24]]*2%</f>
        <v>1800</v>
      </c>
      <c r="BL229" s="93">
        <f>ППД5[[#This Row],[Фикс 26.02.24]]+ППД5[[#This Row],[Наценка 06.03.24
СТ, 1К - 3%
2К, 3К - 2%]]</f>
        <v>91800</v>
      </c>
      <c r="BM229" s="93"/>
      <c r="BN229" s="93">
        <f>ППД5[[#This Row],[Фикс 06.03.24]]+ППД5[[#This Row],[Наценка Г2+500]]</f>
        <v>91800</v>
      </c>
      <c r="BO229" s="93">
        <f>ППД5[[#This Row],[Фикс 13.03.25]]*2%</f>
        <v>1836</v>
      </c>
      <c r="BP229" s="93">
        <f>ППД5[[#This Row],[Фикс 13.03.25]]+ППД5[[#This Row],[Наценка 20.03.24
2К, 3К - 2%]]</f>
        <v>93636</v>
      </c>
      <c r="BQ229" s="93"/>
      <c r="BR229" s="93">
        <f>ППД5[[#This Row],[Фикс 20.03.24]]+ППД5[[#This Row],[Наценка 08.04.24 
2К: В3 - 150
3К: Г7 +1000]]</f>
        <v>93636</v>
      </c>
      <c r="BS229" s="93"/>
      <c r="BT229" s="93">
        <f>ППД5[[#This Row],[Фикс 08.04.24]]+ППД5[[#This Row],[Наценка 16.05.24 1%
А4,А6,Б3,Б6,Б7,В2,В3,В5,В6,Г1,Г3-Г5]]</f>
        <v>93636</v>
      </c>
      <c r="BU229" s="93"/>
      <c r="BV229" s="93">
        <f>ППД5[[#This Row],[Фикс 16.05.24]]+ППД5[[#This Row],[Наценка 24.05.24
1% - Б4, Б5,Г2,Г6
2% - А1,А3,А5,Б2,Г7]]</f>
        <v>93636</v>
      </c>
      <c r="BW229" s="93"/>
      <c r="BX229" s="93">
        <f>ППД5[[#This Row],[Наценка 06.06.24
0К: В2,Г3 +0,5%
1К: А7, Б5/4, Г6 +0,5%
3К: В6 +0,5%
1К: А3 +1%]]+ППД5[[#This Row],[Фикс 24.05.24]]</f>
        <v>93636</v>
      </c>
      <c r="BY229" s="93"/>
      <c r="BZ229" s="93">
        <f>ППД5[[#This Row],[Фикс 06.06.24]]+ППД5[[#This Row],[13.06.2024
3К - 2%]]</f>
        <v>93636</v>
      </c>
      <c r="CA229" s="93"/>
      <c r="CB229" s="93">
        <f>ППД5[[#This Row],[02.07.2024: Г3 А1 А3 Б5 Б7 Г2 Г6 Б3 Б4 В3 Г7 2,5% ост 0,5-1,5%]]+ППД5[[#This Row],[Фикс 13.06.24]]</f>
        <v>93636</v>
      </c>
      <c r="CC229" s="93"/>
      <c r="CD229" s="93">
        <f>ППД5[[#This Row],[Фикс 02.07.24]]+ППД5[[#This Row],[04.09.2024 +500
0К - Б2; 1К - А3;
2К - А6, Б4, В3, Г5]]</f>
        <v>93636</v>
      </c>
      <c r="CE229" s="93"/>
      <c r="CF229" s="93">
        <f>ППД5[[#This Row],[Наценка 16.09.2024
1К: А1,В7,Г6/7,Г8 - 2%
2К: А4,А5,А6,Б1,Б6,Б3/4,В3,В4,Г4,Г5 - 4%
3К: 4%]]+ППД5[[#This Row],[Фикс 04.09.24]]</f>
        <v>93636</v>
      </c>
      <c r="CG229" s="93"/>
      <c r="CH229" s="93">
        <f>ППД5[[#This Row],[Фикс 16.09.2024]]+ППД5[[#This Row],[Наценка 01.11.24
СТ: 4%
1К: 34-40м 5%; 40м+ 8%; МГН 1%
2К: 55-70м 6%; 70-73м 7%; 73-76м 8% 
3К: 5%]]</f>
        <v>93636</v>
      </c>
      <c r="CI229" s="93"/>
      <c r="CJ229" s="93">
        <f>ППД5[[#This Row],[Наценка 06.11 13%]]+ППД5[[#This Row],[Фикс 01.11.24]]</f>
        <v>93636</v>
      </c>
      <c r="CK229" s="93"/>
      <c r="CL229" s="93">
        <f>ППД5[[#This Row],[Фикс 06.11.24]]+ППД5[[#This Row],[Наценка 18.12.24 распределение КВ]]</f>
        <v>93636</v>
      </c>
      <c r="CM229" s="93"/>
      <c r="CN229" s="93">
        <f>ППД5[[#This Row],[Фикс 18.12.24]]+ППД5[[#This Row],[Наценка 10.02.25 +1%
1К: А3
2К: Б3, В3]]</f>
        <v>93636</v>
      </c>
      <c r="CO229" s="93">
        <f>ROUND(ППД5[[#This Row],[Фикс 10.02.25]],2)</f>
        <v>93636</v>
      </c>
      <c r="CP22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7581800</v>
      </c>
      <c r="CQ229" s="93">
        <f>ROUNDUP(ППД5[[#This Row],[Стоимость до скидки]]+ППД5[[#This Row],[Сумма доплаты]],-2)</f>
        <v>7528500</v>
      </c>
      <c r="CR229" s="68">
        <v>90000</v>
      </c>
      <c r="CS229" s="90"/>
      <c r="CT229" s="68">
        <f>ППД5[[#This Row],[Стоимость до скидки]]*ППД5[[#This Row],[Скидка %]]+ППД5[[#This Row],[Скидка фиксированная]]</f>
        <v>90000</v>
      </c>
      <c r="CU229" s="3">
        <f>ППД5[[#This Row],[Стоимость ОН без отделки со скидкой]]/ППД5[[#This Row],[Расчетная проектная площадь]]</f>
        <v>92525.626775348894</v>
      </c>
      <c r="CV229" s="3">
        <f>ROUND(ППД5[[#This Row],[Стоимость до скидки]]-ППД5[[#This Row],[Итоговая сумма скидки]],2)</f>
        <v>7491800</v>
      </c>
      <c r="CW22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29" s="197"/>
      <c r="CY229" s="332">
        <f>ППД5[[#This Row],[Расхождение]]/ППД5[[#This Row],[Расчетная проектная площадь]]</f>
        <v>-7.0396443127085017E-3</v>
      </c>
      <c r="CZ22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0.15000000000000036</v>
      </c>
      <c r="DA229" s="3">
        <f>ППД5[[#This Row],[Цена м2 без отделки со скидкой]]+ППД5[[#This Row],[Стоимость отделки]]</f>
        <v>92525.626775348894</v>
      </c>
      <c r="DB229" s="3">
        <f>ППД5[[#This Row],[Стоимость квартиры с отделкой]]-ППД5[[#This Row],[Стоимость ОН без отделки со скидкой]]</f>
        <v>0</v>
      </c>
      <c r="DC229" s="3">
        <f>ППД5[[#This Row],[Цена м2 с отделкой]]*ППД5[[#This Row],[Расчетная проектная площадь]]</f>
        <v>7491800</v>
      </c>
      <c r="DD229" s="3"/>
      <c r="DE229" s="111" t="s">
        <v>791</v>
      </c>
      <c r="DF229" s="199" t="s">
        <v>172</v>
      </c>
      <c r="DG229" s="245" t="s">
        <v>172</v>
      </c>
      <c r="DH229" s="100" t="b">
        <f>EXACT(ППД5[[#This Row],[Статусы CRM]],ППД5[[#This Row],[Статус]])</f>
        <v>1</v>
      </c>
      <c r="DI229" s="213" t="s">
        <v>401</v>
      </c>
      <c r="DJ229" s="204"/>
      <c r="DK229" s="111" t="s">
        <v>763</v>
      </c>
      <c r="DL229" s="216" t="s">
        <v>12</v>
      </c>
      <c r="DM229" s="201" t="b">
        <f>ППД5[[#This Row],[Отделка CRM]]=ППД5[[#This Row],[Отделка]]</f>
        <v>1</v>
      </c>
      <c r="DN229" s="203">
        <v>7491800</v>
      </c>
      <c r="DO22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29" s="207" t="b">
        <f>IF(AND(ППД5[[#This Row],[Статус]]="свободно",ППД5[[#This Row],[Итоговая сумма скидки]]&lt;&gt;0),FALSE,TRUE)</f>
        <v>1</v>
      </c>
      <c r="DQ229" s="240">
        <f>_xlfn.XLOOKUP(ППД5[[#This Row],[№]],Юрист[№ кв],Юрист[Дата подачи на регистрацию]," ",0,-1)</f>
        <v>45402</v>
      </c>
      <c r="DR229" s="115" t="str">
        <f>_xlfn.XLOOKUP(ППД5[[#This Row],[№]],Юрист[№ кв],Юрист[МОП],"",0,-1)</f>
        <v>Никишов</v>
      </c>
      <c r="DS229" s="333" t="s">
        <v>2750</v>
      </c>
      <c r="DT229" s="333" t="s">
        <v>2751</v>
      </c>
      <c r="DU229" s="333">
        <v>77.7</v>
      </c>
      <c r="DV229" s="111"/>
    </row>
    <row r="230" spans="1:126" hidden="1" x14ac:dyDescent="0.25">
      <c r="A230" s="112">
        <v>228</v>
      </c>
      <c r="B230" s="111" t="s">
        <v>3</v>
      </c>
      <c r="C230" s="111">
        <v>1</v>
      </c>
      <c r="D230" s="111">
        <v>6</v>
      </c>
      <c r="E230" s="111">
        <v>1</v>
      </c>
      <c r="F230" s="105">
        <v>14.3</v>
      </c>
      <c r="G230" s="105"/>
      <c r="H230" s="105"/>
      <c r="I230" s="94">
        <f>SUM(ППД5[[#This Row],[Комната 1]:[Комната 3]])</f>
        <v>14.3</v>
      </c>
      <c r="J230" s="105">
        <v>8.43</v>
      </c>
      <c r="K230" s="105">
        <v>3.79</v>
      </c>
      <c r="L230" s="105"/>
      <c r="M230" s="105"/>
      <c r="N230" s="105">
        <v>6.92</v>
      </c>
      <c r="O230" s="105">
        <v>2.64</v>
      </c>
      <c r="P230" s="105"/>
      <c r="Q230" s="105"/>
      <c r="R230" s="105">
        <f>SUM(ППД5[[#This Row],[Лоджия 1]:[Лоджия 3]])</f>
        <v>2.64</v>
      </c>
      <c r="S230" s="8">
        <f>ROUND(SUM(ППД5[[#This Row],[Площадь по проекту жилая]:[Лоджия 3]]),2)</f>
        <v>36.08</v>
      </c>
      <c r="T230" s="8">
        <f>ROUND(ППД5[[#This Row],[Площадь по проекту(общая)]]-ППД5[[#This Row],[Летние]],2)</f>
        <v>33.44</v>
      </c>
      <c r="U230" s="91">
        <f>ROUND(ППД5[[#This Row],[Площадь по проекту(общая)]]-(SUM(ППД5[[#This Row],[Лоджия 1]:[Лоджия 3]])/2),2)</f>
        <v>34.76</v>
      </c>
      <c r="V230" s="91">
        <f>IF(ППД5[[#This Row],[Статус]]="продажа",ППД5[[#This Row],[Расчетная проектная площадь]],ППД5[[#This Row],[Расчетная ТП площадь]])</f>
        <v>34.76</v>
      </c>
      <c r="W230" s="91">
        <v>14.2</v>
      </c>
      <c r="X230" s="91"/>
      <c r="Y230" s="91"/>
      <c r="Z230" s="91">
        <f>SUM(ППД5[[#This Row],[ТП Комната 1]:[ТП Комната 3]])</f>
        <v>14.2</v>
      </c>
      <c r="AA230" s="91">
        <v>8.3000000000000007</v>
      </c>
      <c r="AB230" s="91">
        <v>3.9</v>
      </c>
      <c r="AC230" s="91"/>
      <c r="AD230" s="91"/>
      <c r="AE230" s="91">
        <v>7.2</v>
      </c>
      <c r="AF230" s="91">
        <v>1.3</v>
      </c>
      <c r="AG230" s="91"/>
      <c r="AH230" s="91"/>
      <c r="AI230" s="91">
        <f>SUM(ППД5[[#This Row],[ТП Лоджия 1]:[ТП Лоджия 3]])</f>
        <v>1.3</v>
      </c>
      <c r="AJ230" s="95">
        <v>2.6</v>
      </c>
      <c r="AK230" s="91">
        <f>SUM(ППД5[[#This Row],[Площадь по ТП жилая]:[ТП Лоджия 3]])-ППД5[[#This Row],[ТП Летние]]+ППД5[[#This Row],[кроме того прочая
(без коэффициента)]]</f>
        <v>36.200000000000003</v>
      </c>
      <c r="AL230" s="95">
        <f>ППД5[[#This Row],[ТП Площадь без летних]]+(ППД5[[#This Row],[ТП Летние]])</f>
        <v>34.9</v>
      </c>
      <c r="AM230" s="91">
        <f>ППД5[[#This Row],[ТП общая S]]-ППД5[[#This Row],[кроме того прочая
(без коэффициента)]]</f>
        <v>33.6</v>
      </c>
      <c r="AN230" s="95">
        <f>SUM(ППД5[[#This Row],[ТП Кухня]:[ТП Коридор]])</f>
        <v>19.400000000000002</v>
      </c>
      <c r="AO230" s="91">
        <f>ППД5[[#This Row],[Расчетная ТП площадь]]-ППД5[[#This Row],[Расчетная проектная площадь]]</f>
        <v>0.14000000000000057</v>
      </c>
      <c r="AP230" s="335">
        <f>ППД5[[#This Row],[Расчетная ТП площадь]]/ППД5[[#This Row],[Расчетная проектная площадь]]-1</f>
        <v>4.0276179516685051E-3</v>
      </c>
      <c r="AQ230" s="91">
        <f>ППД5[[#This Row],[% расхождения]]*ППД5[[#This Row],[Стоимость до скидки]]</f>
        <v>12320.988417721277</v>
      </c>
      <c r="AR230" s="91">
        <f>VLOOKUP(ППД5[[#This Row],[№]],наценкад5[],COLUMN(наценкад5[[#This Row],[Цена м2 с учетом всех K]]),0)</f>
        <v>88007.0625</v>
      </c>
      <c r="AS230" s="8"/>
      <c r="AT230" s="8">
        <f>ППД5[[#This Row],[м2 после К]]+ППД5[[#This Row],[Повышение 16.08.23 - 5%]]</f>
        <v>88007.0625</v>
      </c>
      <c r="AU230" s="93"/>
      <c r="AV230" s="93">
        <f>ППД5[[#This Row],[Фикс 16.08.23]]+ППД5[[#This Row],[Повышение 29.08.23 - 3%]]</f>
        <v>88007.0625</v>
      </c>
      <c r="AW230" s="93"/>
      <c r="AX230" s="93">
        <f>ППД5[[#This Row],[Фикс 29.08.23]]+ППД5[[#This Row],[Повышение 06.09.23 СТ и 1К]]</f>
        <v>88007.0625</v>
      </c>
      <c r="AY230" s="93"/>
      <c r="AZ230" s="93">
        <f>ППД5[[#This Row],[Повышение 23.10.23  В4 ]]+ППД5[[#This Row],[Фикс 06.09.23]]</f>
        <v>88007.0625</v>
      </c>
      <c r="BA230" s="93"/>
      <c r="BB230" s="93">
        <f>ППД5[[#This Row],[Повышение 8.11.23 1К 5%]]+ППД5[[#This Row],[Фикс 23.10.23]]</f>
        <v>88007.0625</v>
      </c>
      <c r="BC230" s="93"/>
      <c r="BD230" s="93">
        <f>ППД5[[#This Row],[Корректировка 24.11.23 - 1К В5, 2К А2, №233]]+ППД5[[#This Row],[Фикс 8.11.23]]</f>
        <v>88007.0625</v>
      </c>
      <c r="BE230" s="93"/>
      <c r="BF230" s="93">
        <f>ППД5[[#This Row],[Наценка за отделку 29.12.23 1%]]+ППД5[[#This Row],[Фикс 8.11.24]]</f>
        <v>88007.0625</v>
      </c>
      <c r="BG230" s="93"/>
      <c r="BH230" s="93">
        <f>ППД5[[#This Row],[Фикс 29.12.23]]+ППД5[[#This Row],[Наценка 10.01.24 5%]]</f>
        <v>88007.0625</v>
      </c>
      <c r="BI230" s="93"/>
      <c r="BJ230" s="93">
        <f>ППД5[[#This Row],[Наценка 26.02.24 1 Этаж]]+ППД5[[#This Row],[Фикс 10.01.24]]</f>
        <v>88007.0625</v>
      </c>
      <c r="BK230" s="93"/>
      <c r="BL230" s="93">
        <f>ППД5[[#This Row],[Фикс 26.02.24]]+ППД5[[#This Row],[Наценка 06.03.24
СТ, 1К - 3%
2К, 3К - 2%]]</f>
        <v>88007.0625</v>
      </c>
      <c r="BM230" s="93"/>
      <c r="BN230" s="93">
        <f>ППД5[[#This Row],[Фикс 06.03.24]]+ППД5[[#This Row],[Наценка Г2+500]]</f>
        <v>88007.0625</v>
      </c>
      <c r="BO230" s="93"/>
      <c r="BP230" s="93">
        <f>ППД5[[#This Row],[Фикс 13.03.25]]+ППД5[[#This Row],[Наценка 20.03.24
2К, 3К - 2%]]</f>
        <v>88007.0625</v>
      </c>
      <c r="BQ230" s="93"/>
      <c r="BR230" s="93">
        <f>ППД5[[#This Row],[Фикс 20.03.24]]+ППД5[[#This Row],[Наценка 08.04.24 
2К: В3 - 150
3К: Г7 +1000]]</f>
        <v>88007.0625</v>
      </c>
      <c r="BS230" s="93"/>
      <c r="BT230" s="93">
        <f>ППД5[[#This Row],[Фикс 08.04.24]]+ППД5[[#This Row],[Наценка 16.05.24 1%
А4,А6,Б3,Б6,Б7,В2,В3,В5,В6,Г1,Г3-Г5]]</f>
        <v>88007.0625</v>
      </c>
      <c r="BU230" s="93"/>
      <c r="BV230" s="93">
        <f>ППД5[[#This Row],[Фикс 16.05.24]]+ППД5[[#This Row],[Наценка 24.05.24
1% - Б4, Б5,Г2,Г6
2% - А1,А3,А5,Б2,Г7]]</f>
        <v>88007.0625</v>
      </c>
      <c r="BW230" s="93"/>
      <c r="BX230" s="93">
        <f>ППД5[[#This Row],[Наценка 06.06.24
0К: В2,Г3 +0,5%
1К: А7, Б5/4, Г6 +0,5%
3К: В6 +0,5%
1К: А3 +1%]]+ППД5[[#This Row],[Фикс 24.05.24]]</f>
        <v>88007.0625</v>
      </c>
      <c r="BY230" s="93"/>
      <c r="BZ230" s="93">
        <f>ППД5[[#This Row],[Фикс 06.06.24]]+ППД5[[#This Row],[13.06.2024
3К - 2%]]</f>
        <v>88007.0625</v>
      </c>
      <c r="CA230" s="93"/>
      <c r="CB230" s="93">
        <f>ППД5[[#This Row],[02.07.2024: Г3 А1 А3 Б5 Б7 Г2 Г6 Б3 Б4 В3 Г7 2,5% ост 0,5-1,5%]]+ППД5[[#This Row],[Фикс 13.06.24]]</f>
        <v>88007.0625</v>
      </c>
      <c r="CC230" s="93"/>
      <c r="CD230" s="93">
        <f>ППД5[[#This Row],[Фикс 02.07.24]]+ППД5[[#This Row],[04.09.2024 +500
0К - Б2; 1К - А3;
2К - А6, Б4, В3, Г5]]</f>
        <v>88007.0625</v>
      </c>
      <c r="CE230" s="93"/>
      <c r="CF230" s="93">
        <f>ППД5[[#This Row],[Наценка 16.09.2024
1К: А1,В7,Г6/7,Г8 - 2%
2К: А4,А5,А6,Б1,Б6,Б3/4,В3,В4,Г4,Г5 - 4%
3К: 4%]]+ППД5[[#This Row],[Фикс 04.09.24]]</f>
        <v>88007.0625</v>
      </c>
      <c r="CG230" s="93"/>
      <c r="CH230" s="93">
        <f>ППД5[[#This Row],[Фикс 16.09.2024]]+ППД5[[#This Row],[Наценка 01.11.24
СТ: 4%
1К: 34-40м 5%; 40м+ 8%; МГН 1%
2К: 55-70м 6%; 70-73м 7%; 73-76м 8% 
3К: 5%]]</f>
        <v>88007.0625</v>
      </c>
      <c r="CI230" s="93"/>
      <c r="CJ230" s="93">
        <f>ППД5[[#This Row],[Наценка 06.11 13%]]+ППД5[[#This Row],[Фикс 01.11.24]]</f>
        <v>88007.0625</v>
      </c>
      <c r="CK230" s="93"/>
      <c r="CL230" s="93">
        <f>ППД5[[#This Row],[Фикс 06.11.24]]+ППД5[[#This Row],[Наценка 18.12.24 распределение КВ]]</f>
        <v>88007.0625</v>
      </c>
      <c r="CM230" s="93"/>
      <c r="CN230" s="93">
        <f>ППД5[[#This Row],[Фикс 18.12.24]]+ППД5[[#This Row],[Наценка 10.02.25 +1%
1К: А3
2К: Б3, В3]]</f>
        <v>88007.0625</v>
      </c>
      <c r="CO230" s="93">
        <f>ROUND(ППД5[[#This Row],[Фикс 10.02.25]],2)</f>
        <v>88007.06</v>
      </c>
      <c r="CP23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3059125.41</v>
      </c>
      <c r="CQ230" s="93">
        <f>ROUNDUP(ППД5[[#This Row],[Стоимость до скидки]]+ППД5[[#This Row],[Сумма доплаты]],-2)</f>
        <v>3071500</v>
      </c>
      <c r="CR230" s="68"/>
      <c r="CS230" s="90">
        <v>0.02</v>
      </c>
      <c r="CT230" s="68">
        <f>ППД5[[#This Row],[Стоимость до скидки]]*ППД5[[#This Row],[Скидка %]]+ППД5[[#This Row],[Скидка фиксированная]]</f>
        <v>61182.508200000004</v>
      </c>
      <c r="CU230" s="3">
        <f>ППД5[[#This Row],[Стоимость ОН без отделки со скидкой]]/ППД5[[#This Row],[Расчетная проектная площадь]]</f>
        <v>86246.918872266979</v>
      </c>
      <c r="CV230" s="3">
        <f>ROUND(ППД5[[#This Row],[Стоимость до скидки]]-ППД5[[#This Row],[Итоговая сумма скидки]],2)</f>
        <v>2997942.9</v>
      </c>
      <c r="CW23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30" s="197">
        <v>15500</v>
      </c>
      <c r="CY230" s="332">
        <f>ППД5[[#This Row],[Расхождение]]/ППД5[[#This Row],[Расчетная проектная площадь]]</f>
        <v>4.0276179516686014E-3</v>
      </c>
      <c r="CZ23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0.26000000000000156</v>
      </c>
      <c r="DA230" s="3">
        <f>ППД5[[#This Row],[Цена м2 без отделки со скидкой]]+ППД5[[#This Row],[Стоимость отделки]]</f>
        <v>101746.91887226698</v>
      </c>
      <c r="DB230" s="3">
        <f>ППД5[[#This Row],[Стоимость квартиры с отделкой]]-ППД5[[#This Row],[Стоимость ОН без отделки со скидкой]]</f>
        <v>538780</v>
      </c>
      <c r="DC230" s="3">
        <f>ППД5[[#This Row],[Цена м2 с отделкой]]*ППД5[[#This Row],[Расчетная проектная площадь]]</f>
        <v>3536722.9</v>
      </c>
      <c r="DD230" s="3" t="s">
        <v>154</v>
      </c>
      <c r="DE230" s="111" t="s">
        <v>164</v>
      </c>
      <c r="DF230" s="199" t="s">
        <v>172</v>
      </c>
      <c r="DG230" s="245" t="s">
        <v>172</v>
      </c>
      <c r="DH230" s="100" t="b">
        <f>EXACT(ППД5[[#This Row],[Статусы CRM]],ППД5[[#This Row],[Статус]])</f>
        <v>1</v>
      </c>
      <c r="DI230" s="213" t="s">
        <v>402</v>
      </c>
      <c r="DJ230" s="204"/>
      <c r="DK230" s="111" t="s">
        <v>76</v>
      </c>
      <c r="DL230" s="216" t="s">
        <v>14</v>
      </c>
      <c r="DM230" s="201" t="b">
        <f>ППД5[[#This Row],[Отделка CRM]]=ППД5[[#This Row],[Отделка]]</f>
        <v>1</v>
      </c>
      <c r="DN230" s="203">
        <v>3536722.9</v>
      </c>
      <c r="DO23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30" s="207" t="b">
        <f>IF(AND(ППД5[[#This Row],[Статус]]="свободно",ППД5[[#This Row],[Итоговая сумма скидки]]&lt;&gt;0),FALSE,TRUE)</f>
        <v>1</v>
      </c>
      <c r="DQ230" s="240">
        <f>_xlfn.XLOOKUP(ППД5[[#This Row],[№]],Юрист[№ кв],Юрист[Дата подачи на регистрацию]," ",0,-1)</f>
        <v>45189</v>
      </c>
      <c r="DR230" s="115" t="str">
        <f>_xlfn.XLOOKUP(ППД5[[#This Row],[№]],Юрист[№ кв],Юрист[МОП],"",0,-1)</f>
        <v>Гайганова</v>
      </c>
      <c r="DS230" s="333" t="s">
        <v>2752</v>
      </c>
      <c r="DT230" s="333" t="s">
        <v>2753</v>
      </c>
      <c r="DU230" s="333">
        <v>33.6</v>
      </c>
      <c r="DV230" s="111"/>
    </row>
    <row r="231" spans="1:126" hidden="1" x14ac:dyDescent="0.25">
      <c r="A231" s="112">
        <v>229</v>
      </c>
      <c r="B231" s="111" t="s">
        <v>3</v>
      </c>
      <c r="C231" s="111">
        <v>2</v>
      </c>
      <c r="D231" s="338">
        <v>1</v>
      </c>
      <c r="E231" s="111">
        <v>2</v>
      </c>
      <c r="F231" s="105">
        <v>17.63</v>
      </c>
      <c r="G231" s="105">
        <v>13.69</v>
      </c>
      <c r="H231" s="105"/>
      <c r="I231" s="94">
        <f>SUM(ППД5[[#This Row],[Комната 1]:[Комната 3]])</f>
        <v>31.32</v>
      </c>
      <c r="J231" s="105">
        <v>20.05</v>
      </c>
      <c r="K231" s="105">
        <v>3.54</v>
      </c>
      <c r="L231" s="105">
        <v>2.93</v>
      </c>
      <c r="M231" s="105"/>
      <c r="N231" s="105">
        <v>12.19</v>
      </c>
      <c r="O231" s="105">
        <v>4.6500000000000004</v>
      </c>
      <c r="P231" s="105">
        <v>2.68</v>
      </c>
      <c r="Q231" s="105"/>
      <c r="R231" s="105">
        <f>SUM(ППД5[[#This Row],[Лоджия 1]:[Лоджия 3]])</f>
        <v>7.33</v>
      </c>
      <c r="S231" s="8">
        <f>ROUND(SUM(ППД5[[#This Row],[Площадь по проекту жилая]:[Лоджия 3]]),2)</f>
        <v>77.36</v>
      </c>
      <c r="T231" s="8">
        <f>ROUND(ППД5[[#This Row],[Площадь по проекту(общая)]]-ППД5[[#This Row],[Летние]],2)</f>
        <v>70.03</v>
      </c>
      <c r="U231" s="91">
        <f>ROUND(ППД5[[#This Row],[Площадь по проекту(общая)]]-(SUM(ППД5[[#This Row],[Лоджия 1]:[Лоджия 3]])/2),2)</f>
        <v>73.7</v>
      </c>
      <c r="V231" s="91">
        <f>IF(ППД5[[#This Row],[Статус]]="продажа",ППД5[[#This Row],[Расчетная проектная площадь]],ППД5[[#This Row],[Расчетная ТП площадь]])</f>
        <v>73.449999999999989</v>
      </c>
      <c r="W231" s="91">
        <v>17.600000000000001</v>
      </c>
      <c r="X231" s="91">
        <v>13.6</v>
      </c>
      <c r="Y231" s="91"/>
      <c r="Z231" s="91">
        <f>SUM(ППД5[[#This Row],[ТП Комната 1]:[ТП Комната 3]])</f>
        <v>31.200000000000003</v>
      </c>
      <c r="AA231" s="91">
        <v>20</v>
      </c>
      <c r="AB231" s="91">
        <v>3.6</v>
      </c>
      <c r="AC231" s="91">
        <v>2.9</v>
      </c>
      <c r="AD231" s="91"/>
      <c r="AE231" s="91">
        <v>12.1</v>
      </c>
      <c r="AF231" s="91">
        <v>1.3</v>
      </c>
      <c r="AG231" s="91">
        <v>2.35</v>
      </c>
      <c r="AH231" s="91"/>
      <c r="AI231" s="91">
        <f>SUM(ППД5[[#This Row],[ТП Лоджия 1]:[ТП Лоджия 3]])</f>
        <v>3.6500000000000004</v>
      </c>
      <c r="AJ231" s="95">
        <v>7.3000000000000007</v>
      </c>
      <c r="AK231" s="91">
        <f>SUM(ППД5[[#This Row],[Площадь по ТП жилая]:[ТП Лоджия 3]])-ППД5[[#This Row],[ТП Летние]]+ППД5[[#This Row],[кроме того прочая
(без коэффициента)]]</f>
        <v>77.09999999999998</v>
      </c>
      <c r="AL231" s="95">
        <f>ППД5[[#This Row],[ТП Площадь без летних]]+(ППД5[[#This Row],[ТП Летние]])</f>
        <v>73.449999999999989</v>
      </c>
      <c r="AM231" s="91">
        <f>ППД5[[#This Row],[ТП общая S]]-ППД5[[#This Row],[кроме того прочая
(без коэффициента)]]</f>
        <v>69.799999999999983</v>
      </c>
      <c r="AN231" s="95">
        <f>SUM(ППД5[[#This Row],[ТП Кухня]:[ТП Коридор]])</f>
        <v>38.6</v>
      </c>
      <c r="AO231" s="91">
        <f>ППД5[[#This Row],[Расчетная ТП площадь]]-ППД5[[#This Row],[Расчетная проектная площадь]]</f>
        <v>-0.25000000000001421</v>
      </c>
      <c r="AP231" s="335">
        <f>ППД5[[#This Row],[Расчетная ТП площадь]]/ППД5[[#This Row],[Расчетная проектная площадь]]-1</f>
        <v>-3.3921302578020507E-3</v>
      </c>
      <c r="AQ231" s="91">
        <f>ППД5[[#This Row],[% расхождения]]*ППД5[[#This Row],[Стоимость до скидки]]</f>
        <v>-29109.905020354079</v>
      </c>
      <c r="AR231" s="91">
        <f>VLOOKUP(ППД5[[#This Row],[№]],наценкад5[],COLUMN(наценкад5[[#This Row],[Цена м2 с учетом всех K]]),0)</f>
        <v>79535.67300000001</v>
      </c>
      <c r="AS231" s="8">
        <f>ППД5[[#This Row],[м2 после К]]*5%</f>
        <v>3976.7836500000008</v>
      </c>
      <c r="AT231" s="8">
        <f>ППД5[[#This Row],[м2 после К]]+ППД5[[#This Row],[Повышение 16.08.23 - 5%]]</f>
        <v>83512.456650000007</v>
      </c>
      <c r="AU231" s="93">
        <f>ППД5[[#This Row],[Фикс 16.08.23]]*3%</f>
        <v>2505.3736994999999</v>
      </c>
      <c r="AV231" s="93">
        <f>ППД5[[#This Row],[Фикс 16.08.23]]+ППД5[[#This Row],[Повышение 29.08.23 - 3%]]</f>
        <v>86017.8303495</v>
      </c>
      <c r="AW231" s="93"/>
      <c r="AX231" s="93">
        <f>ППД5[[#This Row],[Фикс 29.08.23]]+ППД5[[#This Row],[Повышение 06.09.23 СТ и 1К]]</f>
        <v>86017.8303495</v>
      </c>
      <c r="AY231" s="93"/>
      <c r="AZ231" s="93">
        <f>ППД5[[#This Row],[Повышение 23.10.23  В4 ]]+ППД5[[#This Row],[Фикс 06.09.23]]</f>
        <v>86017.8303495</v>
      </c>
      <c r="BA231" s="93"/>
      <c r="BB231" s="93">
        <f>ППД5[[#This Row],[Повышение 8.11.23 1К 5%]]+ППД5[[#This Row],[Фикс 23.10.23]]</f>
        <v>86017.8303495</v>
      </c>
      <c r="BC231" s="93"/>
      <c r="BD231" s="93">
        <f>ППД5[[#This Row],[Корректировка 24.11.23 - 1К В5, 2К А2, №233]]+ППД5[[#This Row],[Фикс 8.11.23]]</f>
        <v>86017.8303495</v>
      </c>
      <c r="BE231" s="93">
        <f>ППД5[[#This Row],[Фикс 8.11.24]]*1%</f>
        <v>860.17830349500002</v>
      </c>
      <c r="BF231" s="93">
        <f>ППД5[[#This Row],[Наценка за отделку 29.12.23 1%]]+ППД5[[#This Row],[Фикс 8.11.24]]</f>
        <v>86878.008652995006</v>
      </c>
      <c r="BG231" s="93">
        <f>ППД5[[#This Row],[Фикс 29.12.23]]*5%</f>
        <v>4343.9004326497507</v>
      </c>
      <c r="BH231" s="93">
        <f>ППД5[[#This Row],[Фикс 29.12.23]]+ППД5[[#This Row],[Наценка 10.01.24 5%]]</f>
        <v>91221.909085644758</v>
      </c>
      <c r="BI231" s="93"/>
      <c r="BJ231" s="93">
        <f>ППД5[[#This Row],[Наценка 26.02.24 1 Этаж]]+ППД5[[#This Row],[Фикс 10.01.24]]</f>
        <v>91221.909085644758</v>
      </c>
      <c r="BK231" s="93">
        <f>ППД5[[#This Row],[Фикс 26.02.24]]*2%</f>
        <v>1824.4381817128951</v>
      </c>
      <c r="BL231" s="93">
        <f>ППД5[[#This Row],[Фикс 26.02.24]]+ППД5[[#This Row],[Наценка 06.03.24
СТ, 1К - 3%
2К, 3К - 2%]]</f>
        <v>93046.347267357647</v>
      </c>
      <c r="BM231" s="93"/>
      <c r="BN231" s="93">
        <f>ППД5[[#This Row],[Фикс 06.03.24]]+ППД5[[#This Row],[Наценка Г2+500]]</f>
        <v>93046.347267357647</v>
      </c>
      <c r="BO231" s="93">
        <f>ППД5[[#This Row],[Фикс 13.03.25]]*2%</f>
        <v>1860.9269453471529</v>
      </c>
      <c r="BP231" s="93">
        <f>ППД5[[#This Row],[Фикс 13.03.25]]+ППД5[[#This Row],[Наценка 20.03.24
2К, 3К - 2%]]</f>
        <v>94907.274212704797</v>
      </c>
      <c r="BQ231" s="93"/>
      <c r="BR231" s="93">
        <f>ППД5[[#This Row],[Фикс 20.03.24]]+ППД5[[#This Row],[Наценка 08.04.24 
2К: В3 - 150
3К: Г7 +1000]]</f>
        <v>94907.274212704797</v>
      </c>
      <c r="BS231" s="93"/>
      <c r="BT231" s="93">
        <f>ППД5[[#This Row],[Фикс 08.04.24]]+ППД5[[#This Row],[Наценка 16.05.24 1%
А4,А6,Б3,Б6,Б7,В2,В3,В5,В6,Г1,Г3-Г5]]</f>
        <v>94907.274212704797</v>
      </c>
      <c r="BU231" s="93"/>
      <c r="BV231" s="93">
        <f>ППД5[[#This Row],[Фикс 16.05.24]]+ППД5[[#This Row],[Наценка 24.05.24
1% - Б4, Б5,Г2,Г6
2% - А1,А3,А5,Б2,Г7]]</f>
        <v>94907.274212704797</v>
      </c>
      <c r="BW231" s="93"/>
      <c r="BX231" s="93">
        <f>ППД5[[#This Row],[Наценка 06.06.24
0К: В2,Г3 +0,5%
1К: А7, Б5/4, Г6 +0,5%
3К: В6 +0,5%
1К: А3 +1%]]+ППД5[[#This Row],[Фикс 24.05.24]]</f>
        <v>94907.274212704797</v>
      </c>
      <c r="BY231" s="93"/>
      <c r="BZ231" s="93">
        <f>ППД5[[#This Row],[Фикс 06.06.24]]+ППД5[[#This Row],[13.06.2024
3К - 2%]]</f>
        <v>94907.274212704797</v>
      </c>
      <c r="CA231" s="93">
        <f>0.5%*ППД5[[#This Row],[Фикс 13.06.24]]</f>
        <v>474.53637106352397</v>
      </c>
      <c r="CB231" s="93">
        <f>ППД5[[#This Row],[02.07.2024: Г3 А1 А3 Б5 Б7 Г2 Г6 Б3 Б4 В3 Г7 2,5% ост 0,5-1,5%]]+ППД5[[#This Row],[Фикс 13.06.24]]</f>
        <v>95381.810583768325</v>
      </c>
      <c r="CC231" s="93"/>
      <c r="CD231" s="93">
        <f>ППД5[[#This Row],[Фикс 02.07.24]]+ППД5[[#This Row],[04.09.2024 +500
0К - Б2; 1К - А3;
2К - А6, Б4, В3, Г5]]</f>
        <v>95381.810583768325</v>
      </c>
      <c r="CE231" s="93"/>
      <c r="CF231" s="93">
        <f>ППД5[[#This Row],[Наценка 16.09.2024
1К: А1,В7,Г6/7,Г8 - 2%
2К: А4,А5,А6,Б1,Б6,Б3/4,В3,В4,Г4,Г5 - 4%
3К: 4%]]+ППД5[[#This Row],[Фикс 04.09.24]]</f>
        <v>95381.810583768325</v>
      </c>
      <c r="CG231" s="93">
        <f>ППД5[[#This Row],[Фикс 16.09.2024]]*8%</f>
        <v>7630.5448467014658</v>
      </c>
      <c r="CH231" s="93">
        <f>ППД5[[#This Row],[Фикс 16.09.2024]]+ППД5[[#This Row],[Наценка 01.11.24
СТ: 4%
1К: 34-40м 5%; 40м+ 8%; МГН 1%
2К: 55-70м 6%; 70-73м 7%; 73-76м 8% 
3К: 5%]]</f>
        <v>103012.35543046979</v>
      </c>
      <c r="CI231" s="93">
        <f>ППД5[[#This Row],[Фикс 01.11.24]]*13%</f>
        <v>13391.606205961074</v>
      </c>
      <c r="CJ231" s="93">
        <f>ППД5[[#This Row],[Наценка 06.11 13%]]+ППД5[[#This Row],[Фикс 01.11.24]]</f>
        <v>116403.96163643086</v>
      </c>
      <c r="CK231" s="93">
        <v>35</v>
      </c>
      <c r="CL231" s="93">
        <f>ППД5[[#This Row],[Фикс 06.11.24]]+ППД5[[#This Row],[Наценка 18.12.24 распределение КВ]]</f>
        <v>116438.96163643086</v>
      </c>
      <c r="CM231" s="93"/>
      <c r="CN231" s="93">
        <f>ППД5[[#This Row],[Фикс 18.12.24]]+ППД5[[#This Row],[Наценка 10.02.25 +1%
1К: А3
2К: Б3, В3]]</f>
        <v>116438.96163643086</v>
      </c>
      <c r="CO231" s="93">
        <f>ROUND(ППД5[[#This Row],[Фикс 10.02.25]],2)</f>
        <v>116438.96</v>
      </c>
      <c r="CP23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8581600</v>
      </c>
      <c r="CQ231" s="93">
        <f>ROUNDUP(ППД5[[#This Row],[Стоимость до скидки]]+ППД5[[#This Row],[Сумма доплаты]],-2)</f>
        <v>8552500</v>
      </c>
      <c r="CR231" s="68"/>
      <c r="CS231" s="90"/>
      <c r="CT231" s="68">
        <f>ППД5[[#This Row],[Стоимость до скидки]]*ППД5[[#This Row],[Скидка %]]+ППД5[[#This Row],[Скидка фиксированная]]</f>
        <v>0</v>
      </c>
      <c r="CU231" s="3">
        <f>ППД5[[#This Row],[Стоимость ОН без отделки со скидкой]]/ППД5[[#This Row],[Расчетная проектная площадь]]</f>
        <v>116439.62008141112</v>
      </c>
      <c r="CV231" s="3">
        <f>ROUND(ППД5[[#This Row],[Стоимость до скидки]]-ППД5[[#This Row],[Итоговая сумма скидки]],2)</f>
        <v>8581600</v>
      </c>
      <c r="CW23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231" s="218">
        <v>10000</v>
      </c>
      <c r="CY231" s="332">
        <f>ППД5[[#This Row],[Расхождение]]/ППД5[[#This Row],[Расчетная проектная площадь]]</f>
        <v>-3.3921302578020923E-3</v>
      </c>
      <c r="CZ231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-0.10999999999999588</v>
      </c>
      <c r="DA231" s="3">
        <f>ППД5[[#This Row],[Цена м2 без отделки со скидкой]]+ППД5[[#This Row],[Стоимость отделки]]</f>
        <v>126439.62008141112</v>
      </c>
      <c r="DB231" s="3">
        <f>ППД5[[#This Row],[Стоимость квартиры с отделкой]]-ППД5[[#This Row],[Стоимость ОН без отделки со скидкой]]</f>
        <v>737000</v>
      </c>
      <c r="DC231" s="3">
        <f>ППД5[[#This Row],[Цена м2 с отделкой]]*ППД5[[#This Row],[Расчетная проектная площадь]]</f>
        <v>9318600</v>
      </c>
      <c r="DD231" s="3" t="s">
        <v>158</v>
      </c>
      <c r="DF231" s="155" t="s">
        <v>157</v>
      </c>
      <c r="DG231" s="245" t="s">
        <v>157</v>
      </c>
      <c r="DH231" s="100" t="b">
        <f>EXACT(ППД5[[#This Row],[Статусы CRM]],ППД5[[#This Row],[Статус]])</f>
        <v>1</v>
      </c>
      <c r="DI231" s="213" t="s">
        <v>403</v>
      </c>
      <c r="DJ231" s="204"/>
      <c r="DK231" s="111" t="s">
        <v>763</v>
      </c>
      <c r="DL231" s="216" t="s">
        <v>780</v>
      </c>
      <c r="DM231" s="201" t="b">
        <f>ППД5[[#This Row],[Отделка CRM]]=ППД5[[#This Row],[Отделка]]</f>
        <v>1</v>
      </c>
      <c r="DN231" s="203">
        <v>9318600</v>
      </c>
      <c r="DO23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31" s="207" t="b">
        <f>IF(AND(ППД5[[#This Row],[Статус]]="свободно",ППД5[[#This Row],[Итоговая сумма скидки]]&lt;&gt;0),FALSE,TRUE)</f>
        <v>1</v>
      </c>
      <c r="DQ231" s="240" t="str">
        <f>_xlfn.XLOOKUP(ППД5[[#This Row],[№]],Юрист[№ кв],Юрист[Дата подачи на регистрацию]," ",0,-1)</f>
        <v xml:space="preserve"> </v>
      </c>
      <c r="DR231" s="115" t="str">
        <f>_xlfn.XLOOKUP(ППД5[[#This Row],[№]],Юрист[№ кв],Юрист[МОП],"",0,-1)</f>
        <v/>
      </c>
      <c r="DS231" s="333" t="s">
        <v>2754</v>
      </c>
      <c r="DT231" s="333" t="s">
        <v>2755</v>
      </c>
      <c r="DU231" s="333">
        <v>69.8</v>
      </c>
      <c r="DV231" s="111"/>
    </row>
    <row r="232" spans="1:126" hidden="1" x14ac:dyDescent="0.25">
      <c r="A232" s="112">
        <v>230</v>
      </c>
      <c r="B232" s="111" t="s">
        <v>3</v>
      </c>
      <c r="C232" s="111">
        <v>2</v>
      </c>
      <c r="D232" s="111">
        <v>2</v>
      </c>
      <c r="E232" s="111">
        <v>0</v>
      </c>
      <c r="F232" s="105">
        <v>7.18</v>
      </c>
      <c r="G232" s="105"/>
      <c r="H232" s="105"/>
      <c r="I232" s="94">
        <f>SUM(ППД5[[#This Row],[Комната 1]:[Комната 3]])</f>
        <v>7.18</v>
      </c>
      <c r="J232" s="105">
        <v>5.17</v>
      </c>
      <c r="K232" s="105">
        <v>3.72</v>
      </c>
      <c r="L232" s="105"/>
      <c r="M232" s="105"/>
      <c r="N232" s="105">
        <v>6.97</v>
      </c>
      <c r="O232" s="105">
        <v>2.97</v>
      </c>
      <c r="P232" s="105"/>
      <c r="Q232" s="105"/>
      <c r="R232" s="105">
        <f>SUM(ППД5[[#This Row],[Лоджия 1]:[Лоджия 3]])</f>
        <v>2.97</v>
      </c>
      <c r="S232" s="8">
        <f>ROUND(SUM(ППД5[[#This Row],[Площадь по проекту жилая]:[Лоджия 3]]),2)</f>
        <v>26.01</v>
      </c>
      <c r="T232" s="8">
        <f>ROUND(ППД5[[#This Row],[Площадь по проекту(общая)]]-ППД5[[#This Row],[Летние]],2)</f>
        <v>23.04</v>
      </c>
      <c r="U232" s="91">
        <f>ROUND(ППД5[[#This Row],[Площадь по проекту(общая)]]-(SUM(ППД5[[#This Row],[Лоджия 1]:[Лоджия 3]])/2),2)</f>
        <v>24.53</v>
      </c>
      <c r="V232" s="91">
        <f>IF(ППД5[[#This Row],[Статус]]="продажа",ППД5[[#This Row],[Расчетная проектная площадь]],ППД5[[#This Row],[Расчетная ТП площадь]])</f>
        <v>24.53</v>
      </c>
      <c r="W232" s="91">
        <v>7.2</v>
      </c>
      <c r="X232" s="91"/>
      <c r="Y232" s="91"/>
      <c r="Z232" s="91">
        <f>SUM(ППД5[[#This Row],[ТП Комната 1]:[ТП Комната 3]])</f>
        <v>7.2</v>
      </c>
      <c r="AA232" s="91">
        <v>5.2</v>
      </c>
      <c r="AB232" s="91">
        <v>3.7</v>
      </c>
      <c r="AC232" s="91"/>
      <c r="AD232" s="91"/>
      <c r="AE232" s="91">
        <v>6.9</v>
      </c>
      <c r="AF232" s="91">
        <v>1.45</v>
      </c>
      <c r="AG232" s="91"/>
      <c r="AH232" s="91"/>
      <c r="AI232" s="91">
        <f>SUM(ППД5[[#This Row],[ТП Лоджия 1]:[ТП Лоджия 3]])</f>
        <v>1.45</v>
      </c>
      <c r="AJ232" s="95">
        <v>2.9</v>
      </c>
      <c r="AK232" s="91">
        <f>SUM(ППД5[[#This Row],[Площадь по ТП жилая]:[ТП Лоджия 3]])-ППД5[[#This Row],[ТП Летние]]+ППД5[[#This Row],[кроме того прочая
(без коэффициента)]]</f>
        <v>25.9</v>
      </c>
      <c r="AL232" s="95">
        <f>ППД5[[#This Row],[ТП Площадь без летних]]+(ППД5[[#This Row],[ТП Летние]])</f>
        <v>24.45</v>
      </c>
      <c r="AM232" s="91">
        <f>ППД5[[#This Row],[ТП общая S]]-ППД5[[#This Row],[кроме того прочая
(без коэффициента)]]</f>
        <v>23</v>
      </c>
      <c r="AN232" s="95">
        <f>SUM(ППД5[[#This Row],[ТП Кухня]:[ТП Коридор]])</f>
        <v>15.8</v>
      </c>
      <c r="AO232" s="91">
        <f>ППД5[[#This Row],[Расчетная ТП площадь]]-ППД5[[#This Row],[Расчетная проектная площадь]]</f>
        <v>-8.0000000000001847E-2</v>
      </c>
      <c r="AP232" s="335">
        <f>ППД5[[#This Row],[Расчетная ТП площадь]]/ППД5[[#This Row],[Расчетная проектная площадь]]-1</f>
        <v>-3.2613126783531676E-3</v>
      </c>
      <c r="AQ232" s="91">
        <f>ППД5[[#This Row],[% расхождения]]*ППД5[[#This Row],[Стоимость до скидки]]</f>
        <v>-7358.5264084797082</v>
      </c>
      <c r="AR232" s="91">
        <f>VLOOKUP(ППД5[[#This Row],[№]],наценкад5[],COLUMN(наценкад5[[#This Row],[Цена м2 с учетом всех K]]),0)</f>
        <v>91981.574999999997</v>
      </c>
      <c r="AS232" s="8"/>
      <c r="AT232" s="8">
        <f>ППД5[[#This Row],[м2 после К]]+ППД5[[#This Row],[Повышение 16.08.23 - 5%]]</f>
        <v>91981.574999999997</v>
      </c>
      <c r="AU232" s="93"/>
      <c r="AV232" s="93">
        <f>ППД5[[#This Row],[Фикс 16.08.23]]+ППД5[[#This Row],[Повышение 29.08.23 - 3%]]</f>
        <v>91981.574999999997</v>
      </c>
      <c r="AW232" s="93"/>
      <c r="AX232" s="93">
        <f>ППД5[[#This Row],[Фикс 29.08.23]]+ППД5[[#This Row],[Повышение 06.09.23 СТ и 1К]]</f>
        <v>91981.574999999997</v>
      </c>
      <c r="AY232" s="93"/>
      <c r="AZ232" s="93">
        <f>ППД5[[#This Row],[Повышение 23.10.23  В4 ]]+ППД5[[#This Row],[Фикс 06.09.23]]</f>
        <v>91981.574999999997</v>
      </c>
      <c r="BA232" s="93"/>
      <c r="BB232" s="93">
        <f>ППД5[[#This Row],[Повышение 8.11.23 1К 5%]]+ППД5[[#This Row],[Фикс 23.10.23]]</f>
        <v>91981.574999999997</v>
      </c>
      <c r="BC232" s="93"/>
      <c r="BD232" s="93">
        <f>ППД5[[#This Row],[Корректировка 24.11.23 - 1К В5, 2К А2, №233]]+ППД5[[#This Row],[Фикс 8.11.23]]</f>
        <v>91981.574999999997</v>
      </c>
      <c r="BE232" s="93"/>
      <c r="BF232" s="93">
        <f>ППД5[[#This Row],[Наценка за отделку 29.12.23 1%]]+ППД5[[#This Row],[Фикс 8.11.24]]</f>
        <v>91981.574999999997</v>
      </c>
      <c r="BG232" s="93"/>
      <c r="BH232" s="93">
        <f>ППД5[[#This Row],[Фикс 29.12.23]]+ППД5[[#This Row],[Наценка 10.01.24 5%]]</f>
        <v>91981.574999999997</v>
      </c>
      <c r="BI232" s="93"/>
      <c r="BJ232" s="93">
        <f>ППД5[[#This Row],[Наценка 26.02.24 1 Этаж]]+ППД5[[#This Row],[Фикс 10.01.24]]</f>
        <v>91981.574999999997</v>
      </c>
      <c r="BK232" s="93"/>
      <c r="BL232" s="93">
        <f>ППД5[[#This Row],[Фикс 26.02.24]]+ППД5[[#This Row],[Наценка 06.03.24
СТ, 1К - 3%
2К, 3К - 2%]]</f>
        <v>91981.574999999997</v>
      </c>
      <c r="BM232" s="93"/>
      <c r="BN232" s="93">
        <f>ППД5[[#This Row],[Фикс 06.03.24]]+ППД5[[#This Row],[Наценка Г2+500]]</f>
        <v>91981.574999999997</v>
      </c>
      <c r="BO232" s="93"/>
      <c r="BP232" s="93">
        <f>ППД5[[#This Row],[Фикс 13.03.25]]+ППД5[[#This Row],[Наценка 20.03.24
2К, 3К - 2%]]</f>
        <v>91981.574999999997</v>
      </c>
      <c r="BQ232" s="93"/>
      <c r="BR232" s="93">
        <f>ППД5[[#This Row],[Фикс 20.03.24]]+ППД5[[#This Row],[Наценка 08.04.24 
2К: В3 - 150
3К: Г7 +1000]]</f>
        <v>91981.574999999997</v>
      </c>
      <c r="BS232" s="93"/>
      <c r="BT232" s="93">
        <f>ППД5[[#This Row],[Фикс 08.04.24]]+ППД5[[#This Row],[Наценка 16.05.24 1%
А4,А6,Б3,Б6,Б7,В2,В3,В5,В6,Г1,Г3-Г5]]</f>
        <v>91981.574999999997</v>
      </c>
      <c r="BU232" s="93"/>
      <c r="BV232" s="93">
        <f>ППД5[[#This Row],[Фикс 16.05.24]]+ППД5[[#This Row],[Наценка 24.05.24
1% - Б4, Б5,Г2,Г6
2% - А1,А3,А5,Б2,Г7]]</f>
        <v>91981.574999999997</v>
      </c>
      <c r="BW232" s="93"/>
      <c r="BX232" s="93">
        <f>ППД5[[#This Row],[Наценка 06.06.24
0К: В2,Г3 +0,5%
1К: А7, Б5/4, Г6 +0,5%
3К: В6 +0,5%
1К: А3 +1%]]+ППД5[[#This Row],[Фикс 24.05.24]]</f>
        <v>91981.574999999997</v>
      </c>
      <c r="BY232" s="93"/>
      <c r="BZ232" s="93">
        <f>ППД5[[#This Row],[Фикс 06.06.24]]+ППД5[[#This Row],[13.06.2024
3К - 2%]]</f>
        <v>91981.574999999997</v>
      </c>
      <c r="CA232" s="93"/>
      <c r="CB232" s="93">
        <f>ППД5[[#This Row],[02.07.2024: Г3 А1 А3 Б5 Б7 Г2 Г6 Б3 Б4 В3 Г7 2,5% ост 0,5-1,5%]]+ППД5[[#This Row],[Фикс 13.06.24]]</f>
        <v>91981.574999999997</v>
      </c>
      <c r="CC232" s="93"/>
      <c r="CD232" s="93">
        <f>ППД5[[#This Row],[Фикс 02.07.24]]+ППД5[[#This Row],[04.09.2024 +500
0К - Б2; 1К - А3;
2К - А6, Б4, В3, Г5]]</f>
        <v>91981.574999999997</v>
      </c>
      <c r="CE232" s="93"/>
      <c r="CF232" s="93">
        <f>ППД5[[#This Row],[Наценка 16.09.2024
1К: А1,В7,Г6/7,Г8 - 2%
2К: А4,А5,А6,Б1,Б6,Б3/4,В3,В4,Г4,Г5 - 4%
3К: 4%]]+ППД5[[#This Row],[Фикс 04.09.24]]</f>
        <v>91981.574999999997</v>
      </c>
      <c r="CG232" s="93"/>
      <c r="CH232" s="93">
        <f>ППД5[[#This Row],[Фикс 16.09.2024]]+ППД5[[#This Row],[Наценка 01.11.24
СТ: 4%
1К: 34-40м 5%; 40м+ 8%; МГН 1%
2К: 55-70м 6%; 70-73м 7%; 73-76м 8% 
3К: 5%]]</f>
        <v>91981.574999999997</v>
      </c>
      <c r="CI232" s="93"/>
      <c r="CJ232" s="93">
        <f>ППД5[[#This Row],[Наценка 06.11 13%]]+ППД5[[#This Row],[Фикс 01.11.24]]</f>
        <v>91981.574999999997</v>
      </c>
      <c r="CK232" s="93"/>
      <c r="CL232" s="93">
        <f>ППД5[[#This Row],[Фикс 06.11.24]]+ППД5[[#This Row],[Наценка 18.12.24 распределение КВ]]</f>
        <v>91981.574999999997</v>
      </c>
      <c r="CM232" s="93"/>
      <c r="CN232" s="93">
        <f>ППД5[[#This Row],[Фикс 18.12.24]]+ППД5[[#This Row],[Наценка 10.02.25 +1%
1К: А3
2К: Б3, В3]]</f>
        <v>91981.574999999997</v>
      </c>
      <c r="CO232" s="93">
        <f>ROUND(ППД5[[#This Row],[Фикс 10.02.25]],2)</f>
        <v>91981.58</v>
      </c>
      <c r="CP23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2256308.16</v>
      </c>
      <c r="CQ232" s="93">
        <f>ROUNDUP(ППД5[[#This Row],[Стоимость до скидки]]+ППД5[[#This Row],[Сумма доплаты]],-2)</f>
        <v>2249000</v>
      </c>
      <c r="CR232" s="68"/>
      <c r="CS232" s="90"/>
      <c r="CT232" s="68">
        <f>ППД5[[#This Row],[Стоимость до скидки]]*ППД5[[#This Row],[Скидка %]]+ППД5[[#This Row],[Скидка фиксированная]]</f>
        <v>0</v>
      </c>
      <c r="CU232" s="3">
        <f>ППД5[[#This Row],[Стоимость ОН без отделки со скидкой]]/ППД5[[#This Row],[Расчетная проектная площадь]]</f>
        <v>91981.58010599266</v>
      </c>
      <c r="CV232" s="3">
        <f>ROUND(ППД5[[#This Row],[Стоимость до скидки]]-ППД5[[#This Row],[Итоговая сумма скидки]],2)</f>
        <v>2256308.16</v>
      </c>
      <c r="CW23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32" s="197">
        <v>15500</v>
      </c>
      <c r="CY232" s="332">
        <f>ППД5[[#This Row],[Расхождение]]/ППД5[[#This Row],[Расчетная проектная площадь]]</f>
        <v>-3.2613126783531121E-3</v>
      </c>
      <c r="CZ23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-5.9999999999998721E-2</v>
      </c>
      <c r="DA232" s="3">
        <f>ППД5[[#This Row],[Цена м2 без отделки со скидкой]]+ППД5[[#This Row],[Стоимость отделки]]</f>
        <v>107481.58010599266</v>
      </c>
      <c r="DB232" s="3">
        <f>ППД5[[#This Row],[Стоимость квартиры с отделкой]]-ППД5[[#This Row],[Стоимость ОН без отделки со скидкой]]</f>
        <v>380215</v>
      </c>
      <c r="DC232" s="3">
        <f>ППД5[[#This Row],[Цена м2 с отделкой]]*ППД5[[#This Row],[Расчетная проектная площадь]]</f>
        <v>2636523.16</v>
      </c>
      <c r="DD232" s="3"/>
      <c r="DF232" s="199" t="s">
        <v>172</v>
      </c>
      <c r="DG232" s="245" t="s">
        <v>172</v>
      </c>
      <c r="DH232" s="100" t="b">
        <f>EXACT(ППД5[[#This Row],[Статусы CRM]],ППД5[[#This Row],[Статус]])</f>
        <v>1</v>
      </c>
      <c r="DI232" s="213" t="s">
        <v>404</v>
      </c>
      <c r="DJ232" s="204"/>
      <c r="DK232" s="111" t="s">
        <v>76</v>
      </c>
      <c r="DL232" s="216" t="s">
        <v>14</v>
      </c>
      <c r="DM232" s="201" t="b">
        <f>ППД5[[#This Row],[Отделка CRM]]=ППД5[[#This Row],[Отделка]]</f>
        <v>1</v>
      </c>
      <c r="DN232" s="203">
        <v>2636523.16</v>
      </c>
      <c r="DO23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32" s="207" t="b">
        <f>IF(AND(ППД5[[#This Row],[Статус]]="свободно",ППД5[[#This Row],[Итоговая сумма скидки]]&lt;&gt;0),FALSE,TRUE)</f>
        <v>1</v>
      </c>
      <c r="DQ232" s="240">
        <f>_xlfn.XLOOKUP(ППД5[[#This Row],[№]],Юрист[№ кв],Юрист[Дата подачи на регистрацию]," ",0,-1)</f>
        <v>45188</v>
      </c>
      <c r="DR232" s="115" t="str">
        <f>_xlfn.XLOOKUP(ППД5[[#This Row],[№]],Юрист[№ кв],Юрист[МОП],"",0,-1)</f>
        <v>Калачева</v>
      </c>
      <c r="DS232" s="333" t="s">
        <v>2756</v>
      </c>
      <c r="DT232" s="333" t="s">
        <v>2757</v>
      </c>
      <c r="DU232" s="333">
        <v>23</v>
      </c>
      <c r="DV232" s="111"/>
    </row>
    <row r="233" spans="1:126" hidden="1" x14ac:dyDescent="0.25">
      <c r="A233" s="112">
        <v>231</v>
      </c>
      <c r="B233" s="111" t="s">
        <v>3</v>
      </c>
      <c r="C233" s="111">
        <v>2</v>
      </c>
      <c r="D233" s="111">
        <v>3</v>
      </c>
      <c r="E233" s="111">
        <v>2</v>
      </c>
      <c r="F233" s="105">
        <v>13.69</v>
      </c>
      <c r="G233" s="105">
        <v>10.16</v>
      </c>
      <c r="H233" s="105"/>
      <c r="I233" s="94">
        <f>SUM(ППД5[[#This Row],[Комната 1]:[Комната 3]])</f>
        <v>23.85</v>
      </c>
      <c r="J233" s="105">
        <v>18.71</v>
      </c>
      <c r="K233" s="105">
        <v>3.49</v>
      </c>
      <c r="L233" s="105">
        <v>2.11</v>
      </c>
      <c r="M233" s="105"/>
      <c r="N233" s="105">
        <v>7.09</v>
      </c>
      <c r="O233" s="105">
        <v>2.65</v>
      </c>
      <c r="P233" s="105"/>
      <c r="Q233" s="105"/>
      <c r="R233" s="105">
        <f>SUM(ППД5[[#This Row],[Лоджия 1]:[Лоджия 3]])</f>
        <v>2.65</v>
      </c>
      <c r="S233" s="8">
        <f>ROUND(SUM(ППД5[[#This Row],[Площадь по проекту жилая]:[Лоджия 3]]),2)</f>
        <v>57.9</v>
      </c>
      <c r="T233" s="8">
        <f>ROUND(ППД5[[#This Row],[Площадь по проекту(общая)]]-ППД5[[#This Row],[Летние]],2)</f>
        <v>55.25</v>
      </c>
      <c r="U233" s="91">
        <f>ROUND(ППД5[[#This Row],[Площадь по проекту(общая)]]-(SUM(ППД5[[#This Row],[Лоджия 1]:[Лоджия 3]])/2),2)</f>
        <v>56.58</v>
      </c>
      <c r="V233" s="91">
        <f>IF(ППД5[[#This Row],[Статус]]="продажа",ППД5[[#This Row],[Расчетная проектная площадь]],ППД5[[#This Row],[Расчетная ТП площадь]])</f>
        <v>56.4</v>
      </c>
      <c r="W233" s="91">
        <v>13.6</v>
      </c>
      <c r="X233" s="91">
        <v>9.9</v>
      </c>
      <c r="Y233" s="91"/>
      <c r="Z233" s="91">
        <f>SUM(ППД5[[#This Row],[ТП Комната 1]:[ТП Комната 3]])</f>
        <v>23.5</v>
      </c>
      <c r="AA233" s="91">
        <v>18.7</v>
      </c>
      <c r="AB233" s="91">
        <v>3.6</v>
      </c>
      <c r="AC233" s="91">
        <v>2.2999999999999998</v>
      </c>
      <c r="AD233" s="91"/>
      <c r="AE233" s="91">
        <v>7</v>
      </c>
      <c r="AF233" s="91">
        <v>1.3</v>
      </c>
      <c r="AG233" s="91"/>
      <c r="AH233" s="91"/>
      <c r="AI233" s="91">
        <f>SUM(ППД5[[#This Row],[ТП Лоджия 1]:[ТП Лоджия 3]])</f>
        <v>1.3</v>
      </c>
      <c r="AJ233" s="95">
        <v>2.6</v>
      </c>
      <c r="AK233" s="91">
        <f>SUM(ППД5[[#This Row],[Площадь по ТП жилая]:[ТП Лоджия 3]])-ППД5[[#This Row],[ТП Летние]]+ППД5[[#This Row],[кроме того прочая
(без коэффициента)]]</f>
        <v>57.7</v>
      </c>
      <c r="AL233" s="95">
        <f>ППД5[[#This Row],[ТП Площадь без летних]]+(ППД5[[#This Row],[ТП Летние]])</f>
        <v>56.4</v>
      </c>
      <c r="AM233" s="91">
        <f>ППД5[[#This Row],[ТП общая S]]-ППД5[[#This Row],[кроме того прочая
(без коэффициента)]]</f>
        <v>55.1</v>
      </c>
      <c r="AN233" s="95">
        <f>SUM(ППД5[[#This Row],[ТП Кухня]:[ТП Коридор]])</f>
        <v>31.6</v>
      </c>
      <c r="AO233" s="91">
        <f>ППД5[[#This Row],[Расчетная ТП площадь]]-ППД5[[#This Row],[Расчетная проектная площадь]]</f>
        <v>-0.17999999999999972</v>
      </c>
      <c r="AP233" s="335">
        <f>ППД5[[#This Row],[Расчетная ТП площадь]]/ППД5[[#This Row],[Расчетная проектная площадь]]-1</f>
        <v>-3.1813361611876534E-3</v>
      </c>
      <c r="AQ233" s="91">
        <f>ППД5[[#This Row],[% расхождения]]*ППД5[[#This Row],[Стоимость до скидки]]</f>
        <v>-22622.163308589283</v>
      </c>
      <c r="AR233" s="91">
        <f>VLOOKUP(ППД5[[#This Row],[№]],наценкад5[],COLUMN(наценкад5[[#This Row],[Цена м2 с учетом всех K]]),0)</f>
        <v>80307.864000000001</v>
      </c>
      <c r="AS233" s="8">
        <f>ППД5[[#This Row],[м2 после К]]*5%</f>
        <v>4015.3932000000004</v>
      </c>
      <c r="AT233" s="8">
        <f>ППД5[[#This Row],[м2 после К]]+ППД5[[#This Row],[Повышение 16.08.23 - 5%]]</f>
        <v>84323.257200000007</v>
      </c>
      <c r="AU233" s="93">
        <f>ППД5[[#This Row],[Фикс 16.08.23]]*3%</f>
        <v>2529.6977160000001</v>
      </c>
      <c r="AV233" s="93">
        <f>ППД5[[#This Row],[Фикс 16.08.23]]+ППД5[[#This Row],[Повышение 29.08.23 - 3%]]</f>
        <v>86852.954916000002</v>
      </c>
      <c r="AW233" s="93"/>
      <c r="AX233" s="93">
        <f>ППД5[[#This Row],[Фикс 29.08.23]]+ППД5[[#This Row],[Повышение 06.09.23 СТ и 1К]]</f>
        <v>86852.954916000002</v>
      </c>
      <c r="AY233" s="93"/>
      <c r="AZ233" s="93">
        <f>ППД5[[#This Row],[Повышение 23.10.23  В4 ]]+ППД5[[#This Row],[Фикс 06.09.23]]</f>
        <v>86852.954916000002</v>
      </c>
      <c r="BA233" s="93"/>
      <c r="BB233" s="93">
        <f>ППД5[[#This Row],[Повышение 8.11.23 1К 5%]]+ППД5[[#This Row],[Фикс 23.10.23]]</f>
        <v>86852.954916000002</v>
      </c>
      <c r="BC233" s="93"/>
      <c r="BD233" s="93">
        <f>ППД5[[#This Row],[Корректировка 24.11.23 - 1К В5, 2К А2, №233]]+ППД5[[#This Row],[Фикс 8.11.23]]</f>
        <v>86852.954916000002</v>
      </c>
      <c r="BE233" s="93">
        <f>ППД5[[#This Row],[Фикс 8.11.24]]*1%</f>
        <v>868.52954915999999</v>
      </c>
      <c r="BF233" s="93">
        <f>ППД5[[#This Row],[Наценка за отделку 29.12.23 1%]]+ППД5[[#This Row],[Фикс 8.11.24]]</f>
        <v>87721.48446516</v>
      </c>
      <c r="BG233" s="93">
        <f>ППД5[[#This Row],[Фикс 29.12.23]]*5%</f>
        <v>4386.0742232580005</v>
      </c>
      <c r="BH233" s="93">
        <f>ППД5[[#This Row],[Фикс 29.12.23]]+ППД5[[#This Row],[Наценка 10.01.24 5%]]</f>
        <v>92107.558688417994</v>
      </c>
      <c r="BI233" s="93"/>
      <c r="BJ233" s="93">
        <f>ППД5[[#This Row],[Наценка 26.02.24 1 Этаж]]+ППД5[[#This Row],[Фикс 10.01.24]]</f>
        <v>92107.558688417994</v>
      </c>
      <c r="BK233" s="93">
        <f>ППД5[[#This Row],[Фикс 26.02.24]]*2%</f>
        <v>1842.15117376836</v>
      </c>
      <c r="BL233" s="93">
        <f>ППД5[[#This Row],[Фикс 26.02.24]]+ППД5[[#This Row],[Наценка 06.03.24
СТ, 1К - 3%
2К, 3К - 2%]]</f>
        <v>93949.709862186355</v>
      </c>
      <c r="BM233" s="93"/>
      <c r="BN233" s="93">
        <f>ППД5[[#This Row],[Фикс 06.03.24]]+ППД5[[#This Row],[Наценка Г2+500]]</f>
        <v>93949.709862186355</v>
      </c>
      <c r="BO233" s="93">
        <f>ППД5[[#This Row],[Фикс 13.03.25]]*2%</f>
        <v>1878.9941972437271</v>
      </c>
      <c r="BP233" s="93">
        <f>ППД5[[#This Row],[Фикс 13.03.25]]+ППД5[[#This Row],[Наценка 20.03.24
2К, 3К - 2%]]</f>
        <v>95828.704059430078</v>
      </c>
      <c r="BQ233" s="93">
        <v>150</v>
      </c>
      <c r="BR233" s="93">
        <f>ППД5[[#This Row],[Фикс 20.03.24]]+ППД5[[#This Row],[Наценка 08.04.24 
2К: В3 - 150
3К: Г7 +1000]]</f>
        <v>95978.704059430078</v>
      </c>
      <c r="BS233" s="93">
        <f>ППД5[[#This Row],[Фикс 08.04.24]]*1%</f>
        <v>959.78704059430083</v>
      </c>
      <c r="BT233" s="93">
        <f>ППД5[[#This Row],[Фикс 08.04.24]]+ППД5[[#This Row],[Наценка 16.05.24 1%
А4,А6,Б3,Б6,Б7,В2,В3,В5,В6,Г1,Г3-Г5]]</f>
        <v>96938.491100024374</v>
      </c>
      <c r="BU233" s="93"/>
      <c r="BV233" s="93">
        <f>ППД5[[#This Row],[Фикс 16.05.24]]+ППД5[[#This Row],[Наценка 24.05.24
1% - Б4, Б5,Г2,Г6
2% - А1,А3,А5,Б2,Г7]]</f>
        <v>96938.491100024374</v>
      </c>
      <c r="BW233" s="93"/>
      <c r="BX233" s="93">
        <f>ППД5[[#This Row],[Наценка 06.06.24
0К: В2,Г3 +0,5%
1К: А7, Б5/4, Г6 +0,5%
3К: В6 +0,5%
1К: А3 +1%]]+ППД5[[#This Row],[Фикс 24.05.24]]</f>
        <v>96938.491100024374</v>
      </c>
      <c r="BY233" s="93"/>
      <c r="BZ233" s="93">
        <f>ППД5[[#This Row],[Фикс 06.06.24]]+ППД5[[#This Row],[13.06.2024
3К - 2%]]</f>
        <v>96938.491100024374</v>
      </c>
      <c r="CA233" s="93">
        <f>2.5%*ППД5[[#This Row],[Фикс 13.06.24]]</f>
        <v>2423.4622775006096</v>
      </c>
      <c r="CB233" s="93">
        <f>ППД5[[#This Row],[02.07.2024: Г3 А1 А3 Б5 Б7 Г2 Г6 Б3 Б4 В3 Г7 2,5% ост 0,5-1,5%]]+ППД5[[#This Row],[Фикс 13.06.24]]</f>
        <v>99361.953377524987</v>
      </c>
      <c r="CC233" s="93">
        <v>500</v>
      </c>
      <c r="CD233" s="93">
        <f>ППД5[[#This Row],[Фикс 02.07.24]]+ППД5[[#This Row],[04.09.2024 +500
0К - Б2; 1К - А3;
2К - А6, Б4, В3, Г5]]</f>
        <v>99861.953377524987</v>
      </c>
      <c r="CE233" s="93">
        <f>ППД5[[#This Row],[Фикс 04.09.24]]*4%</f>
        <v>3994.4781351009997</v>
      </c>
      <c r="CF233" s="93">
        <f>ППД5[[#This Row],[Наценка 16.09.2024
1К: А1,В7,Г6/7,Г8 - 2%
2К: А4,А5,А6,Б1,Б6,Б3/4,В3,В4,Г4,Г5 - 4%
3К: 4%]]+ППД5[[#This Row],[Фикс 04.09.24]]</f>
        <v>103856.43151262599</v>
      </c>
      <c r="CG233" s="93">
        <f>ППД5[[#This Row],[Фикс 16.09.2024]]*6%</f>
        <v>6231.3858907575595</v>
      </c>
      <c r="CH233" s="93">
        <f>ППД5[[#This Row],[Фикс 16.09.2024]]+ППД5[[#This Row],[Наценка 01.11.24
СТ: 4%
1К: 34-40м 5%; 40м+ 8%; МГН 1%
2К: 55-70м 6%; 70-73м 7%; 73-76м 8% 
3К: 5%]]</f>
        <v>110087.81740338355</v>
      </c>
      <c r="CI233" s="93">
        <f>ППД5[[#This Row],[Фикс 01.11.24]]*13%</f>
        <v>14311.416262439863</v>
      </c>
      <c r="CJ233" s="93">
        <f>ППД5[[#This Row],[Наценка 06.11 13%]]+ППД5[[#This Row],[Фикс 01.11.24]]</f>
        <v>124399.23366582341</v>
      </c>
      <c r="CK233" s="93">
        <v>35</v>
      </c>
      <c r="CL233" s="93">
        <f>ППД5[[#This Row],[Фикс 06.11.24]]+ППД5[[#This Row],[Наценка 18.12.24 распределение КВ]]</f>
        <v>124434.23366582341</v>
      </c>
      <c r="CM233" s="93">
        <f>ППД5[[#This Row],[Фикс 18.12.24]]*1%</f>
        <v>1244.3423366582342</v>
      </c>
      <c r="CN233" s="93">
        <f>ППД5[[#This Row],[Фикс 18.12.24]]+ППД5[[#This Row],[Наценка 10.02.25 +1%
1К: А3
2К: Б3, В3]]</f>
        <v>125678.57600248164</v>
      </c>
      <c r="CO233" s="93">
        <f>ROUND(ППД5[[#This Row],[Фикс 10.02.25]],2)</f>
        <v>125678.58</v>
      </c>
      <c r="CP23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7110900</v>
      </c>
      <c r="CQ233" s="93">
        <f>ROUNDUP(ППД5[[#This Row],[Стоимость до скидки]]+ППД5[[#This Row],[Сумма доплаты]],-2)</f>
        <v>7088300</v>
      </c>
      <c r="CR233" s="68"/>
      <c r="CS233" s="90"/>
      <c r="CT233" s="68">
        <f>ППД5[[#This Row],[Стоимость до скидки]]*ППД5[[#This Row],[Скидка %]]+ППД5[[#This Row],[Скидка фиксированная]]</f>
        <v>0</v>
      </c>
      <c r="CU233" s="3">
        <f>ППД5[[#This Row],[Стоимость ОН без отделки со скидкой]]/ППД5[[#This Row],[Расчетная проектная площадь]]</f>
        <v>125678.68504772005</v>
      </c>
      <c r="CV233" s="3">
        <f>ROUND(ППД5[[#This Row],[Стоимость до скидки]]-ППД5[[#This Row],[Итоговая сумма скидки]],2)</f>
        <v>7110900</v>
      </c>
      <c r="CW23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233" s="218">
        <v>10000</v>
      </c>
      <c r="CY233" s="332">
        <f>ППД5[[#This Row],[Расхождение]]/ППД5[[#This Row],[Расчетная проектная площадь]]</f>
        <v>-3.1813361611876937E-3</v>
      </c>
      <c r="CZ233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0.20000000000000284</v>
      </c>
      <c r="DA233" s="3">
        <f>ППД5[[#This Row],[Цена м2 без отделки со скидкой]]+ППД5[[#This Row],[Стоимость отделки]]</f>
        <v>135678.68504772004</v>
      </c>
      <c r="DB233" s="3">
        <f>ППД5[[#This Row],[Стоимость квартиры с отделкой]]-ППД5[[#This Row],[Стоимость ОН без отделки со скидкой]]</f>
        <v>565799.99999999907</v>
      </c>
      <c r="DC233" s="3">
        <f>ППД5[[#This Row],[Цена м2 с отделкой]]*ППД5[[#This Row],[Расчетная проектная площадь]]</f>
        <v>7676699.9999999991</v>
      </c>
      <c r="DD233" s="3" t="s">
        <v>154</v>
      </c>
      <c r="DF233" s="199" t="s">
        <v>157</v>
      </c>
      <c r="DG233" s="221" t="s">
        <v>157</v>
      </c>
      <c r="DH233" s="100" t="b">
        <f>EXACT(ППД5[[#This Row],[Статусы CRM]],ППД5[[#This Row],[Статус]])</f>
        <v>1</v>
      </c>
      <c r="DI233" s="213" t="s">
        <v>405</v>
      </c>
      <c r="DJ233" s="204"/>
      <c r="DK233" s="111" t="s">
        <v>763</v>
      </c>
      <c r="DL233" s="216" t="s">
        <v>780</v>
      </c>
      <c r="DM233" s="201" t="b">
        <f>ППД5[[#This Row],[Отделка CRM]]=ППД5[[#This Row],[Отделка]]</f>
        <v>1</v>
      </c>
      <c r="DN233" s="203">
        <v>7676700</v>
      </c>
      <c r="DO23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9.3132257461547852E-10</v>
      </c>
      <c r="DP233" s="207" t="b">
        <f>IF(AND(ППД5[[#This Row],[Статус]]="свободно",ППД5[[#This Row],[Итоговая сумма скидки]]&lt;&gt;0),FALSE,TRUE)</f>
        <v>1</v>
      </c>
      <c r="DQ233" s="240" t="str">
        <f>_xlfn.XLOOKUP(ППД5[[#This Row],[№]],Юрист[№ кв],Юрист[Дата подачи на регистрацию]," ",0,-1)</f>
        <v xml:space="preserve"> </v>
      </c>
      <c r="DR233" s="115" t="str">
        <f>_xlfn.XLOOKUP(ППД5[[#This Row],[№]],Юрист[№ кв],Юрист[МОП],"",0,-1)</f>
        <v/>
      </c>
      <c r="DS233" s="333" t="s">
        <v>2758</v>
      </c>
      <c r="DT233" s="333" t="s">
        <v>2759</v>
      </c>
      <c r="DU233" s="333">
        <v>55.1</v>
      </c>
      <c r="DV233" s="111"/>
    </row>
    <row r="234" spans="1:126" hidden="1" x14ac:dyDescent="0.25">
      <c r="A234" s="112">
        <v>232</v>
      </c>
      <c r="B234" s="111" t="s">
        <v>3</v>
      </c>
      <c r="C234" s="111">
        <v>2</v>
      </c>
      <c r="D234" s="111">
        <v>4</v>
      </c>
      <c r="E234" s="111">
        <v>1</v>
      </c>
      <c r="F234" s="105">
        <v>23.04</v>
      </c>
      <c r="G234" s="105"/>
      <c r="H234" s="105"/>
      <c r="I234" s="94">
        <f>SUM(ППД5[[#This Row],[Комната 1]:[Комната 3]])</f>
        <v>23.04</v>
      </c>
      <c r="J234" s="105">
        <v>14.85</v>
      </c>
      <c r="K234" s="105">
        <v>4.59</v>
      </c>
      <c r="L234" s="105">
        <v>3.72</v>
      </c>
      <c r="M234" s="105"/>
      <c r="N234" s="105">
        <v>11.41</v>
      </c>
      <c r="O234" s="105">
        <v>4.1399999999999997</v>
      </c>
      <c r="P234" s="105"/>
      <c r="Q234" s="105"/>
      <c r="R234" s="105">
        <f>SUM(ППД5[[#This Row],[Лоджия 1]:[Лоджия 3]])</f>
        <v>4.1399999999999997</v>
      </c>
      <c r="S234" s="8">
        <f>ROUND(SUM(ППД5[[#This Row],[Площадь по проекту жилая]:[Лоджия 3]]),2)</f>
        <v>61.75</v>
      </c>
      <c r="T234" s="8">
        <f>ROUND(ППД5[[#This Row],[Площадь по проекту(общая)]]-ППД5[[#This Row],[Летние]],2)</f>
        <v>57.61</v>
      </c>
      <c r="U234" s="91">
        <f>ROUND(ППД5[[#This Row],[Площадь по проекту(общая)]]-(SUM(ППД5[[#This Row],[Лоджия 1]:[Лоджия 3]])/2),2)</f>
        <v>59.68</v>
      </c>
      <c r="V234" s="91">
        <f>IF(ППД5[[#This Row],[Статус]]="продажа",ППД5[[#This Row],[Расчетная проектная площадь]],ППД5[[#This Row],[Расчетная ТП площадь]])</f>
        <v>59.68</v>
      </c>
      <c r="W234" s="91">
        <v>23</v>
      </c>
      <c r="X234" s="91"/>
      <c r="Y234" s="91"/>
      <c r="Z234" s="91">
        <f>SUM(ППД5[[#This Row],[ТП Комната 1]:[ТП Комната 3]])</f>
        <v>23</v>
      </c>
      <c r="AA234" s="91">
        <v>14.7</v>
      </c>
      <c r="AB234" s="91">
        <v>4.5</v>
      </c>
      <c r="AC234" s="91">
        <v>3.8</v>
      </c>
      <c r="AD234" s="91"/>
      <c r="AE234" s="91">
        <v>11.5</v>
      </c>
      <c r="AF234" s="91">
        <v>2</v>
      </c>
      <c r="AG234" s="91"/>
      <c r="AH234" s="91"/>
      <c r="AI234" s="91">
        <f>SUM(ППД5[[#This Row],[ТП Лоджия 1]:[ТП Лоджия 3]])</f>
        <v>2</v>
      </c>
      <c r="AJ234" s="95">
        <v>4</v>
      </c>
      <c r="AK234" s="91">
        <f>SUM(ППД5[[#This Row],[Площадь по ТП жилая]:[ТП Лоджия 3]])-ППД5[[#This Row],[ТП Летние]]+ППД5[[#This Row],[кроме того прочая
(без коэффициента)]]</f>
        <v>61.5</v>
      </c>
      <c r="AL234" s="95">
        <f>ППД5[[#This Row],[ТП Площадь без летних]]+(ППД5[[#This Row],[ТП Летние]])</f>
        <v>59.5</v>
      </c>
      <c r="AM234" s="91">
        <f>ППД5[[#This Row],[ТП общая S]]-ППД5[[#This Row],[кроме того прочая
(без коэффициента)]]</f>
        <v>57.5</v>
      </c>
      <c r="AN234" s="95">
        <f>SUM(ППД5[[#This Row],[ТП Кухня]:[ТП Коридор]])</f>
        <v>34.5</v>
      </c>
      <c r="AO234" s="91">
        <f>ППД5[[#This Row],[Расчетная ТП площадь]]-ППД5[[#This Row],[Расчетная проектная площадь]]</f>
        <v>-0.17999999999999972</v>
      </c>
      <c r="AP234" s="335">
        <f>ППД5[[#This Row],[Расчетная ТП площадь]]/ППД5[[#This Row],[Расчетная проектная площадь]]-1</f>
        <v>-3.0160857908847483E-3</v>
      </c>
      <c r="AQ234" s="91">
        <f>ППД5[[#This Row],[% расхождения]]*ППД5[[#This Row],[Стоимость до скидки]]</f>
        <v>-15310.148404825888</v>
      </c>
      <c r="AR234" s="91">
        <f>VLOOKUP(ППД5[[#This Row],[№]],наценкад5[],COLUMN(наценкад5[[#This Row],[Цена м2 с учетом всех K]]),0)</f>
        <v>77868</v>
      </c>
      <c r="AS234" s="8">
        <f>ППД5[[#This Row],[м2 после К]]*5%</f>
        <v>3893.4</v>
      </c>
      <c r="AT234" s="8">
        <f>ППД5[[#This Row],[м2 после К]]+ППД5[[#This Row],[Повышение 16.08.23 - 5%]]</f>
        <v>81761.399999999994</v>
      </c>
      <c r="AU234" s="93">
        <f>ППД5[[#This Row],[Фикс 16.08.23]]*3%</f>
        <v>2452.8419999999996</v>
      </c>
      <c r="AV234" s="93">
        <f>ППД5[[#This Row],[Фикс 16.08.23]]+ППД5[[#This Row],[Повышение 29.08.23 - 3%]]</f>
        <v>84214.241999999998</v>
      </c>
      <c r="AW234" s="93">
        <f>ППД5[[#This Row],[Фикс 29.08.23]]*1%</f>
        <v>842.14242000000002</v>
      </c>
      <c r="AX234" s="93">
        <f>ППД5[[#This Row],[Фикс 29.08.23]]+ППД5[[#This Row],[Повышение 06.09.23 СТ и 1К]]</f>
        <v>85056.384420000002</v>
      </c>
      <c r="AY234" s="93"/>
      <c r="AZ234" s="93">
        <f>ППД5[[#This Row],[Повышение 23.10.23  В4 ]]+ППД5[[#This Row],[Фикс 06.09.23]]</f>
        <v>85056.384420000002</v>
      </c>
      <c r="BA234" s="93"/>
      <c r="BB234" s="93">
        <f>ППД5[[#This Row],[Повышение 8.11.23 1К 5%]]+ППД5[[#This Row],[Фикс 23.10.23]]</f>
        <v>85056.384420000002</v>
      </c>
      <c r="BC234" s="93"/>
      <c r="BD234" s="93">
        <f>ППД5[[#This Row],[Корректировка 24.11.23 - 1К В5, 2К А2, №233]]+ППД5[[#This Row],[Фикс 8.11.23]]</f>
        <v>85056.384420000002</v>
      </c>
      <c r="BE234" s="93"/>
      <c r="BF234" s="93">
        <f>ППД5[[#This Row],[Наценка за отделку 29.12.23 1%]]+ППД5[[#This Row],[Фикс 8.11.24]]</f>
        <v>85056.384420000002</v>
      </c>
      <c r="BG234" s="93"/>
      <c r="BH234" s="93">
        <f>ППД5[[#This Row],[Фикс 29.12.23]]+ППД5[[#This Row],[Наценка 10.01.24 5%]]</f>
        <v>85056.384420000002</v>
      </c>
      <c r="BI234" s="93"/>
      <c r="BJ234" s="93">
        <f>ППД5[[#This Row],[Наценка 26.02.24 1 Этаж]]+ППД5[[#This Row],[Фикс 10.01.24]]</f>
        <v>85056.384420000002</v>
      </c>
      <c r="BK234" s="93"/>
      <c r="BL234" s="93">
        <f>ППД5[[#This Row],[Фикс 26.02.24]]+ППД5[[#This Row],[Наценка 06.03.24
СТ, 1К - 3%
2К, 3К - 2%]]</f>
        <v>85056.384420000002</v>
      </c>
      <c r="BM234" s="93"/>
      <c r="BN234" s="93">
        <f>ППД5[[#This Row],[Фикс 06.03.24]]+ППД5[[#This Row],[Наценка Г2+500]]</f>
        <v>85056.384420000002</v>
      </c>
      <c r="BO234" s="93"/>
      <c r="BP234" s="93">
        <f>ППД5[[#This Row],[Фикс 13.03.25]]+ППД5[[#This Row],[Наценка 20.03.24
2К, 3К - 2%]]</f>
        <v>85056.384420000002</v>
      </c>
      <c r="BQ234" s="93"/>
      <c r="BR234" s="93">
        <f>ППД5[[#This Row],[Фикс 20.03.24]]+ППД5[[#This Row],[Наценка 08.04.24 
2К: В3 - 150
3К: Г7 +1000]]</f>
        <v>85056.384420000002</v>
      </c>
      <c r="BS234" s="93"/>
      <c r="BT234" s="93">
        <f>ППД5[[#This Row],[Фикс 08.04.24]]+ППД5[[#This Row],[Наценка 16.05.24 1%
А4,А6,Б3,Б6,Б7,В2,В3,В5,В6,Г1,Г3-Г5]]</f>
        <v>85056.384420000002</v>
      </c>
      <c r="BU234" s="93"/>
      <c r="BV234" s="93">
        <f>ППД5[[#This Row],[Фикс 16.05.24]]+ППД5[[#This Row],[Наценка 24.05.24
1% - Б4, Б5,Г2,Г6
2% - А1,А3,А5,Б2,Г7]]</f>
        <v>85056.384420000002</v>
      </c>
      <c r="BW234" s="93"/>
      <c r="BX234" s="93">
        <f>ППД5[[#This Row],[Наценка 06.06.24
0К: В2,Г3 +0,5%
1К: А7, Б5/4, Г6 +0,5%
3К: В6 +0,5%
1К: А3 +1%]]+ППД5[[#This Row],[Фикс 24.05.24]]</f>
        <v>85056.384420000002</v>
      </c>
      <c r="BY234" s="93"/>
      <c r="BZ234" s="93">
        <f>ППД5[[#This Row],[Фикс 06.06.24]]+ППД5[[#This Row],[13.06.2024
3К - 2%]]</f>
        <v>85056.384420000002</v>
      </c>
      <c r="CA234" s="93"/>
      <c r="CB234" s="93">
        <f>ППД5[[#This Row],[02.07.2024: Г3 А1 А3 Б5 Б7 Г2 Г6 Б3 Б4 В3 Г7 2,5% ост 0,5-1,5%]]+ППД5[[#This Row],[Фикс 13.06.24]]</f>
        <v>85056.384420000002</v>
      </c>
      <c r="CC234" s="93"/>
      <c r="CD234" s="93">
        <f>ППД5[[#This Row],[Фикс 02.07.24]]+ППД5[[#This Row],[04.09.2024 +500
0К - Б2; 1К - А3;
2К - А6, Б4, В3, Г5]]</f>
        <v>85056.384420000002</v>
      </c>
      <c r="CE234" s="93"/>
      <c r="CF234" s="93">
        <f>ППД5[[#This Row],[Наценка 16.09.2024
1К: А1,В7,Г6/7,Г8 - 2%
2К: А4,А5,А6,Б1,Б6,Б3/4,В3,В4,Г4,Г5 - 4%
3К: 4%]]+ППД5[[#This Row],[Фикс 04.09.24]]</f>
        <v>85056.384420000002</v>
      </c>
      <c r="CG234" s="93"/>
      <c r="CH234" s="93">
        <f>ППД5[[#This Row],[Фикс 16.09.2024]]+ППД5[[#This Row],[Наценка 01.11.24
СТ: 4%
1К: 34-40м 5%; 40м+ 8%; МГН 1%
2К: 55-70м 6%; 70-73м 7%; 73-76м 8% 
3К: 5%]]</f>
        <v>85056.384420000002</v>
      </c>
      <c r="CI234" s="93"/>
      <c r="CJ234" s="93">
        <f>ППД5[[#This Row],[Наценка 06.11 13%]]+ППД5[[#This Row],[Фикс 01.11.24]]</f>
        <v>85056.384420000002</v>
      </c>
      <c r="CK234" s="93"/>
      <c r="CL234" s="93">
        <f>ППД5[[#This Row],[Фикс 06.11.24]]+ППД5[[#This Row],[Наценка 18.12.24 распределение КВ]]</f>
        <v>85056.384420000002</v>
      </c>
      <c r="CM234" s="93"/>
      <c r="CN234" s="93">
        <f>ППД5[[#This Row],[Фикс 18.12.24]]+ППД5[[#This Row],[Наценка 10.02.25 +1%
1К: А3
2К: Б3, В3]]</f>
        <v>85056.384420000002</v>
      </c>
      <c r="CO234" s="93">
        <f>ROUND(ППД5[[#This Row],[Фикс 10.02.25]],2)</f>
        <v>85056.38</v>
      </c>
      <c r="CP23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5076164.76</v>
      </c>
      <c r="CQ234" s="93">
        <f>ROUNDUP(ППД5[[#This Row],[Стоимость до скидки]]+ППД5[[#This Row],[Сумма доплаты]],-2)</f>
        <v>5060900</v>
      </c>
      <c r="CR234" s="68"/>
      <c r="CS234" s="90"/>
      <c r="CT234" s="68">
        <f>ППД5[[#This Row],[Стоимость до скидки]]*ППД5[[#This Row],[Скидка %]]+ППД5[[#This Row],[Скидка фиксированная]]</f>
        <v>0</v>
      </c>
      <c r="CU234" s="3">
        <f>ППД5[[#This Row],[Стоимость ОН без отделки со скидкой]]/ППД5[[#This Row],[Расчетная проектная площадь]]</f>
        <v>85056.380026809653</v>
      </c>
      <c r="CV234" s="3">
        <f>ROUND(ППД5[[#This Row],[Стоимость до скидки]]-ППД5[[#This Row],[Итоговая сумма скидки]],2)</f>
        <v>5076164.76</v>
      </c>
      <c r="CW23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34" s="197"/>
      <c r="CY234" s="332">
        <f>ППД5[[#This Row],[Расхождение]]/ППД5[[#This Row],[Расчетная проектная площадь]]</f>
        <v>-3.0160857908847136E-3</v>
      </c>
      <c r="CZ23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-6.9999999999998508E-2</v>
      </c>
      <c r="DA234" s="3">
        <f>ППД5[[#This Row],[Цена м2 без отделки со скидкой]]+ППД5[[#This Row],[Стоимость отделки]]</f>
        <v>85056.380026809653</v>
      </c>
      <c r="DB234" s="3">
        <f>ППД5[[#This Row],[Стоимость квартиры с отделкой]]-ППД5[[#This Row],[Стоимость ОН без отделки со скидкой]]</f>
        <v>0</v>
      </c>
      <c r="DC234" s="3">
        <f>ППД5[[#This Row],[Цена м2 с отделкой]]*ППД5[[#This Row],[Расчетная проектная площадь]]</f>
        <v>5076164.76</v>
      </c>
      <c r="DD234" s="3" t="s">
        <v>156</v>
      </c>
      <c r="DF234" s="199" t="s">
        <v>172</v>
      </c>
      <c r="DG234" s="245" t="s">
        <v>172</v>
      </c>
      <c r="DH234" s="100" t="b">
        <f>EXACT(ППД5[[#This Row],[Статусы CRM]],ППД5[[#This Row],[Статус]])</f>
        <v>1</v>
      </c>
      <c r="DI234" s="213" t="s">
        <v>406</v>
      </c>
      <c r="DJ234" s="204"/>
      <c r="DK234" s="111" t="s">
        <v>76</v>
      </c>
      <c r="DL234" s="216" t="s">
        <v>12</v>
      </c>
      <c r="DM234" s="201" t="b">
        <f>ППД5[[#This Row],[Отделка CRM]]=ППД5[[#This Row],[Отделка]]</f>
        <v>1</v>
      </c>
      <c r="DN234" s="203">
        <v>5076164.76</v>
      </c>
      <c r="DO23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34" s="207" t="b">
        <f>IF(AND(ППД5[[#This Row],[Статус]]="свободно",ППД5[[#This Row],[Итоговая сумма скидки]]&lt;&gt;0),FALSE,TRUE)</f>
        <v>1</v>
      </c>
      <c r="DQ234" s="240">
        <f>_xlfn.XLOOKUP(ППД5[[#This Row],[№]],Юрист[№ кв],Юрист[Дата подачи на регистрацию]," ",0,-1)</f>
        <v>45216</v>
      </c>
      <c r="DR234" s="115" t="str">
        <f>_xlfn.XLOOKUP(ППД5[[#This Row],[№]],Юрист[№ кв],Юрист[МОП],"",0,-1)</f>
        <v>Полехович</v>
      </c>
      <c r="DS234" s="333" t="s">
        <v>2760</v>
      </c>
      <c r="DT234" s="333" t="s">
        <v>2761</v>
      </c>
      <c r="DU234" s="333">
        <v>57.5</v>
      </c>
      <c r="DV234" s="111"/>
    </row>
    <row r="235" spans="1:126" hidden="1" x14ac:dyDescent="0.25">
      <c r="A235" s="112">
        <v>233</v>
      </c>
      <c r="B235" s="111" t="s">
        <v>3</v>
      </c>
      <c r="C235" s="111">
        <v>2</v>
      </c>
      <c r="D235" s="111">
        <v>5</v>
      </c>
      <c r="E235" s="111">
        <v>1</v>
      </c>
      <c r="F235" s="105">
        <v>12.54</v>
      </c>
      <c r="G235" s="105"/>
      <c r="H235" s="105"/>
      <c r="I235" s="94">
        <f>SUM(ППД5[[#This Row],[Комната 1]:[Комната 3]])</f>
        <v>12.54</v>
      </c>
      <c r="J235" s="105">
        <v>12.74</v>
      </c>
      <c r="K235" s="105">
        <v>4.0199999999999996</v>
      </c>
      <c r="L235" s="105"/>
      <c r="M235" s="105"/>
      <c r="N235" s="105">
        <v>7.09</v>
      </c>
      <c r="O235" s="105">
        <v>2.84</v>
      </c>
      <c r="P235" s="105"/>
      <c r="Q235" s="105"/>
      <c r="R235" s="105">
        <f>SUM(ППД5[[#This Row],[Лоджия 1]:[Лоджия 3]])</f>
        <v>2.84</v>
      </c>
      <c r="S235" s="8">
        <f>ROUND(SUM(ППД5[[#This Row],[Площадь по проекту жилая]:[Лоджия 3]]),2)</f>
        <v>39.229999999999997</v>
      </c>
      <c r="T235" s="8">
        <f>ROUND(ППД5[[#This Row],[Площадь по проекту(общая)]]-ППД5[[#This Row],[Летние]],2)</f>
        <v>36.39</v>
      </c>
      <c r="U235" s="91">
        <f>ROUND(ППД5[[#This Row],[Площадь по проекту(общая)]]-(SUM(ППД5[[#This Row],[Лоджия 1]:[Лоджия 3]])/2),2)</f>
        <v>37.81</v>
      </c>
      <c r="V235" s="91">
        <f>IF(ППД5[[#This Row],[Статус]]="продажа",ППД5[[#This Row],[Расчетная проектная площадь]],ППД5[[#This Row],[Расчетная ТП площадь]])</f>
        <v>37.81</v>
      </c>
      <c r="W235" s="91">
        <v>12.6</v>
      </c>
      <c r="X235" s="91"/>
      <c r="Y235" s="91"/>
      <c r="Z235" s="91">
        <f>SUM(ППД5[[#This Row],[ТП Комната 1]:[ТП Комната 3]])</f>
        <v>12.6</v>
      </c>
      <c r="AA235" s="91">
        <v>12.7</v>
      </c>
      <c r="AB235" s="91">
        <v>4</v>
      </c>
      <c r="AC235" s="91"/>
      <c r="AD235" s="91"/>
      <c r="AE235" s="91">
        <v>6.8</v>
      </c>
      <c r="AF235" s="91">
        <v>1.4</v>
      </c>
      <c r="AG235" s="91"/>
      <c r="AH235" s="91"/>
      <c r="AI235" s="91">
        <f>SUM(ППД5[[#This Row],[ТП Лоджия 1]:[ТП Лоджия 3]])</f>
        <v>1.4</v>
      </c>
      <c r="AJ235" s="95">
        <v>2.8</v>
      </c>
      <c r="AK235" s="91">
        <f>SUM(ППД5[[#This Row],[Площадь по ТП жилая]:[ТП Лоджия 3]])-ППД5[[#This Row],[ТП Летние]]+ППД5[[#This Row],[кроме того прочая
(без коэффициента)]]</f>
        <v>38.899999999999991</v>
      </c>
      <c r="AL235" s="95">
        <f>ППД5[[#This Row],[ТП Площадь без летних]]+(ППД5[[#This Row],[ТП Летние]])</f>
        <v>37.499999999999993</v>
      </c>
      <c r="AM235" s="91">
        <f>ППД5[[#This Row],[ТП общая S]]-ППД5[[#This Row],[кроме того прочая
(без коэффициента)]]</f>
        <v>36.099999999999994</v>
      </c>
      <c r="AN235" s="95">
        <f>SUM(ППД5[[#This Row],[ТП Кухня]:[ТП Коридор]])</f>
        <v>23.5</v>
      </c>
      <c r="AO235" s="91">
        <f>ППД5[[#This Row],[Расчетная ТП площадь]]-ППД5[[#This Row],[Расчетная проектная площадь]]</f>
        <v>-0.31000000000000938</v>
      </c>
      <c r="AP235" s="335">
        <f>ППД5[[#This Row],[Расчетная ТП площадь]]/ППД5[[#This Row],[Расчетная проектная площадь]]-1</f>
        <v>-8.1988891827561305E-3</v>
      </c>
      <c r="AQ235" s="91">
        <f>ППД5[[#This Row],[% расхождения]]*ППД5[[#This Row],[Стоимость до скидки]]</f>
        <v>-35999.682623645618</v>
      </c>
      <c r="AR235" s="91">
        <f>VLOOKUP(ППД5[[#This Row],[№]],наценкад5[],COLUMN(наценкад5[[#This Row],[Цена м2 с учетом всех K]]),0)</f>
        <v>89223.75</v>
      </c>
      <c r="AS235" s="8">
        <f>ППД5[[#This Row],[м2 после К]]*5%</f>
        <v>4461.1875</v>
      </c>
      <c r="AT235" s="8">
        <f>ППД5[[#This Row],[м2 после К]]+ППД5[[#This Row],[Повышение 16.08.23 - 5%]]</f>
        <v>93684.9375</v>
      </c>
      <c r="AU235" s="93">
        <f>ППД5[[#This Row],[Фикс 16.08.23]]*3%</f>
        <v>2810.5481249999998</v>
      </c>
      <c r="AV235" s="93">
        <f>ППД5[[#This Row],[Фикс 16.08.23]]+ППД5[[#This Row],[Повышение 29.08.23 - 3%]]</f>
        <v>96495.485625000001</v>
      </c>
      <c r="AW235" s="93">
        <f>ППД5[[#This Row],[Фикс 29.08.23]]*4.5%</f>
        <v>4342.2968531249999</v>
      </c>
      <c r="AX235" s="93">
        <f>ППД5[[#This Row],[Фикс 29.08.23]]+ППД5[[#This Row],[Повышение 06.09.23 СТ и 1К]]</f>
        <v>100837.78247812499</v>
      </c>
      <c r="AY235" s="93"/>
      <c r="AZ235" s="93">
        <f>ППД5[[#This Row],[Повышение 23.10.23  В4 ]]+ППД5[[#This Row],[Фикс 06.09.23]]</f>
        <v>100837.78247812499</v>
      </c>
      <c r="BA235" s="93">
        <f>ППД5[[#This Row],[Фикс 23.10.23]]*5%</f>
        <v>5041.8891239062505</v>
      </c>
      <c r="BB235" s="93">
        <f>ППД5[[#This Row],[Повышение 8.11.23 1К 5%]]+ППД5[[#This Row],[Фикс 23.10.23]]</f>
        <v>105879.67160203125</v>
      </c>
      <c r="BC235" s="93">
        <v>-620</v>
      </c>
      <c r="BD235" s="93">
        <f>ППД5[[#This Row],[Корректировка 24.11.23 - 1К В5, 2К А2, №233]]+ППД5[[#This Row],[Фикс 8.11.23]]</f>
        <v>105259.67160203125</v>
      </c>
      <c r="BE235" s="93">
        <f>ППД5[[#This Row],[Фикс 8.11.24]]*1%</f>
        <v>1052.5967160203124</v>
      </c>
      <c r="BF235" s="93">
        <f>ППД5[[#This Row],[Наценка за отделку 29.12.23 1%]]+ППД5[[#This Row],[Фикс 8.11.24]]</f>
        <v>106312.26831805156</v>
      </c>
      <c r="BG235" s="93">
        <f>ППД5[[#This Row],[Фикс 29.12.23]]*5%</f>
        <v>5315.6134159025787</v>
      </c>
      <c r="BH235" s="93">
        <f>ППД5[[#This Row],[Фикс 29.12.23]]+ППД5[[#This Row],[Наценка 10.01.24 5%]]</f>
        <v>111627.88173395414</v>
      </c>
      <c r="BI235" s="93"/>
      <c r="BJ235" s="93">
        <f>ППД5[[#This Row],[Наценка 26.02.24 1 Этаж]]+ППД5[[#This Row],[Фикс 10.01.24]]</f>
        <v>111627.88173395414</v>
      </c>
      <c r="BK235" s="93">
        <f>ППД5[[#This Row],[Фикс 26.02.24]]*3%</f>
        <v>3348.8364520186242</v>
      </c>
      <c r="BL235" s="93">
        <f>ППД5[[#This Row],[Фикс 26.02.24]]+ППД5[[#This Row],[Наценка 06.03.24
СТ, 1К - 3%
2К, 3К - 2%]]</f>
        <v>114976.71818597277</v>
      </c>
      <c r="BM235" s="93"/>
      <c r="BN235" s="93">
        <f>ППД5[[#This Row],[Фикс 06.03.24]]+ППД5[[#This Row],[Наценка Г2+500]]</f>
        <v>114976.71818597277</v>
      </c>
      <c r="BO235" s="93"/>
      <c r="BP235" s="93">
        <f>ППД5[[#This Row],[Фикс 13.03.25]]+ППД5[[#This Row],[Наценка 20.03.24
2К, 3К - 2%]]</f>
        <v>114976.71818597277</v>
      </c>
      <c r="BQ235" s="93"/>
      <c r="BR235" s="93">
        <f>ППД5[[#This Row],[Фикс 20.03.24]]+ППД5[[#This Row],[Наценка 08.04.24 
2К: В3 - 150
3К: Г7 +1000]]</f>
        <v>114976.71818597277</v>
      </c>
      <c r="BS235" s="93">
        <f>ППД5[[#This Row],[Фикс 08.04.24]]*1%</f>
        <v>1149.7671818597278</v>
      </c>
      <c r="BT235" s="93">
        <f>ППД5[[#This Row],[Фикс 08.04.24]]+ППД5[[#This Row],[Наценка 16.05.24 1%
А4,А6,Б3,Б6,Б7,В2,В3,В5,В6,Г1,Г3-Г5]]</f>
        <v>116126.4853678325</v>
      </c>
      <c r="BU235" s="93"/>
      <c r="BV235" s="93">
        <f>ППД5[[#This Row],[Фикс 16.05.24]]+ППД5[[#This Row],[Наценка 24.05.24
1% - Б4, Б5,Г2,Г6
2% - А1,А3,А5,Б2,Г7]]</f>
        <v>116126.4853678325</v>
      </c>
      <c r="BW235" s="93"/>
      <c r="BX235" s="93">
        <f>ППД5[[#This Row],[Наценка 06.06.24
0К: В2,Г3 +0,5%
1К: А7, Б5/4, Г6 +0,5%
3К: В6 +0,5%
1К: А3 +1%]]+ППД5[[#This Row],[Фикс 24.05.24]]</f>
        <v>116126.4853678325</v>
      </c>
      <c r="BY235" s="93"/>
      <c r="BZ235" s="93">
        <f>ППД5[[#This Row],[Фикс 06.06.24]]+ППД5[[#This Row],[13.06.2024
3К - 2%]]</f>
        <v>116126.4853678325</v>
      </c>
      <c r="CA235" s="93"/>
      <c r="CB235" s="93">
        <f>ППД5[[#This Row],[02.07.2024: Г3 А1 А3 Б5 Б7 Г2 Г6 Б3 Б4 В3 Г7 2,5% ост 0,5-1,5%]]+ППД5[[#This Row],[Фикс 13.06.24]]</f>
        <v>116126.4853678325</v>
      </c>
      <c r="CC235" s="93"/>
      <c r="CD235" s="93">
        <f>ППД5[[#This Row],[Фикс 02.07.24]]+ППД5[[#This Row],[04.09.2024 +500
0К - Б2; 1К - А3;
2К - А6, Б4, В3, Г5]]</f>
        <v>116126.4853678325</v>
      </c>
      <c r="CE235" s="93"/>
      <c r="CF235" s="93">
        <f>ППД5[[#This Row],[Наценка 16.09.2024
1К: А1,В7,Г6/7,Г8 - 2%
2К: А4,А5,А6,Б1,Б6,Б3/4,В3,В4,Г4,Г5 - 4%
3К: 4%]]+ППД5[[#This Row],[Фикс 04.09.24]]</f>
        <v>116126.4853678325</v>
      </c>
      <c r="CG235" s="93"/>
      <c r="CH235" s="93">
        <f>ППД5[[#This Row],[Фикс 16.09.2024]]+ППД5[[#This Row],[Наценка 01.11.24
СТ: 4%
1К: 34-40м 5%; 40м+ 8%; МГН 1%
2К: 55-70м 6%; 70-73м 7%; 73-76м 8% 
3К: 5%]]</f>
        <v>116126.4853678325</v>
      </c>
      <c r="CI235" s="93"/>
      <c r="CJ235" s="93">
        <f>ППД5[[#This Row],[Наценка 06.11 13%]]+ППД5[[#This Row],[Фикс 01.11.24]]</f>
        <v>116126.4853678325</v>
      </c>
      <c r="CK235" s="93"/>
      <c r="CL235" s="93">
        <f>ППД5[[#This Row],[Фикс 06.11.24]]+ППД5[[#This Row],[Наценка 18.12.24 распределение КВ]]</f>
        <v>116126.4853678325</v>
      </c>
      <c r="CM235" s="93"/>
      <c r="CN235" s="93">
        <f>ППД5[[#This Row],[Фикс 18.12.24]]+ППД5[[#This Row],[Наценка 10.02.25 +1%
1К: А3
2К: Б3, В3]]</f>
        <v>116126.4853678325</v>
      </c>
      <c r="CO235" s="93">
        <f>ROUND(ППД5[[#This Row],[Фикс 10.02.25]],2)</f>
        <v>116126.49</v>
      </c>
      <c r="CP23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4390800</v>
      </c>
      <c r="CQ235" s="93">
        <f>ROUNDUP(ППД5[[#This Row],[Стоимость до скидки]]+ППД5[[#This Row],[Сумма доплаты]],-2)</f>
        <v>4354900</v>
      </c>
      <c r="CR235" s="68"/>
      <c r="CS235" s="90"/>
      <c r="CT235" s="68">
        <f>ППД5[[#This Row],[Стоимость до скидки]]*ППД5[[#This Row],[Скидка %]]+ППД5[[#This Row],[Скидка фиксированная]]</f>
        <v>0</v>
      </c>
      <c r="CU235" s="3">
        <f>ППД5[[#This Row],[Стоимость ОН без отделки со скидкой]]/ППД5[[#This Row],[Расчетная проектная площадь]]</f>
        <v>116128.00846336948</v>
      </c>
      <c r="CV235" s="3">
        <f>ROUND(ППД5[[#This Row],[Стоимость до скидки]]-ППД5[[#This Row],[Итоговая сумма скидки]],2)</f>
        <v>4390800</v>
      </c>
      <c r="CW23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235" s="197">
        <v>7000</v>
      </c>
      <c r="CY235" s="332">
        <f>ППД5[[#This Row],[Расхождение]]/ППД5[[#This Row],[Расчетная проектная площадь]]</f>
        <v>-8.1988891827561323E-3</v>
      </c>
      <c r="CZ23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-0.34999999999999964</v>
      </c>
      <c r="DA235" s="3">
        <f>ППД5[[#This Row],[Цена м2 без отделки со скидкой]]+ППД5[[#This Row],[Стоимость отделки]]</f>
        <v>123128.00846336948</v>
      </c>
      <c r="DB235" s="3">
        <f>ППД5[[#This Row],[Стоимость квартиры с отделкой]]-ППД5[[#This Row],[Стоимость ОН без отделки со скидкой]]</f>
        <v>264670</v>
      </c>
      <c r="DC235" s="3">
        <f>ППД5[[#This Row],[Цена м2 с отделкой]]*ППД5[[#This Row],[Расчетная проектная площадь]]</f>
        <v>4655470</v>
      </c>
      <c r="DD235" s="3"/>
      <c r="DF235" s="199" t="s">
        <v>172</v>
      </c>
      <c r="DG235" s="245" t="s">
        <v>172</v>
      </c>
      <c r="DH235" s="100" t="b">
        <f>EXACT(ППД5[[#This Row],[Статусы CRM]],ППД5[[#This Row],[Статус]])</f>
        <v>1</v>
      </c>
      <c r="DI235" s="213" t="s">
        <v>407</v>
      </c>
      <c r="DJ235" s="204"/>
      <c r="DK235" s="111" t="s">
        <v>763</v>
      </c>
      <c r="DL235" s="216" t="s">
        <v>780</v>
      </c>
      <c r="DM235" s="201" t="b">
        <f>ППД5[[#This Row],[Отделка CRM]]=ППД5[[#This Row],[Отделка]]</f>
        <v>1</v>
      </c>
      <c r="DN235" s="203">
        <v>4655470</v>
      </c>
      <c r="DO23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35" s="207" t="b">
        <f>IF(AND(ППД5[[#This Row],[Статус]]="свободно",ППД5[[#This Row],[Итоговая сумма скидки]]&lt;&gt;0),FALSE,TRUE)</f>
        <v>1</v>
      </c>
      <c r="DQ235" s="240">
        <f>_xlfn.XLOOKUP(ППД5[[#This Row],[№]],Юрист[№ кв],Юрист[Дата подачи на регистрацию]," ",0,-1)</f>
        <v>45470</v>
      </c>
      <c r="DR235" s="115" t="str">
        <f>_xlfn.XLOOKUP(ППД5[[#This Row],[№]],Юрист[№ кв],Юрист[МОП],"",0,-1)</f>
        <v>Дик</v>
      </c>
      <c r="DS235" s="333" t="s">
        <v>2762</v>
      </c>
      <c r="DT235" s="333" t="s">
        <v>2763</v>
      </c>
      <c r="DU235" s="333">
        <v>36.1</v>
      </c>
      <c r="DV235" s="111"/>
    </row>
    <row r="236" spans="1:126" hidden="1" x14ac:dyDescent="0.25">
      <c r="A236" s="112">
        <v>234</v>
      </c>
      <c r="B236" s="111" t="s">
        <v>3</v>
      </c>
      <c r="C236" s="111">
        <v>2</v>
      </c>
      <c r="D236" s="111">
        <v>6</v>
      </c>
      <c r="E236" s="111">
        <v>3</v>
      </c>
      <c r="F236" s="105">
        <v>17.2</v>
      </c>
      <c r="G236" s="105">
        <v>14.64</v>
      </c>
      <c r="H236" s="105">
        <v>14.34</v>
      </c>
      <c r="I236" s="94">
        <f>SUM(ППД5[[#This Row],[Комната 1]:[Комната 3]])</f>
        <v>46.18</v>
      </c>
      <c r="J236" s="105">
        <v>13.15</v>
      </c>
      <c r="K236" s="105">
        <v>4.03</v>
      </c>
      <c r="L236" s="105">
        <v>1.76</v>
      </c>
      <c r="M236" s="105"/>
      <c r="N236" s="105">
        <v>13.11</v>
      </c>
      <c r="O236" s="105">
        <v>2.79</v>
      </c>
      <c r="P236" s="105">
        <v>2.68</v>
      </c>
      <c r="Q236" s="105"/>
      <c r="R236" s="105">
        <f>SUM(ППД5[[#This Row],[Лоджия 1]:[Лоджия 3]])</f>
        <v>5.4700000000000006</v>
      </c>
      <c r="S236" s="8">
        <f>ROUND(SUM(ППД5[[#This Row],[Площадь по проекту жилая]:[Лоджия 3]]),2)</f>
        <v>83.7</v>
      </c>
      <c r="T236" s="8">
        <f>ROUND(ППД5[[#This Row],[Площадь по проекту(общая)]]-ППД5[[#This Row],[Летние]],2)</f>
        <v>78.23</v>
      </c>
      <c r="U236" s="91">
        <f>ROUND(ППД5[[#This Row],[Площадь по проекту(общая)]]-(SUM(ППД5[[#This Row],[Лоджия 1]:[Лоджия 3]])/2),2)</f>
        <v>80.97</v>
      </c>
      <c r="V236" s="91">
        <f>IF(ППД5[[#This Row],[Статус]]="продажа",ППД5[[#This Row],[Расчетная проектная площадь]],ППД5[[#This Row],[Расчетная ТП площадь]])</f>
        <v>80.97</v>
      </c>
      <c r="W236" s="91">
        <v>16.899999999999999</v>
      </c>
      <c r="X236" s="91">
        <v>14.5</v>
      </c>
      <c r="Y236" s="91">
        <v>14.2</v>
      </c>
      <c r="Z236" s="91">
        <f>SUM(ППД5[[#This Row],[ТП Комната 1]:[ТП Комната 3]])</f>
        <v>45.599999999999994</v>
      </c>
      <c r="AA236" s="91">
        <v>13</v>
      </c>
      <c r="AB236" s="91">
        <v>4.0999999999999996</v>
      </c>
      <c r="AC236" s="91">
        <v>1.8</v>
      </c>
      <c r="AD236" s="91"/>
      <c r="AE236" s="91">
        <v>13</v>
      </c>
      <c r="AF236" s="91">
        <v>1.4</v>
      </c>
      <c r="AG236" s="92">
        <v>1.35</v>
      </c>
      <c r="AH236" s="91"/>
      <c r="AI236" s="91">
        <f>SUM(ППД5[[#This Row],[ТП Лоджия 1]:[ТП Лоджия 3]])</f>
        <v>2.75</v>
      </c>
      <c r="AJ236" s="95">
        <v>5.5</v>
      </c>
      <c r="AK236" s="91">
        <f>SUM(ППД5[[#This Row],[Площадь по ТП жилая]:[ТП Лоджия 3]])-ППД5[[#This Row],[ТП Летние]]+ППД5[[#This Row],[кроме того прочая
(без коэффициента)]]</f>
        <v>83</v>
      </c>
      <c r="AL236" s="95">
        <f>ППД5[[#This Row],[ТП Площадь без летних]]+(ППД5[[#This Row],[ТП Летние]])</f>
        <v>80.25</v>
      </c>
      <c r="AM236" s="91">
        <f>ППД5[[#This Row],[ТП общая S]]-ППД5[[#This Row],[кроме того прочая
(без коэффициента)]]</f>
        <v>77.5</v>
      </c>
      <c r="AN236" s="95">
        <f>SUM(ППД5[[#This Row],[ТП Кухня]:[ТП Коридор]])</f>
        <v>31.900000000000002</v>
      </c>
      <c r="AO236" s="91">
        <f>ППД5[[#This Row],[Расчетная ТП площадь]]-ППД5[[#This Row],[Расчетная проектная площадь]]</f>
        <v>-0.71999999999999886</v>
      </c>
      <c r="AP236" s="335">
        <f>ППД5[[#This Row],[Расчетная ТП площадь]]/ППД5[[#This Row],[Расчетная проектная площадь]]-1</f>
        <v>-8.8921822897368719E-3</v>
      </c>
      <c r="AQ236" s="91">
        <f>ППД5[[#This Row],[% расхождения]]*ППД5[[#This Row],[Стоимость до скидки]]</f>
        <v>-66379.251574656781</v>
      </c>
      <c r="AR236" s="91">
        <f>VLOOKUP(ППД5[[#This Row],[№]],наценкад5[],COLUMN(наценкад5[[#This Row],[Цена м2 с учетом всех K]]),0)</f>
        <v>73520.37000000001</v>
      </c>
      <c r="AS236" s="8">
        <f>ППД5[[#This Row],[м2 после К]]*5%</f>
        <v>3676.0185000000006</v>
      </c>
      <c r="AT236" s="8">
        <f>ППД5[[#This Row],[м2 после К]]+ППД5[[#This Row],[Повышение 16.08.23 - 5%]]</f>
        <v>77196.388500000015</v>
      </c>
      <c r="AU236" s="93">
        <f>ППД5[[#This Row],[Фикс 16.08.23]]*3%</f>
        <v>2315.8916550000004</v>
      </c>
      <c r="AV236" s="93">
        <f>ППД5[[#This Row],[Фикс 16.08.23]]+ППД5[[#This Row],[Повышение 29.08.23 - 3%]]</f>
        <v>79512.280155000015</v>
      </c>
      <c r="AW236" s="93"/>
      <c r="AX236" s="93">
        <f>ППД5[[#This Row],[Фикс 29.08.23]]+ППД5[[#This Row],[Повышение 06.09.23 СТ и 1К]]</f>
        <v>79512.280155000015</v>
      </c>
      <c r="AY236" s="93"/>
      <c r="AZ236" s="93">
        <f>ППД5[[#This Row],[Повышение 23.10.23  В4 ]]+ППД5[[#This Row],[Фикс 06.09.23]]</f>
        <v>79512.280155000015</v>
      </c>
      <c r="BA236" s="93"/>
      <c r="BB236" s="93">
        <f>ППД5[[#This Row],[Повышение 8.11.23 1К 5%]]+ППД5[[#This Row],[Фикс 23.10.23]]</f>
        <v>79512.280155000015</v>
      </c>
      <c r="BC236" s="93"/>
      <c r="BD236" s="93">
        <f>ППД5[[#This Row],[Корректировка 24.11.23 - 1К В5, 2К А2, №233]]+ППД5[[#This Row],[Фикс 8.11.23]]</f>
        <v>79512.280155000015</v>
      </c>
      <c r="BE236" s="93">
        <f>ППД5[[#This Row],[Фикс 8.11.24]]*1%</f>
        <v>795.12280155000019</v>
      </c>
      <c r="BF236" s="93">
        <f>ППД5[[#This Row],[Наценка за отделку 29.12.23 1%]]+ППД5[[#This Row],[Фикс 8.11.24]]</f>
        <v>80307.40295655001</v>
      </c>
      <c r="BG236" s="93">
        <f>ППД5[[#This Row],[Фикс 29.12.23]]*5%</f>
        <v>4015.3701478275007</v>
      </c>
      <c r="BH236" s="93">
        <f>ППД5[[#This Row],[Фикс 29.12.23]]+ППД5[[#This Row],[Наценка 10.01.24 5%]]</f>
        <v>84322.773104377513</v>
      </c>
      <c r="BI236" s="93"/>
      <c r="BJ236" s="93">
        <f>ППД5[[#This Row],[Наценка 26.02.24 1 Этаж]]+ППД5[[#This Row],[Фикс 10.01.24]]</f>
        <v>84322.773104377513</v>
      </c>
      <c r="BK236" s="93">
        <f>ППД5[[#This Row],[Фикс 26.02.24]]*2%</f>
        <v>1686.4554620875504</v>
      </c>
      <c r="BL236" s="93">
        <f>ППД5[[#This Row],[Фикс 26.02.24]]+ППД5[[#This Row],[Наценка 06.03.24
СТ, 1К - 3%
2К, 3К - 2%]]</f>
        <v>86009.22856646507</v>
      </c>
      <c r="BM236" s="93"/>
      <c r="BN236" s="93">
        <f>ППД5[[#This Row],[Фикс 06.03.24]]+ППД5[[#This Row],[Наценка Г2+500]]</f>
        <v>86009.22856646507</v>
      </c>
      <c r="BO236" s="93">
        <f>ППД5[[#This Row],[Фикс 13.03.25]]*2%</f>
        <v>1720.1845713293014</v>
      </c>
      <c r="BP236" s="93">
        <f>ППД5[[#This Row],[Фикс 13.03.25]]+ППД5[[#This Row],[Наценка 20.03.24
2К, 3К - 2%]]</f>
        <v>87729.41313779437</v>
      </c>
      <c r="BQ236" s="93"/>
      <c r="BR236" s="93">
        <f>ППД5[[#This Row],[Фикс 20.03.24]]+ППД5[[#This Row],[Наценка 08.04.24 
2К: В3 - 150
3К: Г7 +1000]]</f>
        <v>87729.41313779437</v>
      </c>
      <c r="BS236" s="93">
        <f>ППД5[[#This Row],[Фикс 08.04.24]]*1%</f>
        <v>877.2941313779437</v>
      </c>
      <c r="BT236" s="93">
        <f>ППД5[[#This Row],[Фикс 08.04.24]]+ППД5[[#This Row],[Наценка 16.05.24 1%
А4,А6,Б3,Б6,Б7,В2,В3,В5,В6,Г1,Г3-Г5]]</f>
        <v>88606.707269172315</v>
      </c>
      <c r="BU236" s="93"/>
      <c r="BV236" s="93">
        <f>ППД5[[#This Row],[Фикс 16.05.24]]+ППД5[[#This Row],[Наценка 24.05.24
1% - Б4, Б5,Г2,Г6
2% - А1,А3,А5,Б2,Г7]]</f>
        <v>88606.707269172315</v>
      </c>
      <c r="BW236" s="93">
        <f>ППД5[[#This Row],[Фикс 24.05.24]]*0.5%</f>
        <v>443.03353634586159</v>
      </c>
      <c r="BX236" s="93">
        <f>ППД5[[#This Row],[Наценка 06.06.24
0К: В2,Г3 +0,5%
1К: А7, Б5/4, Г6 +0,5%
3К: В6 +0,5%
1К: А3 +1%]]+ППД5[[#This Row],[Фикс 24.05.24]]</f>
        <v>89049.740805518173</v>
      </c>
      <c r="BY236" s="93">
        <f>ППД5[[#This Row],[Фикс 06.06.24]]*2%</f>
        <v>1780.9948161103634</v>
      </c>
      <c r="BZ236" s="93">
        <f>ППД5[[#This Row],[Фикс 06.06.24]]+ППД5[[#This Row],[13.06.2024
3К - 2%]]</f>
        <v>90830.735621628541</v>
      </c>
      <c r="CA236" s="93">
        <f>1.5%*ППД5[[#This Row],[Фикс 13.06.24]]</f>
        <v>1362.4610343244281</v>
      </c>
      <c r="CB236" s="93">
        <f>ППД5[[#This Row],[02.07.2024: Г3 А1 А3 Б5 Б7 Г2 Г6 Б3 Б4 В3 Г7 2,5% ост 0,5-1,5%]]+ППД5[[#This Row],[Фикс 13.06.24]]</f>
        <v>92193.196655952968</v>
      </c>
      <c r="CC236" s="93"/>
      <c r="CD236" s="93">
        <f>ППД5[[#This Row],[Фикс 02.07.24]]+ППД5[[#This Row],[04.09.2024 +500
0К - Б2; 1К - А3;
2К - А6, Б4, В3, Г5]]</f>
        <v>92193.196655952968</v>
      </c>
      <c r="CE236" s="93"/>
      <c r="CF236" s="93">
        <f>ППД5[[#This Row],[Наценка 16.09.2024
1К: А1,В7,Г6/7,Г8 - 2%
2К: А4,А5,А6,Б1,Б6,Б3/4,В3,В4,Г4,Г5 - 4%
3К: 4%]]+ППД5[[#This Row],[Фикс 04.09.24]]</f>
        <v>92193.196655952968</v>
      </c>
      <c r="CG236" s="93"/>
      <c r="CH236" s="93">
        <f>ППД5[[#This Row],[Фикс 16.09.2024]]+ППД5[[#This Row],[Наценка 01.11.24
СТ: 4%
1К: 34-40м 5%; 40м+ 8%; МГН 1%
2К: 55-70м 6%; 70-73м 7%; 73-76м 8% 
3К: 5%]]</f>
        <v>92193.196655952968</v>
      </c>
      <c r="CI236" s="93"/>
      <c r="CJ236" s="93">
        <f>ППД5[[#This Row],[Наценка 06.11 13%]]+ППД5[[#This Row],[Фикс 01.11.24]]</f>
        <v>92193.196655952968</v>
      </c>
      <c r="CK236" s="93"/>
      <c r="CL236" s="93">
        <f>ППД5[[#This Row],[Фикс 06.11.24]]+ППД5[[#This Row],[Наценка 18.12.24 распределение КВ]]</f>
        <v>92193.196655952968</v>
      </c>
      <c r="CM236" s="93"/>
      <c r="CN236" s="93">
        <f>ППД5[[#This Row],[Фикс 18.12.24]]+ППД5[[#This Row],[Наценка 10.02.25 +1%
1К: А3
2К: Б3, В3]]</f>
        <v>92193.196655952968</v>
      </c>
      <c r="CO236" s="93">
        <f>ROUND(ППД5[[#This Row],[Фикс 10.02.25]],2)</f>
        <v>92193.2</v>
      </c>
      <c r="CP23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7464900</v>
      </c>
      <c r="CQ236" s="93">
        <f>ROUNDUP(ППД5[[#This Row],[Стоимость до скидки]]+ППД5[[#This Row],[Сумма доплаты]],-2)</f>
        <v>7398600</v>
      </c>
      <c r="CR236" s="68"/>
      <c r="CS236" s="90">
        <v>0.03</v>
      </c>
      <c r="CT236" s="68">
        <f>ППД5[[#This Row],[Стоимость до скидки]]*ППД5[[#This Row],[Скидка %]]+ППД5[[#This Row],[Скидка фиксированная]]</f>
        <v>223947</v>
      </c>
      <c r="CU236" s="3">
        <f>ППД5[[#This Row],[Стоимость ОН без отделки со скидкой]]/ППД5[[#This Row],[Расчетная проектная площадь]]</f>
        <v>89427.602815857725</v>
      </c>
      <c r="CV236" s="3">
        <f>ROUND(ППД5[[#This Row],[Стоимость до скидки]]-ППД5[[#This Row],[Итоговая сумма скидки]],2)</f>
        <v>7240953</v>
      </c>
      <c r="CW23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236" s="197">
        <v>7000</v>
      </c>
      <c r="CY236" s="332">
        <f>ППД5[[#This Row],[Расхождение]]/ППД5[[#This Row],[Расчетная проектная площадь]]</f>
        <v>-8.8921822897369256E-3</v>
      </c>
      <c r="CZ23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-0.15000000000000036</v>
      </c>
      <c r="DA236" s="3">
        <f>ППД5[[#This Row],[Цена м2 без отделки со скидкой]]+ППД5[[#This Row],[Стоимость отделки]]</f>
        <v>96427.602815857725</v>
      </c>
      <c r="DB236" s="3">
        <f>ППД5[[#This Row],[Стоимость квартиры с отделкой]]-ППД5[[#This Row],[Стоимость ОН без отделки со скидкой]]</f>
        <v>566790</v>
      </c>
      <c r="DC236" s="3">
        <f>ППД5[[#This Row],[Цена м2 с отделкой]]*ППД5[[#This Row],[Расчетная проектная площадь]]</f>
        <v>7807743</v>
      </c>
      <c r="DD236" s="3"/>
      <c r="DE236" s="111" t="s">
        <v>162</v>
      </c>
      <c r="DF236" s="155" t="s">
        <v>172</v>
      </c>
      <c r="DG236" s="245" t="s">
        <v>172</v>
      </c>
      <c r="DH236" s="100" t="b">
        <f>EXACT(ППД5[[#This Row],[Статусы CRM]],ППД5[[#This Row],[Статус]])</f>
        <v>1</v>
      </c>
      <c r="DI236" s="213" t="s">
        <v>408</v>
      </c>
      <c r="DJ236" s="204"/>
      <c r="DK236" s="111" t="s">
        <v>763</v>
      </c>
      <c r="DL236" s="216" t="s">
        <v>780</v>
      </c>
      <c r="DM236" s="201" t="b">
        <f>ППД5[[#This Row],[Отделка CRM]]=ППД5[[#This Row],[Отделка]]</f>
        <v>1</v>
      </c>
      <c r="DN236" s="203">
        <v>7807743</v>
      </c>
      <c r="DO23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36" s="207" t="b">
        <f>IF(AND(ППД5[[#This Row],[Статус]]="свободно",ППД5[[#This Row],[Итоговая сумма скидки]]&lt;&gt;0),FALSE,TRUE)</f>
        <v>1</v>
      </c>
      <c r="DQ236" s="240">
        <f>_xlfn.XLOOKUP(ППД5[[#This Row],[№]],Юрист[№ кв],Юрист[Дата подачи на регистрацию]," ",0,-1)</f>
        <v>45563</v>
      </c>
      <c r="DR236" s="115" t="str">
        <f>_xlfn.XLOOKUP(ППД5[[#This Row],[№]],Юрист[№ кв],Юрист[МОП],"",0,-1)</f>
        <v>Никишов</v>
      </c>
      <c r="DS236" s="333" t="s">
        <v>2764</v>
      </c>
      <c r="DT236" s="333" t="s">
        <v>2765</v>
      </c>
      <c r="DU236" s="333">
        <v>77.5</v>
      </c>
      <c r="DV236" s="111"/>
    </row>
    <row r="237" spans="1:126" hidden="1" x14ac:dyDescent="0.25">
      <c r="A237" s="112">
        <v>235</v>
      </c>
      <c r="B237" s="111" t="s">
        <v>3</v>
      </c>
      <c r="C237" s="111">
        <v>2</v>
      </c>
      <c r="D237" s="111">
        <v>7</v>
      </c>
      <c r="E237" s="111">
        <v>1</v>
      </c>
      <c r="F237" s="105">
        <v>14.3</v>
      </c>
      <c r="G237" s="105"/>
      <c r="H237" s="105"/>
      <c r="I237" s="94">
        <f>SUM(ППД5[[#This Row],[Комната 1]:[Комната 3]])</f>
        <v>14.3</v>
      </c>
      <c r="J237" s="105">
        <v>9.2799999999999994</v>
      </c>
      <c r="K237" s="105">
        <v>3.79</v>
      </c>
      <c r="L237" s="105"/>
      <c r="M237" s="105"/>
      <c r="N237" s="105">
        <v>6.08</v>
      </c>
      <c r="O237" s="105">
        <v>2.71</v>
      </c>
      <c r="P237" s="105"/>
      <c r="Q237" s="105"/>
      <c r="R237" s="105">
        <f>SUM(ППД5[[#This Row],[Лоджия 1]:[Лоджия 3]])</f>
        <v>2.71</v>
      </c>
      <c r="S237" s="8">
        <f>ROUND(SUM(ППД5[[#This Row],[Площадь по проекту жилая]:[Лоджия 3]]),2)</f>
        <v>36.159999999999997</v>
      </c>
      <c r="T237" s="8">
        <f>ROUND(ППД5[[#This Row],[Площадь по проекту(общая)]]-ППД5[[#This Row],[Летние]],2)</f>
        <v>33.450000000000003</v>
      </c>
      <c r="U237" s="91">
        <f>ROUND(ППД5[[#This Row],[Площадь по проекту(общая)]]-(SUM(ППД5[[#This Row],[Лоджия 1]:[Лоджия 3]])/2),2)</f>
        <v>34.81</v>
      </c>
      <c r="V237" s="91">
        <f>IF(ППД5[[#This Row],[Статус]]="продажа",ППД5[[#This Row],[Расчетная проектная площадь]],ППД5[[#This Row],[Расчетная ТП площадь]])</f>
        <v>34.81</v>
      </c>
      <c r="W237" s="91">
        <v>14.3</v>
      </c>
      <c r="X237" s="91"/>
      <c r="Y237" s="91"/>
      <c r="Z237" s="91">
        <f>SUM(ППД5[[#This Row],[ТП Комната 1]:[ТП Комната 3]])</f>
        <v>14.3</v>
      </c>
      <c r="AA237" s="91">
        <v>9.1999999999999993</v>
      </c>
      <c r="AB237" s="91">
        <v>3.8</v>
      </c>
      <c r="AC237" s="91"/>
      <c r="AD237" s="91"/>
      <c r="AE237" s="91">
        <v>6.2</v>
      </c>
      <c r="AF237" s="91">
        <v>1.35</v>
      </c>
      <c r="AG237" s="91"/>
      <c r="AH237" s="91"/>
      <c r="AI237" s="91">
        <f>SUM(ППД5[[#This Row],[ТП Лоджия 1]:[ТП Лоджия 3]])</f>
        <v>1.35</v>
      </c>
      <c r="AJ237" s="95">
        <v>2.7</v>
      </c>
      <c r="AK237" s="91">
        <f>SUM(ППД5[[#This Row],[Площадь по ТП жилая]:[ТП Лоджия 3]])-ППД5[[#This Row],[ТП Летние]]+ППД5[[#This Row],[кроме того прочая
(без коэффициента)]]</f>
        <v>36.200000000000003</v>
      </c>
      <c r="AL237" s="95">
        <f>ППД5[[#This Row],[ТП Площадь без летних]]+(ППД5[[#This Row],[ТП Летние]])</f>
        <v>34.85</v>
      </c>
      <c r="AM237" s="91">
        <f>ППД5[[#This Row],[ТП общая S]]-ППД5[[#This Row],[кроме того прочая
(без коэффициента)]]</f>
        <v>33.5</v>
      </c>
      <c r="AN237" s="95">
        <f>SUM(ППД5[[#This Row],[ТП Кухня]:[ТП Коридор]])</f>
        <v>19.2</v>
      </c>
      <c r="AO237" s="91">
        <f>ППД5[[#This Row],[Расчетная ТП площадь]]-ППД5[[#This Row],[Расчетная проектная площадь]]</f>
        <v>3.9999999999999147E-2</v>
      </c>
      <c r="AP237" s="335">
        <f>ППД5[[#This Row],[Расчетная ТП площадь]]/ППД5[[#This Row],[Расчетная проектная площадь]]-1</f>
        <v>1.1490950876185124E-3</v>
      </c>
      <c r="AQ237" s="91">
        <f>ППД5[[#This Row],[% расхождения]]*ППД5[[#This Row],[Стоимость до скидки]]</f>
        <v>4180.1843952887539</v>
      </c>
      <c r="AR237" s="91">
        <f>VLOOKUP(ППД5[[#This Row],[№]],наценкад5[],COLUMN(наценкад5[[#This Row],[Цена м2 с учетом всех K]]),0)</f>
        <v>84762.5625</v>
      </c>
      <c r="AS237" s="8">
        <f>ППД5[[#This Row],[м2 после К]]*5%</f>
        <v>4238.1281250000002</v>
      </c>
      <c r="AT237" s="8">
        <f>ППД5[[#This Row],[м2 после К]]+ППД5[[#This Row],[Повышение 16.08.23 - 5%]]</f>
        <v>89000.690625000003</v>
      </c>
      <c r="AU237" s="93">
        <f>ППД5[[#This Row],[Фикс 16.08.23]]*3%</f>
        <v>2670.02071875</v>
      </c>
      <c r="AV237" s="93">
        <f>ППД5[[#This Row],[Фикс 16.08.23]]+ППД5[[#This Row],[Повышение 29.08.23 - 3%]]</f>
        <v>91670.711343750008</v>
      </c>
      <c r="AW237" s="93">
        <f>ППД5[[#This Row],[Фикс 29.08.23]]*14%</f>
        <v>12833.899588125003</v>
      </c>
      <c r="AX237" s="93">
        <f>ППД5[[#This Row],[Фикс 29.08.23]]+ППД5[[#This Row],[Повышение 06.09.23 СТ и 1К]]</f>
        <v>104504.61093187501</v>
      </c>
      <c r="AY237" s="93"/>
      <c r="AZ237" s="93">
        <f>ППД5[[#This Row],[Повышение 23.10.23  В4 ]]+ППД5[[#This Row],[Фикс 06.09.23]]</f>
        <v>104504.61093187501</v>
      </c>
      <c r="BA237" s="93"/>
      <c r="BB237" s="93">
        <f>ППД5[[#This Row],[Повышение 8.11.23 1К 5%]]+ППД5[[#This Row],[Фикс 23.10.23]]</f>
        <v>104504.61093187501</v>
      </c>
      <c r="BC237" s="93"/>
      <c r="BD237" s="93">
        <f>ППД5[[#This Row],[Корректировка 24.11.23 - 1К В5, 2К А2, №233]]+ППД5[[#This Row],[Фикс 8.11.23]]</f>
        <v>104504.61093187501</v>
      </c>
      <c r="BE237" s="93"/>
      <c r="BF237" s="93">
        <f>ППД5[[#This Row],[Наценка за отделку 29.12.23 1%]]+ППД5[[#This Row],[Фикс 8.11.24]]</f>
        <v>104504.61093187501</v>
      </c>
      <c r="BG237" s="93"/>
      <c r="BH237" s="93">
        <f>ППД5[[#This Row],[Фикс 29.12.23]]+ППД5[[#This Row],[Наценка 10.01.24 5%]]</f>
        <v>104504.61093187501</v>
      </c>
      <c r="BI237" s="93"/>
      <c r="BJ237" s="93">
        <f>ППД5[[#This Row],[Наценка 26.02.24 1 Этаж]]+ППД5[[#This Row],[Фикс 10.01.24]]</f>
        <v>104504.61093187501</v>
      </c>
      <c r="BK237" s="93"/>
      <c r="BL237" s="93">
        <f>ППД5[[#This Row],[Фикс 26.02.24]]+ППД5[[#This Row],[Наценка 06.03.24
СТ, 1К - 3%
2К, 3К - 2%]]</f>
        <v>104504.61093187501</v>
      </c>
      <c r="BM237" s="93"/>
      <c r="BN237" s="93">
        <f>ППД5[[#This Row],[Фикс 06.03.24]]+ППД5[[#This Row],[Наценка Г2+500]]</f>
        <v>104504.61093187501</v>
      </c>
      <c r="BO237" s="93"/>
      <c r="BP237" s="93">
        <f>ППД5[[#This Row],[Фикс 13.03.25]]+ППД5[[#This Row],[Наценка 20.03.24
2К, 3К - 2%]]</f>
        <v>104504.61093187501</v>
      </c>
      <c r="BQ237" s="93"/>
      <c r="BR237" s="93">
        <f>ППД5[[#This Row],[Фикс 20.03.24]]+ППД5[[#This Row],[Наценка 08.04.24 
2К: В3 - 150
3К: Г7 +1000]]</f>
        <v>104504.61093187501</v>
      </c>
      <c r="BS237" s="93"/>
      <c r="BT237" s="93">
        <f>ППД5[[#This Row],[Фикс 08.04.24]]+ППД5[[#This Row],[Наценка 16.05.24 1%
А4,А6,Б3,Б6,Б7,В2,В3,В5,В6,Г1,Г3-Г5]]</f>
        <v>104504.61093187501</v>
      </c>
      <c r="BU237" s="93"/>
      <c r="BV237" s="93">
        <f>ППД5[[#This Row],[Фикс 16.05.24]]+ППД5[[#This Row],[Наценка 24.05.24
1% - Б4, Б5,Г2,Г6
2% - А1,А3,А5,Б2,Г7]]</f>
        <v>104504.61093187501</v>
      </c>
      <c r="BW237" s="93"/>
      <c r="BX237" s="93">
        <f>ППД5[[#This Row],[Наценка 06.06.24
0К: В2,Г3 +0,5%
1К: А7, Б5/4, Г6 +0,5%
3К: В6 +0,5%
1К: А3 +1%]]+ППД5[[#This Row],[Фикс 24.05.24]]</f>
        <v>104504.61093187501</v>
      </c>
      <c r="BY237" s="93"/>
      <c r="BZ237" s="93">
        <f>ППД5[[#This Row],[Фикс 06.06.24]]+ППД5[[#This Row],[13.06.2024
3К - 2%]]</f>
        <v>104504.61093187501</v>
      </c>
      <c r="CA237" s="93"/>
      <c r="CB237" s="93">
        <f>ППД5[[#This Row],[02.07.2024: Г3 А1 А3 Б5 Б7 Г2 Г6 Б3 Б4 В3 Г7 2,5% ост 0,5-1,5%]]+ППД5[[#This Row],[Фикс 13.06.24]]</f>
        <v>104504.61093187501</v>
      </c>
      <c r="CC237" s="93"/>
      <c r="CD237" s="93">
        <f>ППД5[[#This Row],[Фикс 02.07.24]]+ППД5[[#This Row],[04.09.2024 +500
0К - Б2; 1К - А3;
2К - А6, Б4, В3, Г5]]</f>
        <v>104504.61093187501</v>
      </c>
      <c r="CE237" s="93"/>
      <c r="CF237" s="93">
        <f>ППД5[[#This Row],[Наценка 16.09.2024
1К: А1,В7,Г6/7,Г8 - 2%
2К: А4,А5,А6,Б1,Б6,Б3/4,В3,В4,Г4,Г5 - 4%
3К: 4%]]+ППД5[[#This Row],[Фикс 04.09.24]]</f>
        <v>104504.61093187501</v>
      </c>
      <c r="CG237" s="93"/>
      <c r="CH237" s="93">
        <f>ППД5[[#This Row],[Фикс 16.09.2024]]+ППД5[[#This Row],[Наценка 01.11.24
СТ: 4%
1К: 34-40м 5%; 40м+ 8%; МГН 1%
2К: 55-70м 6%; 70-73м 7%; 73-76м 8% 
3К: 5%]]</f>
        <v>104504.61093187501</v>
      </c>
      <c r="CI237" s="93"/>
      <c r="CJ237" s="93">
        <f>ППД5[[#This Row],[Наценка 06.11 13%]]+ППД5[[#This Row],[Фикс 01.11.24]]</f>
        <v>104504.61093187501</v>
      </c>
      <c r="CK237" s="93"/>
      <c r="CL237" s="93">
        <f>ППД5[[#This Row],[Фикс 06.11.24]]+ППД5[[#This Row],[Наценка 18.12.24 распределение КВ]]</f>
        <v>104504.61093187501</v>
      </c>
      <c r="CM237" s="93"/>
      <c r="CN237" s="93">
        <f>ППД5[[#This Row],[Фикс 18.12.24]]+ППД5[[#This Row],[Наценка 10.02.25 +1%
1К: А3
2К: Б3, В3]]</f>
        <v>104504.61093187501</v>
      </c>
      <c r="CO237" s="93">
        <f>ROUND(ППД5[[#This Row],[Фикс 10.02.25]],2)</f>
        <v>104504.61</v>
      </c>
      <c r="CP23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3637805.47</v>
      </c>
      <c r="CQ237" s="93">
        <f>ROUNDUP(ППД5[[#This Row],[Стоимость до скидки]]+ППД5[[#This Row],[Сумма доплаты]],-2)</f>
        <v>3642000</v>
      </c>
      <c r="CR237" s="68"/>
      <c r="CS237" s="90"/>
      <c r="CT237" s="68">
        <f>ППД5[[#This Row],[Стоимость до скидки]]*ППД5[[#This Row],[Скидка %]]+ППД5[[#This Row],[Скидка фиксированная]]</f>
        <v>0</v>
      </c>
      <c r="CU237" s="3">
        <f>ППД5[[#This Row],[Стоимость ОН без отделки со скидкой]]/ППД5[[#This Row],[Расчетная проектная площадь]]</f>
        <v>104504.60988221776</v>
      </c>
      <c r="CV237" s="3">
        <f>ROUND(ППД5[[#This Row],[Стоимость до скидки]]-ППД5[[#This Row],[Итоговая сумма скидки]],2)</f>
        <v>3637805.47</v>
      </c>
      <c r="CW23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37" s="197"/>
      <c r="CY237" s="332">
        <f>ППД5[[#This Row],[Расхождение]]/ППД5[[#This Row],[Расчетная проектная площадь]]</f>
        <v>1.1490950876184758E-3</v>
      </c>
      <c r="CZ23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4.9999999999998934E-2</v>
      </c>
      <c r="DA237" s="3">
        <f>ППД5[[#This Row],[Цена м2 без отделки со скидкой]]+ППД5[[#This Row],[Стоимость отделки]]</f>
        <v>104504.60988221776</v>
      </c>
      <c r="DB237" s="3">
        <f>ППД5[[#This Row],[Стоимость квартиры с отделкой]]-ППД5[[#This Row],[Стоимость ОН без отделки со скидкой]]</f>
        <v>0</v>
      </c>
      <c r="DC237" s="3">
        <f>ППД5[[#This Row],[Цена м2 с отделкой]]*ППД5[[#This Row],[Расчетная проектная площадь]]</f>
        <v>3637805.47</v>
      </c>
      <c r="DD237" s="3" t="s">
        <v>154</v>
      </c>
      <c r="DF237" s="199" t="s">
        <v>172</v>
      </c>
      <c r="DG237" s="245" t="s">
        <v>172</v>
      </c>
      <c r="DH237" s="100" t="b">
        <f>EXACT(ППД5[[#This Row],[Статусы CRM]],ППД5[[#This Row],[Статус]])</f>
        <v>1</v>
      </c>
      <c r="DI237" s="213" t="s">
        <v>409</v>
      </c>
      <c r="DJ237" s="204"/>
      <c r="DK237" s="111" t="s">
        <v>76</v>
      </c>
      <c r="DL237" s="216" t="s">
        <v>12</v>
      </c>
      <c r="DM237" s="201" t="b">
        <f>ППД5[[#This Row],[Отделка CRM]]=ППД5[[#This Row],[Отделка]]</f>
        <v>1</v>
      </c>
      <c r="DN237" s="203">
        <v>3637805.47</v>
      </c>
      <c r="DO23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37" s="207" t="b">
        <f>IF(AND(ППД5[[#This Row],[Статус]]="свободно",ППД5[[#This Row],[Итоговая сумма скидки]]&lt;&gt;0),FALSE,TRUE)</f>
        <v>1</v>
      </c>
      <c r="DQ237" s="240">
        <f>_xlfn.XLOOKUP(ППД5[[#This Row],[№]],Юрист[№ кв],Юрист[Дата подачи на регистрацию]," ",0,-1)</f>
        <v>45233</v>
      </c>
      <c r="DR237" s="115" t="str">
        <f>_xlfn.XLOOKUP(ППД5[[#This Row],[№]],Юрист[№ кв],Юрист[МОП],"",0,-1)</f>
        <v>Дик</v>
      </c>
      <c r="DS237" s="333" t="s">
        <v>2766</v>
      </c>
      <c r="DT237" s="333" t="s">
        <v>2767</v>
      </c>
      <c r="DU237" s="333">
        <v>33.5</v>
      </c>
      <c r="DV237" s="111"/>
    </row>
    <row r="238" spans="1:126" hidden="1" x14ac:dyDescent="0.25">
      <c r="A238" s="112">
        <v>236</v>
      </c>
      <c r="B238" s="111" t="s">
        <v>3</v>
      </c>
      <c r="C238" s="111">
        <v>3</v>
      </c>
      <c r="D238" s="338">
        <v>1</v>
      </c>
      <c r="E238" s="111">
        <v>2</v>
      </c>
      <c r="F238" s="105">
        <v>17.63</v>
      </c>
      <c r="G238" s="105">
        <v>13.69</v>
      </c>
      <c r="H238" s="105"/>
      <c r="I238" s="94">
        <f>SUM(ППД5[[#This Row],[Комната 1]:[Комната 3]])</f>
        <v>31.32</v>
      </c>
      <c r="J238" s="105">
        <v>20.05</v>
      </c>
      <c r="K238" s="105">
        <v>3.54</v>
      </c>
      <c r="L238" s="105">
        <v>2.93</v>
      </c>
      <c r="M238" s="105"/>
      <c r="N238" s="105">
        <v>12.19</v>
      </c>
      <c r="O238" s="105">
        <v>4.6500000000000004</v>
      </c>
      <c r="P238" s="105">
        <v>2.68</v>
      </c>
      <c r="Q238" s="105"/>
      <c r="R238" s="105">
        <f>SUM(ППД5[[#This Row],[Лоджия 1]:[Лоджия 3]])</f>
        <v>7.33</v>
      </c>
      <c r="S238" s="8">
        <f>ROUND(SUM(ППД5[[#This Row],[Площадь по проекту жилая]:[Лоджия 3]]),2)</f>
        <v>77.36</v>
      </c>
      <c r="T238" s="8">
        <f>ROUND(ППД5[[#This Row],[Площадь по проекту(общая)]]-ППД5[[#This Row],[Летние]],2)</f>
        <v>70.03</v>
      </c>
      <c r="U238" s="91">
        <f>ROUND(ППД5[[#This Row],[Площадь по проекту(общая)]]-(SUM(ППД5[[#This Row],[Лоджия 1]:[Лоджия 3]])/2),2)</f>
        <v>73.7</v>
      </c>
      <c r="V238" s="91">
        <f>IF(ППД5[[#This Row],[Статус]]="продажа",ППД5[[#This Row],[Расчетная проектная площадь]],ППД5[[#This Row],[Расчетная ТП площадь]])</f>
        <v>73.3</v>
      </c>
      <c r="W238" s="91">
        <v>17.600000000000001</v>
      </c>
      <c r="X238" s="91">
        <v>13.6</v>
      </c>
      <c r="Y238" s="91"/>
      <c r="Z238" s="91">
        <f>SUM(ППД5[[#This Row],[ТП Комната 1]:[ТП Комната 3]])</f>
        <v>31.200000000000003</v>
      </c>
      <c r="AA238" s="91">
        <v>20</v>
      </c>
      <c r="AB238" s="91">
        <v>3.5</v>
      </c>
      <c r="AC238" s="91">
        <v>2.9</v>
      </c>
      <c r="AD238" s="91"/>
      <c r="AE238" s="91">
        <v>12.1</v>
      </c>
      <c r="AF238" s="91">
        <v>1.3</v>
      </c>
      <c r="AG238" s="91">
        <v>2.2999999999999998</v>
      </c>
      <c r="AH238" s="91"/>
      <c r="AI238" s="91">
        <f>SUM(ППД5[[#This Row],[ТП Лоджия 1]:[ТП Лоджия 3]])</f>
        <v>3.5999999999999996</v>
      </c>
      <c r="AJ238" s="95">
        <v>7.1999999999999993</v>
      </c>
      <c r="AK238" s="91">
        <f>SUM(ППД5[[#This Row],[Площадь по ТП жилая]:[ТП Лоджия 3]])-ППД5[[#This Row],[ТП Летние]]+ППД5[[#This Row],[кроме того прочая
(без коэффициента)]]</f>
        <v>76.900000000000006</v>
      </c>
      <c r="AL238" s="95">
        <f>ППД5[[#This Row],[ТП Площадь без летних]]+(ППД5[[#This Row],[ТП Летние]])</f>
        <v>73.3</v>
      </c>
      <c r="AM238" s="91">
        <f>ППД5[[#This Row],[ТП общая S]]-ППД5[[#This Row],[кроме того прочая
(без коэффициента)]]</f>
        <v>69.7</v>
      </c>
      <c r="AN238" s="95">
        <f>SUM(ППД5[[#This Row],[ТП Кухня]:[ТП Коридор]])</f>
        <v>38.5</v>
      </c>
      <c r="AO238" s="91">
        <f>ППД5[[#This Row],[Расчетная ТП площадь]]-ППД5[[#This Row],[Расчетная проектная площадь]]</f>
        <v>-0.40000000000000568</v>
      </c>
      <c r="AP238" s="335">
        <f>ППД5[[#This Row],[Расчетная ТП площадь]]/ППД5[[#This Row],[Расчетная проектная площадь]]-1</f>
        <v>-5.4274084124831257E-3</v>
      </c>
      <c r="AQ238" s="91">
        <f>ППД5[[#This Row],[% расхождения]]*ППД5[[#This Row],[Стоимость до скидки]]</f>
        <v>-46575.848032565191</v>
      </c>
      <c r="AR238" s="91">
        <f>VLOOKUP(ППД5[[#This Row],[№]],наценкад5[],COLUMN(наценкад5[[#This Row],[Цена м2 с учетом всех K]]),0)</f>
        <v>79535.67300000001</v>
      </c>
      <c r="AS238" s="8">
        <f>ППД5[[#This Row],[м2 после К]]*5%</f>
        <v>3976.7836500000008</v>
      </c>
      <c r="AT238" s="8">
        <f>ППД5[[#This Row],[м2 после К]]+ППД5[[#This Row],[Повышение 16.08.23 - 5%]]</f>
        <v>83512.456650000007</v>
      </c>
      <c r="AU238" s="93">
        <f>ППД5[[#This Row],[Фикс 16.08.23]]*3%</f>
        <v>2505.3736994999999</v>
      </c>
      <c r="AV238" s="93">
        <f>ППД5[[#This Row],[Фикс 16.08.23]]+ППД5[[#This Row],[Повышение 29.08.23 - 3%]]</f>
        <v>86017.8303495</v>
      </c>
      <c r="AW238" s="93"/>
      <c r="AX238" s="93">
        <f>ППД5[[#This Row],[Фикс 29.08.23]]+ППД5[[#This Row],[Повышение 06.09.23 СТ и 1К]]</f>
        <v>86017.8303495</v>
      </c>
      <c r="AY238" s="93"/>
      <c r="AZ238" s="93">
        <f>ППД5[[#This Row],[Повышение 23.10.23  В4 ]]+ППД5[[#This Row],[Фикс 06.09.23]]</f>
        <v>86017.8303495</v>
      </c>
      <c r="BA238" s="93"/>
      <c r="BB238" s="93">
        <f>ППД5[[#This Row],[Повышение 8.11.23 1К 5%]]+ППД5[[#This Row],[Фикс 23.10.23]]</f>
        <v>86017.8303495</v>
      </c>
      <c r="BC238" s="93"/>
      <c r="BD238" s="93">
        <f>ППД5[[#This Row],[Корректировка 24.11.23 - 1К В5, 2К А2, №233]]+ППД5[[#This Row],[Фикс 8.11.23]]</f>
        <v>86017.8303495</v>
      </c>
      <c r="BE238" s="93">
        <f>ППД5[[#This Row],[Фикс 8.11.24]]*1%</f>
        <v>860.17830349500002</v>
      </c>
      <c r="BF238" s="93">
        <f>ППД5[[#This Row],[Наценка за отделку 29.12.23 1%]]+ППД5[[#This Row],[Фикс 8.11.24]]</f>
        <v>86878.008652995006</v>
      </c>
      <c r="BG238" s="93">
        <f>ППД5[[#This Row],[Фикс 29.12.23]]*5%</f>
        <v>4343.9004326497507</v>
      </c>
      <c r="BH238" s="93">
        <f>ППД5[[#This Row],[Фикс 29.12.23]]+ППД5[[#This Row],[Наценка 10.01.24 5%]]</f>
        <v>91221.909085644758</v>
      </c>
      <c r="BI238" s="93"/>
      <c r="BJ238" s="93">
        <f>ППД5[[#This Row],[Наценка 26.02.24 1 Этаж]]+ППД5[[#This Row],[Фикс 10.01.24]]</f>
        <v>91221.909085644758</v>
      </c>
      <c r="BK238" s="93">
        <f>ППД5[[#This Row],[Фикс 26.02.24]]*2%</f>
        <v>1824.4381817128951</v>
      </c>
      <c r="BL238" s="93">
        <f>ППД5[[#This Row],[Фикс 26.02.24]]+ППД5[[#This Row],[Наценка 06.03.24
СТ, 1К - 3%
2К, 3К - 2%]]</f>
        <v>93046.347267357647</v>
      </c>
      <c r="BM238" s="93"/>
      <c r="BN238" s="93">
        <f>ППД5[[#This Row],[Фикс 06.03.24]]+ППД5[[#This Row],[Наценка Г2+500]]</f>
        <v>93046.347267357647</v>
      </c>
      <c r="BO238" s="93">
        <f>ППД5[[#This Row],[Фикс 13.03.25]]*2%</f>
        <v>1860.9269453471529</v>
      </c>
      <c r="BP238" s="93">
        <f>ППД5[[#This Row],[Фикс 13.03.25]]+ППД5[[#This Row],[Наценка 20.03.24
2К, 3К - 2%]]</f>
        <v>94907.274212704797</v>
      </c>
      <c r="BQ238" s="93"/>
      <c r="BR238" s="93">
        <f>ППД5[[#This Row],[Фикс 20.03.24]]+ППД5[[#This Row],[Наценка 08.04.24 
2К: В3 - 150
3К: Г7 +1000]]</f>
        <v>94907.274212704797</v>
      </c>
      <c r="BS238" s="93"/>
      <c r="BT238" s="93">
        <f>ППД5[[#This Row],[Фикс 08.04.24]]+ППД5[[#This Row],[Наценка 16.05.24 1%
А4,А6,Б3,Б6,Б7,В2,В3,В5,В6,Г1,Г3-Г5]]</f>
        <v>94907.274212704797</v>
      </c>
      <c r="BU238" s="93"/>
      <c r="BV238" s="93">
        <f>ППД5[[#This Row],[Фикс 16.05.24]]+ППД5[[#This Row],[Наценка 24.05.24
1% - Б4, Б5,Г2,Г6
2% - А1,А3,А5,Б2,Г7]]</f>
        <v>94907.274212704797</v>
      </c>
      <c r="BW238" s="93"/>
      <c r="BX238" s="93">
        <f>ППД5[[#This Row],[Наценка 06.06.24
0К: В2,Г3 +0,5%
1К: А7, Б5/4, Г6 +0,5%
3К: В6 +0,5%
1К: А3 +1%]]+ППД5[[#This Row],[Фикс 24.05.24]]</f>
        <v>94907.274212704797</v>
      </c>
      <c r="BY238" s="93"/>
      <c r="BZ238" s="93">
        <f>ППД5[[#This Row],[Фикс 06.06.24]]+ППД5[[#This Row],[13.06.2024
3К - 2%]]</f>
        <v>94907.274212704797</v>
      </c>
      <c r="CA238" s="93">
        <f>0.5%*ППД5[[#This Row],[Фикс 13.06.24]]</f>
        <v>474.53637106352397</v>
      </c>
      <c r="CB238" s="93">
        <f>ППД5[[#This Row],[02.07.2024: Г3 А1 А3 Б5 Б7 Г2 Г6 Б3 Б4 В3 Г7 2,5% ост 0,5-1,5%]]+ППД5[[#This Row],[Фикс 13.06.24]]</f>
        <v>95381.810583768325</v>
      </c>
      <c r="CC238" s="93"/>
      <c r="CD238" s="93">
        <f>ППД5[[#This Row],[Фикс 02.07.24]]+ППД5[[#This Row],[04.09.2024 +500
0К - Б2; 1К - А3;
2К - А6, Б4, В3, Г5]]</f>
        <v>95381.810583768325</v>
      </c>
      <c r="CE238" s="93"/>
      <c r="CF238" s="93">
        <f>ППД5[[#This Row],[Наценка 16.09.2024
1К: А1,В7,Г6/7,Г8 - 2%
2К: А4,А5,А6,Б1,Б6,Б3/4,В3,В4,Г4,Г5 - 4%
3К: 4%]]+ППД5[[#This Row],[Фикс 04.09.24]]</f>
        <v>95381.810583768325</v>
      </c>
      <c r="CG238" s="93">
        <f>ППД5[[#This Row],[Фикс 16.09.2024]]*8%</f>
        <v>7630.5448467014658</v>
      </c>
      <c r="CH238" s="93">
        <f>ППД5[[#This Row],[Фикс 16.09.2024]]+ППД5[[#This Row],[Наценка 01.11.24
СТ: 4%
1К: 34-40м 5%; 40м+ 8%; МГН 1%
2К: 55-70м 6%; 70-73м 7%; 73-76м 8% 
3К: 5%]]</f>
        <v>103012.35543046979</v>
      </c>
      <c r="CI238" s="93">
        <f>ППД5[[#This Row],[Фикс 01.11.24]]*13%</f>
        <v>13391.606205961074</v>
      </c>
      <c r="CJ238" s="93">
        <f>ППД5[[#This Row],[Наценка 06.11 13%]]+ППД5[[#This Row],[Фикс 01.11.24]]</f>
        <v>116403.96163643086</v>
      </c>
      <c r="CK238" s="93">
        <v>35</v>
      </c>
      <c r="CL238" s="93">
        <f>ППД5[[#This Row],[Фикс 06.11.24]]+ППД5[[#This Row],[Наценка 18.12.24 распределение КВ]]</f>
        <v>116438.96163643086</v>
      </c>
      <c r="CM238" s="93"/>
      <c r="CN238" s="93">
        <f>ППД5[[#This Row],[Фикс 18.12.24]]+ППД5[[#This Row],[Наценка 10.02.25 +1%
1К: А3
2К: Б3, В3]]</f>
        <v>116438.96163643086</v>
      </c>
      <c r="CO238" s="93">
        <f>ROUND(ППД5[[#This Row],[Фикс 10.02.25]],2)</f>
        <v>116438.96</v>
      </c>
      <c r="CP23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8581600</v>
      </c>
      <c r="CQ238" s="93">
        <f>ROUNDUP(ППД5[[#This Row],[Стоимость до скидки]]+ППД5[[#This Row],[Сумма доплаты]],-2)</f>
        <v>8535100</v>
      </c>
      <c r="CR238" s="68"/>
      <c r="CS238" s="90"/>
      <c r="CT238" s="68">
        <f>ППД5[[#This Row],[Стоимость до скидки]]*ППД5[[#This Row],[Скидка %]]+ППД5[[#This Row],[Скидка фиксированная]]</f>
        <v>0</v>
      </c>
      <c r="CU238" s="3">
        <f>ППД5[[#This Row],[Стоимость ОН без отделки со скидкой]]/ППД5[[#This Row],[Расчетная проектная площадь]]</f>
        <v>116439.62008141112</v>
      </c>
      <c r="CV238" s="3">
        <f>ROUND(ППД5[[#This Row],[Стоимость до скидки]]-ППД5[[#This Row],[Итоговая сумма скидки]],2)</f>
        <v>8581600</v>
      </c>
      <c r="CW23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238" s="218">
        <v>10000</v>
      </c>
      <c r="CY238" s="332">
        <f>ППД5[[#This Row],[Расхождение]]/ППД5[[#This Row],[Расчетная проектная площадь]]</f>
        <v>-5.4274084124831161E-3</v>
      </c>
      <c r="CZ238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-0.2099999999999973</v>
      </c>
      <c r="DA238" s="3">
        <f>ППД5[[#This Row],[Цена м2 без отделки со скидкой]]+ППД5[[#This Row],[Стоимость отделки]]</f>
        <v>126439.62008141112</v>
      </c>
      <c r="DB238" s="3">
        <f>ППД5[[#This Row],[Стоимость квартиры с отделкой]]-ППД5[[#This Row],[Стоимость ОН без отделки со скидкой]]</f>
        <v>737000</v>
      </c>
      <c r="DC238" s="3">
        <f>ППД5[[#This Row],[Цена м2 с отделкой]]*ППД5[[#This Row],[Расчетная проектная площадь]]</f>
        <v>9318600</v>
      </c>
      <c r="DD238" s="3" t="s">
        <v>158</v>
      </c>
      <c r="DF238" s="199" t="s">
        <v>15</v>
      </c>
      <c r="DG238" s="245" t="s">
        <v>15</v>
      </c>
      <c r="DH238" s="100" t="b">
        <f>EXACT(ППД5[[#This Row],[Статусы CRM]],ППД5[[#This Row],[Статус]])</f>
        <v>1</v>
      </c>
      <c r="DI238" s="213" t="s">
        <v>410</v>
      </c>
      <c r="DJ238" s="204"/>
      <c r="DK238" s="111" t="s">
        <v>763</v>
      </c>
      <c r="DL238" s="216" t="s">
        <v>780</v>
      </c>
      <c r="DM238" s="201" t="b">
        <f>ППД5[[#This Row],[Отделка CRM]]=ППД5[[#This Row],[Отделка]]</f>
        <v>1</v>
      </c>
      <c r="DN238" s="203">
        <v>9318600</v>
      </c>
      <c r="DO23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38" s="207" t="b">
        <f>IF(AND(ППД5[[#This Row],[Статус]]="свободно",ППД5[[#This Row],[Итоговая сумма скидки]]&lt;&gt;0),FALSE,TRUE)</f>
        <v>1</v>
      </c>
      <c r="DQ238" s="240" t="str">
        <f>_xlfn.XLOOKUP(ППД5[[#This Row],[№]],Юрист[№ кв],Юрист[Дата подачи на регистрацию]," ",0,-1)</f>
        <v xml:space="preserve"> </v>
      </c>
      <c r="DR238" s="115" t="str">
        <f>_xlfn.XLOOKUP(ППД5[[#This Row],[№]],Юрист[№ кв],Юрист[МОП],"",0,-1)</f>
        <v/>
      </c>
      <c r="DS238" s="333" t="s">
        <v>2768</v>
      </c>
      <c r="DT238" s="333" t="s">
        <v>2769</v>
      </c>
      <c r="DU238" s="333">
        <v>69.7</v>
      </c>
      <c r="DV238" s="111"/>
    </row>
    <row r="239" spans="1:126" hidden="1" x14ac:dyDescent="0.25">
      <c r="A239" s="112">
        <v>237</v>
      </c>
      <c r="B239" s="111" t="s">
        <v>3</v>
      </c>
      <c r="C239" s="111">
        <v>3</v>
      </c>
      <c r="D239" s="111">
        <v>2</v>
      </c>
      <c r="E239" s="111">
        <v>0</v>
      </c>
      <c r="F239" s="105">
        <v>7.18</v>
      </c>
      <c r="G239" s="105"/>
      <c r="H239" s="105"/>
      <c r="I239" s="94">
        <f>SUM(ППД5[[#This Row],[Комната 1]:[Комната 3]])</f>
        <v>7.18</v>
      </c>
      <c r="J239" s="105">
        <v>5.17</v>
      </c>
      <c r="K239" s="105">
        <v>3.72</v>
      </c>
      <c r="L239" s="105"/>
      <c r="M239" s="105"/>
      <c r="N239" s="105">
        <v>6.97</v>
      </c>
      <c r="O239" s="105">
        <v>2.97</v>
      </c>
      <c r="P239" s="105"/>
      <c r="Q239" s="105"/>
      <c r="R239" s="105">
        <f>SUM(ППД5[[#This Row],[Лоджия 1]:[Лоджия 3]])</f>
        <v>2.97</v>
      </c>
      <c r="S239" s="8">
        <f>ROUND(SUM(ППД5[[#This Row],[Площадь по проекту жилая]:[Лоджия 3]]),2)</f>
        <v>26.01</v>
      </c>
      <c r="T239" s="8">
        <f>ROUND(ППД5[[#This Row],[Площадь по проекту(общая)]]-ППД5[[#This Row],[Летние]],2)</f>
        <v>23.04</v>
      </c>
      <c r="U239" s="91">
        <f>ROUND(ППД5[[#This Row],[Площадь по проекту(общая)]]-(SUM(ППД5[[#This Row],[Лоджия 1]:[Лоджия 3]])/2),2)</f>
        <v>24.53</v>
      </c>
      <c r="V239" s="91">
        <f>IF(ППД5[[#This Row],[Статус]]="продажа",ППД5[[#This Row],[Расчетная проектная площадь]],ППД5[[#This Row],[Расчетная ТП площадь]])</f>
        <v>24.53</v>
      </c>
      <c r="W239" s="91">
        <v>7.2</v>
      </c>
      <c r="X239" s="91"/>
      <c r="Y239" s="91"/>
      <c r="Z239" s="91">
        <f>SUM(ППД5[[#This Row],[ТП Комната 1]:[ТП Комната 3]])</f>
        <v>7.2</v>
      </c>
      <c r="AA239" s="91">
        <v>5.0999999999999996</v>
      </c>
      <c r="AB239" s="91">
        <v>3.6</v>
      </c>
      <c r="AC239" s="91"/>
      <c r="AD239" s="91"/>
      <c r="AE239" s="91">
        <v>7</v>
      </c>
      <c r="AF239" s="91">
        <v>1.45</v>
      </c>
      <c r="AG239" s="91"/>
      <c r="AH239" s="91"/>
      <c r="AI239" s="91">
        <f>SUM(ППД5[[#This Row],[ТП Лоджия 1]:[ТП Лоджия 3]])</f>
        <v>1.45</v>
      </c>
      <c r="AJ239" s="95">
        <v>2.9</v>
      </c>
      <c r="AK239" s="91">
        <f>SUM(ППД5[[#This Row],[Площадь по ТП жилая]:[ТП Лоджия 3]])-ППД5[[#This Row],[ТП Летние]]+ППД5[[#This Row],[кроме того прочая
(без коэффициента)]]</f>
        <v>25.799999999999997</v>
      </c>
      <c r="AL239" s="95">
        <f>ППД5[[#This Row],[ТП Площадь без летних]]+(ППД5[[#This Row],[ТП Летние]])</f>
        <v>24.349999999999998</v>
      </c>
      <c r="AM239" s="91">
        <f>ППД5[[#This Row],[ТП общая S]]-ППД5[[#This Row],[кроме того прочая
(без коэффициента)]]</f>
        <v>22.9</v>
      </c>
      <c r="AN239" s="95">
        <f>SUM(ППД5[[#This Row],[ТП Кухня]:[ТП Коридор]])</f>
        <v>15.7</v>
      </c>
      <c r="AO239" s="91">
        <f>ППД5[[#This Row],[Расчетная ТП площадь]]-ППД5[[#This Row],[Расчетная проектная площадь]]</f>
        <v>-0.18000000000000327</v>
      </c>
      <c r="AP239" s="335">
        <f>ППД5[[#This Row],[Расчетная ТП площадь]]/ППД5[[#This Row],[Расчетная проектная площадь]]-1</f>
        <v>-7.3379535262945161E-3</v>
      </c>
      <c r="AQ239" s="91">
        <f>ППД5[[#This Row],[% расхождения]]*ППД5[[#This Row],[Стоимость до скидки]]</f>
        <v>-17384.516966979641</v>
      </c>
      <c r="AR239" s="91">
        <f>VLOOKUP(ППД5[[#This Row],[№]],наценкад5[],COLUMN(наценкад5[[#This Row],[Цена м2 с учетом всех K]]),0)</f>
        <v>91981.574999999997</v>
      </c>
      <c r="AS239" s="8">
        <f>ППД5[[#This Row],[м2 после К]]*5%</f>
        <v>4599.0787499999997</v>
      </c>
      <c r="AT239" s="8">
        <f>ППД5[[#This Row],[м2 после К]]+ППД5[[#This Row],[Повышение 16.08.23 - 5%]]</f>
        <v>96580.653749999998</v>
      </c>
      <c r="AU239" s="93"/>
      <c r="AV239" s="93">
        <f>ППД5[[#This Row],[Фикс 16.08.23]]+ППД5[[#This Row],[Повышение 29.08.23 - 3%]]</f>
        <v>96580.653749999998</v>
      </c>
      <c r="AW239" s="93"/>
      <c r="AX239" s="93">
        <f>ППД5[[#This Row],[Фикс 29.08.23]]+ППД5[[#This Row],[Повышение 06.09.23 СТ и 1К]]</f>
        <v>96580.653749999998</v>
      </c>
      <c r="AY239" s="93"/>
      <c r="AZ239" s="93">
        <f>ППД5[[#This Row],[Повышение 23.10.23  В4 ]]+ППД5[[#This Row],[Фикс 06.09.23]]</f>
        <v>96580.653749999998</v>
      </c>
      <c r="BA239" s="93"/>
      <c r="BB239" s="93">
        <f>ППД5[[#This Row],[Повышение 8.11.23 1К 5%]]+ППД5[[#This Row],[Фикс 23.10.23]]</f>
        <v>96580.653749999998</v>
      </c>
      <c r="BC239" s="93"/>
      <c r="BD239" s="93">
        <f>ППД5[[#This Row],[Корректировка 24.11.23 - 1К В5, 2К А2, №233]]+ППД5[[#This Row],[Фикс 8.11.23]]</f>
        <v>96580.653749999998</v>
      </c>
      <c r="BE239" s="93"/>
      <c r="BF239" s="93">
        <f>ППД5[[#This Row],[Наценка за отделку 29.12.23 1%]]+ППД5[[#This Row],[Фикс 8.11.24]]</f>
        <v>96580.653749999998</v>
      </c>
      <c r="BG239" s="93"/>
      <c r="BH239" s="93">
        <f>ППД5[[#This Row],[Фикс 29.12.23]]+ППД5[[#This Row],[Наценка 10.01.24 5%]]</f>
        <v>96580.653749999998</v>
      </c>
      <c r="BI239" s="93"/>
      <c r="BJ239" s="93">
        <f>ППД5[[#This Row],[Наценка 26.02.24 1 Этаж]]+ППД5[[#This Row],[Фикс 10.01.24]]</f>
        <v>96580.653749999998</v>
      </c>
      <c r="BK239" s="93"/>
      <c r="BL239" s="93">
        <f>ППД5[[#This Row],[Фикс 26.02.24]]+ППД5[[#This Row],[Наценка 06.03.24
СТ, 1К - 3%
2К, 3К - 2%]]</f>
        <v>96580.653749999998</v>
      </c>
      <c r="BM239" s="93"/>
      <c r="BN239" s="93">
        <f>ППД5[[#This Row],[Фикс 06.03.24]]+ППД5[[#This Row],[Наценка Г2+500]]</f>
        <v>96580.653749999998</v>
      </c>
      <c r="BO239" s="93"/>
      <c r="BP239" s="93">
        <f>ППД5[[#This Row],[Фикс 13.03.25]]+ППД5[[#This Row],[Наценка 20.03.24
2К, 3К - 2%]]</f>
        <v>96580.653749999998</v>
      </c>
      <c r="BQ239" s="93"/>
      <c r="BR239" s="93">
        <f>ППД5[[#This Row],[Фикс 20.03.24]]+ППД5[[#This Row],[Наценка 08.04.24 
2К: В3 - 150
3К: Г7 +1000]]</f>
        <v>96580.653749999998</v>
      </c>
      <c r="BS239" s="93"/>
      <c r="BT239" s="93">
        <f>ППД5[[#This Row],[Фикс 08.04.24]]+ППД5[[#This Row],[Наценка 16.05.24 1%
А4,А6,Б3,Б6,Б7,В2,В3,В5,В6,Г1,Г3-Г5]]</f>
        <v>96580.653749999998</v>
      </c>
      <c r="BU239" s="93"/>
      <c r="BV239" s="93">
        <f>ППД5[[#This Row],[Фикс 16.05.24]]+ППД5[[#This Row],[Наценка 24.05.24
1% - Б4, Б5,Г2,Г6
2% - А1,А3,А5,Б2,Г7]]</f>
        <v>96580.653749999998</v>
      </c>
      <c r="BW239" s="93"/>
      <c r="BX239" s="93">
        <f>ППД5[[#This Row],[Наценка 06.06.24
0К: В2,Г3 +0,5%
1К: А7, Б5/4, Г6 +0,5%
3К: В6 +0,5%
1К: А3 +1%]]+ППД5[[#This Row],[Фикс 24.05.24]]</f>
        <v>96580.653749999998</v>
      </c>
      <c r="BY239" s="93"/>
      <c r="BZ239" s="93">
        <f>ППД5[[#This Row],[Фикс 06.06.24]]+ППД5[[#This Row],[13.06.2024
3К - 2%]]</f>
        <v>96580.653749999998</v>
      </c>
      <c r="CA239" s="93"/>
      <c r="CB239" s="93">
        <f>ППД5[[#This Row],[02.07.2024: Г3 А1 А3 Б5 Б7 Г2 Г6 Б3 Б4 В3 Г7 2,5% ост 0,5-1,5%]]+ППД5[[#This Row],[Фикс 13.06.24]]</f>
        <v>96580.653749999998</v>
      </c>
      <c r="CC239" s="93"/>
      <c r="CD239" s="93">
        <f>ППД5[[#This Row],[Фикс 02.07.24]]+ППД5[[#This Row],[04.09.2024 +500
0К - Б2; 1К - А3;
2К - А6, Б4, В3, Г5]]</f>
        <v>96580.653749999998</v>
      </c>
      <c r="CE239" s="93"/>
      <c r="CF239" s="93">
        <f>ППД5[[#This Row],[Наценка 16.09.2024
1К: А1,В7,Г6/7,Г8 - 2%
2К: А4,А5,А6,Б1,Б6,Б3/4,В3,В4,Г4,Г5 - 4%
3К: 4%]]+ППД5[[#This Row],[Фикс 04.09.24]]</f>
        <v>96580.653749999998</v>
      </c>
      <c r="CG239" s="93"/>
      <c r="CH239" s="93">
        <f>ППД5[[#This Row],[Фикс 16.09.2024]]+ППД5[[#This Row],[Наценка 01.11.24
СТ: 4%
1К: 34-40м 5%; 40м+ 8%; МГН 1%
2К: 55-70м 6%; 70-73м 7%; 73-76м 8% 
3К: 5%]]</f>
        <v>96580.653749999998</v>
      </c>
      <c r="CI239" s="93"/>
      <c r="CJ239" s="93">
        <f>ППД5[[#This Row],[Наценка 06.11 13%]]+ППД5[[#This Row],[Фикс 01.11.24]]</f>
        <v>96580.653749999998</v>
      </c>
      <c r="CK239" s="93"/>
      <c r="CL239" s="93">
        <f>ППД5[[#This Row],[Фикс 06.11.24]]+ППД5[[#This Row],[Наценка 18.12.24 распределение КВ]]</f>
        <v>96580.653749999998</v>
      </c>
      <c r="CM239" s="93"/>
      <c r="CN239" s="93">
        <f>ППД5[[#This Row],[Фикс 18.12.24]]+ППД5[[#This Row],[Наценка 10.02.25 +1%
1К: А3
2К: Б3, В3]]</f>
        <v>96580.653749999998</v>
      </c>
      <c r="CO239" s="93">
        <f>ROUND(ППД5[[#This Row],[Фикс 10.02.25]],2)</f>
        <v>96580.65</v>
      </c>
      <c r="CP23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2369123.34</v>
      </c>
      <c r="CQ239" s="93">
        <f>ROUNDUP(ППД5[[#This Row],[Стоимость до скидки]]+ППД5[[#This Row],[Сумма доплаты]],-2)</f>
        <v>2351800</v>
      </c>
      <c r="CR239" s="68"/>
      <c r="CS239" s="90"/>
      <c r="CT239" s="68">
        <f>ППД5[[#This Row],[Стоимость до скидки]]*ППД5[[#This Row],[Скидка %]]+ППД5[[#This Row],[Скидка фиксированная]]</f>
        <v>0</v>
      </c>
      <c r="CU239" s="3">
        <f>ППД5[[#This Row],[Стоимость ОН без отделки со скидкой]]/ППД5[[#This Row],[Расчетная проектная площадь]]</f>
        <v>96580.649816551158</v>
      </c>
      <c r="CV239" s="3">
        <f>ROUND(ППД5[[#This Row],[Стоимость до скидки]]-ППД5[[#This Row],[Итоговая сумма скидки]],2)</f>
        <v>2369123.34</v>
      </c>
      <c r="CW23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39" s="197"/>
      <c r="CY239" s="332">
        <f>ППД5[[#This Row],[Расхождение]]/ППД5[[#This Row],[Расчетная проектная площадь]]</f>
        <v>-7.3379535262944667E-3</v>
      </c>
      <c r="CZ23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-0.16000000000000014</v>
      </c>
      <c r="DA239" s="3">
        <f>ППД5[[#This Row],[Цена м2 без отделки со скидкой]]+ППД5[[#This Row],[Стоимость отделки]]</f>
        <v>96580.649816551158</v>
      </c>
      <c r="DB239" s="3">
        <f>ППД5[[#This Row],[Стоимость квартиры с отделкой]]-ППД5[[#This Row],[Стоимость ОН без отделки со скидкой]]</f>
        <v>0</v>
      </c>
      <c r="DC239" s="3">
        <f>ППД5[[#This Row],[Цена м2 с отделкой]]*ППД5[[#This Row],[Расчетная проектная площадь]]</f>
        <v>2369123.34</v>
      </c>
      <c r="DD239" s="3"/>
      <c r="DF239" s="199" t="s">
        <v>172</v>
      </c>
      <c r="DG239" s="245" t="s">
        <v>172</v>
      </c>
      <c r="DH239" s="100" t="b">
        <f>EXACT(ППД5[[#This Row],[Статусы CRM]],ППД5[[#This Row],[Статус]])</f>
        <v>1</v>
      </c>
      <c r="DI239" s="213" t="s">
        <v>411</v>
      </c>
      <c r="DJ239" s="204"/>
      <c r="DK239" s="111" t="s">
        <v>76</v>
      </c>
      <c r="DL239" s="216" t="s">
        <v>12</v>
      </c>
      <c r="DM239" s="201" t="b">
        <f>ППД5[[#This Row],[Отделка CRM]]=ППД5[[#This Row],[Отделка]]</f>
        <v>1</v>
      </c>
      <c r="DN239" s="203">
        <v>2369123.34</v>
      </c>
      <c r="DO23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39" s="207" t="b">
        <f>IF(AND(ППД5[[#This Row],[Статус]]="свободно",ППД5[[#This Row],[Итоговая сумма скидки]]&lt;&gt;0),FALSE,TRUE)</f>
        <v>1</v>
      </c>
      <c r="DQ239" s="240">
        <f>_xlfn.XLOOKUP(ППД5[[#This Row],[№]],Юрист[№ кв],Юрист[Дата подачи на регистрацию]," ",0,-1)</f>
        <v>45188</v>
      </c>
      <c r="DR239" s="115" t="str">
        <f>_xlfn.XLOOKUP(ППД5[[#This Row],[№]],Юрист[№ кв],Юрист[МОП],"",0,-1)</f>
        <v>Гайганова</v>
      </c>
      <c r="DS239" s="333" t="s">
        <v>2770</v>
      </c>
      <c r="DT239" s="333" t="s">
        <v>2771</v>
      </c>
      <c r="DU239" s="333">
        <v>22.9</v>
      </c>
      <c r="DV239" s="111"/>
    </row>
    <row r="240" spans="1:126" hidden="1" x14ac:dyDescent="0.25">
      <c r="A240" s="112">
        <v>238</v>
      </c>
      <c r="B240" s="111" t="s">
        <v>3</v>
      </c>
      <c r="C240" s="111">
        <v>3</v>
      </c>
      <c r="D240" s="111">
        <v>3</v>
      </c>
      <c r="E240" s="111">
        <v>2</v>
      </c>
      <c r="F240" s="105">
        <v>13.69</v>
      </c>
      <c r="G240" s="105">
        <v>10.16</v>
      </c>
      <c r="H240" s="105"/>
      <c r="I240" s="94">
        <f>SUM(ППД5[[#This Row],[Комната 1]:[Комната 3]])</f>
        <v>23.85</v>
      </c>
      <c r="J240" s="105">
        <v>18.71</v>
      </c>
      <c r="K240" s="105">
        <v>3.49</v>
      </c>
      <c r="L240" s="105">
        <v>2.11</v>
      </c>
      <c r="M240" s="105"/>
      <c r="N240" s="105">
        <v>7.09</v>
      </c>
      <c r="O240" s="105">
        <v>2.65</v>
      </c>
      <c r="P240" s="105"/>
      <c r="Q240" s="105"/>
      <c r="R240" s="105">
        <f>SUM(ППД5[[#This Row],[Лоджия 1]:[Лоджия 3]])</f>
        <v>2.65</v>
      </c>
      <c r="S240" s="8">
        <f>ROUND(SUM(ППД5[[#This Row],[Площадь по проекту жилая]:[Лоджия 3]]),2)</f>
        <v>57.9</v>
      </c>
      <c r="T240" s="8">
        <f>ROUND(ППД5[[#This Row],[Площадь по проекту(общая)]]-ППД5[[#This Row],[Летние]],2)</f>
        <v>55.25</v>
      </c>
      <c r="U240" s="91">
        <f>ROUND(ППД5[[#This Row],[Площадь по проекту(общая)]]-(SUM(ППД5[[#This Row],[Лоджия 1]:[Лоджия 3]])/2),2)</f>
        <v>56.58</v>
      </c>
      <c r="V240" s="91">
        <f>IF(ППД5[[#This Row],[Статус]]="продажа",ППД5[[#This Row],[Расчетная проектная площадь]],ППД5[[#This Row],[Расчетная ТП площадь]])</f>
        <v>56.58</v>
      </c>
      <c r="W240" s="91">
        <v>13.6</v>
      </c>
      <c r="X240" s="91">
        <v>9.9</v>
      </c>
      <c r="Y240" s="91"/>
      <c r="Z240" s="91">
        <f>SUM(ППД5[[#This Row],[ТП Комната 1]:[ТП Комната 3]])</f>
        <v>23.5</v>
      </c>
      <c r="AA240" s="91">
        <v>18.7</v>
      </c>
      <c r="AB240" s="91">
        <v>3.5</v>
      </c>
      <c r="AC240" s="91">
        <v>2.1</v>
      </c>
      <c r="AD240" s="91"/>
      <c r="AE240" s="91">
        <v>6.9</v>
      </c>
      <c r="AF240" s="91">
        <v>1.3</v>
      </c>
      <c r="AG240" s="91"/>
      <c r="AH240" s="91"/>
      <c r="AI240" s="91">
        <f>SUM(ППД5[[#This Row],[ТП Лоджия 1]:[ТП Лоджия 3]])</f>
        <v>1.3</v>
      </c>
      <c r="AJ240" s="95">
        <v>2.6</v>
      </c>
      <c r="AK240" s="91">
        <f>SUM(ППД5[[#This Row],[Площадь по ТП жилая]:[ТП Лоджия 3]])-ППД5[[#This Row],[ТП Летние]]+ППД5[[#This Row],[кроме того прочая
(без коэффициента)]]</f>
        <v>57.300000000000004</v>
      </c>
      <c r="AL240" s="95">
        <f>ППД5[[#This Row],[ТП Площадь без летних]]+(ППД5[[#This Row],[ТП Летние]])</f>
        <v>56</v>
      </c>
      <c r="AM240" s="91">
        <f>ППД5[[#This Row],[ТП общая S]]-ППД5[[#This Row],[кроме того прочая
(без коэффициента)]]</f>
        <v>54.7</v>
      </c>
      <c r="AN240" s="95">
        <f>SUM(ППД5[[#This Row],[ТП Кухня]:[ТП Коридор]])</f>
        <v>31.200000000000003</v>
      </c>
      <c r="AO240" s="91">
        <f>ППД5[[#This Row],[Расчетная ТП площадь]]-ППД5[[#This Row],[Расчетная проектная площадь]]</f>
        <v>-0.57999999999999829</v>
      </c>
      <c r="AP240" s="335">
        <f>ППД5[[#This Row],[Расчетная ТП площадь]]/ППД5[[#This Row],[Расчетная проектная площадь]]-1</f>
        <v>-1.0250972074938081E-2</v>
      </c>
      <c r="AQ240" s="91">
        <f>ППД5[[#This Row],[% расхождения]]*ППД5[[#This Row],[Стоимость до скидки]]</f>
        <v>-50374.710989748732</v>
      </c>
      <c r="AR240" s="91">
        <f>VLOOKUP(ППД5[[#This Row],[№]],наценкад5[],COLUMN(наценкад5[[#This Row],[Цена м2 с учетом всех K]]),0)</f>
        <v>80307.864000000001</v>
      </c>
      <c r="AS240" s="8">
        <f>ППД5[[#This Row],[м2 после К]]*5%</f>
        <v>4015.3932000000004</v>
      </c>
      <c r="AT240" s="8">
        <f>ППД5[[#This Row],[м2 после К]]+ППД5[[#This Row],[Повышение 16.08.23 - 5%]]</f>
        <v>84323.257200000007</v>
      </c>
      <c r="AU240" s="93">
        <f>ППД5[[#This Row],[Фикс 16.08.23]]*3%</f>
        <v>2529.6977160000001</v>
      </c>
      <c r="AV240" s="93">
        <f>ППД5[[#This Row],[Фикс 16.08.23]]+ППД5[[#This Row],[Повышение 29.08.23 - 3%]]</f>
        <v>86852.954916000002</v>
      </c>
      <c r="AW240" s="93"/>
      <c r="AX240" s="93">
        <f>ППД5[[#This Row],[Фикс 29.08.23]]+ППД5[[#This Row],[Повышение 06.09.23 СТ и 1К]]</f>
        <v>86852.954916000002</v>
      </c>
      <c r="AY240" s="93"/>
      <c r="AZ240" s="93">
        <f>ППД5[[#This Row],[Повышение 23.10.23  В4 ]]+ППД5[[#This Row],[Фикс 06.09.23]]</f>
        <v>86852.954916000002</v>
      </c>
      <c r="BA240" s="93"/>
      <c r="BB240" s="93">
        <f>ППД5[[#This Row],[Повышение 8.11.23 1К 5%]]+ППД5[[#This Row],[Фикс 23.10.23]]</f>
        <v>86852.954916000002</v>
      </c>
      <c r="BC240" s="93"/>
      <c r="BD240" s="93">
        <f>ППД5[[#This Row],[Корректировка 24.11.23 - 1К В5, 2К А2, №233]]+ППД5[[#This Row],[Фикс 8.11.23]]</f>
        <v>86852.954916000002</v>
      </c>
      <c r="BE240" s="93"/>
      <c r="BF240" s="93">
        <f>ППД5[[#This Row],[Наценка за отделку 29.12.23 1%]]+ППД5[[#This Row],[Фикс 8.11.24]]</f>
        <v>86852.954916000002</v>
      </c>
      <c r="BG240" s="93"/>
      <c r="BH240" s="93">
        <f>ППД5[[#This Row],[Фикс 29.12.23]]+ППД5[[#This Row],[Наценка 10.01.24 5%]]</f>
        <v>86852.954916000002</v>
      </c>
      <c r="BI240" s="93"/>
      <c r="BJ240" s="93">
        <f>ППД5[[#This Row],[Наценка 26.02.24 1 Этаж]]+ППД5[[#This Row],[Фикс 10.01.24]]</f>
        <v>86852.954916000002</v>
      </c>
      <c r="BK240" s="93"/>
      <c r="BL240" s="93">
        <f>ППД5[[#This Row],[Фикс 26.02.24]]+ППД5[[#This Row],[Наценка 06.03.24
СТ, 1К - 3%
2К, 3К - 2%]]</f>
        <v>86852.954916000002</v>
      </c>
      <c r="BM240" s="93"/>
      <c r="BN240" s="93">
        <f>ППД5[[#This Row],[Фикс 06.03.24]]+ППД5[[#This Row],[Наценка Г2+500]]</f>
        <v>86852.954916000002</v>
      </c>
      <c r="BO240" s="93"/>
      <c r="BP240" s="93">
        <f>ППД5[[#This Row],[Фикс 13.03.25]]+ППД5[[#This Row],[Наценка 20.03.24
2К, 3К - 2%]]</f>
        <v>86852.954916000002</v>
      </c>
      <c r="BQ240" s="93"/>
      <c r="BR240" s="93">
        <f>ППД5[[#This Row],[Фикс 20.03.24]]+ППД5[[#This Row],[Наценка 08.04.24 
2К: В3 - 150
3К: Г7 +1000]]</f>
        <v>86852.954916000002</v>
      </c>
      <c r="BS240" s="93"/>
      <c r="BT240" s="93">
        <f>ППД5[[#This Row],[Фикс 08.04.24]]+ППД5[[#This Row],[Наценка 16.05.24 1%
А4,А6,Б3,Б6,Б7,В2,В3,В5,В6,Г1,Г3-Г5]]</f>
        <v>86852.954916000002</v>
      </c>
      <c r="BU240" s="93"/>
      <c r="BV240" s="93">
        <f>ППД5[[#This Row],[Фикс 16.05.24]]+ППД5[[#This Row],[Наценка 24.05.24
1% - Б4, Б5,Г2,Г6
2% - А1,А3,А5,Б2,Г7]]</f>
        <v>86852.954916000002</v>
      </c>
      <c r="BW240" s="93"/>
      <c r="BX240" s="93">
        <f>ППД5[[#This Row],[Наценка 06.06.24
0К: В2,Г3 +0,5%
1К: А7, Б5/4, Г6 +0,5%
3К: В6 +0,5%
1К: А3 +1%]]+ППД5[[#This Row],[Фикс 24.05.24]]</f>
        <v>86852.954916000002</v>
      </c>
      <c r="BY240" s="93"/>
      <c r="BZ240" s="93">
        <f>ППД5[[#This Row],[Фикс 06.06.24]]+ППД5[[#This Row],[13.06.2024
3К - 2%]]</f>
        <v>86852.954916000002</v>
      </c>
      <c r="CA240" s="93"/>
      <c r="CB240" s="93">
        <f>ППД5[[#This Row],[02.07.2024: Г3 А1 А3 Б5 Б7 Г2 Г6 Б3 Б4 В3 Г7 2,5% ост 0,5-1,5%]]+ППД5[[#This Row],[Фикс 13.06.24]]</f>
        <v>86852.954916000002</v>
      </c>
      <c r="CC240" s="93"/>
      <c r="CD240" s="93">
        <f>ППД5[[#This Row],[Фикс 02.07.24]]+ППД5[[#This Row],[04.09.2024 +500
0К - Б2; 1К - А3;
2К - А6, Б4, В3, Г5]]</f>
        <v>86852.954916000002</v>
      </c>
      <c r="CE240" s="93"/>
      <c r="CF240" s="93">
        <f>ППД5[[#This Row],[Наценка 16.09.2024
1К: А1,В7,Г6/7,Г8 - 2%
2К: А4,А5,А6,Б1,Б6,Б3/4,В3,В4,Г4,Г5 - 4%
3К: 4%]]+ППД5[[#This Row],[Фикс 04.09.24]]</f>
        <v>86852.954916000002</v>
      </c>
      <c r="CG240" s="93"/>
      <c r="CH240" s="93">
        <f>ППД5[[#This Row],[Фикс 16.09.2024]]+ППД5[[#This Row],[Наценка 01.11.24
СТ: 4%
1К: 34-40м 5%; 40м+ 8%; МГН 1%
2К: 55-70м 6%; 70-73м 7%; 73-76м 8% 
3К: 5%]]</f>
        <v>86852.954916000002</v>
      </c>
      <c r="CI240" s="93"/>
      <c r="CJ240" s="93">
        <f>ППД5[[#This Row],[Наценка 06.11 13%]]+ППД5[[#This Row],[Фикс 01.11.24]]</f>
        <v>86852.954916000002</v>
      </c>
      <c r="CK240" s="93"/>
      <c r="CL240" s="93">
        <f>ППД5[[#This Row],[Фикс 06.11.24]]+ППД5[[#This Row],[Наценка 18.12.24 распределение КВ]]</f>
        <v>86852.954916000002</v>
      </c>
      <c r="CM240" s="93"/>
      <c r="CN240" s="93">
        <f>ППД5[[#This Row],[Фикс 18.12.24]]+ППД5[[#This Row],[Наценка 10.02.25 +1%
1К: А3
2К: Б3, В3]]</f>
        <v>86852.954916000002</v>
      </c>
      <c r="CO240" s="93">
        <f>ROUND(ППД5[[#This Row],[Фикс 10.02.25]],2)</f>
        <v>86852.95</v>
      </c>
      <c r="CP24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4914139.91</v>
      </c>
      <c r="CQ240" s="93">
        <f>ROUNDUP(ППД5[[#This Row],[Стоимость до скидки]]+ППД5[[#This Row],[Сумма доплаты]],-2)</f>
        <v>4863800</v>
      </c>
      <c r="CR240" s="68"/>
      <c r="CS240" s="90"/>
      <c r="CT240" s="68">
        <f>ППД5[[#This Row],[Стоимость до скидки]]*ППД5[[#This Row],[Скидка %]]+ППД5[[#This Row],[Скидка фиксированная]]</f>
        <v>0</v>
      </c>
      <c r="CU240" s="3">
        <f>ППД5[[#This Row],[Стоимость ОН без отделки со скидкой]]/ППД5[[#This Row],[Расчетная проектная площадь]]</f>
        <v>86852.94998232591</v>
      </c>
      <c r="CV240" s="3">
        <f>ROUND(ППД5[[#This Row],[Стоимость до скидки]]-ППД5[[#This Row],[Итоговая сумма скидки]],2)</f>
        <v>4914139.91</v>
      </c>
      <c r="CW24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240" s="197">
        <v>7500</v>
      </c>
      <c r="CY240" s="332">
        <f>ППД5[[#This Row],[Расхождение]]/ППД5[[#This Row],[Расчетная проектная площадь]]</f>
        <v>-1.025097207493811E-2</v>
      </c>
      <c r="CZ24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-0.19999999999999574</v>
      </c>
      <c r="DA240" s="3">
        <f>ППД5[[#This Row],[Цена м2 без отделки со скидкой]]+ППД5[[#This Row],[Стоимость отделки]]</f>
        <v>94352.94998232591</v>
      </c>
      <c r="DB240" s="3">
        <f>ППД5[[#This Row],[Стоимость квартиры с отделкой]]-ППД5[[#This Row],[Стоимость ОН без отделки со скидкой]]</f>
        <v>424350</v>
      </c>
      <c r="DC240" s="3">
        <f>ППД5[[#This Row],[Цена м2 с отделкой]]*ППД5[[#This Row],[Расчетная проектная площадь]]</f>
        <v>5338489.91</v>
      </c>
      <c r="DD240" s="3" t="s">
        <v>154</v>
      </c>
      <c r="DF240" s="199" t="s">
        <v>172</v>
      </c>
      <c r="DG240" s="245" t="s">
        <v>172</v>
      </c>
      <c r="DH240" s="100" t="b">
        <f>EXACT(ППД5[[#This Row],[Статусы CRM]],ППД5[[#This Row],[Статус]])</f>
        <v>1</v>
      </c>
      <c r="DI240" s="213" t="s">
        <v>412</v>
      </c>
      <c r="DJ240" s="204"/>
      <c r="DK240" s="111" t="s">
        <v>76</v>
      </c>
      <c r="DL240" s="216" t="s">
        <v>13</v>
      </c>
      <c r="DM240" s="201" t="b">
        <f>ППД5[[#This Row],[Отделка CRM]]=ППД5[[#This Row],[Отделка]]</f>
        <v>1</v>
      </c>
      <c r="DN240" s="203">
        <v>5338489.91</v>
      </c>
      <c r="DO24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40" s="207" t="b">
        <f>IF(AND(ППД5[[#This Row],[Статус]]="свободно",ППД5[[#This Row],[Итоговая сумма скидки]]&lt;&gt;0),FALSE,TRUE)</f>
        <v>1</v>
      </c>
      <c r="DQ240" s="240">
        <f>_xlfn.XLOOKUP(ППД5[[#This Row],[№]],Юрист[№ кв],Юрист[Дата подачи на регистрацию]," ",0,-1)</f>
        <v>45191</v>
      </c>
      <c r="DR240" s="115" t="str">
        <f>_xlfn.XLOOKUP(ППД5[[#This Row],[№]],Юрист[№ кв],Юрист[МОП],"",0,-1)</f>
        <v>Никишов</v>
      </c>
      <c r="DS240" s="333" t="s">
        <v>2772</v>
      </c>
      <c r="DT240" s="333" t="s">
        <v>2773</v>
      </c>
      <c r="DU240" s="333">
        <v>54.7</v>
      </c>
      <c r="DV240" s="111"/>
    </row>
    <row r="241" spans="1:126" hidden="1" x14ac:dyDescent="0.25">
      <c r="A241" s="112">
        <v>239</v>
      </c>
      <c r="B241" s="111" t="s">
        <v>3</v>
      </c>
      <c r="C241" s="111">
        <v>3</v>
      </c>
      <c r="D241" s="111">
        <v>4</v>
      </c>
      <c r="E241" s="111">
        <v>2</v>
      </c>
      <c r="F241" s="105">
        <v>15.45</v>
      </c>
      <c r="G241" s="105">
        <v>10.34</v>
      </c>
      <c r="H241" s="105"/>
      <c r="I241" s="94">
        <f>SUM(ППД5[[#This Row],[Комната 1]:[Комната 3]])</f>
        <v>25.79</v>
      </c>
      <c r="J241" s="105">
        <v>15.44</v>
      </c>
      <c r="K241" s="105">
        <v>4.59</v>
      </c>
      <c r="L241" s="105">
        <v>2.21</v>
      </c>
      <c r="M241" s="105"/>
      <c r="N241" s="105">
        <v>10.79</v>
      </c>
      <c r="O241" s="105">
        <v>2.84</v>
      </c>
      <c r="P241" s="105"/>
      <c r="Q241" s="105"/>
      <c r="R241" s="105">
        <f>SUM(ППД5[[#This Row],[Лоджия 1]:[Лоджия 3]])</f>
        <v>2.84</v>
      </c>
      <c r="S241" s="8">
        <f>ROUND(SUM(ППД5[[#This Row],[Площадь по проекту жилая]:[Лоджия 3]]),2)</f>
        <v>61.66</v>
      </c>
      <c r="T241" s="8">
        <f>ROUND(ППД5[[#This Row],[Площадь по проекту(общая)]]-ППД5[[#This Row],[Летние]],2)</f>
        <v>58.82</v>
      </c>
      <c r="U241" s="91">
        <f>ROUND(ППД5[[#This Row],[Площадь по проекту(общая)]]-(SUM(ППД5[[#This Row],[Лоджия 1]:[Лоджия 3]])/2),2)</f>
        <v>60.24</v>
      </c>
      <c r="V241" s="91">
        <f>IF(ППД5[[#This Row],[Статус]]="продажа",ППД5[[#This Row],[Расчетная проектная площадь]],ППД5[[#This Row],[Расчетная ТП площадь]])</f>
        <v>60.24</v>
      </c>
      <c r="W241" s="91">
        <v>15.4</v>
      </c>
      <c r="X241" s="91">
        <v>10.3</v>
      </c>
      <c r="Y241" s="91"/>
      <c r="Z241" s="91">
        <f>SUM(ППД5[[#This Row],[ТП Комната 1]:[ТП Комната 3]])</f>
        <v>25.700000000000003</v>
      </c>
      <c r="AA241" s="91">
        <v>15.4</v>
      </c>
      <c r="AB241" s="91">
        <v>4.5</v>
      </c>
      <c r="AC241" s="91">
        <v>2.2000000000000002</v>
      </c>
      <c r="AD241" s="91"/>
      <c r="AE241" s="91">
        <v>10.8</v>
      </c>
      <c r="AF241" s="91">
        <v>1.45</v>
      </c>
      <c r="AG241" s="91"/>
      <c r="AH241" s="91"/>
      <c r="AI241" s="91">
        <f>SUM(ППД5[[#This Row],[ТП Лоджия 1]:[ТП Лоджия 3]])</f>
        <v>1.45</v>
      </c>
      <c r="AJ241" s="95">
        <v>2.9</v>
      </c>
      <c r="AK241" s="91">
        <f>SUM(ППД5[[#This Row],[Площадь по ТП жилая]:[ТП Лоджия 3]])-ППД5[[#This Row],[ТП Летние]]+ППД5[[#This Row],[кроме того прочая
(без коэффициента)]]</f>
        <v>61.500000000000007</v>
      </c>
      <c r="AL241" s="95">
        <f>ППД5[[#This Row],[ТП Площадь без летних]]+(ППД5[[#This Row],[ТП Летние]])</f>
        <v>60.050000000000011</v>
      </c>
      <c r="AM241" s="91">
        <f>ППД5[[#This Row],[ТП общая S]]-ППД5[[#This Row],[кроме того прочая
(без коэффициента)]]</f>
        <v>58.600000000000009</v>
      </c>
      <c r="AN241" s="95">
        <f>SUM(ППД5[[#This Row],[ТП Кухня]:[ТП Коридор]])</f>
        <v>32.9</v>
      </c>
      <c r="AO241" s="91">
        <f>ППД5[[#This Row],[Расчетная ТП площадь]]-ППД5[[#This Row],[Расчетная проектная площадь]]</f>
        <v>-0.18999999999999062</v>
      </c>
      <c r="AP241" s="335">
        <f>ППД5[[#This Row],[Расчетная ТП площадь]]/ППД5[[#This Row],[Расчетная проектная площадь]]-1</f>
        <v>-3.1540504648073231E-3</v>
      </c>
      <c r="AQ241" s="91">
        <f>ППД5[[#This Row],[% расхождения]]*ППД5[[#This Row],[Стоимость до скидки]]</f>
        <v>-23349.435590968613</v>
      </c>
      <c r="AR241" s="91">
        <f>VLOOKUP(ППД5[[#This Row],[№]],наценкад5[],COLUMN(наценкад5[[#This Row],[Цена м2 с учетом всех K]]),0)</f>
        <v>82238.34150000001</v>
      </c>
      <c r="AS241" s="8">
        <f>ППД5[[#This Row],[м2 после К]]*5%</f>
        <v>4111.9170750000003</v>
      </c>
      <c r="AT241" s="8">
        <f>ППД5[[#This Row],[м2 после К]]+ППД5[[#This Row],[Повышение 16.08.23 - 5%]]</f>
        <v>86350.258575000014</v>
      </c>
      <c r="AU241" s="93">
        <f>ППД5[[#This Row],[Фикс 16.08.23]]*3%</f>
        <v>2590.5077572500004</v>
      </c>
      <c r="AV241" s="93">
        <f>ППД5[[#This Row],[Фикс 16.08.23]]+ППД5[[#This Row],[Повышение 29.08.23 - 3%]]</f>
        <v>88940.766332250016</v>
      </c>
      <c r="AW241" s="93"/>
      <c r="AX241" s="93">
        <f>ППД5[[#This Row],[Фикс 29.08.23]]+ППД5[[#This Row],[Повышение 06.09.23 СТ и 1К]]</f>
        <v>88940.766332250016</v>
      </c>
      <c r="AY241" s="93"/>
      <c r="AZ241" s="93">
        <f>ППД5[[#This Row],[Повышение 23.10.23  В4 ]]+ППД5[[#This Row],[Фикс 06.09.23]]</f>
        <v>88940.766332250016</v>
      </c>
      <c r="BA241" s="93"/>
      <c r="BB241" s="93">
        <f>ППД5[[#This Row],[Повышение 8.11.23 1К 5%]]+ППД5[[#This Row],[Фикс 23.10.23]]</f>
        <v>88940.766332250016</v>
      </c>
      <c r="BC241" s="93"/>
      <c r="BD241" s="93">
        <f>ППД5[[#This Row],[Корректировка 24.11.23 - 1К В5, 2К А2, №233]]+ППД5[[#This Row],[Фикс 8.11.23]]</f>
        <v>88940.766332250016</v>
      </c>
      <c r="BE241" s="93">
        <f>ППД5[[#This Row],[Фикс 8.11.24]]*1%</f>
        <v>889.40766332250018</v>
      </c>
      <c r="BF241" s="93">
        <f>ППД5[[#This Row],[Наценка за отделку 29.12.23 1%]]+ППД5[[#This Row],[Фикс 8.11.24]]</f>
        <v>89830.173995572521</v>
      </c>
      <c r="BG241" s="93">
        <f>ППД5[[#This Row],[Фикс 29.12.23]]*5%</f>
        <v>4491.5086997786266</v>
      </c>
      <c r="BH241" s="93">
        <f>ППД5[[#This Row],[Фикс 29.12.23]]+ППД5[[#This Row],[Наценка 10.01.24 5%]]</f>
        <v>94321.682695351148</v>
      </c>
      <c r="BI241" s="93"/>
      <c r="BJ241" s="93">
        <f>ППД5[[#This Row],[Наценка 26.02.24 1 Этаж]]+ППД5[[#This Row],[Фикс 10.01.24]]</f>
        <v>94321.682695351148</v>
      </c>
      <c r="BK241" s="93">
        <f>ППД5[[#This Row],[Фикс 26.02.24]]*2%</f>
        <v>1886.433653907023</v>
      </c>
      <c r="BL241" s="93">
        <f>ППД5[[#This Row],[Фикс 26.02.24]]+ППД5[[#This Row],[Наценка 06.03.24
СТ, 1К - 3%
2К, 3К - 2%]]</f>
        <v>96208.116349258169</v>
      </c>
      <c r="BM241" s="93"/>
      <c r="BN241" s="93">
        <f>ППД5[[#This Row],[Фикс 06.03.24]]+ППД5[[#This Row],[Наценка Г2+500]]</f>
        <v>96208.116349258169</v>
      </c>
      <c r="BO241" s="93">
        <f>ППД5[[#This Row],[Фикс 13.03.25]]*2%</f>
        <v>1924.1623269851634</v>
      </c>
      <c r="BP241" s="93">
        <f>ППД5[[#This Row],[Фикс 13.03.25]]+ППД5[[#This Row],[Наценка 20.03.24
2К, 3К - 2%]]</f>
        <v>98132.278676243339</v>
      </c>
      <c r="BQ241" s="93"/>
      <c r="BR241" s="93">
        <f>ППД5[[#This Row],[Фикс 20.03.24]]+ППД5[[#This Row],[Наценка 08.04.24 
2К: В3 - 150
3К: Г7 +1000]]</f>
        <v>98132.278676243339</v>
      </c>
      <c r="BS241" s="93"/>
      <c r="BT241" s="93">
        <f>ППД5[[#This Row],[Фикс 08.04.24]]+ППД5[[#This Row],[Наценка 16.05.24 1%
А4,А6,Б3,Б6,Б7,В2,В3,В5,В6,Г1,Г3-Г5]]</f>
        <v>98132.278676243339</v>
      </c>
      <c r="BU241" s="93"/>
      <c r="BV241" s="93">
        <f>ППД5[[#This Row],[Фикс 16.05.24]]+ППД5[[#This Row],[Наценка 24.05.24
1% - Б4, Б5,Г2,Г6
2% - А1,А3,А5,Б2,Г7]]</f>
        <v>98132.278676243339</v>
      </c>
      <c r="BW241" s="93"/>
      <c r="BX241" s="93">
        <f>ППД5[[#This Row],[Наценка 06.06.24
0К: В2,Г3 +0,5%
1К: А7, Б5/4, Г6 +0,5%
3К: В6 +0,5%
1К: А3 +1%]]+ППД5[[#This Row],[Фикс 24.05.24]]</f>
        <v>98132.278676243339</v>
      </c>
      <c r="BY241" s="93"/>
      <c r="BZ241" s="93">
        <f>ППД5[[#This Row],[Фикс 06.06.24]]+ППД5[[#This Row],[13.06.2024
3К - 2%]]</f>
        <v>98132.278676243339</v>
      </c>
      <c r="CA241" s="93">
        <f>0.5%*ППД5[[#This Row],[Фикс 13.06.24]]</f>
        <v>490.66139338121673</v>
      </c>
      <c r="CB241" s="93">
        <f>ППД5[[#This Row],[02.07.2024: Г3 А1 А3 Б5 Б7 Г2 Г6 Б3 Б4 В3 Г7 2,5% ост 0,5-1,5%]]+ППД5[[#This Row],[Фикс 13.06.24]]</f>
        <v>98622.940069624558</v>
      </c>
      <c r="CC241" s="93"/>
      <c r="CD241" s="93">
        <f>ППД5[[#This Row],[Фикс 02.07.24]]+ППД5[[#This Row],[04.09.2024 +500
0К - Б2; 1К - А3;
2К - А6, Б4, В3, Г5]]</f>
        <v>98622.940069624558</v>
      </c>
      <c r="CE241" s="93">
        <f>ППД5[[#This Row],[Фикс 04.09.24]]*4%</f>
        <v>3944.9176027849826</v>
      </c>
      <c r="CF241" s="93">
        <f>ППД5[[#This Row],[Наценка 16.09.2024
1К: А1,В7,Г6/7,Г8 - 2%
2К: А4,А5,А6,Б1,Б6,Б3/4,В3,В4,Г4,Г5 - 4%
3К: 4%]]+ППД5[[#This Row],[Фикс 04.09.24]]</f>
        <v>102567.85767240953</v>
      </c>
      <c r="CG241" s="93">
        <f>ППД5[[#This Row],[Фикс 16.09.2024]]*6%</f>
        <v>6154.0714603445722</v>
      </c>
      <c r="CH241" s="93">
        <f>ППД5[[#This Row],[Фикс 16.09.2024]]+ППД5[[#This Row],[Наценка 01.11.24
СТ: 4%
1К: 34-40м 5%; 40м+ 8%; МГН 1%
2К: 55-70м 6%; 70-73м 7%; 73-76м 8% 
3К: 5%]]</f>
        <v>108721.9291327541</v>
      </c>
      <c r="CI241" s="93">
        <f>ППД5[[#This Row],[Фикс 01.11.24]]*13%</f>
        <v>14133.850787258034</v>
      </c>
      <c r="CJ241" s="93">
        <f>ППД5[[#This Row],[Наценка 06.11 13%]]+ППД5[[#This Row],[Фикс 01.11.24]]</f>
        <v>122855.77992001214</v>
      </c>
      <c r="CK241" s="93">
        <v>35</v>
      </c>
      <c r="CL241" s="93">
        <f>ППД5[[#This Row],[Фикс 06.11.24]]+ППД5[[#This Row],[Наценка 18.12.24 распределение КВ]]</f>
        <v>122890.77992001214</v>
      </c>
      <c r="CM241" s="93"/>
      <c r="CN241" s="93">
        <f>ППД5[[#This Row],[Фикс 18.12.24]]+ППД5[[#This Row],[Наценка 10.02.25 +1%
1К: А3
2К: Б3, В3]]</f>
        <v>122890.77992001214</v>
      </c>
      <c r="CO241" s="93">
        <f>ROUND(ППД5[[#This Row],[Фикс 10.02.25]],2)</f>
        <v>122890.78</v>
      </c>
      <c r="CP24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7403000</v>
      </c>
      <c r="CQ241" s="93">
        <f>ROUNDUP(ППД5[[#This Row],[Стоимость до скидки]]+ППД5[[#This Row],[Сумма доплаты]],-2)</f>
        <v>7379700</v>
      </c>
      <c r="CR241" s="68">
        <v>300000</v>
      </c>
      <c r="CS241" s="90"/>
      <c r="CT241" s="68">
        <f>ППД5[[#This Row],[Стоимость до скидки]]*ППД5[[#This Row],[Скидка %]]+ППД5[[#This Row],[Скидка фиксированная]]</f>
        <v>300000</v>
      </c>
      <c r="CU241" s="3">
        <f>ППД5[[#This Row],[Стоимость ОН без отделки со скидкой]]/ППД5[[#This Row],[Расчетная проектная площадь]]</f>
        <v>117911.68658698539</v>
      </c>
      <c r="CV241" s="3">
        <f>ROUND(ППД5[[#This Row],[Стоимость до скидки]]-ППД5[[#This Row],[Итоговая сумма скидки]],2)</f>
        <v>7103000</v>
      </c>
      <c r="CW24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41" s="197"/>
      <c r="CY241" s="332">
        <f>ППД5[[#This Row],[Расхождение]]/ППД5[[#This Row],[Расчетная проектная площадь]]</f>
        <v>-3.154050464807281E-3</v>
      </c>
      <c r="CZ24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-0.13000000000000078</v>
      </c>
      <c r="DA241" s="3">
        <f>ППД5[[#This Row],[Цена м2 без отделки со скидкой]]+ППД5[[#This Row],[Стоимость отделки]]</f>
        <v>117911.68658698539</v>
      </c>
      <c r="DB241" s="3">
        <f>ППД5[[#This Row],[Стоимость квартиры с отделкой]]-ППД5[[#This Row],[Стоимость ОН без отделки со скидкой]]</f>
        <v>0</v>
      </c>
      <c r="DC241" s="3">
        <f>ППД5[[#This Row],[Цена м2 с отделкой]]*ППД5[[#This Row],[Расчетная проектная площадь]]</f>
        <v>7103000</v>
      </c>
      <c r="DD241" s="3"/>
      <c r="DE241" s="111" t="s">
        <v>2114</v>
      </c>
      <c r="DF241" s="199" t="s">
        <v>172</v>
      </c>
      <c r="DG241" s="221" t="s">
        <v>172</v>
      </c>
      <c r="DH241" s="100" t="b">
        <f>EXACT(ППД5[[#This Row],[Статусы CRM]],ППД5[[#This Row],[Статус]])</f>
        <v>1</v>
      </c>
      <c r="DI241" s="213" t="s">
        <v>413</v>
      </c>
      <c r="DJ241" s="204"/>
      <c r="DK241" s="111" t="s">
        <v>763</v>
      </c>
      <c r="DL241" s="216" t="s">
        <v>12</v>
      </c>
      <c r="DM241" s="201" t="b">
        <f>ППД5[[#This Row],[Отделка CRM]]=ППД5[[#This Row],[Отделка]]</f>
        <v>1</v>
      </c>
      <c r="DN241" s="203">
        <v>7103000</v>
      </c>
      <c r="DO24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41" s="207" t="b">
        <f>IF(AND(ППД5[[#This Row],[Статус]]="свободно",ППД5[[#This Row],[Итоговая сумма скидки]]&lt;&gt;0),FALSE,TRUE)</f>
        <v>1</v>
      </c>
      <c r="DQ241" s="240">
        <f>_xlfn.XLOOKUP(ППД5[[#This Row],[№]],Юрист[№ кв],Юрист[Дата подачи на регистрацию]," ",0,-1)</f>
        <v>45756</v>
      </c>
      <c r="DR241" s="115" t="str">
        <f>_xlfn.XLOOKUP(ППД5[[#This Row],[№]],Юрист[№ кв],Юрист[МОП],"",0,-1)</f>
        <v>Полехович</v>
      </c>
      <c r="DS241" s="333" t="s">
        <v>2774</v>
      </c>
      <c r="DT241" s="333" t="s">
        <v>2775</v>
      </c>
      <c r="DU241" s="333">
        <v>58.6</v>
      </c>
      <c r="DV241" s="111"/>
    </row>
    <row r="242" spans="1:126" hidden="1" x14ac:dyDescent="0.25">
      <c r="A242" s="112">
        <v>240</v>
      </c>
      <c r="B242" s="111" t="s">
        <v>3</v>
      </c>
      <c r="C242" s="111">
        <v>3</v>
      </c>
      <c r="D242" s="111">
        <v>5</v>
      </c>
      <c r="E242" s="111">
        <v>1</v>
      </c>
      <c r="F242" s="105">
        <v>12.54</v>
      </c>
      <c r="G242" s="105"/>
      <c r="H242" s="105"/>
      <c r="I242" s="94">
        <f>SUM(ППД5[[#This Row],[Комната 1]:[Комната 3]])</f>
        <v>12.54</v>
      </c>
      <c r="J242" s="105">
        <v>12.74</v>
      </c>
      <c r="K242" s="105">
        <v>4.0199999999999996</v>
      </c>
      <c r="L242" s="105"/>
      <c r="M242" s="105"/>
      <c r="N242" s="105">
        <v>7.09</v>
      </c>
      <c r="O242" s="105">
        <v>2.84</v>
      </c>
      <c r="P242" s="105"/>
      <c r="Q242" s="105"/>
      <c r="R242" s="105">
        <f>SUM(ППД5[[#This Row],[Лоджия 1]:[Лоджия 3]])</f>
        <v>2.84</v>
      </c>
      <c r="S242" s="8">
        <f>ROUND(SUM(ППД5[[#This Row],[Площадь по проекту жилая]:[Лоджия 3]]),2)</f>
        <v>39.229999999999997</v>
      </c>
      <c r="T242" s="8">
        <f>ROUND(ППД5[[#This Row],[Площадь по проекту(общая)]]-ППД5[[#This Row],[Летние]],2)</f>
        <v>36.39</v>
      </c>
      <c r="U242" s="91">
        <f>ROUND(ППД5[[#This Row],[Площадь по проекту(общая)]]-(SUM(ППД5[[#This Row],[Лоджия 1]:[Лоджия 3]])/2),2)</f>
        <v>37.81</v>
      </c>
      <c r="V242" s="91">
        <f>IF(ППД5[[#This Row],[Статус]]="продажа",ППД5[[#This Row],[Расчетная проектная площадь]],ППД5[[#This Row],[Расчетная ТП площадь]])</f>
        <v>37.81</v>
      </c>
      <c r="W242" s="91">
        <v>12.5</v>
      </c>
      <c r="X242" s="91"/>
      <c r="Y242" s="91"/>
      <c r="Z242" s="91">
        <f>SUM(ППД5[[#This Row],[ТП Комната 1]:[ТП Комната 3]])</f>
        <v>12.5</v>
      </c>
      <c r="AA242" s="91">
        <v>12.6</v>
      </c>
      <c r="AB242" s="91">
        <v>4.0999999999999996</v>
      </c>
      <c r="AC242" s="91"/>
      <c r="AD242" s="91"/>
      <c r="AE242" s="91">
        <v>6.8</v>
      </c>
      <c r="AF242" s="91">
        <v>1.45</v>
      </c>
      <c r="AG242" s="91"/>
      <c r="AH242" s="91"/>
      <c r="AI242" s="91">
        <f>SUM(ППД5[[#This Row],[ТП Лоджия 1]:[ТП Лоджия 3]])</f>
        <v>1.45</v>
      </c>
      <c r="AJ242" s="95">
        <v>2.9</v>
      </c>
      <c r="AK242" s="91">
        <f>SUM(ППД5[[#This Row],[Площадь по ТП жилая]:[ТП Лоджия 3]])-ППД5[[#This Row],[ТП Летние]]+ППД5[[#This Row],[кроме того прочая
(без коэффициента)]]</f>
        <v>38.9</v>
      </c>
      <c r="AL242" s="95">
        <f>ППД5[[#This Row],[ТП Площадь без летних]]+(ППД5[[#This Row],[ТП Летние]])</f>
        <v>37.450000000000003</v>
      </c>
      <c r="AM242" s="91">
        <f>ППД5[[#This Row],[ТП общая S]]-ППД5[[#This Row],[кроме того прочая
(без коэффициента)]]</f>
        <v>36</v>
      </c>
      <c r="AN242" s="95">
        <f>SUM(ППД5[[#This Row],[ТП Кухня]:[ТП Коридор]])</f>
        <v>23.5</v>
      </c>
      <c r="AO242" s="91">
        <f>ППД5[[#This Row],[Расчетная ТП площадь]]-ППД5[[#This Row],[Расчетная проектная площадь]]</f>
        <v>-0.35999999999999943</v>
      </c>
      <c r="AP242" s="335">
        <f>ППД5[[#This Row],[Расчетная ТП площадь]]/ППД5[[#This Row],[Расчетная проектная площадь]]-1</f>
        <v>-9.5212906638455497E-3</v>
      </c>
      <c r="AQ242" s="91">
        <f>ППД5[[#This Row],[% расхождения]]*ППД5[[#This Row],[Стоимость до скидки]]</f>
        <v>-33726.578386670219</v>
      </c>
      <c r="AR242" s="91">
        <f>VLOOKUP(ППД5[[#This Row],[№]],наценкад5[],COLUMN(наценкад5[[#This Row],[Цена м2 с учетом всех K]]),0)</f>
        <v>89223.75</v>
      </c>
      <c r="AS242" s="8">
        <f>ППД5[[#This Row],[м2 после К]]*5%</f>
        <v>4461.1875</v>
      </c>
      <c r="AT242" s="8">
        <f>ППД5[[#This Row],[м2 после К]]+ППД5[[#This Row],[Повышение 16.08.23 - 5%]]</f>
        <v>93684.9375</v>
      </c>
      <c r="AU242" s="93"/>
      <c r="AV242" s="93">
        <f>ППД5[[#This Row],[Фикс 16.08.23]]+ППД5[[#This Row],[Повышение 29.08.23 - 3%]]</f>
        <v>93684.9375</v>
      </c>
      <c r="AW242" s="93"/>
      <c r="AX242" s="93">
        <f>ППД5[[#This Row],[Фикс 29.08.23]]+ППД5[[#This Row],[Повышение 06.09.23 СТ и 1К]]</f>
        <v>93684.9375</v>
      </c>
      <c r="AY242" s="93"/>
      <c r="AZ242" s="93">
        <f>ППД5[[#This Row],[Повышение 23.10.23  В4 ]]+ППД5[[#This Row],[Фикс 06.09.23]]</f>
        <v>93684.9375</v>
      </c>
      <c r="BA242" s="93"/>
      <c r="BB242" s="93">
        <f>ППД5[[#This Row],[Повышение 8.11.23 1К 5%]]+ППД5[[#This Row],[Фикс 23.10.23]]</f>
        <v>93684.9375</v>
      </c>
      <c r="BC242" s="93"/>
      <c r="BD242" s="93">
        <f>ППД5[[#This Row],[Корректировка 24.11.23 - 1К В5, 2К А2, №233]]+ППД5[[#This Row],[Фикс 8.11.23]]</f>
        <v>93684.9375</v>
      </c>
      <c r="BE242" s="93"/>
      <c r="BF242" s="93">
        <f>ППД5[[#This Row],[Наценка за отделку 29.12.23 1%]]+ППД5[[#This Row],[Фикс 8.11.24]]</f>
        <v>93684.9375</v>
      </c>
      <c r="BG242" s="93"/>
      <c r="BH242" s="93">
        <f>ППД5[[#This Row],[Фикс 29.12.23]]+ППД5[[#This Row],[Наценка 10.01.24 5%]]</f>
        <v>93684.9375</v>
      </c>
      <c r="BI242" s="93"/>
      <c r="BJ242" s="93">
        <f>ППД5[[#This Row],[Наценка 26.02.24 1 Этаж]]+ППД5[[#This Row],[Фикс 10.01.24]]</f>
        <v>93684.9375</v>
      </c>
      <c r="BK242" s="93"/>
      <c r="BL242" s="93">
        <f>ППД5[[#This Row],[Фикс 26.02.24]]+ППД5[[#This Row],[Наценка 06.03.24
СТ, 1К - 3%
2К, 3К - 2%]]</f>
        <v>93684.9375</v>
      </c>
      <c r="BM242" s="93"/>
      <c r="BN242" s="93">
        <f>ППД5[[#This Row],[Фикс 06.03.24]]+ППД5[[#This Row],[Наценка Г2+500]]</f>
        <v>93684.9375</v>
      </c>
      <c r="BO242" s="93"/>
      <c r="BP242" s="93">
        <f>ППД5[[#This Row],[Фикс 13.03.25]]+ППД5[[#This Row],[Наценка 20.03.24
2К, 3К - 2%]]</f>
        <v>93684.9375</v>
      </c>
      <c r="BQ242" s="93"/>
      <c r="BR242" s="93">
        <f>ППД5[[#This Row],[Фикс 20.03.24]]+ППД5[[#This Row],[Наценка 08.04.24 
2К: В3 - 150
3К: Г7 +1000]]</f>
        <v>93684.9375</v>
      </c>
      <c r="BS242" s="93"/>
      <c r="BT242" s="93">
        <f>ППД5[[#This Row],[Фикс 08.04.24]]+ППД5[[#This Row],[Наценка 16.05.24 1%
А4,А6,Б3,Б6,Б7,В2,В3,В5,В6,Г1,Г3-Г5]]</f>
        <v>93684.9375</v>
      </c>
      <c r="BU242" s="93"/>
      <c r="BV242" s="93">
        <f>ППД5[[#This Row],[Фикс 16.05.24]]+ППД5[[#This Row],[Наценка 24.05.24
1% - Б4, Б5,Г2,Г6
2% - А1,А3,А5,Б2,Г7]]</f>
        <v>93684.9375</v>
      </c>
      <c r="BW242" s="93"/>
      <c r="BX242" s="93">
        <f>ППД5[[#This Row],[Наценка 06.06.24
0К: В2,Г3 +0,5%
1К: А7, Б5/4, Г6 +0,5%
3К: В6 +0,5%
1К: А3 +1%]]+ППД5[[#This Row],[Фикс 24.05.24]]</f>
        <v>93684.9375</v>
      </c>
      <c r="BY242" s="93"/>
      <c r="BZ242" s="93">
        <f>ППД5[[#This Row],[Фикс 06.06.24]]+ППД5[[#This Row],[13.06.2024
3К - 2%]]</f>
        <v>93684.9375</v>
      </c>
      <c r="CA242" s="93"/>
      <c r="CB242" s="93">
        <f>ППД5[[#This Row],[02.07.2024: Г3 А1 А3 Б5 Б7 Г2 Г6 Б3 Б4 В3 Г7 2,5% ост 0,5-1,5%]]+ППД5[[#This Row],[Фикс 13.06.24]]</f>
        <v>93684.9375</v>
      </c>
      <c r="CC242" s="93"/>
      <c r="CD242" s="93">
        <f>ППД5[[#This Row],[Фикс 02.07.24]]+ППД5[[#This Row],[04.09.2024 +500
0К - Б2; 1К - А3;
2К - А6, Б4, В3, Г5]]</f>
        <v>93684.9375</v>
      </c>
      <c r="CE242" s="93"/>
      <c r="CF242" s="93">
        <f>ППД5[[#This Row],[Наценка 16.09.2024
1К: А1,В7,Г6/7,Г8 - 2%
2К: А4,А5,А6,Б1,Б6,Б3/4,В3,В4,Г4,Г5 - 4%
3К: 4%]]+ППД5[[#This Row],[Фикс 04.09.24]]</f>
        <v>93684.9375</v>
      </c>
      <c r="CG242" s="93"/>
      <c r="CH242" s="93">
        <f>ППД5[[#This Row],[Фикс 16.09.2024]]+ППД5[[#This Row],[Наценка 01.11.24
СТ: 4%
1К: 34-40м 5%; 40м+ 8%; МГН 1%
2К: 55-70м 6%; 70-73м 7%; 73-76м 8% 
3К: 5%]]</f>
        <v>93684.9375</v>
      </c>
      <c r="CI242" s="93"/>
      <c r="CJ242" s="93">
        <f>ППД5[[#This Row],[Наценка 06.11 13%]]+ППД5[[#This Row],[Фикс 01.11.24]]</f>
        <v>93684.9375</v>
      </c>
      <c r="CK242" s="93"/>
      <c r="CL242" s="93">
        <f>ППД5[[#This Row],[Фикс 06.11.24]]+ППД5[[#This Row],[Наценка 18.12.24 распределение КВ]]</f>
        <v>93684.9375</v>
      </c>
      <c r="CM242" s="93"/>
      <c r="CN242" s="93">
        <f>ППД5[[#This Row],[Фикс 18.12.24]]+ППД5[[#This Row],[Наценка 10.02.25 +1%
1К: А3
2К: Б3, В3]]</f>
        <v>93684.9375</v>
      </c>
      <c r="CO242" s="93">
        <f>ROUND(ППД5[[#This Row],[Фикс 10.02.25]],2)</f>
        <v>93684.94</v>
      </c>
      <c r="CP24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3542227.58</v>
      </c>
      <c r="CQ242" s="93">
        <f>ROUNDUP(ППД5[[#This Row],[Стоимость до скидки]]+ППД5[[#This Row],[Сумма доплаты]],-2)</f>
        <v>3508600</v>
      </c>
      <c r="CR242" s="68"/>
      <c r="CS242" s="90">
        <v>0.02</v>
      </c>
      <c r="CT242" s="68">
        <f>ППД5[[#This Row],[Стоимость до скидки]]*ППД5[[#This Row],[Скидка %]]+ППД5[[#This Row],[Скидка фиксированная]]</f>
        <v>70844.551600000006</v>
      </c>
      <c r="CU242" s="3">
        <f>ППД5[[#This Row],[Стоимость ОН без отделки со скидкой]]/ППД5[[#This Row],[Расчетная проектная площадь]]</f>
        <v>91811.241206030143</v>
      </c>
      <c r="CV242" s="3">
        <f>ROUND(ППД5[[#This Row],[Стоимость до скидки]]-ППД5[[#This Row],[Итоговая сумма скидки]],2)</f>
        <v>3471383.03</v>
      </c>
      <c r="CW24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42" s="197"/>
      <c r="CY242" s="332">
        <f>ППД5[[#This Row],[Расхождение]]/ППД5[[#This Row],[Расчетная проектная площадь]]</f>
        <v>-9.5212906638455271E-3</v>
      </c>
      <c r="CZ24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-0.34999999999999964</v>
      </c>
      <c r="DA242" s="3">
        <f>ППД5[[#This Row],[Цена м2 без отделки со скидкой]]+ППД5[[#This Row],[Стоимость отделки]]</f>
        <v>91811.241206030143</v>
      </c>
      <c r="DB242" s="3">
        <f>ППД5[[#This Row],[Стоимость квартиры с отделкой]]-ППД5[[#This Row],[Стоимость ОН без отделки со скидкой]]</f>
        <v>0</v>
      </c>
      <c r="DC242" s="3">
        <f>ППД5[[#This Row],[Цена м2 с отделкой]]*ППД5[[#This Row],[Расчетная проектная площадь]]</f>
        <v>3471383.03</v>
      </c>
      <c r="DD242" s="3"/>
      <c r="DE242" s="111" t="s">
        <v>170</v>
      </c>
      <c r="DF242" s="199" t="s">
        <v>172</v>
      </c>
      <c r="DG242" s="245" t="s">
        <v>172</v>
      </c>
      <c r="DH242" s="100" t="b">
        <f>EXACT(ППД5[[#This Row],[Статусы CRM]],ППД5[[#This Row],[Статус]])</f>
        <v>1</v>
      </c>
      <c r="DI242" s="213" t="s">
        <v>414</v>
      </c>
      <c r="DJ242" s="204"/>
      <c r="DK242" s="111" t="s">
        <v>76</v>
      </c>
      <c r="DL242" s="216" t="s">
        <v>12</v>
      </c>
      <c r="DM242" s="201" t="b">
        <f>ППД5[[#This Row],[Отделка CRM]]=ППД5[[#This Row],[Отделка]]</f>
        <v>1</v>
      </c>
      <c r="DN242" s="203">
        <v>3471383.03</v>
      </c>
      <c r="DO24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42" s="207" t="b">
        <f>IF(AND(ППД5[[#This Row],[Статус]]="свободно",ППД5[[#This Row],[Итоговая сумма скидки]]&lt;&gt;0),FALSE,TRUE)</f>
        <v>1</v>
      </c>
      <c r="DQ242" s="240">
        <f>_xlfn.XLOOKUP(ППД5[[#This Row],[№]],Юрист[№ кв],Юрист[Дата подачи на регистрацию]," ",0,-1)</f>
        <v>45188</v>
      </c>
      <c r="DR242" s="115" t="str">
        <f>_xlfn.XLOOKUP(ППД5[[#This Row],[№]],Юрист[№ кв],Юрист[МОП],"",0,-1)</f>
        <v>Калачева</v>
      </c>
      <c r="DS242" s="333" t="s">
        <v>2776</v>
      </c>
      <c r="DT242" s="333" t="s">
        <v>2777</v>
      </c>
      <c r="DU242" s="333">
        <v>36</v>
      </c>
      <c r="DV242" s="111"/>
    </row>
    <row r="243" spans="1:126" hidden="1" x14ac:dyDescent="0.25">
      <c r="A243" s="112">
        <v>241</v>
      </c>
      <c r="B243" s="111" t="s">
        <v>3</v>
      </c>
      <c r="C243" s="111">
        <v>3</v>
      </c>
      <c r="D243" s="111">
        <v>6</v>
      </c>
      <c r="E243" s="111">
        <v>3</v>
      </c>
      <c r="F243" s="105">
        <v>17.2</v>
      </c>
      <c r="G243" s="105">
        <v>14.64</v>
      </c>
      <c r="H243" s="105">
        <v>14.34</v>
      </c>
      <c r="I243" s="94">
        <f>SUM(ППД5[[#This Row],[Комната 1]:[Комната 3]])</f>
        <v>46.18</v>
      </c>
      <c r="J243" s="105">
        <v>13.15</v>
      </c>
      <c r="K243" s="105">
        <v>4.03</v>
      </c>
      <c r="L243" s="105">
        <v>1.76</v>
      </c>
      <c r="M243" s="105"/>
      <c r="N243" s="105">
        <v>13.11</v>
      </c>
      <c r="O243" s="105">
        <v>2.79</v>
      </c>
      <c r="P243" s="105">
        <v>2.68</v>
      </c>
      <c r="Q243" s="105"/>
      <c r="R243" s="105">
        <f>SUM(ППД5[[#This Row],[Лоджия 1]:[Лоджия 3]])</f>
        <v>5.4700000000000006</v>
      </c>
      <c r="S243" s="8">
        <f>ROUND(SUM(ППД5[[#This Row],[Площадь по проекту жилая]:[Лоджия 3]]),2)</f>
        <v>83.7</v>
      </c>
      <c r="T243" s="8">
        <f>ROUND(ППД5[[#This Row],[Площадь по проекту(общая)]]-ППД5[[#This Row],[Летние]],2)</f>
        <v>78.23</v>
      </c>
      <c r="U243" s="91">
        <f>ROUND(ППД5[[#This Row],[Площадь по проекту(общая)]]-(SUM(ППД5[[#This Row],[Лоджия 1]:[Лоджия 3]])/2),2)</f>
        <v>80.97</v>
      </c>
      <c r="V243" s="91">
        <f>IF(ППД5[[#This Row],[Статус]]="продажа",ППД5[[#This Row],[Расчетная проектная площадь]],ППД5[[#This Row],[Расчетная ТП площадь]])</f>
        <v>80.97</v>
      </c>
      <c r="W243" s="91">
        <v>17.2</v>
      </c>
      <c r="X243" s="91">
        <v>14.5</v>
      </c>
      <c r="Y243" s="91">
        <v>14.2</v>
      </c>
      <c r="Z243" s="91">
        <f>SUM(ППД5[[#This Row],[ТП Комната 1]:[ТП Комната 3]])</f>
        <v>45.9</v>
      </c>
      <c r="AA243" s="91">
        <v>13</v>
      </c>
      <c r="AB243" s="91">
        <v>4</v>
      </c>
      <c r="AC243" s="91">
        <v>1.7</v>
      </c>
      <c r="AD243" s="91"/>
      <c r="AE243" s="91">
        <v>13</v>
      </c>
      <c r="AF243" s="91">
        <v>1.4</v>
      </c>
      <c r="AG243" s="91">
        <v>1.3</v>
      </c>
      <c r="AH243" s="91"/>
      <c r="AI243" s="91">
        <f>SUM(ППД5[[#This Row],[ТП Лоджия 1]:[ТП Лоджия 3]])</f>
        <v>2.7</v>
      </c>
      <c r="AJ243" s="95">
        <v>5.4</v>
      </c>
      <c r="AK243" s="91">
        <f>SUM(ППД5[[#This Row],[Площадь по ТП жилая]:[ТП Лоджия 3]])-ППД5[[#This Row],[ТП Летние]]+ППД5[[#This Row],[кроме того прочая
(без коэффициента)]]</f>
        <v>83</v>
      </c>
      <c r="AL243" s="95">
        <f>ППД5[[#This Row],[ТП Площадь без летних]]+(ППД5[[#This Row],[ТП Летние]])</f>
        <v>80.3</v>
      </c>
      <c r="AM243" s="91">
        <f>ППД5[[#This Row],[ТП общая S]]-ППД5[[#This Row],[кроме того прочая
(без коэффициента)]]</f>
        <v>77.599999999999994</v>
      </c>
      <c r="AN243" s="95">
        <f>SUM(ППД5[[#This Row],[ТП Кухня]:[ТП Коридор]])</f>
        <v>31.7</v>
      </c>
      <c r="AO243" s="91">
        <f>ППД5[[#This Row],[Расчетная ТП площадь]]-ППД5[[#This Row],[Расчетная проектная площадь]]</f>
        <v>-0.67000000000000171</v>
      </c>
      <c r="AP243" s="335">
        <f>ППД5[[#This Row],[Расчетная ТП площадь]]/ППД5[[#This Row],[Расчетная проектная площадь]]-1</f>
        <v>-8.274669630727427E-3</v>
      </c>
      <c r="AQ243" s="91">
        <f>ППД5[[#This Row],[% расхождения]]*ППД5[[#This Row],[Стоимость до скидки]]</f>
        <v>-61447.696677781874</v>
      </c>
      <c r="AR243" s="91">
        <f>VLOOKUP(ППД5[[#This Row],[№]],наценкад5[],COLUMN(наценкад5[[#This Row],[Цена м2 с учетом всех K]]),0)</f>
        <v>74234.160000000018</v>
      </c>
      <c r="AS243" s="8">
        <f>ППД5[[#This Row],[м2 после К]]*5%</f>
        <v>3711.708000000001</v>
      </c>
      <c r="AT243" s="8">
        <f>ППД5[[#This Row],[м2 после К]]+ППД5[[#This Row],[Повышение 16.08.23 - 5%]]</f>
        <v>77945.868000000017</v>
      </c>
      <c r="AU243" s="93">
        <f>ППД5[[#This Row],[Фикс 16.08.23]]*3%</f>
        <v>2338.3760400000006</v>
      </c>
      <c r="AV243" s="93">
        <f>ППД5[[#This Row],[Фикс 16.08.23]]+ППД5[[#This Row],[Повышение 29.08.23 - 3%]]</f>
        <v>80284.24404000002</v>
      </c>
      <c r="AW243" s="93"/>
      <c r="AX243" s="93">
        <f>ППД5[[#This Row],[Фикс 29.08.23]]+ППД5[[#This Row],[Повышение 06.09.23 СТ и 1К]]</f>
        <v>80284.24404000002</v>
      </c>
      <c r="AY243" s="93"/>
      <c r="AZ243" s="93">
        <f>ППД5[[#This Row],[Повышение 23.10.23  В4 ]]+ППД5[[#This Row],[Фикс 06.09.23]]</f>
        <v>80284.24404000002</v>
      </c>
      <c r="BA243" s="93"/>
      <c r="BB243" s="93">
        <f>ППД5[[#This Row],[Повышение 8.11.23 1К 5%]]+ППД5[[#This Row],[Фикс 23.10.23]]</f>
        <v>80284.24404000002</v>
      </c>
      <c r="BC243" s="93"/>
      <c r="BD243" s="93">
        <f>ППД5[[#This Row],[Корректировка 24.11.23 - 1К В5, 2К А2, №233]]+ППД5[[#This Row],[Фикс 8.11.23]]</f>
        <v>80284.24404000002</v>
      </c>
      <c r="BE243" s="93">
        <f>ППД5[[#This Row],[Фикс 8.11.24]]*1%</f>
        <v>802.84244040000021</v>
      </c>
      <c r="BF243" s="93">
        <f>ППД5[[#This Row],[Наценка за отделку 29.12.23 1%]]+ППД5[[#This Row],[Фикс 8.11.24]]</f>
        <v>81087.086480400016</v>
      </c>
      <c r="BG243" s="93">
        <f>ППД5[[#This Row],[Фикс 29.12.23]]*5%</f>
        <v>4054.3543240200011</v>
      </c>
      <c r="BH243" s="93">
        <f>ППД5[[#This Row],[Фикс 29.12.23]]+ППД5[[#This Row],[Наценка 10.01.24 5%]]</f>
        <v>85141.44080442001</v>
      </c>
      <c r="BI243" s="93"/>
      <c r="BJ243" s="93">
        <f>ППД5[[#This Row],[Наценка 26.02.24 1 Этаж]]+ППД5[[#This Row],[Фикс 10.01.24]]</f>
        <v>85141.44080442001</v>
      </c>
      <c r="BK243" s="93">
        <f>ППД5[[#This Row],[Фикс 26.02.24]]*2%</f>
        <v>1702.8288160884003</v>
      </c>
      <c r="BL243" s="93">
        <f>ППД5[[#This Row],[Фикс 26.02.24]]+ППД5[[#This Row],[Наценка 06.03.24
СТ, 1К - 3%
2К, 3К - 2%]]</f>
        <v>86844.269620508407</v>
      </c>
      <c r="BM243" s="93"/>
      <c r="BN243" s="93">
        <f>ППД5[[#This Row],[Фикс 06.03.24]]+ППД5[[#This Row],[Наценка Г2+500]]</f>
        <v>86844.269620508407</v>
      </c>
      <c r="BO243" s="93">
        <f>ППД5[[#This Row],[Фикс 13.03.25]]*2%</f>
        <v>1736.8853924101682</v>
      </c>
      <c r="BP243" s="93">
        <f>ППД5[[#This Row],[Фикс 13.03.25]]+ППД5[[#This Row],[Наценка 20.03.24
2К, 3К - 2%]]</f>
        <v>88581.155012918578</v>
      </c>
      <c r="BQ243" s="93"/>
      <c r="BR243" s="93">
        <f>ППД5[[#This Row],[Фикс 20.03.24]]+ППД5[[#This Row],[Наценка 08.04.24 
2К: В3 - 150
3К: Г7 +1000]]</f>
        <v>88581.155012918578</v>
      </c>
      <c r="BS243" s="93">
        <f>ППД5[[#This Row],[Фикс 08.04.24]]*1%</f>
        <v>885.81155012918578</v>
      </c>
      <c r="BT243" s="93">
        <f>ППД5[[#This Row],[Фикс 08.04.24]]+ППД5[[#This Row],[Наценка 16.05.24 1%
А4,А6,Б3,Б6,Б7,В2,В3,В5,В6,Г1,Г3-Г5]]</f>
        <v>89466.966563047768</v>
      </c>
      <c r="BU243" s="93"/>
      <c r="BV243" s="93">
        <f>ППД5[[#This Row],[Фикс 16.05.24]]+ППД5[[#This Row],[Наценка 24.05.24
1% - Б4, Б5,Г2,Г6
2% - А1,А3,А5,Б2,Г7]]</f>
        <v>89466.966563047768</v>
      </c>
      <c r="BW243" s="93">
        <f>ППД5[[#This Row],[Фикс 24.05.24]]*0.5%</f>
        <v>447.33483281523883</v>
      </c>
      <c r="BX243" s="93">
        <f>ППД5[[#This Row],[Наценка 06.06.24
0К: В2,Г3 +0,5%
1К: А7, Б5/4, Г6 +0,5%
3К: В6 +0,5%
1К: А3 +1%]]+ППД5[[#This Row],[Фикс 24.05.24]]</f>
        <v>89914.301395863004</v>
      </c>
      <c r="BY243" s="93">
        <f>ППД5[[#This Row],[Фикс 06.06.24]]*2%</f>
        <v>1798.2860279172601</v>
      </c>
      <c r="BZ243" s="93">
        <f>ППД5[[#This Row],[Фикс 06.06.24]]+ППД5[[#This Row],[13.06.2024
3К - 2%]]</f>
        <v>91712.587423780264</v>
      </c>
      <c r="CA243" s="93"/>
      <c r="CB243" s="93">
        <f>ППД5[[#This Row],[02.07.2024: Г3 А1 А3 Б5 Б7 Г2 Г6 Б3 Б4 В3 Г7 2,5% ост 0,5-1,5%]]+ППД5[[#This Row],[Фикс 13.06.24]]</f>
        <v>91712.587423780264</v>
      </c>
      <c r="CC243" s="93"/>
      <c r="CD243" s="93">
        <f>ППД5[[#This Row],[Фикс 02.07.24]]+ППД5[[#This Row],[04.09.2024 +500
0К - Б2; 1К - А3;
2К - А6, Б4, В3, Г5]]</f>
        <v>91712.587423780264</v>
      </c>
      <c r="CE243" s="93"/>
      <c r="CF243" s="93">
        <f>ППД5[[#This Row],[Наценка 16.09.2024
1К: А1,В7,Г6/7,Г8 - 2%
2К: А4,А5,А6,Б1,Б6,Б3/4,В3,В4,Г4,Г5 - 4%
3К: 4%]]+ППД5[[#This Row],[Фикс 04.09.24]]</f>
        <v>91712.587423780264</v>
      </c>
      <c r="CG243" s="93"/>
      <c r="CH243" s="93">
        <f>ППД5[[#This Row],[Фикс 16.09.2024]]+ППД5[[#This Row],[Наценка 01.11.24
СТ: 4%
1К: 34-40м 5%; 40м+ 8%; МГН 1%
2К: 55-70м 6%; 70-73м 7%; 73-76м 8% 
3К: 5%]]</f>
        <v>91712.587423780264</v>
      </c>
      <c r="CI243" s="93"/>
      <c r="CJ243" s="93">
        <f>ППД5[[#This Row],[Наценка 06.11 13%]]+ППД5[[#This Row],[Фикс 01.11.24]]</f>
        <v>91712.587423780264</v>
      </c>
      <c r="CK243" s="93"/>
      <c r="CL243" s="93">
        <f>ППД5[[#This Row],[Фикс 06.11.24]]+ППД5[[#This Row],[Наценка 18.12.24 распределение КВ]]</f>
        <v>91712.587423780264</v>
      </c>
      <c r="CM243" s="93"/>
      <c r="CN243" s="93">
        <f>ППД5[[#This Row],[Фикс 18.12.24]]+ППД5[[#This Row],[Наценка 10.02.25 +1%
1К: А3
2К: Б3, В3]]</f>
        <v>91712.587423780264</v>
      </c>
      <c r="CO243" s="93">
        <f>ROUND(ППД5[[#This Row],[Фикс 10.02.25]],2)</f>
        <v>91712.59</v>
      </c>
      <c r="CP24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7426000</v>
      </c>
      <c r="CQ243" s="93">
        <f>ROUNDUP(ППД5[[#This Row],[Стоимость до скидки]]+ППД5[[#This Row],[Сумма доплаты]],-2)</f>
        <v>7364600</v>
      </c>
      <c r="CR243" s="68"/>
      <c r="CS243" s="90"/>
      <c r="CT243" s="68">
        <f>ППД5[[#This Row],[Стоимость до скидки]]*ППД5[[#This Row],[Скидка %]]+ППД5[[#This Row],[Скидка фиксированная]]</f>
        <v>0</v>
      </c>
      <c r="CU243" s="3">
        <f>ППД5[[#This Row],[Стоимость ОН без отделки со скидкой]]/ППД5[[#This Row],[Расчетная проектная площадь]]</f>
        <v>91712.980116092382</v>
      </c>
      <c r="CV243" s="3">
        <f>ROUND(ППД5[[#This Row],[Стоимость до скидки]]-ППД5[[#This Row],[Итоговая сумма скидки]],2)</f>
        <v>7426000</v>
      </c>
      <c r="CW24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43" s="197"/>
      <c r="CY243" s="332">
        <f>ППД5[[#This Row],[Расхождение]]/ППД5[[#This Row],[Расчетная проектная площадь]]</f>
        <v>-8.2746696307274513E-3</v>
      </c>
      <c r="CZ24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-0.3500000000000032</v>
      </c>
      <c r="DA243" s="3">
        <f>ППД5[[#This Row],[Цена м2 без отделки со скидкой]]+ППД5[[#This Row],[Стоимость отделки]]</f>
        <v>91712.980116092382</v>
      </c>
      <c r="DB243" s="3">
        <f>ППД5[[#This Row],[Стоимость квартиры с отделкой]]-ППД5[[#This Row],[Стоимость ОН без отделки со скидкой]]</f>
        <v>0</v>
      </c>
      <c r="DC243" s="3">
        <f>ППД5[[#This Row],[Цена м2 с отделкой]]*ППД5[[#This Row],[Расчетная проектная площадь]]</f>
        <v>7426000</v>
      </c>
      <c r="DD243" s="3"/>
      <c r="DF243" s="199" t="s">
        <v>172</v>
      </c>
      <c r="DG243" s="245" t="s">
        <v>172</v>
      </c>
      <c r="DH243" s="100" t="b">
        <f>EXACT(ППД5[[#This Row],[Статусы CRM]],ППД5[[#This Row],[Статус]])</f>
        <v>1</v>
      </c>
      <c r="DI243" s="213" t="s">
        <v>415</v>
      </c>
      <c r="DJ243" s="204"/>
      <c r="DK243" s="111" t="s">
        <v>763</v>
      </c>
      <c r="DL243" s="216" t="s">
        <v>12</v>
      </c>
      <c r="DM243" s="201" t="b">
        <f>ППД5[[#This Row],[Отделка CRM]]=ППД5[[#This Row],[Отделка]]</f>
        <v>1</v>
      </c>
      <c r="DN243" s="203">
        <v>7426000</v>
      </c>
      <c r="DO24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43" s="207" t="b">
        <f>IF(AND(ППД5[[#This Row],[Статус]]="свободно",ППД5[[#This Row],[Итоговая сумма скидки]]&lt;&gt;0),FALSE,TRUE)</f>
        <v>1</v>
      </c>
      <c r="DQ243" s="240">
        <f>_xlfn.XLOOKUP(ППД5[[#This Row],[№]],Юрист[№ кв],Юрист[Дата подачи на регистрацию]," ",0,-1)</f>
        <v>45576</v>
      </c>
      <c r="DR243" s="115" t="str">
        <f>_xlfn.XLOOKUP(ППД5[[#This Row],[№]],Юрист[№ кв],Юрист[МОП],"",0,-1)</f>
        <v>Полехович</v>
      </c>
      <c r="DS243" s="333" t="s">
        <v>2778</v>
      </c>
      <c r="DT243" s="333" t="s">
        <v>2779</v>
      </c>
      <c r="DU243" s="333">
        <v>77.599999999999994</v>
      </c>
      <c r="DV243" s="111"/>
    </row>
    <row r="244" spans="1:126" hidden="1" x14ac:dyDescent="0.25">
      <c r="A244" s="112">
        <v>242</v>
      </c>
      <c r="B244" s="111" t="s">
        <v>3</v>
      </c>
      <c r="C244" s="111">
        <v>3</v>
      </c>
      <c r="D244" s="111">
        <v>7</v>
      </c>
      <c r="E244" s="111">
        <v>1</v>
      </c>
      <c r="F244" s="105">
        <v>14.3</v>
      </c>
      <c r="G244" s="105"/>
      <c r="H244" s="105"/>
      <c r="I244" s="94">
        <f>SUM(ППД5[[#This Row],[Комната 1]:[Комната 3]])</f>
        <v>14.3</v>
      </c>
      <c r="J244" s="105">
        <v>9.2799999999999994</v>
      </c>
      <c r="K244" s="105">
        <v>3.79</v>
      </c>
      <c r="L244" s="105"/>
      <c r="M244" s="105"/>
      <c r="N244" s="105">
        <v>6.08</v>
      </c>
      <c r="O244" s="105">
        <v>2.71</v>
      </c>
      <c r="P244" s="105"/>
      <c r="Q244" s="105"/>
      <c r="R244" s="105">
        <f>SUM(ППД5[[#This Row],[Лоджия 1]:[Лоджия 3]])</f>
        <v>2.71</v>
      </c>
      <c r="S244" s="8">
        <f>ROUND(SUM(ППД5[[#This Row],[Площадь по проекту жилая]:[Лоджия 3]]),2)</f>
        <v>36.159999999999997</v>
      </c>
      <c r="T244" s="8">
        <f>ROUND(ППД5[[#This Row],[Площадь по проекту(общая)]]-ППД5[[#This Row],[Летние]],2)</f>
        <v>33.450000000000003</v>
      </c>
      <c r="U244" s="91">
        <f>ROUND(ППД5[[#This Row],[Площадь по проекту(общая)]]-(SUM(ППД5[[#This Row],[Лоджия 1]:[Лоджия 3]])/2),2)</f>
        <v>34.81</v>
      </c>
      <c r="V244" s="91">
        <f>IF(ППД5[[#This Row],[Статус]]="продажа",ППД5[[#This Row],[Расчетная проектная площадь]],ППД5[[#This Row],[Расчетная ТП площадь]])</f>
        <v>34.81</v>
      </c>
      <c r="W244" s="91">
        <v>14.2</v>
      </c>
      <c r="X244" s="91"/>
      <c r="Y244" s="91"/>
      <c r="Z244" s="91">
        <f>SUM(ППД5[[#This Row],[ТП Комната 1]:[ТП Комната 3]])</f>
        <v>14.2</v>
      </c>
      <c r="AA244" s="91">
        <v>9.1999999999999993</v>
      </c>
      <c r="AB244" s="91">
        <v>3.7</v>
      </c>
      <c r="AC244" s="91"/>
      <c r="AD244" s="91"/>
      <c r="AE244" s="91">
        <v>6.2</v>
      </c>
      <c r="AF244" s="91">
        <v>1.3</v>
      </c>
      <c r="AG244" s="91"/>
      <c r="AH244" s="91"/>
      <c r="AI244" s="91">
        <f>SUM(ППД5[[#This Row],[ТП Лоджия 1]:[ТП Лоджия 3]])</f>
        <v>1.3</v>
      </c>
      <c r="AJ244" s="95">
        <v>2.6</v>
      </c>
      <c r="AK244" s="91">
        <f>SUM(ППД5[[#This Row],[Площадь по ТП жилая]:[ТП Лоджия 3]])-ППД5[[#This Row],[ТП Летние]]+ППД5[[#This Row],[кроме того прочая
(без коэффициента)]]</f>
        <v>35.9</v>
      </c>
      <c r="AL244" s="95">
        <f>ППД5[[#This Row],[ТП Площадь без летних]]+(ППД5[[#This Row],[ТП Летние]])</f>
        <v>34.599999999999994</v>
      </c>
      <c r="AM244" s="91">
        <f>ППД5[[#This Row],[ТП общая S]]-ППД5[[#This Row],[кроме того прочая
(без коэффициента)]]</f>
        <v>33.299999999999997</v>
      </c>
      <c r="AN244" s="95">
        <f>SUM(ППД5[[#This Row],[ТП Кухня]:[ТП Коридор]])</f>
        <v>19.099999999999998</v>
      </c>
      <c r="AO244" s="91">
        <f>ППД5[[#This Row],[Расчетная ТП площадь]]-ППД5[[#This Row],[Расчетная проектная площадь]]</f>
        <v>-0.21000000000000796</v>
      </c>
      <c r="AP244" s="335">
        <f>ППД5[[#This Row],[Расчетная ТП площадь]]/ППД5[[#This Row],[Расчетная проектная площадь]]-1</f>
        <v>-6.0327492099973012E-3</v>
      </c>
      <c r="AQ244" s="91">
        <f>ППД5[[#This Row],[% расхождения]]*ППД5[[#This Row],[Стоимость до скидки]]</f>
        <v>-17970.47490663654</v>
      </c>
      <c r="AR244" s="91">
        <f>VLOOKUP(ППД5[[#This Row],[№]],наценкад5[],COLUMN(наценкад5[[#This Row],[Цена м2 с учетом всех K]]),0)</f>
        <v>85573.6875</v>
      </c>
      <c r="AS244" s="8"/>
      <c r="AT244" s="8">
        <f>ППД5[[#This Row],[м2 после К]]+ППД5[[#This Row],[Повышение 16.08.23 - 5%]]</f>
        <v>85573.6875</v>
      </c>
      <c r="AU244" s="93"/>
      <c r="AV244" s="93">
        <f>ППД5[[#This Row],[Фикс 16.08.23]]+ППД5[[#This Row],[Повышение 29.08.23 - 3%]]</f>
        <v>85573.6875</v>
      </c>
      <c r="AW244" s="93"/>
      <c r="AX244" s="93">
        <f>ППД5[[#This Row],[Фикс 29.08.23]]+ППД5[[#This Row],[Повышение 06.09.23 СТ и 1К]]</f>
        <v>85573.6875</v>
      </c>
      <c r="AY244" s="93"/>
      <c r="AZ244" s="93">
        <f>ППД5[[#This Row],[Повышение 23.10.23  В4 ]]+ППД5[[#This Row],[Фикс 06.09.23]]</f>
        <v>85573.6875</v>
      </c>
      <c r="BA244" s="93"/>
      <c r="BB244" s="93">
        <f>ППД5[[#This Row],[Повышение 8.11.23 1К 5%]]+ППД5[[#This Row],[Фикс 23.10.23]]</f>
        <v>85573.6875</v>
      </c>
      <c r="BC244" s="93"/>
      <c r="BD244" s="93">
        <f>ППД5[[#This Row],[Корректировка 24.11.23 - 1К В5, 2К А2, №233]]+ППД5[[#This Row],[Фикс 8.11.23]]</f>
        <v>85573.6875</v>
      </c>
      <c r="BE244" s="93"/>
      <c r="BF244" s="93">
        <f>ППД5[[#This Row],[Наценка за отделку 29.12.23 1%]]+ППД5[[#This Row],[Фикс 8.11.24]]</f>
        <v>85573.6875</v>
      </c>
      <c r="BG244" s="93"/>
      <c r="BH244" s="93">
        <f>ППД5[[#This Row],[Фикс 29.12.23]]+ППД5[[#This Row],[Наценка 10.01.24 5%]]</f>
        <v>85573.6875</v>
      </c>
      <c r="BI244" s="93"/>
      <c r="BJ244" s="93">
        <f>ППД5[[#This Row],[Наценка 26.02.24 1 Этаж]]+ППД5[[#This Row],[Фикс 10.01.24]]</f>
        <v>85573.6875</v>
      </c>
      <c r="BK244" s="93"/>
      <c r="BL244" s="93">
        <f>ППД5[[#This Row],[Фикс 26.02.24]]+ППД5[[#This Row],[Наценка 06.03.24
СТ, 1К - 3%
2К, 3К - 2%]]</f>
        <v>85573.6875</v>
      </c>
      <c r="BM244" s="93"/>
      <c r="BN244" s="93">
        <f>ППД5[[#This Row],[Фикс 06.03.24]]+ППД5[[#This Row],[Наценка Г2+500]]</f>
        <v>85573.6875</v>
      </c>
      <c r="BO244" s="93"/>
      <c r="BP244" s="93">
        <f>ППД5[[#This Row],[Фикс 13.03.25]]+ППД5[[#This Row],[Наценка 20.03.24
2К, 3К - 2%]]</f>
        <v>85573.6875</v>
      </c>
      <c r="BQ244" s="93"/>
      <c r="BR244" s="93">
        <f>ППД5[[#This Row],[Фикс 20.03.24]]+ППД5[[#This Row],[Наценка 08.04.24 
2К: В3 - 150
3К: Г7 +1000]]</f>
        <v>85573.6875</v>
      </c>
      <c r="BS244" s="93"/>
      <c r="BT244" s="93">
        <f>ППД5[[#This Row],[Фикс 08.04.24]]+ППД5[[#This Row],[Наценка 16.05.24 1%
А4,А6,Б3,Б6,Б7,В2,В3,В5,В6,Г1,Г3-Г5]]</f>
        <v>85573.6875</v>
      </c>
      <c r="BU244" s="93"/>
      <c r="BV244" s="93">
        <f>ППД5[[#This Row],[Фикс 16.05.24]]+ППД5[[#This Row],[Наценка 24.05.24
1% - Б4, Б5,Г2,Г6
2% - А1,А3,А5,Б2,Г7]]</f>
        <v>85573.6875</v>
      </c>
      <c r="BW244" s="93"/>
      <c r="BX244" s="93">
        <f>ППД5[[#This Row],[Наценка 06.06.24
0К: В2,Г3 +0,5%
1К: А7, Б5/4, Г6 +0,5%
3К: В6 +0,5%
1К: А3 +1%]]+ППД5[[#This Row],[Фикс 24.05.24]]</f>
        <v>85573.6875</v>
      </c>
      <c r="BY244" s="93"/>
      <c r="BZ244" s="93">
        <f>ППД5[[#This Row],[Фикс 06.06.24]]+ППД5[[#This Row],[13.06.2024
3К - 2%]]</f>
        <v>85573.6875</v>
      </c>
      <c r="CA244" s="93"/>
      <c r="CB244" s="93">
        <f>ППД5[[#This Row],[02.07.2024: Г3 А1 А3 Б5 Б7 Г2 Г6 Б3 Б4 В3 Г7 2,5% ост 0,5-1,5%]]+ППД5[[#This Row],[Фикс 13.06.24]]</f>
        <v>85573.6875</v>
      </c>
      <c r="CC244" s="93"/>
      <c r="CD244" s="93">
        <f>ППД5[[#This Row],[Фикс 02.07.24]]+ППД5[[#This Row],[04.09.2024 +500
0К - Б2; 1К - А3;
2К - А6, Б4, В3, Г5]]</f>
        <v>85573.6875</v>
      </c>
      <c r="CE244" s="93"/>
      <c r="CF244" s="93">
        <f>ППД5[[#This Row],[Наценка 16.09.2024
1К: А1,В7,Г6/7,Г8 - 2%
2К: А4,А5,А6,Б1,Б6,Б3/4,В3,В4,Г4,Г5 - 4%
3К: 4%]]+ППД5[[#This Row],[Фикс 04.09.24]]</f>
        <v>85573.6875</v>
      </c>
      <c r="CG244" s="93"/>
      <c r="CH244" s="93">
        <f>ППД5[[#This Row],[Фикс 16.09.2024]]+ППД5[[#This Row],[Наценка 01.11.24
СТ: 4%
1К: 34-40м 5%; 40м+ 8%; МГН 1%
2К: 55-70м 6%; 70-73м 7%; 73-76м 8% 
3К: 5%]]</f>
        <v>85573.6875</v>
      </c>
      <c r="CI244" s="93"/>
      <c r="CJ244" s="93">
        <f>ППД5[[#This Row],[Наценка 06.11 13%]]+ППД5[[#This Row],[Фикс 01.11.24]]</f>
        <v>85573.6875</v>
      </c>
      <c r="CK244" s="93"/>
      <c r="CL244" s="93">
        <f>ППД5[[#This Row],[Фикс 06.11.24]]+ППД5[[#This Row],[Наценка 18.12.24 распределение КВ]]</f>
        <v>85573.6875</v>
      </c>
      <c r="CM244" s="93"/>
      <c r="CN244" s="93">
        <f>ППД5[[#This Row],[Фикс 18.12.24]]+ППД5[[#This Row],[Наценка 10.02.25 +1%
1К: А3
2К: Б3, В3]]</f>
        <v>85573.6875</v>
      </c>
      <c r="CO244" s="93">
        <f>ROUND(ППД5[[#This Row],[Фикс 10.02.25]],2)</f>
        <v>85573.69</v>
      </c>
      <c r="CP24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2978820.15</v>
      </c>
      <c r="CQ244" s="93">
        <f>ROUNDUP(ППД5[[#This Row],[Стоимость до скидки]]+ППД5[[#This Row],[Сумма доплаты]],-2)</f>
        <v>2960900</v>
      </c>
      <c r="CR244" s="68"/>
      <c r="CS244" s="90"/>
      <c r="CT244" s="68">
        <f>ППД5[[#This Row],[Стоимость до скидки]]*ППД5[[#This Row],[Скидка %]]+ППД5[[#This Row],[Скидка фиксированная]]</f>
        <v>0</v>
      </c>
      <c r="CU244" s="3">
        <f>ППД5[[#This Row],[Стоимость ОН без отделки со скидкой]]/ППД5[[#This Row],[Расчетная проектная площадь]]</f>
        <v>85573.690031600112</v>
      </c>
      <c r="CV244" s="3">
        <f>ROUND(ППД5[[#This Row],[Стоимость до скидки]]-ППД5[[#This Row],[Итоговая сумма скидки]],2)</f>
        <v>2978820.15</v>
      </c>
      <c r="CW24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44" s="197"/>
      <c r="CY244" s="332">
        <f>ППД5[[#This Row],[Расхождение]]/ППД5[[#This Row],[Расчетная проектная площадь]]</f>
        <v>-6.0327492099973559E-3</v>
      </c>
      <c r="CZ24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-5.0000000000002487E-2</v>
      </c>
      <c r="DA244" s="3">
        <f>ППД5[[#This Row],[Цена м2 без отделки со скидкой]]+ППД5[[#This Row],[Стоимость отделки]]</f>
        <v>85573.690031600112</v>
      </c>
      <c r="DB244" s="3">
        <f>ППД5[[#This Row],[Стоимость квартиры с отделкой]]-ППД5[[#This Row],[Стоимость ОН без отделки со скидкой]]</f>
        <v>0</v>
      </c>
      <c r="DC244" s="3">
        <f>ППД5[[#This Row],[Цена м2 с отделкой]]*ППД5[[#This Row],[Расчетная проектная площадь]]</f>
        <v>2978820.15</v>
      </c>
      <c r="DD244" s="3" t="s">
        <v>154</v>
      </c>
      <c r="DF244" s="199" t="s">
        <v>172</v>
      </c>
      <c r="DG244" s="245" t="s">
        <v>172</v>
      </c>
      <c r="DH244" s="100" t="b">
        <f>EXACT(ППД5[[#This Row],[Статусы CRM]],ППД5[[#This Row],[Статус]])</f>
        <v>1</v>
      </c>
      <c r="DI244" s="213" t="s">
        <v>416</v>
      </c>
      <c r="DJ244" s="204"/>
      <c r="DK244" s="111" t="s">
        <v>76</v>
      </c>
      <c r="DL244" s="216" t="s">
        <v>12</v>
      </c>
      <c r="DM244" s="201" t="b">
        <f>ППД5[[#This Row],[Отделка CRM]]=ППД5[[#This Row],[Отделка]]</f>
        <v>1</v>
      </c>
      <c r="DN244" s="203">
        <v>2978820.15</v>
      </c>
      <c r="DO24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44" s="207" t="b">
        <f>IF(AND(ППД5[[#This Row],[Статус]]="свободно",ППД5[[#This Row],[Итоговая сумма скидки]]&lt;&gt;0),FALSE,TRUE)</f>
        <v>1</v>
      </c>
      <c r="DQ244" s="240">
        <f>_xlfn.XLOOKUP(ППД5[[#This Row],[№]],Юрист[№ кв],Юрист[Дата подачи на регистрацию]," ",0,-1)</f>
        <v>45198</v>
      </c>
      <c r="DR244" s="115" t="str">
        <f>_xlfn.XLOOKUP(ППД5[[#This Row],[№]],Юрист[№ кв],Юрист[МОП],"",0,-1)</f>
        <v>Калачева</v>
      </c>
      <c r="DS244" s="333" t="s">
        <v>2780</v>
      </c>
      <c r="DT244" s="333" t="s">
        <v>2781</v>
      </c>
      <c r="DU244" s="333">
        <v>33.299999999999997</v>
      </c>
      <c r="DV244" s="111"/>
    </row>
    <row r="245" spans="1:126" hidden="1" x14ac:dyDescent="0.25">
      <c r="A245" s="112">
        <v>243</v>
      </c>
      <c r="B245" s="111" t="s">
        <v>3</v>
      </c>
      <c r="C245" s="111">
        <v>4</v>
      </c>
      <c r="D245" s="338">
        <v>1</v>
      </c>
      <c r="E245" s="111">
        <v>2</v>
      </c>
      <c r="F245" s="105">
        <v>17.63</v>
      </c>
      <c r="G245" s="105">
        <v>13.69</v>
      </c>
      <c r="H245" s="105"/>
      <c r="I245" s="94">
        <f>SUM(ППД5[[#This Row],[Комната 1]:[Комната 3]])</f>
        <v>31.32</v>
      </c>
      <c r="J245" s="105">
        <v>20.05</v>
      </c>
      <c r="K245" s="105">
        <v>3.54</v>
      </c>
      <c r="L245" s="105">
        <v>2.93</v>
      </c>
      <c r="M245" s="105"/>
      <c r="N245" s="105">
        <v>12.19</v>
      </c>
      <c r="O245" s="105">
        <v>4.6500000000000004</v>
      </c>
      <c r="P245" s="105">
        <v>2.68</v>
      </c>
      <c r="Q245" s="105"/>
      <c r="R245" s="105">
        <f>SUM(ППД5[[#This Row],[Лоджия 1]:[Лоджия 3]])</f>
        <v>7.33</v>
      </c>
      <c r="S245" s="8">
        <f>ROUND(SUM(ППД5[[#This Row],[Площадь по проекту жилая]:[Лоджия 3]]),2)</f>
        <v>77.36</v>
      </c>
      <c r="T245" s="8">
        <f>ROUND(ППД5[[#This Row],[Площадь по проекту(общая)]]-ППД5[[#This Row],[Летние]],2)</f>
        <v>70.03</v>
      </c>
      <c r="U245" s="91">
        <f>ROUND(ППД5[[#This Row],[Площадь по проекту(общая)]]-(SUM(ППД5[[#This Row],[Лоджия 1]:[Лоджия 3]])/2),2)</f>
        <v>73.7</v>
      </c>
      <c r="V245" s="91">
        <f>IF(ППД5[[#This Row],[Статус]]="продажа",ППД5[[#This Row],[Расчетная проектная площадь]],ППД5[[#This Row],[Расчетная ТП площадь]])</f>
        <v>73.249999999999986</v>
      </c>
      <c r="W245" s="91">
        <v>17.600000000000001</v>
      </c>
      <c r="X245" s="91">
        <v>13.5</v>
      </c>
      <c r="Y245" s="91"/>
      <c r="Z245" s="91">
        <f>SUM(ППД5[[#This Row],[ТП Комната 1]:[ТП Комната 3]])</f>
        <v>31.1</v>
      </c>
      <c r="AA245" s="91">
        <v>19.899999999999999</v>
      </c>
      <c r="AB245" s="91">
        <v>3.5</v>
      </c>
      <c r="AC245" s="91">
        <v>2.9</v>
      </c>
      <c r="AD245" s="91"/>
      <c r="AE245" s="91">
        <v>12.2</v>
      </c>
      <c r="AF245" s="91">
        <v>1.35</v>
      </c>
      <c r="AG245" s="91">
        <v>2.2999999999999998</v>
      </c>
      <c r="AH245" s="91"/>
      <c r="AI245" s="91">
        <f>SUM(ППД5[[#This Row],[ТП Лоджия 1]:[ТП Лоджия 3]])</f>
        <v>3.65</v>
      </c>
      <c r="AJ245" s="95">
        <v>7.3</v>
      </c>
      <c r="AK245" s="91">
        <f>SUM(ППД5[[#This Row],[Площадь по ТП жилая]:[ТП Лоджия 3]])-ППД5[[#This Row],[ТП Летние]]+ППД5[[#This Row],[кроме того прочая
(без коэффициента)]]</f>
        <v>76.899999999999977</v>
      </c>
      <c r="AL245" s="95">
        <f>ППД5[[#This Row],[ТП Площадь без летних]]+(ППД5[[#This Row],[ТП Летние]])</f>
        <v>73.249999999999986</v>
      </c>
      <c r="AM245" s="91">
        <f>ППД5[[#This Row],[ТП общая S]]-ППД5[[#This Row],[кроме того прочая
(без коэффициента)]]</f>
        <v>69.59999999999998</v>
      </c>
      <c r="AN245" s="95">
        <f>SUM(ППД5[[#This Row],[ТП Кухня]:[ТП Коридор]])</f>
        <v>38.5</v>
      </c>
      <c r="AO245" s="91">
        <f>ППД5[[#This Row],[Расчетная ТП площадь]]-ППД5[[#This Row],[Расчетная проектная площадь]]</f>
        <v>-0.45000000000001705</v>
      </c>
      <c r="AP245" s="335">
        <f>ППД5[[#This Row],[Расчетная ТП площадь]]/ППД5[[#This Row],[Расчетная проектная площадь]]-1</f>
        <v>-6.105834464043669E-3</v>
      </c>
      <c r="AQ245" s="91">
        <f>ППД5[[#This Row],[% расхождения]]*ППД5[[#This Row],[Стоимость до скидки]]</f>
        <v>-53415.061058346822</v>
      </c>
      <c r="AR245" s="91">
        <f>VLOOKUP(ППД5[[#This Row],[№]],наценкад5[],COLUMN(наценкад5[[#This Row],[Цена м2 с учетом всех K]]),0)</f>
        <v>81080.055000000008</v>
      </c>
      <c r="AS245" s="8">
        <f>ППД5[[#This Row],[м2 после К]]*5%</f>
        <v>4054.0027500000006</v>
      </c>
      <c r="AT245" s="8">
        <f>ППД5[[#This Row],[м2 после К]]+ППД5[[#This Row],[Повышение 16.08.23 - 5%]]</f>
        <v>85134.057750000007</v>
      </c>
      <c r="AU245" s="93">
        <f>ППД5[[#This Row],[Фикс 16.08.23]]*3%</f>
        <v>2554.0217325000003</v>
      </c>
      <c r="AV245" s="93">
        <f>ППД5[[#This Row],[Фикс 16.08.23]]+ППД5[[#This Row],[Повышение 29.08.23 - 3%]]</f>
        <v>87688.079482500005</v>
      </c>
      <c r="AW245" s="93"/>
      <c r="AX245" s="93">
        <f>ППД5[[#This Row],[Фикс 29.08.23]]+ППД5[[#This Row],[Повышение 06.09.23 СТ и 1К]]</f>
        <v>87688.079482500005</v>
      </c>
      <c r="AY245" s="93"/>
      <c r="AZ245" s="93">
        <f>ППД5[[#This Row],[Повышение 23.10.23  В4 ]]+ППД5[[#This Row],[Фикс 06.09.23]]</f>
        <v>87688.079482500005</v>
      </c>
      <c r="BA245" s="93"/>
      <c r="BB245" s="93">
        <f>ППД5[[#This Row],[Повышение 8.11.23 1К 5%]]+ППД5[[#This Row],[Фикс 23.10.23]]</f>
        <v>87688.079482500005</v>
      </c>
      <c r="BC245" s="93"/>
      <c r="BD245" s="93">
        <f>ППД5[[#This Row],[Корректировка 24.11.23 - 1К В5, 2К А2, №233]]+ППД5[[#This Row],[Фикс 8.11.23]]</f>
        <v>87688.079482500005</v>
      </c>
      <c r="BE245" s="93">
        <f>ППД5[[#This Row],[Фикс 8.11.24]]*1%</f>
        <v>876.88079482500007</v>
      </c>
      <c r="BF245" s="93">
        <f>ППД5[[#This Row],[Наценка за отделку 29.12.23 1%]]+ППД5[[#This Row],[Фикс 8.11.24]]</f>
        <v>88564.960277325008</v>
      </c>
      <c r="BG245" s="93">
        <f>ППД5[[#This Row],[Фикс 29.12.23]]*5%</f>
        <v>4428.2480138662504</v>
      </c>
      <c r="BH245" s="93">
        <f>ППД5[[#This Row],[Фикс 29.12.23]]+ППД5[[#This Row],[Наценка 10.01.24 5%]]</f>
        <v>92993.208291191258</v>
      </c>
      <c r="BI245" s="93"/>
      <c r="BJ245" s="93">
        <f>ППД5[[#This Row],[Наценка 26.02.24 1 Этаж]]+ППД5[[#This Row],[Фикс 10.01.24]]</f>
        <v>92993.208291191258</v>
      </c>
      <c r="BK245" s="93">
        <f>ППД5[[#This Row],[Фикс 26.02.24]]*2%</f>
        <v>1859.8641658238253</v>
      </c>
      <c r="BL245" s="93">
        <f>ППД5[[#This Row],[Фикс 26.02.24]]+ППД5[[#This Row],[Наценка 06.03.24
СТ, 1К - 3%
2К, 3К - 2%]]</f>
        <v>94853.072457015078</v>
      </c>
      <c r="BM245" s="93"/>
      <c r="BN245" s="93">
        <f>ППД5[[#This Row],[Фикс 06.03.24]]+ППД5[[#This Row],[Наценка Г2+500]]</f>
        <v>94853.072457015078</v>
      </c>
      <c r="BO245" s="93">
        <f>ППД5[[#This Row],[Фикс 13.03.25]]*2%</f>
        <v>1897.0614491403016</v>
      </c>
      <c r="BP245" s="93">
        <f>ППД5[[#This Row],[Фикс 13.03.25]]+ППД5[[#This Row],[Наценка 20.03.24
2К, 3К - 2%]]</f>
        <v>96750.133906155374</v>
      </c>
      <c r="BQ245" s="93"/>
      <c r="BR245" s="93">
        <f>ППД5[[#This Row],[Фикс 20.03.24]]+ППД5[[#This Row],[Наценка 08.04.24 
2К: В3 - 150
3К: Г7 +1000]]</f>
        <v>96750.133906155374</v>
      </c>
      <c r="BS245" s="93"/>
      <c r="BT245" s="93">
        <f>ППД5[[#This Row],[Фикс 08.04.24]]+ППД5[[#This Row],[Наценка 16.05.24 1%
А4,А6,Б3,Б6,Б7,В2,В3,В5,В6,Г1,Г3-Г5]]</f>
        <v>96750.133906155374</v>
      </c>
      <c r="BU245" s="93"/>
      <c r="BV245" s="93">
        <f>ППД5[[#This Row],[Фикс 16.05.24]]+ППД5[[#This Row],[Наценка 24.05.24
1% - Б4, Б5,Г2,Г6
2% - А1,А3,А5,Б2,Г7]]</f>
        <v>96750.133906155374</v>
      </c>
      <c r="BW245" s="93"/>
      <c r="BX245" s="93">
        <f>ППД5[[#This Row],[Наценка 06.06.24
0К: В2,Г3 +0,5%
1К: А7, Б5/4, Г6 +0,5%
3К: В6 +0,5%
1К: А3 +1%]]+ППД5[[#This Row],[Фикс 24.05.24]]</f>
        <v>96750.133906155374</v>
      </c>
      <c r="BY245" s="93"/>
      <c r="BZ245" s="93">
        <f>ППД5[[#This Row],[Фикс 06.06.24]]+ППД5[[#This Row],[13.06.2024
3К - 2%]]</f>
        <v>96750.133906155374</v>
      </c>
      <c r="CA245" s="93">
        <f>0.5%*ППД5[[#This Row],[Фикс 13.06.24]]</f>
        <v>483.75066953077686</v>
      </c>
      <c r="CB245" s="93">
        <f>ППД5[[#This Row],[02.07.2024: Г3 А1 А3 Б5 Б7 Г2 Г6 Б3 Б4 В3 Г7 2,5% ост 0,5-1,5%]]+ППД5[[#This Row],[Фикс 13.06.24]]</f>
        <v>97233.884575686156</v>
      </c>
      <c r="CC245" s="93"/>
      <c r="CD245" s="93">
        <f>ППД5[[#This Row],[Фикс 02.07.24]]+ППД5[[#This Row],[04.09.2024 +500
0К - Б2; 1К - А3;
2К - А6, Б4, В3, Г5]]</f>
        <v>97233.884575686156</v>
      </c>
      <c r="CE245" s="93"/>
      <c r="CF245" s="93">
        <f>ППД5[[#This Row],[Наценка 16.09.2024
1К: А1,В7,Г6/7,Г8 - 2%
2К: А4,А5,А6,Б1,Б6,Б3/4,В3,В4,Г4,Г5 - 4%
3К: 4%]]+ППД5[[#This Row],[Фикс 04.09.24]]</f>
        <v>97233.884575686156</v>
      </c>
      <c r="CG245" s="93">
        <f>ППД5[[#This Row],[Фикс 16.09.2024]]*8%</f>
        <v>7778.7107660548927</v>
      </c>
      <c r="CH245" s="93">
        <f>ППД5[[#This Row],[Фикс 16.09.2024]]+ППД5[[#This Row],[Наценка 01.11.24
СТ: 4%
1К: 34-40м 5%; 40м+ 8%; МГН 1%
2К: 55-70м 6%; 70-73м 7%; 73-76м 8% 
3К: 5%]]</f>
        <v>105012.59534174105</v>
      </c>
      <c r="CI245" s="93">
        <f>ППД5[[#This Row],[Фикс 01.11.24]]*13%</f>
        <v>13651.637394426336</v>
      </c>
      <c r="CJ245" s="93">
        <f>ППД5[[#This Row],[Наценка 06.11 13%]]+ППД5[[#This Row],[Фикс 01.11.24]]</f>
        <v>118664.23273616738</v>
      </c>
      <c r="CK245" s="93">
        <v>35</v>
      </c>
      <c r="CL245" s="93">
        <f>ППД5[[#This Row],[Фикс 06.11.24]]+ППД5[[#This Row],[Наценка 18.12.24 распределение КВ]]</f>
        <v>118699.23273616738</v>
      </c>
      <c r="CM245" s="93"/>
      <c r="CN245" s="93">
        <f>ППД5[[#This Row],[Фикс 18.12.24]]+ППД5[[#This Row],[Наценка 10.02.25 +1%
1К: А3
2К: Б3, В3]]</f>
        <v>118699.23273616738</v>
      </c>
      <c r="CO245" s="93">
        <f>ROUND(ППД5[[#This Row],[Фикс 10.02.25]],2)</f>
        <v>118699.23</v>
      </c>
      <c r="CP24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8748200</v>
      </c>
      <c r="CQ245" s="93">
        <f>ROUNDUP(ППД5[[#This Row],[Стоимость до скидки]]+ППД5[[#This Row],[Сумма доплаты]],-2)</f>
        <v>8694800</v>
      </c>
      <c r="CR245" s="68"/>
      <c r="CS245" s="90"/>
      <c r="CT245" s="68">
        <f>ППД5[[#This Row],[Стоимость до скидки]]*ППД5[[#This Row],[Скидка %]]+ППД5[[#This Row],[Скидка фиксированная]]</f>
        <v>0</v>
      </c>
      <c r="CU245" s="3">
        <f>ППД5[[#This Row],[Стоимость ОН без отделки со скидкой]]/ППД5[[#This Row],[Расчетная проектная площадь]]</f>
        <v>118700.13568521031</v>
      </c>
      <c r="CV245" s="3">
        <f>ROUND(ППД5[[#This Row],[Стоимость до скидки]]-ППД5[[#This Row],[Итоговая сумма скидки]],2)</f>
        <v>8748200</v>
      </c>
      <c r="CW24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45" s="197"/>
      <c r="CY245" s="332">
        <f>ППД5[[#This Row],[Расхождение]]/ППД5[[#This Row],[Расчетная проектная площадь]]</f>
        <v>-6.1058344640436508E-3</v>
      </c>
      <c r="CZ24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-0.2099999999999973</v>
      </c>
      <c r="DA245" s="3">
        <f>ППД5[[#This Row],[Цена м2 без отделки со скидкой]]+ППД5[[#This Row],[Стоимость отделки]]</f>
        <v>118700.13568521031</v>
      </c>
      <c r="DB245" s="3">
        <f>ППД5[[#This Row],[Стоимость квартиры с отделкой]]-ППД5[[#This Row],[Стоимость ОН без отделки со скидкой]]</f>
        <v>0</v>
      </c>
      <c r="DC245" s="3">
        <f>ППД5[[#This Row],[Цена м2 с отделкой]]*ППД5[[#This Row],[Расчетная проектная площадь]]</f>
        <v>8748200</v>
      </c>
      <c r="DD245" s="3" t="s">
        <v>158</v>
      </c>
      <c r="DF245" s="155" t="s">
        <v>157</v>
      </c>
      <c r="DG245" s="221" t="s">
        <v>157</v>
      </c>
      <c r="DH245" s="100" t="b">
        <f>EXACT(ППД5[[#This Row],[Статусы CRM]],ППД5[[#This Row],[Статус]])</f>
        <v>1</v>
      </c>
      <c r="DI245" s="213" t="s">
        <v>417</v>
      </c>
      <c r="DJ245" s="204"/>
      <c r="DK245" s="111" t="s">
        <v>763</v>
      </c>
      <c r="DL245" s="216" t="s">
        <v>12</v>
      </c>
      <c r="DM245" s="201" t="b">
        <f>ППД5[[#This Row],[Отделка CRM]]=ППД5[[#This Row],[Отделка]]</f>
        <v>1</v>
      </c>
      <c r="DN245" s="203">
        <v>8748200</v>
      </c>
      <c r="DO24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45" s="207" t="b">
        <f>IF(AND(ППД5[[#This Row],[Статус]]="свободно",ППД5[[#This Row],[Итоговая сумма скидки]]&lt;&gt;0),FALSE,TRUE)</f>
        <v>1</v>
      </c>
      <c r="DQ245" s="240" t="str">
        <f>_xlfn.XLOOKUP(ППД5[[#This Row],[№]],Юрист[№ кв],Юрист[Дата подачи на регистрацию]," ",0,-1)</f>
        <v xml:space="preserve"> </v>
      </c>
      <c r="DR245" s="115" t="str">
        <f>_xlfn.XLOOKUP(ППД5[[#This Row],[№]],Юрист[№ кв],Юрист[МОП],"",0,-1)</f>
        <v/>
      </c>
      <c r="DS245" s="333" t="s">
        <v>2782</v>
      </c>
      <c r="DT245" s="333" t="s">
        <v>2783</v>
      </c>
      <c r="DU245" s="333">
        <v>69.599999999999994</v>
      </c>
      <c r="DV245" s="111"/>
    </row>
    <row r="246" spans="1:126" hidden="1" x14ac:dyDescent="0.25">
      <c r="A246" s="112">
        <v>244</v>
      </c>
      <c r="B246" s="111" t="s">
        <v>3</v>
      </c>
      <c r="C246" s="111">
        <v>4</v>
      </c>
      <c r="D246" s="111">
        <v>2</v>
      </c>
      <c r="E246" s="111">
        <v>0</v>
      </c>
      <c r="F246" s="105">
        <v>7.18</v>
      </c>
      <c r="G246" s="105"/>
      <c r="H246" s="105"/>
      <c r="I246" s="94">
        <f>SUM(ППД5[[#This Row],[Комната 1]:[Комната 3]])</f>
        <v>7.18</v>
      </c>
      <c r="J246" s="105">
        <v>5.17</v>
      </c>
      <c r="K246" s="105">
        <v>3.72</v>
      </c>
      <c r="L246" s="105"/>
      <c r="M246" s="105"/>
      <c r="N246" s="105">
        <v>6.97</v>
      </c>
      <c r="O246" s="105">
        <v>2.97</v>
      </c>
      <c r="P246" s="105"/>
      <c r="Q246" s="105"/>
      <c r="R246" s="105">
        <f>SUM(ППД5[[#This Row],[Лоджия 1]:[Лоджия 3]])</f>
        <v>2.97</v>
      </c>
      <c r="S246" s="8">
        <f>ROUND(SUM(ППД5[[#This Row],[Площадь по проекту жилая]:[Лоджия 3]]),2)</f>
        <v>26.01</v>
      </c>
      <c r="T246" s="8">
        <f>ROUND(ППД5[[#This Row],[Площадь по проекту(общая)]]-ППД5[[#This Row],[Летние]],2)</f>
        <v>23.04</v>
      </c>
      <c r="U246" s="91">
        <f>ROUND(ППД5[[#This Row],[Площадь по проекту(общая)]]-(SUM(ППД5[[#This Row],[Лоджия 1]:[Лоджия 3]])/2),2)</f>
        <v>24.53</v>
      </c>
      <c r="V246" s="91">
        <f>IF(ППД5[[#This Row],[Статус]]="продажа",ППД5[[#This Row],[Расчетная проектная площадь]],ППД5[[#This Row],[Расчетная ТП площадь]])</f>
        <v>24.53</v>
      </c>
      <c r="W246" s="91">
        <v>7.2</v>
      </c>
      <c r="X246" s="91"/>
      <c r="Y246" s="91"/>
      <c r="Z246" s="91">
        <f>SUM(ППД5[[#This Row],[ТП Комната 1]:[ТП Комната 3]])</f>
        <v>7.2</v>
      </c>
      <c r="AA246" s="91">
        <v>5.0999999999999996</v>
      </c>
      <c r="AB246" s="91">
        <v>3.6</v>
      </c>
      <c r="AC246" s="91"/>
      <c r="AD246" s="91"/>
      <c r="AE246" s="91">
        <v>7</v>
      </c>
      <c r="AF246" s="91">
        <v>1.45</v>
      </c>
      <c r="AG246" s="91"/>
      <c r="AH246" s="91"/>
      <c r="AI246" s="91">
        <f>SUM(ППД5[[#This Row],[ТП Лоджия 1]:[ТП Лоджия 3]])</f>
        <v>1.45</v>
      </c>
      <c r="AJ246" s="95">
        <v>2.9</v>
      </c>
      <c r="AK246" s="91">
        <f>SUM(ППД5[[#This Row],[Площадь по ТП жилая]:[ТП Лоджия 3]])-ППД5[[#This Row],[ТП Летние]]+ППД5[[#This Row],[кроме того прочая
(без коэффициента)]]</f>
        <v>25.799999999999997</v>
      </c>
      <c r="AL246" s="95">
        <f>ППД5[[#This Row],[ТП Площадь без летних]]+(ППД5[[#This Row],[ТП Летние]])</f>
        <v>24.349999999999998</v>
      </c>
      <c r="AM246" s="91">
        <f>ППД5[[#This Row],[ТП общая S]]-ППД5[[#This Row],[кроме того прочая
(без коэффициента)]]</f>
        <v>22.9</v>
      </c>
      <c r="AN246" s="95">
        <f>SUM(ППД5[[#This Row],[ТП Кухня]:[ТП Коридор]])</f>
        <v>15.7</v>
      </c>
      <c r="AO246" s="91">
        <f>ППД5[[#This Row],[Расчетная ТП площадь]]-ППД5[[#This Row],[Расчетная проектная площадь]]</f>
        <v>-0.18000000000000327</v>
      </c>
      <c r="AP246" s="335">
        <f>ППД5[[#This Row],[Расчетная ТП площадь]]/ППД5[[#This Row],[Расчетная проектная площадь]]-1</f>
        <v>-7.3379535262945161E-3</v>
      </c>
      <c r="AQ246" s="91">
        <f>ППД5[[#This Row],[% расхождения]]*ППД5[[#This Row],[Стоимость до скидки]]</f>
        <v>-22101.916021199082</v>
      </c>
      <c r="AR246" s="91">
        <f>VLOOKUP(ППД5[[#This Row],[№]],наценкад5[],COLUMN(наценкад5[[#This Row],[Цена м2 с учетом всех K]]),0)</f>
        <v>91981.574999999997</v>
      </c>
      <c r="AS246" s="8">
        <f>ППД5[[#This Row],[м2 после К]]*5%</f>
        <v>4599.0787499999997</v>
      </c>
      <c r="AT246" s="8">
        <f>ППД5[[#This Row],[м2 после К]]+ППД5[[#This Row],[Повышение 16.08.23 - 5%]]</f>
        <v>96580.653749999998</v>
      </c>
      <c r="AU246" s="93">
        <f>ППД5[[#This Row],[Фикс 16.08.23]]*3%</f>
        <v>2897.4196124999999</v>
      </c>
      <c r="AV246" s="93">
        <f>ППД5[[#This Row],[Фикс 16.08.23]]+ППД5[[#This Row],[Повышение 29.08.23 - 3%]]</f>
        <v>99478.073362499999</v>
      </c>
      <c r="AW246" s="93">
        <f>ППД5[[#This Row],[Фикс 29.08.23]]*13%</f>
        <v>12932.149537125</v>
      </c>
      <c r="AX246" s="93">
        <f>ППД5[[#This Row],[Фикс 29.08.23]]+ППД5[[#This Row],[Повышение 06.09.23 СТ и 1К]]</f>
        <v>112410.22289962501</v>
      </c>
      <c r="AY246" s="93">
        <f>ППД5[[#This Row],[Фикс 06.09.23]]*3%</f>
        <v>3372.3066869887502</v>
      </c>
      <c r="AZ246" s="93">
        <f>ППД5[[#This Row],[Повышение 23.10.23  В4 ]]+ППД5[[#This Row],[Фикс 06.09.23]]</f>
        <v>115782.52958661376</v>
      </c>
      <c r="BA246" s="93"/>
      <c r="BB246" s="93">
        <f>ППД5[[#This Row],[Повышение 8.11.23 1К 5%]]+ППД5[[#This Row],[Фикс 23.10.23]]</f>
        <v>115782.52958661376</v>
      </c>
      <c r="BC246" s="93"/>
      <c r="BD246" s="93">
        <f>ППД5[[#This Row],[Корректировка 24.11.23 - 1К В5, 2К А2, №233]]+ППД5[[#This Row],[Фикс 8.11.23]]</f>
        <v>115782.52958661376</v>
      </c>
      <c r="BE246" s="93">
        <f>ППД5[[#This Row],[Фикс 8.11.24]]*1%</f>
        <v>1157.8252958661376</v>
      </c>
      <c r="BF246" s="93">
        <f>ППД5[[#This Row],[Наценка за отделку 29.12.23 1%]]+ППД5[[#This Row],[Фикс 8.11.24]]</f>
        <v>116940.35488247989</v>
      </c>
      <c r="BG246" s="9">
        <f>ППД5[[#This Row],[Фикс 29.12.23]]*5%</f>
        <v>5847.0177441239948</v>
      </c>
      <c r="BH246" s="93">
        <f>ППД5[[#This Row],[Фикс 29.12.23]]+ППД5[[#This Row],[Наценка 10.01.24 5%]]</f>
        <v>122787.37262660389</v>
      </c>
      <c r="BI246" s="93"/>
      <c r="BJ246" s="93">
        <f>ППД5[[#This Row],[Наценка 26.02.24 1 Этаж]]+ППД5[[#This Row],[Фикс 10.01.24]]</f>
        <v>122787.37262660389</v>
      </c>
      <c r="BK246" s="93"/>
      <c r="BL246" s="93">
        <f>ППД5[[#This Row],[Фикс 26.02.24]]+ППД5[[#This Row],[Наценка 06.03.24
СТ, 1К - 3%
2К, 3К - 2%]]</f>
        <v>122787.37262660389</v>
      </c>
      <c r="BM246" s="93"/>
      <c r="BN246" s="93">
        <f>ППД5[[#This Row],[Фикс 06.03.24]]+ППД5[[#This Row],[Наценка Г2+500]]</f>
        <v>122787.37262660389</v>
      </c>
      <c r="BO246" s="93"/>
      <c r="BP246" s="93">
        <f>ППД5[[#This Row],[Фикс 13.03.25]]+ППД5[[#This Row],[Наценка 20.03.24
2К, 3К - 2%]]</f>
        <v>122787.37262660389</v>
      </c>
      <c r="BQ246" s="93"/>
      <c r="BR246" s="93">
        <f>ППД5[[#This Row],[Фикс 20.03.24]]+ППД5[[#This Row],[Наценка 08.04.24 
2К: В3 - 150
3К: Г7 +1000]]</f>
        <v>122787.37262660389</v>
      </c>
      <c r="BS246" s="93"/>
      <c r="BT246" s="93">
        <f>ППД5[[#This Row],[Фикс 08.04.24]]+ППД5[[#This Row],[Наценка 16.05.24 1%
А4,А6,Б3,Б6,Б7,В2,В3,В5,В6,Г1,Г3-Г5]]</f>
        <v>122787.37262660389</v>
      </c>
      <c r="BU246" s="93"/>
      <c r="BV246" s="93">
        <f>ППД5[[#This Row],[Фикс 16.05.24]]+ППД5[[#This Row],[Наценка 24.05.24
1% - Б4, Б5,Г2,Г6
2% - А1,А3,А5,Б2,Г7]]</f>
        <v>122787.37262660389</v>
      </c>
      <c r="BW246" s="93"/>
      <c r="BX246" s="93">
        <f>ППД5[[#This Row],[Наценка 06.06.24
0К: В2,Г3 +0,5%
1К: А7, Б5/4, Г6 +0,5%
3К: В6 +0,5%
1К: А3 +1%]]+ППД5[[#This Row],[Фикс 24.05.24]]</f>
        <v>122787.37262660389</v>
      </c>
      <c r="BY246" s="93"/>
      <c r="BZ246" s="93">
        <f>ППД5[[#This Row],[Фикс 06.06.24]]+ППД5[[#This Row],[13.06.2024
3К - 2%]]</f>
        <v>122787.37262660389</v>
      </c>
      <c r="CA246" s="93"/>
      <c r="CB246" s="93">
        <f>ППД5[[#This Row],[02.07.2024: Г3 А1 А3 Б5 Б7 Г2 Г6 Б3 Б4 В3 Г7 2,5% ост 0,5-1,5%]]+ППД5[[#This Row],[Фикс 13.06.24]]</f>
        <v>122787.37262660389</v>
      </c>
      <c r="CC246" s="93"/>
      <c r="CD246" s="93">
        <f>ППД5[[#This Row],[Фикс 02.07.24]]+ППД5[[#This Row],[04.09.2024 +500
0К - Б2; 1К - А3;
2К - А6, Б4, В3, Г5]]</f>
        <v>122787.37262660389</v>
      </c>
      <c r="CE246" s="93"/>
      <c r="CF246" s="93">
        <f>ППД5[[#This Row],[Наценка 16.09.2024
1К: А1,В7,Г6/7,Г8 - 2%
2К: А4,А5,А6,Б1,Б6,Б3/4,В3,В4,Г4,Г5 - 4%
3К: 4%]]+ППД5[[#This Row],[Фикс 04.09.24]]</f>
        <v>122787.37262660389</v>
      </c>
      <c r="CG246" s="93"/>
      <c r="CH246" s="93">
        <f>ППД5[[#This Row],[Фикс 16.09.2024]]+ППД5[[#This Row],[Наценка 01.11.24
СТ: 4%
1К: 34-40м 5%; 40м+ 8%; МГН 1%
2К: 55-70м 6%; 70-73м 7%; 73-76м 8% 
3К: 5%]]</f>
        <v>122787.37262660389</v>
      </c>
      <c r="CI246" s="93"/>
      <c r="CJ246" s="93">
        <f>ППД5[[#This Row],[Наценка 06.11 13%]]+ППД5[[#This Row],[Фикс 01.11.24]]</f>
        <v>122787.37262660389</v>
      </c>
      <c r="CK246" s="93"/>
      <c r="CL246" s="93">
        <f>ППД5[[#This Row],[Фикс 06.11.24]]+ППД5[[#This Row],[Наценка 18.12.24 распределение КВ]]</f>
        <v>122787.37262660389</v>
      </c>
      <c r="CM246" s="93"/>
      <c r="CN246" s="93">
        <f>ППД5[[#This Row],[Фикс 18.12.24]]+ППД5[[#This Row],[Наценка 10.02.25 +1%
1К: А3
2К: Б3, В3]]</f>
        <v>122787.37262660389</v>
      </c>
      <c r="CO246" s="93">
        <f>ROUND(ППД5[[#This Row],[Фикс 10.02.25]],2)</f>
        <v>122787.37</v>
      </c>
      <c r="CP24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3012000</v>
      </c>
      <c r="CQ246" s="93">
        <f>ROUNDUP(ППД5[[#This Row],[Стоимость до скидки]]+ППД5[[#This Row],[Сумма доплаты]],-2)</f>
        <v>2989900</v>
      </c>
      <c r="CR246" s="68"/>
      <c r="CS246" s="90">
        <v>0.03</v>
      </c>
      <c r="CT246" s="68">
        <f>ППД5[[#This Row],[Стоимость до скидки]]*ППД5[[#This Row],[Скидка %]]+ППД5[[#This Row],[Скидка фиксированная]]</f>
        <v>90360</v>
      </c>
      <c r="CU246" s="3">
        <f>ППД5[[#This Row],[Стоимость ОН без отделки со скидкой]]/ППД5[[#This Row],[Расчетная проектная площадь]]</f>
        <v>119104.76966979209</v>
      </c>
      <c r="CV246" s="3">
        <f>ROUND(ППД5[[#This Row],[Стоимость до скидки]]-ППД5[[#This Row],[Итоговая сумма скидки]],2)</f>
        <v>2921640</v>
      </c>
      <c r="CW24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46" s="197">
        <v>24000</v>
      </c>
      <c r="CY246" s="332">
        <f>ППД5[[#This Row],[Расхождение]]/ППД5[[#This Row],[Расчетная проектная площадь]]</f>
        <v>-7.3379535262944667E-3</v>
      </c>
      <c r="CZ24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-0.16000000000000014</v>
      </c>
      <c r="DA246" s="3">
        <f>ППД5[[#This Row],[Цена м2 без отделки со скидкой]]+ППД5[[#This Row],[Стоимость отделки]]</f>
        <v>143104.76966979209</v>
      </c>
      <c r="DB246" s="3">
        <f>ППД5[[#This Row],[Стоимость квартиры с отделкой]]-ППД5[[#This Row],[Стоимость ОН без отделки со скидкой]]</f>
        <v>588720</v>
      </c>
      <c r="DC246" s="3">
        <f>ППД5[[#This Row],[Цена м2 с отделкой]]*ППД5[[#This Row],[Расчетная проектная площадь]]</f>
        <v>3510360</v>
      </c>
      <c r="DD246" s="3"/>
      <c r="DE246" s="111" t="s">
        <v>167</v>
      </c>
      <c r="DF246" s="199" t="s">
        <v>172</v>
      </c>
      <c r="DG246" s="245" t="s">
        <v>172</v>
      </c>
      <c r="DH246" s="100" t="b">
        <f>EXACT(ППД5[[#This Row],[Статусы CRM]],ППД5[[#This Row],[Статус]])</f>
        <v>1</v>
      </c>
      <c r="DI246" s="213" t="s">
        <v>418</v>
      </c>
      <c r="DJ246" s="204"/>
      <c r="DK246" s="111" t="s">
        <v>763</v>
      </c>
      <c r="DL246" s="216" t="s">
        <v>14</v>
      </c>
      <c r="DM246" s="201" t="b">
        <f>ППД5[[#This Row],[Отделка CRM]]=ППД5[[#This Row],[Отделка]]</f>
        <v>1</v>
      </c>
      <c r="DN246" s="203">
        <v>3510360</v>
      </c>
      <c r="DO24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46" s="207" t="b">
        <f>IF(AND(ППД5[[#This Row],[Статус]]="свободно",ППД5[[#This Row],[Итоговая сумма скидки]]&lt;&gt;0),FALSE,TRUE)</f>
        <v>1</v>
      </c>
      <c r="DQ246" s="240">
        <f>_xlfn.XLOOKUP(ППД5[[#This Row],[№]],Юрист[№ кв],Юрист[Дата подачи на регистрацию]," ",0,-1)</f>
        <v>45321</v>
      </c>
      <c r="DR246" s="115" t="str">
        <f>_xlfn.XLOOKUP(ППД5[[#This Row],[№]],Юрист[№ кв],Юрист[МОП],"",0,-1)</f>
        <v>Никишов</v>
      </c>
      <c r="DS246" s="333" t="s">
        <v>2784</v>
      </c>
      <c r="DT246" s="333" t="s">
        <v>2785</v>
      </c>
      <c r="DU246" s="333">
        <v>22.9</v>
      </c>
      <c r="DV246" s="111"/>
    </row>
    <row r="247" spans="1:126" hidden="1" x14ac:dyDescent="0.25">
      <c r="A247" s="112">
        <v>245</v>
      </c>
      <c r="B247" s="111" t="s">
        <v>3</v>
      </c>
      <c r="C247" s="111">
        <v>4</v>
      </c>
      <c r="D247" s="111">
        <v>3</v>
      </c>
      <c r="E247" s="111">
        <v>2</v>
      </c>
      <c r="F247" s="105">
        <v>13.69</v>
      </c>
      <c r="G247" s="105">
        <v>10.16</v>
      </c>
      <c r="H247" s="105"/>
      <c r="I247" s="94">
        <f>SUM(ППД5[[#This Row],[Комната 1]:[Комната 3]])</f>
        <v>23.85</v>
      </c>
      <c r="J247" s="105">
        <v>18.71</v>
      </c>
      <c r="K247" s="105">
        <v>3.49</v>
      </c>
      <c r="L247" s="105">
        <v>2.11</v>
      </c>
      <c r="M247" s="105"/>
      <c r="N247" s="105">
        <v>7.09</v>
      </c>
      <c r="O247" s="105">
        <v>2.65</v>
      </c>
      <c r="P247" s="105"/>
      <c r="Q247" s="105"/>
      <c r="R247" s="105">
        <f>SUM(ППД5[[#This Row],[Лоджия 1]:[Лоджия 3]])</f>
        <v>2.65</v>
      </c>
      <c r="S247" s="8">
        <f>ROUND(SUM(ППД5[[#This Row],[Площадь по проекту жилая]:[Лоджия 3]]),2)</f>
        <v>57.9</v>
      </c>
      <c r="T247" s="8">
        <f>ROUND(ППД5[[#This Row],[Площадь по проекту(общая)]]-ППД5[[#This Row],[Летние]],2)</f>
        <v>55.25</v>
      </c>
      <c r="U247" s="91">
        <f>ROUND(ППД5[[#This Row],[Площадь по проекту(общая)]]-(SUM(ППД5[[#This Row],[Лоджия 1]:[Лоджия 3]])/2),2)</f>
        <v>56.58</v>
      </c>
      <c r="V247" s="91">
        <f>IF(ППД5[[#This Row],[Статус]]="продажа",ППД5[[#This Row],[Расчетная проектная площадь]],ППД5[[#This Row],[Расчетная ТП площадь]])</f>
        <v>56.58</v>
      </c>
      <c r="W247" s="91">
        <v>13.6</v>
      </c>
      <c r="X247" s="91">
        <v>9.9</v>
      </c>
      <c r="Y247" s="91"/>
      <c r="Z247" s="91">
        <f>SUM(ППД5[[#This Row],[ТП Комната 1]:[ТП Комната 3]])</f>
        <v>23.5</v>
      </c>
      <c r="AA247" s="91">
        <v>18.399999999999999</v>
      </c>
      <c r="AB247" s="91">
        <v>3.5</v>
      </c>
      <c r="AC247" s="91">
        <v>2.1</v>
      </c>
      <c r="AD247" s="91"/>
      <c r="AE247" s="91">
        <v>7.2</v>
      </c>
      <c r="AF247" s="91">
        <v>1.35</v>
      </c>
      <c r="AG247" s="91"/>
      <c r="AH247" s="91"/>
      <c r="AI247" s="91">
        <f>SUM(ППД5[[#This Row],[ТП Лоджия 1]:[ТП Лоджия 3]])</f>
        <v>1.35</v>
      </c>
      <c r="AJ247" s="95">
        <v>2.7</v>
      </c>
      <c r="AK247" s="91">
        <f>SUM(ППД5[[#This Row],[Площадь по ТП жилая]:[ТП Лоджия 3]])-ППД5[[#This Row],[ТП Летние]]+ППД5[[#This Row],[кроме того прочая
(без коэффициента)]]</f>
        <v>57.400000000000006</v>
      </c>
      <c r="AL247" s="95">
        <f>ППД5[[#This Row],[ТП Площадь без летних]]+(ППД5[[#This Row],[ТП Летние]])</f>
        <v>56.050000000000004</v>
      </c>
      <c r="AM247" s="91">
        <f>ППД5[[#This Row],[ТП общая S]]-ППД5[[#This Row],[кроме того прочая
(без коэффициента)]]</f>
        <v>54.7</v>
      </c>
      <c r="AN247" s="95">
        <f>SUM(ППД5[[#This Row],[ТП Кухня]:[ТП Коридор]])</f>
        <v>31.2</v>
      </c>
      <c r="AO247" s="91">
        <f>ППД5[[#This Row],[Расчетная ТП площадь]]-ППД5[[#This Row],[Расчетная проектная площадь]]</f>
        <v>-0.52999999999999403</v>
      </c>
      <c r="AP247" s="335">
        <f>ППД5[[#This Row],[Расчетная ТП площадь]]/ППД5[[#This Row],[Расчетная проектная площадь]]-1</f>
        <v>-9.3672675857192633E-3</v>
      </c>
      <c r="AQ247" s="91">
        <f>ППД5[[#This Row],[% расхождения]]*ППД5[[#This Row],[Стоимость до скидки]]</f>
        <v>-46032.063490632376</v>
      </c>
      <c r="AR247" s="91">
        <f>VLOOKUP(ППД5[[#This Row],[№]],наценкад5[],COLUMN(наценкад5[[#This Row],[Цена м2 с учетом всех K]]),0)</f>
        <v>80307.864000000001</v>
      </c>
      <c r="AS247" s="8">
        <f>ППД5[[#This Row],[м2 после К]]*5%</f>
        <v>4015.3932000000004</v>
      </c>
      <c r="AT247" s="8">
        <f>ППД5[[#This Row],[м2 после К]]+ППД5[[#This Row],[Повышение 16.08.23 - 5%]]</f>
        <v>84323.257200000007</v>
      </c>
      <c r="AU247" s="93">
        <f>ППД5[[#This Row],[Фикс 16.08.23]]*3%</f>
        <v>2529.6977160000001</v>
      </c>
      <c r="AV247" s="93">
        <f>ППД5[[#This Row],[Фикс 16.08.23]]+ППД5[[#This Row],[Повышение 29.08.23 - 3%]]</f>
        <v>86852.954916000002</v>
      </c>
      <c r="AW247" s="93"/>
      <c r="AX247" s="93">
        <f>ППД5[[#This Row],[Фикс 29.08.23]]+ППД5[[#This Row],[Повышение 06.09.23 СТ и 1К]]</f>
        <v>86852.954916000002</v>
      </c>
      <c r="AY247" s="93"/>
      <c r="AZ247" s="93">
        <f>ППД5[[#This Row],[Повышение 23.10.23  В4 ]]+ППД5[[#This Row],[Фикс 06.09.23]]</f>
        <v>86852.954916000002</v>
      </c>
      <c r="BA247" s="93"/>
      <c r="BB247" s="93">
        <f>ППД5[[#This Row],[Повышение 8.11.23 1К 5%]]+ППД5[[#This Row],[Фикс 23.10.23]]</f>
        <v>86852.954916000002</v>
      </c>
      <c r="BC247" s="93"/>
      <c r="BD247" s="93">
        <f>ППД5[[#This Row],[Корректировка 24.11.23 - 1К В5, 2К А2, №233]]+ППД5[[#This Row],[Фикс 8.11.23]]</f>
        <v>86852.954916000002</v>
      </c>
      <c r="BE247" s="93"/>
      <c r="BF247" s="93">
        <f>ППД5[[#This Row],[Наценка за отделку 29.12.23 1%]]+ППД5[[#This Row],[Фикс 8.11.24]]</f>
        <v>86852.954916000002</v>
      </c>
      <c r="BG247" s="93"/>
      <c r="BH247" s="93">
        <f>ППД5[[#This Row],[Фикс 29.12.23]]+ППД5[[#This Row],[Наценка 10.01.24 5%]]</f>
        <v>86852.954916000002</v>
      </c>
      <c r="BI247" s="93"/>
      <c r="BJ247" s="93">
        <f>ППД5[[#This Row],[Наценка 26.02.24 1 Этаж]]+ППД5[[#This Row],[Фикс 10.01.24]]</f>
        <v>86852.954916000002</v>
      </c>
      <c r="BK247" s="93"/>
      <c r="BL247" s="93">
        <f>ППД5[[#This Row],[Фикс 26.02.24]]+ППД5[[#This Row],[Наценка 06.03.24
СТ, 1К - 3%
2К, 3К - 2%]]</f>
        <v>86852.954916000002</v>
      </c>
      <c r="BM247" s="93"/>
      <c r="BN247" s="93">
        <f>ППД5[[#This Row],[Фикс 06.03.24]]+ППД5[[#This Row],[Наценка Г2+500]]</f>
        <v>86852.954916000002</v>
      </c>
      <c r="BO247" s="93"/>
      <c r="BP247" s="93">
        <f>ППД5[[#This Row],[Фикс 13.03.25]]+ППД5[[#This Row],[Наценка 20.03.24
2К, 3К - 2%]]</f>
        <v>86852.954916000002</v>
      </c>
      <c r="BQ247" s="93"/>
      <c r="BR247" s="93">
        <f>ППД5[[#This Row],[Фикс 20.03.24]]+ППД5[[#This Row],[Наценка 08.04.24 
2К: В3 - 150
3К: Г7 +1000]]</f>
        <v>86852.954916000002</v>
      </c>
      <c r="BS247" s="93"/>
      <c r="BT247" s="93">
        <f>ППД5[[#This Row],[Фикс 08.04.24]]+ППД5[[#This Row],[Наценка 16.05.24 1%
А4,А6,Б3,Б6,Б7,В2,В3,В5,В6,Г1,Г3-Г5]]</f>
        <v>86852.954916000002</v>
      </c>
      <c r="BU247" s="93"/>
      <c r="BV247" s="93">
        <f>ППД5[[#This Row],[Фикс 16.05.24]]+ППД5[[#This Row],[Наценка 24.05.24
1% - Б4, Б5,Г2,Г6
2% - А1,А3,А5,Б2,Г7]]</f>
        <v>86852.954916000002</v>
      </c>
      <c r="BW247" s="93"/>
      <c r="BX247" s="93">
        <f>ППД5[[#This Row],[Наценка 06.06.24
0К: В2,Г3 +0,5%
1К: А7, Б5/4, Г6 +0,5%
3К: В6 +0,5%
1К: А3 +1%]]+ППД5[[#This Row],[Фикс 24.05.24]]</f>
        <v>86852.954916000002</v>
      </c>
      <c r="BY247" s="93"/>
      <c r="BZ247" s="93">
        <f>ППД5[[#This Row],[Фикс 06.06.24]]+ППД5[[#This Row],[13.06.2024
3К - 2%]]</f>
        <v>86852.954916000002</v>
      </c>
      <c r="CA247" s="93"/>
      <c r="CB247" s="93">
        <f>ППД5[[#This Row],[02.07.2024: Г3 А1 А3 Б5 Б7 Г2 Г6 Б3 Б4 В3 Г7 2,5% ост 0,5-1,5%]]+ППД5[[#This Row],[Фикс 13.06.24]]</f>
        <v>86852.954916000002</v>
      </c>
      <c r="CC247" s="93"/>
      <c r="CD247" s="93">
        <f>ППД5[[#This Row],[Фикс 02.07.24]]+ППД5[[#This Row],[04.09.2024 +500
0К - Б2; 1К - А3;
2К - А6, Б4, В3, Г5]]</f>
        <v>86852.954916000002</v>
      </c>
      <c r="CE247" s="93"/>
      <c r="CF247" s="93">
        <f>ППД5[[#This Row],[Наценка 16.09.2024
1К: А1,В7,Г6/7,Г8 - 2%
2К: А4,А5,А6,Б1,Б6,Б3/4,В3,В4,Г4,Г5 - 4%
3К: 4%]]+ППД5[[#This Row],[Фикс 04.09.24]]</f>
        <v>86852.954916000002</v>
      </c>
      <c r="CG247" s="93"/>
      <c r="CH247" s="93">
        <f>ППД5[[#This Row],[Фикс 16.09.2024]]+ППД5[[#This Row],[Наценка 01.11.24
СТ: 4%
1К: 34-40м 5%; 40м+ 8%; МГН 1%
2К: 55-70м 6%; 70-73м 7%; 73-76м 8% 
3К: 5%]]</f>
        <v>86852.954916000002</v>
      </c>
      <c r="CI247" s="93"/>
      <c r="CJ247" s="93">
        <f>ППД5[[#This Row],[Наценка 06.11 13%]]+ППД5[[#This Row],[Фикс 01.11.24]]</f>
        <v>86852.954916000002</v>
      </c>
      <c r="CK247" s="93"/>
      <c r="CL247" s="93">
        <f>ППД5[[#This Row],[Фикс 06.11.24]]+ППД5[[#This Row],[Наценка 18.12.24 распределение КВ]]</f>
        <v>86852.954916000002</v>
      </c>
      <c r="CM247" s="93"/>
      <c r="CN247" s="93">
        <f>ППД5[[#This Row],[Фикс 18.12.24]]+ППД5[[#This Row],[Наценка 10.02.25 +1%
1К: А3
2К: Б3, В3]]</f>
        <v>86852.954916000002</v>
      </c>
      <c r="CO247" s="93">
        <f>ROUND(ППД5[[#This Row],[Фикс 10.02.25]],2)</f>
        <v>86852.95</v>
      </c>
      <c r="CP24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4914139.91</v>
      </c>
      <c r="CQ247" s="93">
        <f>ROUNDUP(ППД5[[#This Row],[Стоимость до скидки]]+ППД5[[#This Row],[Сумма доплаты]],-2)</f>
        <v>4868200</v>
      </c>
      <c r="CR247" s="68"/>
      <c r="CS247" s="90">
        <v>0.02</v>
      </c>
      <c r="CT247" s="68">
        <f>ППД5[[#This Row],[Стоимость до скидки]]*ППД5[[#This Row],[Скидка %]]+ППД5[[#This Row],[Скидка фиксированная]]</f>
        <v>98282.798200000005</v>
      </c>
      <c r="CU247" s="3">
        <f>ППД5[[#This Row],[Стоимость ОН без отделки со скидкой]]/ППД5[[#This Row],[Расчетная проектная площадь]]</f>
        <v>85115.890950866044</v>
      </c>
      <c r="CV247" s="3">
        <f>ROUND(ППД5[[#This Row],[Стоимость до скидки]]-ППД5[[#This Row],[Итоговая сумма скидки]],2)</f>
        <v>4815857.1100000003</v>
      </c>
      <c r="CW24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47" s="197">
        <v>22000</v>
      </c>
      <c r="CY247" s="332">
        <f>ППД5[[#This Row],[Расхождение]]/ППД5[[#This Row],[Расчетная проектная площадь]]</f>
        <v>-9.3672675857192304E-3</v>
      </c>
      <c r="CZ24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-0.20000000000000284</v>
      </c>
      <c r="DA247" s="3">
        <f>ППД5[[#This Row],[Цена м2 без отделки со скидкой]]+ППД5[[#This Row],[Стоимость отделки]]</f>
        <v>107115.89095086604</v>
      </c>
      <c r="DB247" s="3">
        <f>ППД5[[#This Row],[Стоимость квартиры с отделкой]]-ППД5[[#This Row],[Стоимость ОН без отделки со скидкой]]</f>
        <v>1244760</v>
      </c>
      <c r="DC247" s="3">
        <f>ППД5[[#This Row],[Цена м2 с отделкой]]*ППД5[[#This Row],[Расчетная проектная площадь]]</f>
        <v>6060617.1100000003</v>
      </c>
      <c r="DD247" s="3" t="s">
        <v>154</v>
      </c>
      <c r="DE247" s="111" t="s">
        <v>757</v>
      </c>
      <c r="DF247" s="199" t="s">
        <v>172</v>
      </c>
      <c r="DG247" s="245" t="s">
        <v>172</v>
      </c>
      <c r="DH247" s="100" t="b">
        <f>EXACT(ППД5[[#This Row],[Статусы CRM]],ППД5[[#This Row],[Статус]])</f>
        <v>1</v>
      </c>
      <c r="DI247" s="213" t="s">
        <v>419</v>
      </c>
      <c r="DJ247" s="204"/>
      <c r="DK247" s="111" t="s">
        <v>76</v>
      </c>
      <c r="DL247" s="216" t="s">
        <v>14</v>
      </c>
      <c r="DM247" s="201" t="b">
        <f>ППД5[[#This Row],[Отделка CRM]]=ППД5[[#This Row],[Отделка]]</f>
        <v>1</v>
      </c>
      <c r="DN247" s="203">
        <v>6060617.1100000003</v>
      </c>
      <c r="DO24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47" s="207" t="b">
        <f>IF(AND(ППД5[[#This Row],[Статус]]="свободно",ППД5[[#This Row],[Итоговая сумма скидки]]&lt;&gt;0),FALSE,TRUE)</f>
        <v>1</v>
      </c>
      <c r="DQ247" s="240">
        <f>_xlfn.XLOOKUP(ППД5[[#This Row],[№]],Юрист[№ кв],Юрист[Дата подачи на регистрацию]," ",0,-1)</f>
        <v>45254</v>
      </c>
      <c r="DR247" s="115" t="str">
        <f>_xlfn.XLOOKUP(ППД5[[#This Row],[№]],Юрист[№ кв],Юрист[МОП],"",0,-1)</f>
        <v>Дик</v>
      </c>
      <c r="DS247" s="333" t="s">
        <v>2786</v>
      </c>
      <c r="DT247" s="333" t="s">
        <v>2787</v>
      </c>
      <c r="DU247" s="333">
        <v>54.7</v>
      </c>
      <c r="DV247" s="111"/>
    </row>
    <row r="248" spans="1:126" hidden="1" x14ac:dyDescent="0.25">
      <c r="A248" s="112">
        <v>246</v>
      </c>
      <c r="B248" s="111" t="s">
        <v>3</v>
      </c>
      <c r="C248" s="111">
        <v>4</v>
      </c>
      <c r="D248" s="111">
        <v>4</v>
      </c>
      <c r="E248" s="111">
        <v>2</v>
      </c>
      <c r="F248" s="105">
        <v>15.45</v>
      </c>
      <c r="G248" s="105">
        <v>10.34</v>
      </c>
      <c r="H248" s="105"/>
      <c r="I248" s="94">
        <f>SUM(ППД5[[#This Row],[Комната 1]:[Комната 3]])</f>
        <v>25.79</v>
      </c>
      <c r="J248" s="105">
        <v>15.44</v>
      </c>
      <c r="K248" s="105">
        <v>4.59</v>
      </c>
      <c r="L248" s="105">
        <v>2.21</v>
      </c>
      <c r="M248" s="105"/>
      <c r="N248" s="105">
        <v>10.79</v>
      </c>
      <c r="O248" s="105">
        <v>2.84</v>
      </c>
      <c r="P248" s="105"/>
      <c r="Q248" s="105"/>
      <c r="R248" s="105">
        <f>SUM(ППД5[[#This Row],[Лоджия 1]:[Лоджия 3]])</f>
        <v>2.84</v>
      </c>
      <c r="S248" s="8">
        <f>ROUND(SUM(ППД5[[#This Row],[Площадь по проекту жилая]:[Лоджия 3]]),2)</f>
        <v>61.66</v>
      </c>
      <c r="T248" s="8">
        <f>ROUND(ППД5[[#This Row],[Площадь по проекту(общая)]]-ППД5[[#This Row],[Летние]],2)</f>
        <v>58.82</v>
      </c>
      <c r="U248" s="91">
        <f>ROUND(ППД5[[#This Row],[Площадь по проекту(общая)]]-(SUM(ППД5[[#This Row],[Лоджия 1]:[Лоджия 3]])/2),2)</f>
        <v>60.24</v>
      </c>
      <c r="V248" s="91">
        <f>IF(ППД5[[#This Row],[Статус]]="продажа",ППД5[[#This Row],[Расчетная проектная площадь]],ППД5[[#This Row],[Расчетная ТП площадь]])</f>
        <v>60.150000000000006</v>
      </c>
      <c r="W248" s="91">
        <v>15.4</v>
      </c>
      <c r="X248" s="91">
        <v>10.3</v>
      </c>
      <c r="Y248" s="91"/>
      <c r="Z248" s="91">
        <f>SUM(ППД5[[#This Row],[ТП Комната 1]:[ТП Комната 3]])</f>
        <v>25.700000000000003</v>
      </c>
      <c r="AA248" s="91">
        <v>15.3</v>
      </c>
      <c r="AB248" s="91">
        <v>4.5999999999999996</v>
      </c>
      <c r="AC248" s="91">
        <v>2.2000000000000002</v>
      </c>
      <c r="AD248" s="91"/>
      <c r="AE248" s="91">
        <v>10.9</v>
      </c>
      <c r="AF248" s="91">
        <v>1.45</v>
      </c>
      <c r="AG248" s="91"/>
      <c r="AH248" s="91"/>
      <c r="AI248" s="91">
        <f>SUM(ППД5[[#This Row],[ТП Лоджия 1]:[ТП Лоджия 3]])</f>
        <v>1.45</v>
      </c>
      <c r="AJ248" s="95">
        <v>2.9</v>
      </c>
      <c r="AK248" s="91">
        <f>SUM(ППД5[[#This Row],[Площадь по ТП жилая]:[ТП Лоджия 3]])-ППД5[[#This Row],[ТП Летние]]+ППД5[[#This Row],[кроме того прочая
(без коэффициента)]]</f>
        <v>61.6</v>
      </c>
      <c r="AL248" s="95">
        <f>ППД5[[#This Row],[ТП Площадь без летних]]+(ППД5[[#This Row],[ТП Летние]])</f>
        <v>60.150000000000006</v>
      </c>
      <c r="AM248" s="91">
        <f>ППД5[[#This Row],[ТП общая S]]-ППД5[[#This Row],[кроме того прочая
(без коэффициента)]]</f>
        <v>58.7</v>
      </c>
      <c r="AN248" s="95">
        <f>SUM(ППД5[[#This Row],[ТП Кухня]:[ТП Коридор]])</f>
        <v>33</v>
      </c>
      <c r="AO248" s="91">
        <f>ППД5[[#This Row],[Расчетная ТП площадь]]-ППД5[[#This Row],[Расчетная проектная площадь]]</f>
        <v>-8.9999999999996305E-2</v>
      </c>
      <c r="AP248" s="335">
        <f>ППД5[[#This Row],[Расчетная ТП площадь]]/ППД5[[#This Row],[Расчетная проектная площадь]]-1</f>
        <v>-1.4940239043823578E-3</v>
      </c>
      <c r="AQ248" s="91">
        <f>ППД5[[#This Row],[% расхождения]]*ППД5[[#This Row],[Стоимость до скидки]]</f>
        <v>-11060.258964142595</v>
      </c>
      <c r="AR248" s="91">
        <f>VLOOKUP(ППД5[[#This Row],[№]],наценкад5[],COLUMN(наценкад5[[#This Row],[Цена м2 с учетом всех K]]),0)</f>
        <v>82238.34150000001</v>
      </c>
      <c r="AS248" s="8">
        <f>ППД5[[#This Row],[м2 после К]]*5%</f>
        <v>4111.9170750000003</v>
      </c>
      <c r="AT248" s="8">
        <f>ППД5[[#This Row],[м2 после К]]+ППД5[[#This Row],[Повышение 16.08.23 - 5%]]</f>
        <v>86350.258575000014</v>
      </c>
      <c r="AU248" s="93">
        <f>ППД5[[#This Row],[Фикс 16.08.23]]*3%</f>
        <v>2590.5077572500004</v>
      </c>
      <c r="AV248" s="93">
        <f>ППД5[[#This Row],[Фикс 16.08.23]]+ППД5[[#This Row],[Повышение 29.08.23 - 3%]]</f>
        <v>88940.766332250016</v>
      </c>
      <c r="AW248" s="93"/>
      <c r="AX248" s="93">
        <f>ППД5[[#This Row],[Фикс 29.08.23]]+ППД5[[#This Row],[Повышение 06.09.23 СТ и 1К]]</f>
        <v>88940.766332250016</v>
      </c>
      <c r="AY248" s="93"/>
      <c r="AZ248" s="93">
        <f>ППД5[[#This Row],[Повышение 23.10.23  В4 ]]+ППД5[[#This Row],[Фикс 06.09.23]]</f>
        <v>88940.766332250016</v>
      </c>
      <c r="BA248" s="93"/>
      <c r="BB248" s="93">
        <f>ППД5[[#This Row],[Повышение 8.11.23 1К 5%]]+ППД5[[#This Row],[Фикс 23.10.23]]</f>
        <v>88940.766332250016</v>
      </c>
      <c r="BC248" s="93"/>
      <c r="BD248" s="93">
        <f>ППД5[[#This Row],[Корректировка 24.11.23 - 1К В5, 2К А2, №233]]+ППД5[[#This Row],[Фикс 8.11.23]]</f>
        <v>88940.766332250016</v>
      </c>
      <c r="BE248" s="93">
        <f>ППД5[[#This Row],[Фикс 8.11.24]]*1%</f>
        <v>889.40766332250018</v>
      </c>
      <c r="BF248" s="93">
        <f>ППД5[[#This Row],[Наценка за отделку 29.12.23 1%]]+ППД5[[#This Row],[Фикс 8.11.24]]</f>
        <v>89830.173995572521</v>
      </c>
      <c r="BG248" s="93">
        <f>ППД5[[#This Row],[Фикс 29.12.23]]*5%</f>
        <v>4491.5086997786266</v>
      </c>
      <c r="BH248" s="93">
        <f>ППД5[[#This Row],[Фикс 29.12.23]]+ППД5[[#This Row],[Наценка 10.01.24 5%]]</f>
        <v>94321.682695351148</v>
      </c>
      <c r="BI248" s="93"/>
      <c r="BJ248" s="93">
        <f>ППД5[[#This Row],[Наценка 26.02.24 1 Этаж]]+ППД5[[#This Row],[Фикс 10.01.24]]</f>
        <v>94321.682695351148</v>
      </c>
      <c r="BK248" s="93">
        <f>ППД5[[#This Row],[Фикс 26.02.24]]*2%</f>
        <v>1886.433653907023</v>
      </c>
      <c r="BL248" s="93">
        <f>ППД5[[#This Row],[Фикс 26.02.24]]+ППД5[[#This Row],[Наценка 06.03.24
СТ, 1К - 3%
2К, 3К - 2%]]</f>
        <v>96208.116349258169</v>
      </c>
      <c r="BM248" s="93"/>
      <c r="BN248" s="93">
        <f>ППД5[[#This Row],[Фикс 06.03.24]]+ППД5[[#This Row],[Наценка Г2+500]]</f>
        <v>96208.116349258169</v>
      </c>
      <c r="BO248" s="93">
        <f>ППД5[[#This Row],[Фикс 13.03.25]]*2%</f>
        <v>1924.1623269851634</v>
      </c>
      <c r="BP248" s="93">
        <f>ППД5[[#This Row],[Фикс 13.03.25]]+ППД5[[#This Row],[Наценка 20.03.24
2К, 3К - 2%]]</f>
        <v>98132.278676243339</v>
      </c>
      <c r="BQ248" s="93"/>
      <c r="BR248" s="93">
        <f>ППД5[[#This Row],[Фикс 20.03.24]]+ППД5[[#This Row],[Наценка 08.04.24 
2К: В3 - 150
3К: Г7 +1000]]</f>
        <v>98132.278676243339</v>
      </c>
      <c r="BS248" s="93"/>
      <c r="BT248" s="93">
        <f>ППД5[[#This Row],[Фикс 08.04.24]]+ППД5[[#This Row],[Наценка 16.05.24 1%
А4,А6,Б3,Б6,Б7,В2,В3,В5,В6,Г1,Г3-Г5]]</f>
        <v>98132.278676243339</v>
      </c>
      <c r="BU248" s="93"/>
      <c r="BV248" s="93">
        <f>ППД5[[#This Row],[Фикс 16.05.24]]+ППД5[[#This Row],[Наценка 24.05.24
1% - Б4, Б5,Г2,Г6
2% - А1,А3,А5,Б2,Г7]]</f>
        <v>98132.278676243339</v>
      </c>
      <c r="BW248" s="93"/>
      <c r="BX248" s="93">
        <f>ППД5[[#This Row],[Наценка 06.06.24
0К: В2,Г3 +0,5%
1К: А7, Б5/4, Г6 +0,5%
3К: В6 +0,5%
1К: А3 +1%]]+ППД5[[#This Row],[Фикс 24.05.24]]</f>
        <v>98132.278676243339</v>
      </c>
      <c r="BY248" s="93"/>
      <c r="BZ248" s="93">
        <f>ППД5[[#This Row],[Фикс 06.06.24]]+ППД5[[#This Row],[13.06.2024
3К - 2%]]</f>
        <v>98132.278676243339</v>
      </c>
      <c r="CA248" s="93">
        <f>0.5%*ППД5[[#This Row],[Фикс 13.06.24]]</f>
        <v>490.66139338121673</v>
      </c>
      <c r="CB248" s="93">
        <f>ППД5[[#This Row],[02.07.2024: Г3 А1 А3 Б5 Б7 Г2 Г6 Б3 Б4 В3 Г7 2,5% ост 0,5-1,5%]]+ППД5[[#This Row],[Фикс 13.06.24]]</f>
        <v>98622.940069624558</v>
      </c>
      <c r="CC248" s="93"/>
      <c r="CD248" s="93">
        <f>ППД5[[#This Row],[Фикс 02.07.24]]+ППД5[[#This Row],[04.09.2024 +500
0К - Б2; 1К - А3;
2К - А6, Б4, В3, Г5]]</f>
        <v>98622.940069624558</v>
      </c>
      <c r="CE248" s="93">
        <f>ППД5[[#This Row],[Фикс 04.09.24]]*4%</f>
        <v>3944.9176027849826</v>
      </c>
      <c r="CF248" s="93">
        <f>ППД5[[#This Row],[Наценка 16.09.2024
1К: А1,В7,Г6/7,Г8 - 2%
2К: А4,А5,А6,Б1,Б6,Б3/4,В3,В4,Г4,Г5 - 4%
3К: 4%]]+ППД5[[#This Row],[Фикс 04.09.24]]</f>
        <v>102567.85767240953</v>
      </c>
      <c r="CG248" s="93">
        <f>ППД5[[#This Row],[Фикс 16.09.2024]]*6%</f>
        <v>6154.0714603445722</v>
      </c>
      <c r="CH248" s="93">
        <f>ППД5[[#This Row],[Фикс 16.09.2024]]+ППД5[[#This Row],[Наценка 01.11.24
СТ: 4%
1К: 34-40м 5%; 40м+ 8%; МГН 1%
2К: 55-70м 6%; 70-73м 7%; 73-76м 8% 
3К: 5%]]</f>
        <v>108721.9291327541</v>
      </c>
      <c r="CI248" s="93">
        <f>ППД5[[#This Row],[Фикс 01.11.24]]*13%</f>
        <v>14133.850787258034</v>
      </c>
      <c r="CJ248" s="93">
        <f>ППД5[[#This Row],[Наценка 06.11 13%]]+ППД5[[#This Row],[Фикс 01.11.24]]</f>
        <v>122855.77992001214</v>
      </c>
      <c r="CK248" s="93">
        <v>35</v>
      </c>
      <c r="CL248" s="93">
        <f>ППД5[[#This Row],[Фикс 06.11.24]]+ППД5[[#This Row],[Наценка 18.12.24 распределение КВ]]</f>
        <v>122890.77992001214</v>
      </c>
      <c r="CM248" s="93"/>
      <c r="CN248" s="93">
        <f>ППД5[[#This Row],[Фикс 18.12.24]]+ППД5[[#This Row],[Наценка 10.02.25 +1%
1К: А3
2К: Б3, В3]]</f>
        <v>122890.77992001214</v>
      </c>
      <c r="CO248" s="93">
        <f>ROUND(ППД5[[#This Row],[Фикс 10.02.25]],2)</f>
        <v>122890.78</v>
      </c>
      <c r="CP24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7403000</v>
      </c>
      <c r="CQ248" s="93">
        <f>ROUNDUP(ППД5[[#This Row],[Стоимость до скидки]]+ППД5[[#This Row],[Сумма доплаты]],-2)</f>
        <v>7392000</v>
      </c>
      <c r="CR248" s="68"/>
      <c r="CS248" s="90"/>
      <c r="CT248" s="68">
        <f>ППД5[[#This Row],[Стоимость до скидки]]*ППД5[[#This Row],[Скидка %]]+ППД5[[#This Row],[Скидка фиксированная]]</f>
        <v>0</v>
      </c>
      <c r="CU248" s="3">
        <f>ППД5[[#This Row],[Стоимость ОН без отделки со скидкой]]/ППД5[[#This Row],[Расчетная проектная площадь]]</f>
        <v>122891.76626826028</v>
      </c>
      <c r="CV248" s="3">
        <f>ROUND(ППД5[[#This Row],[Стоимость до скидки]]-ППД5[[#This Row],[Итоговая сумма скидки]],2)</f>
        <v>7403000</v>
      </c>
      <c r="CW24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248" s="218">
        <v>10000</v>
      </c>
      <c r="CY248" s="332">
        <f>ППД5[[#This Row],[Расхождение]]/ППД5[[#This Row],[Расчетная проектная площадь]]</f>
        <v>-1.4940239043824087E-3</v>
      </c>
      <c r="CZ248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-2.9999999999999361E-2</v>
      </c>
      <c r="DA248" s="3">
        <f>ППД5[[#This Row],[Цена м2 без отделки со скидкой]]+ППД5[[#This Row],[Стоимость отделки]]</f>
        <v>132891.76626826028</v>
      </c>
      <c r="DB248" s="3">
        <f>ППД5[[#This Row],[Стоимость квартиры с отделкой]]-ППД5[[#This Row],[Стоимость ОН без отделки со скидкой]]</f>
        <v>602400</v>
      </c>
      <c r="DC248" s="3">
        <f>ППД5[[#This Row],[Цена м2 с отделкой]]*ППД5[[#This Row],[Расчетная проектная площадь]]</f>
        <v>8005400</v>
      </c>
      <c r="DD248" s="3"/>
      <c r="DF248" s="155" t="s">
        <v>157</v>
      </c>
      <c r="DG248" s="245" t="s">
        <v>157</v>
      </c>
      <c r="DH248" s="100" t="b">
        <f>EXACT(ППД5[[#This Row],[Статусы CRM]],ППД5[[#This Row],[Статус]])</f>
        <v>1</v>
      </c>
      <c r="DI248" s="213" t="s">
        <v>420</v>
      </c>
      <c r="DJ248" s="204"/>
      <c r="DK248" s="111" t="s">
        <v>763</v>
      </c>
      <c r="DL248" s="216" t="s">
        <v>780</v>
      </c>
      <c r="DM248" s="201" t="b">
        <f>ППД5[[#This Row],[Отделка CRM]]=ППД5[[#This Row],[Отделка]]</f>
        <v>1</v>
      </c>
      <c r="DN248" s="203">
        <v>8005400</v>
      </c>
      <c r="DO24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48" s="207" t="b">
        <f>IF(AND(ППД5[[#This Row],[Статус]]="свободно",ППД5[[#This Row],[Итоговая сумма скидки]]&lt;&gt;0),FALSE,TRUE)</f>
        <v>1</v>
      </c>
      <c r="DQ248" s="240" t="str">
        <f>_xlfn.XLOOKUP(ППД5[[#This Row],[№]],Юрист[№ кв],Юрист[Дата подачи на регистрацию]," ",0,-1)</f>
        <v xml:space="preserve"> </v>
      </c>
      <c r="DR248" s="115" t="str">
        <f>_xlfn.XLOOKUP(ППД5[[#This Row],[№]],Юрист[№ кв],Юрист[МОП],"",0,-1)</f>
        <v/>
      </c>
      <c r="DS248" s="333" t="s">
        <v>2788</v>
      </c>
      <c r="DT248" s="333" t="s">
        <v>2789</v>
      </c>
      <c r="DU248" s="333">
        <v>58.7</v>
      </c>
      <c r="DV248" s="111"/>
    </row>
    <row r="249" spans="1:126" hidden="1" x14ac:dyDescent="0.25">
      <c r="A249" s="112">
        <v>247</v>
      </c>
      <c r="B249" s="111" t="s">
        <v>3</v>
      </c>
      <c r="C249" s="111">
        <v>4</v>
      </c>
      <c r="D249" s="111">
        <v>5</v>
      </c>
      <c r="E249" s="111">
        <v>1</v>
      </c>
      <c r="F249" s="105">
        <v>12.54</v>
      </c>
      <c r="G249" s="105"/>
      <c r="H249" s="105"/>
      <c r="I249" s="94">
        <f>SUM(ППД5[[#This Row],[Комната 1]:[Комната 3]])</f>
        <v>12.54</v>
      </c>
      <c r="J249" s="105">
        <v>12.74</v>
      </c>
      <c r="K249" s="105">
        <v>4.0199999999999996</v>
      </c>
      <c r="L249" s="105"/>
      <c r="M249" s="105"/>
      <c r="N249" s="105">
        <v>7.09</v>
      </c>
      <c r="O249" s="105">
        <v>2.84</v>
      </c>
      <c r="P249" s="105"/>
      <c r="Q249" s="105"/>
      <c r="R249" s="105">
        <f>SUM(ППД5[[#This Row],[Лоджия 1]:[Лоджия 3]])</f>
        <v>2.84</v>
      </c>
      <c r="S249" s="8">
        <f>ROUND(SUM(ППД5[[#This Row],[Площадь по проекту жилая]:[Лоджия 3]]),2)</f>
        <v>39.229999999999997</v>
      </c>
      <c r="T249" s="8">
        <f>ROUND(ППД5[[#This Row],[Площадь по проекту(общая)]]-ППД5[[#This Row],[Летние]],2)</f>
        <v>36.39</v>
      </c>
      <c r="U249" s="91">
        <f>ROUND(ППД5[[#This Row],[Площадь по проекту(общая)]]-(SUM(ППД5[[#This Row],[Лоджия 1]:[Лоджия 3]])/2),2)</f>
        <v>37.81</v>
      </c>
      <c r="V249" s="91">
        <f>IF(ППД5[[#This Row],[Статус]]="продажа",ППД5[[#This Row],[Расчетная проектная площадь]],ППД5[[#This Row],[Расчетная ТП площадь]])</f>
        <v>37.5</v>
      </c>
      <c r="W249" s="91">
        <v>12.4</v>
      </c>
      <c r="X249" s="91"/>
      <c r="Y249" s="91"/>
      <c r="Z249" s="91">
        <f>SUM(ППД5[[#This Row],[ТП Комната 1]:[ТП Комната 3]])</f>
        <v>12.4</v>
      </c>
      <c r="AA249" s="91">
        <v>12.7</v>
      </c>
      <c r="AB249" s="91">
        <v>4</v>
      </c>
      <c r="AC249" s="91"/>
      <c r="AD249" s="91"/>
      <c r="AE249" s="91">
        <v>7</v>
      </c>
      <c r="AF249" s="91">
        <v>1.4</v>
      </c>
      <c r="AG249" s="91"/>
      <c r="AH249" s="91"/>
      <c r="AI249" s="91">
        <f>SUM(ППД5[[#This Row],[ТП Лоджия 1]:[ТП Лоджия 3]])</f>
        <v>1.4</v>
      </c>
      <c r="AJ249" s="95">
        <v>2.8</v>
      </c>
      <c r="AK249" s="91">
        <f>SUM(ППД5[[#This Row],[Площадь по ТП жилая]:[ТП Лоджия 3]])-ППД5[[#This Row],[ТП Летние]]+ППД5[[#This Row],[кроме того прочая
(без коэффициента)]]</f>
        <v>38.9</v>
      </c>
      <c r="AL249" s="95">
        <f>ППД5[[#This Row],[ТП Площадь без летних]]+(ППД5[[#This Row],[ТП Летние]])</f>
        <v>37.5</v>
      </c>
      <c r="AM249" s="91">
        <f>ППД5[[#This Row],[ТП общая S]]-ППД5[[#This Row],[кроме того прочая
(без коэффициента)]]</f>
        <v>36.1</v>
      </c>
      <c r="AN249" s="95">
        <f>SUM(ППД5[[#This Row],[ТП Кухня]:[ТП Коридор]])</f>
        <v>23.7</v>
      </c>
      <c r="AO249" s="91">
        <f>ППД5[[#This Row],[Расчетная ТП площадь]]-ППД5[[#This Row],[Расчетная проектная площадь]]</f>
        <v>-0.31000000000000227</v>
      </c>
      <c r="AP249" s="335">
        <f>ППД5[[#This Row],[Расчетная ТП площадь]]/ППД5[[#This Row],[Расчетная проектная площадь]]-1</f>
        <v>-8.1988891827559085E-3</v>
      </c>
      <c r="AQ249" s="91">
        <f>ППД5[[#This Row],[% расхождения]]*ППД5[[#This Row],[Стоимость до скидки]]</f>
        <v>-42937.582650092692</v>
      </c>
      <c r="AR249" s="91">
        <f>VLOOKUP(ППД5[[#This Row],[№]],наценкад5[],COLUMN(наценкад5[[#This Row],[Цена м2 с учетом всех K]]),0)</f>
        <v>89223.75</v>
      </c>
      <c r="AS249" s="8">
        <f>ППД5[[#This Row],[м2 после К]]*5%</f>
        <v>4461.1875</v>
      </c>
      <c r="AT249" s="8">
        <f>ППД5[[#This Row],[м2 после К]]+ППД5[[#This Row],[Повышение 16.08.23 - 5%]]</f>
        <v>93684.9375</v>
      </c>
      <c r="AU249" s="93">
        <f>ППД5[[#This Row],[Фикс 16.08.23]]*3%</f>
        <v>2810.5481249999998</v>
      </c>
      <c r="AV249" s="93">
        <f>ППД5[[#This Row],[Фикс 16.08.23]]+ППД5[[#This Row],[Повышение 29.08.23 - 3%]]</f>
        <v>96495.485625000001</v>
      </c>
      <c r="AW249" s="93">
        <f>ППД5[[#This Row],[Фикс 29.08.23]]*4.5%</f>
        <v>4342.2968531249999</v>
      </c>
      <c r="AX249" s="93">
        <f>ППД5[[#This Row],[Фикс 29.08.23]]+ППД5[[#This Row],[Повышение 06.09.23 СТ и 1К]]</f>
        <v>100837.78247812499</v>
      </c>
      <c r="AY249" s="93"/>
      <c r="AZ249" s="93">
        <f>ППД5[[#This Row],[Повышение 23.10.23  В4 ]]+ППД5[[#This Row],[Фикс 06.09.23]]</f>
        <v>100837.78247812499</v>
      </c>
      <c r="BA249" s="93">
        <f>ППД5[[#This Row],[Фикс 23.10.23]]*5%</f>
        <v>5041.8891239062505</v>
      </c>
      <c r="BB249" s="93">
        <f>ППД5[[#This Row],[Повышение 8.11.23 1К 5%]]+ППД5[[#This Row],[Фикс 23.10.23]]</f>
        <v>105879.67160203125</v>
      </c>
      <c r="BC249" s="93">
        <v>-620</v>
      </c>
      <c r="BD249" s="93">
        <f>ППД5[[#This Row],[Корректировка 24.11.23 - 1К В5, 2К А2, №233]]+ППД5[[#This Row],[Фикс 8.11.23]]</f>
        <v>105259.67160203125</v>
      </c>
      <c r="BE249" s="93">
        <f>ППД5[[#This Row],[Фикс 8.11.24]]*1%</f>
        <v>1052.5967160203124</v>
      </c>
      <c r="BF249" s="93">
        <f>ППД5[[#This Row],[Наценка за отделку 29.12.23 1%]]+ППД5[[#This Row],[Фикс 8.11.24]]</f>
        <v>106312.26831805156</v>
      </c>
      <c r="BG249" s="93">
        <f>ППД5[[#This Row],[Фикс 29.12.23]]*5%</f>
        <v>5315.6134159025787</v>
      </c>
      <c r="BH249" s="93">
        <f>ППД5[[#This Row],[Фикс 29.12.23]]+ППД5[[#This Row],[Наценка 10.01.24 5%]]</f>
        <v>111627.88173395414</v>
      </c>
      <c r="BI249" s="93"/>
      <c r="BJ249" s="93">
        <f>ППД5[[#This Row],[Наценка 26.02.24 1 Этаж]]+ППД5[[#This Row],[Фикс 10.01.24]]</f>
        <v>111627.88173395414</v>
      </c>
      <c r="BK249" s="93">
        <f>ППД5[[#This Row],[Фикс 26.02.24]]*3%</f>
        <v>3348.8364520186242</v>
      </c>
      <c r="BL249" s="93">
        <f>ППД5[[#This Row],[Фикс 26.02.24]]+ППД5[[#This Row],[Наценка 06.03.24
СТ, 1К - 3%
2К, 3К - 2%]]</f>
        <v>114976.71818597277</v>
      </c>
      <c r="BM249" s="93"/>
      <c r="BN249" s="93">
        <f>ППД5[[#This Row],[Фикс 06.03.24]]+ППД5[[#This Row],[Наценка Г2+500]]</f>
        <v>114976.71818597277</v>
      </c>
      <c r="BO249" s="93"/>
      <c r="BP249" s="93">
        <f>ППД5[[#This Row],[Фикс 13.03.25]]+ППД5[[#This Row],[Наценка 20.03.24
2К, 3К - 2%]]</f>
        <v>114976.71818597277</v>
      </c>
      <c r="BQ249" s="93"/>
      <c r="BR249" s="93">
        <f>ППД5[[#This Row],[Фикс 20.03.24]]+ППД5[[#This Row],[Наценка 08.04.24 
2К: В3 - 150
3К: Г7 +1000]]</f>
        <v>114976.71818597277</v>
      </c>
      <c r="BS249" s="93">
        <f>ППД5[[#This Row],[Фикс 08.04.24]]*1%</f>
        <v>1149.7671818597278</v>
      </c>
      <c r="BT249" s="93">
        <f>ППД5[[#This Row],[Фикс 08.04.24]]+ППД5[[#This Row],[Наценка 16.05.24 1%
А4,А6,Б3,Б6,Б7,В2,В3,В5,В6,Г1,Г3-Г5]]</f>
        <v>116126.4853678325</v>
      </c>
      <c r="BU249" s="93"/>
      <c r="BV249" s="93">
        <f>ППД5[[#This Row],[Фикс 16.05.24]]+ППД5[[#This Row],[Наценка 24.05.24
1% - Б4, Б5,Г2,Г6
2% - А1,А3,А5,Б2,Г7]]</f>
        <v>116126.4853678325</v>
      </c>
      <c r="BW249" s="93"/>
      <c r="BX249" s="93">
        <f>ППД5[[#This Row],[Наценка 06.06.24
0К: В2,Г3 +0,5%
1К: А7, Б5/4, Г6 +0,5%
3К: В6 +0,5%
1К: А3 +1%]]+ППД5[[#This Row],[Фикс 24.05.24]]</f>
        <v>116126.4853678325</v>
      </c>
      <c r="BY249" s="93"/>
      <c r="BZ249" s="93">
        <f>ППД5[[#This Row],[Фикс 06.06.24]]+ППД5[[#This Row],[13.06.2024
3К - 2%]]</f>
        <v>116126.4853678325</v>
      </c>
      <c r="CA249" s="93">
        <f>0.5%*ППД5[[#This Row],[Фикс 13.06.24]]</f>
        <v>580.63242683916258</v>
      </c>
      <c r="CB249" s="93">
        <f>ППД5[[#This Row],[02.07.2024: Г3 А1 А3 Б5 Б7 Г2 Г6 Б3 Б4 В3 Г7 2,5% ост 0,5-1,5%]]+ППД5[[#This Row],[Фикс 13.06.24]]</f>
        <v>116707.11779467166</v>
      </c>
      <c r="CC249" s="93"/>
      <c r="CD249" s="93">
        <f>ППД5[[#This Row],[Фикс 02.07.24]]+ППД5[[#This Row],[04.09.2024 +500
0К - Б2; 1К - А3;
2К - А6, Б4, В3, Г5]]</f>
        <v>116707.11779467166</v>
      </c>
      <c r="CE249" s="93"/>
      <c r="CF249" s="93">
        <f>ППД5[[#This Row],[Наценка 16.09.2024
1К: А1,В7,Г6/7,Г8 - 2%
2К: А4,А5,А6,Б1,Б6,Б3/4,В3,В4,Г4,Г5 - 4%
3К: 4%]]+ППД5[[#This Row],[Фикс 04.09.24]]</f>
        <v>116707.11779467166</v>
      </c>
      <c r="CG249" s="93">
        <f>ППД5[[#This Row],[Фикс 16.09.2024]]*5%</f>
        <v>5835.3558897335834</v>
      </c>
      <c r="CH249" s="93">
        <f>ППД5[[#This Row],[Фикс 16.09.2024]]+ППД5[[#This Row],[Наценка 01.11.24
СТ: 4%
1К: 34-40м 5%; 40м+ 8%; МГН 1%
2К: 55-70м 6%; 70-73м 7%; 73-76м 8% 
3К: 5%]]</f>
        <v>122542.47368440525</v>
      </c>
      <c r="CI249" s="93">
        <f>ППД5[[#This Row],[Фикс 01.11.24]]*13%</f>
        <v>15930.521578972683</v>
      </c>
      <c r="CJ249" s="93">
        <f>ППД5[[#This Row],[Наценка 06.11 13%]]+ППД5[[#This Row],[Фикс 01.11.24]]</f>
        <v>138472.99526337793</v>
      </c>
      <c r="CK249" s="93">
        <v>35</v>
      </c>
      <c r="CL249" s="93">
        <f>ППД5[[#This Row],[Фикс 06.11.24]]+ППД5[[#This Row],[Наценка 18.12.24 распределение КВ]]</f>
        <v>138507.99526337793</v>
      </c>
      <c r="CM249" s="93"/>
      <c r="CN249" s="93">
        <f>ППД5[[#This Row],[Фикс 18.12.24]]+ППД5[[#This Row],[Наценка 10.02.25 +1%
1К: А3
2К: Б3, В3]]</f>
        <v>138507.99526337793</v>
      </c>
      <c r="CO249" s="93">
        <f>ROUND(ППД5[[#This Row],[Фикс 10.02.25]],2)</f>
        <v>138508</v>
      </c>
      <c r="CP24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5237000</v>
      </c>
      <c r="CQ249" s="93">
        <f>ROUNDUP(ППД5[[#This Row],[Стоимость до скидки]]+ППД5[[#This Row],[Сумма доплаты]],-2)</f>
        <v>5194100</v>
      </c>
      <c r="CR249" s="68"/>
      <c r="CS249" s="90"/>
      <c r="CT249" s="68">
        <f>ППД5[[#This Row],[Стоимость до скидки]]*ППД5[[#This Row],[Скидка %]]+ППД5[[#This Row],[Скидка фиксированная]]</f>
        <v>0</v>
      </c>
      <c r="CU249" s="3">
        <f>ППД5[[#This Row],[Стоимость ОН без отделки со скидкой]]/ППД5[[#This Row],[Расчетная проектная площадь]]</f>
        <v>138508.33112933085</v>
      </c>
      <c r="CV249" s="3">
        <f>ROUND(ППД5[[#This Row],[Стоимость до скидки]]-ППД5[[#This Row],[Итоговая сумма скидки]],2)</f>
        <v>5237000</v>
      </c>
      <c r="CW24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249" s="218">
        <v>10000</v>
      </c>
      <c r="CY249" s="332">
        <f>ППД5[[#This Row],[Расхождение]]/ППД5[[#This Row],[Расчетная проектная площадь]]</f>
        <v>-8.1988891827559449E-3</v>
      </c>
      <c r="CZ249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-0.15000000000000036</v>
      </c>
      <c r="DA249" s="3">
        <f>ППД5[[#This Row],[Цена м2 без отделки со скидкой]]+ППД5[[#This Row],[Стоимость отделки]]</f>
        <v>148508.33112933085</v>
      </c>
      <c r="DB249" s="3">
        <f>ППД5[[#This Row],[Стоимость квартиры с отделкой]]-ППД5[[#This Row],[Стоимость ОН без отделки со скидкой]]</f>
        <v>378100</v>
      </c>
      <c r="DC249" s="3">
        <f>ППД5[[#This Row],[Цена м2 с отделкой]]*ППД5[[#This Row],[Расчетная проектная площадь]]</f>
        <v>5615100</v>
      </c>
      <c r="DD249" s="3"/>
      <c r="DF249" s="199" t="s">
        <v>157</v>
      </c>
      <c r="DG249" s="221" t="s">
        <v>157</v>
      </c>
      <c r="DH249" s="100" t="b">
        <f>EXACT(ППД5[[#This Row],[Статусы CRM]],ППД5[[#This Row],[Статус]])</f>
        <v>1</v>
      </c>
      <c r="DI249" s="213" t="s">
        <v>421</v>
      </c>
      <c r="DJ249" s="204"/>
      <c r="DK249" s="111" t="s">
        <v>763</v>
      </c>
      <c r="DL249" s="216" t="s">
        <v>780</v>
      </c>
      <c r="DM249" s="201" t="b">
        <f>ППД5[[#This Row],[Отделка CRM]]=ППД5[[#This Row],[Отделка]]</f>
        <v>1</v>
      </c>
      <c r="DN249" s="203">
        <v>5615100</v>
      </c>
      <c r="DO24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49" s="207" t="b">
        <f>IF(AND(ППД5[[#This Row],[Статус]]="свободно",ППД5[[#This Row],[Итоговая сумма скидки]]&lt;&gt;0),FALSE,TRUE)</f>
        <v>1</v>
      </c>
      <c r="DQ249" s="240" t="str">
        <f>_xlfn.XLOOKUP(ППД5[[#This Row],[№]],Юрист[№ кв],Юрист[Дата подачи на регистрацию]," ",0,-1)</f>
        <v xml:space="preserve"> </v>
      </c>
      <c r="DR249" s="115" t="str">
        <f>_xlfn.XLOOKUP(ППД5[[#This Row],[№]],Юрист[№ кв],Юрист[МОП],"",0,-1)</f>
        <v/>
      </c>
      <c r="DS249" s="333" t="s">
        <v>2790</v>
      </c>
      <c r="DT249" s="333" t="s">
        <v>2791</v>
      </c>
      <c r="DU249" s="333">
        <v>36.1</v>
      </c>
      <c r="DV249" s="111"/>
    </row>
    <row r="250" spans="1:126" hidden="1" x14ac:dyDescent="0.25">
      <c r="A250" s="112">
        <v>248</v>
      </c>
      <c r="B250" s="111" t="s">
        <v>3</v>
      </c>
      <c r="C250" s="111">
        <v>4</v>
      </c>
      <c r="D250" s="111">
        <v>6</v>
      </c>
      <c r="E250" s="111">
        <v>3</v>
      </c>
      <c r="F250" s="105">
        <v>17.2</v>
      </c>
      <c r="G250" s="105">
        <v>14.64</v>
      </c>
      <c r="H250" s="105">
        <v>14.34</v>
      </c>
      <c r="I250" s="94">
        <f>SUM(ППД5[[#This Row],[Комната 1]:[Комната 3]])</f>
        <v>46.18</v>
      </c>
      <c r="J250" s="105">
        <v>13.15</v>
      </c>
      <c r="K250" s="105">
        <v>4.03</v>
      </c>
      <c r="L250" s="105">
        <v>1.76</v>
      </c>
      <c r="M250" s="105"/>
      <c r="N250" s="105">
        <v>13.11</v>
      </c>
      <c r="O250" s="105">
        <v>2.79</v>
      </c>
      <c r="P250" s="105">
        <v>2.68</v>
      </c>
      <c r="Q250" s="105"/>
      <c r="R250" s="105">
        <f>SUM(ППД5[[#This Row],[Лоджия 1]:[Лоджия 3]])</f>
        <v>5.4700000000000006</v>
      </c>
      <c r="S250" s="8">
        <f>ROUND(SUM(ППД5[[#This Row],[Площадь по проекту жилая]:[Лоджия 3]]),2)</f>
        <v>83.7</v>
      </c>
      <c r="T250" s="8">
        <f>ROUND(ППД5[[#This Row],[Площадь по проекту(общая)]]-ППД5[[#This Row],[Летние]],2)</f>
        <v>78.23</v>
      </c>
      <c r="U250" s="91">
        <f>ROUND(ППД5[[#This Row],[Площадь по проекту(общая)]]-(SUM(ППД5[[#This Row],[Лоджия 1]:[Лоджия 3]])/2),2)</f>
        <v>80.97</v>
      </c>
      <c r="V250" s="91">
        <f>IF(ППД5[[#This Row],[Статус]]="продажа",ППД5[[#This Row],[Расчетная проектная площадь]],ППД5[[#This Row],[Расчетная ТП площадь]])</f>
        <v>80.97</v>
      </c>
      <c r="W250" s="91">
        <v>17.100000000000001</v>
      </c>
      <c r="X250" s="91">
        <v>14.6</v>
      </c>
      <c r="Y250" s="91">
        <v>14.3</v>
      </c>
      <c r="Z250" s="91">
        <f>SUM(ППД5[[#This Row],[ТП Комната 1]:[ТП Комната 3]])</f>
        <v>46</v>
      </c>
      <c r="AA250" s="91">
        <v>13</v>
      </c>
      <c r="AB250" s="91">
        <v>4</v>
      </c>
      <c r="AC250" s="91">
        <v>1.7</v>
      </c>
      <c r="AD250" s="91"/>
      <c r="AE250" s="91">
        <v>13</v>
      </c>
      <c r="AF250" s="91">
        <v>1.4</v>
      </c>
      <c r="AG250" s="92">
        <v>1.35</v>
      </c>
      <c r="AH250" s="91"/>
      <c r="AI250" s="91">
        <f>SUM(ППД5[[#This Row],[ТП Лоджия 1]:[ТП Лоджия 3]])</f>
        <v>2.75</v>
      </c>
      <c r="AJ250" s="95">
        <v>5.5</v>
      </c>
      <c r="AK250" s="91">
        <f>SUM(ППД5[[#This Row],[Площадь по ТП жилая]:[ТП Лоджия 3]])-ППД5[[#This Row],[ТП Летние]]+ППД5[[#This Row],[кроме того прочая
(без коэффициента)]]</f>
        <v>83.2</v>
      </c>
      <c r="AL250" s="95">
        <f>ППД5[[#This Row],[ТП Площадь без летних]]+(ППД5[[#This Row],[ТП Летние]])</f>
        <v>80.45</v>
      </c>
      <c r="AM250" s="91">
        <f>ППД5[[#This Row],[ТП общая S]]-ППД5[[#This Row],[кроме того прочая
(без коэффициента)]]</f>
        <v>77.7</v>
      </c>
      <c r="AN250" s="95">
        <f>SUM(ППД5[[#This Row],[ТП Кухня]:[ТП Коридор]])</f>
        <v>31.7</v>
      </c>
      <c r="AO250" s="91">
        <f>ППД5[[#This Row],[Расчетная ТП площадь]]-ППД5[[#This Row],[Расчетная проектная площадь]]</f>
        <v>-0.51999999999999602</v>
      </c>
      <c r="AP250" s="335">
        <f>ППД5[[#This Row],[Расчетная ТП площадь]]/ППД5[[#This Row],[Расчетная проектная площадь]]-1</f>
        <v>-6.4221316536988704E-3</v>
      </c>
      <c r="AQ250" s="91">
        <f>ППД5[[#This Row],[% расхождения]]*ППД5[[#This Row],[Стоимость до скидки]]</f>
        <v>-60323.724836358859</v>
      </c>
      <c r="AR250" s="91">
        <f>VLOOKUP(ППД5[[#This Row],[№]],наценкад5[],COLUMN(наценкад5[[#This Row],[Цена м2 с учетом всех K]]),0)</f>
        <v>74947.950000000012</v>
      </c>
      <c r="AS250" s="8">
        <f>ППД5[[#This Row],[м2 после К]]*5%</f>
        <v>3747.3975000000009</v>
      </c>
      <c r="AT250" s="8">
        <f>ППД5[[#This Row],[м2 после К]]+ППД5[[#This Row],[Повышение 16.08.23 - 5%]]</f>
        <v>78695.347500000018</v>
      </c>
      <c r="AU250" s="93">
        <f>ППД5[[#This Row],[Фикс 16.08.23]]*3%</f>
        <v>2360.8604250000003</v>
      </c>
      <c r="AV250" s="93">
        <f>ППД5[[#This Row],[Фикс 16.08.23]]+ППД5[[#This Row],[Повышение 29.08.23 - 3%]]</f>
        <v>81056.207925000024</v>
      </c>
      <c r="AW250" s="93"/>
      <c r="AX250" s="93">
        <f>ППД5[[#This Row],[Фикс 29.08.23]]+ППД5[[#This Row],[Повышение 06.09.23 СТ и 1К]]</f>
        <v>81056.207925000024</v>
      </c>
      <c r="AY250" s="93"/>
      <c r="AZ250" s="93">
        <f>ППД5[[#This Row],[Повышение 23.10.23  В4 ]]+ППД5[[#This Row],[Фикс 06.09.23]]</f>
        <v>81056.207925000024</v>
      </c>
      <c r="BA250" s="93"/>
      <c r="BB250" s="93">
        <f>ППД5[[#This Row],[Повышение 8.11.23 1К 5%]]+ППД5[[#This Row],[Фикс 23.10.23]]</f>
        <v>81056.207925000024</v>
      </c>
      <c r="BC250" s="93"/>
      <c r="BD250" s="93">
        <f>ППД5[[#This Row],[Корректировка 24.11.23 - 1К В5, 2К А2, №233]]+ППД5[[#This Row],[Фикс 8.11.23]]</f>
        <v>81056.207925000024</v>
      </c>
      <c r="BE250" s="93">
        <f>ППД5[[#This Row],[Фикс 8.11.24]]*1%</f>
        <v>810.56207925000024</v>
      </c>
      <c r="BF250" s="93">
        <f>ППД5[[#This Row],[Наценка за отделку 29.12.23 1%]]+ППД5[[#This Row],[Фикс 8.11.24]]</f>
        <v>81866.770004250022</v>
      </c>
      <c r="BG250" s="93">
        <f>ППД5[[#This Row],[Фикс 29.12.23]]*5%</f>
        <v>4093.3385002125015</v>
      </c>
      <c r="BH250" s="93">
        <f>ППД5[[#This Row],[Фикс 29.12.23]]+ППД5[[#This Row],[Наценка 10.01.24 5%]]</f>
        <v>85960.108504462522</v>
      </c>
      <c r="BI250" s="93"/>
      <c r="BJ250" s="93">
        <f>ППД5[[#This Row],[Наценка 26.02.24 1 Этаж]]+ППД5[[#This Row],[Фикс 10.01.24]]</f>
        <v>85960.108504462522</v>
      </c>
      <c r="BK250" s="93">
        <f>ППД5[[#This Row],[Фикс 26.02.24]]*2%</f>
        <v>1719.2021700892506</v>
      </c>
      <c r="BL250" s="93">
        <f>ППД5[[#This Row],[Фикс 26.02.24]]+ППД5[[#This Row],[Наценка 06.03.24
СТ, 1К - 3%
2К, 3К - 2%]]</f>
        <v>87679.310674551773</v>
      </c>
      <c r="BM250" s="93"/>
      <c r="BN250" s="93">
        <f>ППД5[[#This Row],[Фикс 06.03.24]]+ППД5[[#This Row],[Наценка Г2+500]]</f>
        <v>87679.310674551773</v>
      </c>
      <c r="BO250" s="93">
        <f>ППД5[[#This Row],[Фикс 13.03.25]]*2%</f>
        <v>1753.5862134910356</v>
      </c>
      <c r="BP250" s="93">
        <f>ППД5[[#This Row],[Фикс 13.03.25]]+ППД5[[#This Row],[Наценка 20.03.24
2К, 3К - 2%]]</f>
        <v>89432.896888042815</v>
      </c>
      <c r="BQ250" s="93"/>
      <c r="BR250" s="93">
        <f>ППД5[[#This Row],[Фикс 20.03.24]]+ППД5[[#This Row],[Наценка 08.04.24 
2К: В3 - 150
3К: Г7 +1000]]</f>
        <v>89432.896888042815</v>
      </c>
      <c r="BS250" s="93">
        <f>ППД5[[#This Row],[Фикс 08.04.24]]*1%</f>
        <v>894.32896888042819</v>
      </c>
      <c r="BT250" s="93">
        <f>ППД5[[#This Row],[Фикс 08.04.24]]+ППД5[[#This Row],[Наценка 16.05.24 1%
А4,А6,Б3,Б6,Б7,В2,В3,В5,В6,Г1,Г3-Г5]]</f>
        <v>90327.225856923236</v>
      </c>
      <c r="BU250" s="93"/>
      <c r="BV250" s="93">
        <f>ППД5[[#This Row],[Фикс 16.05.24]]+ППД5[[#This Row],[Наценка 24.05.24
1% - Б4, Б5,Г2,Г6
2% - А1,А3,А5,Б2,Г7]]</f>
        <v>90327.225856923236</v>
      </c>
      <c r="BW250" s="93">
        <f>ППД5[[#This Row],[Фикс 24.05.24]]*0.5%</f>
        <v>451.63612928461617</v>
      </c>
      <c r="BX250" s="93">
        <f>ППД5[[#This Row],[Наценка 06.06.24
0К: В2,Г3 +0,5%
1К: А7, Б5/4, Г6 +0,5%
3К: В6 +0,5%
1К: А3 +1%]]+ППД5[[#This Row],[Фикс 24.05.24]]</f>
        <v>90778.861986207849</v>
      </c>
      <c r="BY250" s="93">
        <f>ППД5[[#This Row],[Фикс 06.06.24]]*2%</f>
        <v>1815.5772397241569</v>
      </c>
      <c r="BZ250" s="93">
        <f>ППД5[[#This Row],[Фикс 06.06.24]]+ППД5[[#This Row],[13.06.2024
3К - 2%]]</f>
        <v>92594.439225932001</v>
      </c>
      <c r="CA250" s="93">
        <f>1.5%*ППД5[[#This Row],[Фикс 13.06.24]]</f>
        <v>1388.91658838898</v>
      </c>
      <c r="CB250" s="93">
        <f>ППД5[[#This Row],[02.07.2024: Г3 А1 А3 Б5 Б7 Г2 Г6 Б3 Б4 В3 Г7 2,5% ост 0,5-1,5%]]+ППД5[[#This Row],[Фикс 13.06.24]]</f>
        <v>93983.355814320981</v>
      </c>
      <c r="CC250" s="93"/>
      <c r="CD250" s="93">
        <f>ППД5[[#This Row],[Фикс 02.07.24]]+ППД5[[#This Row],[04.09.2024 +500
0К - Б2; 1К - А3;
2К - А6, Б4, В3, Г5]]</f>
        <v>93983.355814320981</v>
      </c>
      <c r="CE250" s="93">
        <f>ППД5[[#This Row],[Фикс 04.09.24]]*4%</f>
        <v>3759.3342325728395</v>
      </c>
      <c r="CF250" s="93">
        <f>ППД5[[#This Row],[Наценка 16.09.2024
1К: А1,В7,Г6/7,Г8 - 2%
2К: А4,А5,А6,Б1,Б6,Б3/4,В3,В4,Г4,Г5 - 4%
3К: 4%]]+ППД5[[#This Row],[Фикс 04.09.24]]</f>
        <v>97742.690046893826</v>
      </c>
      <c r="CG250" s="93">
        <f>ППД5[[#This Row],[Фикс 16.09.2024]]*5%</f>
        <v>4887.1345023446911</v>
      </c>
      <c r="CH250" s="93">
        <f>ППД5[[#This Row],[Фикс 16.09.2024]]+ППД5[[#This Row],[Наценка 01.11.24
СТ: 4%
1К: 34-40м 5%; 40м+ 8%; МГН 1%
2К: 55-70м 6%; 70-73м 7%; 73-76м 8% 
3К: 5%]]</f>
        <v>102629.82454923852</v>
      </c>
      <c r="CI250" s="93">
        <f>ППД5[[#This Row],[Фикс 01.11.24]]*13%</f>
        <v>13341.877191401009</v>
      </c>
      <c r="CJ250" s="93">
        <f>ППД5[[#This Row],[Наценка 06.11 13%]]+ППД5[[#This Row],[Фикс 01.11.24]]</f>
        <v>115971.70174063953</v>
      </c>
      <c r="CK250" s="93">
        <v>35</v>
      </c>
      <c r="CL250" s="93">
        <f>ППД5[[#This Row],[Фикс 06.11.24]]+ППД5[[#This Row],[Наценка 18.12.24 распределение КВ]]</f>
        <v>116006.70174063953</v>
      </c>
      <c r="CM250" s="93"/>
      <c r="CN250" s="93">
        <f>ППД5[[#This Row],[Фикс 18.12.24]]+ППД5[[#This Row],[Наценка 10.02.25 +1%
1К: А3
2К: Б3, В3]]</f>
        <v>116006.70174063953</v>
      </c>
      <c r="CO250" s="93">
        <f>ROUND(ППД5[[#This Row],[Фикс 10.02.25]],2)</f>
        <v>116006.7</v>
      </c>
      <c r="CP25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9393100</v>
      </c>
      <c r="CQ250" s="93">
        <f>ROUNDUP(ППД5[[#This Row],[Стоимость до скидки]]+ППД5[[#This Row],[Сумма доплаты]],-2)</f>
        <v>9332800</v>
      </c>
      <c r="CR250" s="68">
        <v>648340</v>
      </c>
      <c r="CS250" s="90"/>
      <c r="CT250" s="68">
        <f>ППД5[[#This Row],[Стоимость до скидки]]*ППД5[[#This Row],[Скидка %]]+ППД5[[#This Row],[Скидка фиксированная]]</f>
        <v>648340</v>
      </c>
      <c r="CU250" s="3">
        <f>ППД5[[#This Row],[Стоимость ОН без отделки со скидкой]]/ППД5[[#This Row],[Расчетная проектная площадь]]</f>
        <v>108000</v>
      </c>
      <c r="CV250" s="3">
        <f>ROUND(ППД5[[#This Row],[Стоимость до скидки]]-ППД5[[#This Row],[Итоговая сумма скидки]],2)</f>
        <v>8744760</v>
      </c>
      <c r="CW25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50" s="197">
        <v>25000</v>
      </c>
      <c r="CY250" s="332">
        <f>ППД5[[#This Row],[Расхождение]]/ППД5[[#This Row],[Расчетная проектная площадь]]</f>
        <v>-6.4221316536988522E-3</v>
      </c>
      <c r="CZ25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-0.3500000000000032</v>
      </c>
      <c r="DA250" s="3">
        <f>ППД5[[#This Row],[Цена м2 без отделки со скидкой]]+ППД5[[#This Row],[Стоимость отделки]]</f>
        <v>133000</v>
      </c>
      <c r="DB250" s="3">
        <f>ППД5[[#This Row],[Стоимость квартиры с отделкой]]-ППД5[[#This Row],[Стоимость ОН без отделки со скидкой]]</f>
        <v>2024250</v>
      </c>
      <c r="DC250" s="3">
        <f>ППД5[[#This Row],[Цена м2 с отделкой]]*ППД5[[#This Row],[Расчетная проектная площадь]]</f>
        <v>10769010</v>
      </c>
      <c r="DD250" s="3"/>
      <c r="DE250" s="111" t="s">
        <v>2199</v>
      </c>
      <c r="DF250" s="199" t="s">
        <v>172</v>
      </c>
      <c r="DG250" s="245" t="s">
        <v>172</v>
      </c>
      <c r="DH250" s="100" t="b">
        <f>EXACT(ППД5[[#This Row],[Статусы CRM]],ППД5[[#This Row],[Статус]])</f>
        <v>1</v>
      </c>
      <c r="DI250" s="213" t="s">
        <v>422</v>
      </c>
      <c r="DJ250" s="204"/>
      <c r="DK250" s="111" t="s">
        <v>763</v>
      </c>
      <c r="DL250" s="216" t="s">
        <v>14</v>
      </c>
      <c r="DM250" s="201" t="b">
        <f>ППД5[[#This Row],[Отделка CRM]]=ППД5[[#This Row],[Отделка]]</f>
        <v>1</v>
      </c>
      <c r="DN250" s="203">
        <v>10769010</v>
      </c>
      <c r="DO25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50" s="207" t="b">
        <f>IF(AND(ППД5[[#This Row],[Статус]]="свободно",ППД5[[#This Row],[Итоговая сумма скидки]]&lt;&gt;0),FALSE,TRUE)</f>
        <v>1</v>
      </c>
      <c r="DQ250" s="240" t="str">
        <f>_xlfn.XLOOKUP(ППД5[[#This Row],[№]],Юрист[№ кв],Юрист[Дата подачи на регистрацию]," ",0,-1)</f>
        <v xml:space="preserve"> </v>
      </c>
      <c r="DR250" s="115" t="str">
        <f>_xlfn.XLOOKUP(ППД5[[#This Row],[№]],Юрист[№ кв],Юрист[МОП],"",0,-1)</f>
        <v/>
      </c>
      <c r="DS250" s="333" t="s">
        <v>2792</v>
      </c>
      <c r="DT250" s="333" t="s">
        <v>2793</v>
      </c>
      <c r="DU250" s="333">
        <v>77.7</v>
      </c>
      <c r="DV250" s="111"/>
    </row>
    <row r="251" spans="1:126" hidden="1" x14ac:dyDescent="0.25">
      <c r="A251" s="112">
        <v>249</v>
      </c>
      <c r="B251" s="111" t="s">
        <v>3</v>
      </c>
      <c r="C251" s="111">
        <v>4</v>
      </c>
      <c r="D251" s="111">
        <v>7</v>
      </c>
      <c r="E251" s="111">
        <v>1</v>
      </c>
      <c r="F251" s="105">
        <v>14.3</v>
      </c>
      <c r="G251" s="105"/>
      <c r="H251" s="105"/>
      <c r="I251" s="94">
        <f>SUM(ППД5[[#This Row],[Комната 1]:[Комната 3]])</f>
        <v>14.3</v>
      </c>
      <c r="J251" s="105">
        <v>9.2799999999999994</v>
      </c>
      <c r="K251" s="105">
        <v>3.79</v>
      </c>
      <c r="L251" s="105"/>
      <c r="M251" s="105"/>
      <c r="N251" s="105">
        <v>6.08</v>
      </c>
      <c r="O251" s="105">
        <v>2.71</v>
      </c>
      <c r="P251" s="105"/>
      <c r="Q251" s="105"/>
      <c r="R251" s="105">
        <f>SUM(ППД5[[#This Row],[Лоджия 1]:[Лоджия 3]])</f>
        <v>2.71</v>
      </c>
      <c r="S251" s="8">
        <f>ROUND(SUM(ППД5[[#This Row],[Площадь по проекту жилая]:[Лоджия 3]]),2)</f>
        <v>36.159999999999997</v>
      </c>
      <c r="T251" s="8">
        <f>ROUND(ППД5[[#This Row],[Площадь по проекту(общая)]]-ППД5[[#This Row],[Летние]],2)</f>
        <v>33.450000000000003</v>
      </c>
      <c r="U251" s="91">
        <f>ROUND(ППД5[[#This Row],[Площадь по проекту(общая)]]-(SUM(ППД5[[#This Row],[Лоджия 1]:[Лоджия 3]])/2),2)</f>
        <v>34.81</v>
      </c>
      <c r="V251" s="91">
        <f>IF(ППД5[[#This Row],[Статус]]="продажа",ППД5[[#This Row],[Расчетная проектная площадь]],ППД5[[#This Row],[Расчетная ТП площадь]])</f>
        <v>34.81</v>
      </c>
      <c r="W251" s="91">
        <v>14.2</v>
      </c>
      <c r="X251" s="91"/>
      <c r="Y251" s="91"/>
      <c r="Z251" s="91">
        <f>SUM(ППД5[[#This Row],[ТП Комната 1]:[ТП Комната 3]])</f>
        <v>14.2</v>
      </c>
      <c r="AA251" s="91">
        <v>9.1999999999999993</v>
      </c>
      <c r="AB251" s="91">
        <v>3.7</v>
      </c>
      <c r="AC251" s="91"/>
      <c r="AD251" s="91"/>
      <c r="AE251" s="91">
        <v>6.2</v>
      </c>
      <c r="AF251" s="91">
        <v>1.3</v>
      </c>
      <c r="AG251" s="91"/>
      <c r="AH251" s="91"/>
      <c r="AI251" s="91">
        <f>SUM(ППД5[[#This Row],[ТП Лоджия 1]:[ТП Лоджия 3]])</f>
        <v>1.3</v>
      </c>
      <c r="AJ251" s="95">
        <v>2.6</v>
      </c>
      <c r="AK251" s="91">
        <f>SUM(ППД5[[#This Row],[Площадь по ТП жилая]:[ТП Лоджия 3]])-ППД5[[#This Row],[ТП Летние]]+ППД5[[#This Row],[кроме того прочая
(без коэффициента)]]</f>
        <v>35.9</v>
      </c>
      <c r="AL251" s="95">
        <f>ППД5[[#This Row],[ТП Площадь без летних]]+(ППД5[[#This Row],[ТП Летние]])</f>
        <v>34.599999999999994</v>
      </c>
      <c r="AM251" s="91">
        <f>ППД5[[#This Row],[ТП общая S]]-ППД5[[#This Row],[кроме того прочая
(без коэффициента)]]</f>
        <v>33.299999999999997</v>
      </c>
      <c r="AN251" s="95">
        <f>SUM(ППД5[[#This Row],[ТП Кухня]:[ТП Коридор]])</f>
        <v>19.099999999999998</v>
      </c>
      <c r="AO251" s="91">
        <f>ППД5[[#This Row],[Расчетная ТП площадь]]-ППД5[[#This Row],[Расчетная проектная площадь]]</f>
        <v>-0.21000000000000796</v>
      </c>
      <c r="AP251" s="335">
        <f>ППД5[[#This Row],[Расчетная ТП площадь]]/ППД5[[#This Row],[Расчетная проектная площадь]]-1</f>
        <v>-6.0327492099973012E-3</v>
      </c>
      <c r="AQ251" s="91">
        <f>ППД5[[#This Row],[% расхождения]]*ППД5[[#This Row],[Стоимость до скидки]]</f>
        <v>-25652.456190750523</v>
      </c>
      <c r="AR251" s="91">
        <f>VLOOKUP(ППД5[[#This Row],[№]],наценкад5[],COLUMN(наценкад5[[#This Row],[Цена м2 с учетом всех K]]),0)</f>
        <v>86384.8125</v>
      </c>
      <c r="AS251" s="8">
        <f>ППД5[[#This Row],[м2 после К]]*5%</f>
        <v>4319.2406250000004</v>
      </c>
      <c r="AT251" s="8">
        <f>ППД5[[#This Row],[м2 после К]]+ППД5[[#This Row],[Повышение 16.08.23 - 5%]]</f>
        <v>90704.053125000006</v>
      </c>
      <c r="AU251" s="93">
        <f>ППД5[[#This Row],[Фикс 16.08.23]]*3%</f>
        <v>2721.1215937500001</v>
      </c>
      <c r="AV251" s="93">
        <f>ППД5[[#This Row],[Фикс 16.08.23]]+ППД5[[#This Row],[Повышение 29.08.23 - 3%]]</f>
        <v>93425.17471875</v>
      </c>
      <c r="AW251" s="93">
        <f>ППД5[[#This Row],[Фикс 29.08.23]]*14%</f>
        <v>13079.524460625002</v>
      </c>
      <c r="AX251" s="93">
        <f>ППД5[[#This Row],[Фикс 29.08.23]]+ППД5[[#This Row],[Повышение 06.09.23 СТ и 1К]]</f>
        <v>106504.69917937501</v>
      </c>
      <c r="AY251" s="93"/>
      <c r="AZ251" s="93">
        <f>ППД5[[#This Row],[Повышение 23.10.23  В4 ]]+ППД5[[#This Row],[Фикс 06.09.23]]</f>
        <v>106504.69917937501</v>
      </c>
      <c r="BA251" s="93">
        <f>ППД5[[#This Row],[Фикс 23.10.23]]*5%</f>
        <v>5325.234958968751</v>
      </c>
      <c r="BB251" s="93">
        <f>ППД5[[#This Row],[Повышение 8.11.23 1К 5%]]+ППД5[[#This Row],[Фикс 23.10.23]]</f>
        <v>111829.93413834376</v>
      </c>
      <c r="BC251" s="93"/>
      <c r="BD251" s="93">
        <f>ППД5[[#This Row],[Корректировка 24.11.23 - 1К В5, 2К А2, №233]]+ППД5[[#This Row],[Фикс 8.11.23]]</f>
        <v>111829.93413834376</v>
      </c>
      <c r="BE251" s="93">
        <f>ППД5[[#This Row],[Фикс 8.11.24]]*1%</f>
        <v>1118.2993413834376</v>
      </c>
      <c r="BF251" s="93">
        <f>ППД5[[#This Row],[Наценка за отделку 29.12.23 1%]]+ППД5[[#This Row],[Фикс 8.11.24]]</f>
        <v>112948.23347972719</v>
      </c>
      <c r="BG251" s="93">
        <f>ППД5[[#This Row],[Фикс 29.12.23]]*5%</f>
        <v>5647.4116739863603</v>
      </c>
      <c r="BH251" s="93">
        <f>ППД5[[#This Row],[Фикс 29.12.23]]+ППД5[[#This Row],[Наценка 10.01.24 5%]]</f>
        <v>118595.64515371356</v>
      </c>
      <c r="BI251" s="93"/>
      <c r="BJ251" s="93">
        <f>ППД5[[#This Row],[Наценка 26.02.24 1 Этаж]]+ППД5[[#This Row],[Фикс 10.01.24]]</f>
        <v>118595.64515371356</v>
      </c>
      <c r="BK251" s="93">
        <f>ППД5[[#This Row],[Фикс 26.02.24]]*3%</f>
        <v>3557.8693546114068</v>
      </c>
      <c r="BL251" s="93">
        <f>ППД5[[#This Row],[Фикс 26.02.24]]+ППД5[[#This Row],[Наценка 06.03.24
СТ, 1К - 3%
2К, 3К - 2%]]</f>
        <v>122153.51450832497</v>
      </c>
      <c r="BM251" s="93"/>
      <c r="BN251" s="93">
        <f>ППД5[[#This Row],[Фикс 06.03.24]]+ППД5[[#This Row],[Наценка Г2+500]]</f>
        <v>122153.51450832497</v>
      </c>
      <c r="BO251" s="93"/>
      <c r="BP251" s="93">
        <f>ППД5[[#This Row],[Фикс 13.03.25]]+ППД5[[#This Row],[Наценка 20.03.24
2К, 3К - 2%]]</f>
        <v>122153.51450832497</v>
      </c>
      <c r="BQ251" s="93"/>
      <c r="BR251" s="93">
        <f>ППД5[[#This Row],[Фикс 20.03.24]]+ППД5[[#This Row],[Наценка 08.04.24 
2К: В3 - 150
3К: Г7 +1000]]</f>
        <v>122153.51450832497</v>
      </c>
      <c r="BS251" s="93"/>
      <c r="BT251" s="93">
        <f>ППД5[[#This Row],[Фикс 08.04.24]]+ППД5[[#This Row],[Наценка 16.05.24 1%
А4,А6,Б3,Б6,Б7,В2,В3,В5,В6,Г1,Г3-Г5]]</f>
        <v>122153.51450832497</v>
      </c>
      <c r="BU251" s="93"/>
      <c r="BV251" s="93">
        <f>ППД5[[#This Row],[Фикс 16.05.24]]+ППД5[[#This Row],[Наценка 24.05.24
1% - Б4, Б5,Г2,Г6
2% - А1,А3,А5,Б2,Г7]]</f>
        <v>122153.51450832497</v>
      </c>
      <c r="BW251" s="93"/>
      <c r="BX251" s="93">
        <f>ППД5[[#This Row],[Наценка 06.06.24
0К: В2,Г3 +0,5%
1К: А7, Б5/4, Г6 +0,5%
3К: В6 +0,5%
1К: А3 +1%]]+ППД5[[#This Row],[Фикс 24.05.24]]</f>
        <v>122153.51450832497</v>
      </c>
      <c r="BY251" s="93"/>
      <c r="BZ251" s="93">
        <f>ППД5[[#This Row],[Фикс 06.06.24]]+ППД5[[#This Row],[13.06.2024
3К - 2%]]</f>
        <v>122153.51450832497</v>
      </c>
      <c r="CA251" s="93"/>
      <c r="CB251" s="93">
        <f>ППД5[[#This Row],[02.07.2024: Г3 А1 А3 Б5 Б7 Г2 Г6 Б3 Б4 В3 Г7 2,5% ост 0,5-1,5%]]+ППД5[[#This Row],[Фикс 13.06.24]]</f>
        <v>122153.51450832497</v>
      </c>
      <c r="CC251" s="93"/>
      <c r="CD251" s="93">
        <f>ППД5[[#This Row],[Фикс 02.07.24]]+ППД5[[#This Row],[04.09.2024 +500
0К - Б2; 1К - А3;
2К - А6, Б4, В3, Г5]]</f>
        <v>122153.51450832497</v>
      </c>
      <c r="CE251" s="93"/>
      <c r="CF251" s="93">
        <f>ППД5[[#This Row],[Наценка 16.09.2024
1К: А1,В7,Г6/7,Г8 - 2%
2К: А4,А5,А6,Б1,Б6,Б3/4,В3,В4,Г4,Г5 - 4%
3К: 4%]]+ППД5[[#This Row],[Фикс 04.09.24]]</f>
        <v>122153.51450832497</v>
      </c>
      <c r="CG251" s="93"/>
      <c r="CH251" s="93">
        <f>ППД5[[#This Row],[Фикс 16.09.2024]]+ППД5[[#This Row],[Наценка 01.11.24
СТ: 4%
1К: 34-40м 5%; 40м+ 8%; МГН 1%
2К: 55-70м 6%; 70-73м 7%; 73-76м 8% 
3К: 5%]]</f>
        <v>122153.51450832497</v>
      </c>
      <c r="CI251" s="93"/>
      <c r="CJ251" s="93">
        <f>ППД5[[#This Row],[Наценка 06.11 13%]]+ППД5[[#This Row],[Фикс 01.11.24]]</f>
        <v>122153.51450832497</v>
      </c>
      <c r="CK251" s="93"/>
      <c r="CL251" s="93">
        <f>ППД5[[#This Row],[Фикс 06.11.24]]+ППД5[[#This Row],[Наценка 18.12.24 распределение КВ]]</f>
        <v>122153.51450832497</v>
      </c>
      <c r="CM251" s="93"/>
      <c r="CN251" s="93">
        <f>ППД5[[#This Row],[Фикс 18.12.24]]+ППД5[[#This Row],[Наценка 10.02.25 +1%
1К: А3
2К: Б3, В3]]</f>
        <v>122153.51450832497</v>
      </c>
      <c r="CO251" s="93">
        <f>ROUND(ППД5[[#This Row],[Фикс 10.02.25]],2)</f>
        <v>122153.51</v>
      </c>
      <c r="CP25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4252200</v>
      </c>
      <c r="CQ251" s="93">
        <f>ROUNDUP(ППД5[[#This Row],[Стоимость до скидки]]+ППД5[[#This Row],[Сумма доплаты]],-2)</f>
        <v>4226600</v>
      </c>
      <c r="CR251" s="68"/>
      <c r="CS251" s="90"/>
      <c r="CT251" s="68">
        <f>ППД5[[#This Row],[Стоимость до скидки]]*ППД5[[#This Row],[Скидка %]]+ППД5[[#This Row],[Скидка фиксированная]]</f>
        <v>0</v>
      </c>
      <c r="CU251" s="3">
        <f>ППД5[[#This Row],[Стоимость ОН без отделки со скидкой]]/ППД5[[#This Row],[Расчетная проектная площадь]]</f>
        <v>122154.55328928468</v>
      </c>
      <c r="CV251" s="3">
        <f>ROUND(ППД5[[#This Row],[Стоимость до скидки]]-ППД5[[#This Row],[Итоговая сумма скидки]],2)</f>
        <v>4252200</v>
      </c>
      <c r="CW25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51" s="197">
        <v>20000</v>
      </c>
      <c r="CY251" s="332">
        <f>ППД5[[#This Row],[Расхождение]]/ППД5[[#This Row],[Расчетная проектная площадь]]</f>
        <v>-6.0327492099973559E-3</v>
      </c>
      <c r="CZ25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-5.0000000000002487E-2</v>
      </c>
      <c r="DA251" s="3">
        <f>ППД5[[#This Row],[Цена м2 без отделки со скидкой]]+ППД5[[#This Row],[Стоимость отделки]]</f>
        <v>142154.5532892847</v>
      </c>
      <c r="DB251" s="3">
        <f>ППД5[[#This Row],[Стоимость квартиры с отделкой]]-ППД5[[#This Row],[Стоимость ОН без отделки со скидкой]]</f>
        <v>696200.00000000093</v>
      </c>
      <c r="DC251" s="3">
        <f>ППД5[[#This Row],[Цена м2 с отделкой]]*ППД5[[#This Row],[Расчетная проектная площадь]]</f>
        <v>4948400.0000000009</v>
      </c>
      <c r="DD251" s="3" t="s">
        <v>154</v>
      </c>
      <c r="DF251" s="199" t="s">
        <v>172</v>
      </c>
      <c r="DG251" s="245" t="s">
        <v>172</v>
      </c>
      <c r="DH251" s="100" t="b">
        <f>EXACT(ППД5[[#This Row],[Статусы CRM]],ППД5[[#This Row],[Статус]])</f>
        <v>1</v>
      </c>
      <c r="DI251" s="213" t="s">
        <v>423</v>
      </c>
      <c r="DJ251" s="204"/>
      <c r="DK251" s="111" t="s">
        <v>763</v>
      </c>
      <c r="DL251" s="216" t="s">
        <v>14</v>
      </c>
      <c r="DM251" s="201" t="b">
        <f>ППД5[[#This Row],[Отделка CRM]]=ППД5[[#This Row],[Отделка]]</f>
        <v>1</v>
      </c>
      <c r="DN251" s="203">
        <v>4948400</v>
      </c>
      <c r="DO25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-9.3132257461547852E-10</v>
      </c>
      <c r="DP251" s="207" t="b">
        <f>IF(AND(ППД5[[#This Row],[Статус]]="свободно",ППД5[[#This Row],[Итоговая сумма скидки]]&lt;&gt;0),FALSE,TRUE)</f>
        <v>1</v>
      </c>
      <c r="DQ251" s="240">
        <f>_xlfn.XLOOKUP(ППД5[[#This Row],[№]],Юрист[№ кв],Юрист[Дата подачи на регистрацию]," ",0,-1)</f>
        <v>45470</v>
      </c>
      <c r="DR251" s="115" t="str">
        <f>_xlfn.XLOOKUP(ППД5[[#This Row],[№]],Юрист[№ кв],Юрист[МОП],"",0,-1)</f>
        <v>Никишов</v>
      </c>
      <c r="DS251" s="333" t="s">
        <v>2794</v>
      </c>
      <c r="DT251" s="333" t="s">
        <v>2795</v>
      </c>
      <c r="DU251" s="333">
        <v>33.299999999999997</v>
      </c>
      <c r="DV251" s="111"/>
    </row>
    <row r="252" spans="1:126" hidden="1" x14ac:dyDescent="0.25">
      <c r="A252" s="112">
        <v>250</v>
      </c>
      <c r="B252" s="111" t="s">
        <v>3</v>
      </c>
      <c r="C252" s="111">
        <v>5</v>
      </c>
      <c r="D252" s="338">
        <v>1</v>
      </c>
      <c r="E252" s="111">
        <v>2</v>
      </c>
      <c r="F252" s="105">
        <v>17.63</v>
      </c>
      <c r="G252" s="105">
        <v>13.69</v>
      </c>
      <c r="H252" s="105"/>
      <c r="I252" s="94">
        <f>SUM(ППД5[[#This Row],[Комната 1]:[Комната 3]])</f>
        <v>31.32</v>
      </c>
      <c r="J252" s="105">
        <v>20.05</v>
      </c>
      <c r="K252" s="105">
        <v>3.54</v>
      </c>
      <c r="L252" s="105">
        <v>2.93</v>
      </c>
      <c r="M252" s="105"/>
      <c r="N252" s="105">
        <v>12.19</v>
      </c>
      <c r="O252" s="105">
        <v>4.6500000000000004</v>
      </c>
      <c r="P252" s="105">
        <v>2.68</v>
      </c>
      <c r="Q252" s="105"/>
      <c r="R252" s="105">
        <f>SUM(ППД5[[#This Row],[Лоджия 1]:[Лоджия 3]])</f>
        <v>7.33</v>
      </c>
      <c r="S252" s="8">
        <f>ROUND(SUM(ППД5[[#This Row],[Площадь по проекту жилая]:[Лоджия 3]]),2)</f>
        <v>77.36</v>
      </c>
      <c r="T252" s="8">
        <f>ROUND(ППД5[[#This Row],[Площадь по проекту(общая)]]-ППД5[[#This Row],[Летние]],2)</f>
        <v>70.03</v>
      </c>
      <c r="U252" s="91">
        <f>ROUND(ППД5[[#This Row],[Площадь по проекту(общая)]]-(SUM(ППД5[[#This Row],[Лоджия 1]:[Лоджия 3]])/2),2)</f>
        <v>73.7</v>
      </c>
      <c r="V252" s="91">
        <f>IF(ППД5[[#This Row],[Статус]]="продажа",ППД5[[#This Row],[Расчетная проектная площадь]],ППД5[[#This Row],[Расчетная ТП площадь]])</f>
        <v>73.7</v>
      </c>
      <c r="W252" s="91">
        <v>17.600000000000001</v>
      </c>
      <c r="X252" s="91">
        <v>13.6</v>
      </c>
      <c r="Y252" s="91"/>
      <c r="Z252" s="91">
        <f>SUM(ППД5[[#This Row],[ТП Комната 1]:[ТП Комната 3]])</f>
        <v>31.200000000000003</v>
      </c>
      <c r="AA252" s="91">
        <v>20</v>
      </c>
      <c r="AB252" s="91">
        <v>3.5</v>
      </c>
      <c r="AC252" s="91">
        <v>2.9</v>
      </c>
      <c r="AD252" s="91"/>
      <c r="AE252" s="91">
        <v>12.1</v>
      </c>
      <c r="AF252" s="91">
        <v>1.35</v>
      </c>
      <c r="AG252" s="91">
        <v>2.2999999999999998</v>
      </c>
      <c r="AH252" s="91"/>
      <c r="AI252" s="91">
        <f>SUM(ППД5[[#This Row],[ТП Лоджия 1]:[ТП Лоджия 3]])</f>
        <v>3.65</v>
      </c>
      <c r="AJ252" s="95">
        <v>7.3</v>
      </c>
      <c r="AK252" s="91">
        <f>SUM(ППД5[[#This Row],[Площадь по ТП жилая]:[ТП Лоджия 3]])-ППД5[[#This Row],[ТП Летние]]+ППД5[[#This Row],[кроме того прочая
(без коэффициента)]]</f>
        <v>76.999999999999986</v>
      </c>
      <c r="AL252" s="95">
        <f>ППД5[[#This Row],[ТП Площадь без летних]]+(ППД5[[#This Row],[ТП Летние]])</f>
        <v>73.349999999999994</v>
      </c>
      <c r="AM252" s="91">
        <f>ППД5[[#This Row],[ТП общая S]]-ППД5[[#This Row],[кроме того прочая
(без коэффициента)]]</f>
        <v>69.699999999999989</v>
      </c>
      <c r="AN252" s="95">
        <f>SUM(ППД5[[#This Row],[ТП Кухня]:[ТП Коридор]])</f>
        <v>38.5</v>
      </c>
      <c r="AO252" s="91">
        <f>ППД5[[#This Row],[Расчетная ТП площадь]]-ППД5[[#This Row],[Расчетная проектная площадь]]</f>
        <v>-0.35000000000000853</v>
      </c>
      <c r="AP252" s="335">
        <f>ППД5[[#This Row],[Расчетная ТП площадь]]/ППД5[[#This Row],[Расчетная проектная площадь]]-1</f>
        <v>-4.7489823609228043E-3</v>
      </c>
      <c r="AQ252" s="91">
        <f>ППД5[[#This Row],[% расхождения]]*ППД5[[#This Row],[Стоимость до скидки]]</f>
        <v>-35704.748982362013</v>
      </c>
      <c r="AR252" s="91">
        <f>VLOOKUP(ППД5[[#This Row],[№]],наценкад5[],COLUMN(наценкад5[[#This Row],[Цена м2 с учетом всех K]]),0)</f>
        <v>78763.482000000004</v>
      </c>
      <c r="AS252" s="8">
        <f>ППД5[[#This Row],[м2 после К]]*5%</f>
        <v>3938.1741000000002</v>
      </c>
      <c r="AT252" s="8">
        <f>ППД5[[#This Row],[м2 после К]]+ППД5[[#This Row],[Повышение 16.08.23 - 5%]]</f>
        <v>82701.656100000007</v>
      </c>
      <c r="AU252" s="93">
        <f>ППД5[[#This Row],[Фикс 16.08.23]]*3%</f>
        <v>2481.0496830000002</v>
      </c>
      <c r="AV252" s="93">
        <f>ППД5[[#This Row],[Фикс 16.08.23]]+ППД5[[#This Row],[Повышение 29.08.23 - 3%]]</f>
        <v>85182.705783000012</v>
      </c>
      <c r="AW252" s="93"/>
      <c r="AX252" s="93">
        <f>ППД5[[#This Row],[Фикс 29.08.23]]+ППД5[[#This Row],[Повышение 06.09.23 СТ и 1К]]</f>
        <v>85182.705783000012</v>
      </c>
      <c r="AY252" s="93"/>
      <c r="AZ252" s="93">
        <f>ППД5[[#This Row],[Повышение 23.10.23  В4 ]]+ППД5[[#This Row],[Фикс 06.09.23]]</f>
        <v>85182.705783000012</v>
      </c>
      <c r="BA252" s="93"/>
      <c r="BB252" s="93">
        <f>ППД5[[#This Row],[Повышение 8.11.23 1К 5%]]+ППД5[[#This Row],[Фикс 23.10.23]]</f>
        <v>85182.705783000012</v>
      </c>
      <c r="BC252" s="93"/>
      <c r="BD252" s="93">
        <f>ППД5[[#This Row],[Корректировка 24.11.23 - 1К В5, 2К А2, №233]]+ППД5[[#This Row],[Фикс 8.11.23]]</f>
        <v>85182.705783000012</v>
      </c>
      <c r="BE252" s="93">
        <f>ППД5[[#This Row],[Фикс 8.11.24]]*1%</f>
        <v>851.82705783000017</v>
      </c>
      <c r="BF252" s="93">
        <f>ППД5[[#This Row],[Наценка за отделку 29.12.23 1%]]+ППД5[[#This Row],[Фикс 8.11.24]]</f>
        <v>86034.532840830012</v>
      </c>
      <c r="BG252" s="93">
        <f>ППД5[[#This Row],[Фикс 29.12.23]]*5%</f>
        <v>4301.7266420415008</v>
      </c>
      <c r="BH252" s="93">
        <f>ППД5[[#This Row],[Фикс 29.12.23]]+ППД5[[#This Row],[Наценка 10.01.24 5%]]</f>
        <v>90336.259482871508</v>
      </c>
      <c r="BI252" s="93"/>
      <c r="BJ252" s="93">
        <f>ППД5[[#This Row],[Наценка 26.02.24 1 Этаж]]+ППД5[[#This Row],[Фикс 10.01.24]]</f>
        <v>90336.259482871508</v>
      </c>
      <c r="BK252" s="93">
        <f>ППД5[[#This Row],[Фикс 26.02.24]]*2%</f>
        <v>1806.7251896574303</v>
      </c>
      <c r="BL252" s="93">
        <f>ППД5[[#This Row],[Фикс 26.02.24]]+ППД5[[#This Row],[Наценка 06.03.24
СТ, 1К - 3%
2К, 3К - 2%]]</f>
        <v>92142.984672528939</v>
      </c>
      <c r="BM252" s="93"/>
      <c r="BN252" s="93">
        <f>ППД5[[#This Row],[Фикс 06.03.24]]+ППД5[[#This Row],[Наценка Г2+500]]</f>
        <v>92142.984672528939</v>
      </c>
      <c r="BO252" s="93">
        <f>ППД5[[#This Row],[Фикс 13.03.25]]*2%</f>
        <v>1842.8596934505788</v>
      </c>
      <c r="BP252" s="93">
        <f>ППД5[[#This Row],[Фикс 13.03.25]]+ППД5[[#This Row],[Наценка 20.03.24
2К, 3К - 2%]]</f>
        <v>93985.844365979516</v>
      </c>
      <c r="BQ252" s="93"/>
      <c r="BR252" s="93">
        <f>ППД5[[#This Row],[Фикс 20.03.24]]+ППД5[[#This Row],[Наценка 08.04.24 
2К: В3 - 150
3К: Г7 +1000]]</f>
        <v>93985.844365979516</v>
      </c>
      <c r="BS252" s="93"/>
      <c r="BT252" s="93">
        <f>ППД5[[#This Row],[Фикс 08.04.24]]+ППД5[[#This Row],[Наценка 16.05.24 1%
А4,А6,Б3,Б6,Б7,В2,В3,В5,В6,Г1,Г3-Г5]]</f>
        <v>93985.844365979516</v>
      </c>
      <c r="BU252" s="93"/>
      <c r="BV252" s="93">
        <f>ППД5[[#This Row],[Фикс 16.05.24]]+ППД5[[#This Row],[Наценка 24.05.24
1% - Б4, Б5,Г2,Г6
2% - А1,А3,А5,Б2,Г7]]</f>
        <v>93985.844365979516</v>
      </c>
      <c r="BW252" s="93"/>
      <c r="BX252" s="93">
        <f>ППД5[[#This Row],[Наценка 06.06.24
0К: В2,Г3 +0,5%
1К: А7, Б5/4, Г6 +0,5%
3К: В6 +0,5%
1К: А3 +1%]]+ППД5[[#This Row],[Фикс 24.05.24]]</f>
        <v>93985.844365979516</v>
      </c>
      <c r="BY252" s="93"/>
      <c r="BZ252" s="93">
        <f>ППД5[[#This Row],[Фикс 06.06.24]]+ППД5[[#This Row],[13.06.2024
3К - 2%]]</f>
        <v>93985.844365979516</v>
      </c>
      <c r="CA252" s="93">
        <f>0.5%*ППД5[[#This Row],[Фикс 13.06.24]]</f>
        <v>469.92922182989759</v>
      </c>
      <c r="CB252" s="93">
        <f>ППД5[[#This Row],[02.07.2024: Г3 А1 А3 Б5 Б7 Г2 Г6 Б3 Б4 В3 Г7 2,5% ост 0,5-1,5%]]+ППД5[[#This Row],[Фикс 13.06.24]]</f>
        <v>94455.77358780941</v>
      </c>
      <c r="CC252" s="93"/>
      <c r="CD252" s="93">
        <f>ППД5[[#This Row],[Фикс 02.07.24]]+ППД5[[#This Row],[04.09.2024 +500
0К - Б2; 1К - А3;
2К - А6, Б4, В3, Г5]]</f>
        <v>94455.77358780941</v>
      </c>
      <c r="CE252" s="93"/>
      <c r="CF252" s="93">
        <f>ППД5[[#This Row],[Наценка 16.09.2024
1К: А1,В7,Г6/7,Г8 - 2%
2К: А4,А5,А6,Б1,Б6,Б3/4,В3,В4,Г4,Г5 - 4%
3К: 4%]]+ППД5[[#This Row],[Фикс 04.09.24]]</f>
        <v>94455.77358780941</v>
      </c>
      <c r="CG252" s="93">
        <f>ППД5[[#This Row],[Фикс 16.09.2024]]*8%</f>
        <v>7556.4618870247532</v>
      </c>
      <c r="CH252" s="93">
        <f>ППД5[[#This Row],[Фикс 16.09.2024]]+ППД5[[#This Row],[Наценка 01.11.24
СТ: 4%
1К: 34-40м 5%; 40м+ 8%; МГН 1%
2К: 55-70м 6%; 70-73м 7%; 73-76м 8% 
3К: 5%]]</f>
        <v>102012.23547483416</v>
      </c>
      <c r="CI252" s="93"/>
      <c r="CJ252" s="93">
        <f>ППД5[[#This Row],[Наценка 06.11 13%]]+ППД5[[#This Row],[Фикс 01.11.24]]</f>
        <v>102012.23547483416</v>
      </c>
      <c r="CK252" s="93"/>
      <c r="CL252" s="93">
        <f>ППД5[[#This Row],[Фикс 06.11.24]]+ППД5[[#This Row],[Наценка 18.12.24 распределение КВ]]</f>
        <v>102012.23547483416</v>
      </c>
      <c r="CM252" s="93"/>
      <c r="CN252" s="93">
        <f>ППД5[[#This Row],[Фикс 18.12.24]]+ППД5[[#This Row],[Наценка 10.02.25 +1%
1К: А3
2К: Б3, В3]]</f>
        <v>102012.23547483416</v>
      </c>
      <c r="CO252" s="93">
        <f>ROUND(ППД5[[#This Row],[Фикс 10.02.25]],2)</f>
        <v>102012.24</v>
      </c>
      <c r="CP25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7518400</v>
      </c>
      <c r="CQ252" s="93">
        <f>ROUNDUP(ППД5[[#This Row],[Стоимость до скидки]]+ППД5[[#This Row],[Сумма доплаты]],-2)</f>
        <v>7482700</v>
      </c>
      <c r="CR252" s="68"/>
      <c r="CS252" s="90"/>
      <c r="CT252" s="68">
        <f>ППД5[[#This Row],[Стоимость до скидки]]*ППД5[[#This Row],[Скидка %]]+ППД5[[#This Row],[Скидка фиксированная]]</f>
        <v>0</v>
      </c>
      <c r="CU252" s="3">
        <f>ППД5[[#This Row],[Стоимость ОН без отделки со скидкой]]/ППД5[[#This Row],[Расчетная проектная площадь]]</f>
        <v>102013.56852103121</v>
      </c>
      <c r="CV252" s="3">
        <f>ROUND(ППД5[[#This Row],[Стоимость до скидки]]-ППД5[[#This Row],[Итоговая сумма скидки]],2)</f>
        <v>7518400</v>
      </c>
      <c r="CW25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52" s="197"/>
      <c r="CY252" s="332">
        <f>ППД5[[#This Row],[Расхождение]]/ППД5[[#This Row],[Расчетная проектная площадь]]</f>
        <v>-4.7489823609227749E-3</v>
      </c>
      <c r="CZ25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-0.2099999999999973</v>
      </c>
      <c r="DA252" s="3">
        <f>ППД5[[#This Row],[Цена м2 без отделки со скидкой]]+ППД5[[#This Row],[Стоимость отделки]]</f>
        <v>102013.56852103121</v>
      </c>
      <c r="DB252" s="3">
        <f>ППД5[[#This Row],[Стоимость квартиры с отделкой]]-ППД5[[#This Row],[Стоимость ОН без отделки со скидкой]]</f>
        <v>0</v>
      </c>
      <c r="DC252" s="3">
        <f>ППД5[[#This Row],[Цена м2 с отделкой]]*ППД5[[#This Row],[Расчетная проектная площадь]]</f>
        <v>7518400</v>
      </c>
      <c r="DD252" s="3" t="s">
        <v>158</v>
      </c>
      <c r="DF252" s="215" t="s">
        <v>172</v>
      </c>
      <c r="DG252" s="245" t="s">
        <v>172</v>
      </c>
      <c r="DH252" s="100" t="b">
        <f>EXACT(ППД5[[#This Row],[Статусы CRM]],ППД5[[#This Row],[Статус]])</f>
        <v>1</v>
      </c>
      <c r="DI252" s="213" t="s">
        <v>424</v>
      </c>
      <c r="DJ252" s="204"/>
      <c r="DK252" s="111" t="s">
        <v>763</v>
      </c>
      <c r="DL252" s="216" t="s">
        <v>12</v>
      </c>
      <c r="DM252" s="201" t="b">
        <f>ППД5[[#This Row],[Отделка CRM]]=ППД5[[#This Row],[Отделка]]</f>
        <v>1</v>
      </c>
      <c r="DN252" s="203">
        <v>7518400</v>
      </c>
      <c r="DO25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52" s="207" t="b">
        <f>IF(AND(ППД5[[#This Row],[Статус]]="свободно",ППД5[[#This Row],[Итоговая сумма скидки]]&lt;&gt;0),FALSE,TRUE)</f>
        <v>1</v>
      </c>
      <c r="DQ252" s="240">
        <f>_xlfn.XLOOKUP(ППД5[[#This Row],[№]],Юрист[№ кв],Юрист[Дата подачи на регистрацию]," ",0,-1)</f>
        <v>45625</v>
      </c>
      <c r="DR252" s="115" t="str">
        <f>_xlfn.XLOOKUP(ППД5[[#This Row],[№]],Юрист[№ кв],Юрист[МОП],"",0,-1)</f>
        <v>Дик</v>
      </c>
      <c r="DS252" s="333" t="s">
        <v>2796</v>
      </c>
      <c r="DT252" s="333" t="s">
        <v>2797</v>
      </c>
      <c r="DU252" s="333">
        <v>69.7</v>
      </c>
      <c r="DV252" s="111"/>
    </row>
    <row r="253" spans="1:126" hidden="1" x14ac:dyDescent="0.25">
      <c r="A253" s="112">
        <v>251</v>
      </c>
      <c r="B253" s="111" t="s">
        <v>3</v>
      </c>
      <c r="C253" s="111">
        <v>5</v>
      </c>
      <c r="D253" s="111">
        <v>2</v>
      </c>
      <c r="E253" s="111">
        <v>0</v>
      </c>
      <c r="F253" s="105">
        <v>7.18</v>
      </c>
      <c r="G253" s="105"/>
      <c r="H253" s="105"/>
      <c r="I253" s="94">
        <f>SUM(ППД5[[#This Row],[Комната 1]:[Комната 3]])</f>
        <v>7.18</v>
      </c>
      <c r="J253" s="105">
        <v>5.17</v>
      </c>
      <c r="K253" s="105">
        <v>3.72</v>
      </c>
      <c r="L253" s="105"/>
      <c r="M253" s="105"/>
      <c r="N253" s="105">
        <v>6.97</v>
      </c>
      <c r="O253" s="105">
        <v>2.97</v>
      </c>
      <c r="P253" s="105"/>
      <c r="Q253" s="105"/>
      <c r="R253" s="105">
        <f>SUM(ППД5[[#This Row],[Лоджия 1]:[Лоджия 3]])</f>
        <v>2.97</v>
      </c>
      <c r="S253" s="8">
        <f>ROUND(SUM(ППД5[[#This Row],[Площадь по проекту жилая]:[Лоджия 3]]),2)</f>
        <v>26.01</v>
      </c>
      <c r="T253" s="8">
        <f>ROUND(ППД5[[#This Row],[Площадь по проекту(общая)]]-ППД5[[#This Row],[Летние]],2)</f>
        <v>23.04</v>
      </c>
      <c r="U253" s="91">
        <f>ROUND(ППД5[[#This Row],[Площадь по проекту(общая)]]-(SUM(ППД5[[#This Row],[Лоджия 1]:[Лоджия 3]])/2),2)</f>
        <v>24.53</v>
      </c>
      <c r="V253" s="91">
        <f>IF(ППД5[[#This Row],[Статус]]="продажа",ППД5[[#This Row],[Расчетная проектная площадь]],ППД5[[#This Row],[Расчетная ТП площадь]])</f>
        <v>24.53</v>
      </c>
      <c r="W253" s="91">
        <v>7.2</v>
      </c>
      <c r="X253" s="91"/>
      <c r="Y253" s="91"/>
      <c r="Z253" s="91">
        <f>SUM(ППД5[[#This Row],[ТП Комната 1]:[ТП Комната 3]])</f>
        <v>7.2</v>
      </c>
      <c r="AA253" s="91">
        <v>5.0999999999999996</v>
      </c>
      <c r="AB253" s="91">
        <v>3.7</v>
      </c>
      <c r="AC253" s="91"/>
      <c r="AD253" s="91"/>
      <c r="AE253" s="91">
        <v>6.9</v>
      </c>
      <c r="AF253" s="91">
        <v>1.5</v>
      </c>
      <c r="AG253" s="91"/>
      <c r="AH253" s="91"/>
      <c r="AI253" s="91">
        <f>SUM(ППД5[[#This Row],[ТП Лоджия 1]:[ТП Лоджия 3]])</f>
        <v>1.5</v>
      </c>
      <c r="AJ253" s="95">
        <v>3</v>
      </c>
      <c r="AK253" s="91">
        <f>SUM(ППД5[[#This Row],[Площадь по ТП жилая]:[ТП Лоджия 3]])-ППД5[[#This Row],[ТП Летние]]+ППД5[[#This Row],[кроме того прочая
(без коэффициента)]]</f>
        <v>25.9</v>
      </c>
      <c r="AL253" s="95">
        <f>ППД5[[#This Row],[ТП Площадь без летних]]+(ППД5[[#This Row],[ТП Летние]])</f>
        <v>24.4</v>
      </c>
      <c r="AM253" s="91">
        <f>ППД5[[#This Row],[ТП общая S]]-ППД5[[#This Row],[кроме того прочая
(без коэффициента)]]</f>
        <v>22.9</v>
      </c>
      <c r="AN253" s="95">
        <f>SUM(ППД5[[#This Row],[ТП Кухня]:[ТП Коридор]])</f>
        <v>15.700000000000001</v>
      </c>
      <c r="AO253" s="91">
        <f>ППД5[[#This Row],[Расчетная ТП площадь]]-ППД5[[#This Row],[Расчетная проектная площадь]]</f>
        <v>-0.13000000000000256</v>
      </c>
      <c r="AP253" s="335">
        <f>ППД5[[#This Row],[Расчетная ТП площадь]]/ППД5[[#This Row],[Расчетная проектная площадь]]-1</f>
        <v>-5.2996331023238419E-3</v>
      </c>
      <c r="AQ253" s="91">
        <f>ППД5[[#This Row],[% расхождения]]*ППД5[[#This Row],[Стоимость до скидки]]</f>
        <v>-11843.722816959176</v>
      </c>
      <c r="AR253" s="91">
        <f>VLOOKUP(ППД5[[#This Row],[№]],наценкад5[],COLUMN(наценкад5[[#This Row],[Цена м2 с учетом всех K]]),0)</f>
        <v>91105.56</v>
      </c>
      <c r="AS253" s="8"/>
      <c r="AT253" s="8">
        <f>ППД5[[#This Row],[м2 после К]]+ППД5[[#This Row],[Повышение 16.08.23 - 5%]]</f>
        <v>91105.56</v>
      </c>
      <c r="AU253" s="93"/>
      <c r="AV253" s="93">
        <f>ППД5[[#This Row],[Фикс 16.08.23]]+ППД5[[#This Row],[Повышение 29.08.23 - 3%]]</f>
        <v>91105.56</v>
      </c>
      <c r="AW253" s="93"/>
      <c r="AX253" s="93">
        <f>ППД5[[#This Row],[Фикс 29.08.23]]+ППД5[[#This Row],[Повышение 06.09.23 СТ и 1К]]</f>
        <v>91105.56</v>
      </c>
      <c r="AY253" s="93"/>
      <c r="AZ253" s="93">
        <f>ППД5[[#This Row],[Повышение 23.10.23  В4 ]]+ППД5[[#This Row],[Фикс 06.09.23]]</f>
        <v>91105.56</v>
      </c>
      <c r="BA253" s="93"/>
      <c r="BB253" s="93">
        <f>ППД5[[#This Row],[Повышение 8.11.23 1К 5%]]+ППД5[[#This Row],[Фикс 23.10.23]]</f>
        <v>91105.56</v>
      </c>
      <c r="BC253" s="93"/>
      <c r="BD253" s="93">
        <f>ППД5[[#This Row],[Корректировка 24.11.23 - 1К В5, 2К А2, №233]]+ППД5[[#This Row],[Фикс 8.11.23]]</f>
        <v>91105.56</v>
      </c>
      <c r="BE253" s="93"/>
      <c r="BF253" s="93">
        <f>ППД5[[#This Row],[Наценка за отделку 29.12.23 1%]]+ППД5[[#This Row],[Фикс 8.11.24]]</f>
        <v>91105.56</v>
      </c>
      <c r="BG253" s="93"/>
      <c r="BH253" s="93">
        <f>ППД5[[#This Row],[Фикс 29.12.23]]+ППД5[[#This Row],[Наценка 10.01.24 5%]]</f>
        <v>91105.56</v>
      </c>
      <c r="BI253" s="93"/>
      <c r="BJ253" s="93">
        <f>ППД5[[#This Row],[Наценка 26.02.24 1 Этаж]]+ППД5[[#This Row],[Фикс 10.01.24]]</f>
        <v>91105.56</v>
      </c>
      <c r="BK253" s="93"/>
      <c r="BL253" s="93">
        <f>ППД5[[#This Row],[Фикс 26.02.24]]+ППД5[[#This Row],[Наценка 06.03.24
СТ, 1К - 3%
2К, 3К - 2%]]</f>
        <v>91105.56</v>
      </c>
      <c r="BM253" s="93"/>
      <c r="BN253" s="93">
        <f>ППД5[[#This Row],[Фикс 06.03.24]]+ППД5[[#This Row],[Наценка Г2+500]]</f>
        <v>91105.56</v>
      </c>
      <c r="BO253" s="93"/>
      <c r="BP253" s="93">
        <f>ППД5[[#This Row],[Фикс 13.03.25]]+ППД5[[#This Row],[Наценка 20.03.24
2К, 3К - 2%]]</f>
        <v>91105.56</v>
      </c>
      <c r="BQ253" s="93"/>
      <c r="BR253" s="93">
        <f>ППД5[[#This Row],[Фикс 20.03.24]]+ППД5[[#This Row],[Наценка 08.04.24 
2К: В3 - 150
3К: Г7 +1000]]</f>
        <v>91105.56</v>
      </c>
      <c r="BS253" s="93"/>
      <c r="BT253" s="93">
        <f>ППД5[[#This Row],[Фикс 08.04.24]]+ППД5[[#This Row],[Наценка 16.05.24 1%
А4,А6,Б3,Б6,Б7,В2,В3,В5,В6,Г1,Г3-Г5]]</f>
        <v>91105.56</v>
      </c>
      <c r="BU253" s="93"/>
      <c r="BV253" s="93">
        <f>ППД5[[#This Row],[Фикс 16.05.24]]+ППД5[[#This Row],[Наценка 24.05.24
1% - Б4, Б5,Г2,Г6
2% - А1,А3,А5,Б2,Г7]]</f>
        <v>91105.56</v>
      </c>
      <c r="BW253" s="93"/>
      <c r="BX253" s="93">
        <f>ППД5[[#This Row],[Наценка 06.06.24
0К: В2,Г3 +0,5%
1К: А7, Б5/4, Г6 +0,5%
3К: В6 +0,5%
1К: А3 +1%]]+ППД5[[#This Row],[Фикс 24.05.24]]</f>
        <v>91105.56</v>
      </c>
      <c r="BY253" s="93"/>
      <c r="BZ253" s="93">
        <f>ППД5[[#This Row],[Фикс 06.06.24]]+ППД5[[#This Row],[13.06.2024
3К - 2%]]</f>
        <v>91105.56</v>
      </c>
      <c r="CA253" s="93"/>
      <c r="CB253" s="93">
        <f>ППД5[[#This Row],[02.07.2024: Г3 А1 А3 Б5 Б7 Г2 Г6 Б3 Б4 В3 Г7 2,5% ост 0,5-1,5%]]+ППД5[[#This Row],[Фикс 13.06.24]]</f>
        <v>91105.56</v>
      </c>
      <c r="CC253" s="93"/>
      <c r="CD253" s="93">
        <f>ППД5[[#This Row],[Фикс 02.07.24]]+ППД5[[#This Row],[04.09.2024 +500
0К - Б2; 1К - А3;
2К - А6, Б4, В3, Г5]]</f>
        <v>91105.56</v>
      </c>
      <c r="CE253" s="93"/>
      <c r="CF253" s="93">
        <f>ППД5[[#This Row],[Наценка 16.09.2024
1К: А1,В7,Г6/7,Г8 - 2%
2К: А4,А5,А6,Б1,Б6,Б3/4,В3,В4,Г4,Г5 - 4%
3К: 4%]]+ППД5[[#This Row],[Фикс 04.09.24]]</f>
        <v>91105.56</v>
      </c>
      <c r="CG253" s="93"/>
      <c r="CH253" s="93">
        <f>ППД5[[#This Row],[Фикс 16.09.2024]]+ППД5[[#This Row],[Наценка 01.11.24
СТ: 4%
1К: 34-40м 5%; 40м+ 8%; МГН 1%
2К: 55-70м 6%; 70-73м 7%; 73-76м 8% 
3К: 5%]]</f>
        <v>91105.56</v>
      </c>
      <c r="CI253" s="93"/>
      <c r="CJ253" s="93">
        <f>ППД5[[#This Row],[Наценка 06.11 13%]]+ППД5[[#This Row],[Фикс 01.11.24]]</f>
        <v>91105.56</v>
      </c>
      <c r="CK253" s="93"/>
      <c r="CL253" s="93">
        <f>ППД5[[#This Row],[Фикс 06.11.24]]+ППД5[[#This Row],[Наценка 18.12.24 распределение КВ]]</f>
        <v>91105.56</v>
      </c>
      <c r="CM253" s="93"/>
      <c r="CN253" s="93">
        <f>ППД5[[#This Row],[Фикс 18.12.24]]+ППД5[[#This Row],[Наценка 10.02.25 +1%
1К: А3
2К: Б3, В3]]</f>
        <v>91105.56</v>
      </c>
      <c r="CO253" s="93">
        <f>ROUND(ППД5[[#This Row],[Фикс 10.02.25]],2)</f>
        <v>91105.56</v>
      </c>
      <c r="CP25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2234819.39</v>
      </c>
      <c r="CQ253" s="93">
        <f>ROUNDUP(ППД5[[#This Row],[Стоимость до скидки]]+ППД5[[#This Row],[Сумма доплаты]],-2)</f>
        <v>2223000</v>
      </c>
      <c r="CR253" s="68">
        <v>20000</v>
      </c>
      <c r="CS253" s="90"/>
      <c r="CT253" s="68">
        <f>ППД5[[#This Row],[Стоимость до скидки]]*ППД5[[#This Row],[Скидка %]]+ППД5[[#This Row],[Скидка фиксированная]]</f>
        <v>20000</v>
      </c>
      <c r="CU253" s="3">
        <f>ППД5[[#This Row],[Стоимость ОН без отделки со скидкой]]/ППД5[[#This Row],[Расчетная проектная площадь]]</f>
        <v>90290.231960864243</v>
      </c>
      <c r="CV253" s="3">
        <f>ROUND(ППД5[[#This Row],[Стоимость до скидки]]-ППД5[[#This Row],[Итоговая сумма скидки]],2)</f>
        <v>2214819.39</v>
      </c>
      <c r="CW25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53" s="197"/>
      <c r="CY253" s="332">
        <f>ППД5[[#This Row],[Расхождение]]/ППД5[[#This Row],[Расчетная проектная площадь]]</f>
        <v>-5.299633102323789E-3</v>
      </c>
      <c r="CZ25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-0.16000000000000014</v>
      </c>
      <c r="DA253" s="3">
        <f>ППД5[[#This Row],[Цена м2 без отделки со скидкой]]+ППД5[[#This Row],[Стоимость отделки]]</f>
        <v>90290.231960864243</v>
      </c>
      <c r="DB253" s="3">
        <f>ППД5[[#This Row],[Стоимость квартиры с отделкой]]-ППД5[[#This Row],[Стоимость ОН без отделки со скидкой]]</f>
        <v>0</v>
      </c>
      <c r="DC253" s="3">
        <f>ППД5[[#This Row],[Цена м2 с отделкой]]*ППД5[[#This Row],[Расчетная проектная площадь]]</f>
        <v>2214819.39</v>
      </c>
      <c r="DD253" s="3"/>
      <c r="DE253" s="111" t="s">
        <v>159</v>
      </c>
      <c r="DF253" s="199" t="s">
        <v>172</v>
      </c>
      <c r="DG253" s="245" t="s">
        <v>172</v>
      </c>
      <c r="DH253" s="100" t="b">
        <f>EXACT(ППД5[[#This Row],[Статусы CRM]],ППД5[[#This Row],[Статус]])</f>
        <v>1</v>
      </c>
      <c r="DI253" s="213" t="s">
        <v>425</v>
      </c>
      <c r="DJ253" s="204"/>
      <c r="DK253" s="111" t="s">
        <v>76</v>
      </c>
      <c r="DL253" s="216" t="s">
        <v>12</v>
      </c>
      <c r="DM253" s="201" t="b">
        <f>ППД5[[#This Row],[Отделка CRM]]=ППД5[[#This Row],[Отделка]]</f>
        <v>1</v>
      </c>
      <c r="DN253" s="203">
        <v>2214819.39</v>
      </c>
      <c r="DO25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53" s="207" t="b">
        <f>IF(AND(ППД5[[#This Row],[Статус]]="свободно",ППД5[[#This Row],[Итоговая сумма скидки]]&lt;&gt;0),FALSE,TRUE)</f>
        <v>1</v>
      </c>
      <c r="DQ253" s="240">
        <f>_xlfn.XLOOKUP(ППД5[[#This Row],[№]],Юрист[№ кв],Юрист[Дата подачи на регистрацию]," ",0,-1)</f>
        <v>45191</v>
      </c>
      <c r="DR253" s="115" t="str">
        <f>_xlfn.XLOOKUP(ППД5[[#This Row],[№]],Юрист[№ кв],Юрист[МОП],"",0,-1)</f>
        <v>Никишов</v>
      </c>
      <c r="DS253" s="333" t="s">
        <v>2798</v>
      </c>
      <c r="DT253" s="333" t="s">
        <v>2799</v>
      </c>
      <c r="DU253" s="333">
        <v>22.9</v>
      </c>
      <c r="DV253" s="111"/>
    </row>
    <row r="254" spans="1:126" hidden="1" x14ac:dyDescent="0.25">
      <c r="A254" s="112">
        <v>252</v>
      </c>
      <c r="B254" s="111" t="s">
        <v>3</v>
      </c>
      <c r="C254" s="111">
        <v>5</v>
      </c>
      <c r="D254" s="111">
        <v>3</v>
      </c>
      <c r="E254" s="111">
        <v>2</v>
      </c>
      <c r="F254" s="105">
        <v>13.69</v>
      </c>
      <c r="G254" s="105">
        <v>10.16</v>
      </c>
      <c r="H254" s="105"/>
      <c r="I254" s="94">
        <f>SUM(ППД5[[#This Row],[Комната 1]:[Комната 3]])</f>
        <v>23.85</v>
      </c>
      <c r="J254" s="105">
        <v>18.71</v>
      </c>
      <c r="K254" s="105">
        <v>3.49</v>
      </c>
      <c r="L254" s="105">
        <v>2.11</v>
      </c>
      <c r="M254" s="105"/>
      <c r="N254" s="105">
        <v>7.09</v>
      </c>
      <c r="O254" s="105">
        <v>2.65</v>
      </c>
      <c r="P254" s="105"/>
      <c r="Q254" s="105"/>
      <c r="R254" s="105">
        <f>SUM(ППД5[[#This Row],[Лоджия 1]:[Лоджия 3]])</f>
        <v>2.65</v>
      </c>
      <c r="S254" s="8">
        <f>ROUND(SUM(ППД5[[#This Row],[Площадь по проекту жилая]:[Лоджия 3]]),2)</f>
        <v>57.9</v>
      </c>
      <c r="T254" s="8">
        <f>ROUND(ППД5[[#This Row],[Площадь по проекту(общая)]]-ППД5[[#This Row],[Летние]],2)</f>
        <v>55.25</v>
      </c>
      <c r="U254" s="91">
        <f>ROUND(ППД5[[#This Row],[Площадь по проекту(общая)]]-(SUM(ППД5[[#This Row],[Лоджия 1]:[Лоджия 3]])/2),2)</f>
        <v>56.58</v>
      </c>
      <c r="V254" s="91">
        <f>IF(ППД5[[#This Row],[Статус]]="продажа",ППД5[[#This Row],[Расчетная проектная площадь]],ППД5[[#This Row],[Расчетная ТП площадь]])</f>
        <v>56.58</v>
      </c>
      <c r="W254" s="91">
        <v>13.5</v>
      </c>
      <c r="X254" s="91">
        <v>9.9</v>
      </c>
      <c r="Y254" s="91"/>
      <c r="Z254" s="91">
        <f>SUM(ППД5[[#This Row],[ТП Комната 1]:[ТП Комната 3]])</f>
        <v>23.4</v>
      </c>
      <c r="AA254" s="91">
        <v>18.8</v>
      </c>
      <c r="AB254" s="91">
        <v>3.6</v>
      </c>
      <c r="AC254" s="91">
        <v>2.1</v>
      </c>
      <c r="AD254" s="91"/>
      <c r="AE254" s="91">
        <v>7.2</v>
      </c>
      <c r="AF254" s="91">
        <v>1.35</v>
      </c>
      <c r="AG254" s="91"/>
      <c r="AH254" s="91"/>
      <c r="AI254" s="91">
        <f>SUM(ППД5[[#This Row],[ТП Лоджия 1]:[ТП Лоджия 3]])</f>
        <v>1.35</v>
      </c>
      <c r="AJ254" s="95">
        <v>2.7</v>
      </c>
      <c r="AK254" s="91">
        <f>SUM(ППД5[[#This Row],[Площадь по ТП жилая]:[ТП Лоджия 3]])-ППД5[[#This Row],[ТП Летние]]+ППД5[[#This Row],[кроме того прочая
(без коэффициента)]]</f>
        <v>57.800000000000011</v>
      </c>
      <c r="AL254" s="95">
        <f>ППД5[[#This Row],[ТП Площадь без летних]]+(ППД5[[#This Row],[ТП Летние]])</f>
        <v>56.45000000000001</v>
      </c>
      <c r="AM254" s="91">
        <f>ППД5[[#This Row],[ТП общая S]]-ППД5[[#This Row],[кроме того прочая
(без коэффициента)]]</f>
        <v>55.100000000000009</v>
      </c>
      <c r="AN254" s="95">
        <f>SUM(ППД5[[#This Row],[ТП Кухня]:[ТП Коридор]])</f>
        <v>31.700000000000003</v>
      </c>
      <c r="AO254" s="91">
        <f>ППД5[[#This Row],[Расчетная ТП площадь]]-ППД5[[#This Row],[Расчетная проектная площадь]]</f>
        <v>-0.12999999999998835</v>
      </c>
      <c r="AP254" s="335">
        <f>ППД5[[#This Row],[Расчетная ТП площадь]]/ППД5[[#This Row],[Расчетная проектная площадь]]-1</f>
        <v>-2.2976316719687251E-3</v>
      </c>
      <c r="AQ254" s="91">
        <f>ППД5[[#This Row],[% расхождения]]*ППД5[[#This Row],[Стоимость до скидки]]</f>
        <v>-12793.213149521862</v>
      </c>
      <c r="AR254" s="91">
        <f>VLOOKUP(ППД5[[#This Row],[№]],наценкад5[],COLUMN(наценкад5[[#This Row],[Цена м2 с учетом всех K]]),0)</f>
        <v>79535.67300000001</v>
      </c>
      <c r="AS254" s="8">
        <f>ППД5[[#This Row],[м2 после К]]*5%</f>
        <v>3976.7836500000008</v>
      </c>
      <c r="AT254" s="8">
        <f>ППД5[[#This Row],[м2 после К]]+ППД5[[#This Row],[Повышение 16.08.23 - 5%]]</f>
        <v>83512.456650000007</v>
      </c>
      <c r="AU254" s="93">
        <f>ППД5[[#This Row],[Фикс 16.08.23]]*3%</f>
        <v>2505.3736994999999</v>
      </c>
      <c r="AV254" s="93">
        <f>ППД5[[#This Row],[Фикс 16.08.23]]+ППД5[[#This Row],[Повышение 29.08.23 - 3%]]</f>
        <v>86017.8303495</v>
      </c>
      <c r="AW254" s="93"/>
      <c r="AX254" s="93">
        <f>ППД5[[#This Row],[Фикс 29.08.23]]+ППД5[[#This Row],[Повышение 06.09.23 СТ и 1К]]</f>
        <v>86017.8303495</v>
      </c>
      <c r="AY254" s="93"/>
      <c r="AZ254" s="93">
        <f>ППД5[[#This Row],[Повышение 23.10.23  В4 ]]+ППД5[[#This Row],[Фикс 06.09.23]]</f>
        <v>86017.8303495</v>
      </c>
      <c r="BA254" s="93"/>
      <c r="BB254" s="93">
        <f>ППД5[[#This Row],[Повышение 8.11.23 1К 5%]]+ППД5[[#This Row],[Фикс 23.10.23]]</f>
        <v>86017.8303495</v>
      </c>
      <c r="BC254" s="93"/>
      <c r="BD254" s="93">
        <f>ППД5[[#This Row],[Корректировка 24.11.23 - 1К В5, 2К А2, №233]]+ППД5[[#This Row],[Фикс 8.11.23]]</f>
        <v>86017.8303495</v>
      </c>
      <c r="BE254" s="93">
        <f>ППД5[[#This Row],[Фикс 8.11.24]]*1%</f>
        <v>860.17830349500002</v>
      </c>
      <c r="BF254" s="93">
        <f>ППД5[[#This Row],[Наценка за отделку 29.12.23 1%]]+ППД5[[#This Row],[Фикс 8.11.24]]</f>
        <v>86878.008652995006</v>
      </c>
      <c r="BG254" s="93">
        <f>ППД5[[#This Row],[Фикс 29.12.23]]*5%</f>
        <v>4343.9004326497507</v>
      </c>
      <c r="BH254" s="93">
        <f>ППД5[[#This Row],[Фикс 29.12.23]]+ППД5[[#This Row],[Наценка 10.01.24 5%]]</f>
        <v>91221.909085644758</v>
      </c>
      <c r="BI254" s="93"/>
      <c r="BJ254" s="93">
        <f>ППД5[[#This Row],[Наценка 26.02.24 1 Этаж]]+ППД5[[#This Row],[Фикс 10.01.24]]</f>
        <v>91221.909085644758</v>
      </c>
      <c r="BK254" s="93">
        <f>ППД5[[#This Row],[Фикс 26.02.24]]*2%</f>
        <v>1824.4381817128951</v>
      </c>
      <c r="BL254" s="93">
        <f>ППД5[[#This Row],[Фикс 26.02.24]]+ППД5[[#This Row],[Наценка 06.03.24
СТ, 1К - 3%
2К, 3К - 2%]]</f>
        <v>93046.347267357647</v>
      </c>
      <c r="BM254" s="93"/>
      <c r="BN254" s="93">
        <f>ППД5[[#This Row],[Фикс 06.03.24]]+ППД5[[#This Row],[Наценка Г2+500]]</f>
        <v>93046.347267357647</v>
      </c>
      <c r="BO254" s="93">
        <f>ППД5[[#This Row],[Фикс 13.03.25]]*2%</f>
        <v>1860.9269453471529</v>
      </c>
      <c r="BP254" s="93">
        <f>ППД5[[#This Row],[Фикс 13.03.25]]+ППД5[[#This Row],[Наценка 20.03.24
2К, 3К - 2%]]</f>
        <v>94907.274212704797</v>
      </c>
      <c r="BQ254" s="93">
        <v>150</v>
      </c>
      <c r="BR254" s="93">
        <f>ППД5[[#This Row],[Фикс 20.03.24]]+ППД5[[#This Row],[Наценка 08.04.24 
2К: В3 - 150
3К: Г7 +1000]]</f>
        <v>95057.274212704797</v>
      </c>
      <c r="BS254" s="93">
        <f>ППД5[[#This Row],[Фикс 08.04.24]]*1%</f>
        <v>950.57274212704795</v>
      </c>
      <c r="BT254" s="93">
        <f>ППД5[[#This Row],[Фикс 08.04.24]]+ППД5[[#This Row],[Наценка 16.05.24 1%
А4,А6,Б3,Б6,Б7,В2,В3,В5,В6,Г1,Г3-Г5]]</f>
        <v>96007.846954831839</v>
      </c>
      <c r="BU254" s="93"/>
      <c r="BV254" s="93">
        <f>ППД5[[#This Row],[Фикс 16.05.24]]+ППД5[[#This Row],[Наценка 24.05.24
1% - Б4, Б5,Г2,Г6
2% - А1,А3,А5,Б2,Г7]]</f>
        <v>96007.846954831839</v>
      </c>
      <c r="BW254" s="93"/>
      <c r="BX254" s="93">
        <f>ППД5[[#This Row],[Наценка 06.06.24
0К: В2,Г3 +0,5%
1К: А7, Б5/4, Г6 +0,5%
3К: В6 +0,5%
1К: А3 +1%]]+ППД5[[#This Row],[Фикс 24.05.24]]</f>
        <v>96007.846954831839</v>
      </c>
      <c r="BY254" s="93"/>
      <c r="BZ254" s="93">
        <f>ППД5[[#This Row],[Фикс 06.06.24]]+ППД5[[#This Row],[13.06.2024
3К - 2%]]</f>
        <v>96007.846954831839</v>
      </c>
      <c r="CA254" s="93">
        <f>2.5%*ППД5[[#This Row],[Фикс 13.06.24]]</f>
        <v>2400.196173870796</v>
      </c>
      <c r="CB254" s="93">
        <f>ППД5[[#This Row],[02.07.2024: Г3 А1 А3 Б5 Б7 Г2 Г6 Б3 Б4 В3 Г7 2,5% ост 0,5-1,5%]]+ППД5[[#This Row],[Фикс 13.06.24]]</f>
        <v>98408.043128702629</v>
      </c>
      <c r="CC254" s="93"/>
      <c r="CD254" s="93">
        <f>ППД5[[#This Row],[Фикс 02.07.24]]+ППД5[[#This Row],[04.09.2024 +500
0К - Б2; 1К - А3;
2К - А6, Б4, В3, Г5]]</f>
        <v>98408.043128702629</v>
      </c>
      <c r="CE254" s="93"/>
      <c r="CF254" s="93">
        <f>ППД5[[#This Row],[Наценка 16.09.2024
1К: А1,В7,Г6/7,Г8 - 2%
2К: А4,А5,А6,Б1,Б6,Б3/4,В3,В4,Г4,Г5 - 4%
3К: 4%]]+ППД5[[#This Row],[Фикс 04.09.24]]</f>
        <v>98408.043128702629</v>
      </c>
      <c r="CG254" s="93"/>
      <c r="CH254" s="93">
        <f>ППД5[[#This Row],[Фикс 16.09.2024]]+ППД5[[#This Row],[Наценка 01.11.24
СТ: 4%
1К: 34-40м 5%; 40м+ 8%; МГН 1%
2К: 55-70м 6%; 70-73м 7%; 73-76м 8% 
3К: 5%]]</f>
        <v>98408.043128702629</v>
      </c>
      <c r="CI254" s="93"/>
      <c r="CJ254" s="93">
        <f>ППД5[[#This Row],[Наценка 06.11 13%]]+ППД5[[#This Row],[Фикс 01.11.24]]</f>
        <v>98408.043128702629</v>
      </c>
      <c r="CK254" s="93"/>
      <c r="CL254" s="93">
        <f>ППД5[[#This Row],[Фикс 06.11.24]]+ППД5[[#This Row],[Наценка 18.12.24 распределение КВ]]</f>
        <v>98408.043128702629</v>
      </c>
      <c r="CM254" s="93"/>
      <c r="CN254" s="93">
        <f>ППД5[[#This Row],[Фикс 18.12.24]]+ППД5[[#This Row],[Наценка 10.02.25 +1%
1К: А3
2К: Б3, В3]]</f>
        <v>98408.043128702629</v>
      </c>
      <c r="CO254" s="93">
        <f>ROUND(ППД5[[#This Row],[Фикс 10.02.25]],2)</f>
        <v>98408.04</v>
      </c>
      <c r="CP25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5568000</v>
      </c>
      <c r="CQ254" s="93">
        <f>ROUNDUP(ППД5[[#This Row],[Стоимость до скидки]]+ППД5[[#This Row],[Сумма доплаты]],-2)</f>
        <v>5555300</v>
      </c>
      <c r="CR254" s="68"/>
      <c r="CS254" s="90"/>
      <c r="CT254" s="68">
        <f>ППД5[[#This Row],[Стоимость до скидки]]*ППД5[[#This Row],[Скидка %]]+ППД5[[#This Row],[Скидка фиксированная]]</f>
        <v>0</v>
      </c>
      <c r="CU254" s="3">
        <f>ППД5[[#This Row],[Стоимость ОН без отделки со скидкой]]/ППД5[[#This Row],[Расчетная проектная площадь]]</f>
        <v>98409.331919406148</v>
      </c>
      <c r="CV254" s="3">
        <f>ROUND(ППД5[[#This Row],[Стоимость до скидки]]-ППД5[[#This Row],[Итоговая сумма скидки]],2)</f>
        <v>5568000</v>
      </c>
      <c r="CW25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254" s="197">
        <v>7000</v>
      </c>
      <c r="CY254" s="332">
        <f>ППД5[[#This Row],[Расхождение]]/ППД5[[#This Row],[Расчетная проектная площадь]]</f>
        <v>-2.2976316719686878E-3</v>
      </c>
      <c r="CZ25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0.30000000000000426</v>
      </c>
      <c r="DA254" s="3">
        <f>ППД5[[#This Row],[Цена м2 без отделки со скидкой]]+ППД5[[#This Row],[Стоимость отделки]]</f>
        <v>105409.33191940615</v>
      </c>
      <c r="DB254" s="3">
        <f>ППД5[[#This Row],[Стоимость квартиры с отделкой]]-ППД5[[#This Row],[Стоимость ОН без отделки со скидкой]]</f>
        <v>396060</v>
      </c>
      <c r="DC254" s="3">
        <f>ППД5[[#This Row],[Цена м2 с отделкой]]*ППД5[[#This Row],[Расчетная проектная площадь]]</f>
        <v>5964060</v>
      </c>
      <c r="DD254" s="3" t="s">
        <v>154</v>
      </c>
      <c r="DF254" s="199" t="s">
        <v>172</v>
      </c>
      <c r="DG254" s="245" t="s">
        <v>172</v>
      </c>
      <c r="DH254" s="100" t="b">
        <f>EXACT(ППД5[[#This Row],[Статусы CRM]],ППД5[[#This Row],[Статус]])</f>
        <v>1</v>
      </c>
      <c r="DI254" s="213" t="s">
        <v>426</v>
      </c>
      <c r="DJ254" s="204"/>
      <c r="DK254" s="111" t="s">
        <v>763</v>
      </c>
      <c r="DL254" s="216" t="s">
        <v>780</v>
      </c>
      <c r="DM254" s="201" t="b">
        <f>ППД5[[#This Row],[Отделка CRM]]=ППД5[[#This Row],[Отделка]]</f>
        <v>1</v>
      </c>
      <c r="DN254" s="203">
        <v>5964060</v>
      </c>
      <c r="DO25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54" s="207" t="b">
        <f>IF(AND(ППД5[[#This Row],[Статус]]="свободно",ППД5[[#This Row],[Итоговая сумма скидки]]&lt;&gt;0),FALSE,TRUE)</f>
        <v>1</v>
      </c>
      <c r="DQ254" s="240">
        <f>_xlfn.XLOOKUP(ППД5[[#This Row],[№]],Юрист[№ кв],Юрист[Дата подачи на регистрацию]," ",0,-1)</f>
        <v>45490</v>
      </c>
      <c r="DR254" s="115" t="str">
        <f>_xlfn.XLOOKUP(ППД5[[#This Row],[№]],Юрист[№ кв],Юрист[МОП],"",0,-1)</f>
        <v>Дик</v>
      </c>
      <c r="DS254" s="333" t="s">
        <v>2800</v>
      </c>
      <c r="DT254" s="333" t="s">
        <v>2801</v>
      </c>
      <c r="DU254" s="333">
        <v>55.1</v>
      </c>
      <c r="DV254" s="111"/>
    </row>
    <row r="255" spans="1:126" hidden="1" x14ac:dyDescent="0.25">
      <c r="A255" s="112">
        <v>253</v>
      </c>
      <c r="B255" s="111" t="s">
        <v>3</v>
      </c>
      <c r="C255" s="111">
        <v>5</v>
      </c>
      <c r="D255" s="111">
        <v>4</v>
      </c>
      <c r="E255" s="111">
        <v>2</v>
      </c>
      <c r="F255" s="105">
        <v>15.45</v>
      </c>
      <c r="G255" s="105">
        <v>10.34</v>
      </c>
      <c r="H255" s="105"/>
      <c r="I255" s="94">
        <f>SUM(ППД5[[#This Row],[Комната 1]:[Комната 3]])</f>
        <v>25.79</v>
      </c>
      <c r="J255" s="105">
        <v>15.44</v>
      </c>
      <c r="K255" s="105">
        <v>4.59</v>
      </c>
      <c r="L255" s="105">
        <v>2.21</v>
      </c>
      <c r="M255" s="105"/>
      <c r="N255" s="105">
        <v>10.79</v>
      </c>
      <c r="O255" s="105">
        <v>2.84</v>
      </c>
      <c r="P255" s="105"/>
      <c r="Q255" s="105"/>
      <c r="R255" s="105">
        <f>SUM(ППД5[[#This Row],[Лоджия 1]:[Лоджия 3]])</f>
        <v>2.84</v>
      </c>
      <c r="S255" s="8">
        <f>ROUND(SUM(ППД5[[#This Row],[Площадь по проекту жилая]:[Лоджия 3]]),2)</f>
        <v>61.66</v>
      </c>
      <c r="T255" s="8">
        <f>ROUND(ППД5[[#This Row],[Площадь по проекту(общая)]]-ППД5[[#This Row],[Летние]],2)</f>
        <v>58.82</v>
      </c>
      <c r="U255" s="91">
        <f>ROUND(ППД5[[#This Row],[Площадь по проекту(общая)]]-(SUM(ППД5[[#This Row],[Лоджия 1]:[Лоджия 3]])/2),2)</f>
        <v>60.24</v>
      </c>
      <c r="V255" s="91">
        <f>IF(ППД5[[#This Row],[Статус]]="продажа",ППД5[[#This Row],[Расчетная проектная площадь]],ППД5[[#This Row],[Расчетная ТП площадь]])</f>
        <v>60.24</v>
      </c>
      <c r="W255" s="91">
        <v>15.4</v>
      </c>
      <c r="X255" s="91">
        <v>10.199999999999999</v>
      </c>
      <c r="Y255" s="91"/>
      <c r="Z255" s="91">
        <f>SUM(ППД5[[#This Row],[ТП Комната 1]:[ТП Комната 3]])</f>
        <v>25.6</v>
      </c>
      <c r="AA255" s="91">
        <v>15.4</v>
      </c>
      <c r="AB255" s="91">
        <v>4.5999999999999996</v>
      </c>
      <c r="AC255" s="91">
        <v>2.2000000000000002</v>
      </c>
      <c r="AD255" s="91"/>
      <c r="AE255" s="91">
        <v>10.9</v>
      </c>
      <c r="AF255" s="91">
        <v>1.45</v>
      </c>
      <c r="AG255" s="91"/>
      <c r="AH255" s="91"/>
      <c r="AI255" s="91">
        <f>SUM(ППД5[[#This Row],[ТП Лоджия 1]:[ТП Лоджия 3]])</f>
        <v>1.45</v>
      </c>
      <c r="AJ255" s="95">
        <v>2.9</v>
      </c>
      <c r="AK255" s="91">
        <f>SUM(ППД5[[#This Row],[Площадь по ТП жилая]:[ТП Лоджия 3]])-ППД5[[#This Row],[ТП Летние]]+ППД5[[#This Row],[кроме того прочая
(без коэффициента)]]</f>
        <v>61.6</v>
      </c>
      <c r="AL255" s="95">
        <f>ППД5[[#This Row],[ТП Площадь без летних]]+(ППД5[[#This Row],[ТП Летние]])</f>
        <v>60.150000000000006</v>
      </c>
      <c r="AM255" s="91">
        <f>ППД5[[#This Row],[ТП общая S]]-ППД5[[#This Row],[кроме того прочая
(без коэффициента)]]</f>
        <v>58.7</v>
      </c>
      <c r="AN255" s="95">
        <f>SUM(ППД5[[#This Row],[ТП Кухня]:[ТП Коридор]])</f>
        <v>33.1</v>
      </c>
      <c r="AO255" s="91">
        <f>ППД5[[#This Row],[Расчетная ТП площадь]]-ППД5[[#This Row],[Расчетная проектная площадь]]</f>
        <v>-8.9999999999996305E-2</v>
      </c>
      <c r="AP255" s="335">
        <f>ППД5[[#This Row],[Расчетная ТП площадь]]/ППД5[[#This Row],[Расчетная проектная площадь]]-1</f>
        <v>-1.4940239043823578E-3</v>
      </c>
      <c r="AQ255" s="91">
        <f>ППД5[[#This Row],[% расхождения]]*ППД5[[#This Row],[Стоимость до скидки]]</f>
        <v>-8792.7788844614897</v>
      </c>
      <c r="AR255" s="91">
        <f>VLOOKUP(ППД5[[#This Row],[№]],наценкад5[],COLUMN(наценкад5[[#This Row],[Цена м2 с учетом всех K]]),0)</f>
        <v>81466.150500000003</v>
      </c>
      <c r="AS255" s="8">
        <f>ППД5[[#This Row],[м2 после К]]*5%</f>
        <v>4073.3075250000002</v>
      </c>
      <c r="AT255" s="8">
        <f>ППД5[[#This Row],[м2 после К]]+ППД5[[#This Row],[Повышение 16.08.23 - 5%]]</f>
        <v>85539.458025</v>
      </c>
      <c r="AU255" s="93">
        <f>ППД5[[#This Row],[Фикс 16.08.23]]*3%</f>
        <v>2566.1837407499997</v>
      </c>
      <c r="AV255" s="93">
        <f>ППД5[[#This Row],[Фикс 16.08.23]]+ППД5[[#This Row],[Повышение 29.08.23 - 3%]]</f>
        <v>88105.641765749999</v>
      </c>
      <c r="AW255" s="93"/>
      <c r="AX255" s="93">
        <f>ППД5[[#This Row],[Фикс 29.08.23]]+ППД5[[#This Row],[Повышение 06.09.23 СТ и 1К]]</f>
        <v>88105.641765749999</v>
      </c>
      <c r="AY255" s="93"/>
      <c r="AZ255" s="93">
        <f>ППД5[[#This Row],[Повышение 23.10.23  В4 ]]+ППД5[[#This Row],[Фикс 06.09.23]]</f>
        <v>88105.641765749999</v>
      </c>
      <c r="BA255" s="93"/>
      <c r="BB255" s="93">
        <f>ППД5[[#This Row],[Повышение 8.11.23 1К 5%]]+ППД5[[#This Row],[Фикс 23.10.23]]</f>
        <v>88105.641765749999</v>
      </c>
      <c r="BC255" s="93"/>
      <c r="BD255" s="93">
        <f>ППД5[[#This Row],[Корректировка 24.11.23 - 1К В5, 2К А2, №233]]+ППД5[[#This Row],[Фикс 8.11.23]]</f>
        <v>88105.641765749999</v>
      </c>
      <c r="BE255" s="93">
        <f>ППД5[[#This Row],[Фикс 8.11.24]]*1%</f>
        <v>881.05641765749999</v>
      </c>
      <c r="BF255" s="93">
        <f>ППД5[[#This Row],[Наценка за отделку 29.12.23 1%]]+ППД5[[#This Row],[Фикс 8.11.24]]</f>
        <v>88986.698183407498</v>
      </c>
      <c r="BG255" s="93">
        <f>ППД5[[#This Row],[Фикс 29.12.23]]*5%</f>
        <v>4449.3349091703749</v>
      </c>
      <c r="BH255" s="93">
        <f>ППД5[[#This Row],[Фикс 29.12.23]]+ППД5[[#This Row],[Наценка 10.01.24 5%]]</f>
        <v>93436.033092577869</v>
      </c>
      <c r="BI255" s="93"/>
      <c r="BJ255" s="93">
        <f>ППД5[[#This Row],[Наценка 26.02.24 1 Этаж]]+ППД5[[#This Row],[Фикс 10.01.24]]</f>
        <v>93436.033092577869</v>
      </c>
      <c r="BK255" s="93">
        <f>ППД5[[#This Row],[Фикс 26.02.24]]*2%</f>
        <v>1868.7206618515575</v>
      </c>
      <c r="BL255" s="93">
        <f>ППД5[[#This Row],[Фикс 26.02.24]]+ППД5[[#This Row],[Наценка 06.03.24
СТ, 1К - 3%
2К, 3К - 2%]]</f>
        <v>95304.753754429432</v>
      </c>
      <c r="BM255" s="93"/>
      <c r="BN255" s="93">
        <f>ППД5[[#This Row],[Фикс 06.03.24]]+ППД5[[#This Row],[Наценка Г2+500]]</f>
        <v>95304.753754429432</v>
      </c>
      <c r="BO255" s="93">
        <f>ППД5[[#This Row],[Фикс 13.03.25]]*2%</f>
        <v>1906.0950750885886</v>
      </c>
      <c r="BP255" s="93">
        <f>ППД5[[#This Row],[Фикс 13.03.25]]+ППД5[[#This Row],[Наценка 20.03.24
2К, 3К - 2%]]</f>
        <v>97210.848829518014</v>
      </c>
      <c r="BQ255" s="93"/>
      <c r="BR255" s="93">
        <f>ППД5[[#This Row],[Фикс 20.03.24]]+ППД5[[#This Row],[Наценка 08.04.24 
2К: В3 - 150
3К: Г7 +1000]]</f>
        <v>97210.848829518014</v>
      </c>
      <c r="BS255" s="93"/>
      <c r="BT255" s="93">
        <f>ППД5[[#This Row],[Фикс 08.04.24]]+ППД5[[#This Row],[Наценка 16.05.24 1%
А4,А6,Б3,Б6,Б7,В2,В3,В5,В6,Г1,Г3-Г5]]</f>
        <v>97210.848829518014</v>
      </c>
      <c r="BU255" s="93"/>
      <c r="BV255" s="93">
        <f>ППД5[[#This Row],[Фикс 16.05.24]]+ППД5[[#This Row],[Наценка 24.05.24
1% - Б4, Б5,Г2,Г6
2% - А1,А3,А5,Б2,Г7]]</f>
        <v>97210.848829518014</v>
      </c>
      <c r="BW255" s="93"/>
      <c r="BX255" s="93">
        <f>ППД5[[#This Row],[Наценка 06.06.24
0К: В2,Г3 +0,5%
1К: А7, Б5/4, Г6 +0,5%
3К: В6 +0,5%
1К: А3 +1%]]+ППД5[[#This Row],[Фикс 24.05.24]]</f>
        <v>97210.848829518014</v>
      </c>
      <c r="BY255" s="93"/>
      <c r="BZ255" s="93">
        <f>ППД5[[#This Row],[Фикс 06.06.24]]+ППД5[[#This Row],[13.06.2024
3К - 2%]]</f>
        <v>97210.848829518014</v>
      </c>
      <c r="CA255" s="93">
        <f>0.5%*ППД5[[#This Row],[Фикс 13.06.24]]</f>
        <v>486.05424414759005</v>
      </c>
      <c r="CB255" s="93">
        <f>ППД5[[#This Row],[02.07.2024: Г3 А1 А3 Б5 Б7 Г2 Г6 Б3 Б4 В3 Г7 2,5% ост 0,5-1,5%]]+ППД5[[#This Row],[Фикс 13.06.24]]</f>
        <v>97696.903073665599</v>
      </c>
      <c r="CC255" s="93"/>
      <c r="CD255" s="93">
        <f>ППД5[[#This Row],[Фикс 02.07.24]]+ППД5[[#This Row],[04.09.2024 +500
0К - Б2; 1К - А3;
2К - А6, Б4, В3, Г5]]</f>
        <v>97696.903073665599</v>
      </c>
      <c r="CE255" s="93"/>
      <c r="CF255" s="93">
        <f>ППД5[[#This Row],[Наценка 16.09.2024
1К: А1,В7,Г6/7,Г8 - 2%
2К: А4,А5,А6,Б1,Б6,Б3/4,В3,В4,Г4,Г5 - 4%
3К: 4%]]+ППД5[[#This Row],[Фикс 04.09.24]]</f>
        <v>97696.903073665599</v>
      </c>
      <c r="CG255" s="93"/>
      <c r="CH255" s="93">
        <f>ППД5[[#This Row],[Фикс 16.09.2024]]+ППД5[[#This Row],[Наценка 01.11.24
СТ: 4%
1К: 34-40м 5%; 40м+ 8%; МГН 1%
2К: 55-70м 6%; 70-73м 7%; 73-76м 8% 
3К: 5%]]</f>
        <v>97696.903073665599</v>
      </c>
      <c r="CI255" s="93"/>
      <c r="CJ255" s="93">
        <f>ППД5[[#This Row],[Наценка 06.11 13%]]+ППД5[[#This Row],[Фикс 01.11.24]]</f>
        <v>97696.903073665599</v>
      </c>
      <c r="CK255" s="93"/>
      <c r="CL255" s="93">
        <f>ППД5[[#This Row],[Фикс 06.11.24]]+ППД5[[#This Row],[Наценка 18.12.24 распределение КВ]]</f>
        <v>97696.903073665599</v>
      </c>
      <c r="CM255" s="93"/>
      <c r="CN255" s="93">
        <f>ППД5[[#This Row],[Фикс 18.12.24]]+ППД5[[#This Row],[Наценка 10.02.25 +1%
1К: А3
2К: Б3, В3]]</f>
        <v>97696.903073665599</v>
      </c>
      <c r="CO255" s="93">
        <f>ROUND(ППД5[[#This Row],[Фикс 10.02.25]],2)</f>
        <v>97696.9</v>
      </c>
      <c r="CP25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5885300</v>
      </c>
      <c r="CQ255" s="93">
        <f>ROUNDUP(ППД5[[#This Row],[Стоимость до скидки]]+ППД5[[#This Row],[Сумма доплаты]],-2)</f>
        <v>5876600</v>
      </c>
      <c r="CR255" s="68"/>
      <c r="CS255" s="90"/>
      <c r="CT255" s="68">
        <f>ППД5[[#This Row],[Стоимость до скидки]]*ППД5[[#This Row],[Скидка %]]+ППД5[[#This Row],[Скидка фиксированная]]</f>
        <v>0</v>
      </c>
      <c r="CU255" s="3">
        <f>ППД5[[#This Row],[Стоимость ОН без отделки со скидкой]]/ППД5[[#This Row],[Расчетная проектная площадь]]</f>
        <v>97697.543160690562</v>
      </c>
      <c r="CV255" s="3">
        <f>ROUND(ППД5[[#This Row],[Стоимость до скидки]]-ППД5[[#This Row],[Итоговая сумма скидки]],2)</f>
        <v>5885300</v>
      </c>
      <c r="CW25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55" s="197">
        <v>20000</v>
      </c>
      <c r="CY255" s="332">
        <f>ППД5[[#This Row],[Расхождение]]/ППД5[[#This Row],[Расчетная проектная площадь]]</f>
        <v>-1.4940239043824087E-3</v>
      </c>
      <c r="CZ25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7.0000000000002061E-2</v>
      </c>
      <c r="DA255" s="3">
        <f>ППД5[[#This Row],[Цена м2 без отделки со скидкой]]+ППД5[[#This Row],[Стоимость отделки]]</f>
        <v>117697.54316069056</v>
      </c>
      <c r="DB255" s="3">
        <f>ППД5[[#This Row],[Стоимость квартиры с отделкой]]-ППД5[[#This Row],[Стоимость ОН без отделки со скидкой]]</f>
        <v>1204800</v>
      </c>
      <c r="DC255" s="3">
        <f>ППД5[[#This Row],[Цена м2 с отделкой]]*ППД5[[#This Row],[Расчетная проектная площадь]]</f>
        <v>7090100</v>
      </c>
      <c r="DD255" s="3"/>
      <c r="DF255" s="155" t="s">
        <v>172</v>
      </c>
      <c r="DG255" s="245" t="s">
        <v>172</v>
      </c>
      <c r="DH255" s="100" t="b">
        <f>EXACT(ППД5[[#This Row],[Статусы CRM]],ППД5[[#This Row],[Статус]])</f>
        <v>1</v>
      </c>
      <c r="DI255" s="213" t="s">
        <v>427</v>
      </c>
      <c r="DJ255" s="204"/>
      <c r="DK255" s="111" t="s">
        <v>763</v>
      </c>
      <c r="DL255" s="216" t="s">
        <v>14</v>
      </c>
      <c r="DM255" s="201" t="b">
        <f>ППД5[[#This Row],[Отделка CRM]]=ППД5[[#This Row],[Отделка]]</f>
        <v>1</v>
      </c>
      <c r="DN255" s="203">
        <v>7090100</v>
      </c>
      <c r="DO25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55" s="207" t="b">
        <f>IF(AND(ППД5[[#This Row],[Статус]]="свободно",ППД5[[#This Row],[Итоговая сумма скидки]]&lt;&gt;0),FALSE,TRUE)</f>
        <v>1</v>
      </c>
      <c r="DQ255" s="240">
        <f>_xlfn.XLOOKUP(ППД5[[#This Row],[№]],Юрист[№ кв],Юрист[Дата подачи на регистрацию]," ",0,-1)</f>
        <v>45561</v>
      </c>
      <c r="DR255" s="115" t="str">
        <f>_xlfn.XLOOKUP(ППД5[[#This Row],[№]],Юрист[№ кв],Юрист[МОП],"",0,-1)</f>
        <v>Солоненко</v>
      </c>
      <c r="DS255" s="333" t="s">
        <v>2802</v>
      </c>
      <c r="DT255" s="333" t="s">
        <v>2803</v>
      </c>
      <c r="DU255" s="333">
        <v>58.7</v>
      </c>
      <c r="DV255" s="111"/>
    </row>
    <row r="256" spans="1:126" hidden="1" x14ac:dyDescent="0.25">
      <c r="A256" s="112">
        <v>254</v>
      </c>
      <c r="B256" s="111" t="s">
        <v>3</v>
      </c>
      <c r="C256" s="111">
        <v>5</v>
      </c>
      <c r="D256" s="111">
        <v>5</v>
      </c>
      <c r="E256" s="111">
        <v>1</v>
      </c>
      <c r="F256" s="105">
        <v>12.54</v>
      </c>
      <c r="G256" s="105"/>
      <c r="H256" s="105"/>
      <c r="I256" s="94">
        <f>SUM(ППД5[[#This Row],[Комната 1]:[Комната 3]])</f>
        <v>12.54</v>
      </c>
      <c r="J256" s="105">
        <v>12.74</v>
      </c>
      <c r="K256" s="105">
        <v>4.0199999999999996</v>
      </c>
      <c r="L256" s="105"/>
      <c r="M256" s="105"/>
      <c r="N256" s="105">
        <v>7.09</v>
      </c>
      <c r="O256" s="105">
        <v>2.84</v>
      </c>
      <c r="P256" s="105"/>
      <c r="Q256" s="105"/>
      <c r="R256" s="105">
        <f>SUM(ППД5[[#This Row],[Лоджия 1]:[Лоджия 3]])</f>
        <v>2.84</v>
      </c>
      <c r="S256" s="8">
        <f>ROUND(SUM(ППД5[[#This Row],[Площадь по проекту жилая]:[Лоджия 3]]),2)</f>
        <v>39.229999999999997</v>
      </c>
      <c r="T256" s="8">
        <f>ROUND(ППД5[[#This Row],[Площадь по проекту(общая)]]-ППД5[[#This Row],[Летние]],2)</f>
        <v>36.39</v>
      </c>
      <c r="U256" s="91">
        <f>ROUND(ППД5[[#This Row],[Площадь по проекту(общая)]]-(SUM(ППД5[[#This Row],[Лоджия 1]:[Лоджия 3]])/2),2)</f>
        <v>37.81</v>
      </c>
      <c r="V256" s="91">
        <f>IF(ППД5[[#This Row],[Статус]]="продажа",ППД5[[#This Row],[Расчетная проектная площадь]],ППД5[[#This Row],[Расчетная ТП площадь]])</f>
        <v>37.81</v>
      </c>
      <c r="W256" s="91">
        <v>12.5</v>
      </c>
      <c r="X256" s="91"/>
      <c r="Y256" s="91"/>
      <c r="Z256" s="91">
        <f>SUM(ППД5[[#This Row],[ТП Комната 1]:[ТП Комната 3]])</f>
        <v>12.5</v>
      </c>
      <c r="AA256" s="91">
        <v>12.6</v>
      </c>
      <c r="AB256" s="91">
        <v>4</v>
      </c>
      <c r="AC256" s="91"/>
      <c r="AD256" s="91"/>
      <c r="AE256" s="91">
        <v>7</v>
      </c>
      <c r="AF256" s="91">
        <v>1.45</v>
      </c>
      <c r="AG256" s="91"/>
      <c r="AH256" s="91"/>
      <c r="AI256" s="91">
        <f>SUM(ППД5[[#This Row],[ТП Лоджия 1]:[ТП Лоджия 3]])</f>
        <v>1.45</v>
      </c>
      <c r="AJ256" s="95">
        <v>2.9</v>
      </c>
      <c r="AK256" s="91">
        <f>SUM(ППД5[[#This Row],[Площадь по ТП жилая]:[ТП Лоджия 3]])-ППД5[[#This Row],[ТП Летние]]+ППД5[[#This Row],[кроме того прочая
(без коэффициента)]]</f>
        <v>39</v>
      </c>
      <c r="AL256" s="95">
        <f>ППД5[[#This Row],[ТП Площадь без летних]]+(ППД5[[#This Row],[ТП Летние]])</f>
        <v>37.550000000000004</v>
      </c>
      <c r="AM256" s="91">
        <f>ППД5[[#This Row],[ТП общая S]]-ППД5[[#This Row],[кроме того прочая
(без коэффициента)]]</f>
        <v>36.1</v>
      </c>
      <c r="AN256" s="95">
        <f>SUM(ППД5[[#This Row],[ТП Кухня]:[ТП Коридор]])</f>
        <v>23.6</v>
      </c>
      <c r="AO256" s="91">
        <f>ППД5[[#This Row],[Расчетная ТП площадь]]-ППД5[[#This Row],[Расчетная проектная площадь]]</f>
        <v>-0.25999999999999801</v>
      </c>
      <c r="AP256" s="335">
        <f>ППД5[[#This Row],[Расчетная ТП площадь]]/ППД5[[#This Row],[Расчетная проектная площадь]]-1</f>
        <v>-6.8764877016661563E-3</v>
      </c>
      <c r="AQ256" s="91">
        <f>ППД5[[#This Row],[% расхождения]]*ППД5[[#This Row],[Стоимость до скидки]]</f>
        <v>-25979.480766992594</v>
      </c>
      <c r="AR256" s="91">
        <f>VLOOKUP(ППД5[[#This Row],[№]],наценкад5[],COLUMN(наценкад5[[#This Row],[Цена м2 с учетом всех K]]),0)</f>
        <v>88412.625</v>
      </c>
      <c r="AS256" s="8">
        <f>ППД5[[#This Row],[м2 после К]]*5%</f>
        <v>4420.6312500000004</v>
      </c>
      <c r="AT256" s="8">
        <f>ППД5[[#This Row],[м2 после К]]+ППД5[[#This Row],[Повышение 16.08.23 - 5%]]</f>
        <v>92833.256250000006</v>
      </c>
      <c r="AU256" s="93">
        <f>ППД5[[#This Row],[Фикс 16.08.23]]*3%</f>
        <v>2784.9976875000002</v>
      </c>
      <c r="AV256" s="93">
        <f>ППД5[[#This Row],[Фикс 16.08.23]]+ППД5[[#This Row],[Повышение 29.08.23 - 3%]]</f>
        <v>95618.253937500005</v>
      </c>
      <c r="AW256" s="93">
        <f>ППД5[[#This Row],[Фикс 29.08.23]]*4.5%</f>
        <v>4302.8214271875004</v>
      </c>
      <c r="AX256" s="93">
        <f>ППД5[[#This Row],[Фикс 29.08.23]]+ППД5[[#This Row],[Повышение 06.09.23 СТ и 1К]]</f>
        <v>99921.075364687509</v>
      </c>
      <c r="AY256" s="93"/>
      <c r="AZ256" s="93">
        <f>ППД5[[#This Row],[Повышение 23.10.23  В4 ]]+ППД5[[#This Row],[Фикс 06.09.23]]</f>
        <v>99921.075364687509</v>
      </c>
      <c r="BA256" s="93"/>
      <c r="BB256" s="93">
        <f>ППД5[[#This Row],[Повышение 8.11.23 1К 5%]]+ППД5[[#This Row],[Фикс 23.10.23]]</f>
        <v>99921.075364687509</v>
      </c>
      <c r="BC256" s="93"/>
      <c r="BD256" s="93">
        <f>ППД5[[#This Row],[Корректировка 24.11.23 - 1К В5, 2К А2, №233]]+ППД5[[#This Row],[Фикс 8.11.23]]</f>
        <v>99921.075364687509</v>
      </c>
      <c r="BE256" s="93"/>
      <c r="BF256" s="93">
        <f>ППД5[[#This Row],[Наценка за отделку 29.12.23 1%]]+ППД5[[#This Row],[Фикс 8.11.24]]</f>
        <v>99921.075364687509</v>
      </c>
      <c r="BG256" s="93"/>
      <c r="BH256" s="93">
        <f>ППД5[[#This Row],[Фикс 29.12.23]]+ППД5[[#This Row],[Наценка 10.01.24 5%]]</f>
        <v>99921.075364687509</v>
      </c>
      <c r="BI256" s="93"/>
      <c r="BJ256" s="93">
        <f>ППД5[[#This Row],[Наценка 26.02.24 1 Этаж]]+ППД5[[#This Row],[Фикс 10.01.24]]</f>
        <v>99921.075364687509</v>
      </c>
      <c r="BK256" s="93"/>
      <c r="BL256" s="93">
        <f>ППД5[[#This Row],[Фикс 26.02.24]]+ППД5[[#This Row],[Наценка 06.03.24
СТ, 1К - 3%
2К, 3К - 2%]]</f>
        <v>99921.075364687509</v>
      </c>
      <c r="BM256" s="93"/>
      <c r="BN256" s="93">
        <f>ППД5[[#This Row],[Фикс 06.03.24]]+ППД5[[#This Row],[Наценка Г2+500]]</f>
        <v>99921.075364687509</v>
      </c>
      <c r="BO256" s="93"/>
      <c r="BP256" s="93">
        <f>ППД5[[#This Row],[Фикс 13.03.25]]+ППД5[[#This Row],[Наценка 20.03.24
2К, 3К - 2%]]</f>
        <v>99921.075364687509</v>
      </c>
      <c r="BQ256" s="93"/>
      <c r="BR256" s="93">
        <f>ППД5[[#This Row],[Фикс 20.03.24]]+ППД5[[#This Row],[Наценка 08.04.24 
2К: В3 - 150
3К: Г7 +1000]]</f>
        <v>99921.075364687509</v>
      </c>
      <c r="BS256" s="93"/>
      <c r="BT256" s="93">
        <f>ППД5[[#This Row],[Фикс 08.04.24]]+ППД5[[#This Row],[Наценка 16.05.24 1%
А4,А6,Б3,Б6,Б7,В2,В3,В5,В6,Г1,Г3-Г5]]</f>
        <v>99921.075364687509</v>
      </c>
      <c r="BU256" s="93"/>
      <c r="BV256" s="93">
        <f>ППД5[[#This Row],[Фикс 16.05.24]]+ППД5[[#This Row],[Наценка 24.05.24
1% - Б4, Б5,Г2,Г6
2% - А1,А3,А5,Б2,Г7]]</f>
        <v>99921.075364687509</v>
      </c>
      <c r="BW256" s="93"/>
      <c r="BX256" s="93">
        <f>ППД5[[#This Row],[Наценка 06.06.24
0К: В2,Г3 +0,5%
1К: А7, Б5/4, Г6 +0,5%
3К: В6 +0,5%
1К: А3 +1%]]+ППД5[[#This Row],[Фикс 24.05.24]]</f>
        <v>99921.075364687509</v>
      </c>
      <c r="BY256" s="93"/>
      <c r="BZ256" s="93">
        <f>ППД5[[#This Row],[Фикс 06.06.24]]+ППД5[[#This Row],[13.06.2024
3К - 2%]]</f>
        <v>99921.075364687509</v>
      </c>
      <c r="CA256" s="93"/>
      <c r="CB256" s="93">
        <f>ППД5[[#This Row],[02.07.2024: Г3 А1 А3 Б5 Б7 Г2 Г6 Б3 Б4 В3 Г7 2,5% ост 0,5-1,5%]]+ППД5[[#This Row],[Фикс 13.06.24]]</f>
        <v>99921.075364687509</v>
      </c>
      <c r="CC256" s="93"/>
      <c r="CD256" s="93">
        <f>ППД5[[#This Row],[Фикс 02.07.24]]+ППД5[[#This Row],[04.09.2024 +500
0К - Б2; 1К - А3;
2К - А6, Б4, В3, Г5]]</f>
        <v>99921.075364687509</v>
      </c>
      <c r="CE256" s="93"/>
      <c r="CF256" s="93">
        <f>ППД5[[#This Row],[Наценка 16.09.2024
1К: А1,В7,Г6/7,Г8 - 2%
2К: А4,А5,А6,Б1,Б6,Б3/4,В3,В4,Г4,Г5 - 4%
3К: 4%]]+ППД5[[#This Row],[Фикс 04.09.24]]</f>
        <v>99921.075364687509</v>
      </c>
      <c r="CG256" s="93"/>
      <c r="CH256" s="93">
        <f>ППД5[[#This Row],[Фикс 16.09.2024]]+ППД5[[#This Row],[Наценка 01.11.24
СТ: 4%
1К: 34-40м 5%; 40м+ 8%; МГН 1%
2К: 55-70м 6%; 70-73м 7%; 73-76м 8% 
3К: 5%]]</f>
        <v>99921.075364687509</v>
      </c>
      <c r="CI256" s="93"/>
      <c r="CJ256" s="93">
        <f>ППД5[[#This Row],[Наценка 06.11 13%]]+ППД5[[#This Row],[Фикс 01.11.24]]</f>
        <v>99921.075364687509</v>
      </c>
      <c r="CK256" s="93"/>
      <c r="CL256" s="93">
        <f>ППД5[[#This Row],[Фикс 06.11.24]]+ППД5[[#This Row],[Наценка 18.12.24 распределение КВ]]</f>
        <v>99921.075364687509</v>
      </c>
      <c r="CM256" s="93"/>
      <c r="CN256" s="93">
        <f>ППД5[[#This Row],[Фикс 18.12.24]]+ППД5[[#This Row],[Наценка 10.02.25 +1%
1К: А3
2К: Б3, В3]]</f>
        <v>99921.075364687509</v>
      </c>
      <c r="CO256" s="93">
        <f>ROUND(ППД5[[#This Row],[Фикс 10.02.25]],2)</f>
        <v>99921.08</v>
      </c>
      <c r="CP25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3778016.03</v>
      </c>
      <c r="CQ256" s="93">
        <f>ROUNDUP(ППД5[[#This Row],[Стоимость до скидки]]+ППД5[[#This Row],[Сумма доплаты]],-2)</f>
        <v>3752100</v>
      </c>
      <c r="CR256" s="68"/>
      <c r="CS256" s="90"/>
      <c r="CT256" s="68">
        <f>ППД5[[#This Row],[Стоимость до скидки]]*ППД5[[#This Row],[Скидка %]]+ППД5[[#This Row],[Скидка фиксированная]]</f>
        <v>0</v>
      </c>
      <c r="CU256" s="3">
        <f>ППД5[[#This Row],[Стоимость ОН без отделки со скидкой]]/ППД5[[#This Row],[Расчетная проектная площадь]]</f>
        <v>99921.079873049443</v>
      </c>
      <c r="CV256" s="3">
        <f>ROUND(ППД5[[#This Row],[Стоимость до скидки]]-ППД5[[#This Row],[Итоговая сумма скидки]],2)</f>
        <v>3778016.03</v>
      </c>
      <c r="CW25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56" s="197">
        <v>22000</v>
      </c>
      <c r="CY256" s="332">
        <f>ППД5[[#This Row],[Расхождение]]/ППД5[[#This Row],[Расчетная проектная площадь]]</f>
        <v>-6.8764877016661728E-3</v>
      </c>
      <c r="CZ25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-0.24999999999999822</v>
      </c>
      <c r="DA256" s="3">
        <f>ППД5[[#This Row],[Цена м2 без отделки со скидкой]]+ППД5[[#This Row],[Стоимость отделки]]</f>
        <v>121921.07987304944</v>
      </c>
      <c r="DB256" s="3">
        <f>ППД5[[#This Row],[Стоимость квартиры с отделкой]]-ППД5[[#This Row],[Стоимость ОН без отделки со скидкой]]</f>
        <v>831819.99999999953</v>
      </c>
      <c r="DC256" s="3">
        <f>ППД5[[#This Row],[Цена м2 с отделкой]]*ППД5[[#This Row],[Расчетная проектная площадь]]</f>
        <v>4609836.0299999993</v>
      </c>
      <c r="DD256" s="3"/>
      <c r="DF256" s="199" t="s">
        <v>172</v>
      </c>
      <c r="DG256" s="245" t="s">
        <v>172</v>
      </c>
      <c r="DH256" s="100" t="b">
        <f>EXACT(ППД5[[#This Row],[Статусы CRM]],ППД5[[#This Row],[Статус]])</f>
        <v>1</v>
      </c>
      <c r="DI256" s="213" t="s">
        <v>428</v>
      </c>
      <c r="DJ256" s="204"/>
      <c r="DK256" s="111" t="s">
        <v>76</v>
      </c>
      <c r="DL256" s="216" t="s">
        <v>14</v>
      </c>
      <c r="DM256" s="201" t="b">
        <f>ППД5[[#This Row],[Отделка CRM]]=ППД5[[#This Row],[Отделка]]</f>
        <v>1</v>
      </c>
      <c r="DN256" s="203">
        <v>4609836.03</v>
      </c>
      <c r="DO25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9.3132257461547852E-10</v>
      </c>
      <c r="DP256" s="207" t="b">
        <f>IF(AND(ППД5[[#This Row],[Статус]]="свободно",ППД5[[#This Row],[Итоговая сумма скидки]]&lt;&gt;0),FALSE,TRUE)</f>
        <v>1</v>
      </c>
      <c r="DQ256" s="240">
        <f>_xlfn.XLOOKUP(ППД5[[#This Row],[№]],Юрист[№ кв],Юрист[Дата подачи на регистрацию]," ",0,-1)</f>
        <v>45243</v>
      </c>
      <c r="DR256" s="115" t="str">
        <f>_xlfn.XLOOKUP(ППД5[[#This Row],[№]],Юрист[№ кв],Юрист[МОП],"",0,-1)</f>
        <v>Никишов</v>
      </c>
      <c r="DS256" s="333" t="s">
        <v>2804</v>
      </c>
      <c r="DT256" s="333" t="s">
        <v>2805</v>
      </c>
      <c r="DU256" s="333">
        <v>36.1</v>
      </c>
      <c r="DV256" s="111"/>
    </row>
    <row r="257" spans="1:126" hidden="1" x14ac:dyDescent="0.25">
      <c r="A257" s="112">
        <v>255</v>
      </c>
      <c r="B257" s="111" t="s">
        <v>3</v>
      </c>
      <c r="C257" s="111">
        <v>5</v>
      </c>
      <c r="D257" s="111">
        <v>6</v>
      </c>
      <c r="E257" s="111">
        <v>3</v>
      </c>
      <c r="F257" s="105">
        <v>17.2</v>
      </c>
      <c r="G257" s="105">
        <v>14.64</v>
      </c>
      <c r="H257" s="105">
        <v>14.34</v>
      </c>
      <c r="I257" s="94">
        <f>SUM(ППД5[[#This Row],[Комната 1]:[Комната 3]])</f>
        <v>46.18</v>
      </c>
      <c r="J257" s="105">
        <v>13.15</v>
      </c>
      <c r="K257" s="105">
        <v>4.03</v>
      </c>
      <c r="L257" s="105">
        <v>1.76</v>
      </c>
      <c r="M257" s="105"/>
      <c r="N257" s="105">
        <v>13.11</v>
      </c>
      <c r="O257" s="105">
        <v>2.79</v>
      </c>
      <c r="P257" s="105">
        <v>2.68</v>
      </c>
      <c r="Q257" s="105"/>
      <c r="R257" s="105">
        <f>SUM(ППД5[[#This Row],[Лоджия 1]:[Лоджия 3]])</f>
        <v>5.4700000000000006</v>
      </c>
      <c r="S257" s="8">
        <f>ROUND(SUM(ППД5[[#This Row],[Площадь по проекту жилая]:[Лоджия 3]]),2)</f>
        <v>83.7</v>
      </c>
      <c r="T257" s="8">
        <f>ROUND(ППД5[[#This Row],[Площадь по проекту(общая)]]-ППД5[[#This Row],[Летние]],2)</f>
        <v>78.23</v>
      </c>
      <c r="U257" s="91">
        <f>ROUND(ППД5[[#This Row],[Площадь по проекту(общая)]]-(SUM(ППД5[[#This Row],[Лоджия 1]:[Лоджия 3]])/2),2)</f>
        <v>80.97</v>
      </c>
      <c r="V257" s="91">
        <f>IF(ППД5[[#This Row],[Статус]]="продажа",ППД5[[#This Row],[Расчетная проектная площадь]],ППД5[[#This Row],[Расчетная ТП площадь]])</f>
        <v>80.97</v>
      </c>
      <c r="W257" s="91">
        <v>17.100000000000001</v>
      </c>
      <c r="X257" s="91">
        <v>14.7</v>
      </c>
      <c r="Y257" s="91">
        <v>14.3</v>
      </c>
      <c r="Z257" s="91">
        <f>SUM(ППД5[[#This Row],[ТП Комната 1]:[ТП Комната 3]])</f>
        <v>46.1</v>
      </c>
      <c r="AA257" s="91">
        <v>12.9</v>
      </c>
      <c r="AB257" s="91">
        <v>4</v>
      </c>
      <c r="AC257" s="91">
        <v>1.7</v>
      </c>
      <c r="AD257" s="91"/>
      <c r="AE257" s="91">
        <v>13.1</v>
      </c>
      <c r="AF257" s="91">
        <v>1.4</v>
      </c>
      <c r="AG257" s="92">
        <v>1.35</v>
      </c>
      <c r="AH257" s="91"/>
      <c r="AI257" s="91">
        <f>SUM(ППД5[[#This Row],[ТП Лоджия 1]:[ТП Лоджия 3]])</f>
        <v>2.75</v>
      </c>
      <c r="AJ257" s="95">
        <v>5.5</v>
      </c>
      <c r="AK257" s="91">
        <f>SUM(ППД5[[#This Row],[Площадь по ТП жилая]:[ТП Лоджия 3]])-ППД5[[#This Row],[ТП Летние]]+ППД5[[#This Row],[кроме того прочая
(без коэффициента)]]</f>
        <v>83.3</v>
      </c>
      <c r="AL257" s="95">
        <f>ППД5[[#This Row],[ТП Площадь без летних]]+(ППД5[[#This Row],[ТП Летние]])</f>
        <v>80.55</v>
      </c>
      <c r="AM257" s="91">
        <f>ППД5[[#This Row],[ТП общая S]]-ППД5[[#This Row],[кроме того прочая
(без коэффициента)]]</f>
        <v>77.8</v>
      </c>
      <c r="AN257" s="95">
        <f>SUM(ППД5[[#This Row],[ТП Кухня]:[ТП Коридор]])</f>
        <v>31.699999999999996</v>
      </c>
      <c r="AO257" s="91">
        <f>ППД5[[#This Row],[Расчетная ТП площадь]]-ППД5[[#This Row],[Расчетная проектная площадь]]</f>
        <v>-0.42000000000000171</v>
      </c>
      <c r="AP257" s="335">
        <f>ППД5[[#This Row],[Расчетная ТП площадь]]/ППД5[[#This Row],[Расчетная проектная площадь]]-1</f>
        <v>-5.1871063356798697E-3</v>
      </c>
      <c r="AQ257" s="91">
        <f>ППД5[[#This Row],[% расхождения]]*ППД5[[#This Row],[Стоимость до скидки]]</f>
        <v>-30878.555405705749</v>
      </c>
      <c r="AR257" s="91">
        <f>VLOOKUP(ППД5[[#This Row],[№]],наценкад5[],COLUMN(наценкад5[[#This Row],[Цена м2 с учетом всех K]]),0)</f>
        <v>73520.37000000001</v>
      </c>
      <c r="AS257" s="8"/>
      <c r="AT257" s="8">
        <f>ППД5[[#This Row],[м2 после К]]+ППД5[[#This Row],[Повышение 16.08.23 - 5%]]</f>
        <v>73520.37000000001</v>
      </c>
      <c r="AU257" s="93"/>
      <c r="AV257" s="93">
        <f>ППД5[[#This Row],[Фикс 16.08.23]]+ППД5[[#This Row],[Повышение 29.08.23 - 3%]]</f>
        <v>73520.37000000001</v>
      </c>
      <c r="AW257" s="93"/>
      <c r="AX257" s="93">
        <f>ППД5[[#This Row],[Фикс 29.08.23]]+ППД5[[#This Row],[Повышение 06.09.23 СТ и 1К]]</f>
        <v>73520.37000000001</v>
      </c>
      <c r="AY257" s="93"/>
      <c r="AZ257" s="93">
        <f>ППД5[[#This Row],[Повышение 23.10.23  В4 ]]+ППД5[[#This Row],[Фикс 06.09.23]]</f>
        <v>73520.37000000001</v>
      </c>
      <c r="BA257" s="93"/>
      <c r="BB257" s="93">
        <f>ППД5[[#This Row],[Повышение 8.11.23 1К 5%]]+ППД5[[#This Row],[Фикс 23.10.23]]</f>
        <v>73520.37000000001</v>
      </c>
      <c r="BC257" s="93"/>
      <c r="BD257" s="93">
        <f>ППД5[[#This Row],[Корректировка 24.11.23 - 1К В5, 2К А2, №233]]+ППД5[[#This Row],[Фикс 8.11.23]]</f>
        <v>73520.37000000001</v>
      </c>
      <c r="BE257" s="93"/>
      <c r="BF257" s="93">
        <f>ППД5[[#This Row],[Наценка за отделку 29.12.23 1%]]+ППД5[[#This Row],[Фикс 8.11.24]]</f>
        <v>73520.37000000001</v>
      </c>
      <c r="BG257" s="93"/>
      <c r="BH257" s="93">
        <f>ППД5[[#This Row],[Фикс 29.12.23]]+ППД5[[#This Row],[Наценка 10.01.24 5%]]</f>
        <v>73520.37000000001</v>
      </c>
      <c r="BI257" s="93"/>
      <c r="BJ257" s="93">
        <f>ППД5[[#This Row],[Наценка 26.02.24 1 Этаж]]+ППД5[[#This Row],[Фикс 10.01.24]]</f>
        <v>73520.37000000001</v>
      </c>
      <c r="BK257" s="93"/>
      <c r="BL257" s="93">
        <f>ППД5[[#This Row],[Фикс 26.02.24]]+ППД5[[#This Row],[Наценка 06.03.24
СТ, 1К - 3%
2К, 3К - 2%]]</f>
        <v>73520.37000000001</v>
      </c>
      <c r="BM257" s="93"/>
      <c r="BN257" s="93">
        <f>ППД5[[#This Row],[Фикс 06.03.24]]+ППД5[[#This Row],[Наценка Г2+500]]</f>
        <v>73520.37000000001</v>
      </c>
      <c r="BO257" s="93"/>
      <c r="BP257" s="93">
        <f>ППД5[[#This Row],[Фикс 13.03.25]]+ППД5[[#This Row],[Наценка 20.03.24
2К, 3К - 2%]]</f>
        <v>73520.37000000001</v>
      </c>
      <c r="BQ257" s="93"/>
      <c r="BR257" s="93">
        <f>ППД5[[#This Row],[Фикс 20.03.24]]+ППД5[[#This Row],[Наценка 08.04.24 
2К: В3 - 150
3К: Г7 +1000]]</f>
        <v>73520.37000000001</v>
      </c>
      <c r="BS257" s="93"/>
      <c r="BT257" s="93">
        <f>ППД5[[#This Row],[Фикс 08.04.24]]+ППД5[[#This Row],[Наценка 16.05.24 1%
А4,А6,Б3,Б6,Б7,В2,В3,В5,В6,Г1,Г3-Г5]]</f>
        <v>73520.37000000001</v>
      </c>
      <c r="BU257" s="93"/>
      <c r="BV257" s="93">
        <f>ППД5[[#This Row],[Фикс 16.05.24]]+ППД5[[#This Row],[Наценка 24.05.24
1% - Б4, Б5,Г2,Г6
2% - А1,А3,А5,Б2,Г7]]</f>
        <v>73520.37000000001</v>
      </c>
      <c r="BW257" s="93"/>
      <c r="BX257" s="93">
        <f>ППД5[[#This Row],[Наценка 06.06.24
0К: В2,Г3 +0,5%
1К: А7, Б5/4, Г6 +0,5%
3К: В6 +0,5%
1К: А3 +1%]]+ППД5[[#This Row],[Фикс 24.05.24]]</f>
        <v>73520.37000000001</v>
      </c>
      <c r="BY257" s="93"/>
      <c r="BZ257" s="93">
        <f>ППД5[[#This Row],[Фикс 06.06.24]]+ППД5[[#This Row],[13.06.2024
3К - 2%]]</f>
        <v>73520.37000000001</v>
      </c>
      <c r="CA257" s="93"/>
      <c r="CB257" s="93">
        <f>ППД5[[#This Row],[02.07.2024: Г3 А1 А3 Б5 Б7 Г2 Г6 Б3 Б4 В3 Г7 2,5% ост 0,5-1,5%]]+ППД5[[#This Row],[Фикс 13.06.24]]</f>
        <v>73520.37000000001</v>
      </c>
      <c r="CC257" s="93"/>
      <c r="CD257" s="93">
        <f>ППД5[[#This Row],[Фикс 02.07.24]]+ППД5[[#This Row],[04.09.2024 +500
0К - Б2; 1К - А3;
2К - А6, Б4, В3, Г5]]</f>
        <v>73520.37000000001</v>
      </c>
      <c r="CE257" s="93"/>
      <c r="CF257" s="93">
        <f>ППД5[[#This Row],[Наценка 16.09.2024
1К: А1,В7,Г6/7,Г8 - 2%
2К: А4,А5,А6,Б1,Б6,Б3/4,В3,В4,Г4,Г5 - 4%
3К: 4%]]+ППД5[[#This Row],[Фикс 04.09.24]]</f>
        <v>73520.37000000001</v>
      </c>
      <c r="CG257" s="93"/>
      <c r="CH257" s="93">
        <f>ППД5[[#This Row],[Фикс 16.09.2024]]+ППД5[[#This Row],[Наценка 01.11.24
СТ: 4%
1К: 34-40м 5%; 40м+ 8%; МГН 1%
2К: 55-70м 6%; 70-73м 7%; 73-76м 8% 
3К: 5%]]</f>
        <v>73520.37000000001</v>
      </c>
      <c r="CI257" s="93"/>
      <c r="CJ257" s="93">
        <f>ППД5[[#This Row],[Наценка 06.11 13%]]+ППД5[[#This Row],[Фикс 01.11.24]]</f>
        <v>73520.37000000001</v>
      </c>
      <c r="CK257" s="93"/>
      <c r="CL257" s="93">
        <f>ППД5[[#This Row],[Фикс 06.11.24]]+ППД5[[#This Row],[Наценка 18.12.24 распределение КВ]]</f>
        <v>73520.37000000001</v>
      </c>
      <c r="CM257" s="93"/>
      <c r="CN257" s="93">
        <f>ППД5[[#This Row],[Фикс 18.12.24]]+ППД5[[#This Row],[Наценка 10.02.25 +1%
1К: А3
2К: Б3, В3]]</f>
        <v>73520.37000000001</v>
      </c>
      <c r="CO257" s="93">
        <f>ROUND(ППД5[[#This Row],[Фикс 10.02.25]],2)</f>
        <v>73520.37</v>
      </c>
      <c r="CP25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5952944.3600000003</v>
      </c>
      <c r="CQ257" s="93">
        <f>ROUNDUP(ППД5[[#This Row],[Стоимость до скидки]]+ППД5[[#This Row],[Сумма доплаты]],-2)</f>
        <v>5922100</v>
      </c>
      <c r="CR257" s="68"/>
      <c r="CS257" s="90">
        <v>0.06</v>
      </c>
      <c r="CT257" s="68">
        <f>ППД5[[#This Row],[Стоимость до скидки]]*ППД5[[#This Row],[Скидка %]]+ППД5[[#This Row],[Скидка фиксированная]]</f>
        <v>357176.66159999999</v>
      </c>
      <c r="CU257" s="3">
        <f>ППД5[[#This Row],[Стоимость ОН без отделки со скидкой]]/ППД5[[#This Row],[Расчетная проектная площадь]]</f>
        <v>69109.147832530565</v>
      </c>
      <c r="CV257" s="3">
        <f>ROUND(ППД5[[#This Row],[Стоимость до скидки]]-ППД5[[#This Row],[Итоговая сумма скидки]],2)</f>
        <v>5595767.7000000002</v>
      </c>
      <c r="CW25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57" s="197">
        <v>15500</v>
      </c>
      <c r="CY257" s="332">
        <f>ППД5[[#This Row],[Расхождение]]/ППД5[[#This Row],[Расчетная проектная площадь]]</f>
        <v>-5.1871063356799026E-3</v>
      </c>
      <c r="CZ25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-0.35000000000000675</v>
      </c>
      <c r="DA257" s="3">
        <f>ППД5[[#This Row],[Цена м2 без отделки со скидкой]]+ППД5[[#This Row],[Стоимость отделки]]</f>
        <v>84609.147832530565</v>
      </c>
      <c r="DB257" s="3">
        <f>ППД5[[#This Row],[Стоимость квартиры с отделкой]]-ППД5[[#This Row],[Стоимость ОН без отделки со скидкой]]</f>
        <v>1255035</v>
      </c>
      <c r="DC257" s="3">
        <f>ППД5[[#This Row],[Цена м2 с отделкой]]*ППД5[[#This Row],[Расчетная проектная площадь]]</f>
        <v>6850802.7000000002</v>
      </c>
      <c r="DD257" s="3"/>
      <c r="DE257" s="111" t="s">
        <v>162</v>
      </c>
      <c r="DF257" s="199" t="s">
        <v>172</v>
      </c>
      <c r="DG257" s="245" t="s">
        <v>172</v>
      </c>
      <c r="DH257" s="100" t="b">
        <f>EXACT(ППД5[[#This Row],[Статусы CRM]],ППД5[[#This Row],[Статус]])</f>
        <v>1</v>
      </c>
      <c r="DI257" s="213" t="s">
        <v>429</v>
      </c>
      <c r="DJ257" s="204"/>
      <c r="DK257" s="111" t="s">
        <v>76</v>
      </c>
      <c r="DL257" s="216" t="s">
        <v>14</v>
      </c>
      <c r="DM257" s="201" t="b">
        <f>ППД5[[#This Row],[Отделка CRM]]=ППД5[[#This Row],[Отделка]]</f>
        <v>1</v>
      </c>
      <c r="DN257" s="203">
        <v>6850802.7000000002</v>
      </c>
      <c r="DO25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57" s="207" t="b">
        <f>IF(AND(ППД5[[#This Row],[Статус]]="свободно",ППД5[[#This Row],[Итоговая сумма скидки]]&lt;&gt;0),FALSE,TRUE)</f>
        <v>1</v>
      </c>
      <c r="DQ257" s="240">
        <f>_xlfn.XLOOKUP(ППД5[[#This Row],[№]],Юрист[№ кв],Юрист[Дата подачи на регистрацию]," ",0,-1)</f>
        <v>45241</v>
      </c>
      <c r="DR257" s="115" t="str">
        <f>_xlfn.XLOOKUP(ППД5[[#This Row],[№]],Юрист[№ кв],Юрист[МОП],"",0,-1)</f>
        <v>Кофанова</v>
      </c>
      <c r="DS257" s="333" t="s">
        <v>2806</v>
      </c>
      <c r="DT257" s="333" t="s">
        <v>2807</v>
      </c>
      <c r="DU257" s="333">
        <v>77.8</v>
      </c>
      <c r="DV257" s="111" t="s">
        <v>844</v>
      </c>
    </row>
    <row r="258" spans="1:126" hidden="1" x14ac:dyDescent="0.25">
      <c r="A258" s="112">
        <v>256</v>
      </c>
      <c r="B258" s="111" t="s">
        <v>3</v>
      </c>
      <c r="C258" s="111">
        <v>5</v>
      </c>
      <c r="D258" s="111">
        <v>7</v>
      </c>
      <c r="E258" s="111">
        <v>1</v>
      </c>
      <c r="F258" s="105">
        <v>14.3</v>
      </c>
      <c r="G258" s="105"/>
      <c r="H258" s="105"/>
      <c r="I258" s="94">
        <f>SUM(ППД5[[#This Row],[Комната 1]:[Комната 3]])</f>
        <v>14.3</v>
      </c>
      <c r="J258" s="105">
        <v>9.2799999999999994</v>
      </c>
      <c r="K258" s="105">
        <v>3.79</v>
      </c>
      <c r="L258" s="105"/>
      <c r="M258" s="105"/>
      <c r="N258" s="105">
        <v>6.08</v>
      </c>
      <c r="O258" s="105">
        <v>2.71</v>
      </c>
      <c r="P258" s="105"/>
      <c r="Q258" s="105"/>
      <c r="R258" s="105">
        <f>SUM(ППД5[[#This Row],[Лоджия 1]:[Лоджия 3]])</f>
        <v>2.71</v>
      </c>
      <c r="S258" s="8">
        <f>ROUND(SUM(ППД5[[#This Row],[Площадь по проекту жилая]:[Лоджия 3]]),2)</f>
        <v>36.159999999999997</v>
      </c>
      <c r="T258" s="8">
        <f>ROUND(ППД5[[#This Row],[Площадь по проекту(общая)]]-ППД5[[#This Row],[Летние]],2)</f>
        <v>33.450000000000003</v>
      </c>
      <c r="U258" s="91">
        <f>ROUND(ППД5[[#This Row],[Площадь по проекту(общая)]]-(SUM(ППД5[[#This Row],[Лоджия 1]:[Лоджия 3]])/2),2)</f>
        <v>34.81</v>
      </c>
      <c r="V258" s="91">
        <f>IF(ППД5[[#This Row],[Статус]]="продажа",ППД5[[#This Row],[Расчетная проектная площадь]],ППД5[[#This Row],[Расчетная ТП площадь]])</f>
        <v>34.81</v>
      </c>
      <c r="W258" s="91">
        <v>14.3</v>
      </c>
      <c r="X258" s="91"/>
      <c r="Y258" s="91"/>
      <c r="Z258" s="91">
        <f>SUM(ППД5[[#This Row],[ТП Комната 1]:[ТП Комната 3]])</f>
        <v>14.3</v>
      </c>
      <c r="AA258" s="91">
        <v>9.1999999999999993</v>
      </c>
      <c r="AB258" s="91">
        <v>3.7</v>
      </c>
      <c r="AC258" s="91"/>
      <c r="AD258" s="91"/>
      <c r="AE258" s="91">
        <v>6.1</v>
      </c>
      <c r="AF258" s="91">
        <v>1.3</v>
      </c>
      <c r="AG258" s="91"/>
      <c r="AH258" s="91"/>
      <c r="AI258" s="91">
        <f>SUM(ППД5[[#This Row],[ТП Лоджия 1]:[ТП Лоджия 3]])</f>
        <v>1.3</v>
      </c>
      <c r="AJ258" s="95">
        <v>2.6</v>
      </c>
      <c r="AK258" s="91">
        <f>SUM(ППД5[[#This Row],[Площадь по ТП жилая]:[ТП Лоджия 3]])-ППД5[[#This Row],[ТП Летние]]+ППД5[[#This Row],[кроме того прочая
(без коэффициента)]]</f>
        <v>35.9</v>
      </c>
      <c r="AL258" s="95">
        <f>ППД5[[#This Row],[ТП Площадь без летних]]+(ППД5[[#This Row],[ТП Летние]])</f>
        <v>34.599999999999994</v>
      </c>
      <c r="AM258" s="91">
        <f>ППД5[[#This Row],[ТП общая S]]-ППД5[[#This Row],[кроме того прочая
(без коэффициента)]]</f>
        <v>33.299999999999997</v>
      </c>
      <c r="AN258" s="95">
        <f>SUM(ППД5[[#This Row],[ТП Кухня]:[ТП Коридор]])</f>
        <v>19</v>
      </c>
      <c r="AO258" s="91">
        <f>ППД5[[#This Row],[Расчетная ТП площадь]]-ППД5[[#This Row],[Расчетная проектная площадь]]</f>
        <v>-0.21000000000000796</v>
      </c>
      <c r="AP258" s="335">
        <f>ППД5[[#This Row],[Расчетная ТП площадь]]/ППД5[[#This Row],[Расчетная проектная площадь]]-1</f>
        <v>-6.0327492099973012E-3</v>
      </c>
      <c r="AQ258" s="91">
        <f>ППД5[[#This Row],[% расхождения]]*ППД5[[#This Row],[Стоимость до скидки]]</f>
        <v>-30622.234989946301</v>
      </c>
      <c r="AR258" s="91">
        <f>VLOOKUP(ППД5[[#This Row],[№]],наценкад5[],COLUMN(наценкад5[[#This Row],[Цена м2 с учетом всех K]]),0)</f>
        <v>84762.5625</v>
      </c>
      <c r="AS258" s="8">
        <f>ППД5[[#This Row],[м2 после К]]*5%</f>
        <v>4238.1281250000002</v>
      </c>
      <c r="AT258" s="8">
        <f>ППД5[[#This Row],[м2 после К]]+ППД5[[#This Row],[Повышение 16.08.23 - 5%]]</f>
        <v>89000.690625000003</v>
      </c>
      <c r="AU258" s="93">
        <f>ППД5[[#This Row],[Фикс 16.08.23]]*3%</f>
        <v>2670.02071875</v>
      </c>
      <c r="AV258" s="93">
        <f>ППД5[[#This Row],[Фикс 16.08.23]]+ППД5[[#This Row],[Повышение 29.08.23 - 3%]]</f>
        <v>91670.711343750008</v>
      </c>
      <c r="AW258" s="93">
        <f>ППД5[[#This Row],[Фикс 29.08.23]]*14%</f>
        <v>12833.899588125003</v>
      </c>
      <c r="AX258" s="93">
        <f>ППД5[[#This Row],[Фикс 29.08.23]]+ППД5[[#This Row],[Повышение 06.09.23 СТ и 1К]]</f>
        <v>104504.61093187501</v>
      </c>
      <c r="AY258" s="93"/>
      <c r="AZ258" s="93">
        <f>ППД5[[#This Row],[Повышение 23.10.23  В4 ]]+ППД5[[#This Row],[Фикс 06.09.23]]</f>
        <v>104504.61093187501</v>
      </c>
      <c r="BA258" s="93">
        <f>ППД5[[#This Row],[Фикс 23.10.23]]*5%</f>
        <v>5225.2305465937507</v>
      </c>
      <c r="BB258" s="93">
        <f>ППД5[[#This Row],[Повышение 8.11.23 1К 5%]]+ППД5[[#This Row],[Фикс 23.10.23]]</f>
        <v>109729.84147846876</v>
      </c>
      <c r="BC258" s="93"/>
      <c r="BD258" s="93">
        <f>ППД5[[#This Row],[Корректировка 24.11.23 - 1К В5, 2К А2, №233]]+ППД5[[#This Row],[Фикс 8.11.23]]</f>
        <v>109729.84147846876</v>
      </c>
      <c r="BE258" s="93">
        <f>ППД5[[#This Row],[Фикс 8.11.24]]*1%</f>
        <v>1097.2984147846876</v>
      </c>
      <c r="BF258" s="93">
        <f>ППД5[[#This Row],[Наценка за отделку 29.12.23 1%]]+ППД5[[#This Row],[Фикс 8.11.24]]</f>
        <v>110827.13989325345</v>
      </c>
      <c r="BG258" s="93">
        <f>ППД5[[#This Row],[Фикс 29.12.23]]*5%</f>
        <v>5541.3569946626731</v>
      </c>
      <c r="BH258" s="93">
        <f>ППД5[[#This Row],[Фикс 29.12.23]]+ППД5[[#This Row],[Наценка 10.01.24 5%]]</f>
        <v>116368.49688791612</v>
      </c>
      <c r="BI258" s="93"/>
      <c r="BJ258" s="93">
        <f>ППД5[[#This Row],[Наценка 26.02.24 1 Этаж]]+ППД5[[#This Row],[Фикс 10.01.24]]</f>
        <v>116368.49688791612</v>
      </c>
      <c r="BK258" s="93">
        <f>ППД5[[#This Row],[Фикс 26.02.24]]*3%</f>
        <v>3491.0549066374833</v>
      </c>
      <c r="BL258" s="93">
        <f>ППД5[[#This Row],[Фикс 26.02.24]]+ППД5[[#This Row],[Наценка 06.03.24
СТ, 1К - 3%
2К, 3К - 2%]]</f>
        <v>119859.5517945536</v>
      </c>
      <c r="BM258" s="93"/>
      <c r="BN258" s="93">
        <f>ППД5[[#This Row],[Фикс 06.03.24]]+ППД5[[#This Row],[Наценка Г2+500]]</f>
        <v>119859.5517945536</v>
      </c>
      <c r="BO258" s="93"/>
      <c r="BP258" s="93">
        <f>ППД5[[#This Row],[Фикс 13.03.25]]+ППД5[[#This Row],[Наценка 20.03.24
2К, 3К - 2%]]</f>
        <v>119859.5517945536</v>
      </c>
      <c r="BQ258" s="93"/>
      <c r="BR258" s="93">
        <f>ППД5[[#This Row],[Фикс 20.03.24]]+ППД5[[#This Row],[Наценка 08.04.24 
2К: В3 - 150
3К: Г7 +1000]]</f>
        <v>119859.5517945536</v>
      </c>
      <c r="BS258" s="93"/>
      <c r="BT258" s="93">
        <f>ППД5[[#This Row],[Фикс 08.04.24]]+ППД5[[#This Row],[Наценка 16.05.24 1%
А4,А6,Б3,Б6,Б7,В2,В3,В5,В6,Г1,Г3-Г5]]</f>
        <v>119859.5517945536</v>
      </c>
      <c r="BU258" s="93"/>
      <c r="BV258" s="93">
        <f>ППД5[[#This Row],[Фикс 16.05.24]]+ППД5[[#This Row],[Наценка 24.05.24
1% - Б4, Б5,Г2,Г6
2% - А1,А3,А5,Б2,Г7]]</f>
        <v>119859.5517945536</v>
      </c>
      <c r="BW258" s="93"/>
      <c r="BX258" s="93">
        <f>ППД5[[#This Row],[Наценка 06.06.24
0К: В2,Г3 +0,5%
1К: А7, Б5/4, Г6 +0,5%
3К: В6 +0,5%
1К: А3 +1%]]+ППД5[[#This Row],[Фикс 24.05.24]]</f>
        <v>119859.5517945536</v>
      </c>
      <c r="BY258" s="93"/>
      <c r="BZ258" s="93">
        <f>ППД5[[#This Row],[Фикс 06.06.24]]+ППД5[[#This Row],[13.06.2024
3К - 2%]]</f>
        <v>119859.5517945536</v>
      </c>
      <c r="CA258" s="93">
        <f>0.5%*ППД5[[#This Row],[Фикс 13.06.24]]</f>
        <v>599.29775897276795</v>
      </c>
      <c r="CB258" s="93">
        <f>ППД5[[#This Row],[02.07.2024: Г3 А1 А3 Б5 Б7 Г2 Г6 Б3 Б4 В3 Г7 2,5% ост 0,5-1,5%]]+ППД5[[#This Row],[Фикс 13.06.24]]</f>
        <v>120458.84955352636</v>
      </c>
      <c r="CC258" s="93"/>
      <c r="CD258" s="93">
        <f>ППД5[[#This Row],[Фикс 02.07.24]]+ППД5[[#This Row],[04.09.2024 +500
0К - Б2; 1К - А3;
2К - А6, Б4, В3, Г5]]</f>
        <v>120458.84955352636</v>
      </c>
      <c r="CE258" s="93">
        <f>ППД5[[#This Row],[Фикс 04.09.24]]*2%</f>
        <v>2409.1769910705275</v>
      </c>
      <c r="CF258" s="93">
        <f>ППД5[[#This Row],[Наценка 16.09.2024
1К: А1,В7,Г6/7,Г8 - 2%
2К: А4,А5,А6,Б1,Б6,Б3/4,В3,В4,Г4,Г5 - 4%
3К: 4%]]+ППД5[[#This Row],[Фикс 04.09.24]]</f>
        <v>122868.0265445969</v>
      </c>
      <c r="CG258" s="93">
        <f>ППД5[[#This Row],[Фикс 16.09.2024]]*5%</f>
        <v>6143.4013272298453</v>
      </c>
      <c r="CH258" s="93">
        <f>ППД5[[#This Row],[Фикс 16.09.2024]]+ППД5[[#This Row],[Наценка 01.11.24
СТ: 4%
1К: 34-40м 5%; 40м+ 8%; МГН 1%
2К: 55-70м 6%; 70-73м 7%; 73-76м 8% 
3К: 5%]]</f>
        <v>129011.42787182675</v>
      </c>
      <c r="CI258" s="93">
        <f>ППД5[[#This Row],[Фикс 01.11.24]]*13%</f>
        <v>16771.485623337478</v>
      </c>
      <c r="CJ258" s="93">
        <f>ППД5[[#This Row],[Наценка 06.11 13%]]+ППД5[[#This Row],[Фикс 01.11.24]]</f>
        <v>145782.91349516422</v>
      </c>
      <c r="CK258" s="93">
        <v>35</v>
      </c>
      <c r="CL258" s="93">
        <f>ППД5[[#This Row],[Фикс 06.11.24]]+ППД5[[#This Row],[Наценка 18.12.24 распределение КВ]]</f>
        <v>145817.91349516422</v>
      </c>
      <c r="CM258" s="93"/>
      <c r="CN258" s="93">
        <f>ППД5[[#This Row],[Фикс 18.12.24]]+ППД5[[#This Row],[Наценка 10.02.25 +1%
1К: А3
2К: Б3, В3]]</f>
        <v>145817.91349516422</v>
      </c>
      <c r="CO258" s="93">
        <f>ROUND(ППД5[[#This Row],[Фикс 10.02.25]],2)</f>
        <v>145817.91</v>
      </c>
      <c r="CP25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5076000</v>
      </c>
      <c r="CQ258" s="93">
        <f>ROUNDUP(ППД5[[#This Row],[Стоимость до скидки]]+ППД5[[#This Row],[Сумма доплаты]],-2)</f>
        <v>5045400</v>
      </c>
      <c r="CR258" s="68"/>
      <c r="CS258" s="90">
        <v>0.02</v>
      </c>
      <c r="CT258" s="68">
        <f>ППД5[[#This Row],[Стоимость до скидки]]*ППД5[[#This Row],[Скидка %]]+ППД5[[#This Row],[Скидка фиксированная]]</f>
        <v>101520</v>
      </c>
      <c r="CU258" s="3">
        <f>ППД5[[#This Row],[Стоимость ОН без отделки со скидкой]]/ППД5[[#This Row],[Расчетная проектная площадь]]</f>
        <v>142903.76328641194</v>
      </c>
      <c r="CV258" s="3">
        <f>ROUND(ППД5[[#This Row],[Стоимость до скидки]]-ППД5[[#This Row],[Итоговая сумма скидки]],2)</f>
        <v>4974480</v>
      </c>
      <c r="CW25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58" s="218"/>
      <c r="CY258" s="332">
        <f>ППД5[[#This Row],[Расхождение]]/ППД5[[#This Row],[Расчетная проектная площадь]]</f>
        <v>-6.0327492099973559E-3</v>
      </c>
      <c r="CZ258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-0.15000000000000036</v>
      </c>
      <c r="DA258" s="3">
        <f>ППД5[[#This Row],[Цена м2 без отделки со скидкой]]+ППД5[[#This Row],[Стоимость отделки]]</f>
        <v>142903.76328641194</v>
      </c>
      <c r="DB258" s="3">
        <f>ППД5[[#This Row],[Стоимость квартиры с отделкой]]-ППД5[[#This Row],[Стоимость ОН без отделки со скидкой]]</f>
        <v>0</v>
      </c>
      <c r="DC258" s="3">
        <f>ППД5[[#This Row],[Цена м2 с отделкой]]*ППД5[[#This Row],[Расчетная проектная площадь]]</f>
        <v>4974480</v>
      </c>
      <c r="DD258" s="3" t="s">
        <v>154</v>
      </c>
      <c r="DE258" s="111" t="s">
        <v>757</v>
      </c>
      <c r="DF258" s="199" t="s">
        <v>172</v>
      </c>
      <c r="DG258" s="245" t="s">
        <v>172</v>
      </c>
      <c r="DH258" s="100" t="b">
        <f>EXACT(ППД5[[#This Row],[Статусы CRM]],ППД5[[#This Row],[Статус]])</f>
        <v>1</v>
      </c>
      <c r="DI258" s="213" t="s">
        <v>430</v>
      </c>
      <c r="DJ258" s="204"/>
      <c r="DK258" s="111" t="s">
        <v>763</v>
      </c>
      <c r="DL258" s="216" t="s">
        <v>12</v>
      </c>
      <c r="DM258" s="201" t="b">
        <f>ППД5[[#This Row],[Отделка CRM]]=ППД5[[#This Row],[Отделка]]</f>
        <v>1</v>
      </c>
      <c r="DN258" s="203">
        <v>4974480</v>
      </c>
      <c r="DO25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58" s="207" t="b">
        <f>IF(AND(ППД5[[#This Row],[Статус]]="свободно",ППД5[[#This Row],[Итоговая сумма скидки]]&lt;&gt;0),FALSE,TRUE)</f>
        <v>1</v>
      </c>
      <c r="DQ258" s="240">
        <f>_xlfn.XLOOKUP(ППД5[[#This Row],[№]],Юрист[№ кв],Юрист[Дата подачи на регистрацию]," ",0,-1)</f>
        <v>45735</v>
      </c>
      <c r="DR258" s="115" t="str">
        <f>_xlfn.XLOOKUP(ППД5[[#This Row],[№]],Юрист[№ кв],Юрист[МОП],"",0,-1)</f>
        <v>Нуждина</v>
      </c>
      <c r="DS258" s="333" t="s">
        <v>2808</v>
      </c>
      <c r="DT258" s="333" t="s">
        <v>2809</v>
      </c>
      <c r="DU258" s="333">
        <v>33.299999999999997</v>
      </c>
      <c r="DV258" s="111"/>
    </row>
    <row r="259" spans="1:126" hidden="1" x14ac:dyDescent="0.25">
      <c r="A259" s="112">
        <v>257</v>
      </c>
      <c r="B259" s="111" t="s">
        <v>3</v>
      </c>
      <c r="C259" s="111">
        <v>6</v>
      </c>
      <c r="D259" s="338">
        <v>1</v>
      </c>
      <c r="E259" s="111">
        <v>2</v>
      </c>
      <c r="F259" s="105">
        <v>17.63</v>
      </c>
      <c r="G259" s="105">
        <v>13.69</v>
      </c>
      <c r="H259" s="105"/>
      <c r="I259" s="94">
        <f>SUM(ППД5[[#This Row],[Комната 1]:[Комната 3]])</f>
        <v>31.32</v>
      </c>
      <c r="J259" s="105">
        <v>20.05</v>
      </c>
      <c r="K259" s="105">
        <v>3.54</v>
      </c>
      <c r="L259" s="105">
        <v>2.93</v>
      </c>
      <c r="M259" s="105"/>
      <c r="N259" s="105">
        <v>12.19</v>
      </c>
      <c r="O259" s="105">
        <v>4.6500000000000004</v>
      </c>
      <c r="P259" s="105">
        <v>2.68</v>
      </c>
      <c r="Q259" s="105"/>
      <c r="R259" s="105">
        <f>SUM(ППД5[[#This Row],[Лоджия 1]:[Лоджия 3]])</f>
        <v>7.33</v>
      </c>
      <c r="S259" s="8">
        <f>ROUND(SUM(ППД5[[#This Row],[Площадь по проекту жилая]:[Лоджия 3]]),2)</f>
        <v>77.36</v>
      </c>
      <c r="T259" s="8">
        <f>ROUND(ППД5[[#This Row],[Площадь по проекту(общая)]]-ППД5[[#This Row],[Летние]],2)</f>
        <v>70.03</v>
      </c>
      <c r="U259" s="91">
        <f>ROUND(ППД5[[#This Row],[Площадь по проекту(общая)]]-(SUM(ППД5[[#This Row],[Лоджия 1]:[Лоджия 3]])/2),2)</f>
        <v>73.7</v>
      </c>
      <c r="V259" s="91">
        <f>IF(ППД5[[#This Row],[Статус]]="продажа",ППД5[[#This Row],[Расчетная проектная площадь]],ППД5[[#This Row],[Расчетная ТП площадь]])</f>
        <v>73.7</v>
      </c>
      <c r="W259" s="91">
        <v>17.600000000000001</v>
      </c>
      <c r="X259" s="91">
        <v>13.6</v>
      </c>
      <c r="Y259" s="91"/>
      <c r="Z259" s="91">
        <f>SUM(ППД5[[#This Row],[ТП Комната 1]:[ТП Комната 3]])</f>
        <v>31.200000000000003</v>
      </c>
      <c r="AA259" s="91">
        <v>20</v>
      </c>
      <c r="AB259" s="91">
        <v>3.5</v>
      </c>
      <c r="AC259" s="91">
        <v>2.9</v>
      </c>
      <c r="AD259" s="91"/>
      <c r="AE259" s="91">
        <v>12.1</v>
      </c>
      <c r="AF259" s="91">
        <v>1.35</v>
      </c>
      <c r="AG259" s="91">
        <v>2.2999999999999998</v>
      </c>
      <c r="AH259" s="91"/>
      <c r="AI259" s="91">
        <f>SUM(ППД5[[#This Row],[ТП Лоджия 1]:[ТП Лоджия 3]])</f>
        <v>3.65</v>
      </c>
      <c r="AJ259" s="95">
        <v>7.3</v>
      </c>
      <c r="AK259" s="91">
        <f>SUM(ППД5[[#This Row],[Площадь по ТП жилая]:[ТП Лоджия 3]])-ППД5[[#This Row],[ТП Летние]]+ППД5[[#This Row],[кроме того прочая
(без коэффициента)]]</f>
        <v>76.999999999999986</v>
      </c>
      <c r="AL259" s="95">
        <f>ППД5[[#This Row],[ТП Площадь без летних]]+(ППД5[[#This Row],[ТП Летние]])</f>
        <v>73.349999999999994</v>
      </c>
      <c r="AM259" s="91">
        <f>ППД5[[#This Row],[ТП общая S]]-ППД5[[#This Row],[кроме того прочая
(без коэффициента)]]</f>
        <v>69.699999999999989</v>
      </c>
      <c r="AN259" s="95">
        <f>SUM(ППД5[[#This Row],[ТП Кухня]:[ТП Коридор]])</f>
        <v>38.5</v>
      </c>
      <c r="AO259" s="91">
        <f>ППД5[[#This Row],[Расчетная ТП площадь]]-ППД5[[#This Row],[Расчетная проектная площадь]]</f>
        <v>-0.35000000000000853</v>
      </c>
      <c r="AP259" s="335">
        <f>ППД5[[#This Row],[Расчетная ТП площадь]]/ППД5[[#This Row],[Расчетная проектная площадь]]-1</f>
        <v>-4.7489823609228043E-3</v>
      </c>
      <c r="AQ259" s="91">
        <f>ППД5[[#This Row],[% расхождения]]*ППД5[[#This Row],[Стоимость до скидки]]</f>
        <v>-30398.710990502965</v>
      </c>
      <c r="AR259" s="91">
        <f>VLOOKUP(ППД5[[#This Row],[№]],наценкад5[],COLUMN(наценкад5[[#This Row],[Цена м2 с учетом всех K]]),0)</f>
        <v>80307.864000000001</v>
      </c>
      <c r="AS259" s="8">
        <f>ППД5[[#This Row],[м2 после К]]*5%</f>
        <v>4015.3932000000004</v>
      </c>
      <c r="AT259" s="8">
        <f>ППД5[[#This Row],[м2 после К]]+ППД5[[#This Row],[Повышение 16.08.23 - 5%]]</f>
        <v>84323.257200000007</v>
      </c>
      <c r="AU259" s="93">
        <f>ППД5[[#This Row],[Фикс 16.08.23]]*3%</f>
        <v>2529.6977160000001</v>
      </c>
      <c r="AV259" s="93">
        <f>ППД5[[#This Row],[Фикс 16.08.23]]+ППД5[[#This Row],[Повышение 29.08.23 - 3%]]</f>
        <v>86852.954916000002</v>
      </c>
      <c r="AW259" s="93"/>
      <c r="AX259" s="93">
        <f>ППД5[[#This Row],[Фикс 29.08.23]]+ППД5[[#This Row],[Повышение 06.09.23 СТ и 1К]]</f>
        <v>86852.954916000002</v>
      </c>
      <c r="AY259" s="93"/>
      <c r="AZ259" s="93">
        <f>ППД5[[#This Row],[Повышение 23.10.23  В4 ]]+ППД5[[#This Row],[Фикс 06.09.23]]</f>
        <v>86852.954916000002</v>
      </c>
      <c r="BA259" s="93"/>
      <c r="BB259" s="93">
        <f>ППД5[[#This Row],[Повышение 8.11.23 1К 5%]]+ППД5[[#This Row],[Фикс 23.10.23]]</f>
        <v>86852.954916000002</v>
      </c>
      <c r="BC259" s="93"/>
      <c r="BD259" s="93">
        <f>ППД5[[#This Row],[Корректировка 24.11.23 - 1К В5, 2К А2, №233]]+ППД5[[#This Row],[Фикс 8.11.23]]</f>
        <v>86852.954916000002</v>
      </c>
      <c r="BE259" s="93"/>
      <c r="BF259" s="93">
        <f>ППД5[[#This Row],[Наценка за отделку 29.12.23 1%]]+ППД5[[#This Row],[Фикс 8.11.24]]</f>
        <v>86852.954916000002</v>
      </c>
      <c r="BG259" s="93"/>
      <c r="BH259" s="93">
        <f>ППД5[[#This Row],[Фикс 29.12.23]]+ППД5[[#This Row],[Наценка 10.01.24 5%]]</f>
        <v>86852.954916000002</v>
      </c>
      <c r="BI259" s="93"/>
      <c r="BJ259" s="93">
        <f>ППД5[[#This Row],[Наценка 26.02.24 1 Этаж]]+ППД5[[#This Row],[Фикс 10.01.24]]</f>
        <v>86852.954916000002</v>
      </c>
      <c r="BK259" s="93"/>
      <c r="BL259" s="93">
        <f>ППД5[[#This Row],[Фикс 26.02.24]]+ППД5[[#This Row],[Наценка 06.03.24
СТ, 1К - 3%
2К, 3К - 2%]]</f>
        <v>86852.954916000002</v>
      </c>
      <c r="BM259" s="93"/>
      <c r="BN259" s="93">
        <f>ППД5[[#This Row],[Фикс 06.03.24]]+ППД5[[#This Row],[Наценка Г2+500]]</f>
        <v>86852.954916000002</v>
      </c>
      <c r="BO259" s="93"/>
      <c r="BP259" s="93">
        <f>ППД5[[#This Row],[Фикс 13.03.25]]+ППД5[[#This Row],[Наценка 20.03.24
2К, 3К - 2%]]</f>
        <v>86852.954916000002</v>
      </c>
      <c r="BQ259" s="93"/>
      <c r="BR259" s="93">
        <f>ППД5[[#This Row],[Фикс 20.03.24]]+ППД5[[#This Row],[Наценка 08.04.24 
2К: В3 - 150
3К: Г7 +1000]]</f>
        <v>86852.954916000002</v>
      </c>
      <c r="BS259" s="93"/>
      <c r="BT259" s="93">
        <f>ППД5[[#This Row],[Фикс 08.04.24]]+ППД5[[#This Row],[Наценка 16.05.24 1%
А4,А6,Б3,Б6,Б7,В2,В3,В5,В6,Г1,Г3-Г5]]</f>
        <v>86852.954916000002</v>
      </c>
      <c r="BU259" s="93"/>
      <c r="BV259" s="93">
        <f>ППД5[[#This Row],[Фикс 16.05.24]]+ППД5[[#This Row],[Наценка 24.05.24
1% - Б4, Б5,Г2,Г6
2% - А1,А3,А5,Б2,Г7]]</f>
        <v>86852.954916000002</v>
      </c>
      <c r="BW259" s="93"/>
      <c r="BX259" s="93">
        <f>ППД5[[#This Row],[Наценка 06.06.24
0К: В2,Г3 +0,5%
1К: А7, Б5/4, Г6 +0,5%
3К: В6 +0,5%
1К: А3 +1%]]+ППД5[[#This Row],[Фикс 24.05.24]]</f>
        <v>86852.954916000002</v>
      </c>
      <c r="BY259" s="93"/>
      <c r="BZ259" s="93">
        <f>ППД5[[#This Row],[Фикс 06.06.24]]+ППД5[[#This Row],[13.06.2024
3К - 2%]]</f>
        <v>86852.954916000002</v>
      </c>
      <c r="CA259" s="93"/>
      <c r="CB259" s="93">
        <f>ППД5[[#This Row],[02.07.2024: Г3 А1 А3 Б5 Б7 Г2 Г6 Б3 Б4 В3 Г7 2,5% ост 0,5-1,5%]]+ППД5[[#This Row],[Фикс 13.06.24]]</f>
        <v>86852.954916000002</v>
      </c>
      <c r="CC259" s="93"/>
      <c r="CD259" s="93">
        <f>ППД5[[#This Row],[Фикс 02.07.24]]+ППД5[[#This Row],[04.09.2024 +500
0К - Б2; 1К - А3;
2К - А6, Б4, В3, Г5]]</f>
        <v>86852.954916000002</v>
      </c>
      <c r="CE259" s="93"/>
      <c r="CF259" s="93">
        <f>ППД5[[#This Row],[Наценка 16.09.2024
1К: А1,В7,Г6/7,Г8 - 2%
2К: А4,А5,А6,Б1,Б6,Б3/4,В3,В4,Г4,Г5 - 4%
3К: 4%]]+ППД5[[#This Row],[Фикс 04.09.24]]</f>
        <v>86852.954916000002</v>
      </c>
      <c r="CG259" s="93"/>
      <c r="CH259" s="93">
        <f>ППД5[[#This Row],[Фикс 16.09.2024]]+ППД5[[#This Row],[Наценка 01.11.24
СТ: 4%
1К: 34-40м 5%; 40м+ 8%; МГН 1%
2К: 55-70м 6%; 70-73м 7%; 73-76м 8% 
3К: 5%]]</f>
        <v>86852.954916000002</v>
      </c>
      <c r="CI259" s="93"/>
      <c r="CJ259" s="93">
        <f>ППД5[[#This Row],[Наценка 06.11 13%]]+ППД5[[#This Row],[Фикс 01.11.24]]</f>
        <v>86852.954916000002</v>
      </c>
      <c r="CK259" s="93"/>
      <c r="CL259" s="93">
        <f>ППД5[[#This Row],[Фикс 06.11.24]]+ППД5[[#This Row],[Наценка 18.12.24 распределение КВ]]</f>
        <v>86852.954916000002</v>
      </c>
      <c r="CM259" s="93"/>
      <c r="CN259" s="93">
        <f>ППД5[[#This Row],[Фикс 18.12.24]]+ППД5[[#This Row],[Наценка 10.02.25 +1%
1К: А3
2К: Б3, В3]]</f>
        <v>86852.954916000002</v>
      </c>
      <c r="CO259" s="93">
        <f>ROUND(ППД5[[#This Row],[Фикс 10.02.25]],2)</f>
        <v>86852.95</v>
      </c>
      <c r="CP25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6401100</v>
      </c>
      <c r="CQ259" s="93">
        <f>ROUNDUP(ППД5[[#This Row],[Стоимость до скидки]]+ППД5[[#This Row],[Сумма доплаты]],-2)</f>
        <v>6370800</v>
      </c>
      <c r="CR259" s="68"/>
      <c r="CS259" s="90">
        <v>0.02</v>
      </c>
      <c r="CT259" s="68">
        <f>ППД5[[#This Row],[Стоимость до скидки]]*ППД5[[#This Row],[Скидка %]]+ППД5[[#This Row],[Скидка фиксированная]]</f>
        <v>128022</v>
      </c>
      <c r="CU259" s="3">
        <f>ППД5[[#This Row],[Стоимость ОН без отделки со скидкой]]/ППД5[[#This Row],[Расчетная проектная площадь]]</f>
        <v>85116.390773405699</v>
      </c>
      <c r="CV259" s="3">
        <f>ROUND(ППД5[[#This Row],[Стоимость до скидки]]-ППД5[[#This Row],[Итоговая сумма скидки]],2)</f>
        <v>6273078</v>
      </c>
      <c r="CW25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59" s="197">
        <v>22000</v>
      </c>
      <c r="CY259" s="332">
        <f>ППД5[[#This Row],[Расхождение]]/ППД5[[#This Row],[Расчетная проектная площадь]]</f>
        <v>-4.7489823609227749E-3</v>
      </c>
      <c r="CZ25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-0.2099999999999973</v>
      </c>
      <c r="DA259" s="3">
        <f>ППД5[[#This Row],[Цена м2 без отделки со скидкой]]+ППД5[[#This Row],[Стоимость отделки]]</f>
        <v>107116.3907734057</v>
      </c>
      <c r="DB259" s="3">
        <f>ППД5[[#This Row],[Стоимость квартиры с отделкой]]-ППД5[[#This Row],[Стоимость ОН без отделки со скидкой]]</f>
        <v>1621400</v>
      </c>
      <c r="DC259" s="3">
        <f>ППД5[[#This Row],[Цена м2 с отделкой]]*ППД5[[#This Row],[Расчетная проектная площадь]]</f>
        <v>7894478</v>
      </c>
      <c r="DD259" s="3" t="s">
        <v>158</v>
      </c>
      <c r="DE259" s="111" t="s">
        <v>757</v>
      </c>
      <c r="DF259" s="199" t="s">
        <v>172</v>
      </c>
      <c r="DG259" s="245" t="s">
        <v>172</v>
      </c>
      <c r="DH259" s="100" t="b">
        <f>EXACT(ППД5[[#This Row],[Статусы CRM]],ППД5[[#This Row],[Статус]])</f>
        <v>1</v>
      </c>
      <c r="DI259" s="213" t="s">
        <v>431</v>
      </c>
      <c r="DJ259" s="204"/>
      <c r="DK259" s="111" t="s">
        <v>763</v>
      </c>
      <c r="DL259" s="216" t="s">
        <v>14</v>
      </c>
      <c r="DM259" s="201" t="b">
        <f>ППД5[[#This Row],[Отделка CRM]]=ППД5[[#This Row],[Отделка]]</f>
        <v>1</v>
      </c>
      <c r="DN259" s="203">
        <v>7894478</v>
      </c>
      <c r="DO25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59" s="207" t="b">
        <f>IF(AND(ППД5[[#This Row],[Статус]]="свободно",ППД5[[#This Row],[Итоговая сумма скидки]]&lt;&gt;0),FALSE,TRUE)</f>
        <v>1</v>
      </c>
      <c r="DQ259" s="240">
        <f>_xlfn.XLOOKUP(ППД5[[#This Row],[№]],Юрист[№ кв],Юрист[Дата подачи на регистрацию]," ",0,-1)</f>
        <v>45285</v>
      </c>
      <c r="DR259" s="115" t="str">
        <f>_xlfn.XLOOKUP(ППД5[[#This Row],[№]],Юрист[№ кв],Юрист[МОП],"",0,-1)</f>
        <v>Дик</v>
      </c>
      <c r="DS259" s="333" t="s">
        <v>2810</v>
      </c>
      <c r="DT259" s="333" t="s">
        <v>2811</v>
      </c>
      <c r="DU259" s="333">
        <v>69.7</v>
      </c>
      <c r="DV259" s="111"/>
    </row>
    <row r="260" spans="1:126" hidden="1" x14ac:dyDescent="0.25">
      <c r="A260" s="112">
        <v>258</v>
      </c>
      <c r="B260" s="111" t="s">
        <v>3</v>
      </c>
      <c r="C260" s="111">
        <v>6</v>
      </c>
      <c r="D260" s="111">
        <v>2</v>
      </c>
      <c r="E260" s="111">
        <v>0</v>
      </c>
      <c r="F260" s="105">
        <v>7.18</v>
      </c>
      <c r="G260" s="105"/>
      <c r="H260" s="105"/>
      <c r="I260" s="94">
        <f>SUM(ППД5[[#This Row],[Комната 1]:[Комната 3]])</f>
        <v>7.18</v>
      </c>
      <c r="J260" s="105">
        <v>5.17</v>
      </c>
      <c r="K260" s="105">
        <v>3.72</v>
      </c>
      <c r="L260" s="105"/>
      <c r="M260" s="105"/>
      <c r="N260" s="105">
        <v>6.97</v>
      </c>
      <c r="O260" s="105">
        <v>2.97</v>
      </c>
      <c r="P260" s="105"/>
      <c r="Q260" s="105"/>
      <c r="R260" s="105">
        <f>SUM(ППД5[[#This Row],[Лоджия 1]:[Лоджия 3]])</f>
        <v>2.97</v>
      </c>
      <c r="S260" s="8">
        <f>ROUND(SUM(ППД5[[#This Row],[Площадь по проекту жилая]:[Лоджия 3]]),2)</f>
        <v>26.01</v>
      </c>
      <c r="T260" s="8">
        <f>ROUND(ППД5[[#This Row],[Площадь по проекту(общая)]]-ППД5[[#This Row],[Летние]],2)</f>
        <v>23.04</v>
      </c>
      <c r="U260" s="91">
        <f>ROUND(ППД5[[#This Row],[Площадь по проекту(общая)]]-(SUM(ППД5[[#This Row],[Лоджия 1]:[Лоджия 3]])/2),2)</f>
        <v>24.53</v>
      </c>
      <c r="V260" s="91">
        <f>IF(ППД5[[#This Row],[Статус]]="продажа",ППД5[[#This Row],[Расчетная проектная площадь]],ППД5[[#This Row],[Расчетная ТП площадь]])</f>
        <v>24.53</v>
      </c>
      <c r="W260" s="91">
        <v>7.2</v>
      </c>
      <c r="X260" s="91"/>
      <c r="Y260" s="91"/>
      <c r="Z260" s="91">
        <f>SUM(ППД5[[#This Row],[ТП Комната 1]:[ТП Комната 3]])</f>
        <v>7.2</v>
      </c>
      <c r="AA260" s="91">
        <v>5.0999999999999996</v>
      </c>
      <c r="AB260" s="91">
        <v>3.7</v>
      </c>
      <c r="AC260" s="91"/>
      <c r="AD260" s="91"/>
      <c r="AE260" s="91">
        <v>6.9</v>
      </c>
      <c r="AF260" s="91">
        <v>1.45</v>
      </c>
      <c r="AG260" s="91"/>
      <c r="AH260" s="91"/>
      <c r="AI260" s="91">
        <f>SUM(ППД5[[#This Row],[ТП Лоджия 1]:[ТП Лоджия 3]])</f>
        <v>1.45</v>
      </c>
      <c r="AJ260" s="95">
        <v>2.9</v>
      </c>
      <c r="AK260" s="91">
        <f>SUM(ППД5[[#This Row],[Площадь по ТП жилая]:[ТП Лоджия 3]])-ППД5[[#This Row],[ТП Летние]]+ППД5[[#This Row],[кроме того прочая
(без коэффициента)]]</f>
        <v>25.799999999999997</v>
      </c>
      <c r="AL260" s="95">
        <f>ППД5[[#This Row],[ТП Площадь без летних]]+(ППД5[[#This Row],[ТП Летние]])</f>
        <v>24.349999999999998</v>
      </c>
      <c r="AM260" s="91">
        <f>ППД5[[#This Row],[ТП общая S]]-ППД5[[#This Row],[кроме того прочая
(без коэффициента)]]</f>
        <v>22.9</v>
      </c>
      <c r="AN260" s="95">
        <f>SUM(ППД5[[#This Row],[ТП Кухня]:[ТП Коридор]])</f>
        <v>15.700000000000001</v>
      </c>
      <c r="AO260" s="91">
        <f>ППД5[[#This Row],[Расчетная ТП площадь]]-ППД5[[#This Row],[Расчетная проектная площадь]]</f>
        <v>-0.18000000000000327</v>
      </c>
      <c r="AP260" s="335">
        <f>ППД5[[#This Row],[Расчетная ТП площадь]]/ППД5[[#This Row],[Расчетная проектная площадь]]-1</f>
        <v>-7.3379535262945161E-3</v>
      </c>
      <c r="AQ260" s="91">
        <f>ППД5[[#This Row],[% расхождения]]*ППД5[[#This Row],[Стоимость до скидки]]</f>
        <v>-22774.072564207661</v>
      </c>
      <c r="AR260" s="91">
        <f>VLOOKUP(ППД5[[#This Row],[№]],наценкад5[],COLUMN(наценкад5[[#This Row],[Цена м2 с учетом всех K]]),0)</f>
        <v>91105.56</v>
      </c>
      <c r="AS260" s="8">
        <f>ППД5[[#This Row],[м2 после К]]*5%</f>
        <v>4555.2780000000002</v>
      </c>
      <c r="AT260" s="8">
        <f>ППД5[[#This Row],[м2 после К]]+ППД5[[#This Row],[Повышение 16.08.23 - 5%]]</f>
        <v>95660.838000000003</v>
      </c>
      <c r="AU260" s="93">
        <f>ППД5[[#This Row],[Фикс 16.08.23]]*3%</f>
        <v>2869.8251399999999</v>
      </c>
      <c r="AV260" s="93">
        <f>ППД5[[#This Row],[Фикс 16.08.23]]+ППД5[[#This Row],[Повышение 29.08.23 - 3%]]</f>
        <v>98530.663140000004</v>
      </c>
      <c r="AW260" s="93">
        <f>ППД5[[#This Row],[Фикс 29.08.23]]*13%</f>
        <v>12808.986208200002</v>
      </c>
      <c r="AX260" s="93">
        <f>ППД5[[#This Row],[Фикс 29.08.23]]+ППД5[[#This Row],[Повышение 06.09.23 СТ и 1К]]</f>
        <v>111339.64934820001</v>
      </c>
      <c r="AY260" s="93">
        <f>ППД5[[#This Row],[Фикс 06.09.23]]*3%</f>
        <v>3340.1894804460003</v>
      </c>
      <c r="AZ260" s="93">
        <f>ППД5[[#This Row],[Повышение 23.10.23  В4 ]]+ППД5[[#This Row],[Фикс 06.09.23]]</f>
        <v>114679.83882864601</v>
      </c>
      <c r="BA260" s="93"/>
      <c r="BB260" s="93">
        <f>ППД5[[#This Row],[Повышение 8.11.23 1К 5%]]+ППД5[[#This Row],[Фикс 23.10.23]]</f>
        <v>114679.83882864601</v>
      </c>
      <c r="BC260" s="93"/>
      <c r="BD260" s="93">
        <f>ППД5[[#This Row],[Корректировка 24.11.23 - 1К В5, 2К А2, №233]]+ППД5[[#This Row],[Фикс 8.11.23]]</f>
        <v>114679.83882864601</v>
      </c>
      <c r="BE260" s="93">
        <f>ППД5[[#This Row],[Фикс 8.11.24]]*1%</f>
        <v>1146.7983882864601</v>
      </c>
      <c r="BF260" s="93">
        <f>ППД5[[#This Row],[Наценка за отделку 29.12.23 1%]]+ППД5[[#This Row],[Фикс 8.11.24]]</f>
        <v>115826.63721693247</v>
      </c>
      <c r="BG260" s="93">
        <f>ППД5[[#This Row],[Фикс 29.12.23]]*5%</f>
        <v>5791.3318608466243</v>
      </c>
      <c r="BH260" s="93">
        <f>ППД5[[#This Row],[Фикс 29.12.23]]+ППД5[[#This Row],[Наценка 10.01.24 5%]]</f>
        <v>121617.9690777791</v>
      </c>
      <c r="BI260" s="93"/>
      <c r="BJ260" s="93">
        <f>ППД5[[#This Row],[Наценка 26.02.24 1 Этаж]]+ППД5[[#This Row],[Фикс 10.01.24]]</f>
        <v>121617.9690777791</v>
      </c>
      <c r="BK260" s="93">
        <f>ППД5[[#This Row],[Фикс 26.02.24]]*3%</f>
        <v>3648.5390723333726</v>
      </c>
      <c r="BL260" s="93">
        <f>ППД5[[#This Row],[Фикс 26.02.24]]+ППД5[[#This Row],[Наценка 06.03.24
СТ, 1К - 3%
2К, 3К - 2%]]</f>
        <v>125266.50815011247</v>
      </c>
      <c r="BM260" s="93"/>
      <c r="BN260" s="93">
        <f>ППД5[[#This Row],[Фикс 06.03.24]]+ППД5[[#This Row],[Наценка Г2+500]]</f>
        <v>125266.50815011247</v>
      </c>
      <c r="BO260" s="93"/>
      <c r="BP260" s="93">
        <f>ППД5[[#This Row],[Фикс 13.03.25]]+ППД5[[#This Row],[Наценка 20.03.24
2К, 3К - 2%]]</f>
        <v>125266.50815011247</v>
      </c>
      <c r="BQ260" s="93"/>
      <c r="BR260" s="93">
        <f>ППД5[[#This Row],[Фикс 20.03.24]]+ППД5[[#This Row],[Наценка 08.04.24 
2К: В3 - 150
3К: Г7 +1000]]</f>
        <v>125266.50815011247</v>
      </c>
      <c r="BS260" s="93">
        <f>ППД5[[#This Row],[Фикс 08.04.24]]*1%</f>
        <v>1252.6650815011246</v>
      </c>
      <c r="BT260" s="93">
        <f>ППД5[[#This Row],[Фикс 08.04.24]]+ППД5[[#This Row],[Наценка 16.05.24 1%
А4,А6,Б3,Б6,Б7,В2,В3,В5,В6,Г1,Г3-Г5]]</f>
        <v>126519.17323161359</v>
      </c>
      <c r="BU260" s="93"/>
      <c r="BV260" s="93">
        <f>ППД5[[#This Row],[Фикс 16.05.24]]+ППД5[[#This Row],[Наценка 24.05.24
1% - Б4, Б5,Г2,Г6
2% - А1,А3,А5,Б2,Г7]]</f>
        <v>126519.17323161359</v>
      </c>
      <c r="BW260" s="93"/>
      <c r="BX260" s="93">
        <f>ППД5[[#This Row],[Наценка 06.06.24
0К: В2,Г3 +0,5%
1К: А7, Б5/4, Г6 +0,5%
3К: В6 +0,5%
1К: А3 +1%]]+ППД5[[#This Row],[Фикс 24.05.24]]</f>
        <v>126519.17323161359</v>
      </c>
      <c r="BY260" s="93"/>
      <c r="BZ260" s="93">
        <f>ППД5[[#This Row],[Фикс 06.06.24]]+ППД5[[#This Row],[13.06.2024
3К - 2%]]</f>
        <v>126519.17323161359</v>
      </c>
      <c r="CA260" s="93"/>
      <c r="CB260" s="93">
        <f>ППД5[[#This Row],[02.07.2024: Г3 А1 А3 Б5 Б7 Г2 Г6 Б3 Б4 В3 Г7 2,5% ост 0,5-1,5%]]+ППД5[[#This Row],[Фикс 13.06.24]]</f>
        <v>126519.17323161359</v>
      </c>
      <c r="CC260" s="93"/>
      <c r="CD260" s="93">
        <f>ППД5[[#This Row],[Фикс 02.07.24]]+ППД5[[#This Row],[04.09.2024 +500
0К - Б2; 1К - А3;
2К - А6, Б4, В3, Г5]]</f>
        <v>126519.17323161359</v>
      </c>
      <c r="CE260" s="93"/>
      <c r="CF260" s="93">
        <f>ППД5[[#This Row],[Наценка 16.09.2024
1К: А1,В7,Г6/7,Г8 - 2%
2К: А4,А5,А6,Б1,Б6,Б3/4,В3,В4,Г4,Г5 - 4%
3К: 4%]]+ППД5[[#This Row],[Фикс 04.09.24]]</f>
        <v>126519.17323161359</v>
      </c>
      <c r="CG260" s="93"/>
      <c r="CH260" s="93">
        <f>ППД5[[#This Row],[Фикс 16.09.2024]]+ППД5[[#This Row],[Наценка 01.11.24
СТ: 4%
1К: 34-40м 5%; 40м+ 8%; МГН 1%
2К: 55-70м 6%; 70-73м 7%; 73-76м 8% 
3К: 5%]]</f>
        <v>126519.17323161359</v>
      </c>
      <c r="CI260" s="93"/>
      <c r="CJ260" s="93">
        <f>ППД5[[#This Row],[Наценка 06.11 13%]]+ППД5[[#This Row],[Фикс 01.11.24]]</f>
        <v>126519.17323161359</v>
      </c>
      <c r="CK260" s="93"/>
      <c r="CL260" s="93">
        <f>ППД5[[#This Row],[Фикс 06.11.24]]+ППД5[[#This Row],[Наценка 18.12.24 распределение КВ]]</f>
        <v>126519.17323161359</v>
      </c>
      <c r="CM260" s="93"/>
      <c r="CN260" s="93">
        <f>ППД5[[#This Row],[Фикс 18.12.24]]+ППД5[[#This Row],[Наценка 10.02.25 +1%
1К: А3
2К: Б3, В3]]</f>
        <v>126519.17323161359</v>
      </c>
      <c r="CO260" s="93">
        <f>ROUND(ППД5[[#This Row],[Фикс 10.02.25]],2)</f>
        <v>126519.17</v>
      </c>
      <c r="CP26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3103600</v>
      </c>
      <c r="CQ260" s="93">
        <f>ROUNDUP(ППД5[[#This Row],[Стоимость до скидки]]+ППД5[[#This Row],[Сумма доплаты]],-2)</f>
        <v>3080900</v>
      </c>
      <c r="CR260" s="68"/>
      <c r="CS260" s="90"/>
      <c r="CT260" s="68">
        <f>ППД5[[#This Row],[Стоимость до скидки]]*ППД5[[#This Row],[Скидка %]]+ППД5[[#This Row],[Скидка фиксированная]]</f>
        <v>0</v>
      </c>
      <c r="CU260" s="3">
        <f>ППД5[[#This Row],[Стоимость ОН без отделки со скидкой]]/ППД5[[#This Row],[Расчетная проектная площадь]]</f>
        <v>126522.62535670606</v>
      </c>
      <c r="CV260" s="3">
        <f>ROUND(ППД5[[#This Row],[Стоимость до скидки]]-ППД5[[#This Row],[Итоговая сумма скидки]],2)</f>
        <v>3103600</v>
      </c>
      <c r="CW26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60" s="197">
        <v>20000</v>
      </c>
      <c r="CY260" s="332">
        <f>ППД5[[#This Row],[Расхождение]]/ППД5[[#This Row],[Расчетная проектная площадь]]</f>
        <v>-7.3379535262944667E-3</v>
      </c>
      <c r="CZ26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-0.16000000000000014</v>
      </c>
      <c r="DA260" s="3">
        <f>ППД5[[#This Row],[Цена м2 без отделки со скидкой]]+ППД5[[#This Row],[Стоимость отделки]]</f>
        <v>146522.62535670606</v>
      </c>
      <c r="DB260" s="3">
        <f>ППД5[[#This Row],[Стоимость квартиры с отделкой]]-ППД5[[#This Row],[Стоимость ОН без отделки со скидкой]]</f>
        <v>490600</v>
      </c>
      <c r="DC260" s="3">
        <f>ППД5[[#This Row],[Цена м2 с отделкой]]*ППД5[[#This Row],[Расчетная проектная площадь]]</f>
        <v>3594200</v>
      </c>
      <c r="DD260" s="3"/>
      <c r="DF260" s="199" t="s">
        <v>172</v>
      </c>
      <c r="DG260" s="245" t="s">
        <v>172</v>
      </c>
      <c r="DH260" s="100" t="b">
        <f>EXACT(ППД5[[#This Row],[Статусы CRM]],ППД5[[#This Row],[Статус]])</f>
        <v>1</v>
      </c>
      <c r="DI260" s="213" t="s">
        <v>432</v>
      </c>
      <c r="DJ260" s="204"/>
      <c r="DK260" s="111" t="s">
        <v>763</v>
      </c>
      <c r="DL260" s="216" t="s">
        <v>14</v>
      </c>
      <c r="DM260" s="201" t="b">
        <f>ППД5[[#This Row],[Отделка CRM]]=ППД5[[#This Row],[Отделка]]</f>
        <v>1</v>
      </c>
      <c r="DN260" s="203">
        <v>3594200</v>
      </c>
      <c r="DO26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60" s="207" t="b">
        <f>IF(AND(ППД5[[#This Row],[Статус]]="свободно",ППД5[[#This Row],[Итоговая сумма скидки]]&lt;&gt;0),FALSE,TRUE)</f>
        <v>1</v>
      </c>
      <c r="DQ260" s="240">
        <f>_xlfn.XLOOKUP(ППД5[[#This Row],[№]],Юрист[№ кв],Юрист[Дата подачи на регистрацию]," ",0,-1)</f>
        <v>45441</v>
      </c>
      <c r="DR260" s="115" t="str">
        <f>_xlfn.XLOOKUP(ППД5[[#This Row],[№]],Юрист[№ кв],Юрист[МОП],"",0,-1)</f>
        <v>Дик</v>
      </c>
      <c r="DS260" s="333" t="s">
        <v>2812</v>
      </c>
      <c r="DT260" s="333" t="s">
        <v>2813</v>
      </c>
      <c r="DU260" s="333">
        <v>22.9</v>
      </c>
      <c r="DV260" s="111"/>
    </row>
    <row r="261" spans="1:126" hidden="1" x14ac:dyDescent="0.25">
      <c r="A261" s="112">
        <v>259</v>
      </c>
      <c r="B261" s="111" t="s">
        <v>3</v>
      </c>
      <c r="C261" s="111">
        <v>6</v>
      </c>
      <c r="D261" s="111">
        <v>3</v>
      </c>
      <c r="E261" s="111">
        <v>2</v>
      </c>
      <c r="F261" s="105">
        <v>13.69</v>
      </c>
      <c r="G261" s="105">
        <v>10.16</v>
      </c>
      <c r="H261" s="105"/>
      <c r="I261" s="94">
        <f>SUM(ППД5[[#This Row],[Комната 1]:[Комната 3]])</f>
        <v>23.85</v>
      </c>
      <c r="J261" s="105">
        <v>18.71</v>
      </c>
      <c r="K261" s="105">
        <v>3.49</v>
      </c>
      <c r="L261" s="105">
        <v>2.11</v>
      </c>
      <c r="M261" s="105"/>
      <c r="N261" s="105">
        <v>7.09</v>
      </c>
      <c r="O261" s="105">
        <v>2.65</v>
      </c>
      <c r="P261" s="105"/>
      <c r="Q261" s="105"/>
      <c r="R261" s="105">
        <f>SUM(ППД5[[#This Row],[Лоджия 1]:[Лоджия 3]])</f>
        <v>2.65</v>
      </c>
      <c r="S261" s="8">
        <f>ROUND(SUM(ППД5[[#This Row],[Площадь по проекту жилая]:[Лоджия 3]]),2)</f>
        <v>57.9</v>
      </c>
      <c r="T261" s="8">
        <f>ROUND(ППД5[[#This Row],[Площадь по проекту(общая)]]-ППД5[[#This Row],[Летние]],2)</f>
        <v>55.25</v>
      </c>
      <c r="U261" s="91">
        <f>ROUND(ППД5[[#This Row],[Площадь по проекту(общая)]]-(SUM(ППД5[[#This Row],[Лоджия 1]:[Лоджия 3]])/2),2)</f>
        <v>56.58</v>
      </c>
      <c r="V261" s="91">
        <f>IF(ППД5[[#This Row],[Статус]]="продажа",ППД5[[#This Row],[Расчетная проектная площадь]],ППД5[[#This Row],[Расчетная ТП площадь]])</f>
        <v>56.58</v>
      </c>
      <c r="W261" s="91">
        <v>13.7</v>
      </c>
      <c r="X261" s="91">
        <v>9.9</v>
      </c>
      <c r="Y261" s="91"/>
      <c r="Z261" s="91">
        <f>SUM(ППД5[[#This Row],[ТП Комната 1]:[ТП Комната 3]])</f>
        <v>23.6</v>
      </c>
      <c r="AA261" s="91">
        <v>18.600000000000001</v>
      </c>
      <c r="AB261" s="91">
        <v>3.6</v>
      </c>
      <c r="AC261" s="91">
        <v>2.1</v>
      </c>
      <c r="AD261" s="91"/>
      <c r="AE261" s="91">
        <v>7</v>
      </c>
      <c r="AF261" s="91">
        <v>1.35</v>
      </c>
      <c r="AG261" s="91"/>
      <c r="AH261" s="91"/>
      <c r="AI261" s="91">
        <f>SUM(ППД5[[#This Row],[ТП Лоджия 1]:[ТП Лоджия 3]])</f>
        <v>1.35</v>
      </c>
      <c r="AJ261" s="95">
        <v>2.7</v>
      </c>
      <c r="AK261" s="91">
        <f>SUM(ППД5[[#This Row],[Площадь по ТП жилая]:[ТП Лоджия 3]])-ППД5[[#This Row],[ТП Летние]]+ППД5[[#This Row],[кроме того прочая
(без коэффициента)]]</f>
        <v>57.600000000000009</v>
      </c>
      <c r="AL261" s="95">
        <f>ППД5[[#This Row],[ТП Площадь без летних]]+(ППД5[[#This Row],[ТП Летние]])</f>
        <v>56.250000000000007</v>
      </c>
      <c r="AM261" s="91">
        <f>ППД5[[#This Row],[ТП общая S]]-ППД5[[#This Row],[кроме того прочая
(без коэффициента)]]</f>
        <v>54.900000000000006</v>
      </c>
      <c r="AN261" s="95">
        <f>SUM(ППД5[[#This Row],[ТП Кухня]:[ТП Коридор]])</f>
        <v>31.300000000000004</v>
      </c>
      <c r="AO261" s="91">
        <f>ППД5[[#This Row],[Расчетная ТП площадь]]-ППД5[[#This Row],[Расчетная проектная площадь]]</f>
        <v>-0.32999999999999119</v>
      </c>
      <c r="AP261" s="335">
        <f>ППД5[[#This Row],[Расчетная ТП площадь]]/ППД5[[#This Row],[Расчетная проектная площадь]]-1</f>
        <v>-5.8324496288439942E-3</v>
      </c>
      <c r="AQ261" s="91">
        <f>ППД5[[#This Row],[% расхождения]]*ППД5[[#This Row],[Стоимость до скидки]]</f>
        <v>-40671.420996817826</v>
      </c>
      <c r="AR261" s="91">
        <f>VLOOKUP(ППД5[[#This Row],[№]],наценкад5[],COLUMN(наценкад5[[#This Row],[Цена м2 с учетом всех K]]),0)</f>
        <v>79535.67300000001</v>
      </c>
      <c r="AS261" s="8">
        <f>ППД5[[#This Row],[м2 после К]]*5%</f>
        <v>3976.7836500000008</v>
      </c>
      <c r="AT261" s="8">
        <f>ППД5[[#This Row],[м2 после К]]+ППД5[[#This Row],[Повышение 16.08.23 - 5%]]</f>
        <v>83512.456650000007</v>
      </c>
      <c r="AU261" s="93">
        <f>ППД5[[#This Row],[Фикс 16.08.23]]*3%</f>
        <v>2505.3736994999999</v>
      </c>
      <c r="AV261" s="93">
        <f>ППД5[[#This Row],[Фикс 16.08.23]]+ППД5[[#This Row],[Повышение 29.08.23 - 3%]]</f>
        <v>86017.8303495</v>
      </c>
      <c r="AW261" s="93"/>
      <c r="AX261" s="93">
        <f>ППД5[[#This Row],[Фикс 29.08.23]]+ППД5[[#This Row],[Повышение 06.09.23 СТ и 1К]]</f>
        <v>86017.8303495</v>
      </c>
      <c r="AY261" s="93"/>
      <c r="AZ261" s="93">
        <f>ППД5[[#This Row],[Повышение 23.10.23  В4 ]]+ППД5[[#This Row],[Фикс 06.09.23]]</f>
        <v>86017.8303495</v>
      </c>
      <c r="BA261" s="93"/>
      <c r="BB261" s="93">
        <f>ППД5[[#This Row],[Повышение 8.11.23 1К 5%]]+ППД5[[#This Row],[Фикс 23.10.23]]</f>
        <v>86017.8303495</v>
      </c>
      <c r="BC261" s="93"/>
      <c r="BD261" s="93">
        <f>ППД5[[#This Row],[Корректировка 24.11.23 - 1К В5, 2К А2, №233]]+ППД5[[#This Row],[Фикс 8.11.23]]</f>
        <v>86017.8303495</v>
      </c>
      <c r="BE261" s="93">
        <f>ППД5[[#This Row],[Фикс 8.11.24]]*1%</f>
        <v>860.17830349500002</v>
      </c>
      <c r="BF261" s="93">
        <f>ППД5[[#This Row],[Наценка за отделку 29.12.23 1%]]+ППД5[[#This Row],[Фикс 8.11.24]]</f>
        <v>86878.008652995006</v>
      </c>
      <c r="BG261" s="93">
        <f>ППД5[[#This Row],[Фикс 29.12.23]]*5%</f>
        <v>4343.9004326497507</v>
      </c>
      <c r="BH261" s="93">
        <f>ППД5[[#This Row],[Фикс 29.12.23]]+ППД5[[#This Row],[Наценка 10.01.24 5%]]</f>
        <v>91221.909085644758</v>
      </c>
      <c r="BI261" s="93"/>
      <c r="BJ261" s="93">
        <f>ППД5[[#This Row],[Наценка 26.02.24 1 Этаж]]+ППД5[[#This Row],[Фикс 10.01.24]]</f>
        <v>91221.909085644758</v>
      </c>
      <c r="BK261" s="93">
        <f>ППД5[[#This Row],[Фикс 26.02.24]]*2%</f>
        <v>1824.4381817128951</v>
      </c>
      <c r="BL261" s="93">
        <f>ППД5[[#This Row],[Фикс 26.02.24]]+ППД5[[#This Row],[Наценка 06.03.24
СТ, 1К - 3%
2К, 3К - 2%]]</f>
        <v>93046.347267357647</v>
      </c>
      <c r="BM261" s="93"/>
      <c r="BN261" s="93">
        <f>ППД5[[#This Row],[Фикс 06.03.24]]+ППД5[[#This Row],[Наценка Г2+500]]</f>
        <v>93046.347267357647</v>
      </c>
      <c r="BO261" s="93">
        <f>ППД5[[#This Row],[Фикс 13.03.25]]*2%</f>
        <v>1860.9269453471529</v>
      </c>
      <c r="BP261" s="93">
        <f>ППД5[[#This Row],[Фикс 13.03.25]]+ППД5[[#This Row],[Наценка 20.03.24
2К, 3К - 2%]]</f>
        <v>94907.274212704797</v>
      </c>
      <c r="BQ261" s="93">
        <v>150</v>
      </c>
      <c r="BR261" s="93">
        <f>ППД5[[#This Row],[Фикс 20.03.24]]+ППД5[[#This Row],[Наценка 08.04.24 
2К: В3 - 150
3К: Г7 +1000]]</f>
        <v>95057.274212704797</v>
      </c>
      <c r="BS261" s="93">
        <f>ППД5[[#This Row],[Фикс 08.04.24]]*1%</f>
        <v>950.57274212704795</v>
      </c>
      <c r="BT261" s="93">
        <f>ППД5[[#This Row],[Фикс 08.04.24]]+ППД5[[#This Row],[Наценка 16.05.24 1%
А4,А6,Б3,Б6,Б7,В2,В3,В5,В6,Г1,Г3-Г5]]</f>
        <v>96007.846954831839</v>
      </c>
      <c r="BU261" s="93"/>
      <c r="BV261" s="93">
        <f>ППД5[[#This Row],[Фикс 16.05.24]]+ППД5[[#This Row],[Наценка 24.05.24
1% - Б4, Б5,Г2,Г6
2% - А1,А3,А5,Б2,Г7]]</f>
        <v>96007.846954831839</v>
      </c>
      <c r="BW261" s="93"/>
      <c r="BX261" s="93">
        <f>ППД5[[#This Row],[Наценка 06.06.24
0К: В2,Г3 +0,5%
1К: А7, Б5/4, Г6 +0,5%
3К: В6 +0,5%
1К: А3 +1%]]+ППД5[[#This Row],[Фикс 24.05.24]]</f>
        <v>96007.846954831839</v>
      </c>
      <c r="BY261" s="93"/>
      <c r="BZ261" s="93">
        <f>ППД5[[#This Row],[Фикс 06.06.24]]+ППД5[[#This Row],[13.06.2024
3К - 2%]]</f>
        <v>96007.846954831839</v>
      </c>
      <c r="CA261" s="93">
        <f>2.5%*ППД5[[#This Row],[Фикс 13.06.24]]</f>
        <v>2400.196173870796</v>
      </c>
      <c r="CB261" s="93">
        <f>ППД5[[#This Row],[02.07.2024: Г3 А1 А3 Б5 Б7 Г2 Г6 Б3 Б4 В3 Г7 2,5% ост 0,5-1,5%]]+ППД5[[#This Row],[Фикс 13.06.24]]</f>
        <v>98408.043128702629</v>
      </c>
      <c r="CC261" s="93">
        <v>500</v>
      </c>
      <c r="CD261" s="93">
        <f>ППД5[[#This Row],[Фикс 02.07.24]]+ППД5[[#This Row],[04.09.2024 +500
0К - Б2; 1К - А3;
2К - А6, Б4, В3, Г5]]</f>
        <v>98908.043128702629</v>
      </c>
      <c r="CE261" s="93">
        <f>ППД5[[#This Row],[Фикс 04.09.24]]*4%</f>
        <v>3956.3217251481051</v>
      </c>
      <c r="CF261" s="93">
        <f>ППД5[[#This Row],[Наценка 16.09.2024
1К: А1,В7,Г6/7,Г8 - 2%
2К: А4,А5,А6,Б1,Б6,Б3/4,В3,В4,Г4,Г5 - 4%
3К: 4%]]+ППД5[[#This Row],[Фикс 04.09.24]]</f>
        <v>102864.36485385074</v>
      </c>
      <c r="CG261" s="93">
        <f>ППД5[[#This Row],[Фикс 16.09.2024]]*6%</f>
        <v>6171.861891231044</v>
      </c>
      <c r="CH261" s="93">
        <f>ППД5[[#This Row],[Фикс 16.09.2024]]+ППД5[[#This Row],[Наценка 01.11.24
СТ: 4%
1К: 34-40м 5%; 40м+ 8%; МГН 1%
2К: 55-70м 6%; 70-73м 7%; 73-76м 8% 
3К: 5%]]</f>
        <v>109036.22674508179</v>
      </c>
      <c r="CI261" s="93">
        <f>ППД5[[#This Row],[Фикс 01.11.24]]*13%</f>
        <v>14174.709476860633</v>
      </c>
      <c r="CJ261" s="93">
        <f>ППД5[[#This Row],[Наценка 06.11 13%]]+ППД5[[#This Row],[Фикс 01.11.24]]</f>
        <v>123210.93622194242</v>
      </c>
      <c r="CK261" s="93">
        <v>35</v>
      </c>
      <c r="CL261" s="93">
        <f>ППД5[[#This Row],[Фикс 06.11.24]]+ППД5[[#This Row],[Наценка 18.12.24 распределение КВ]]</f>
        <v>123245.93622194242</v>
      </c>
      <c r="CM261" s="93"/>
      <c r="CN261" s="93">
        <f>ППД5[[#This Row],[Фикс 18.12.24]]+ППД5[[#This Row],[Наценка 10.02.25 +1%
1К: А3
2К: Б3, В3]]</f>
        <v>123245.93622194242</v>
      </c>
      <c r="CO261" s="93">
        <f>ROUND(ППД5[[#This Row],[Фикс 10.02.25]],2)</f>
        <v>123245.94</v>
      </c>
      <c r="CP26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6973300</v>
      </c>
      <c r="CQ261" s="93">
        <f>ROUNDUP(ППД5[[#This Row],[Стоимость до скидки]]+ППД5[[#This Row],[Сумма доплаты]],-2)</f>
        <v>6932700</v>
      </c>
      <c r="CR261" s="68">
        <v>40000</v>
      </c>
      <c r="CS261" s="90"/>
      <c r="CT261" s="68">
        <f>ППД5[[#This Row],[Стоимость до скидки]]*ППД5[[#This Row],[Скидка %]]+ППД5[[#This Row],[Скидка фиксированная]]</f>
        <v>40000</v>
      </c>
      <c r="CU261" s="3">
        <f>ППД5[[#This Row],[Стоимость ОН без отделки со скидкой]]/ППД5[[#This Row],[Расчетная проектная площадь]]</f>
        <v>122539.76670201485</v>
      </c>
      <c r="CV261" s="3">
        <f>ROUND(ППД5[[#This Row],[Стоимость до скидки]]-ППД5[[#This Row],[Итоговая сумма скидки]],2)</f>
        <v>6933300</v>
      </c>
      <c r="CW26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61" s="197">
        <v>25000</v>
      </c>
      <c r="CY261" s="332">
        <f>ППД5[[#This Row],[Расхождение]]/ППД5[[#This Row],[Расчетная проектная площадь]]</f>
        <v>-5.8324496288439586E-3</v>
      </c>
      <c r="CZ26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-9.9999999999994316E-2</v>
      </c>
      <c r="DA261" s="3">
        <f>ППД5[[#This Row],[Цена м2 без отделки со скидкой]]+ППД5[[#This Row],[Стоимость отделки]]</f>
        <v>147539.76670201484</v>
      </c>
      <c r="DB261" s="3">
        <f>ППД5[[#This Row],[Стоимость квартиры с отделкой]]-ППД5[[#This Row],[Стоимость ОН без отделки со скидкой]]</f>
        <v>1414499.9999999991</v>
      </c>
      <c r="DC261" s="3">
        <f>ППД5[[#This Row],[Цена м2 с отделкой]]*ППД5[[#This Row],[Расчетная проектная площадь]]</f>
        <v>8347799.9999999991</v>
      </c>
      <c r="DD261" s="3" t="s">
        <v>154</v>
      </c>
      <c r="DE261" s="111" t="s">
        <v>766</v>
      </c>
      <c r="DF261" s="199" t="s">
        <v>172</v>
      </c>
      <c r="DG261" s="245" t="s">
        <v>172</v>
      </c>
      <c r="DH261" s="100" t="b">
        <f>EXACT(ППД5[[#This Row],[Статусы CRM]],ППД5[[#This Row],[Статус]])</f>
        <v>1</v>
      </c>
      <c r="DI261" s="213" t="s">
        <v>433</v>
      </c>
      <c r="DJ261" s="204"/>
      <c r="DK261" s="111" t="s">
        <v>763</v>
      </c>
      <c r="DL261" s="216" t="s">
        <v>14</v>
      </c>
      <c r="DM261" s="201" t="b">
        <f>ППД5[[#This Row],[Отделка CRM]]=ППД5[[#This Row],[Отделка]]</f>
        <v>1</v>
      </c>
      <c r="DN261" s="203">
        <v>8347800</v>
      </c>
      <c r="DO26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9.3132257461547852E-10</v>
      </c>
      <c r="DP261" s="207" t="b">
        <f>IF(AND(ППД5[[#This Row],[Статус]]="свободно",ППД5[[#This Row],[Итоговая сумма скидки]]&lt;&gt;0),FALSE,TRUE)</f>
        <v>1</v>
      </c>
      <c r="DQ261" s="240">
        <f>_xlfn.XLOOKUP(ППД5[[#This Row],[№]],Юрист[№ кв],Юрист[Дата подачи на регистрацию]," ",0,-1)</f>
        <v>45649</v>
      </c>
      <c r="DR261" s="115" t="str">
        <f>_xlfn.XLOOKUP(ППД5[[#This Row],[№]],Юрист[№ кв],Юрист[МОП],"",0,-1)</f>
        <v>Полехович</v>
      </c>
      <c r="DS261" s="333" t="s">
        <v>2814</v>
      </c>
      <c r="DT261" s="333" t="s">
        <v>2815</v>
      </c>
      <c r="DU261" s="333">
        <v>54.9</v>
      </c>
      <c r="DV261" s="111"/>
    </row>
    <row r="262" spans="1:126" hidden="1" x14ac:dyDescent="0.25">
      <c r="A262" s="112">
        <v>260</v>
      </c>
      <c r="B262" s="111" t="s">
        <v>3</v>
      </c>
      <c r="C262" s="111">
        <v>6</v>
      </c>
      <c r="D262" s="111">
        <v>4</v>
      </c>
      <c r="E262" s="111">
        <v>2</v>
      </c>
      <c r="F262" s="105">
        <v>15.45</v>
      </c>
      <c r="G262" s="105">
        <v>10.34</v>
      </c>
      <c r="H262" s="105"/>
      <c r="I262" s="94">
        <f>SUM(ППД5[[#This Row],[Комната 1]:[Комната 3]])</f>
        <v>25.79</v>
      </c>
      <c r="J262" s="105">
        <v>15.44</v>
      </c>
      <c r="K262" s="105">
        <v>4.59</v>
      </c>
      <c r="L262" s="105">
        <v>2.21</v>
      </c>
      <c r="M262" s="105"/>
      <c r="N262" s="105">
        <v>10.79</v>
      </c>
      <c r="O262" s="105">
        <v>2.84</v>
      </c>
      <c r="P262" s="105"/>
      <c r="Q262" s="105"/>
      <c r="R262" s="105">
        <f>SUM(ППД5[[#This Row],[Лоджия 1]:[Лоджия 3]])</f>
        <v>2.84</v>
      </c>
      <c r="S262" s="8">
        <f>ROUND(SUM(ППД5[[#This Row],[Площадь по проекту жилая]:[Лоджия 3]]),2)</f>
        <v>61.66</v>
      </c>
      <c r="T262" s="8">
        <f>ROUND(ППД5[[#This Row],[Площадь по проекту(общая)]]-ППД5[[#This Row],[Летние]],2)</f>
        <v>58.82</v>
      </c>
      <c r="U262" s="91">
        <f>ROUND(ППД5[[#This Row],[Площадь по проекту(общая)]]-(SUM(ППД5[[#This Row],[Лоджия 1]:[Лоджия 3]])/2),2)</f>
        <v>60.24</v>
      </c>
      <c r="V262" s="91">
        <f>IF(ППД5[[#This Row],[Статус]]="продажа",ППД5[[#This Row],[Расчетная проектная площадь]],ППД5[[#This Row],[Расчетная ТП площадь]])</f>
        <v>60.24</v>
      </c>
      <c r="W262" s="91">
        <v>15.5</v>
      </c>
      <c r="X262" s="91">
        <v>10.199999999999999</v>
      </c>
      <c r="Y262" s="91"/>
      <c r="Z262" s="91">
        <f>SUM(ППД5[[#This Row],[ТП Комната 1]:[ТП Комната 3]])</f>
        <v>25.7</v>
      </c>
      <c r="AA262" s="91">
        <v>15.4</v>
      </c>
      <c r="AB262" s="91">
        <v>4.4000000000000004</v>
      </c>
      <c r="AC262" s="91">
        <v>2.2000000000000002</v>
      </c>
      <c r="AD262" s="91"/>
      <c r="AE262" s="91">
        <v>10.7</v>
      </c>
      <c r="AF262" s="91">
        <v>1.45</v>
      </c>
      <c r="AG262" s="91"/>
      <c r="AH262" s="91"/>
      <c r="AI262" s="91">
        <f>SUM(ППД5[[#This Row],[ТП Лоджия 1]:[ТП Лоджия 3]])</f>
        <v>1.45</v>
      </c>
      <c r="AJ262" s="95">
        <v>2.9</v>
      </c>
      <c r="AK262" s="91">
        <f>SUM(ППД5[[#This Row],[Площадь по ТП жилая]:[ТП Лоджия 3]])-ППД5[[#This Row],[ТП Летние]]+ППД5[[#This Row],[кроме того прочая
(без коэффициента)]]</f>
        <v>61.300000000000004</v>
      </c>
      <c r="AL262" s="95">
        <f>ППД5[[#This Row],[ТП Площадь без летних]]+(ППД5[[#This Row],[ТП Летние]])</f>
        <v>59.850000000000009</v>
      </c>
      <c r="AM262" s="91">
        <f>ППД5[[#This Row],[ТП общая S]]-ППД5[[#This Row],[кроме того прочая
(без коэффициента)]]</f>
        <v>58.400000000000006</v>
      </c>
      <c r="AN262" s="95">
        <f>SUM(ППД5[[#This Row],[ТП Кухня]:[ТП Коридор]])</f>
        <v>32.700000000000003</v>
      </c>
      <c r="AO262" s="91">
        <f>ППД5[[#This Row],[Расчетная ТП площадь]]-ППД5[[#This Row],[Расчетная проектная площадь]]</f>
        <v>-0.38999999999999346</v>
      </c>
      <c r="AP262" s="335">
        <f>ППД5[[#This Row],[Расчетная ТП площадь]]/ППД5[[#This Row],[Расчетная проектная площадь]]-1</f>
        <v>-6.4741035856572537E-3</v>
      </c>
      <c r="AQ262" s="91">
        <f>ППД5[[#This Row],[% расхождения]]*ППД5[[#This Row],[Стоимость до скидки]]</f>
        <v>-47477.838645417469</v>
      </c>
      <c r="AR262" s="91">
        <f>VLOOKUP(ППД5[[#This Row],[№]],наценкад5[],COLUMN(наценкад5[[#This Row],[Цена м2 с учетом всех K]]),0)</f>
        <v>81466.150500000003</v>
      </c>
      <c r="AS262" s="8">
        <f>ППД5[[#This Row],[м2 после К]]*5%</f>
        <v>4073.3075250000002</v>
      </c>
      <c r="AT262" s="8">
        <f>ППД5[[#This Row],[м2 после К]]+ППД5[[#This Row],[Повышение 16.08.23 - 5%]]</f>
        <v>85539.458025</v>
      </c>
      <c r="AU262" s="93">
        <f>ППД5[[#This Row],[Фикс 16.08.23]]*3%</f>
        <v>2566.1837407499997</v>
      </c>
      <c r="AV262" s="93">
        <f>ППД5[[#This Row],[Фикс 16.08.23]]+ППД5[[#This Row],[Повышение 29.08.23 - 3%]]</f>
        <v>88105.641765749999</v>
      </c>
      <c r="AW262" s="93"/>
      <c r="AX262" s="93">
        <f>ППД5[[#This Row],[Фикс 29.08.23]]+ППД5[[#This Row],[Повышение 06.09.23 СТ и 1К]]</f>
        <v>88105.641765749999</v>
      </c>
      <c r="AY262" s="93"/>
      <c r="AZ262" s="93">
        <f>ППД5[[#This Row],[Повышение 23.10.23  В4 ]]+ППД5[[#This Row],[Фикс 06.09.23]]</f>
        <v>88105.641765749999</v>
      </c>
      <c r="BA262" s="93"/>
      <c r="BB262" s="93">
        <f>ППД5[[#This Row],[Повышение 8.11.23 1К 5%]]+ППД5[[#This Row],[Фикс 23.10.23]]</f>
        <v>88105.641765749999</v>
      </c>
      <c r="BC262" s="93"/>
      <c r="BD262" s="93">
        <f>ППД5[[#This Row],[Корректировка 24.11.23 - 1К В5, 2К А2, №233]]+ППД5[[#This Row],[Фикс 8.11.23]]</f>
        <v>88105.641765749999</v>
      </c>
      <c r="BE262" s="93">
        <f>ППД5[[#This Row],[Фикс 8.11.24]]*1%</f>
        <v>881.05641765749999</v>
      </c>
      <c r="BF262" s="93">
        <f>ППД5[[#This Row],[Наценка за отделку 29.12.23 1%]]+ППД5[[#This Row],[Фикс 8.11.24]]</f>
        <v>88986.698183407498</v>
      </c>
      <c r="BG262" s="93">
        <f>ППД5[[#This Row],[Фикс 29.12.23]]*5%</f>
        <v>4449.3349091703749</v>
      </c>
      <c r="BH262" s="93">
        <f>ППД5[[#This Row],[Фикс 29.12.23]]+ППД5[[#This Row],[Наценка 10.01.24 5%]]</f>
        <v>93436.033092577869</v>
      </c>
      <c r="BI262" s="93"/>
      <c r="BJ262" s="93">
        <f>ППД5[[#This Row],[Наценка 26.02.24 1 Этаж]]+ППД5[[#This Row],[Фикс 10.01.24]]</f>
        <v>93436.033092577869</v>
      </c>
      <c r="BK262" s="93">
        <f>ППД5[[#This Row],[Фикс 26.02.24]]*2%</f>
        <v>1868.7206618515575</v>
      </c>
      <c r="BL262" s="93">
        <f>ППД5[[#This Row],[Фикс 26.02.24]]+ППД5[[#This Row],[Наценка 06.03.24
СТ, 1К - 3%
2К, 3К - 2%]]</f>
        <v>95304.753754429432</v>
      </c>
      <c r="BM262" s="93"/>
      <c r="BN262" s="93">
        <f>ППД5[[#This Row],[Фикс 06.03.24]]+ППД5[[#This Row],[Наценка Г2+500]]</f>
        <v>95304.753754429432</v>
      </c>
      <c r="BO262" s="93">
        <f>ППД5[[#This Row],[Фикс 13.03.25]]*2%</f>
        <v>1906.0950750885886</v>
      </c>
      <c r="BP262" s="93">
        <f>ППД5[[#This Row],[Фикс 13.03.25]]+ППД5[[#This Row],[Наценка 20.03.24
2К, 3К - 2%]]</f>
        <v>97210.848829518014</v>
      </c>
      <c r="BQ262" s="93"/>
      <c r="BR262" s="93">
        <f>ППД5[[#This Row],[Фикс 20.03.24]]+ППД5[[#This Row],[Наценка 08.04.24 
2К: В3 - 150
3К: Г7 +1000]]</f>
        <v>97210.848829518014</v>
      </c>
      <c r="BS262" s="93"/>
      <c r="BT262" s="93">
        <f>ППД5[[#This Row],[Фикс 08.04.24]]+ППД5[[#This Row],[Наценка 16.05.24 1%
А4,А6,Б3,Б6,Б7,В2,В3,В5,В6,Г1,Г3-Г5]]</f>
        <v>97210.848829518014</v>
      </c>
      <c r="BU262" s="93"/>
      <c r="BV262" s="93">
        <f>ППД5[[#This Row],[Фикс 16.05.24]]+ППД5[[#This Row],[Наценка 24.05.24
1% - Б4, Б5,Г2,Г6
2% - А1,А3,А5,Б2,Г7]]</f>
        <v>97210.848829518014</v>
      </c>
      <c r="BW262" s="93"/>
      <c r="BX262" s="93">
        <f>ППД5[[#This Row],[Наценка 06.06.24
0К: В2,Г3 +0,5%
1К: А7, Б5/4, Г6 +0,5%
3К: В6 +0,5%
1К: А3 +1%]]+ППД5[[#This Row],[Фикс 24.05.24]]</f>
        <v>97210.848829518014</v>
      </c>
      <c r="BY262" s="93"/>
      <c r="BZ262" s="93">
        <f>ППД5[[#This Row],[Фикс 06.06.24]]+ППД5[[#This Row],[13.06.2024
3К - 2%]]</f>
        <v>97210.848829518014</v>
      </c>
      <c r="CA262" s="93">
        <f>0.5%*ППД5[[#This Row],[Фикс 13.06.24]]</f>
        <v>486.05424414759005</v>
      </c>
      <c r="CB262" s="93">
        <f>ППД5[[#This Row],[02.07.2024: Г3 А1 А3 Б5 Б7 Г2 Г6 Б3 Б4 В3 Г7 2,5% ост 0,5-1,5%]]+ППД5[[#This Row],[Фикс 13.06.24]]</f>
        <v>97696.903073665599</v>
      </c>
      <c r="CC262" s="93"/>
      <c r="CD262" s="93">
        <f>ППД5[[#This Row],[Фикс 02.07.24]]+ППД5[[#This Row],[04.09.2024 +500
0К - Б2; 1К - А3;
2К - А6, Б4, В3, Г5]]</f>
        <v>97696.903073665599</v>
      </c>
      <c r="CE262" s="93">
        <f>ППД5[[#This Row],[Фикс 04.09.24]]*4%</f>
        <v>3907.876122946624</v>
      </c>
      <c r="CF262" s="93">
        <f>ППД5[[#This Row],[Наценка 16.09.2024
1К: А1,В7,Г6/7,Г8 - 2%
2К: А4,А5,А6,Б1,Б6,Б3/4,В3,В4,Г4,Г5 - 4%
3К: 4%]]+ППД5[[#This Row],[Фикс 04.09.24]]</f>
        <v>101604.77919661222</v>
      </c>
      <c r="CG262" s="93">
        <f>ППД5[[#This Row],[Фикс 16.09.2024]]*6%</f>
        <v>6096.2867517967325</v>
      </c>
      <c r="CH262" s="93">
        <f>ППД5[[#This Row],[Фикс 16.09.2024]]+ППД5[[#This Row],[Наценка 01.11.24
СТ: 4%
1К: 34-40м 5%; 40м+ 8%; МГН 1%
2К: 55-70м 6%; 70-73м 7%; 73-76м 8% 
3К: 5%]]</f>
        <v>107701.06594840896</v>
      </c>
      <c r="CI262" s="93">
        <f>ППД5[[#This Row],[Фикс 01.11.24]]*13%</f>
        <v>14001.138573293165</v>
      </c>
      <c r="CJ262" s="93">
        <f>ППД5[[#This Row],[Наценка 06.11 13%]]+ППД5[[#This Row],[Фикс 01.11.24]]</f>
        <v>121702.20452170212</v>
      </c>
      <c r="CK262" s="93">
        <v>35</v>
      </c>
      <c r="CL262" s="93">
        <f>ППД5[[#This Row],[Фикс 06.11.24]]+ППД5[[#This Row],[Наценка 18.12.24 распределение КВ]]</f>
        <v>121737.20452170212</v>
      </c>
      <c r="CM262" s="93"/>
      <c r="CN262" s="93">
        <f>ППД5[[#This Row],[Фикс 18.12.24]]+ППД5[[#This Row],[Наценка 10.02.25 +1%
1К: А3
2К: Б3, В3]]</f>
        <v>121737.20452170212</v>
      </c>
      <c r="CO262" s="93">
        <f>ROUND(ППД5[[#This Row],[Фикс 10.02.25]],2)</f>
        <v>121737.2</v>
      </c>
      <c r="CP26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7333500</v>
      </c>
      <c r="CQ262" s="93">
        <f>ROUNDUP(ППД5[[#This Row],[Стоимость до скидки]]+ППД5[[#This Row],[Сумма доплаты]],-2)</f>
        <v>7286100</v>
      </c>
      <c r="CR262" s="68">
        <v>300000</v>
      </c>
      <c r="CS262" s="90"/>
      <c r="CT262" s="68">
        <f>ППД5[[#This Row],[Стоимость до скидки]]*ППД5[[#This Row],[Скидка %]]+ППД5[[#This Row],[Скидка фиксированная]]</f>
        <v>300000</v>
      </c>
      <c r="CU262" s="3">
        <f>ППД5[[#This Row],[Стоимость ОН без отделки со скидкой]]/ППД5[[#This Row],[Расчетная проектная площадь]]</f>
        <v>116757.96812749004</v>
      </c>
      <c r="CV262" s="3">
        <f>ROUND(ППД5[[#This Row],[Стоимость до скидки]]-ППД5[[#This Row],[Итоговая сумма скидки]],2)</f>
        <v>7033500</v>
      </c>
      <c r="CW26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62" s="218"/>
      <c r="CY262" s="332">
        <f>ППД5[[#This Row],[Расхождение]]/ППД5[[#This Row],[Расчетная проектная площадь]]</f>
        <v>-6.4741035856572616E-3</v>
      </c>
      <c r="CZ262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-0.32999999999999652</v>
      </c>
      <c r="DA262" s="3">
        <f>ППД5[[#This Row],[Цена м2 без отделки со скидкой]]+ППД5[[#This Row],[Стоимость отделки]]</f>
        <v>116757.96812749004</v>
      </c>
      <c r="DB262" s="3">
        <f>ППД5[[#This Row],[Стоимость квартиры с отделкой]]-ППД5[[#This Row],[Стоимость ОН без отделки со скидкой]]</f>
        <v>0</v>
      </c>
      <c r="DC262" s="3">
        <f>ППД5[[#This Row],[Цена м2 с отделкой]]*ППД5[[#This Row],[Расчетная проектная площадь]]</f>
        <v>7033500</v>
      </c>
      <c r="DD262" s="3"/>
      <c r="DF262" s="221" t="s">
        <v>172</v>
      </c>
      <c r="DG262" s="221" t="s">
        <v>172</v>
      </c>
      <c r="DH262" s="100" t="b">
        <f>EXACT(ППД5[[#This Row],[Статусы CRM]],ППД5[[#This Row],[Статус]])</f>
        <v>1</v>
      </c>
      <c r="DI262" s="213" t="s">
        <v>434</v>
      </c>
      <c r="DJ262" s="204"/>
      <c r="DK262" s="111" t="s">
        <v>763</v>
      </c>
      <c r="DL262" s="216" t="s">
        <v>12</v>
      </c>
      <c r="DM262" s="201" t="b">
        <f>ППД5[[#This Row],[Отделка CRM]]=ППД5[[#This Row],[Отделка]]</f>
        <v>1</v>
      </c>
      <c r="DN262" s="203">
        <v>7033500</v>
      </c>
      <c r="DO26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62" s="207" t="b">
        <f>IF(AND(ППД5[[#This Row],[Статус]]="свободно",ППД5[[#This Row],[Итоговая сумма скидки]]&lt;&gt;0),FALSE,TRUE)</f>
        <v>1</v>
      </c>
      <c r="DQ262" s="240">
        <f>_xlfn.XLOOKUP(ППД5[[#This Row],[№]],Юрист[№ кв],Юрист[Дата подачи на регистрацию]," ",0,-1)</f>
        <v>45793</v>
      </c>
      <c r="DR262" s="115" t="str">
        <f>_xlfn.XLOOKUP(ППД5[[#This Row],[№]],Юрист[№ кв],Юрист[МОП],"",0,-1)</f>
        <v>Полехович</v>
      </c>
      <c r="DS262" s="333" t="s">
        <v>2816</v>
      </c>
      <c r="DT262" s="333" t="s">
        <v>2817</v>
      </c>
      <c r="DU262" s="333">
        <v>58.4</v>
      </c>
      <c r="DV262" s="111"/>
    </row>
    <row r="263" spans="1:126" hidden="1" x14ac:dyDescent="0.25">
      <c r="A263" s="112">
        <v>261</v>
      </c>
      <c r="B263" s="111" t="s">
        <v>3</v>
      </c>
      <c r="C263" s="111">
        <v>6</v>
      </c>
      <c r="D263" s="111">
        <v>5</v>
      </c>
      <c r="E263" s="111">
        <v>1</v>
      </c>
      <c r="F263" s="105">
        <v>12.54</v>
      </c>
      <c r="G263" s="105"/>
      <c r="H263" s="105"/>
      <c r="I263" s="94">
        <f>SUM(ППД5[[#This Row],[Комната 1]:[Комната 3]])</f>
        <v>12.54</v>
      </c>
      <c r="J263" s="105">
        <v>12.74</v>
      </c>
      <c r="K263" s="105">
        <v>4.0199999999999996</v>
      </c>
      <c r="L263" s="105"/>
      <c r="M263" s="105"/>
      <c r="N263" s="105">
        <v>7.09</v>
      </c>
      <c r="O263" s="105">
        <v>2.84</v>
      </c>
      <c r="P263" s="105"/>
      <c r="Q263" s="105"/>
      <c r="R263" s="105">
        <f>SUM(ППД5[[#This Row],[Лоджия 1]:[Лоджия 3]])</f>
        <v>2.84</v>
      </c>
      <c r="S263" s="8">
        <f>ROUND(SUM(ППД5[[#This Row],[Площадь по проекту жилая]:[Лоджия 3]]),2)</f>
        <v>39.229999999999997</v>
      </c>
      <c r="T263" s="8">
        <f>ROUND(ППД5[[#This Row],[Площадь по проекту(общая)]]-ППД5[[#This Row],[Летние]],2)</f>
        <v>36.39</v>
      </c>
      <c r="U263" s="91">
        <f>ROUND(ППД5[[#This Row],[Площадь по проекту(общая)]]-(SUM(ППД5[[#This Row],[Лоджия 1]:[Лоджия 3]])/2),2)</f>
        <v>37.81</v>
      </c>
      <c r="V263" s="91">
        <f>IF(ППД5[[#This Row],[Статус]]="продажа",ППД5[[#This Row],[Расчетная проектная площадь]],ППД5[[#This Row],[Расчетная ТП площадь]])</f>
        <v>37.550000000000004</v>
      </c>
      <c r="W263" s="91">
        <v>12.6</v>
      </c>
      <c r="X263" s="91"/>
      <c r="Y263" s="91"/>
      <c r="Z263" s="91">
        <f>SUM(ППД5[[#This Row],[ТП Комната 1]:[ТП Комната 3]])</f>
        <v>12.6</v>
      </c>
      <c r="AA263" s="91">
        <v>12.6</v>
      </c>
      <c r="AB263" s="91">
        <v>4</v>
      </c>
      <c r="AC263" s="91"/>
      <c r="AD263" s="91"/>
      <c r="AE263" s="91">
        <v>6.9</v>
      </c>
      <c r="AF263" s="91">
        <v>1.45</v>
      </c>
      <c r="AG263" s="91"/>
      <c r="AH263" s="91"/>
      <c r="AI263" s="91">
        <f>SUM(ППД5[[#This Row],[ТП Лоджия 1]:[ТП Лоджия 3]])</f>
        <v>1.45</v>
      </c>
      <c r="AJ263" s="95">
        <v>2.9</v>
      </c>
      <c r="AK263" s="91">
        <f>SUM(ППД5[[#This Row],[Площадь по ТП жилая]:[ТП Лоджия 3]])-ППД5[[#This Row],[ТП Летние]]+ППД5[[#This Row],[кроме того прочая
(без коэффициента)]]</f>
        <v>39</v>
      </c>
      <c r="AL263" s="95">
        <f>ППД5[[#This Row],[ТП Площадь без летних]]+(ППД5[[#This Row],[ТП Летние]])</f>
        <v>37.550000000000004</v>
      </c>
      <c r="AM263" s="91">
        <f>ППД5[[#This Row],[ТП общая S]]-ППД5[[#This Row],[кроме того прочая
(без коэффициента)]]</f>
        <v>36.1</v>
      </c>
      <c r="AN263" s="95">
        <f>SUM(ППД5[[#This Row],[ТП Кухня]:[ТП Коридор]])</f>
        <v>23.5</v>
      </c>
      <c r="AO263" s="91">
        <f>ППД5[[#This Row],[Расчетная ТП площадь]]-ППД5[[#This Row],[Расчетная проектная площадь]]</f>
        <v>-0.25999999999999801</v>
      </c>
      <c r="AP263" s="335">
        <f>ППД5[[#This Row],[Расчетная ТП площадь]]/ППД5[[#This Row],[Расчетная проектная площадь]]-1</f>
        <v>-6.8764877016661563E-3</v>
      </c>
      <c r="AQ263" s="91">
        <f>ППД5[[#This Row],[% расхождения]]*ППД5[[#This Row],[Стоимость до скидки]]</f>
        <v>-35683.469981486021</v>
      </c>
      <c r="AR263" s="91">
        <f>VLOOKUP(ППД5[[#This Row],[№]],наценкад5[],COLUMN(наценкад5[[#This Row],[Цена м2 с учетом всех K]]),0)</f>
        <v>88412.625</v>
      </c>
      <c r="AS263" s="8">
        <f>ППД5[[#This Row],[м2 после К]]*5%</f>
        <v>4420.6312500000004</v>
      </c>
      <c r="AT263" s="8">
        <f>ППД5[[#This Row],[м2 после К]]+ППД5[[#This Row],[Повышение 16.08.23 - 5%]]</f>
        <v>92833.256250000006</v>
      </c>
      <c r="AU263" s="93">
        <f>ППД5[[#This Row],[Фикс 16.08.23]]*3%</f>
        <v>2784.9976875000002</v>
      </c>
      <c r="AV263" s="93">
        <f>ППД5[[#This Row],[Фикс 16.08.23]]+ППД5[[#This Row],[Повышение 29.08.23 - 3%]]</f>
        <v>95618.253937500005</v>
      </c>
      <c r="AW263" s="93">
        <f>ППД5[[#This Row],[Фикс 29.08.23]]*4.5%</f>
        <v>4302.8214271875004</v>
      </c>
      <c r="AX263" s="93">
        <f>ППД5[[#This Row],[Фикс 29.08.23]]+ППД5[[#This Row],[Повышение 06.09.23 СТ и 1К]]</f>
        <v>99921.075364687509</v>
      </c>
      <c r="AY263" s="93"/>
      <c r="AZ263" s="93">
        <f>ППД5[[#This Row],[Повышение 23.10.23  В4 ]]+ППД5[[#This Row],[Фикс 06.09.23]]</f>
        <v>99921.075364687509</v>
      </c>
      <c r="BA263" s="93">
        <f>ППД5[[#This Row],[Фикс 23.10.23]]*5%</f>
        <v>4996.0537682343756</v>
      </c>
      <c r="BB263" s="93">
        <f>ППД5[[#This Row],[Повышение 8.11.23 1К 5%]]+ППД5[[#This Row],[Фикс 23.10.23]]</f>
        <v>104917.12913292188</v>
      </c>
      <c r="BC263" s="93">
        <v>-620</v>
      </c>
      <c r="BD263" s="93">
        <f>ППД5[[#This Row],[Корректировка 24.11.23 - 1К В5, 2К А2, №233]]+ППД5[[#This Row],[Фикс 8.11.23]]</f>
        <v>104297.12913292188</v>
      </c>
      <c r="BE263" s="93">
        <f>ППД5[[#This Row],[Фикс 8.11.24]]*1%</f>
        <v>1042.9712913292187</v>
      </c>
      <c r="BF263" s="93">
        <f>ППД5[[#This Row],[Наценка за отделку 29.12.23 1%]]+ППД5[[#This Row],[Фикс 8.11.24]]</f>
        <v>105340.1004242511</v>
      </c>
      <c r="BG263" s="93">
        <f>ППД5[[#This Row],[Фикс 29.12.23]]*5%</f>
        <v>5267.0050212125552</v>
      </c>
      <c r="BH263" s="93">
        <f>ППД5[[#This Row],[Фикс 29.12.23]]+ППД5[[#This Row],[Наценка 10.01.24 5%]]</f>
        <v>110607.10544546365</v>
      </c>
      <c r="BI263" s="93"/>
      <c r="BJ263" s="93">
        <f>ППД5[[#This Row],[Наценка 26.02.24 1 Этаж]]+ППД5[[#This Row],[Фикс 10.01.24]]</f>
        <v>110607.10544546365</v>
      </c>
      <c r="BK263" s="93">
        <f>ППД5[[#This Row],[Фикс 26.02.24]]*3%</f>
        <v>3318.2131633639092</v>
      </c>
      <c r="BL263" s="93">
        <f>ППД5[[#This Row],[Фикс 26.02.24]]+ППД5[[#This Row],[Наценка 06.03.24
СТ, 1К - 3%
2К, 3К - 2%]]</f>
        <v>113925.31860882755</v>
      </c>
      <c r="BM263" s="93"/>
      <c r="BN263" s="93">
        <f>ППД5[[#This Row],[Фикс 06.03.24]]+ППД5[[#This Row],[Наценка Г2+500]]</f>
        <v>113925.31860882755</v>
      </c>
      <c r="BO263" s="93"/>
      <c r="BP263" s="93">
        <f>ППД5[[#This Row],[Фикс 13.03.25]]+ППД5[[#This Row],[Наценка 20.03.24
2К, 3К - 2%]]</f>
        <v>113925.31860882755</v>
      </c>
      <c r="BQ263" s="93"/>
      <c r="BR263" s="93">
        <f>ППД5[[#This Row],[Фикс 20.03.24]]+ППД5[[#This Row],[Наценка 08.04.24 
2К: В3 - 150
3К: Г7 +1000]]</f>
        <v>113925.31860882755</v>
      </c>
      <c r="BS263" s="93">
        <f>ППД5[[#This Row],[Фикс 08.04.24]]*1%</f>
        <v>1139.2531860882755</v>
      </c>
      <c r="BT263" s="93">
        <f>ППД5[[#This Row],[Фикс 08.04.24]]+ППД5[[#This Row],[Наценка 16.05.24 1%
А4,А6,Б3,Б6,Б7,В2,В3,В5,В6,Г1,Г3-Г5]]</f>
        <v>115064.57179491583</v>
      </c>
      <c r="BU263" s="93"/>
      <c r="BV263" s="93">
        <f>ППД5[[#This Row],[Фикс 16.05.24]]+ППД5[[#This Row],[Наценка 24.05.24
1% - Б4, Б5,Г2,Г6
2% - А1,А3,А5,Б2,Г7]]</f>
        <v>115064.57179491583</v>
      </c>
      <c r="BW263" s="93"/>
      <c r="BX263" s="93">
        <f>ППД5[[#This Row],[Наценка 06.06.24
0К: В2,Г3 +0,5%
1К: А7, Б5/4, Г6 +0,5%
3К: В6 +0,5%
1К: А3 +1%]]+ППД5[[#This Row],[Фикс 24.05.24]]</f>
        <v>115064.57179491583</v>
      </c>
      <c r="BY263" s="93"/>
      <c r="BZ263" s="93">
        <f>ППД5[[#This Row],[Фикс 06.06.24]]+ППД5[[#This Row],[13.06.2024
3К - 2%]]</f>
        <v>115064.57179491583</v>
      </c>
      <c r="CA263" s="93">
        <f>0.5%*ППД5[[#This Row],[Фикс 13.06.24]]</f>
        <v>575.32285897457916</v>
      </c>
      <c r="CB263" s="93">
        <f>ППД5[[#This Row],[02.07.2024: Г3 А1 А3 Б5 Б7 Г2 Г6 Б3 Б4 В3 Г7 2,5% ост 0,5-1,5%]]+ППД5[[#This Row],[Фикс 13.06.24]]</f>
        <v>115639.89465389041</v>
      </c>
      <c r="CC263" s="93"/>
      <c r="CD263" s="93">
        <f>ППД5[[#This Row],[Фикс 02.07.24]]+ППД5[[#This Row],[04.09.2024 +500
0К - Б2; 1К - А3;
2К - А6, Б4, В3, Г5]]</f>
        <v>115639.89465389041</v>
      </c>
      <c r="CE263" s="93"/>
      <c r="CF263" s="93">
        <f>ППД5[[#This Row],[Наценка 16.09.2024
1К: А1,В7,Г6/7,Г8 - 2%
2К: А4,А5,А6,Б1,Б6,Б3/4,В3,В4,Г4,Г5 - 4%
3К: 4%]]+ППД5[[#This Row],[Фикс 04.09.24]]</f>
        <v>115639.89465389041</v>
      </c>
      <c r="CG263" s="93">
        <f>ППД5[[#This Row],[Фикс 16.09.2024]]*5%</f>
        <v>5781.9947326945212</v>
      </c>
      <c r="CH263" s="93">
        <f>ППД5[[#This Row],[Фикс 16.09.2024]]+ППД5[[#This Row],[Наценка 01.11.24
СТ: 4%
1К: 34-40м 5%; 40м+ 8%; МГН 1%
2К: 55-70м 6%; 70-73м 7%; 73-76м 8% 
3К: 5%]]</f>
        <v>121421.88938658494</v>
      </c>
      <c r="CI263" s="93">
        <f>ППД5[[#This Row],[Фикс 01.11.24]]*13%</f>
        <v>15784.845620256043</v>
      </c>
      <c r="CJ263" s="93">
        <f>ППД5[[#This Row],[Наценка 06.11 13%]]+ППД5[[#This Row],[Фикс 01.11.24]]</f>
        <v>137206.73500684099</v>
      </c>
      <c r="CK263" s="93">
        <v>35</v>
      </c>
      <c r="CL263" s="93">
        <f>ППД5[[#This Row],[Фикс 06.11.24]]+ППД5[[#This Row],[Наценка 18.12.24 распределение КВ]]</f>
        <v>137241.73500684099</v>
      </c>
      <c r="CM263" s="93"/>
      <c r="CN263" s="93">
        <f>ППД5[[#This Row],[Фикс 18.12.24]]+ППД5[[#This Row],[Наценка 10.02.25 +1%
1К: А3
2К: Б3, В3]]</f>
        <v>137241.73500684099</v>
      </c>
      <c r="CO263" s="93">
        <f>ROUND(ППД5[[#This Row],[Фикс 10.02.25]],2)</f>
        <v>137241.74</v>
      </c>
      <c r="CP26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5189200</v>
      </c>
      <c r="CQ263" s="93">
        <f>ROUNDUP(ППД5[[#This Row],[Стоимость до скидки]]+ППД5[[#This Row],[Сумма доплаты]],-2)</f>
        <v>5153600</v>
      </c>
      <c r="CR263" s="68"/>
      <c r="CS263" s="90"/>
      <c r="CT263" s="68">
        <f>ППД5[[#This Row],[Стоимость до скидки]]*ППД5[[#This Row],[Скидка %]]+ППД5[[#This Row],[Скидка фиксированная]]</f>
        <v>0</v>
      </c>
      <c r="CU263" s="3">
        <f>ППД5[[#This Row],[Стоимость ОН без отделки со скидкой]]/ППД5[[#This Row],[Расчетная проектная площадь]]</f>
        <v>137244.11531340913</v>
      </c>
      <c r="CV263" s="3">
        <f>ROUND(ППД5[[#This Row],[Стоимость до скидки]]-ППД5[[#This Row],[Итоговая сумма скидки]],2)</f>
        <v>5189200</v>
      </c>
      <c r="CW26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263" s="218">
        <v>10000</v>
      </c>
      <c r="CY263" s="332">
        <f>ППД5[[#This Row],[Расхождение]]/ППД5[[#This Row],[Расчетная проектная площадь]]</f>
        <v>-6.8764877016661728E-3</v>
      </c>
      <c r="CZ263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-0.34999999999999964</v>
      </c>
      <c r="DA263" s="3">
        <f>ППД5[[#This Row],[Цена м2 без отделки со скидкой]]+ППД5[[#This Row],[Стоимость отделки]]</f>
        <v>147244.11531340913</v>
      </c>
      <c r="DB263" s="3">
        <f>ППД5[[#This Row],[Стоимость квартиры с отделкой]]-ППД5[[#This Row],[Стоимость ОН без отделки со скидкой]]</f>
        <v>378099.99999999907</v>
      </c>
      <c r="DC263" s="3">
        <f>ППД5[[#This Row],[Цена м2 с отделкой]]*ППД5[[#This Row],[Расчетная проектная площадь]]</f>
        <v>5567299.9999999991</v>
      </c>
      <c r="DD263" s="3"/>
      <c r="DF263" s="199" t="s">
        <v>157</v>
      </c>
      <c r="DG263" s="245" t="s">
        <v>157</v>
      </c>
      <c r="DH263" s="100" t="b">
        <f>EXACT(ППД5[[#This Row],[Статусы CRM]],ППД5[[#This Row],[Статус]])</f>
        <v>1</v>
      </c>
      <c r="DI263" s="213" t="s">
        <v>435</v>
      </c>
      <c r="DJ263" s="204"/>
      <c r="DK263" s="111" t="s">
        <v>763</v>
      </c>
      <c r="DL263" s="216" t="s">
        <v>780</v>
      </c>
      <c r="DM263" s="201" t="b">
        <f>ППД5[[#This Row],[Отделка CRM]]=ППД5[[#This Row],[Отделка]]</f>
        <v>1</v>
      </c>
      <c r="DN263" s="203">
        <v>5567300</v>
      </c>
      <c r="DO26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9.3132257461547852E-10</v>
      </c>
      <c r="DP263" s="207" t="b">
        <f>IF(AND(ППД5[[#This Row],[Статус]]="свободно",ППД5[[#This Row],[Итоговая сумма скидки]]&lt;&gt;0),FALSE,TRUE)</f>
        <v>1</v>
      </c>
      <c r="DQ263" s="240" t="str">
        <f>_xlfn.XLOOKUP(ППД5[[#This Row],[№]],Юрист[№ кв],Юрист[Дата подачи на регистрацию]," ",0,-1)</f>
        <v xml:space="preserve"> </v>
      </c>
      <c r="DR263" s="115" t="str">
        <f>_xlfn.XLOOKUP(ППД5[[#This Row],[№]],Юрист[№ кв],Юрист[МОП],"",0,-1)</f>
        <v/>
      </c>
      <c r="DS263" s="333" t="s">
        <v>2818</v>
      </c>
      <c r="DT263" s="333" t="s">
        <v>2819</v>
      </c>
      <c r="DU263" s="333">
        <v>36.1</v>
      </c>
      <c r="DV263" s="111"/>
    </row>
    <row r="264" spans="1:126" ht="14.25" hidden="1" customHeight="1" x14ac:dyDescent="0.25">
      <c r="A264" s="112">
        <v>262</v>
      </c>
      <c r="B264" s="111" t="s">
        <v>3</v>
      </c>
      <c r="C264" s="111">
        <v>6</v>
      </c>
      <c r="D264" s="111">
        <v>6</v>
      </c>
      <c r="E264" s="111">
        <v>3</v>
      </c>
      <c r="F264" s="105">
        <v>17.2</v>
      </c>
      <c r="G264" s="105">
        <v>14.64</v>
      </c>
      <c r="H264" s="105">
        <v>14.34</v>
      </c>
      <c r="I264" s="94">
        <f>SUM(ППД5[[#This Row],[Комната 1]:[Комната 3]])</f>
        <v>46.18</v>
      </c>
      <c r="J264" s="105">
        <v>13.15</v>
      </c>
      <c r="K264" s="105">
        <v>4.03</v>
      </c>
      <c r="L264" s="105">
        <v>1.76</v>
      </c>
      <c r="M264" s="105"/>
      <c r="N264" s="105">
        <v>13.11</v>
      </c>
      <c r="O264" s="105">
        <v>2.79</v>
      </c>
      <c r="P264" s="105">
        <v>2.68</v>
      </c>
      <c r="Q264" s="105"/>
      <c r="R264" s="105">
        <f>SUM(ППД5[[#This Row],[Лоджия 1]:[Лоджия 3]])</f>
        <v>5.4700000000000006</v>
      </c>
      <c r="S264" s="8">
        <f>ROUND(SUM(ППД5[[#This Row],[Площадь по проекту жилая]:[Лоджия 3]]),2)</f>
        <v>83.7</v>
      </c>
      <c r="T264" s="8">
        <f>ROUND(ППД5[[#This Row],[Площадь по проекту(общая)]]-ППД5[[#This Row],[Летние]],2)</f>
        <v>78.23</v>
      </c>
      <c r="U264" s="91">
        <f>ROUND(ППД5[[#This Row],[Площадь по проекту(общая)]]-(SUM(ППД5[[#This Row],[Лоджия 1]:[Лоджия 3]])/2),2)</f>
        <v>80.97</v>
      </c>
      <c r="V264" s="91">
        <f>IF(ППД5[[#This Row],[Статус]]="продажа",ППД5[[#This Row],[Расчетная проектная площадь]],ППД5[[#This Row],[Расчетная ТП площадь]])</f>
        <v>80.97</v>
      </c>
      <c r="W264" s="91">
        <v>17.2</v>
      </c>
      <c r="X264" s="91">
        <v>14.6</v>
      </c>
      <c r="Y264" s="91">
        <v>14.4</v>
      </c>
      <c r="Z264" s="91">
        <f>SUM(ППД5[[#This Row],[ТП Комната 1]:[ТП Комната 3]])</f>
        <v>46.199999999999996</v>
      </c>
      <c r="AA264" s="91">
        <v>13.1</v>
      </c>
      <c r="AB264" s="91">
        <v>4</v>
      </c>
      <c r="AC264" s="91">
        <v>1.7</v>
      </c>
      <c r="AD264" s="91"/>
      <c r="AE264" s="91">
        <v>13.2</v>
      </c>
      <c r="AF264" s="91">
        <v>1.4</v>
      </c>
      <c r="AG264" s="92">
        <v>1.35</v>
      </c>
      <c r="AH264" s="91"/>
      <c r="AI264" s="91">
        <f>SUM(ППД5[[#This Row],[ТП Лоджия 1]:[ТП Лоджия 3]])</f>
        <v>2.75</v>
      </c>
      <c r="AJ264" s="95">
        <v>5.5</v>
      </c>
      <c r="AK264" s="91">
        <f>SUM(ППД5[[#This Row],[Площадь по ТП жилая]:[ТП Лоджия 3]])-ППД5[[#This Row],[ТП Летние]]+ППД5[[#This Row],[кроме того прочая
(без коэффициента)]]</f>
        <v>83.7</v>
      </c>
      <c r="AL264" s="95">
        <f>ППД5[[#This Row],[ТП Площадь без летних]]+(ППД5[[#This Row],[ТП Летние]])</f>
        <v>80.95</v>
      </c>
      <c r="AM264" s="91">
        <f>ППД5[[#This Row],[ТП общая S]]-ППД5[[#This Row],[кроме того прочая
(без коэффициента)]]</f>
        <v>78.2</v>
      </c>
      <c r="AN264" s="95">
        <f>SUM(ППД5[[#This Row],[ТП Кухня]:[ТП Коридор]])</f>
        <v>32</v>
      </c>
      <c r="AO264" s="91">
        <f>ППД5[[#This Row],[Расчетная ТП площадь]]-ППД5[[#This Row],[Расчетная проектная площадь]]</f>
        <v>-1.9999999999996021E-2</v>
      </c>
      <c r="AP264" s="335">
        <f>ППД5[[#This Row],[Расчетная ТП площадь]]/ППД5[[#This Row],[Расчетная проектная площадь]]-1</f>
        <v>-2.4700506360375574E-4</v>
      </c>
      <c r="AQ264" s="91">
        <f>ППД5[[#This Row],[% расхождения]]*ППД5[[#This Row],[Стоимость до скидки]]</f>
        <v>-1861.7759664069486</v>
      </c>
      <c r="AR264" s="91">
        <f>VLOOKUP(ППД5[[#This Row],[№]],наценкад5[],COLUMN(наценкад5[[#This Row],[Цена м2 с учетом всех K]]),0)</f>
        <v>74234.160000000018</v>
      </c>
      <c r="AS264" s="8">
        <f>ППД5[[#This Row],[м2 после К]]*5%</f>
        <v>3711.708000000001</v>
      </c>
      <c r="AT264" s="8">
        <f>ППД5[[#This Row],[м2 после К]]+ППД5[[#This Row],[Повышение 16.08.23 - 5%]]</f>
        <v>77945.868000000017</v>
      </c>
      <c r="AU264" s="93">
        <f>ППД5[[#This Row],[Фикс 16.08.23]]*3%</f>
        <v>2338.3760400000006</v>
      </c>
      <c r="AV264" s="93">
        <f>ППД5[[#This Row],[Фикс 16.08.23]]+ППД5[[#This Row],[Повышение 29.08.23 - 3%]]</f>
        <v>80284.24404000002</v>
      </c>
      <c r="AW264" s="93"/>
      <c r="AX264" s="93">
        <f>ППД5[[#This Row],[Фикс 29.08.23]]+ППД5[[#This Row],[Повышение 06.09.23 СТ и 1К]]</f>
        <v>80284.24404000002</v>
      </c>
      <c r="AY264" s="93"/>
      <c r="AZ264" s="93">
        <f>ППД5[[#This Row],[Повышение 23.10.23  В4 ]]+ППД5[[#This Row],[Фикс 06.09.23]]</f>
        <v>80284.24404000002</v>
      </c>
      <c r="BA264" s="93"/>
      <c r="BB264" s="93">
        <f>ППД5[[#This Row],[Повышение 8.11.23 1К 5%]]+ППД5[[#This Row],[Фикс 23.10.23]]</f>
        <v>80284.24404000002</v>
      </c>
      <c r="BC264" s="93"/>
      <c r="BD264" s="93">
        <f>ППД5[[#This Row],[Корректировка 24.11.23 - 1К В5, 2К А2, №233]]+ППД5[[#This Row],[Фикс 8.11.23]]</f>
        <v>80284.24404000002</v>
      </c>
      <c r="BE264" s="93">
        <f>ППД5[[#This Row],[Фикс 8.11.24]]*1%</f>
        <v>802.84244040000021</v>
      </c>
      <c r="BF264" s="93">
        <f>ППД5[[#This Row],[Наценка за отделку 29.12.23 1%]]+ППД5[[#This Row],[Фикс 8.11.24]]</f>
        <v>81087.086480400016</v>
      </c>
      <c r="BG264" s="93">
        <f>ППД5[[#This Row],[Фикс 29.12.23]]*5%</f>
        <v>4054.3543240200011</v>
      </c>
      <c r="BH264" s="93">
        <f>ППД5[[#This Row],[Фикс 29.12.23]]+ППД5[[#This Row],[Наценка 10.01.24 5%]]</f>
        <v>85141.44080442001</v>
      </c>
      <c r="BI264" s="93"/>
      <c r="BJ264" s="93">
        <f>ППД5[[#This Row],[Наценка 26.02.24 1 Этаж]]+ППД5[[#This Row],[Фикс 10.01.24]]</f>
        <v>85141.44080442001</v>
      </c>
      <c r="BK264" s="93">
        <f>ППД5[[#This Row],[Фикс 26.02.24]]*2%</f>
        <v>1702.8288160884003</v>
      </c>
      <c r="BL264" s="93">
        <f>ППД5[[#This Row],[Фикс 26.02.24]]+ППД5[[#This Row],[Наценка 06.03.24
СТ, 1К - 3%
2К, 3К - 2%]]</f>
        <v>86844.269620508407</v>
      </c>
      <c r="BM264" s="93"/>
      <c r="BN264" s="93">
        <f>ППД5[[#This Row],[Фикс 06.03.24]]+ППД5[[#This Row],[Наценка Г2+500]]</f>
        <v>86844.269620508407</v>
      </c>
      <c r="BO264" s="93">
        <f>ППД5[[#This Row],[Фикс 13.03.25]]*2%</f>
        <v>1736.8853924101682</v>
      </c>
      <c r="BP264" s="93">
        <f>ППД5[[#This Row],[Фикс 13.03.25]]+ППД5[[#This Row],[Наценка 20.03.24
2К, 3К - 2%]]</f>
        <v>88581.155012918578</v>
      </c>
      <c r="BQ264" s="93"/>
      <c r="BR264" s="93">
        <f>ППД5[[#This Row],[Фикс 20.03.24]]+ППД5[[#This Row],[Наценка 08.04.24 
2К: В3 - 150
3К: Г7 +1000]]</f>
        <v>88581.155012918578</v>
      </c>
      <c r="BS264" s="93">
        <f>ППД5[[#This Row],[Фикс 08.04.24]]*1%</f>
        <v>885.81155012918578</v>
      </c>
      <c r="BT264" s="93">
        <f>ППД5[[#This Row],[Фикс 08.04.24]]+ППД5[[#This Row],[Наценка 16.05.24 1%
А4,А6,Б3,Б6,Б7,В2,В3,В5,В6,Г1,Г3-Г5]]</f>
        <v>89466.966563047768</v>
      </c>
      <c r="BU264" s="93"/>
      <c r="BV264" s="93">
        <f>ППД5[[#This Row],[Фикс 16.05.24]]+ППД5[[#This Row],[Наценка 24.05.24
1% - Б4, Б5,Г2,Г6
2% - А1,А3,А5,Б2,Г7]]</f>
        <v>89466.966563047768</v>
      </c>
      <c r="BW264" s="93">
        <f>ППД5[[#This Row],[Фикс 24.05.24]]*0.5%</f>
        <v>447.33483281523883</v>
      </c>
      <c r="BX264" s="93">
        <f>ППД5[[#This Row],[Наценка 06.06.24
0К: В2,Г3 +0,5%
1К: А7, Б5/4, Г6 +0,5%
3К: В6 +0,5%
1К: А3 +1%]]+ППД5[[#This Row],[Фикс 24.05.24]]</f>
        <v>89914.301395863004</v>
      </c>
      <c r="BY264" s="93">
        <f>ППД5[[#This Row],[Фикс 06.06.24]]*2%</f>
        <v>1798.2860279172601</v>
      </c>
      <c r="BZ264" s="93">
        <f>ППД5[[#This Row],[Фикс 06.06.24]]+ППД5[[#This Row],[13.06.2024
3К - 2%]]</f>
        <v>91712.587423780264</v>
      </c>
      <c r="CA264" s="93">
        <f>1.5%*ППД5[[#This Row],[Фикс 13.06.24]]</f>
        <v>1375.6888113567038</v>
      </c>
      <c r="CB264" s="93">
        <f>ППД5[[#This Row],[02.07.2024: Г3 А1 А3 Б5 Б7 Г2 Г6 Б3 Б4 В3 Г7 2,5% ост 0,5-1,5%]]+ППД5[[#This Row],[Фикс 13.06.24]]</f>
        <v>93088.27623513696</v>
      </c>
      <c r="CC264" s="93"/>
      <c r="CD264" s="93">
        <f>ППД5[[#This Row],[Фикс 02.07.24]]+ППД5[[#This Row],[04.09.2024 +500
0К - Б2; 1К - А3;
2К - А6, Б4, В3, Г5]]</f>
        <v>93088.27623513696</v>
      </c>
      <c r="CE264" s="93"/>
      <c r="CF264" s="93">
        <f>ППД5[[#This Row],[Наценка 16.09.2024
1К: А1,В7,Г6/7,Г8 - 2%
2К: А4,А5,А6,Б1,Б6,Б3/4,В3,В4,Г4,Г5 - 4%
3К: 4%]]+ППД5[[#This Row],[Фикс 04.09.24]]</f>
        <v>93088.27623513696</v>
      </c>
      <c r="CG264" s="93"/>
      <c r="CH264" s="93">
        <f>ППД5[[#This Row],[Фикс 16.09.2024]]+ППД5[[#This Row],[Наценка 01.11.24
СТ: 4%
1К: 34-40м 5%; 40м+ 8%; МГН 1%
2К: 55-70м 6%; 70-73м 7%; 73-76м 8% 
3К: 5%]]</f>
        <v>93088.27623513696</v>
      </c>
      <c r="CI264" s="93"/>
      <c r="CJ264" s="93">
        <f>ППД5[[#This Row],[Наценка 06.11 13%]]+ППД5[[#This Row],[Фикс 01.11.24]]</f>
        <v>93088.27623513696</v>
      </c>
      <c r="CK264" s="93"/>
      <c r="CL264" s="93">
        <f>ППД5[[#This Row],[Фикс 06.11.24]]+ППД5[[#This Row],[Наценка 18.12.24 распределение КВ]]</f>
        <v>93088.27623513696</v>
      </c>
      <c r="CM264" s="93"/>
      <c r="CN264" s="93">
        <f>ППД5[[#This Row],[Фикс 18.12.24]]+ППД5[[#This Row],[Наценка 10.02.25 +1%
1К: А3
2К: Б3, В3]]</f>
        <v>93088.27623513696</v>
      </c>
      <c r="CO264" s="93">
        <f>ROUND(ППД5[[#This Row],[Фикс 10.02.25]],2)</f>
        <v>93088.28</v>
      </c>
      <c r="CP26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7537400</v>
      </c>
      <c r="CQ264" s="93">
        <f>ROUNDUP(ППД5[[#This Row],[Стоимость до скидки]]+ППД5[[#This Row],[Сумма доплаты]],-2)</f>
        <v>7535600</v>
      </c>
      <c r="CR264" s="68"/>
      <c r="CS264" s="90"/>
      <c r="CT264" s="68">
        <f>ППД5[[#This Row],[Стоимость до скидки]]*ППД5[[#This Row],[Скидка %]]+ППД5[[#This Row],[Скидка фиксированная]]</f>
        <v>0</v>
      </c>
      <c r="CU264" s="3">
        <f>ППД5[[#This Row],[Стоимость ОН без отделки со скидкой]]/ППД5[[#This Row],[Расчетная проектная площадь]]</f>
        <v>93088.798320365575</v>
      </c>
      <c r="CV264" s="3">
        <f>ROUND(ППД5[[#This Row],[Стоимость до скидки]]-ППД5[[#This Row],[Итоговая сумма скидки]],2)</f>
        <v>7537400</v>
      </c>
      <c r="CW26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64" s="197"/>
      <c r="CY264" s="332">
        <f>ППД5[[#This Row],[Расхождение]]/ППД5[[#This Row],[Расчетная проектная площадь]]</f>
        <v>-2.4700506360375476E-4</v>
      </c>
      <c r="CZ26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-5.0000000000002487E-2</v>
      </c>
      <c r="DA264" s="3">
        <f>ППД5[[#This Row],[Цена м2 без отделки со скидкой]]+ППД5[[#This Row],[Стоимость отделки]]</f>
        <v>93088.798320365575</v>
      </c>
      <c r="DB264" s="3">
        <f>ППД5[[#This Row],[Стоимость квартиры с отделкой]]-ППД5[[#This Row],[Стоимость ОН без отделки со скидкой]]</f>
        <v>0</v>
      </c>
      <c r="DC264" s="3">
        <f>ППД5[[#This Row],[Цена м2 с отделкой]]*ППД5[[#This Row],[Расчетная проектная площадь]]</f>
        <v>7537400.0000000009</v>
      </c>
      <c r="DD264" s="3"/>
      <c r="DF264" s="199" t="s">
        <v>172</v>
      </c>
      <c r="DG264" s="245" t="s">
        <v>172</v>
      </c>
      <c r="DH264" s="100" t="b">
        <f>EXACT(ППД5[[#This Row],[Статусы CRM]],ППД5[[#This Row],[Статус]])</f>
        <v>1</v>
      </c>
      <c r="DI264" s="213" t="s">
        <v>436</v>
      </c>
      <c r="DJ264" s="204"/>
      <c r="DK264" s="111" t="s">
        <v>763</v>
      </c>
      <c r="DL264" s="216" t="s">
        <v>12</v>
      </c>
      <c r="DM264" s="201" t="b">
        <f>ППД5[[#This Row],[Отделка CRM]]=ППД5[[#This Row],[Отделка]]</f>
        <v>1</v>
      </c>
      <c r="DN264" s="203">
        <v>7537400</v>
      </c>
      <c r="DO26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-9.3132257461547852E-10</v>
      </c>
      <c r="DP264" s="207" t="b">
        <f>IF(AND(ППД5[[#This Row],[Статус]]="свободно",ППД5[[#This Row],[Итоговая сумма скидки]]&lt;&gt;0),FALSE,TRUE)</f>
        <v>1</v>
      </c>
      <c r="DQ264" s="240">
        <f>_xlfn.XLOOKUP(ППД5[[#This Row],[№]],Юрист[№ кв],Юрист[Дата подачи на регистрацию]," ",0,-1)</f>
        <v>45499</v>
      </c>
      <c r="DR264" s="115" t="str">
        <f>_xlfn.XLOOKUP(ППД5[[#This Row],[№]],Юрист[№ кв],Юрист[МОП],"",0,-1)</f>
        <v>Полехович</v>
      </c>
      <c r="DS264" s="333" t="s">
        <v>2820</v>
      </c>
      <c r="DT264" s="333" t="s">
        <v>2821</v>
      </c>
      <c r="DU264" s="333">
        <v>78.2</v>
      </c>
      <c r="DV264" s="111"/>
    </row>
    <row r="265" spans="1:126" hidden="1" x14ac:dyDescent="0.25">
      <c r="A265" s="112">
        <v>263</v>
      </c>
      <c r="B265" s="111" t="s">
        <v>3</v>
      </c>
      <c r="C265" s="111">
        <v>6</v>
      </c>
      <c r="D265" s="111">
        <v>7</v>
      </c>
      <c r="E265" s="111">
        <v>1</v>
      </c>
      <c r="F265" s="105">
        <v>14.3</v>
      </c>
      <c r="G265" s="105"/>
      <c r="H265" s="105"/>
      <c r="I265" s="94">
        <f>SUM(ППД5[[#This Row],[Комната 1]:[Комната 3]])</f>
        <v>14.3</v>
      </c>
      <c r="J265" s="105">
        <v>9.2799999999999994</v>
      </c>
      <c r="K265" s="105">
        <v>3.79</v>
      </c>
      <c r="L265" s="105"/>
      <c r="M265" s="105"/>
      <c r="N265" s="105">
        <v>6.08</v>
      </c>
      <c r="O265" s="105">
        <v>2.71</v>
      </c>
      <c r="P265" s="105"/>
      <c r="Q265" s="105"/>
      <c r="R265" s="105">
        <f>SUM(ППД5[[#This Row],[Лоджия 1]:[Лоджия 3]])</f>
        <v>2.71</v>
      </c>
      <c r="S265" s="8">
        <f>ROUND(SUM(ППД5[[#This Row],[Площадь по проекту жилая]:[Лоджия 3]]),2)</f>
        <v>36.159999999999997</v>
      </c>
      <c r="T265" s="8">
        <f>ROUND(ППД5[[#This Row],[Площадь по проекту(общая)]]-ППД5[[#This Row],[Летние]],2)</f>
        <v>33.450000000000003</v>
      </c>
      <c r="U265" s="91">
        <f>ROUND(ППД5[[#This Row],[Площадь по проекту(общая)]]-(SUM(ППД5[[#This Row],[Лоджия 1]:[Лоджия 3]])/2),2)</f>
        <v>34.81</v>
      </c>
      <c r="V265" s="91">
        <f>IF(ППД5[[#This Row],[Статус]]="продажа",ППД5[[#This Row],[Расчетная проектная площадь]],ППД5[[#This Row],[Расчетная ТП площадь]])</f>
        <v>34.81</v>
      </c>
      <c r="W265" s="91">
        <v>14.3</v>
      </c>
      <c r="X265" s="91"/>
      <c r="Y265" s="91"/>
      <c r="Z265" s="91">
        <f>SUM(ППД5[[#This Row],[ТП Комната 1]:[ТП Комната 3]])</f>
        <v>14.3</v>
      </c>
      <c r="AA265" s="91">
        <v>9.1999999999999993</v>
      </c>
      <c r="AB265" s="91">
        <v>3.7</v>
      </c>
      <c r="AC265" s="91"/>
      <c r="AD265" s="91"/>
      <c r="AE265" s="91">
        <v>6.1</v>
      </c>
      <c r="AF265" s="91">
        <v>1.3</v>
      </c>
      <c r="AG265" s="91"/>
      <c r="AH265" s="91"/>
      <c r="AI265" s="91">
        <f>SUM(ППД5[[#This Row],[ТП Лоджия 1]:[ТП Лоджия 3]])</f>
        <v>1.3</v>
      </c>
      <c r="AJ265" s="95">
        <v>2.6</v>
      </c>
      <c r="AK265" s="91">
        <f>SUM(ППД5[[#This Row],[Площадь по ТП жилая]:[ТП Лоджия 3]])-ППД5[[#This Row],[ТП Летние]]+ППД5[[#This Row],[кроме того прочая
(без коэффициента)]]</f>
        <v>35.9</v>
      </c>
      <c r="AL265" s="95">
        <f>ППД5[[#This Row],[ТП Площадь без летних]]+(ППД5[[#This Row],[ТП Летние]])</f>
        <v>34.599999999999994</v>
      </c>
      <c r="AM265" s="91">
        <f>ППД5[[#This Row],[ТП общая S]]-ППД5[[#This Row],[кроме того прочая
(без коэффициента)]]</f>
        <v>33.299999999999997</v>
      </c>
      <c r="AN265" s="95">
        <f>SUM(ППД5[[#This Row],[ТП Кухня]:[ТП Коридор]])</f>
        <v>19</v>
      </c>
      <c r="AO265" s="91">
        <f>ППД5[[#This Row],[Расчетная ТП площадь]]-ППД5[[#This Row],[Расчетная проектная площадь]]</f>
        <v>-0.21000000000000796</v>
      </c>
      <c r="AP265" s="335">
        <f>ППД5[[#This Row],[Расчетная ТП площадь]]/ППД5[[#This Row],[Расчетная проектная площадь]]-1</f>
        <v>-6.0327492099973012E-3</v>
      </c>
      <c r="AQ265" s="91">
        <f>ППД5[[#This Row],[% расхождения]]*ППД5[[#This Row],[Стоимость до скидки]]</f>
        <v>-26049.411088768346</v>
      </c>
      <c r="AR265" s="91">
        <f>VLOOKUP(ППД5[[#This Row],[№]],наценкад5[],COLUMN(наценкад5[[#This Row],[Цена м2 с учетом всех K]]),0)</f>
        <v>85573.6875</v>
      </c>
      <c r="AS265" s="8">
        <f>ППД5[[#This Row],[м2 после К]]*5%</f>
        <v>4278.6843749999998</v>
      </c>
      <c r="AT265" s="8">
        <f>ППД5[[#This Row],[м2 после К]]+ППД5[[#This Row],[Повышение 16.08.23 - 5%]]</f>
        <v>89852.371874999997</v>
      </c>
      <c r="AU265" s="93">
        <f>ППД5[[#This Row],[Фикс 16.08.23]]*3%</f>
        <v>2695.5711562499996</v>
      </c>
      <c r="AV265" s="93">
        <f>ППД5[[#This Row],[Фикс 16.08.23]]+ППД5[[#This Row],[Повышение 29.08.23 - 3%]]</f>
        <v>92547.94303124999</v>
      </c>
      <c r="AW265" s="93">
        <f>ППД5[[#This Row],[Фикс 29.08.23]]*14%</f>
        <v>12956.712024375</v>
      </c>
      <c r="AX265" s="93">
        <f>ППД5[[#This Row],[Фикс 29.08.23]]+ППД5[[#This Row],[Повышение 06.09.23 СТ и 1К]]</f>
        <v>105504.65505562499</v>
      </c>
      <c r="AY265" s="93"/>
      <c r="AZ265" s="93">
        <f>ППД5[[#This Row],[Повышение 23.10.23  В4 ]]+ППД5[[#This Row],[Фикс 06.09.23]]</f>
        <v>105504.65505562499</v>
      </c>
      <c r="BA265" s="93">
        <f>ППД5[[#This Row],[Фикс 23.10.23]]*5%</f>
        <v>5275.2327527812495</v>
      </c>
      <c r="BB265" s="93">
        <f>ППД5[[#This Row],[Повышение 8.11.23 1К 5%]]+ППД5[[#This Row],[Фикс 23.10.23]]</f>
        <v>110779.88780840623</v>
      </c>
      <c r="BC265" s="93"/>
      <c r="BD265" s="93">
        <f>ППД5[[#This Row],[Корректировка 24.11.23 - 1К В5, 2К А2, №233]]+ППД5[[#This Row],[Фикс 8.11.23]]</f>
        <v>110779.88780840623</v>
      </c>
      <c r="BE265" s="93">
        <f>ППД5[[#This Row],[Фикс 8.11.24]]*1%</f>
        <v>1107.7988780840624</v>
      </c>
      <c r="BF265" s="93">
        <f>ППД5[[#This Row],[Наценка за отделку 29.12.23 1%]]+ППД5[[#This Row],[Фикс 8.11.24]]</f>
        <v>111887.6866864903</v>
      </c>
      <c r="BG265" s="93">
        <f>ППД5[[#This Row],[Фикс 29.12.23]]*5%</f>
        <v>5594.3843343245153</v>
      </c>
      <c r="BH265" s="93">
        <f>ППД5[[#This Row],[Фикс 29.12.23]]+ППД5[[#This Row],[Наценка 10.01.24 5%]]</f>
        <v>117482.07102081481</v>
      </c>
      <c r="BI265" s="93"/>
      <c r="BJ265" s="93">
        <f>ППД5[[#This Row],[Наценка 26.02.24 1 Этаж]]+ППД5[[#This Row],[Фикс 10.01.24]]</f>
        <v>117482.07102081481</v>
      </c>
      <c r="BK265" s="93">
        <f>ППД5[[#This Row],[Фикс 26.02.24]]*3%</f>
        <v>3524.4621306244439</v>
      </c>
      <c r="BL265" s="93">
        <f>ППД5[[#This Row],[Фикс 26.02.24]]+ППД5[[#This Row],[Наценка 06.03.24
СТ, 1К - 3%
2К, 3К - 2%]]</f>
        <v>121006.53315143925</v>
      </c>
      <c r="BM265" s="93"/>
      <c r="BN265" s="93">
        <f>ППД5[[#This Row],[Фикс 06.03.24]]+ППД5[[#This Row],[Наценка Г2+500]]</f>
        <v>121006.53315143925</v>
      </c>
      <c r="BO265" s="93"/>
      <c r="BP265" s="93">
        <f>ППД5[[#This Row],[Фикс 13.03.25]]+ППД5[[#This Row],[Наценка 20.03.24
2К, 3К - 2%]]</f>
        <v>121006.53315143925</v>
      </c>
      <c r="BQ265" s="93"/>
      <c r="BR265" s="93">
        <f>ППД5[[#This Row],[Фикс 20.03.24]]+ППД5[[#This Row],[Наценка 08.04.24 
2К: В3 - 150
3К: Г7 +1000]]</f>
        <v>121006.53315143925</v>
      </c>
      <c r="BS265" s="93"/>
      <c r="BT265" s="93">
        <f>ППД5[[#This Row],[Фикс 08.04.24]]+ППД5[[#This Row],[Наценка 16.05.24 1%
А4,А6,Б3,Б6,Б7,В2,В3,В5,В6,Г1,Г3-Г5]]</f>
        <v>121006.53315143925</v>
      </c>
      <c r="BU265" s="93"/>
      <c r="BV265" s="93">
        <f>ППД5[[#This Row],[Фикс 16.05.24]]+ППД5[[#This Row],[Наценка 24.05.24
1% - Б4, Б5,Г2,Г6
2% - А1,А3,А5,Б2,Г7]]</f>
        <v>121006.53315143925</v>
      </c>
      <c r="BW265" s="93"/>
      <c r="BX265" s="93">
        <f>ППД5[[#This Row],[Наценка 06.06.24
0К: В2,Г3 +0,5%
1К: А7, Б5/4, Г6 +0,5%
3К: В6 +0,5%
1К: А3 +1%]]+ППД5[[#This Row],[Фикс 24.05.24]]</f>
        <v>121006.53315143925</v>
      </c>
      <c r="BY265" s="93"/>
      <c r="BZ265" s="93">
        <f>ППД5[[#This Row],[Фикс 06.06.24]]+ППД5[[#This Row],[13.06.2024
3К - 2%]]</f>
        <v>121006.53315143925</v>
      </c>
      <c r="CA265" s="93">
        <f>0.5%*ППД5[[#This Row],[Фикс 13.06.24]]</f>
        <v>605.03266575719624</v>
      </c>
      <c r="CB265" s="93">
        <f>ППД5[[#This Row],[02.07.2024: Г3 А1 А3 Б5 Б7 Г2 Г6 Б3 Б4 В3 Г7 2,5% ост 0,5-1,5%]]+ППД5[[#This Row],[Фикс 13.06.24]]</f>
        <v>121611.56581719645</v>
      </c>
      <c r="CC265" s="93"/>
      <c r="CD265" s="93">
        <f>ППД5[[#This Row],[Фикс 02.07.24]]+ППД5[[#This Row],[04.09.2024 +500
0К - Б2; 1К - А3;
2К - А6, Б4, В3, Г5]]</f>
        <v>121611.56581719645</v>
      </c>
      <c r="CE265" s="93">
        <f>ППД5[[#This Row],[Фикс 04.09.24]]*2%</f>
        <v>2432.2313163439289</v>
      </c>
      <c r="CF265" s="93">
        <f>ППД5[[#This Row],[Наценка 16.09.2024
1К: А1,В7,Г6/7,Г8 - 2%
2К: А4,А5,А6,Б1,Б6,Б3/4,В3,В4,Г4,Г5 - 4%
3К: 4%]]+ППД5[[#This Row],[Фикс 04.09.24]]</f>
        <v>124043.79713354037</v>
      </c>
      <c r="CG265" s="93"/>
      <c r="CH265" s="93">
        <f>ППД5[[#This Row],[Фикс 16.09.2024]]+ППД5[[#This Row],[Наценка 01.11.24
СТ: 4%
1К: 34-40м 5%; 40м+ 8%; МГН 1%
2К: 55-70м 6%; 70-73м 7%; 73-76м 8% 
3К: 5%]]</f>
        <v>124043.79713354037</v>
      </c>
      <c r="CI265" s="93"/>
      <c r="CJ265" s="93">
        <f>ППД5[[#This Row],[Наценка 06.11 13%]]+ППД5[[#This Row],[Фикс 01.11.24]]</f>
        <v>124043.79713354037</v>
      </c>
      <c r="CK265" s="93"/>
      <c r="CL265" s="93">
        <f>ППД5[[#This Row],[Фикс 06.11.24]]+ППД5[[#This Row],[Наценка 18.12.24 распределение КВ]]</f>
        <v>124043.79713354037</v>
      </c>
      <c r="CM265" s="93"/>
      <c r="CN265" s="93">
        <f>ППД5[[#This Row],[Фикс 18.12.24]]+ППД5[[#This Row],[Наценка 10.02.25 +1%
1К: А3
2К: Б3, В3]]</f>
        <v>124043.79713354037</v>
      </c>
      <c r="CO265" s="93">
        <f>ROUND(ППД5[[#This Row],[Фикс 10.02.25]],2)</f>
        <v>124043.8</v>
      </c>
      <c r="CP26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4318000</v>
      </c>
      <c r="CQ265" s="93">
        <f>ROUNDUP(ППД5[[#This Row],[Стоимость до скидки]]+ППД5[[#This Row],[Сумма доплаты]],-2)</f>
        <v>4292000</v>
      </c>
      <c r="CR265" s="68"/>
      <c r="CS265" s="90">
        <v>0.03</v>
      </c>
      <c r="CT265" s="68">
        <f>ППД5[[#This Row],[Стоимость до скидки]]*ППД5[[#This Row],[Скидка %]]+ППД5[[#This Row],[Скидка фиксированная]]</f>
        <v>129540</v>
      </c>
      <c r="CU265" s="3">
        <f>ППД5[[#This Row],[Стоимость ОН без отделки со скидкой]]/ППД5[[#This Row],[Расчетная проектная площадь]]</f>
        <v>120323.47026716459</v>
      </c>
      <c r="CV265" s="3">
        <f>ROUND(ППД5[[#This Row],[Стоимость до скидки]]-ППД5[[#This Row],[Итоговая сумма скидки]],2)</f>
        <v>4188460</v>
      </c>
      <c r="CW26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65" s="197">
        <v>20000</v>
      </c>
      <c r="CY265" s="332">
        <f>ППД5[[#This Row],[Расхождение]]/ППД5[[#This Row],[Расчетная проектная площадь]]</f>
        <v>-6.0327492099973559E-3</v>
      </c>
      <c r="CZ26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-0.15000000000000036</v>
      </c>
      <c r="DA265" s="3">
        <f>ППД5[[#This Row],[Цена м2 без отделки со скидкой]]+ППД5[[#This Row],[Стоимость отделки]]</f>
        <v>140323.47026716458</v>
      </c>
      <c r="DB265" s="3">
        <f>ППД5[[#This Row],[Стоимость квартиры с отделкой]]-ППД5[[#This Row],[Стоимость ОН без отделки со скидкой]]</f>
        <v>696199.99999999907</v>
      </c>
      <c r="DC265" s="3">
        <f>ППД5[[#This Row],[Цена м2 с отделкой]]*ППД5[[#This Row],[Расчетная проектная площадь]]</f>
        <v>4884659.9999999991</v>
      </c>
      <c r="DD265" s="3" t="s">
        <v>154</v>
      </c>
      <c r="DE265" s="111" t="s">
        <v>162</v>
      </c>
      <c r="DF265" s="199" t="s">
        <v>172</v>
      </c>
      <c r="DG265" s="245" t="s">
        <v>172</v>
      </c>
      <c r="DH265" s="100" t="b">
        <f>EXACT(ППД5[[#This Row],[Статусы CRM]],ППД5[[#This Row],[Статус]])</f>
        <v>1</v>
      </c>
      <c r="DI265" s="213" t="s">
        <v>437</v>
      </c>
      <c r="DJ265" s="204"/>
      <c r="DK265" s="111" t="s">
        <v>763</v>
      </c>
      <c r="DL265" s="216" t="s">
        <v>14</v>
      </c>
      <c r="DM265" s="201" t="b">
        <f>ППД5[[#This Row],[Отделка CRM]]=ППД5[[#This Row],[Отделка]]</f>
        <v>1</v>
      </c>
      <c r="DN265" s="203">
        <v>4884660</v>
      </c>
      <c r="DO26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9.3132257461547852E-10</v>
      </c>
      <c r="DP265" s="207" t="b">
        <f>IF(AND(ППД5[[#This Row],[Статус]]="свободно",ППД5[[#This Row],[Итоговая сумма скидки]]&lt;&gt;0),FALSE,TRUE)</f>
        <v>1</v>
      </c>
      <c r="DQ265" s="240">
        <f>_xlfn.XLOOKUP(ППД5[[#This Row],[№]],Юрист[№ кв],Юрист[Дата подачи на регистрацию]," ",0,-1)</f>
        <v>45555</v>
      </c>
      <c r="DR265" s="115" t="str">
        <f>_xlfn.XLOOKUP(ППД5[[#This Row],[№]],Юрист[№ кв],Юрист[МОП],"",0,-1)</f>
        <v>Дик</v>
      </c>
      <c r="DS265" s="333" t="s">
        <v>2822</v>
      </c>
      <c r="DT265" s="333" t="s">
        <v>2823</v>
      </c>
      <c r="DU265" s="333">
        <v>33.299999999999997</v>
      </c>
      <c r="DV265" s="111"/>
    </row>
    <row r="266" spans="1:126" hidden="1" x14ac:dyDescent="0.25">
      <c r="A266" s="112">
        <v>264</v>
      </c>
      <c r="B266" s="111" t="s">
        <v>3</v>
      </c>
      <c r="C266" s="111">
        <v>7</v>
      </c>
      <c r="D266" s="338">
        <v>1</v>
      </c>
      <c r="E266" s="111">
        <v>2</v>
      </c>
      <c r="F266" s="105">
        <v>17.63</v>
      </c>
      <c r="G266" s="105">
        <v>13.69</v>
      </c>
      <c r="H266" s="105"/>
      <c r="I266" s="94">
        <f>SUM(ППД5[[#This Row],[Комната 1]:[Комната 3]])</f>
        <v>31.32</v>
      </c>
      <c r="J266" s="105">
        <v>20.05</v>
      </c>
      <c r="K266" s="105">
        <v>3.54</v>
      </c>
      <c r="L266" s="105">
        <v>2.93</v>
      </c>
      <c r="M266" s="105"/>
      <c r="N266" s="105">
        <v>12.19</v>
      </c>
      <c r="O266" s="105">
        <v>4.6500000000000004</v>
      </c>
      <c r="P266" s="105">
        <v>2.68</v>
      </c>
      <c r="Q266" s="105"/>
      <c r="R266" s="105">
        <f>SUM(ППД5[[#This Row],[Лоджия 1]:[Лоджия 3]])</f>
        <v>7.33</v>
      </c>
      <c r="S266" s="8">
        <f>ROUND(SUM(ППД5[[#This Row],[Площадь по проекту жилая]:[Лоджия 3]]),2)</f>
        <v>77.36</v>
      </c>
      <c r="T266" s="8">
        <f>ROUND(ППД5[[#This Row],[Площадь по проекту(общая)]]-ППД5[[#This Row],[Летние]],2)</f>
        <v>70.03</v>
      </c>
      <c r="U266" s="91">
        <f>ROUND(ППД5[[#This Row],[Площадь по проекту(общая)]]-(SUM(ППД5[[#This Row],[Лоджия 1]:[Лоджия 3]])/2),2)</f>
        <v>73.7</v>
      </c>
      <c r="V266" s="91">
        <f>IF(ППД5[[#This Row],[Статус]]="продажа",ППД5[[#This Row],[Расчетная проектная площадь]],ППД5[[#This Row],[Расчетная ТП площадь]])</f>
        <v>73.199999999999989</v>
      </c>
      <c r="W266" s="91">
        <v>17.5</v>
      </c>
      <c r="X266" s="91">
        <v>13.6</v>
      </c>
      <c r="Y266" s="91"/>
      <c r="Z266" s="91">
        <f>SUM(ППД5[[#This Row],[ТП Комната 1]:[ТП Комната 3]])</f>
        <v>31.1</v>
      </c>
      <c r="AA266" s="91">
        <v>19.899999999999999</v>
      </c>
      <c r="AB266" s="91">
        <v>3.6</v>
      </c>
      <c r="AC266" s="91">
        <v>2.9</v>
      </c>
      <c r="AD266" s="91"/>
      <c r="AE266" s="91">
        <v>12.1</v>
      </c>
      <c r="AF266" s="91">
        <v>1.3</v>
      </c>
      <c r="AG266" s="91">
        <v>2.2999999999999998</v>
      </c>
      <c r="AH266" s="91"/>
      <c r="AI266" s="91">
        <f>SUM(ППД5[[#This Row],[ТП Лоджия 1]:[ТП Лоджия 3]])</f>
        <v>3.5999999999999996</v>
      </c>
      <c r="AJ266" s="95">
        <v>7.1999999999999993</v>
      </c>
      <c r="AK266" s="91">
        <f>SUM(ППД5[[#This Row],[Площадь по ТП жилая]:[ТП Лоджия 3]])-ППД5[[#This Row],[ТП Летние]]+ППД5[[#This Row],[кроме того прочая
(без коэффициента)]]</f>
        <v>76.8</v>
      </c>
      <c r="AL266" s="95">
        <f>ППД5[[#This Row],[ТП Площадь без летних]]+(ППД5[[#This Row],[ТП Летние]])</f>
        <v>73.199999999999989</v>
      </c>
      <c r="AM266" s="91">
        <f>ППД5[[#This Row],[ТП общая S]]-ППД5[[#This Row],[кроме того прочая
(без коэффициента)]]</f>
        <v>69.599999999999994</v>
      </c>
      <c r="AN266" s="95">
        <f>SUM(ППД5[[#This Row],[ТП Кухня]:[ТП Коридор]])</f>
        <v>38.5</v>
      </c>
      <c r="AO266" s="91">
        <f>ППД5[[#This Row],[Расчетная ТП площадь]]-ППД5[[#This Row],[Расчетная проектная площадь]]</f>
        <v>-0.50000000000001421</v>
      </c>
      <c r="AP266" s="335">
        <f>ППД5[[#This Row],[Расчетная ТП площадь]]/ППД5[[#This Row],[Расчетная проектная площадь]]-1</f>
        <v>-6.7842605156039903E-3</v>
      </c>
      <c r="AQ266" s="91">
        <f>ППД5[[#This Row],[% расхождения]]*ППД5[[#This Row],[Стоимость до скидки]]</f>
        <v>-57654.681139757391</v>
      </c>
      <c r="AR266" s="91">
        <f>VLOOKUP(ППД5[[#This Row],[№]],наценкад5[],COLUMN(наценкад5[[#This Row],[Цена м2 с учетом всех K]]),0)</f>
        <v>78763.482000000004</v>
      </c>
      <c r="AS266" s="8">
        <f>ППД5[[#This Row],[м2 после К]]*5%</f>
        <v>3938.1741000000002</v>
      </c>
      <c r="AT266" s="8">
        <f>ППД5[[#This Row],[м2 после К]]+ППД5[[#This Row],[Повышение 16.08.23 - 5%]]</f>
        <v>82701.656100000007</v>
      </c>
      <c r="AU266" s="93">
        <f>ППД5[[#This Row],[Фикс 16.08.23]]*3%</f>
        <v>2481.0496830000002</v>
      </c>
      <c r="AV266" s="93">
        <f>ППД5[[#This Row],[Фикс 16.08.23]]+ППД5[[#This Row],[Повышение 29.08.23 - 3%]]</f>
        <v>85182.705783000012</v>
      </c>
      <c r="AW266" s="93"/>
      <c r="AX266" s="93">
        <f>ППД5[[#This Row],[Фикс 29.08.23]]+ППД5[[#This Row],[Повышение 06.09.23 СТ и 1К]]</f>
        <v>85182.705783000012</v>
      </c>
      <c r="AY266" s="93"/>
      <c r="AZ266" s="93">
        <f>ППД5[[#This Row],[Повышение 23.10.23  В4 ]]+ППД5[[#This Row],[Фикс 06.09.23]]</f>
        <v>85182.705783000012</v>
      </c>
      <c r="BA266" s="93"/>
      <c r="BB266" s="93">
        <f>ППД5[[#This Row],[Повышение 8.11.23 1К 5%]]+ППД5[[#This Row],[Фикс 23.10.23]]</f>
        <v>85182.705783000012</v>
      </c>
      <c r="BC266" s="93"/>
      <c r="BD266" s="93">
        <f>ППД5[[#This Row],[Корректировка 24.11.23 - 1К В5, 2К А2, №233]]+ППД5[[#This Row],[Фикс 8.11.23]]</f>
        <v>85182.705783000012</v>
      </c>
      <c r="BE266" s="93">
        <f>ППД5[[#This Row],[Фикс 8.11.24]]*1%</f>
        <v>851.82705783000017</v>
      </c>
      <c r="BF266" s="93">
        <f>ППД5[[#This Row],[Наценка за отделку 29.12.23 1%]]+ППД5[[#This Row],[Фикс 8.11.24]]</f>
        <v>86034.532840830012</v>
      </c>
      <c r="BG266" s="93">
        <f>ППД5[[#This Row],[Фикс 29.12.23]]*5%</f>
        <v>4301.7266420415008</v>
      </c>
      <c r="BH266" s="93">
        <f>ППД5[[#This Row],[Фикс 29.12.23]]+ППД5[[#This Row],[Наценка 10.01.24 5%]]</f>
        <v>90336.259482871508</v>
      </c>
      <c r="BI266" s="93"/>
      <c r="BJ266" s="93">
        <f>ППД5[[#This Row],[Наценка 26.02.24 1 Этаж]]+ППД5[[#This Row],[Фикс 10.01.24]]</f>
        <v>90336.259482871508</v>
      </c>
      <c r="BK266" s="93">
        <f>ППД5[[#This Row],[Фикс 26.02.24]]*2%</f>
        <v>1806.7251896574303</v>
      </c>
      <c r="BL266" s="93">
        <f>ППД5[[#This Row],[Фикс 26.02.24]]+ППД5[[#This Row],[Наценка 06.03.24
СТ, 1К - 3%
2К, 3К - 2%]]</f>
        <v>92142.984672528939</v>
      </c>
      <c r="BM266" s="93"/>
      <c r="BN266" s="93">
        <f>ППД5[[#This Row],[Фикс 06.03.24]]+ППД5[[#This Row],[Наценка Г2+500]]</f>
        <v>92142.984672528939</v>
      </c>
      <c r="BO266" s="93">
        <f>ППД5[[#This Row],[Фикс 13.03.25]]*2%</f>
        <v>1842.8596934505788</v>
      </c>
      <c r="BP266" s="93">
        <f>ППД5[[#This Row],[Фикс 13.03.25]]+ППД5[[#This Row],[Наценка 20.03.24
2К, 3К - 2%]]</f>
        <v>93985.844365979516</v>
      </c>
      <c r="BQ266" s="93"/>
      <c r="BR266" s="93">
        <f>ППД5[[#This Row],[Фикс 20.03.24]]+ППД5[[#This Row],[Наценка 08.04.24 
2К: В3 - 150
3К: Г7 +1000]]</f>
        <v>93985.844365979516</v>
      </c>
      <c r="BS266" s="93"/>
      <c r="BT266" s="93">
        <f>ППД5[[#This Row],[Фикс 08.04.24]]+ППД5[[#This Row],[Наценка 16.05.24 1%
А4,А6,Б3,Б6,Б7,В2,В3,В5,В6,Г1,Г3-Г5]]</f>
        <v>93985.844365979516</v>
      </c>
      <c r="BU266" s="93"/>
      <c r="BV266" s="93">
        <f>ППД5[[#This Row],[Фикс 16.05.24]]+ППД5[[#This Row],[Наценка 24.05.24
1% - Б4, Б5,Г2,Г6
2% - А1,А3,А5,Б2,Г7]]</f>
        <v>93985.844365979516</v>
      </c>
      <c r="BW266" s="93"/>
      <c r="BX266" s="93">
        <f>ППД5[[#This Row],[Наценка 06.06.24
0К: В2,Г3 +0,5%
1К: А7, Б5/4, Г6 +0,5%
3К: В6 +0,5%
1К: А3 +1%]]+ППД5[[#This Row],[Фикс 24.05.24]]</f>
        <v>93985.844365979516</v>
      </c>
      <c r="BY266" s="93"/>
      <c r="BZ266" s="93">
        <f>ППД5[[#This Row],[Фикс 06.06.24]]+ППД5[[#This Row],[13.06.2024
3К - 2%]]</f>
        <v>93985.844365979516</v>
      </c>
      <c r="CA266" s="93">
        <f>0.5%*ППД5[[#This Row],[Фикс 13.06.24]]</f>
        <v>469.92922182989759</v>
      </c>
      <c r="CB266" s="93">
        <f>ППД5[[#This Row],[02.07.2024: Г3 А1 А3 Б5 Б7 Г2 Г6 Б3 Б4 В3 Г7 2,5% ост 0,5-1,5%]]+ППД5[[#This Row],[Фикс 13.06.24]]</f>
        <v>94455.77358780941</v>
      </c>
      <c r="CC266" s="93"/>
      <c r="CD266" s="93">
        <f>ППД5[[#This Row],[Фикс 02.07.24]]+ППД5[[#This Row],[04.09.2024 +500
0К - Б2; 1К - А3;
2К - А6, Б4, В3, Г5]]</f>
        <v>94455.77358780941</v>
      </c>
      <c r="CE266" s="93"/>
      <c r="CF266" s="93">
        <f>ППД5[[#This Row],[Наценка 16.09.2024
1К: А1,В7,Г6/7,Г8 - 2%
2К: А4,А5,А6,Б1,Б6,Б3/4,В3,В4,Г4,Г5 - 4%
3К: 4%]]+ППД5[[#This Row],[Фикс 04.09.24]]</f>
        <v>94455.77358780941</v>
      </c>
      <c r="CG266" s="93">
        <f>ППД5[[#This Row],[Фикс 16.09.2024]]*8%</f>
        <v>7556.4618870247532</v>
      </c>
      <c r="CH266" s="93">
        <f>ППД5[[#This Row],[Фикс 16.09.2024]]+ППД5[[#This Row],[Наценка 01.11.24
СТ: 4%
1К: 34-40м 5%; 40м+ 8%; МГН 1%
2К: 55-70м 6%; 70-73м 7%; 73-76м 8% 
3К: 5%]]</f>
        <v>102012.23547483416</v>
      </c>
      <c r="CI266" s="93">
        <f>ППД5[[#This Row],[Фикс 01.11.24]]*13%</f>
        <v>13261.590611728441</v>
      </c>
      <c r="CJ266" s="93">
        <f>ППД5[[#This Row],[Наценка 06.11 13%]]+ППД5[[#This Row],[Фикс 01.11.24]]</f>
        <v>115273.82608656261</v>
      </c>
      <c r="CK266" s="93">
        <v>35</v>
      </c>
      <c r="CL266" s="93">
        <f>ППД5[[#This Row],[Фикс 06.11.24]]+ППД5[[#This Row],[Наценка 18.12.24 распределение КВ]]</f>
        <v>115308.82608656261</v>
      </c>
      <c r="CM266" s="93"/>
      <c r="CN266" s="93">
        <f>ППД5[[#This Row],[Фикс 18.12.24]]+ППД5[[#This Row],[Наценка 10.02.25 +1%
1К: А3
2К: Б3, В3]]</f>
        <v>115308.82608656261</v>
      </c>
      <c r="CO266" s="93">
        <f>ROUND(ППД5[[#This Row],[Фикс 10.02.25]],2)</f>
        <v>115308.83</v>
      </c>
      <c r="CP26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8498300</v>
      </c>
      <c r="CQ266" s="93">
        <f>ROUNDUP(ППД5[[#This Row],[Стоимость до скидки]]+ППД5[[#This Row],[Сумма доплаты]],-2)</f>
        <v>8440700</v>
      </c>
      <c r="CR266" s="68"/>
      <c r="CS266" s="90"/>
      <c r="CT266" s="68">
        <f>ППД5[[#This Row],[Стоимость до скидки]]*ППД5[[#This Row],[Скидка %]]+ППД5[[#This Row],[Скидка фиксированная]]</f>
        <v>0</v>
      </c>
      <c r="CU266" s="3">
        <f>ППД5[[#This Row],[Стоимость ОН без отделки со скидкой]]/ППД5[[#This Row],[Расчетная проектная площадь]]</f>
        <v>115309.36227951152</v>
      </c>
      <c r="CV266" s="3">
        <f>ROUND(ППД5[[#This Row],[Стоимость до скидки]]-ППД5[[#This Row],[Итоговая сумма скидки]],2)</f>
        <v>8498300</v>
      </c>
      <c r="CW26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266" s="218">
        <v>10000</v>
      </c>
      <c r="CY266" s="332">
        <f>ППД5[[#This Row],[Расхождение]]/ППД5[[#This Row],[Расчетная проектная площадь]]</f>
        <v>-6.7842605156039921E-3</v>
      </c>
      <c r="CZ266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-0.2099999999999973</v>
      </c>
      <c r="DA266" s="3">
        <f>ППД5[[#This Row],[Цена м2 без отделки со скидкой]]+ППД5[[#This Row],[Стоимость отделки]]</f>
        <v>125309.36227951152</v>
      </c>
      <c r="DB266" s="3">
        <f>ППД5[[#This Row],[Стоимость квартиры с отделкой]]-ППД5[[#This Row],[Стоимость ОН без отделки со скидкой]]</f>
        <v>737000</v>
      </c>
      <c r="DC266" s="3">
        <f>ППД5[[#This Row],[Цена м2 с отделкой]]*ППД5[[#This Row],[Расчетная проектная площадь]]</f>
        <v>9235300</v>
      </c>
      <c r="DD266" s="3" t="s">
        <v>158</v>
      </c>
      <c r="DF266" s="199" t="s">
        <v>157</v>
      </c>
      <c r="DG266" s="245" t="s">
        <v>157</v>
      </c>
      <c r="DH266" s="100" t="b">
        <f>EXACT(ППД5[[#This Row],[Статусы CRM]],ППД5[[#This Row],[Статус]])</f>
        <v>1</v>
      </c>
      <c r="DI266" s="213" t="s">
        <v>438</v>
      </c>
      <c r="DJ266" s="204"/>
      <c r="DK266" s="111" t="s">
        <v>763</v>
      </c>
      <c r="DL266" s="216" t="s">
        <v>780</v>
      </c>
      <c r="DM266" s="201" t="b">
        <f>ППД5[[#This Row],[Отделка CRM]]=ППД5[[#This Row],[Отделка]]</f>
        <v>1</v>
      </c>
      <c r="DN266" s="203">
        <v>9235300</v>
      </c>
      <c r="DO26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66" s="207" t="b">
        <f>IF(AND(ППД5[[#This Row],[Статус]]="свободно",ППД5[[#This Row],[Итоговая сумма скидки]]&lt;&gt;0),FALSE,TRUE)</f>
        <v>1</v>
      </c>
      <c r="DQ266" s="240" t="str">
        <f>_xlfn.XLOOKUP(ППД5[[#This Row],[№]],Юрист[№ кв],Юрист[Дата подачи на регистрацию]," ",0,-1)</f>
        <v xml:space="preserve"> </v>
      </c>
      <c r="DR266" s="115" t="str">
        <f>_xlfn.XLOOKUP(ППД5[[#This Row],[№]],Юрист[№ кв],Юрист[МОП],"",0,-1)</f>
        <v/>
      </c>
      <c r="DS266" s="333" t="s">
        <v>2824</v>
      </c>
      <c r="DT266" s="333" t="s">
        <v>2825</v>
      </c>
      <c r="DU266" s="333">
        <v>69.599999999999994</v>
      </c>
      <c r="DV266" s="111"/>
    </row>
    <row r="267" spans="1:126" hidden="1" x14ac:dyDescent="0.25">
      <c r="A267" s="112">
        <v>265</v>
      </c>
      <c r="B267" s="111" t="s">
        <v>3</v>
      </c>
      <c r="C267" s="111">
        <v>7</v>
      </c>
      <c r="D267" s="111">
        <v>2</v>
      </c>
      <c r="E267" s="111">
        <v>0</v>
      </c>
      <c r="F267" s="105">
        <v>7.18</v>
      </c>
      <c r="G267" s="105"/>
      <c r="H267" s="105"/>
      <c r="I267" s="94">
        <f>SUM(ППД5[[#This Row],[Комната 1]:[Комната 3]])</f>
        <v>7.18</v>
      </c>
      <c r="J267" s="105">
        <v>5.17</v>
      </c>
      <c r="K267" s="105">
        <v>3.72</v>
      </c>
      <c r="L267" s="105"/>
      <c r="M267" s="105"/>
      <c r="N267" s="105">
        <v>6.97</v>
      </c>
      <c r="O267" s="105">
        <v>2.97</v>
      </c>
      <c r="P267" s="105"/>
      <c r="Q267" s="105"/>
      <c r="R267" s="105">
        <f>SUM(ППД5[[#This Row],[Лоджия 1]:[Лоджия 3]])</f>
        <v>2.97</v>
      </c>
      <c r="S267" s="8">
        <f>ROUND(SUM(ППД5[[#This Row],[Площадь по проекту жилая]:[Лоджия 3]]),2)</f>
        <v>26.01</v>
      </c>
      <c r="T267" s="8">
        <f>ROUND(ППД5[[#This Row],[Площадь по проекту(общая)]]-ППД5[[#This Row],[Летние]],2)</f>
        <v>23.04</v>
      </c>
      <c r="U267" s="91">
        <f>ROUND(ППД5[[#This Row],[Площадь по проекту(общая)]]-(SUM(ППД5[[#This Row],[Лоджия 1]:[Лоджия 3]])/2),2)</f>
        <v>24.53</v>
      </c>
      <c r="V267" s="91">
        <f>IF(ППД5[[#This Row],[Статус]]="продажа",ППД5[[#This Row],[Расчетная проектная площадь]],ППД5[[#This Row],[Расчетная ТП площадь]])</f>
        <v>24.53</v>
      </c>
      <c r="W267" s="91">
        <v>7.2</v>
      </c>
      <c r="X267" s="91"/>
      <c r="Y267" s="91"/>
      <c r="Z267" s="91">
        <f>SUM(ППД5[[#This Row],[ТП Комната 1]:[ТП Комната 3]])</f>
        <v>7.2</v>
      </c>
      <c r="AA267" s="91">
        <v>5.0999999999999996</v>
      </c>
      <c r="AB267" s="91">
        <v>3.7</v>
      </c>
      <c r="AC267" s="91"/>
      <c r="AD267" s="91"/>
      <c r="AE267" s="91">
        <v>6.9</v>
      </c>
      <c r="AF267" s="91">
        <v>1.45</v>
      </c>
      <c r="AG267" s="91"/>
      <c r="AH267" s="91"/>
      <c r="AI267" s="91">
        <f>SUM(ППД5[[#This Row],[ТП Лоджия 1]:[ТП Лоджия 3]])</f>
        <v>1.45</v>
      </c>
      <c r="AJ267" s="95">
        <v>2.9</v>
      </c>
      <c r="AK267" s="91">
        <f>SUM(ППД5[[#This Row],[Площадь по ТП жилая]:[ТП Лоджия 3]])-ППД5[[#This Row],[ТП Летние]]+ППД5[[#This Row],[кроме того прочая
(без коэффициента)]]</f>
        <v>25.799999999999997</v>
      </c>
      <c r="AL267" s="95">
        <f>ППД5[[#This Row],[ТП Площадь без летних]]+(ППД5[[#This Row],[ТП Летние]])</f>
        <v>24.349999999999998</v>
      </c>
      <c r="AM267" s="91">
        <f>ППД5[[#This Row],[ТП общая S]]-ППД5[[#This Row],[кроме того прочая
(без коэффициента)]]</f>
        <v>22.9</v>
      </c>
      <c r="AN267" s="95">
        <f>SUM(ППД5[[#This Row],[ТП Кухня]:[ТП Коридор]])</f>
        <v>15.700000000000001</v>
      </c>
      <c r="AO267" s="91">
        <f>ППД5[[#This Row],[Расчетная ТП площадь]]-ППД5[[#This Row],[Расчетная проектная площадь]]</f>
        <v>-0.18000000000000327</v>
      </c>
      <c r="AP267" s="335">
        <f>ППД5[[#This Row],[Расчетная ТП площадь]]/ППД5[[#This Row],[Расчетная проектная площадь]]-1</f>
        <v>-7.3379535262945161E-3</v>
      </c>
      <c r="AQ267" s="91">
        <f>ППД5[[#This Row],[% расхождения]]*ППД5[[#This Row],[Стоимость до скидки]]</f>
        <v>-23454.30085609516</v>
      </c>
      <c r="AR267" s="91">
        <f>VLOOKUP(ППД5[[#This Row],[№]],наценкад5[],COLUMN(наценкад5[[#This Row],[Цена м2 с учетом всех K]]),0)</f>
        <v>91981.574999999997</v>
      </c>
      <c r="AS267" s="8">
        <f>ППД5[[#This Row],[м2 после К]]*5%</f>
        <v>4599.0787499999997</v>
      </c>
      <c r="AT267" s="8">
        <f>ППД5[[#This Row],[м2 после К]]+ППД5[[#This Row],[Повышение 16.08.23 - 5%]]</f>
        <v>96580.653749999998</v>
      </c>
      <c r="AU267" s="93">
        <f>ППД5[[#This Row],[Фикс 16.08.23]]*3%</f>
        <v>2897.4196124999999</v>
      </c>
      <c r="AV267" s="93">
        <f>ППД5[[#This Row],[Фикс 16.08.23]]+ППД5[[#This Row],[Повышение 29.08.23 - 3%]]</f>
        <v>99478.073362499999</v>
      </c>
      <c r="AW267" s="93">
        <f>ППД5[[#This Row],[Фикс 29.08.23]]*13%</f>
        <v>12932.149537125</v>
      </c>
      <c r="AX267" s="93">
        <f>ППД5[[#This Row],[Фикс 29.08.23]]+ППД5[[#This Row],[Повышение 06.09.23 СТ и 1К]]</f>
        <v>112410.22289962501</v>
      </c>
      <c r="AY267" s="93">
        <f>ППД5[[#This Row],[Фикс 06.09.23]]*3%</f>
        <v>3372.3066869887502</v>
      </c>
      <c r="AZ267" s="93">
        <f>ППД5[[#This Row],[Повышение 23.10.23  В4 ]]+ППД5[[#This Row],[Фикс 06.09.23]]</f>
        <v>115782.52958661376</v>
      </c>
      <c r="BA267" s="93"/>
      <c r="BB267" s="93">
        <f>ППД5[[#This Row],[Повышение 8.11.23 1К 5%]]+ППД5[[#This Row],[Фикс 23.10.23]]</f>
        <v>115782.52958661376</v>
      </c>
      <c r="BC267" s="93"/>
      <c r="BD267" s="93">
        <f>ППД5[[#This Row],[Корректировка 24.11.23 - 1К В5, 2К А2, №233]]+ППД5[[#This Row],[Фикс 8.11.23]]</f>
        <v>115782.52958661376</v>
      </c>
      <c r="BE267" s="93">
        <f>ППД5[[#This Row],[Фикс 8.11.24]]*1%</f>
        <v>1157.8252958661376</v>
      </c>
      <c r="BF267" s="93">
        <f>ППД5[[#This Row],[Наценка за отделку 29.12.23 1%]]+ППД5[[#This Row],[Фикс 8.11.24]]</f>
        <v>116940.35488247989</v>
      </c>
      <c r="BG267" s="93">
        <f>ППД5[[#This Row],[Фикс 29.12.23]]*5%</f>
        <v>5847.0177441239948</v>
      </c>
      <c r="BH267" s="93">
        <f>ППД5[[#This Row],[Фикс 29.12.23]]+ППД5[[#This Row],[Наценка 10.01.24 5%]]</f>
        <v>122787.37262660389</v>
      </c>
      <c r="BI267" s="93"/>
      <c r="BJ267" s="93">
        <f>ППД5[[#This Row],[Наценка 26.02.24 1 Этаж]]+ППД5[[#This Row],[Фикс 10.01.24]]</f>
        <v>122787.37262660389</v>
      </c>
      <c r="BK267" s="93">
        <f>ППД5[[#This Row],[Фикс 26.02.24]]*3%</f>
        <v>3683.6211787981165</v>
      </c>
      <c r="BL267" s="93">
        <f>ППД5[[#This Row],[Фикс 26.02.24]]+ППД5[[#This Row],[Наценка 06.03.24
СТ, 1К - 3%
2К, 3К - 2%]]</f>
        <v>126470.993805402</v>
      </c>
      <c r="BM267" s="93"/>
      <c r="BN267" s="93">
        <f>ППД5[[#This Row],[Фикс 06.03.24]]+ППД5[[#This Row],[Наценка Г2+500]]</f>
        <v>126470.993805402</v>
      </c>
      <c r="BO267" s="93"/>
      <c r="BP267" s="93">
        <f>ППД5[[#This Row],[Фикс 13.03.25]]+ППД5[[#This Row],[Наценка 20.03.24
2К, 3К - 2%]]</f>
        <v>126470.993805402</v>
      </c>
      <c r="BQ267" s="93"/>
      <c r="BR267" s="93">
        <f>ППД5[[#This Row],[Фикс 20.03.24]]+ППД5[[#This Row],[Наценка 08.04.24 
2К: В3 - 150
3К: Г7 +1000]]</f>
        <v>126470.993805402</v>
      </c>
      <c r="BS267" s="93">
        <f>ППД5[[#This Row],[Фикс 08.04.24]]*1%</f>
        <v>1264.7099380540201</v>
      </c>
      <c r="BT267" s="93">
        <f>ППД5[[#This Row],[Фикс 08.04.24]]+ППД5[[#This Row],[Наценка 16.05.24 1%
А4,А6,Б3,Б6,Б7,В2,В3,В5,В6,Г1,Г3-Г5]]</f>
        <v>127735.70374345602</v>
      </c>
      <c r="BU267" s="93"/>
      <c r="BV267" s="93">
        <f>ППД5[[#This Row],[Фикс 16.05.24]]+ППД5[[#This Row],[Наценка 24.05.24
1% - Б4, Б5,Г2,Г6
2% - А1,А3,А5,Б2,Г7]]</f>
        <v>127735.70374345602</v>
      </c>
      <c r="BW267" s="93">
        <f>ППД5[[#This Row],[Фикс 24.05.24]]*0.5%</f>
        <v>638.6785187172801</v>
      </c>
      <c r="BX267" s="93">
        <f>ППД5[[#This Row],[Наценка 06.06.24
0К: В2,Г3 +0,5%
1К: А7, Б5/4, Г6 +0,5%
3К: В6 +0,5%
1К: А3 +1%]]+ППД5[[#This Row],[Фикс 24.05.24]]</f>
        <v>128374.3822621733</v>
      </c>
      <c r="BY267" s="93"/>
      <c r="BZ267" s="93">
        <f>ППД5[[#This Row],[Фикс 06.06.24]]+ППД5[[#This Row],[13.06.2024
3К - 2%]]</f>
        <v>128374.3822621733</v>
      </c>
      <c r="CA267" s="93">
        <f>1.5%*ППД5[[#This Row],[Фикс 13.06.24]]</f>
        <v>1925.6157339325994</v>
      </c>
      <c r="CB267" s="93">
        <f>ППД5[[#This Row],[02.07.2024: Г3 А1 А3 Б5 Б7 Г2 Г6 Б3 Б4 В3 Г7 2,5% ост 0,5-1,5%]]+ППД5[[#This Row],[Фикс 13.06.24]]</f>
        <v>130299.9979961059</v>
      </c>
      <c r="CC267" s="93"/>
      <c r="CD267" s="93">
        <f>ППД5[[#This Row],[Фикс 02.07.24]]+ППД5[[#This Row],[04.09.2024 +500
0К - Б2; 1К - А3;
2К - А6, Б4, В3, Г5]]</f>
        <v>130299.9979961059</v>
      </c>
      <c r="CE267" s="93"/>
      <c r="CF267" s="93">
        <f>ППД5[[#This Row],[Наценка 16.09.2024
1К: А1,В7,Г6/7,Г8 - 2%
2К: А4,А5,А6,Б1,Б6,Б3/4,В3,В4,Г4,Г5 - 4%
3К: 4%]]+ППД5[[#This Row],[Фикс 04.09.24]]</f>
        <v>130299.9979961059</v>
      </c>
      <c r="CG267" s="93"/>
      <c r="CH267" s="93">
        <f>ППД5[[#This Row],[Фикс 16.09.2024]]+ППД5[[#This Row],[Наценка 01.11.24
СТ: 4%
1К: 34-40м 5%; 40м+ 8%; МГН 1%
2К: 55-70м 6%; 70-73м 7%; 73-76м 8% 
3К: 5%]]</f>
        <v>130299.9979961059</v>
      </c>
      <c r="CI267" s="93"/>
      <c r="CJ267" s="93">
        <f>ППД5[[#This Row],[Наценка 06.11 13%]]+ППД5[[#This Row],[Фикс 01.11.24]]</f>
        <v>130299.9979961059</v>
      </c>
      <c r="CK267" s="93"/>
      <c r="CL267" s="93">
        <f>ППД5[[#This Row],[Фикс 06.11.24]]+ППД5[[#This Row],[Наценка 18.12.24 распределение КВ]]</f>
        <v>130299.9979961059</v>
      </c>
      <c r="CM267" s="93"/>
      <c r="CN267" s="93">
        <f>ППД5[[#This Row],[Фикс 18.12.24]]+ППД5[[#This Row],[Наценка 10.02.25 +1%
1К: А3
2К: Б3, В3]]</f>
        <v>130299.9979961059</v>
      </c>
      <c r="CO267" s="93">
        <f>ROUND(ППД5[[#This Row],[Фикс 10.02.25]],2)</f>
        <v>130300</v>
      </c>
      <c r="CP26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3196300</v>
      </c>
      <c r="CQ267" s="93">
        <f>ROUNDUP(ППД5[[#This Row],[Стоимость до скидки]]+ППД5[[#This Row],[Сумма доплаты]],-2)</f>
        <v>3172900</v>
      </c>
      <c r="CR267" s="68"/>
      <c r="CS267" s="90"/>
      <c r="CT267" s="68">
        <f>ППД5[[#This Row],[Стоимость до скидки]]*ППД5[[#This Row],[Скидка %]]+ППД5[[#This Row],[Скидка фиксированная]]</f>
        <v>0</v>
      </c>
      <c r="CU267" s="3">
        <f>ППД5[[#This Row],[Стоимость ОН без отделки со скидкой]]/ППД5[[#This Row],[Расчетная проектная площадь]]</f>
        <v>130301.67142274765</v>
      </c>
      <c r="CV267" s="3">
        <f>ROUND(ППД5[[#This Row],[Стоимость до скидки]]-ППД5[[#This Row],[Итоговая сумма скидки]],2)</f>
        <v>3196300</v>
      </c>
      <c r="CW26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267" s="197">
        <v>8000</v>
      </c>
      <c r="CY267" s="332">
        <f>ППД5[[#This Row],[Расхождение]]/ППД5[[#This Row],[Расчетная проектная площадь]]</f>
        <v>-7.3379535262944667E-3</v>
      </c>
      <c r="CZ26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-0.16000000000000014</v>
      </c>
      <c r="DA267" s="3">
        <f>ППД5[[#This Row],[Цена м2 без отделки со скидкой]]+ППД5[[#This Row],[Стоимость отделки]]</f>
        <v>138301.67142274766</v>
      </c>
      <c r="DB267" s="3">
        <f>ППД5[[#This Row],[Стоимость квартиры с отделкой]]-ППД5[[#This Row],[Стоимость ОН без отделки со скидкой]]</f>
        <v>196240.00000000047</v>
      </c>
      <c r="DC267" s="3">
        <f>ППД5[[#This Row],[Цена м2 с отделкой]]*ППД5[[#This Row],[Расчетная проектная площадь]]</f>
        <v>3392540.0000000005</v>
      </c>
      <c r="DD267" s="3"/>
      <c r="DF267" s="199" t="s">
        <v>172</v>
      </c>
      <c r="DG267" s="245" t="s">
        <v>172</v>
      </c>
      <c r="DH267" s="100" t="b">
        <f>EXACT(ППД5[[#This Row],[Статусы CRM]],ППД5[[#This Row],[Статус]])</f>
        <v>1</v>
      </c>
      <c r="DI267" s="213" t="s">
        <v>439</v>
      </c>
      <c r="DJ267" s="204"/>
      <c r="DK267" s="111" t="s">
        <v>763</v>
      </c>
      <c r="DL267" s="216" t="s">
        <v>780</v>
      </c>
      <c r="DM267" s="201" t="b">
        <f>ППД5[[#This Row],[Отделка CRM]]=ППД5[[#This Row],[Отделка]]</f>
        <v>1</v>
      </c>
      <c r="DN267" s="203">
        <v>3392540</v>
      </c>
      <c r="DO26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-4.6566128730773926E-10</v>
      </c>
      <c r="DP267" s="207" t="b">
        <f>IF(AND(ППД5[[#This Row],[Статус]]="свободно",ППД5[[#This Row],[Итоговая сумма скидки]]&lt;&gt;0),FALSE,TRUE)</f>
        <v>1</v>
      </c>
      <c r="DQ267" s="240">
        <f>_xlfn.XLOOKUP(ППД5[[#This Row],[№]],Юрист[№ кв],Юрист[Дата подачи на регистрацию]," ",0,-1)</f>
        <v>45594</v>
      </c>
      <c r="DR267" s="115" t="str">
        <f>_xlfn.XLOOKUP(ППД5[[#This Row],[№]],Юрист[№ кв],Юрист[МОП],"",0,-1)</f>
        <v>Дик</v>
      </c>
      <c r="DS267" s="333" t="s">
        <v>2826</v>
      </c>
      <c r="DT267" s="333" t="s">
        <v>2827</v>
      </c>
      <c r="DU267" s="333">
        <v>22.9</v>
      </c>
      <c r="DV267" s="111"/>
    </row>
    <row r="268" spans="1:126" hidden="1" x14ac:dyDescent="0.25">
      <c r="A268" s="112">
        <v>266</v>
      </c>
      <c r="B268" s="111" t="s">
        <v>3</v>
      </c>
      <c r="C268" s="111">
        <v>7</v>
      </c>
      <c r="D268" s="111">
        <v>3</v>
      </c>
      <c r="E268" s="111">
        <v>2</v>
      </c>
      <c r="F268" s="105">
        <v>13.69</v>
      </c>
      <c r="G268" s="105">
        <v>10.16</v>
      </c>
      <c r="H268" s="105"/>
      <c r="I268" s="94">
        <f>SUM(ППД5[[#This Row],[Комната 1]:[Комната 3]])</f>
        <v>23.85</v>
      </c>
      <c r="J268" s="105">
        <v>18.71</v>
      </c>
      <c r="K268" s="105">
        <v>3.49</v>
      </c>
      <c r="L268" s="105">
        <v>2.11</v>
      </c>
      <c r="M268" s="105"/>
      <c r="N268" s="105">
        <v>7.09</v>
      </c>
      <c r="O268" s="105">
        <v>2.65</v>
      </c>
      <c r="P268" s="105"/>
      <c r="Q268" s="105"/>
      <c r="R268" s="105">
        <f>SUM(ППД5[[#This Row],[Лоджия 1]:[Лоджия 3]])</f>
        <v>2.65</v>
      </c>
      <c r="S268" s="8">
        <f>ROUND(SUM(ППД5[[#This Row],[Площадь по проекту жилая]:[Лоджия 3]]),2)</f>
        <v>57.9</v>
      </c>
      <c r="T268" s="8">
        <f>ROUND(ППД5[[#This Row],[Площадь по проекту(общая)]]-ППД5[[#This Row],[Летние]],2)</f>
        <v>55.25</v>
      </c>
      <c r="U268" s="91">
        <f>ROUND(ППД5[[#This Row],[Площадь по проекту(общая)]]-(SUM(ППД5[[#This Row],[Лоджия 1]:[Лоджия 3]])/2),2)</f>
        <v>56.58</v>
      </c>
      <c r="V268" s="91">
        <f>IF(ППД5[[#This Row],[Статус]]="продажа",ППД5[[#This Row],[Расчетная проектная площадь]],ППД5[[#This Row],[Расчетная ТП площадь]])</f>
        <v>56.58</v>
      </c>
      <c r="W268" s="91">
        <v>13.6</v>
      </c>
      <c r="X268" s="91">
        <v>9.9</v>
      </c>
      <c r="Y268" s="91"/>
      <c r="Z268" s="91">
        <f>SUM(ППД5[[#This Row],[ТП Комната 1]:[ТП Комната 3]])</f>
        <v>23.5</v>
      </c>
      <c r="AA268" s="91">
        <v>18.7</v>
      </c>
      <c r="AB268" s="91">
        <v>3.5</v>
      </c>
      <c r="AC268" s="91">
        <v>2.1</v>
      </c>
      <c r="AD268" s="91"/>
      <c r="AE268" s="91">
        <v>7</v>
      </c>
      <c r="AF268" s="91">
        <v>1.3</v>
      </c>
      <c r="AG268" s="91"/>
      <c r="AH268" s="91"/>
      <c r="AI268" s="91">
        <f>SUM(ППД5[[#This Row],[ТП Лоджия 1]:[ТП Лоджия 3]])</f>
        <v>1.3</v>
      </c>
      <c r="AJ268" s="95">
        <v>2.6</v>
      </c>
      <c r="AK268" s="91">
        <f>SUM(ППД5[[#This Row],[Площадь по ТП жилая]:[ТП Лоджия 3]])-ППД5[[#This Row],[ТП Летние]]+ППД5[[#This Row],[кроме того прочая
(без коэффициента)]]</f>
        <v>57.400000000000006</v>
      </c>
      <c r="AL268" s="95">
        <f>ППД5[[#This Row],[ТП Площадь без летних]]+(ППД5[[#This Row],[ТП Летние]])</f>
        <v>56.1</v>
      </c>
      <c r="AM268" s="91">
        <f>ППД5[[#This Row],[ТП общая S]]-ППД5[[#This Row],[кроме того прочая
(без коэффициента)]]</f>
        <v>54.800000000000004</v>
      </c>
      <c r="AN268" s="95">
        <f>SUM(ППД5[[#This Row],[ТП Кухня]:[ТП Коридор]])</f>
        <v>31.3</v>
      </c>
      <c r="AO268" s="91">
        <f>ППД5[[#This Row],[Расчетная ТП площадь]]-ППД5[[#This Row],[Расчетная проектная площадь]]</f>
        <v>-0.47999999999999687</v>
      </c>
      <c r="AP268" s="335">
        <f>ППД5[[#This Row],[Расчетная ТП площадь]]/ППД5[[#This Row],[Расчетная проектная площадь]]-1</f>
        <v>-8.483563096500446E-3</v>
      </c>
      <c r="AQ268" s="91">
        <f>ППД5[[#This Row],[% расхождения]]*ППД5[[#This Row],[Стоимость до скидки]]</f>
        <v>-46529.798515375995</v>
      </c>
      <c r="AR268" s="91">
        <f>VLOOKUP(ППД5[[#This Row],[№]],наценкад5[],COLUMN(наценкад5[[#This Row],[Цена м2 с учетом всех K]]),0)</f>
        <v>80307.864000000001</v>
      </c>
      <c r="AS268" s="8">
        <f>ППД5[[#This Row],[м2 после К]]*5%</f>
        <v>4015.3932000000004</v>
      </c>
      <c r="AT268" s="8">
        <f>ППД5[[#This Row],[м2 после К]]+ППД5[[#This Row],[Повышение 16.08.23 - 5%]]</f>
        <v>84323.257200000007</v>
      </c>
      <c r="AU268" s="93">
        <f>ППД5[[#This Row],[Фикс 16.08.23]]*3%</f>
        <v>2529.6977160000001</v>
      </c>
      <c r="AV268" s="93">
        <f>ППД5[[#This Row],[Фикс 16.08.23]]+ППД5[[#This Row],[Повышение 29.08.23 - 3%]]</f>
        <v>86852.954916000002</v>
      </c>
      <c r="AW268" s="93"/>
      <c r="AX268" s="93">
        <f>ППД5[[#This Row],[Фикс 29.08.23]]+ППД5[[#This Row],[Повышение 06.09.23 СТ и 1К]]</f>
        <v>86852.954916000002</v>
      </c>
      <c r="AY268" s="93"/>
      <c r="AZ268" s="93">
        <f>ППД5[[#This Row],[Повышение 23.10.23  В4 ]]+ППД5[[#This Row],[Фикс 06.09.23]]</f>
        <v>86852.954916000002</v>
      </c>
      <c r="BA268" s="93"/>
      <c r="BB268" s="93">
        <f>ППД5[[#This Row],[Повышение 8.11.23 1К 5%]]+ППД5[[#This Row],[Фикс 23.10.23]]</f>
        <v>86852.954916000002</v>
      </c>
      <c r="BC268" s="93"/>
      <c r="BD268" s="93">
        <f>ППД5[[#This Row],[Корректировка 24.11.23 - 1К В5, 2К А2, №233]]+ППД5[[#This Row],[Фикс 8.11.23]]</f>
        <v>86852.954916000002</v>
      </c>
      <c r="BE268" s="93">
        <f>ППД5[[#This Row],[Фикс 8.11.24]]*1%</f>
        <v>868.52954915999999</v>
      </c>
      <c r="BF268" s="93">
        <f>ППД5[[#This Row],[Наценка за отделку 29.12.23 1%]]+ППД5[[#This Row],[Фикс 8.11.24]]</f>
        <v>87721.48446516</v>
      </c>
      <c r="BG268" s="93">
        <f>ППД5[[#This Row],[Фикс 29.12.23]]*5%</f>
        <v>4386.0742232580005</v>
      </c>
      <c r="BH268" s="93">
        <f>ППД5[[#This Row],[Фикс 29.12.23]]+ППД5[[#This Row],[Наценка 10.01.24 5%]]</f>
        <v>92107.558688417994</v>
      </c>
      <c r="BI268" s="93"/>
      <c r="BJ268" s="93">
        <f>ППД5[[#This Row],[Наценка 26.02.24 1 Этаж]]+ППД5[[#This Row],[Фикс 10.01.24]]</f>
        <v>92107.558688417994</v>
      </c>
      <c r="BK268" s="93">
        <f>ППД5[[#This Row],[Фикс 26.02.24]]*2%</f>
        <v>1842.15117376836</v>
      </c>
      <c r="BL268" s="93">
        <f>ППД5[[#This Row],[Фикс 26.02.24]]+ППД5[[#This Row],[Наценка 06.03.24
СТ, 1К - 3%
2К, 3К - 2%]]</f>
        <v>93949.709862186355</v>
      </c>
      <c r="BM268" s="93"/>
      <c r="BN268" s="93">
        <f>ППД5[[#This Row],[Фикс 06.03.24]]+ППД5[[#This Row],[Наценка Г2+500]]</f>
        <v>93949.709862186355</v>
      </c>
      <c r="BO268" s="93">
        <f>ППД5[[#This Row],[Фикс 13.03.25]]*2%</f>
        <v>1878.9941972437271</v>
      </c>
      <c r="BP268" s="93">
        <f>ППД5[[#This Row],[Фикс 13.03.25]]+ППД5[[#This Row],[Наценка 20.03.24
2К, 3К - 2%]]</f>
        <v>95828.704059430078</v>
      </c>
      <c r="BQ268" s="208">
        <f>ППД5[[#This Row],[Фикс 20.03.24]]*1%+150</f>
        <v>1108.2870405943008</v>
      </c>
      <c r="BR268" s="93">
        <f>ППД5[[#This Row],[Фикс 20.03.24]]+ППД5[[#This Row],[Наценка 08.04.24 
2К: В3 - 150
3К: Г7 +1000]]</f>
        <v>96936.991100024374</v>
      </c>
      <c r="BS268" s="93"/>
      <c r="BT268" s="93">
        <f>ППД5[[#This Row],[Фикс 08.04.24]]+ППД5[[#This Row],[Наценка 16.05.24 1%
А4,А6,Б3,Б6,Б7,В2,В3,В5,В6,Г1,Г3-Г5]]</f>
        <v>96936.991100024374</v>
      </c>
      <c r="BU268" s="93"/>
      <c r="BV268" s="93">
        <f>ППД5[[#This Row],[Фикс 16.05.24]]+ППД5[[#This Row],[Наценка 24.05.24
1% - Б4, Б5,Г2,Г6
2% - А1,А3,А5,Б2,Г7]]</f>
        <v>96936.991100024374</v>
      </c>
      <c r="BW268" s="93"/>
      <c r="BX268" s="93">
        <f>ППД5[[#This Row],[Наценка 06.06.24
0К: В2,Г3 +0,5%
1К: А7, Б5/4, Г6 +0,5%
3К: В6 +0,5%
1К: А3 +1%]]+ППД5[[#This Row],[Фикс 24.05.24]]</f>
        <v>96936.991100024374</v>
      </c>
      <c r="BY268" s="93"/>
      <c r="BZ268" s="93">
        <f>ППД5[[#This Row],[Фикс 06.06.24]]+ППД5[[#This Row],[13.06.2024
3К - 2%]]</f>
        <v>96936.991100024374</v>
      </c>
      <c r="CA268" s="93"/>
      <c r="CB268" s="93">
        <f>ППД5[[#This Row],[02.07.2024: Г3 А1 А3 Б5 Б7 Г2 Г6 Б3 Б4 В3 Г7 2,5% ост 0,5-1,5%]]+ППД5[[#This Row],[Фикс 13.06.24]]</f>
        <v>96936.991100024374</v>
      </c>
      <c r="CC268" s="93"/>
      <c r="CD268" s="93">
        <f>ППД5[[#This Row],[Фикс 02.07.24]]+ППД5[[#This Row],[04.09.2024 +500
0К - Б2; 1К - А3;
2К - А6, Б4, В3, Г5]]</f>
        <v>96936.991100024374</v>
      </c>
      <c r="CE268" s="93"/>
      <c r="CF268" s="93">
        <f>ППД5[[#This Row],[Наценка 16.09.2024
1К: А1,В7,Г6/7,Г8 - 2%
2К: А4,А5,А6,Б1,Б6,Б3/4,В3,В4,Г4,Г5 - 4%
3К: 4%]]+ППД5[[#This Row],[Фикс 04.09.24]]</f>
        <v>96936.991100024374</v>
      </c>
      <c r="CG268" s="93"/>
      <c r="CH268" s="93">
        <f>ППД5[[#This Row],[Фикс 16.09.2024]]+ППД5[[#This Row],[Наценка 01.11.24
СТ: 4%
1К: 34-40м 5%; 40м+ 8%; МГН 1%
2К: 55-70м 6%; 70-73м 7%; 73-76м 8% 
3К: 5%]]</f>
        <v>96936.991100024374</v>
      </c>
      <c r="CI268" s="93"/>
      <c r="CJ268" s="93">
        <f>ППД5[[#This Row],[Наценка 06.11 13%]]+ППД5[[#This Row],[Фикс 01.11.24]]</f>
        <v>96936.991100024374</v>
      </c>
      <c r="CK268" s="93"/>
      <c r="CL268" s="93">
        <f>ППД5[[#This Row],[Фикс 06.11.24]]+ППД5[[#This Row],[Наценка 18.12.24 распределение КВ]]</f>
        <v>96936.991100024374</v>
      </c>
      <c r="CM268" s="93"/>
      <c r="CN268" s="93">
        <f>ППД5[[#This Row],[Фикс 18.12.24]]+ППД5[[#This Row],[Наценка 10.02.25 +1%
1К: А3
2К: Б3, В3]]</f>
        <v>96936.991100024374</v>
      </c>
      <c r="CO268" s="93">
        <f>ROUND(ППД5[[#This Row],[Фикс 10.02.25]],2)</f>
        <v>96936.99</v>
      </c>
      <c r="CP26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5484700</v>
      </c>
      <c r="CQ268" s="93">
        <f>ROUNDUP(ППД5[[#This Row],[Стоимость до скидки]]+ППД5[[#This Row],[Сумма доплаты]],-2)</f>
        <v>5438200</v>
      </c>
      <c r="CR268" s="68"/>
      <c r="CS268" s="90"/>
      <c r="CT268" s="68">
        <f>ППД5[[#This Row],[Стоимость до скидки]]*ППД5[[#This Row],[Скидка %]]+ППД5[[#This Row],[Скидка фиксированная]]</f>
        <v>0</v>
      </c>
      <c r="CU268" s="3">
        <f>ППД5[[#This Row],[Стоимость ОН без отделки со скидкой]]/ППД5[[#This Row],[Расчетная проектная площадь]]</f>
        <v>96937.080240367621</v>
      </c>
      <c r="CV268" s="3">
        <f>ROUND(ППД5[[#This Row],[Стоимость до скидки]]-ППД5[[#This Row],[Итоговая сумма скидки]],2)</f>
        <v>5484700</v>
      </c>
      <c r="CW26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268" s="197">
        <v>7000</v>
      </c>
      <c r="CY268" s="332">
        <f>ППД5[[#This Row],[Расхождение]]/ППД5[[#This Row],[Расчетная проектная площадь]]</f>
        <v>-8.4835630965004755E-3</v>
      </c>
      <c r="CZ26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-0.10000000000000142</v>
      </c>
      <c r="DA268" s="3">
        <f>ППД5[[#This Row],[Цена м2 без отделки со скидкой]]+ППД5[[#This Row],[Стоимость отделки]]</f>
        <v>103937.08024036762</v>
      </c>
      <c r="DB268" s="3">
        <f>ППД5[[#This Row],[Стоимость квартиры с отделкой]]-ППД5[[#This Row],[Стоимость ОН без отделки со скидкой]]</f>
        <v>396060</v>
      </c>
      <c r="DC268" s="3">
        <f>ППД5[[#This Row],[Цена м2 с отделкой]]*ППД5[[#This Row],[Расчетная проектная площадь]]</f>
        <v>5880760</v>
      </c>
      <c r="DD268" s="3" t="s">
        <v>154</v>
      </c>
      <c r="DF268" s="199" t="s">
        <v>172</v>
      </c>
      <c r="DG268" s="245" t="s">
        <v>172</v>
      </c>
      <c r="DH268" s="100" t="b">
        <f>EXACT(ППД5[[#This Row],[Статусы CRM]],ППД5[[#This Row],[Статус]])</f>
        <v>1</v>
      </c>
      <c r="DI268" s="213" t="s">
        <v>440</v>
      </c>
      <c r="DJ268" s="204"/>
      <c r="DK268" s="111" t="s">
        <v>763</v>
      </c>
      <c r="DL268" s="216" t="s">
        <v>780</v>
      </c>
      <c r="DM268" s="201" t="b">
        <f>ППД5[[#This Row],[Отделка CRM]]=ППД5[[#This Row],[Отделка]]</f>
        <v>1</v>
      </c>
      <c r="DN268" s="203">
        <v>5880760</v>
      </c>
      <c r="DO26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68" s="207" t="b">
        <f>IF(AND(ППД5[[#This Row],[Статус]]="свободно",ППД5[[#This Row],[Итоговая сумма скидки]]&lt;&gt;0),FALSE,TRUE)</f>
        <v>1</v>
      </c>
      <c r="DQ268" s="240">
        <f>_xlfn.XLOOKUP(ППД5[[#This Row],[№]],Юрист[№ кв],Юрист[Дата подачи на регистрацию]," ",0,-1)</f>
        <v>45436</v>
      </c>
      <c r="DR268" s="115" t="str">
        <f>_xlfn.XLOOKUP(ППД5[[#This Row],[№]],Юрист[№ кв],Юрист[МОП],"",0,-1)</f>
        <v>Никишов</v>
      </c>
      <c r="DS268" s="333" t="s">
        <v>2828</v>
      </c>
      <c r="DT268" s="333" t="s">
        <v>2829</v>
      </c>
      <c r="DU268" s="333">
        <v>54.8</v>
      </c>
      <c r="DV268" s="111"/>
    </row>
    <row r="269" spans="1:126" hidden="1" x14ac:dyDescent="0.25">
      <c r="A269" s="112">
        <v>267</v>
      </c>
      <c r="B269" s="111" t="s">
        <v>3</v>
      </c>
      <c r="C269" s="111">
        <v>7</v>
      </c>
      <c r="D269" s="111">
        <v>4</v>
      </c>
      <c r="E269" s="111">
        <v>2</v>
      </c>
      <c r="F269" s="105">
        <v>15.45</v>
      </c>
      <c r="G269" s="105">
        <v>10.34</v>
      </c>
      <c r="H269" s="105"/>
      <c r="I269" s="94">
        <f>SUM(ППД5[[#This Row],[Комната 1]:[Комната 3]])</f>
        <v>25.79</v>
      </c>
      <c r="J269" s="105">
        <v>15.44</v>
      </c>
      <c r="K269" s="105">
        <v>4.59</v>
      </c>
      <c r="L269" s="105">
        <v>2.21</v>
      </c>
      <c r="M269" s="105"/>
      <c r="N269" s="105">
        <v>10.79</v>
      </c>
      <c r="O269" s="105">
        <v>2.84</v>
      </c>
      <c r="P269" s="105"/>
      <c r="Q269" s="105"/>
      <c r="R269" s="105">
        <f>SUM(ППД5[[#This Row],[Лоджия 1]:[Лоджия 3]])</f>
        <v>2.84</v>
      </c>
      <c r="S269" s="8">
        <f>ROUND(SUM(ППД5[[#This Row],[Площадь по проекту жилая]:[Лоджия 3]]),2)</f>
        <v>61.66</v>
      </c>
      <c r="T269" s="8">
        <f>ROUND(ППД5[[#This Row],[Площадь по проекту(общая)]]-ППД5[[#This Row],[Летние]],2)</f>
        <v>58.82</v>
      </c>
      <c r="U269" s="91">
        <f>ROUND(ППД5[[#This Row],[Площадь по проекту(общая)]]-(SUM(ППД5[[#This Row],[Лоджия 1]:[Лоджия 3]])/2),2)</f>
        <v>60.24</v>
      </c>
      <c r="V269" s="91">
        <f>IF(ППД5[[#This Row],[Статус]]="продажа",ППД5[[#This Row],[Расчетная проектная площадь]],ППД5[[#This Row],[Расчетная ТП площадь]])</f>
        <v>60.24</v>
      </c>
      <c r="W269" s="91">
        <v>15.4</v>
      </c>
      <c r="X269" s="91">
        <v>10.3</v>
      </c>
      <c r="Y269" s="91"/>
      <c r="Z269" s="91">
        <f>SUM(ППД5[[#This Row],[ТП Комната 1]:[ТП Комната 3]])</f>
        <v>25.700000000000003</v>
      </c>
      <c r="AA269" s="91">
        <v>15.3</v>
      </c>
      <c r="AB269" s="91">
        <v>4.5</v>
      </c>
      <c r="AC269" s="91">
        <v>2.1</v>
      </c>
      <c r="AD269" s="91"/>
      <c r="AE269" s="91">
        <v>10.6</v>
      </c>
      <c r="AF269" s="91">
        <v>1.4</v>
      </c>
      <c r="AG269" s="91"/>
      <c r="AH269" s="91"/>
      <c r="AI269" s="91">
        <f>SUM(ППД5[[#This Row],[ТП Лоджия 1]:[ТП Лоджия 3]])</f>
        <v>1.4</v>
      </c>
      <c r="AJ269" s="95">
        <v>2.8</v>
      </c>
      <c r="AK269" s="91">
        <f>SUM(ППД5[[#This Row],[Площадь по ТП жилая]:[ТП Лоджия 3]])-ППД5[[#This Row],[ТП Летние]]+ППД5[[#This Row],[кроме того прочая
(без коэффициента)]]</f>
        <v>61</v>
      </c>
      <c r="AL269" s="95">
        <f>ППД5[[#This Row],[ТП Площадь без летних]]+(ППД5[[#This Row],[ТП Летние]])</f>
        <v>59.6</v>
      </c>
      <c r="AM269" s="91">
        <f>ППД5[[#This Row],[ТП общая S]]-ППД5[[#This Row],[кроме того прочая
(без коэффициента)]]</f>
        <v>58.2</v>
      </c>
      <c r="AN269" s="95">
        <f>SUM(ППД5[[#This Row],[ТП Кухня]:[ТП Коридор]])</f>
        <v>32.5</v>
      </c>
      <c r="AO269" s="91">
        <f>ППД5[[#This Row],[Расчетная ТП площадь]]-ППД5[[#This Row],[Расчетная проектная площадь]]</f>
        <v>-0.64000000000000057</v>
      </c>
      <c r="AP269" s="335">
        <f>ППД5[[#This Row],[Расчетная ТП площадь]]/ППД5[[#This Row],[Расчетная проектная площадь]]-1</f>
        <v>-1.0624169986719778E-2</v>
      </c>
      <c r="AQ269" s="91">
        <f>ППД5[[#This Row],[% расхождения]]*ППД5[[#This Row],[Стоимость до скидки]]</f>
        <v>-63119.25630810087</v>
      </c>
      <c r="AR269" s="91">
        <f>VLOOKUP(ППД5[[#This Row],[№]],наценкад5[],COLUMN(наценкад5[[#This Row],[Цена м2 с учетом всех K]]),0)</f>
        <v>82238.34150000001</v>
      </c>
      <c r="AS269" s="8">
        <f>ППД5[[#This Row],[м2 после К]]*5%</f>
        <v>4111.9170750000003</v>
      </c>
      <c r="AT269" s="8">
        <f>ППД5[[#This Row],[м2 после К]]+ППД5[[#This Row],[Повышение 16.08.23 - 5%]]</f>
        <v>86350.258575000014</v>
      </c>
      <c r="AU269" s="93">
        <f>ППД5[[#This Row],[Фикс 16.08.23]]*3%</f>
        <v>2590.5077572500004</v>
      </c>
      <c r="AV269" s="93">
        <f>ППД5[[#This Row],[Фикс 16.08.23]]+ППД5[[#This Row],[Повышение 29.08.23 - 3%]]</f>
        <v>88940.766332250016</v>
      </c>
      <c r="AW269" s="93"/>
      <c r="AX269" s="93">
        <f>ППД5[[#This Row],[Фикс 29.08.23]]+ППД5[[#This Row],[Повышение 06.09.23 СТ и 1К]]</f>
        <v>88940.766332250016</v>
      </c>
      <c r="AY269" s="93"/>
      <c r="AZ269" s="93">
        <f>ППД5[[#This Row],[Повышение 23.10.23  В4 ]]+ППД5[[#This Row],[Фикс 06.09.23]]</f>
        <v>88940.766332250016</v>
      </c>
      <c r="BA269" s="93"/>
      <c r="BB269" s="93">
        <f>ППД5[[#This Row],[Повышение 8.11.23 1К 5%]]+ППД5[[#This Row],[Фикс 23.10.23]]</f>
        <v>88940.766332250016</v>
      </c>
      <c r="BC269" s="93"/>
      <c r="BD269" s="93">
        <f>ППД5[[#This Row],[Корректировка 24.11.23 - 1К В5, 2К А2, №233]]+ППД5[[#This Row],[Фикс 8.11.23]]</f>
        <v>88940.766332250016</v>
      </c>
      <c r="BE269" s="93">
        <f>ППД5[[#This Row],[Фикс 8.11.24]]*1%</f>
        <v>889.40766332250018</v>
      </c>
      <c r="BF269" s="93">
        <f>ППД5[[#This Row],[Наценка за отделку 29.12.23 1%]]+ППД5[[#This Row],[Фикс 8.11.24]]</f>
        <v>89830.173995572521</v>
      </c>
      <c r="BG269" s="93">
        <f>ППД5[[#This Row],[Фикс 29.12.23]]*5%</f>
        <v>4491.5086997786266</v>
      </c>
      <c r="BH269" s="93">
        <f>ППД5[[#This Row],[Фикс 29.12.23]]+ППД5[[#This Row],[Наценка 10.01.24 5%]]</f>
        <v>94321.682695351148</v>
      </c>
      <c r="BI269" s="93"/>
      <c r="BJ269" s="93">
        <f>ППД5[[#This Row],[Наценка 26.02.24 1 Этаж]]+ППД5[[#This Row],[Фикс 10.01.24]]</f>
        <v>94321.682695351148</v>
      </c>
      <c r="BK269" s="93">
        <f>ППД5[[#This Row],[Фикс 26.02.24]]*2%</f>
        <v>1886.433653907023</v>
      </c>
      <c r="BL269" s="93">
        <f>ППД5[[#This Row],[Фикс 26.02.24]]+ППД5[[#This Row],[Наценка 06.03.24
СТ, 1К - 3%
2К, 3К - 2%]]</f>
        <v>96208.116349258169</v>
      </c>
      <c r="BM269" s="93"/>
      <c r="BN269" s="93">
        <f>ППД5[[#This Row],[Фикс 06.03.24]]+ППД5[[#This Row],[Наценка Г2+500]]</f>
        <v>96208.116349258169</v>
      </c>
      <c r="BO269" s="93">
        <f>ППД5[[#This Row],[Фикс 13.03.25]]*2%</f>
        <v>1924.1623269851634</v>
      </c>
      <c r="BP269" s="93">
        <f>ППД5[[#This Row],[Фикс 13.03.25]]+ППД5[[#This Row],[Наценка 20.03.24
2К, 3К - 2%]]</f>
        <v>98132.278676243339</v>
      </c>
      <c r="BQ269" s="93"/>
      <c r="BR269" s="93">
        <f>ППД5[[#This Row],[Фикс 20.03.24]]+ППД5[[#This Row],[Наценка 08.04.24 
2К: В3 - 150
3К: Г7 +1000]]</f>
        <v>98132.278676243339</v>
      </c>
      <c r="BS269" s="93"/>
      <c r="BT269" s="93">
        <f>ППД5[[#This Row],[Фикс 08.04.24]]+ППД5[[#This Row],[Наценка 16.05.24 1%
А4,А6,Б3,Б6,Б7,В2,В3,В5,В6,Г1,Г3-Г5]]</f>
        <v>98132.278676243339</v>
      </c>
      <c r="BU269" s="93"/>
      <c r="BV269" s="93">
        <f>ППД5[[#This Row],[Фикс 16.05.24]]+ППД5[[#This Row],[Наценка 24.05.24
1% - Б4, Б5,Г2,Г6
2% - А1,А3,А5,Б2,Г7]]</f>
        <v>98132.278676243339</v>
      </c>
      <c r="BW269" s="93"/>
      <c r="BX269" s="93">
        <f>ППД5[[#This Row],[Наценка 06.06.24
0К: В2,Г3 +0,5%
1К: А7, Б5/4, Г6 +0,5%
3К: В6 +0,5%
1К: А3 +1%]]+ППД5[[#This Row],[Фикс 24.05.24]]</f>
        <v>98132.278676243339</v>
      </c>
      <c r="BY269" s="93"/>
      <c r="BZ269" s="93">
        <f>ППД5[[#This Row],[Фикс 06.06.24]]+ППД5[[#This Row],[13.06.2024
3К - 2%]]</f>
        <v>98132.278676243339</v>
      </c>
      <c r="CA269" s="93">
        <f>0.5%*ППД5[[#This Row],[Фикс 13.06.24]]</f>
        <v>490.66139338121673</v>
      </c>
      <c r="CB269" s="93">
        <f>ППД5[[#This Row],[02.07.2024: Г3 А1 А3 Б5 Б7 Г2 Г6 Б3 Б4 В3 Г7 2,5% ост 0,5-1,5%]]+ППД5[[#This Row],[Фикс 13.06.24]]</f>
        <v>98622.940069624558</v>
      </c>
      <c r="CC269" s="93"/>
      <c r="CD269" s="93">
        <f>ППД5[[#This Row],[Фикс 02.07.24]]+ППД5[[#This Row],[04.09.2024 +500
0К - Б2; 1К - А3;
2К - А6, Б4, В3, Г5]]</f>
        <v>98622.940069624558</v>
      </c>
      <c r="CE269" s="93"/>
      <c r="CF269" s="93">
        <f>ППД5[[#This Row],[Наценка 16.09.2024
1К: А1,В7,Г6/7,Г8 - 2%
2К: А4,А5,А6,Б1,Б6,Б3/4,В3,В4,Г4,Г5 - 4%
3К: 4%]]+ППД5[[#This Row],[Фикс 04.09.24]]</f>
        <v>98622.940069624558</v>
      </c>
      <c r="CG269" s="93"/>
      <c r="CH269" s="93">
        <f>ППД5[[#This Row],[Фикс 16.09.2024]]+ППД5[[#This Row],[Наценка 01.11.24
СТ: 4%
1К: 34-40м 5%; 40м+ 8%; МГН 1%
2К: 55-70м 6%; 70-73м 7%; 73-76м 8% 
3К: 5%]]</f>
        <v>98622.940069624558</v>
      </c>
      <c r="CI269" s="93"/>
      <c r="CJ269" s="93">
        <f>ППД5[[#This Row],[Наценка 06.11 13%]]+ППД5[[#This Row],[Фикс 01.11.24]]</f>
        <v>98622.940069624558</v>
      </c>
      <c r="CK269" s="93"/>
      <c r="CL269" s="93">
        <f>ППД5[[#This Row],[Фикс 06.11.24]]+ППД5[[#This Row],[Наценка 18.12.24 распределение КВ]]</f>
        <v>98622.940069624558</v>
      </c>
      <c r="CM269" s="93"/>
      <c r="CN269" s="93">
        <f>ППД5[[#This Row],[Фикс 18.12.24]]+ППД5[[#This Row],[Наценка 10.02.25 +1%
1К: А3
2К: Б3, В3]]</f>
        <v>98622.940069624558</v>
      </c>
      <c r="CO269" s="93">
        <f>ROUND(ППД5[[#This Row],[Фикс 10.02.25]],2)</f>
        <v>98622.94</v>
      </c>
      <c r="CP26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5941100</v>
      </c>
      <c r="CQ269" s="93">
        <f>ROUNDUP(ППД5[[#This Row],[Стоимость до скидки]]+ППД5[[#This Row],[Сумма доплаты]],-2)</f>
        <v>5878000</v>
      </c>
      <c r="CR269" s="68"/>
      <c r="CS269" s="90"/>
      <c r="CT269" s="68">
        <f>ППД5[[#This Row],[Стоимость до скидки]]*ППД5[[#This Row],[Скидка %]]+ППД5[[#This Row],[Скидка фиксированная]]</f>
        <v>0</v>
      </c>
      <c r="CU269" s="3">
        <f>ППД5[[#This Row],[Стоимость ОН без отделки со скидкой]]/ППД5[[#This Row],[Расчетная проектная площадь]]</f>
        <v>98623.837981407705</v>
      </c>
      <c r="CV269" s="3">
        <f>ROUND(ППД5[[#This Row],[Стоимость до скидки]]-ППД5[[#This Row],[Итоговая сумма скидки]],2)</f>
        <v>5941100</v>
      </c>
      <c r="CW26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269" s="197">
        <v>7000</v>
      </c>
      <c r="CY269" s="332">
        <f>ППД5[[#This Row],[Расхождение]]/ППД5[[#This Row],[Расчетная проектная площадь]]</f>
        <v>-1.0624169986719797E-2</v>
      </c>
      <c r="CZ26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-0.52999999999999936</v>
      </c>
      <c r="DA269" s="3">
        <f>ППД5[[#This Row],[Цена м2 без отделки со скидкой]]+ППД5[[#This Row],[Стоимость отделки]]</f>
        <v>105623.83798140771</v>
      </c>
      <c r="DB269" s="3">
        <f>ППД5[[#This Row],[Стоимость квартиры с отделкой]]-ППД5[[#This Row],[Стоимость ОН без отделки со скидкой]]</f>
        <v>421680</v>
      </c>
      <c r="DC269" s="3">
        <f>ППД5[[#This Row],[Цена м2 с отделкой]]*ППД5[[#This Row],[Расчетная проектная площадь]]</f>
        <v>6362780</v>
      </c>
      <c r="DD269" s="3"/>
      <c r="DF269" s="199" t="s">
        <v>172</v>
      </c>
      <c r="DG269" s="245" t="s">
        <v>172</v>
      </c>
      <c r="DH269" s="100" t="b">
        <f>EXACT(ППД5[[#This Row],[Статусы CRM]],ППД5[[#This Row],[Статус]])</f>
        <v>1</v>
      </c>
      <c r="DI269" s="213" t="s">
        <v>441</v>
      </c>
      <c r="DJ269" s="204"/>
      <c r="DK269" s="111" t="s">
        <v>763</v>
      </c>
      <c r="DL269" s="216" t="s">
        <v>780</v>
      </c>
      <c r="DM269" s="201" t="b">
        <f>ППД5[[#This Row],[Отделка CRM]]=ППД5[[#This Row],[Отделка]]</f>
        <v>1</v>
      </c>
      <c r="DN269" s="203">
        <v>6362780</v>
      </c>
      <c r="DO26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69" s="207" t="b">
        <f>IF(AND(ППД5[[#This Row],[Статус]]="свободно",ППД5[[#This Row],[Итоговая сумма скидки]]&lt;&gt;0),FALSE,TRUE)</f>
        <v>1</v>
      </c>
      <c r="DQ269" s="240">
        <f>_xlfn.XLOOKUP(ППД5[[#This Row],[№]],Юрист[№ кв],Юрист[Дата подачи на регистрацию]," ",0,-1)</f>
        <v>45533</v>
      </c>
      <c r="DR269" s="115" t="str">
        <f>_xlfn.XLOOKUP(ППД5[[#This Row],[№]],Юрист[№ кв],Юрист[МОП],"",0,-1)</f>
        <v>Полехович</v>
      </c>
      <c r="DS269" s="333" t="s">
        <v>2830</v>
      </c>
      <c r="DT269" s="333" t="s">
        <v>2831</v>
      </c>
      <c r="DU269" s="333">
        <v>58.2</v>
      </c>
      <c r="DV269" s="111"/>
    </row>
    <row r="270" spans="1:126" hidden="1" x14ac:dyDescent="0.25">
      <c r="A270" s="112">
        <v>268</v>
      </c>
      <c r="B270" s="111" t="s">
        <v>3</v>
      </c>
      <c r="C270" s="111">
        <v>7</v>
      </c>
      <c r="D270" s="111">
        <v>5</v>
      </c>
      <c r="E270" s="111">
        <v>1</v>
      </c>
      <c r="F270" s="105">
        <v>12.54</v>
      </c>
      <c r="G270" s="105"/>
      <c r="H270" s="105"/>
      <c r="I270" s="94">
        <f>SUM(ППД5[[#This Row],[Комната 1]:[Комната 3]])</f>
        <v>12.54</v>
      </c>
      <c r="J270" s="105">
        <v>12.74</v>
      </c>
      <c r="K270" s="105">
        <v>4.0199999999999996</v>
      </c>
      <c r="L270" s="105"/>
      <c r="M270" s="105"/>
      <c r="N270" s="105">
        <v>7.09</v>
      </c>
      <c r="O270" s="105">
        <v>2.84</v>
      </c>
      <c r="P270" s="105"/>
      <c r="Q270" s="105"/>
      <c r="R270" s="105">
        <f>SUM(ППД5[[#This Row],[Лоджия 1]:[Лоджия 3]])</f>
        <v>2.84</v>
      </c>
      <c r="S270" s="8">
        <f>ROUND(SUM(ППД5[[#This Row],[Площадь по проекту жилая]:[Лоджия 3]]),2)</f>
        <v>39.229999999999997</v>
      </c>
      <c r="T270" s="8">
        <f>ROUND(ППД5[[#This Row],[Площадь по проекту(общая)]]-ППД5[[#This Row],[Летние]],2)</f>
        <v>36.39</v>
      </c>
      <c r="U270" s="91">
        <f>ROUND(ППД5[[#This Row],[Площадь по проекту(общая)]]-(SUM(ППД5[[#This Row],[Лоджия 1]:[Лоджия 3]])/2),2)</f>
        <v>37.81</v>
      </c>
      <c r="V270" s="91">
        <f>IF(ППД5[[#This Row],[Статус]]="продажа",ППД5[[#This Row],[Расчетная проектная площадь]],ППД5[[#This Row],[Расчетная ТП площадь]])</f>
        <v>37.81</v>
      </c>
      <c r="W270" s="91">
        <v>12.5</v>
      </c>
      <c r="X270" s="91"/>
      <c r="Y270" s="91"/>
      <c r="Z270" s="91">
        <f>SUM(ППД5[[#This Row],[ТП Комната 1]:[ТП Комната 3]])</f>
        <v>12.5</v>
      </c>
      <c r="AA270" s="91">
        <v>12.6</v>
      </c>
      <c r="AB270" s="91">
        <v>4</v>
      </c>
      <c r="AC270" s="91"/>
      <c r="AD270" s="91"/>
      <c r="AE270" s="91">
        <v>6.9</v>
      </c>
      <c r="AF270" s="91">
        <v>1.4</v>
      </c>
      <c r="AG270" s="91"/>
      <c r="AH270" s="91"/>
      <c r="AI270" s="91">
        <f>SUM(ППД5[[#This Row],[ТП Лоджия 1]:[ТП Лоджия 3]])</f>
        <v>1.4</v>
      </c>
      <c r="AJ270" s="95">
        <v>2.8</v>
      </c>
      <c r="AK270" s="91">
        <f>SUM(ППД5[[#This Row],[Площадь по ТП жилая]:[ТП Лоджия 3]])-ППД5[[#This Row],[ТП Летние]]+ППД5[[#This Row],[кроме того прочая
(без коэффициента)]]</f>
        <v>38.799999999999997</v>
      </c>
      <c r="AL270" s="95">
        <f>ППД5[[#This Row],[ТП Площадь без летних]]+(ППД5[[#This Row],[ТП Летние]])</f>
        <v>37.4</v>
      </c>
      <c r="AM270" s="91">
        <f>ППД5[[#This Row],[ТП общая S]]-ППД5[[#This Row],[кроме того прочая
(без коэффициента)]]</f>
        <v>36</v>
      </c>
      <c r="AN270" s="95">
        <f>SUM(ППД5[[#This Row],[ТП Кухня]:[ТП Коридор]])</f>
        <v>23.5</v>
      </c>
      <c r="AO270" s="91">
        <f>ППД5[[#This Row],[Расчетная ТП площадь]]-ППД5[[#This Row],[Расчетная проектная площадь]]</f>
        <v>-0.41000000000000369</v>
      </c>
      <c r="AP270" s="335">
        <f>ППД5[[#This Row],[Расчетная ТП площадь]]/ППД5[[#This Row],[Расчетная проектная площадь]]-1</f>
        <v>-1.0843692144935302E-2</v>
      </c>
      <c r="AQ270" s="91">
        <f>ППД5[[#This Row],[% расхождения]]*ППД5[[#This Row],[Стоимость до скидки]]</f>
        <v>-45767.971436128428</v>
      </c>
      <c r="AR270" s="91">
        <f>VLOOKUP(ППД5[[#This Row],[№]],наценкад5[],COLUMN(наценкад5[[#This Row],[Цена м2 с учетом всех K]]),0)</f>
        <v>89223.75</v>
      </c>
      <c r="AS270" s="8">
        <f>ППД5[[#This Row],[м2 после К]]*5%</f>
        <v>4461.1875</v>
      </c>
      <c r="AT270" s="8">
        <f>ППД5[[#This Row],[м2 после К]]+ППД5[[#This Row],[Повышение 16.08.23 - 5%]]</f>
        <v>93684.9375</v>
      </c>
      <c r="AU270" s="93">
        <f>ППД5[[#This Row],[Фикс 16.08.23]]*3%</f>
        <v>2810.5481249999998</v>
      </c>
      <c r="AV270" s="93">
        <f>ППД5[[#This Row],[Фикс 16.08.23]]+ППД5[[#This Row],[Повышение 29.08.23 - 3%]]</f>
        <v>96495.485625000001</v>
      </c>
      <c r="AW270" s="93">
        <f>ППД5[[#This Row],[Фикс 29.08.23]]*4.5%</f>
        <v>4342.2968531249999</v>
      </c>
      <c r="AX270" s="93">
        <f>ППД5[[#This Row],[Фикс 29.08.23]]+ППД5[[#This Row],[Повышение 06.09.23 СТ и 1К]]</f>
        <v>100837.78247812499</v>
      </c>
      <c r="AY270" s="93"/>
      <c r="AZ270" s="93">
        <f>ППД5[[#This Row],[Повышение 23.10.23  В4 ]]+ППД5[[#This Row],[Фикс 06.09.23]]</f>
        <v>100837.78247812499</v>
      </c>
      <c r="BA270" s="93">
        <f>ППД5[[#This Row],[Фикс 23.10.23]]*5%</f>
        <v>5041.8891239062505</v>
      </c>
      <c r="BB270" s="93">
        <f>ППД5[[#This Row],[Повышение 8.11.23 1К 5%]]+ППД5[[#This Row],[Фикс 23.10.23]]</f>
        <v>105879.67160203125</v>
      </c>
      <c r="BC270" s="93">
        <v>-620</v>
      </c>
      <c r="BD270" s="93">
        <f>ППД5[[#This Row],[Корректировка 24.11.23 - 1К В5, 2К А2, №233]]+ППД5[[#This Row],[Фикс 8.11.23]]</f>
        <v>105259.67160203125</v>
      </c>
      <c r="BE270" s="93">
        <f>ППД5[[#This Row],[Фикс 8.11.24]]*1%</f>
        <v>1052.5967160203124</v>
      </c>
      <c r="BF270" s="93">
        <f>ППД5[[#This Row],[Наценка за отделку 29.12.23 1%]]+ППД5[[#This Row],[Фикс 8.11.24]]</f>
        <v>106312.26831805156</v>
      </c>
      <c r="BG270" s="93">
        <f>ППД5[[#This Row],[Фикс 29.12.23]]*5%</f>
        <v>5315.6134159025787</v>
      </c>
      <c r="BH270" s="93">
        <f>ППД5[[#This Row],[Фикс 29.12.23]]+ППД5[[#This Row],[Наценка 10.01.24 5%]]</f>
        <v>111627.88173395414</v>
      </c>
      <c r="BI270" s="93"/>
      <c r="BJ270" s="93">
        <f>ППД5[[#This Row],[Наценка 26.02.24 1 Этаж]]+ППД5[[#This Row],[Фикс 10.01.24]]</f>
        <v>111627.88173395414</v>
      </c>
      <c r="BK270" s="93"/>
      <c r="BL270" s="93">
        <f>ППД5[[#This Row],[Фикс 26.02.24]]+ППД5[[#This Row],[Наценка 06.03.24
СТ, 1К - 3%
2К, 3К - 2%]]</f>
        <v>111627.88173395414</v>
      </c>
      <c r="BM270" s="93"/>
      <c r="BN270" s="93">
        <f>ППД5[[#This Row],[Фикс 06.03.24]]+ППД5[[#This Row],[Наценка Г2+500]]</f>
        <v>111627.88173395414</v>
      </c>
      <c r="BO270" s="93"/>
      <c r="BP270" s="93">
        <f>ППД5[[#This Row],[Фикс 13.03.25]]+ППД5[[#This Row],[Наценка 20.03.24
2К, 3К - 2%]]</f>
        <v>111627.88173395414</v>
      </c>
      <c r="BQ270" s="93"/>
      <c r="BR270" s="93">
        <f>ППД5[[#This Row],[Фикс 20.03.24]]+ППД5[[#This Row],[Наценка 08.04.24 
2К: В3 - 150
3К: Г7 +1000]]</f>
        <v>111627.88173395414</v>
      </c>
      <c r="BS270" s="93"/>
      <c r="BT270" s="93">
        <f>ППД5[[#This Row],[Фикс 08.04.24]]+ППД5[[#This Row],[Наценка 16.05.24 1%
А4,А6,Б3,Б6,Б7,В2,В3,В5,В6,Г1,Г3-Г5]]</f>
        <v>111627.88173395414</v>
      </c>
      <c r="BU270" s="93"/>
      <c r="BV270" s="93">
        <f>ППД5[[#This Row],[Фикс 16.05.24]]+ППД5[[#This Row],[Наценка 24.05.24
1% - Б4, Б5,Г2,Г6
2% - А1,А3,А5,Б2,Г7]]</f>
        <v>111627.88173395414</v>
      </c>
      <c r="BW270" s="93"/>
      <c r="BX270" s="93">
        <f>ППД5[[#This Row],[Наценка 06.06.24
0К: В2,Г3 +0,5%
1К: А7, Б5/4, Г6 +0,5%
3К: В6 +0,5%
1К: А3 +1%]]+ППД5[[#This Row],[Фикс 24.05.24]]</f>
        <v>111627.88173395414</v>
      </c>
      <c r="BY270" s="93"/>
      <c r="BZ270" s="93">
        <f>ППД5[[#This Row],[Фикс 06.06.24]]+ППД5[[#This Row],[13.06.2024
3К - 2%]]</f>
        <v>111627.88173395414</v>
      </c>
      <c r="CA270" s="93"/>
      <c r="CB270" s="93">
        <f>ППД5[[#This Row],[02.07.2024: Г3 А1 А3 Б5 Б7 Г2 Г6 Б3 Б4 В3 Г7 2,5% ост 0,5-1,5%]]+ППД5[[#This Row],[Фикс 13.06.24]]</f>
        <v>111627.88173395414</v>
      </c>
      <c r="CC270" s="93"/>
      <c r="CD270" s="93">
        <f>ППД5[[#This Row],[Фикс 02.07.24]]+ППД5[[#This Row],[04.09.2024 +500
0К - Б2; 1К - А3;
2К - А6, Б4, В3, Г5]]</f>
        <v>111627.88173395414</v>
      </c>
      <c r="CE270" s="93"/>
      <c r="CF270" s="93">
        <f>ППД5[[#This Row],[Наценка 16.09.2024
1К: А1,В7,Г6/7,Г8 - 2%
2К: А4,А5,А6,Б1,Б6,Б3/4,В3,В4,Г4,Г5 - 4%
3К: 4%]]+ППД5[[#This Row],[Фикс 04.09.24]]</f>
        <v>111627.88173395414</v>
      </c>
      <c r="CG270" s="93"/>
      <c r="CH270" s="93">
        <f>ППД5[[#This Row],[Фикс 16.09.2024]]+ППД5[[#This Row],[Наценка 01.11.24
СТ: 4%
1К: 34-40м 5%; 40м+ 8%; МГН 1%
2К: 55-70м 6%; 70-73м 7%; 73-76м 8% 
3К: 5%]]</f>
        <v>111627.88173395414</v>
      </c>
      <c r="CI270" s="93"/>
      <c r="CJ270" s="93">
        <f>ППД5[[#This Row],[Наценка 06.11 13%]]+ППД5[[#This Row],[Фикс 01.11.24]]</f>
        <v>111627.88173395414</v>
      </c>
      <c r="CK270" s="93"/>
      <c r="CL270" s="93">
        <f>ППД5[[#This Row],[Фикс 06.11.24]]+ППД5[[#This Row],[Наценка 18.12.24 распределение КВ]]</f>
        <v>111627.88173395414</v>
      </c>
      <c r="CM270" s="93"/>
      <c r="CN270" s="93">
        <f>ППД5[[#This Row],[Фикс 18.12.24]]+ППД5[[#This Row],[Наценка 10.02.25 +1%
1К: А3
2К: Б3, В3]]</f>
        <v>111627.88173395414</v>
      </c>
      <c r="CO270" s="93">
        <f>ROUND(ППД5[[#This Row],[Фикс 10.02.25]],2)</f>
        <v>111627.88</v>
      </c>
      <c r="CP27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4220700</v>
      </c>
      <c r="CQ270" s="93">
        <f>ROUNDUP(ППД5[[#This Row],[Стоимость до скидки]]+ППД5[[#This Row],[Сумма доплаты]],-2)</f>
        <v>4175000</v>
      </c>
      <c r="CR270" s="68">
        <v>88888</v>
      </c>
      <c r="CS270" s="90"/>
      <c r="CT270" s="68">
        <f>ППД5[[#This Row],[Стоимость до скидки]]*ППД5[[#This Row],[Скидка %]]+ППД5[[#This Row],[Скидка фиксированная]]</f>
        <v>88888</v>
      </c>
      <c r="CU270" s="3">
        <f>ППД5[[#This Row],[Стоимость ОН без отделки со скидкой]]/ППД5[[#This Row],[Расчетная проектная площадь]]</f>
        <v>109278.2861676805</v>
      </c>
      <c r="CV270" s="3">
        <f>ROUND(ППД5[[#This Row],[Стоимость до скидки]]-ППД5[[#This Row],[Итоговая сумма скидки]],2)</f>
        <v>4131812</v>
      </c>
      <c r="CW27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70" s="197">
        <v>20000</v>
      </c>
      <c r="CY270" s="332">
        <f>ППД5[[#This Row],[Расхождение]]/ППД5[[#This Row],[Расчетная проектная площадь]]</f>
        <v>-1.08436921449353E-2</v>
      </c>
      <c r="CZ27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-0.34999999999999964</v>
      </c>
      <c r="DA270" s="3">
        <f>ППД5[[#This Row],[Цена м2 без отделки со скидкой]]+ППД5[[#This Row],[Стоимость отделки]]</f>
        <v>129278.2861676805</v>
      </c>
      <c r="DB270" s="3">
        <f>ППД5[[#This Row],[Стоимость квартиры с отделкой]]-ППД5[[#This Row],[Стоимость ОН без отделки со скидкой]]</f>
        <v>756200</v>
      </c>
      <c r="DC270" s="3">
        <f>ППД5[[#This Row],[Цена м2 с отделкой]]*ППД5[[#This Row],[Расчетная проектная площадь]]</f>
        <v>4888012</v>
      </c>
      <c r="DD270" s="3"/>
      <c r="DE270" s="111" t="s">
        <v>781</v>
      </c>
      <c r="DF270" s="199" t="s">
        <v>172</v>
      </c>
      <c r="DG270" s="245" t="s">
        <v>172</v>
      </c>
      <c r="DH270" s="100" t="b">
        <f>EXACT(ППД5[[#This Row],[Статусы CRM]],ППД5[[#This Row],[Статус]])</f>
        <v>1</v>
      </c>
      <c r="DI270" s="213" t="s">
        <v>442</v>
      </c>
      <c r="DJ270" s="204"/>
      <c r="DK270" s="111" t="s">
        <v>763</v>
      </c>
      <c r="DL270" s="216" t="s">
        <v>14</v>
      </c>
      <c r="DM270" s="201" t="b">
        <f>ППД5[[#This Row],[Отделка CRM]]=ППД5[[#This Row],[Отделка]]</f>
        <v>1</v>
      </c>
      <c r="DN270" s="203">
        <v>4888012</v>
      </c>
      <c r="DO27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70" s="207" t="b">
        <f>IF(AND(ППД5[[#This Row],[Статус]]="свободно",ППД5[[#This Row],[Итоговая сумма скидки]]&lt;&gt;0),FALSE,TRUE)</f>
        <v>1</v>
      </c>
      <c r="DQ270" s="240">
        <f>_xlfn.XLOOKUP(ППД5[[#This Row],[№]],Юрист[№ кв],Юрист[Дата подачи на регистрацию]," ",0,-1)</f>
        <v>45363</v>
      </c>
      <c r="DR270" s="115" t="str">
        <f>_xlfn.XLOOKUP(ППД5[[#This Row],[№]],Юрист[№ кв],Юрист[МОП],"",0,-1)</f>
        <v>Полехович</v>
      </c>
      <c r="DS270" s="333" t="s">
        <v>2832</v>
      </c>
      <c r="DT270" s="333" t="s">
        <v>2833</v>
      </c>
      <c r="DU270" s="333">
        <v>36</v>
      </c>
      <c r="DV270" s="111"/>
    </row>
    <row r="271" spans="1:126" hidden="1" x14ac:dyDescent="0.25">
      <c r="A271" s="112">
        <v>269</v>
      </c>
      <c r="B271" s="111" t="s">
        <v>3</v>
      </c>
      <c r="C271" s="111">
        <v>7</v>
      </c>
      <c r="D271" s="111">
        <v>6</v>
      </c>
      <c r="E271" s="111">
        <v>3</v>
      </c>
      <c r="F271" s="105">
        <v>17.2</v>
      </c>
      <c r="G271" s="105">
        <v>14.64</v>
      </c>
      <c r="H271" s="105">
        <v>14.34</v>
      </c>
      <c r="I271" s="94">
        <f>SUM(ППД5[[#This Row],[Комната 1]:[Комната 3]])</f>
        <v>46.18</v>
      </c>
      <c r="J271" s="105">
        <v>13.15</v>
      </c>
      <c r="K271" s="105">
        <v>4.03</v>
      </c>
      <c r="L271" s="105">
        <v>1.76</v>
      </c>
      <c r="M271" s="105"/>
      <c r="N271" s="105">
        <v>13.11</v>
      </c>
      <c r="O271" s="105">
        <v>2.79</v>
      </c>
      <c r="P271" s="105">
        <v>2.68</v>
      </c>
      <c r="Q271" s="105"/>
      <c r="R271" s="105">
        <f>SUM(ППД5[[#This Row],[Лоджия 1]:[Лоджия 3]])</f>
        <v>5.4700000000000006</v>
      </c>
      <c r="S271" s="8">
        <f>ROUND(SUM(ППД5[[#This Row],[Площадь по проекту жилая]:[Лоджия 3]]),2)</f>
        <v>83.7</v>
      </c>
      <c r="T271" s="8">
        <f>ROUND(ППД5[[#This Row],[Площадь по проекту(общая)]]-ППД5[[#This Row],[Летние]],2)</f>
        <v>78.23</v>
      </c>
      <c r="U271" s="91">
        <f>ROUND(ППД5[[#This Row],[Площадь по проекту(общая)]]-(SUM(ППД5[[#This Row],[Лоджия 1]:[Лоджия 3]])/2),2)</f>
        <v>80.97</v>
      </c>
      <c r="V271" s="91">
        <f>IF(ППД5[[#This Row],[Статус]]="продажа",ППД5[[#This Row],[Расчетная проектная площадь]],ППД5[[#This Row],[Расчетная ТП площадь]])</f>
        <v>80.97</v>
      </c>
      <c r="W271" s="91">
        <v>17.2</v>
      </c>
      <c r="X271" s="91">
        <v>14.6</v>
      </c>
      <c r="Y271" s="91">
        <v>14.1</v>
      </c>
      <c r="Z271" s="91">
        <f>SUM(ППД5[[#This Row],[ТП Комната 1]:[ТП Комната 3]])</f>
        <v>45.9</v>
      </c>
      <c r="AA271" s="91">
        <v>13</v>
      </c>
      <c r="AB271" s="91">
        <v>4.0999999999999996</v>
      </c>
      <c r="AC271" s="91">
        <v>1.7</v>
      </c>
      <c r="AD271" s="91"/>
      <c r="AE271" s="91">
        <v>13</v>
      </c>
      <c r="AF271" s="91">
        <v>1.35</v>
      </c>
      <c r="AG271" s="91">
        <v>1.3</v>
      </c>
      <c r="AH271" s="91"/>
      <c r="AI271" s="91">
        <f>SUM(ППД5[[#This Row],[ТП Лоджия 1]:[ТП Лоджия 3]])</f>
        <v>2.6500000000000004</v>
      </c>
      <c r="AJ271" s="95">
        <v>5.3000000000000007</v>
      </c>
      <c r="AK271" s="91">
        <f>SUM(ППД5[[#This Row],[Площадь по ТП жилая]:[ТП Лоджия 3]])-ППД5[[#This Row],[ТП Летние]]+ППД5[[#This Row],[кроме того прочая
(без коэффициента)]]</f>
        <v>82.999999999999986</v>
      </c>
      <c r="AL271" s="95">
        <f>ППД5[[#This Row],[ТП Площадь без летних]]+(ППД5[[#This Row],[ТП Летние]])</f>
        <v>80.349999999999994</v>
      </c>
      <c r="AM271" s="91">
        <f>ППД5[[#This Row],[ТП общая S]]-ППД5[[#This Row],[кроме того прочая
(без коэффициента)]]</f>
        <v>77.699999999999989</v>
      </c>
      <c r="AN271" s="95">
        <f>SUM(ППД5[[#This Row],[ТП Кухня]:[ТП Коридор]])</f>
        <v>31.8</v>
      </c>
      <c r="AO271" s="91">
        <f>ППД5[[#This Row],[Расчетная ТП площадь]]-ППД5[[#This Row],[Расчетная проектная площадь]]</f>
        <v>-0.62000000000000455</v>
      </c>
      <c r="AP271" s="335">
        <f>ППД5[[#This Row],[Расчетная ТП площадь]]/ППД5[[#This Row],[Расчетная проектная площадь]]-1</f>
        <v>-7.6571569717179822E-3</v>
      </c>
      <c r="AQ271" s="91">
        <f>ППД5[[#This Row],[% расхождения]]*ППД5[[#This Row],[Стоимость до скидки]]</f>
        <v>-57159.911078177567</v>
      </c>
      <c r="AR271" s="91">
        <f>VLOOKUP(ППД5[[#This Row],[№]],наценкад5[],COLUMN(наценкад5[[#This Row],[Цена м2 с учетом всех K]]),0)</f>
        <v>73520.37000000001</v>
      </c>
      <c r="AS271" s="8">
        <f>ППД5[[#This Row],[м2 после К]]*5%</f>
        <v>3676.0185000000006</v>
      </c>
      <c r="AT271" s="8">
        <f>ППД5[[#This Row],[м2 после К]]+ППД5[[#This Row],[Повышение 16.08.23 - 5%]]</f>
        <v>77196.388500000015</v>
      </c>
      <c r="AU271" s="93">
        <f>ППД5[[#This Row],[Фикс 16.08.23]]*3%</f>
        <v>2315.8916550000004</v>
      </c>
      <c r="AV271" s="93">
        <f>ППД5[[#This Row],[Фикс 16.08.23]]+ППД5[[#This Row],[Повышение 29.08.23 - 3%]]</f>
        <v>79512.280155000015</v>
      </c>
      <c r="AW271" s="93"/>
      <c r="AX271" s="93">
        <f>ППД5[[#This Row],[Фикс 29.08.23]]+ППД5[[#This Row],[Повышение 06.09.23 СТ и 1К]]</f>
        <v>79512.280155000015</v>
      </c>
      <c r="AY271" s="93"/>
      <c r="AZ271" s="93">
        <f>ППД5[[#This Row],[Повышение 23.10.23  В4 ]]+ППД5[[#This Row],[Фикс 06.09.23]]</f>
        <v>79512.280155000015</v>
      </c>
      <c r="BA271" s="93"/>
      <c r="BB271" s="93">
        <f>ППД5[[#This Row],[Повышение 8.11.23 1К 5%]]+ППД5[[#This Row],[Фикс 23.10.23]]</f>
        <v>79512.280155000015</v>
      </c>
      <c r="BC271" s="93"/>
      <c r="BD271" s="93">
        <f>ППД5[[#This Row],[Корректировка 24.11.23 - 1К В5, 2К А2, №233]]+ППД5[[#This Row],[Фикс 8.11.23]]</f>
        <v>79512.280155000015</v>
      </c>
      <c r="BE271" s="93">
        <f>ППД5[[#This Row],[Фикс 8.11.24]]*1%</f>
        <v>795.12280155000019</v>
      </c>
      <c r="BF271" s="93">
        <f>ППД5[[#This Row],[Наценка за отделку 29.12.23 1%]]+ППД5[[#This Row],[Фикс 8.11.24]]</f>
        <v>80307.40295655001</v>
      </c>
      <c r="BG271" s="93">
        <f>ППД5[[#This Row],[Фикс 29.12.23]]*5%</f>
        <v>4015.3701478275007</v>
      </c>
      <c r="BH271" s="93">
        <f>ППД5[[#This Row],[Фикс 29.12.23]]+ППД5[[#This Row],[Наценка 10.01.24 5%]]</f>
        <v>84322.773104377513</v>
      </c>
      <c r="BI271" s="93"/>
      <c r="BJ271" s="93">
        <f>ППД5[[#This Row],[Наценка 26.02.24 1 Этаж]]+ППД5[[#This Row],[Фикс 10.01.24]]</f>
        <v>84322.773104377513</v>
      </c>
      <c r="BK271" s="93">
        <f>ППД5[[#This Row],[Фикс 26.02.24]]*2%</f>
        <v>1686.4554620875504</v>
      </c>
      <c r="BL271" s="93">
        <f>ППД5[[#This Row],[Фикс 26.02.24]]+ППД5[[#This Row],[Наценка 06.03.24
СТ, 1К - 3%
2К, 3К - 2%]]</f>
        <v>86009.22856646507</v>
      </c>
      <c r="BM271" s="93"/>
      <c r="BN271" s="93">
        <f>ППД5[[#This Row],[Фикс 06.03.24]]+ППД5[[#This Row],[Наценка Г2+500]]</f>
        <v>86009.22856646507</v>
      </c>
      <c r="BO271" s="93">
        <f>ППД5[[#This Row],[Фикс 13.03.25]]*2%</f>
        <v>1720.1845713293014</v>
      </c>
      <c r="BP271" s="93">
        <f>ППД5[[#This Row],[Фикс 13.03.25]]+ППД5[[#This Row],[Наценка 20.03.24
2К, 3К - 2%]]</f>
        <v>87729.41313779437</v>
      </c>
      <c r="BQ271" s="93"/>
      <c r="BR271" s="93">
        <f>ППД5[[#This Row],[Фикс 20.03.24]]+ППД5[[#This Row],[Наценка 08.04.24 
2К: В3 - 150
3К: Г7 +1000]]</f>
        <v>87729.41313779437</v>
      </c>
      <c r="BS271" s="93">
        <f>ППД5[[#This Row],[Фикс 08.04.24]]*1%</f>
        <v>877.2941313779437</v>
      </c>
      <c r="BT271" s="93">
        <f>ППД5[[#This Row],[Фикс 08.04.24]]+ППД5[[#This Row],[Наценка 16.05.24 1%
А4,А6,Б3,Б6,Б7,В2,В3,В5,В6,Г1,Г3-Г5]]</f>
        <v>88606.707269172315</v>
      </c>
      <c r="BU271" s="93"/>
      <c r="BV271" s="93">
        <f>ППД5[[#This Row],[Фикс 16.05.24]]+ППД5[[#This Row],[Наценка 24.05.24
1% - Б4, Б5,Г2,Г6
2% - А1,А3,А5,Б2,Г7]]</f>
        <v>88606.707269172315</v>
      </c>
      <c r="BW271" s="93">
        <f>ППД5[[#This Row],[Фикс 24.05.24]]*0.5%</f>
        <v>443.03353634586159</v>
      </c>
      <c r="BX271" s="93">
        <f>ППД5[[#This Row],[Наценка 06.06.24
0К: В2,Г3 +0,5%
1К: А7, Б5/4, Г6 +0,5%
3К: В6 +0,5%
1К: А3 +1%]]+ППД5[[#This Row],[Фикс 24.05.24]]</f>
        <v>89049.740805518173</v>
      </c>
      <c r="BY271" s="93">
        <f>ППД5[[#This Row],[Фикс 06.06.24]]*2%</f>
        <v>1780.9948161103634</v>
      </c>
      <c r="BZ271" s="93">
        <f>ППД5[[#This Row],[Фикс 06.06.24]]+ППД5[[#This Row],[13.06.2024
3К - 2%]]</f>
        <v>90830.735621628541</v>
      </c>
      <c r="CA271" s="93">
        <f>1.5%*ППД5[[#This Row],[Фикс 13.06.24]]</f>
        <v>1362.4610343244281</v>
      </c>
      <c r="CB271" s="93">
        <f>ППД5[[#This Row],[02.07.2024: Г3 А1 А3 Б5 Б7 Г2 Г6 Б3 Б4 В3 Г7 2,5% ост 0,5-1,5%]]+ППД5[[#This Row],[Фикс 13.06.24]]</f>
        <v>92193.196655952968</v>
      </c>
      <c r="CC271" s="93"/>
      <c r="CD271" s="93">
        <f>ППД5[[#This Row],[Фикс 02.07.24]]+ППД5[[#This Row],[04.09.2024 +500
0К - Б2; 1К - А3;
2К - А6, Б4, В3, Г5]]</f>
        <v>92193.196655952968</v>
      </c>
      <c r="CE271" s="93"/>
      <c r="CF271" s="93">
        <f>ППД5[[#This Row],[Наценка 16.09.2024
1К: А1,В7,Г6/7,Г8 - 2%
2К: А4,А5,А6,Б1,Б6,Б3/4,В3,В4,Г4,Г5 - 4%
3К: 4%]]+ППД5[[#This Row],[Фикс 04.09.24]]</f>
        <v>92193.196655952968</v>
      </c>
      <c r="CG271" s="93"/>
      <c r="CH271" s="93">
        <f>ППД5[[#This Row],[Фикс 16.09.2024]]+ППД5[[#This Row],[Наценка 01.11.24
СТ: 4%
1К: 34-40м 5%; 40м+ 8%; МГН 1%
2К: 55-70м 6%; 70-73м 7%; 73-76м 8% 
3К: 5%]]</f>
        <v>92193.196655952968</v>
      </c>
      <c r="CI271" s="93"/>
      <c r="CJ271" s="93">
        <f>ППД5[[#This Row],[Наценка 06.11 13%]]+ППД5[[#This Row],[Фикс 01.11.24]]</f>
        <v>92193.196655952968</v>
      </c>
      <c r="CK271" s="93"/>
      <c r="CL271" s="93">
        <f>ППД5[[#This Row],[Фикс 06.11.24]]+ППД5[[#This Row],[Наценка 18.12.24 распределение КВ]]</f>
        <v>92193.196655952968</v>
      </c>
      <c r="CM271" s="93"/>
      <c r="CN271" s="93">
        <f>ППД5[[#This Row],[Фикс 18.12.24]]+ППД5[[#This Row],[Наценка 10.02.25 +1%
1К: А3
2К: Б3, В3]]</f>
        <v>92193.196655952968</v>
      </c>
      <c r="CO271" s="93">
        <f>ROUND(ППД5[[#This Row],[Фикс 10.02.25]],2)</f>
        <v>92193.2</v>
      </c>
      <c r="CP27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7464900</v>
      </c>
      <c r="CQ271" s="93">
        <f>ROUNDUP(ППД5[[#This Row],[Стоимость до скидки]]+ППД5[[#This Row],[Сумма доплаты]],-2)</f>
        <v>7407800</v>
      </c>
      <c r="CR271" s="68"/>
      <c r="CS271" s="90"/>
      <c r="CT271" s="68">
        <f>ППД5[[#This Row],[Стоимость до скидки]]*ППД5[[#This Row],[Скидка %]]+ППД5[[#This Row],[Скидка фиксированная]]</f>
        <v>0</v>
      </c>
      <c r="CU271" s="3">
        <f>ППД5[[#This Row],[Стоимость ОН без отделки со скидкой]]/ППД5[[#This Row],[Расчетная проектная площадь]]</f>
        <v>92193.404964801783</v>
      </c>
      <c r="CV271" s="3">
        <f>ROUND(ППД5[[#This Row],[Стоимость до скидки]]-ППД5[[#This Row],[Итоговая сумма скидки]],2)</f>
        <v>7464900</v>
      </c>
      <c r="CW27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71" s="197"/>
      <c r="CY271" s="332">
        <f>ППД5[[#This Row],[Расхождение]]/ППД5[[#This Row],[Расчетная проектная площадь]]</f>
        <v>-7.6571569717179761E-3</v>
      </c>
      <c r="CZ27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-0.25000000000000178</v>
      </c>
      <c r="DA271" s="3">
        <f>ППД5[[#This Row],[Цена м2 без отделки со скидкой]]+ППД5[[#This Row],[Стоимость отделки]]</f>
        <v>92193.404964801783</v>
      </c>
      <c r="DB271" s="3">
        <f>ППД5[[#This Row],[Стоимость квартиры с отделкой]]-ППД5[[#This Row],[Стоимость ОН без отделки со скидкой]]</f>
        <v>0</v>
      </c>
      <c r="DC271" s="3">
        <f>ППД5[[#This Row],[Цена м2 с отделкой]]*ППД5[[#This Row],[Расчетная проектная площадь]]</f>
        <v>7464900</v>
      </c>
      <c r="DD271" s="3"/>
      <c r="DF271" s="155" t="s">
        <v>172</v>
      </c>
      <c r="DG271" s="245" t="s">
        <v>172</v>
      </c>
      <c r="DH271" s="100" t="b">
        <f>EXACT(ППД5[[#This Row],[Статусы CRM]],ППД5[[#This Row],[Статус]])</f>
        <v>1</v>
      </c>
      <c r="DI271" s="213" t="s">
        <v>443</v>
      </c>
      <c r="DJ271" s="204"/>
      <c r="DK271" s="111" t="s">
        <v>763</v>
      </c>
      <c r="DL271" s="216" t="s">
        <v>12</v>
      </c>
      <c r="DM271" s="201" t="b">
        <f>ППД5[[#This Row],[Отделка CRM]]=ППД5[[#This Row],[Отделка]]</f>
        <v>1</v>
      </c>
      <c r="DN271" s="203">
        <v>7464900</v>
      </c>
      <c r="DO27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71" s="207" t="b">
        <f>IF(AND(ППД5[[#This Row],[Статус]]="свободно",ППД5[[#This Row],[Итоговая сумма скидки]]&lt;&gt;0),FALSE,TRUE)</f>
        <v>1</v>
      </c>
      <c r="DQ271" s="240">
        <f>_xlfn.XLOOKUP(ППД5[[#This Row],[№]],Юрист[№ кв],Юрист[Дата подачи на регистрацию]," ",0,-1)</f>
        <v>45593</v>
      </c>
      <c r="DR271" s="115" t="str">
        <f>_xlfn.XLOOKUP(ППД5[[#This Row],[№]],Юрист[№ кв],Юрист[МОП],"",0,-1)</f>
        <v>Дик</v>
      </c>
      <c r="DS271" s="333" t="s">
        <v>2834</v>
      </c>
      <c r="DT271" s="333" t="s">
        <v>2835</v>
      </c>
      <c r="DU271" s="333">
        <v>77.7</v>
      </c>
      <c r="DV271" s="111"/>
    </row>
    <row r="272" spans="1:126" hidden="1" x14ac:dyDescent="0.25">
      <c r="A272" s="112">
        <v>270</v>
      </c>
      <c r="B272" s="111" t="s">
        <v>3</v>
      </c>
      <c r="C272" s="111">
        <v>7</v>
      </c>
      <c r="D272" s="111">
        <v>7</v>
      </c>
      <c r="E272" s="111">
        <v>1</v>
      </c>
      <c r="F272" s="105">
        <v>14.3</v>
      </c>
      <c r="G272" s="105"/>
      <c r="H272" s="105"/>
      <c r="I272" s="94">
        <f>SUM(ППД5[[#This Row],[Комната 1]:[Комната 3]])</f>
        <v>14.3</v>
      </c>
      <c r="J272" s="105">
        <v>9.2799999999999994</v>
      </c>
      <c r="K272" s="105">
        <v>3.79</v>
      </c>
      <c r="L272" s="105"/>
      <c r="M272" s="105"/>
      <c r="N272" s="105">
        <v>6.08</v>
      </c>
      <c r="O272" s="105">
        <v>2.71</v>
      </c>
      <c r="P272" s="105"/>
      <c r="Q272" s="105"/>
      <c r="R272" s="105">
        <f>SUM(ППД5[[#This Row],[Лоджия 1]:[Лоджия 3]])</f>
        <v>2.71</v>
      </c>
      <c r="S272" s="8">
        <f>ROUND(SUM(ППД5[[#This Row],[Площадь по проекту жилая]:[Лоджия 3]]),2)</f>
        <v>36.159999999999997</v>
      </c>
      <c r="T272" s="8">
        <f>ROUND(ППД5[[#This Row],[Площадь по проекту(общая)]]-ППД5[[#This Row],[Летние]],2)</f>
        <v>33.450000000000003</v>
      </c>
      <c r="U272" s="91">
        <f>ROUND(ППД5[[#This Row],[Площадь по проекту(общая)]]-(SUM(ППД5[[#This Row],[Лоджия 1]:[Лоджия 3]])/2),2)</f>
        <v>34.81</v>
      </c>
      <c r="V272" s="91">
        <f>IF(ППД5[[#This Row],[Статус]]="продажа",ППД5[[#This Row],[Расчетная проектная площадь]],ППД5[[#This Row],[Расчетная ТП площадь]])</f>
        <v>34.81</v>
      </c>
      <c r="W272" s="91">
        <v>14.3</v>
      </c>
      <c r="X272" s="91"/>
      <c r="Y272" s="91"/>
      <c r="Z272" s="91">
        <f>SUM(ППД5[[#This Row],[ТП Комната 1]:[ТП Комната 3]])</f>
        <v>14.3</v>
      </c>
      <c r="AA272" s="91">
        <v>9.3000000000000007</v>
      </c>
      <c r="AB272" s="91">
        <v>3.8</v>
      </c>
      <c r="AC272" s="91"/>
      <c r="AD272" s="91"/>
      <c r="AE272" s="91">
        <v>6.2</v>
      </c>
      <c r="AF272" s="91">
        <v>1.3</v>
      </c>
      <c r="AG272" s="91"/>
      <c r="AH272" s="91"/>
      <c r="AI272" s="91">
        <f>SUM(ППД5[[#This Row],[ТП Лоджия 1]:[ТП Лоджия 3]])</f>
        <v>1.3</v>
      </c>
      <c r="AJ272" s="95">
        <v>2.6</v>
      </c>
      <c r="AK272" s="91">
        <f>SUM(ППД5[[#This Row],[Площадь по ТП жилая]:[ТП Лоджия 3]])-ППД5[[#This Row],[ТП Летние]]+ППД5[[#This Row],[кроме того прочая
(без коэффициента)]]</f>
        <v>36.200000000000003</v>
      </c>
      <c r="AL272" s="95">
        <f>ППД5[[#This Row],[ТП Площадь без летних]]+(ППД5[[#This Row],[ТП Летние]])</f>
        <v>34.9</v>
      </c>
      <c r="AM272" s="91">
        <f>ППД5[[#This Row],[ТП общая S]]-ППД5[[#This Row],[кроме того прочая
(без коэффициента)]]</f>
        <v>33.6</v>
      </c>
      <c r="AN272" s="95">
        <f>SUM(ППД5[[#This Row],[ТП Кухня]:[ТП Коридор]])</f>
        <v>19.3</v>
      </c>
      <c r="AO272" s="91">
        <f>ППД5[[#This Row],[Расчетная ТП площадь]]-ППД5[[#This Row],[Расчетная проектная площадь]]</f>
        <v>8.9999999999996305E-2</v>
      </c>
      <c r="AP272" s="335">
        <f>ППД5[[#This Row],[Расчетная ТП площадь]]/ППД5[[#This Row],[Расчетная проектная площадь]]-1</f>
        <v>2.5854639471414309E-3</v>
      </c>
      <c r="AQ272" s="91">
        <f>ППД5[[#This Row],[% расхождения]]*ППД5[[#This Row],[Стоимость до скидки]]</f>
        <v>7628.6303906917537</v>
      </c>
      <c r="AR272" s="91">
        <f>VLOOKUP(ППД5[[#This Row],[№]],наценкад5[],COLUMN(наценкад5[[#This Row],[Цена м2 с учетом всех K]]),0)</f>
        <v>84762.5625</v>
      </c>
      <c r="AS272" s="8"/>
      <c r="AT272" s="8">
        <f>ППД5[[#This Row],[м2 после К]]+ППД5[[#This Row],[Повышение 16.08.23 - 5%]]</f>
        <v>84762.5625</v>
      </c>
      <c r="AU272" s="93"/>
      <c r="AV272" s="93">
        <f>ППД5[[#This Row],[Фикс 16.08.23]]+ППД5[[#This Row],[Повышение 29.08.23 - 3%]]</f>
        <v>84762.5625</v>
      </c>
      <c r="AW272" s="93"/>
      <c r="AX272" s="93">
        <f>ППД5[[#This Row],[Фикс 29.08.23]]+ППД5[[#This Row],[Повышение 06.09.23 СТ и 1К]]</f>
        <v>84762.5625</v>
      </c>
      <c r="AY272" s="93"/>
      <c r="AZ272" s="93">
        <f>ППД5[[#This Row],[Повышение 23.10.23  В4 ]]+ППД5[[#This Row],[Фикс 06.09.23]]</f>
        <v>84762.5625</v>
      </c>
      <c r="BA272" s="93"/>
      <c r="BB272" s="93">
        <f>ППД5[[#This Row],[Повышение 8.11.23 1К 5%]]+ППД5[[#This Row],[Фикс 23.10.23]]</f>
        <v>84762.5625</v>
      </c>
      <c r="BC272" s="93"/>
      <c r="BD272" s="93">
        <f>ППД5[[#This Row],[Корректировка 24.11.23 - 1К В5, 2К А2, №233]]+ППД5[[#This Row],[Фикс 8.11.23]]</f>
        <v>84762.5625</v>
      </c>
      <c r="BE272" s="93"/>
      <c r="BF272" s="93">
        <f>ППД5[[#This Row],[Наценка за отделку 29.12.23 1%]]+ППД5[[#This Row],[Фикс 8.11.24]]</f>
        <v>84762.5625</v>
      </c>
      <c r="BG272" s="93"/>
      <c r="BH272" s="93">
        <f>ППД5[[#This Row],[Фикс 29.12.23]]+ППД5[[#This Row],[Наценка 10.01.24 5%]]</f>
        <v>84762.5625</v>
      </c>
      <c r="BI272" s="93"/>
      <c r="BJ272" s="93">
        <f>ППД5[[#This Row],[Наценка 26.02.24 1 Этаж]]+ППД5[[#This Row],[Фикс 10.01.24]]</f>
        <v>84762.5625</v>
      </c>
      <c r="BK272" s="93"/>
      <c r="BL272" s="93">
        <f>ППД5[[#This Row],[Фикс 26.02.24]]+ППД5[[#This Row],[Наценка 06.03.24
СТ, 1К - 3%
2К, 3К - 2%]]</f>
        <v>84762.5625</v>
      </c>
      <c r="BM272" s="93"/>
      <c r="BN272" s="93">
        <f>ППД5[[#This Row],[Фикс 06.03.24]]+ППД5[[#This Row],[Наценка Г2+500]]</f>
        <v>84762.5625</v>
      </c>
      <c r="BO272" s="93"/>
      <c r="BP272" s="93">
        <f>ППД5[[#This Row],[Фикс 13.03.25]]+ППД5[[#This Row],[Наценка 20.03.24
2К, 3К - 2%]]</f>
        <v>84762.5625</v>
      </c>
      <c r="BQ272" s="93"/>
      <c r="BR272" s="93">
        <f>ППД5[[#This Row],[Фикс 20.03.24]]+ППД5[[#This Row],[Наценка 08.04.24 
2К: В3 - 150
3К: Г7 +1000]]</f>
        <v>84762.5625</v>
      </c>
      <c r="BS272" s="93"/>
      <c r="BT272" s="93">
        <f>ППД5[[#This Row],[Фикс 08.04.24]]+ППД5[[#This Row],[Наценка 16.05.24 1%
А4,А6,Б3,Б6,Б7,В2,В3,В5,В6,Г1,Г3-Г5]]</f>
        <v>84762.5625</v>
      </c>
      <c r="BU272" s="93"/>
      <c r="BV272" s="93">
        <f>ППД5[[#This Row],[Фикс 16.05.24]]+ППД5[[#This Row],[Наценка 24.05.24
1% - Б4, Б5,Г2,Г6
2% - А1,А3,А5,Б2,Г7]]</f>
        <v>84762.5625</v>
      </c>
      <c r="BW272" s="93"/>
      <c r="BX272" s="93">
        <f>ППД5[[#This Row],[Наценка 06.06.24
0К: В2,Г3 +0,5%
1К: А7, Б5/4, Г6 +0,5%
3К: В6 +0,5%
1К: А3 +1%]]+ППД5[[#This Row],[Фикс 24.05.24]]</f>
        <v>84762.5625</v>
      </c>
      <c r="BY272" s="93"/>
      <c r="BZ272" s="93">
        <f>ППД5[[#This Row],[Фикс 06.06.24]]+ППД5[[#This Row],[13.06.2024
3К - 2%]]</f>
        <v>84762.5625</v>
      </c>
      <c r="CA272" s="93"/>
      <c r="CB272" s="93">
        <f>ППД5[[#This Row],[02.07.2024: Г3 А1 А3 Б5 Б7 Г2 Г6 Б3 Б4 В3 Г7 2,5% ост 0,5-1,5%]]+ППД5[[#This Row],[Фикс 13.06.24]]</f>
        <v>84762.5625</v>
      </c>
      <c r="CC272" s="93"/>
      <c r="CD272" s="93">
        <f>ППД5[[#This Row],[Фикс 02.07.24]]+ППД5[[#This Row],[04.09.2024 +500
0К - Б2; 1К - А3;
2К - А6, Б4, В3, Г5]]</f>
        <v>84762.5625</v>
      </c>
      <c r="CE272" s="93"/>
      <c r="CF272" s="93">
        <f>ППД5[[#This Row],[Наценка 16.09.2024
1К: А1,В7,Г6/7,Г8 - 2%
2К: А4,А5,А6,Б1,Б6,Б3/4,В3,В4,Г4,Г5 - 4%
3К: 4%]]+ППД5[[#This Row],[Фикс 04.09.24]]</f>
        <v>84762.5625</v>
      </c>
      <c r="CG272" s="93"/>
      <c r="CH272" s="93">
        <f>ППД5[[#This Row],[Фикс 16.09.2024]]+ППД5[[#This Row],[Наценка 01.11.24
СТ: 4%
1К: 34-40м 5%; 40м+ 8%; МГН 1%
2К: 55-70м 6%; 70-73м 7%; 73-76м 8% 
3К: 5%]]</f>
        <v>84762.5625</v>
      </c>
      <c r="CI272" s="93"/>
      <c r="CJ272" s="93">
        <f>ППД5[[#This Row],[Наценка 06.11 13%]]+ППД5[[#This Row],[Фикс 01.11.24]]</f>
        <v>84762.5625</v>
      </c>
      <c r="CK272" s="93"/>
      <c r="CL272" s="93">
        <f>ППД5[[#This Row],[Фикс 06.11.24]]+ППД5[[#This Row],[Наценка 18.12.24 распределение КВ]]</f>
        <v>84762.5625</v>
      </c>
      <c r="CM272" s="93"/>
      <c r="CN272" s="93">
        <f>ППД5[[#This Row],[Фикс 18.12.24]]+ППД5[[#This Row],[Наценка 10.02.25 +1%
1К: А3
2К: Б3, В3]]</f>
        <v>84762.5625</v>
      </c>
      <c r="CO272" s="93">
        <f>ROUND(ППД5[[#This Row],[Фикс 10.02.25]],2)</f>
        <v>84762.559999999998</v>
      </c>
      <c r="CP27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2950584.71</v>
      </c>
      <c r="CQ272" s="93">
        <f>ROUNDUP(ППД5[[#This Row],[Стоимость до скидки]]+ППД5[[#This Row],[Сумма доплаты]],-2)</f>
        <v>2958300</v>
      </c>
      <c r="CR272" s="68">
        <v>20000</v>
      </c>
      <c r="CS272" s="90"/>
      <c r="CT272" s="68">
        <f>ППД5[[#This Row],[Стоимость до скидки]]*ППД5[[#This Row],[Скидка %]]+ППД5[[#This Row],[Скидка фиксированная]]</f>
        <v>20000</v>
      </c>
      <c r="CU272" s="3">
        <f>ППД5[[#This Row],[Стоимость ОН без отделки со скидкой]]/ППД5[[#This Row],[Расчетная проектная площадь]]</f>
        <v>84188.012352772188</v>
      </c>
      <c r="CV272" s="3">
        <f>ROUND(ППД5[[#This Row],[Стоимость до скидки]]-ППД5[[#This Row],[Итоговая сумма скидки]],2)</f>
        <v>2930584.71</v>
      </c>
      <c r="CW27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272" s="197">
        <v>4000</v>
      </c>
      <c r="CY272" s="332">
        <f>ППД5[[#This Row],[Расхождение]]/ППД5[[#This Row],[Расчетная проектная площадь]]</f>
        <v>2.5854639471415198E-3</v>
      </c>
      <c r="CZ27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0.15000000000000036</v>
      </c>
      <c r="DA272" s="3">
        <f>ППД5[[#This Row],[Цена м2 без отделки со скидкой]]+ППД5[[#This Row],[Стоимость отделки]]</f>
        <v>88188.012352772188</v>
      </c>
      <c r="DB272" s="3">
        <f>ППД5[[#This Row],[Стоимость квартиры с отделкой]]-ППД5[[#This Row],[Стоимость ОН без отделки со скидкой]]</f>
        <v>139240</v>
      </c>
      <c r="DC272" s="3">
        <f>ППД5[[#This Row],[Цена м2 с отделкой]]*ППД5[[#This Row],[Расчетная проектная площадь]]</f>
        <v>3069824.71</v>
      </c>
      <c r="DD272" s="3" t="s">
        <v>154</v>
      </c>
      <c r="DE272" s="111" t="s">
        <v>159</v>
      </c>
      <c r="DF272" s="199" t="s">
        <v>172</v>
      </c>
      <c r="DG272" s="245" t="s">
        <v>172</v>
      </c>
      <c r="DH272" s="100" t="b">
        <f>EXACT(ППД5[[#This Row],[Статусы CRM]],ППД5[[#This Row],[Статус]])</f>
        <v>1</v>
      </c>
      <c r="DI272" s="213" t="s">
        <v>444</v>
      </c>
      <c r="DJ272" s="204"/>
      <c r="DK272" s="111" t="s">
        <v>76</v>
      </c>
      <c r="DL272" s="216" t="s">
        <v>13</v>
      </c>
      <c r="DM272" s="201" t="b">
        <f>ППД5[[#This Row],[Отделка CRM]]=ППД5[[#This Row],[Отделка]]</f>
        <v>1</v>
      </c>
      <c r="DN272" s="203">
        <v>3069824.71</v>
      </c>
      <c r="DO27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72" s="207" t="b">
        <f>IF(AND(ППД5[[#This Row],[Статус]]="свободно",ППД5[[#This Row],[Итоговая сумма скидки]]&lt;&gt;0),FALSE,TRUE)</f>
        <v>1</v>
      </c>
      <c r="DQ272" s="240">
        <f>_xlfn.XLOOKUP(ППД5[[#This Row],[№]],Юрист[№ кв],Юрист[Дата подачи на регистрацию]," ",0,-1)</f>
        <v>45195</v>
      </c>
      <c r="DR272" s="115" t="str">
        <f>_xlfn.XLOOKUP(ППД5[[#This Row],[№]],Юрист[№ кв],Юрист[МОП],"",0,-1)</f>
        <v>Дик</v>
      </c>
      <c r="DS272" s="333" t="s">
        <v>2836</v>
      </c>
      <c r="DT272" s="333" t="s">
        <v>2837</v>
      </c>
      <c r="DU272" s="333">
        <v>33.6</v>
      </c>
      <c r="DV272" s="111"/>
    </row>
    <row r="273" spans="1:126" hidden="1" x14ac:dyDescent="0.25">
      <c r="A273" s="112">
        <v>271</v>
      </c>
      <c r="B273" s="111" t="s">
        <v>3</v>
      </c>
      <c r="C273" s="111">
        <v>8</v>
      </c>
      <c r="D273" s="338">
        <v>1</v>
      </c>
      <c r="E273" s="111">
        <v>2</v>
      </c>
      <c r="F273" s="105">
        <v>17.63</v>
      </c>
      <c r="G273" s="105">
        <v>13.69</v>
      </c>
      <c r="H273" s="105"/>
      <c r="I273" s="94">
        <f>SUM(ППД5[[#This Row],[Комната 1]:[Комната 3]])</f>
        <v>31.32</v>
      </c>
      <c r="J273" s="105">
        <v>20.05</v>
      </c>
      <c r="K273" s="105">
        <v>3.54</v>
      </c>
      <c r="L273" s="105">
        <v>2.93</v>
      </c>
      <c r="M273" s="105"/>
      <c r="N273" s="105">
        <v>12.19</v>
      </c>
      <c r="O273" s="105">
        <v>4.6500000000000004</v>
      </c>
      <c r="P273" s="105">
        <v>2.68</v>
      </c>
      <c r="Q273" s="105"/>
      <c r="R273" s="105">
        <f>SUM(ППД5[[#This Row],[Лоджия 1]:[Лоджия 3]])</f>
        <v>7.33</v>
      </c>
      <c r="S273" s="8">
        <f>ROUND(SUM(ППД5[[#This Row],[Площадь по проекту жилая]:[Лоджия 3]]),2)</f>
        <v>77.36</v>
      </c>
      <c r="T273" s="8">
        <f>ROUND(ППД5[[#This Row],[Площадь по проекту(общая)]]-ППД5[[#This Row],[Летние]],2)</f>
        <v>70.03</v>
      </c>
      <c r="U273" s="91">
        <f>ROUND(ППД5[[#This Row],[Площадь по проекту(общая)]]-(SUM(ППД5[[#This Row],[Лоджия 1]:[Лоджия 3]])/2),2)</f>
        <v>73.7</v>
      </c>
      <c r="V273" s="91">
        <f>IF(ППД5[[#This Row],[Статус]]="продажа",ППД5[[#This Row],[Расчетная проектная площадь]],ППД5[[#This Row],[Расчетная ТП площадь]])</f>
        <v>73.7</v>
      </c>
      <c r="W273" s="91">
        <v>17.7</v>
      </c>
      <c r="X273" s="91">
        <v>13.5</v>
      </c>
      <c r="Y273" s="91"/>
      <c r="Z273" s="91">
        <f>SUM(ППД5[[#This Row],[ТП Комната 1]:[ТП Комната 3]])</f>
        <v>31.2</v>
      </c>
      <c r="AA273" s="91">
        <v>20</v>
      </c>
      <c r="AB273" s="91">
        <v>3.6</v>
      </c>
      <c r="AC273" s="91">
        <v>3</v>
      </c>
      <c r="AD273" s="91"/>
      <c r="AE273" s="91">
        <v>12</v>
      </c>
      <c r="AF273" s="91">
        <v>1.35</v>
      </c>
      <c r="AG273" s="91">
        <v>2.2999999999999998</v>
      </c>
      <c r="AH273" s="91"/>
      <c r="AI273" s="91">
        <f>SUM(ППД5[[#This Row],[ТП Лоджия 1]:[ТП Лоджия 3]])</f>
        <v>3.65</v>
      </c>
      <c r="AJ273" s="95">
        <v>7.3</v>
      </c>
      <c r="AK273" s="91">
        <f>SUM(ППД5[[#This Row],[Площадь по ТП жилая]:[ТП Лоджия 3]])-ППД5[[#This Row],[ТП Летние]]+ППД5[[#This Row],[кроме того прочая
(без коэффициента)]]</f>
        <v>77.099999999999994</v>
      </c>
      <c r="AL273" s="95">
        <f>ППД5[[#This Row],[ТП Площадь без летних]]+(ППД5[[#This Row],[ТП Летние]])</f>
        <v>73.45</v>
      </c>
      <c r="AM273" s="91">
        <f>ППД5[[#This Row],[ТП общая S]]-ППД5[[#This Row],[кроме того прочая
(без коэффициента)]]</f>
        <v>69.8</v>
      </c>
      <c r="AN273" s="95">
        <f>SUM(ППД5[[#This Row],[ТП Кухня]:[ТП Коридор]])</f>
        <v>38.6</v>
      </c>
      <c r="AO273" s="91">
        <f>ППД5[[#This Row],[Расчетная ТП площадь]]-ППД5[[#This Row],[Расчетная проектная площадь]]</f>
        <v>-0.25</v>
      </c>
      <c r="AP273" s="335">
        <f>ППД5[[#This Row],[Расчетная ТП площадь]]/ППД5[[#This Row],[Расчетная проектная площадь]]-1</f>
        <v>-3.3921302578019397E-3</v>
      </c>
      <c r="AQ273" s="91">
        <f>ППД5[[#This Row],[% расхождения]]*ППД5[[#This Row],[Стоимость до скидки]]</f>
        <v>-23957.259158751978</v>
      </c>
      <c r="AR273" s="91">
        <f>VLOOKUP(ППД5[[#This Row],[№]],наценкад5[],COLUMN(наценкад5[[#This Row],[Цена м2 с учетом всех K]]),0)</f>
        <v>80307.864000000001</v>
      </c>
      <c r="AS273" s="8">
        <f>ППД5[[#This Row],[м2 после К]]*5%</f>
        <v>4015.3932000000004</v>
      </c>
      <c r="AT273" s="8">
        <f>ППД5[[#This Row],[м2 после К]]+ППД5[[#This Row],[Повышение 16.08.23 - 5%]]</f>
        <v>84323.257200000007</v>
      </c>
      <c r="AU273" s="93">
        <f>ППД5[[#This Row],[Фикс 16.08.23]]*3%</f>
        <v>2529.6977160000001</v>
      </c>
      <c r="AV273" s="93">
        <f>ППД5[[#This Row],[Фикс 16.08.23]]+ППД5[[#This Row],[Повышение 29.08.23 - 3%]]</f>
        <v>86852.954916000002</v>
      </c>
      <c r="AW273" s="93"/>
      <c r="AX273" s="93">
        <f>ППД5[[#This Row],[Фикс 29.08.23]]+ППД5[[#This Row],[Повышение 06.09.23 СТ и 1К]]</f>
        <v>86852.954916000002</v>
      </c>
      <c r="AY273" s="93"/>
      <c r="AZ273" s="93">
        <f>ППД5[[#This Row],[Повышение 23.10.23  В4 ]]+ППД5[[#This Row],[Фикс 06.09.23]]</f>
        <v>86852.954916000002</v>
      </c>
      <c r="BA273" s="93"/>
      <c r="BB273" s="93">
        <f>ППД5[[#This Row],[Повышение 8.11.23 1К 5%]]+ППД5[[#This Row],[Фикс 23.10.23]]</f>
        <v>86852.954916000002</v>
      </c>
      <c r="BC273" s="93"/>
      <c r="BD273" s="93">
        <f>ППД5[[#This Row],[Корректировка 24.11.23 - 1К В5, 2К А2, №233]]+ППД5[[#This Row],[Фикс 8.11.23]]</f>
        <v>86852.954916000002</v>
      </c>
      <c r="BE273" s="93">
        <f>ППД5[[#This Row],[Фикс 8.11.24]]*1%</f>
        <v>868.52954915999999</v>
      </c>
      <c r="BF273" s="93">
        <f>ППД5[[#This Row],[Наценка за отделку 29.12.23 1%]]+ППД5[[#This Row],[Фикс 8.11.24]]</f>
        <v>87721.48446516</v>
      </c>
      <c r="BG273" s="93">
        <f>ППД5[[#This Row],[Фикс 29.12.23]]*5%</f>
        <v>4386.0742232580005</v>
      </c>
      <c r="BH273" s="93">
        <f>ППД5[[#This Row],[Фикс 29.12.23]]+ППД5[[#This Row],[Наценка 10.01.24 5%]]</f>
        <v>92107.558688417994</v>
      </c>
      <c r="BI273" s="93"/>
      <c r="BJ273" s="93">
        <f>ППД5[[#This Row],[Наценка 26.02.24 1 Этаж]]+ППД5[[#This Row],[Фикс 10.01.24]]</f>
        <v>92107.558688417994</v>
      </c>
      <c r="BK273" s="93">
        <f>ППД5[[#This Row],[Фикс 26.02.24]]*2%</f>
        <v>1842.15117376836</v>
      </c>
      <c r="BL273" s="93">
        <f>ППД5[[#This Row],[Фикс 26.02.24]]+ППД5[[#This Row],[Наценка 06.03.24
СТ, 1К - 3%
2К, 3К - 2%]]</f>
        <v>93949.709862186355</v>
      </c>
      <c r="BM273" s="93"/>
      <c r="BN273" s="93">
        <f>ППД5[[#This Row],[Фикс 06.03.24]]+ППД5[[#This Row],[Наценка Г2+500]]</f>
        <v>93949.709862186355</v>
      </c>
      <c r="BO273" s="93">
        <f>ППД5[[#This Row],[Фикс 13.03.25]]*2%</f>
        <v>1878.9941972437271</v>
      </c>
      <c r="BP273" s="93">
        <f>ППД5[[#This Row],[Фикс 13.03.25]]+ППД5[[#This Row],[Наценка 20.03.24
2К, 3К - 2%]]</f>
        <v>95828.704059430078</v>
      </c>
      <c r="BQ273" s="93"/>
      <c r="BR273" s="93">
        <f>ППД5[[#This Row],[Фикс 20.03.24]]+ППД5[[#This Row],[Наценка 08.04.24 
2К: В3 - 150
3К: Г7 +1000]]</f>
        <v>95828.704059430078</v>
      </c>
      <c r="BS273" s="93"/>
      <c r="BT273" s="93">
        <f>ППД5[[#This Row],[Фикс 08.04.24]]+ППД5[[#This Row],[Наценка 16.05.24 1%
А4,А6,Б3,Б6,Б7,В2,В3,В5,В6,Г1,Г3-Г5]]</f>
        <v>95828.704059430078</v>
      </c>
      <c r="BU273" s="93"/>
      <c r="BV273" s="93">
        <f>ППД5[[#This Row],[Фикс 16.05.24]]+ППД5[[#This Row],[Наценка 24.05.24
1% - Б4, Б5,Г2,Г6
2% - А1,А3,А5,Б2,Г7]]</f>
        <v>95828.704059430078</v>
      </c>
      <c r="BW273" s="93"/>
      <c r="BX273" s="93">
        <f>ППД5[[#This Row],[Наценка 06.06.24
0К: В2,Г3 +0,5%
1К: А7, Б5/4, Г6 +0,5%
3К: В6 +0,5%
1К: А3 +1%]]+ППД5[[#This Row],[Фикс 24.05.24]]</f>
        <v>95828.704059430078</v>
      </c>
      <c r="BY273" s="93"/>
      <c r="BZ273" s="93">
        <f>ППД5[[#This Row],[Фикс 06.06.24]]+ППД5[[#This Row],[13.06.2024
3К - 2%]]</f>
        <v>95828.704059430078</v>
      </c>
      <c r="CA273" s="93"/>
      <c r="CB273" s="93">
        <f>ППД5[[#This Row],[02.07.2024: Г3 А1 А3 Б5 Б7 Г2 Г6 Б3 Б4 В3 Г7 2,5% ост 0,5-1,5%]]+ППД5[[#This Row],[Фикс 13.06.24]]</f>
        <v>95828.704059430078</v>
      </c>
      <c r="CC273" s="93"/>
      <c r="CD273" s="93">
        <f>ППД5[[#This Row],[Фикс 02.07.24]]+ППД5[[#This Row],[04.09.2024 +500
0К - Б2; 1К - А3;
2К - А6, Б4, В3, Г5]]</f>
        <v>95828.704059430078</v>
      </c>
      <c r="CE273" s="93"/>
      <c r="CF273" s="93">
        <f>ППД5[[#This Row],[Наценка 16.09.2024
1К: А1,В7,Г6/7,Г8 - 2%
2К: А4,А5,А6,Б1,Б6,Б3/4,В3,В4,Г4,Г5 - 4%
3К: 4%]]+ППД5[[#This Row],[Фикс 04.09.24]]</f>
        <v>95828.704059430078</v>
      </c>
      <c r="CG273" s="93"/>
      <c r="CH273" s="93">
        <f>ППД5[[#This Row],[Фикс 16.09.2024]]+ППД5[[#This Row],[Наценка 01.11.24
СТ: 4%
1К: 34-40м 5%; 40м+ 8%; МГН 1%
2К: 55-70м 6%; 70-73м 7%; 73-76м 8% 
3К: 5%]]</f>
        <v>95828.704059430078</v>
      </c>
      <c r="CI273" s="93"/>
      <c r="CJ273" s="93">
        <f>ППД5[[#This Row],[Наценка 06.11 13%]]+ППД5[[#This Row],[Фикс 01.11.24]]</f>
        <v>95828.704059430078</v>
      </c>
      <c r="CK273" s="93"/>
      <c r="CL273" s="93">
        <f>ППД5[[#This Row],[Фикс 06.11.24]]+ППД5[[#This Row],[Наценка 18.12.24 распределение КВ]]</f>
        <v>95828.704059430078</v>
      </c>
      <c r="CM273" s="93"/>
      <c r="CN273" s="93">
        <f>ППД5[[#This Row],[Фикс 18.12.24]]+ППД5[[#This Row],[Наценка 10.02.25 +1%
1К: А3
2К: Б3, В3]]</f>
        <v>95828.704059430078</v>
      </c>
      <c r="CO273" s="93">
        <f>ROUND(ППД5[[#This Row],[Фикс 10.02.25]],2)</f>
        <v>95828.7</v>
      </c>
      <c r="CP27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7062600</v>
      </c>
      <c r="CQ273" s="93">
        <f>ROUNDUP(ППД5[[#This Row],[Стоимость до скидки]]+ППД5[[#This Row],[Сумма доплаты]],-2)</f>
        <v>7038700</v>
      </c>
      <c r="CR273" s="68"/>
      <c r="CS273" s="90"/>
      <c r="CT273" s="68">
        <f>ППД5[[#This Row],[Стоимость до скидки]]*ППД5[[#This Row],[Скидка %]]+ППД5[[#This Row],[Скидка фиксированная]]</f>
        <v>0</v>
      </c>
      <c r="CU273" s="3">
        <f>ППД5[[#This Row],[Стоимость ОН без отделки со скидкой]]/ППД5[[#This Row],[Расчетная проектная площадь]]</f>
        <v>95829.036635006778</v>
      </c>
      <c r="CV273" s="3">
        <f>ROUND(ППД5[[#This Row],[Стоимость до скидки]]-ППД5[[#This Row],[Итоговая сумма скидки]],2)</f>
        <v>7062600</v>
      </c>
      <c r="CW27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273" s="197">
        <v>7000</v>
      </c>
      <c r="CY273" s="332">
        <f>ППД5[[#This Row],[Расхождение]]/ППД5[[#This Row],[Расчетная проектная площадь]]</f>
        <v>-3.3921302578018993E-3</v>
      </c>
      <c r="CZ27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-0.10999999999999588</v>
      </c>
      <c r="DA273" s="3">
        <f>ППД5[[#This Row],[Цена м2 без отделки со скидкой]]+ППД5[[#This Row],[Стоимость отделки]]</f>
        <v>102829.03663500678</v>
      </c>
      <c r="DB273" s="3">
        <f>ППД5[[#This Row],[Стоимость квартиры с отделкой]]-ППД5[[#This Row],[Стоимость ОН без отделки со скидкой]]</f>
        <v>515900</v>
      </c>
      <c r="DC273" s="3">
        <f>ППД5[[#This Row],[Цена м2 с отделкой]]*ППД5[[#This Row],[Расчетная проектная площадь]]</f>
        <v>7578500</v>
      </c>
      <c r="DD273" s="3" t="s">
        <v>158</v>
      </c>
      <c r="DF273" s="199" t="s">
        <v>172</v>
      </c>
      <c r="DG273" s="245" t="s">
        <v>172</v>
      </c>
      <c r="DH273" s="100" t="b">
        <f>EXACT(ППД5[[#This Row],[Статусы CRM]],ППД5[[#This Row],[Статус]])</f>
        <v>1</v>
      </c>
      <c r="DI273" s="213" t="s">
        <v>445</v>
      </c>
      <c r="DJ273" s="204"/>
      <c r="DK273" s="111" t="s">
        <v>763</v>
      </c>
      <c r="DL273" s="216" t="s">
        <v>780</v>
      </c>
      <c r="DM273" s="201" t="b">
        <f>ППД5[[#This Row],[Отделка CRM]]=ППД5[[#This Row],[Отделка]]</f>
        <v>1</v>
      </c>
      <c r="DN273" s="203">
        <v>7578500</v>
      </c>
      <c r="DO27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73" s="207" t="b">
        <f>IF(AND(ППД5[[#This Row],[Статус]]="свободно",ППД5[[#This Row],[Итоговая сумма скидки]]&lt;&gt;0),FALSE,TRUE)</f>
        <v>1</v>
      </c>
      <c r="DQ273" s="240">
        <f>_xlfn.XLOOKUP(ППД5[[#This Row],[№]],Юрист[№ кв],Юрист[Дата подачи на регистрацию]," ",0,-1)</f>
        <v>45461</v>
      </c>
      <c r="DR273" s="115" t="str">
        <f>_xlfn.XLOOKUP(ППД5[[#This Row],[№]],Юрист[№ кв],Юрист[МОП],"",0,-1)</f>
        <v>Полехович</v>
      </c>
      <c r="DS273" s="333" t="s">
        <v>2838</v>
      </c>
      <c r="DT273" s="333" t="s">
        <v>2839</v>
      </c>
      <c r="DU273" s="333">
        <v>69.8</v>
      </c>
      <c r="DV273" s="111"/>
    </row>
    <row r="274" spans="1:126" hidden="1" x14ac:dyDescent="0.25">
      <c r="A274" s="112">
        <v>272</v>
      </c>
      <c r="B274" s="111" t="s">
        <v>3</v>
      </c>
      <c r="C274" s="111">
        <v>8</v>
      </c>
      <c r="D274" s="111">
        <v>2</v>
      </c>
      <c r="E274" s="111">
        <v>0</v>
      </c>
      <c r="F274" s="105">
        <v>7.18</v>
      </c>
      <c r="G274" s="105"/>
      <c r="H274" s="105"/>
      <c r="I274" s="94">
        <f>SUM(ППД5[[#This Row],[Комната 1]:[Комната 3]])</f>
        <v>7.18</v>
      </c>
      <c r="J274" s="105">
        <v>5.17</v>
      </c>
      <c r="K274" s="105">
        <v>3.72</v>
      </c>
      <c r="L274" s="105"/>
      <c r="M274" s="105"/>
      <c r="N274" s="105">
        <v>6.97</v>
      </c>
      <c r="O274" s="105">
        <v>2.97</v>
      </c>
      <c r="P274" s="105"/>
      <c r="Q274" s="105"/>
      <c r="R274" s="105">
        <f>SUM(ППД5[[#This Row],[Лоджия 1]:[Лоджия 3]])</f>
        <v>2.97</v>
      </c>
      <c r="S274" s="8">
        <f>ROUND(SUM(ППД5[[#This Row],[Площадь по проекту жилая]:[Лоджия 3]]),2)</f>
        <v>26.01</v>
      </c>
      <c r="T274" s="8">
        <f>ROUND(ППД5[[#This Row],[Площадь по проекту(общая)]]-ППД5[[#This Row],[Летние]],2)</f>
        <v>23.04</v>
      </c>
      <c r="U274" s="91">
        <f>ROUND(ППД5[[#This Row],[Площадь по проекту(общая)]]-(SUM(ППД5[[#This Row],[Лоджия 1]:[Лоджия 3]])/2),2)</f>
        <v>24.53</v>
      </c>
      <c r="V274" s="91">
        <f>IF(ППД5[[#This Row],[Статус]]="продажа",ППД5[[#This Row],[Расчетная проектная площадь]],ППД5[[#This Row],[Расчетная ТП площадь]])</f>
        <v>24.25</v>
      </c>
      <c r="W274" s="91">
        <v>7.2</v>
      </c>
      <c r="X274" s="91"/>
      <c r="Y274" s="91"/>
      <c r="Z274" s="91">
        <f>SUM(ППД5[[#This Row],[ТП Комната 1]:[ТП Комната 3]])</f>
        <v>7.2</v>
      </c>
      <c r="AA274" s="91">
        <v>5.0999999999999996</v>
      </c>
      <c r="AB274" s="91">
        <v>3.7</v>
      </c>
      <c r="AC274" s="91"/>
      <c r="AD274" s="91"/>
      <c r="AE274" s="91">
        <v>6.8</v>
      </c>
      <c r="AF274" s="91">
        <v>1.45</v>
      </c>
      <c r="AG274" s="91"/>
      <c r="AH274" s="91"/>
      <c r="AI274" s="91">
        <f>SUM(ППД5[[#This Row],[ТП Лоджия 1]:[ТП Лоджия 3]])</f>
        <v>1.45</v>
      </c>
      <c r="AJ274" s="95">
        <v>2.9</v>
      </c>
      <c r="AK274" s="91">
        <f>SUM(ППД5[[#This Row],[Площадь по ТП жилая]:[ТП Лоджия 3]])-ППД5[[#This Row],[ТП Летние]]+ППД5[[#This Row],[кроме того прочая
(без коэффициента)]]</f>
        <v>25.7</v>
      </c>
      <c r="AL274" s="95">
        <f>ППД5[[#This Row],[ТП Площадь без летних]]+(ППД5[[#This Row],[ТП Летние]])</f>
        <v>24.25</v>
      </c>
      <c r="AM274" s="91">
        <f>ППД5[[#This Row],[ТП общая S]]-ППД5[[#This Row],[кроме того прочая
(без коэффициента)]]</f>
        <v>22.8</v>
      </c>
      <c r="AN274" s="95">
        <f>SUM(ППД5[[#This Row],[ТП Кухня]:[ТП Коридор]])</f>
        <v>15.600000000000001</v>
      </c>
      <c r="AO274" s="91">
        <f>ППД5[[#This Row],[Расчетная ТП площадь]]-ППД5[[#This Row],[Расчетная проектная площадь]]</f>
        <v>-0.28000000000000114</v>
      </c>
      <c r="AP274" s="335">
        <f>ППД5[[#This Row],[Расчетная ТП площадь]]/ППД5[[#This Row],[Расчетная проектная площадь]]-1</f>
        <v>-1.1414594374235643E-2</v>
      </c>
      <c r="AQ274" s="91">
        <f>ППД5[[#This Row],[% расхождения]]*ППД5[[#This Row],[Стоимость до скидки]]</f>
        <v>-43294.415002038368</v>
      </c>
      <c r="AR274" s="91">
        <f>VLOOKUP(ППД5[[#This Row],[№]],наценкад5[],COLUMN(наценкад5[[#This Row],[Цена м2 с учетом всех K]]),0)</f>
        <v>92857.59</v>
      </c>
      <c r="AS274" s="8">
        <f>ППД5[[#This Row],[м2 после К]]*5%</f>
        <v>4642.8795</v>
      </c>
      <c r="AT274" s="8">
        <f>ППД5[[#This Row],[м2 после К]]+ППД5[[#This Row],[Повышение 16.08.23 - 5%]]</f>
        <v>97500.469499999992</v>
      </c>
      <c r="AU274" s="93">
        <f>ППД5[[#This Row],[Фикс 16.08.23]]*3%</f>
        <v>2925.0140849999998</v>
      </c>
      <c r="AV274" s="93">
        <f>ППД5[[#This Row],[Фикс 16.08.23]]+ППД5[[#This Row],[Повышение 29.08.23 - 3%]]</f>
        <v>100425.48358499999</v>
      </c>
      <c r="AW274" s="93">
        <f>ППД5[[#This Row],[Фикс 29.08.23]]*13%</f>
        <v>13055.312866050001</v>
      </c>
      <c r="AX274" s="93">
        <f>ППД5[[#This Row],[Фикс 29.08.23]]+ППД5[[#This Row],[Повышение 06.09.23 СТ и 1К]]</f>
        <v>113480.79645105</v>
      </c>
      <c r="AY274" s="93">
        <f>ППД5[[#This Row],[Фикс 06.09.23]]*3%</f>
        <v>3404.4238935314997</v>
      </c>
      <c r="AZ274" s="93">
        <f>ППД5[[#This Row],[Повышение 23.10.23  В4 ]]+ППД5[[#This Row],[Фикс 06.09.23]]</f>
        <v>116885.2203445815</v>
      </c>
      <c r="BA274" s="93"/>
      <c r="BB274" s="93">
        <f>ППД5[[#This Row],[Повышение 8.11.23 1К 5%]]+ППД5[[#This Row],[Фикс 23.10.23]]</f>
        <v>116885.2203445815</v>
      </c>
      <c r="BC274" s="93"/>
      <c r="BD274" s="93">
        <f>ППД5[[#This Row],[Корректировка 24.11.23 - 1К В5, 2К А2, №233]]+ППД5[[#This Row],[Фикс 8.11.23]]</f>
        <v>116885.2203445815</v>
      </c>
      <c r="BE274" s="93">
        <f>ППД5[[#This Row],[Фикс 8.11.24]]*1%</f>
        <v>1168.8522034458149</v>
      </c>
      <c r="BF274" s="93">
        <f>ППД5[[#This Row],[Наценка за отделку 29.12.23 1%]]+ППД5[[#This Row],[Фикс 8.11.24]]</f>
        <v>118054.07254802731</v>
      </c>
      <c r="BG274" s="93">
        <f>ППД5[[#This Row],[Фикс 29.12.23]]*5%</f>
        <v>5902.7036274013662</v>
      </c>
      <c r="BH274" s="93">
        <f>ППД5[[#This Row],[Фикс 29.12.23]]+ППД5[[#This Row],[Наценка 10.01.24 5%]]</f>
        <v>123956.77617542868</v>
      </c>
      <c r="BI274" s="93"/>
      <c r="BJ274" s="93">
        <f>ППД5[[#This Row],[Наценка 26.02.24 1 Этаж]]+ППД5[[#This Row],[Фикс 10.01.24]]</f>
        <v>123956.77617542868</v>
      </c>
      <c r="BK274" s="93">
        <f>ППД5[[#This Row],[Фикс 26.02.24]]*3%</f>
        <v>3718.7032852628599</v>
      </c>
      <c r="BL274" s="93">
        <f>ППД5[[#This Row],[Фикс 26.02.24]]+ППД5[[#This Row],[Наценка 06.03.24
СТ, 1К - 3%
2К, 3К - 2%]]</f>
        <v>127675.47946069154</v>
      </c>
      <c r="BM274" s="93"/>
      <c r="BN274" s="93">
        <f>ППД5[[#This Row],[Фикс 06.03.24]]+ППД5[[#This Row],[Наценка Г2+500]]</f>
        <v>127675.47946069154</v>
      </c>
      <c r="BO274" s="93"/>
      <c r="BP274" s="93">
        <f>ППД5[[#This Row],[Фикс 13.03.25]]+ППД5[[#This Row],[Наценка 20.03.24
2К, 3К - 2%]]</f>
        <v>127675.47946069154</v>
      </c>
      <c r="BQ274" s="93"/>
      <c r="BR274" s="93">
        <f>ППД5[[#This Row],[Фикс 20.03.24]]+ППД5[[#This Row],[Наценка 08.04.24 
2К: В3 - 150
3К: Г7 +1000]]</f>
        <v>127675.47946069154</v>
      </c>
      <c r="BS274" s="93">
        <f>ППД5[[#This Row],[Фикс 08.04.24]]*1%</f>
        <v>1276.7547946069153</v>
      </c>
      <c r="BT274" s="93">
        <f>ППД5[[#This Row],[Фикс 08.04.24]]+ППД5[[#This Row],[Наценка 16.05.24 1%
А4,А6,Б3,Б6,Б7,В2,В3,В5,В6,Г1,Г3-Г5]]</f>
        <v>128952.23425529845</v>
      </c>
      <c r="BU274" s="93"/>
      <c r="BV274" s="93">
        <f>ППД5[[#This Row],[Фикс 16.05.24]]+ППД5[[#This Row],[Наценка 24.05.24
1% - Б4, Б5,Г2,Г6
2% - А1,А3,А5,Б2,Г7]]</f>
        <v>128952.23425529845</v>
      </c>
      <c r="BW274" s="93">
        <f>ППД5[[#This Row],[Фикс 24.05.24]]*0.5%</f>
        <v>644.76117127649229</v>
      </c>
      <c r="BX274" s="93">
        <f>ППД5[[#This Row],[Наценка 06.06.24
0К: В2,Г3 +0,5%
1К: А7, Б5/4, Г6 +0,5%
3К: В6 +0,5%
1К: А3 +1%]]+ППД5[[#This Row],[Фикс 24.05.24]]</f>
        <v>129596.99542657494</v>
      </c>
      <c r="BY274" s="93"/>
      <c r="BZ274" s="93">
        <f>ППД5[[#This Row],[Фикс 06.06.24]]+ППД5[[#This Row],[13.06.2024
3К - 2%]]</f>
        <v>129596.99542657494</v>
      </c>
      <c r="CA274" s="93">
        <f>1.5%*ППД5[[#This Row],[Фикс 13.06.24]]</f>
        <v>1943.954931398624</v>
      </c>
      <c r="CB274" s="93">
        <f>ППД5[[#This Row],[02.07.2024: Г3 А1 А3 Б5 Б7 Г2 Г6 Б3 Б4 В3 Г7 2,5% ост 0,5-1,5%]]+ППД5[[#This Row],[Фикс 13.06.24]]</f>
        <v>131540.95035797358</v>
      </c>
      <c r="CC274" s="93"/>
      <c r="CD274" s="93">
        <f>ППД5[[#This Row],[Фикс 02.07.24]]+ППД5[[#This Row],[04.09.2024 +500
0К - Б2; 1К - А3;
2К - А6, Б4, В3, Г5]]</f>
        <v>131540.95035797358</v>
      </c>
      <c r="CE274" s="93"/>
      <c r="CF274" s="93">
        <f>ППД5[[#This Row],[Наценка 16.09.2024
1К: А1,В7,Г6/7,Г8 - 2%
2К: А4,А5,А6,Б1,Б6,Б3/4,В3,В4,Г4,Г5 - 4%
3К: 4%]]+ППД5[[#This Row],[Фикс 04.09.24]]</f>
        <v>131540.95035797358</v>
      </c>
      <c r="CG274" s="93">
        <f>ППД5[[#This Row],[Фикс 16.09.2024]]*4%</f>
        <v>5261.6380143189435</v>
      </c>
      <c r="CH274" s="93">
        <f>ППД5[[#This Row],[Фикс 16.09.2024]]+ППД5[[#This Row],[Наценка 01.11.24
СТ: 4%
1К: 34-40м 5%; 40м+ 8%; МГН 1%
2К: 55-70м 6%; 70-73м 7%; 73-76м 8% 
3К: 5%]]</f>
        <v>136802.58837229252</v>
      </c>
      <c r="CI274" s="93">
        <f>ППД5[[#This Row],[Фикс 01.11.24]]*13%</f>
        <v>17784.336488398028</v>
      </c>
      <c r="CJ274" s="93">
        <f>ППД5[[#This Row],[Наценка 06.11 13%]]+ППД5[[#This Row],[Фикс 01.11.24]]</f>
        <v>154586.92486069055</v>
      </c>
      <c r="CK274" s="93">
        <v>35</v>
      </c>
      <c r="CL274" s="93">
        <f>ППД5[[#This Row],[Фикс 06.11.24]]+ППД5[[#This Row],[Наценка 18.12.24 распределение КВ]]</f>
        <v>154621.92486069055</v>
      </c>
      <c r="CM274" s="93"/>
      <c r="CN274" s="93">
        <f>ППД5[[#This Row],[Фикс 18.12.24]]+ППД5[[#This Row],[Наценка 10.02.25 +1%
1К: А3
2К: Б3, В3]]</f>
        <v>154621.92486069055</v>
      </c>
      <c r="CO274" s="93">
        <f>ROUND(ППД5[[#This Row],[Фикс 10.02.25]],2)</f>
        <v>154621.92000000001</v>
      </c>
      <c r="CP27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3792900</v>
      </c>
      <c r="CQ274" s="93">
        <f>ROUNDUP(ППД5[[#This Row],[Стоимость до скидки]]+ППД5[[#This Row],[Сумма доплаты]],-2)</f>
        <v>3749700</v>
      </c>
      <c r="CR274" s="68"/>
      <c r="CS274" s="90"/>
      <c r="CT274" s="68">
        <f>ППД5[[#This Row],[Стоимость до скидки]]*ППД5[[#This Row],[Скидка %]]+ППД5[[#This Row],[Скидка фиксированная]]</f>
        <v>0</v>
      </c>
      <c r="CU274" s="3">
        <f>ППД5[[#This Row],[Стоимость ОН без отделки со скидкой]]/ППД5[[#This Row],[Расчетная проектная площадь]]</f>
        <v>154622.91072156542</v>
      </c>
      <c r="CV274" s="3">
        <f>ROUND(ППД5[[#This Row],[Стоимость до скидки]]-ППД5[[#This Row],[Итоговая сумма скидки]],2)</f>
        <v>3792900</v>
      </c>
      <c r="CW27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74" s="197"/>
      <c r="CY274" s="332">
        <f>ППД5[[#This Row],[Расхождение]]/ППД5[[#This Row],[Расчетная проектная площадь]]</f>
        <v>-1.1414594374235676E-2</v>
      </c>
      <c r="CZ27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-0.25999999999999801</v>
      </c>
      <c r="DA274" s="3">
        <f>ППД5[[#This Row],[Цена м2 без отделки со скидкой]]+ППД5[[#This Row],[Стоимость отделки]]</f>
        <v>154622.91072156542</v>
      </c>
      <c r="DB274" s="3">
        <f>ППД5[[#This Row],[Стоимость квартиры с отделкой]]-ППД5[[#This Row],[Стоимость ОН без отделки со скидкой]]</f>
        <v>0</v>
      </c>
      <c r="DC274" s="3">
        <f>ППД5[[#This Row],[Цена м2 с отделкой]]*ППД5[[#This Row],[Расчетная проектная площадь]]</f>
        <v>3792900</v>
      </c>
      <c r="DD274" s="3"/>
      <c r="DF274" s="221" t="s">
        <v>157</v>
      </c>
      <c r="DG274" s="221" t="s">
        <v>157</v>
      </c>
      <c r="DH274" s="100" t="b">
        <f>EXACT(ППД5[[#This Row],[Статусы CRM]],ППД5[[#This Row],[Статус]])</f>
        <v>1</v>
      </c>
      <c r="DI274" s="213" t="s">
        <v>446</v>
      </c>
      <c r="DJ274" s="204"/>
      <c r="DK274" s="111" t="s">
        <v>763</v>
      </c>
      <c r="DL274" s="216" t="s">
        <v>12</v>
      </c>
      <c r="DM274" s="201" t="b">
        <f>ППД5[[#This Row],[Отделка CRM]]=ППД5[[#This Row],[Отделка]]</f>
        <v>1</v>
      </c>
      <c r="DN274" s="203">
        <v>3792900</v>
      </c>
      <c r="DO27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74" s="207" t="b">
        <f>IF(AND(ППД5[[#This Row],[Статус]]="свободно",ППД5[[#This Row],[Итоговая сумма скидки]]&lt;&gt;0),FALSE,TRUE)</f>
        <v>1</v>
      </c>
      <c r="DQ274" s="240" t="str">
        <f>_xlfn.XLOOKUP(ППД5[[#This Row],[№]],Юрист[№ кв],Юрист[Дата подачи на регистрацию]," ",0,-1)</f>
        <v xml:space="preserve"> </v>
      </c>
      <c r="DR274" s="115" t="str">
        <f>_xlfn.XLOOKUP(ППД5[[#This Row],[№]],Юрист[№ кв],Юрист[МОП],"",0,-1)</f>
        <v/>
      </c>
      <c r="DS274" s="333" t="s">
        <v>2840</v>
      </c>
      <c r="DT274" s="333" t="s">
        <v>2841</v>
      </c>
      <c r="DU274" s="333">
        <v>22.8</v>
      </c>
      <c r="DV274" s="111"/>
    </row>
    <row r="275" spans="1:126" hidden="1" x14ac:dyDescent="0.25">
      <c r="A275" s="112">
        <v>273</v>
      </c>
      <c r="B275" s="111" t="s">
        <v>3</v>
      </c>
      <c r="C275" s="111">
        <v>8</v>
      </c>
      <c r="D275" s="111">
        <v>3</v>
      </c>
      <c r="E275" s="111">
        <v>2</v>
      </c>
      <c r="F275" s="105">
        <v>13.69</v>
      </c>
      <c r="G275" s="105">
        <v>10.16</v>
      </c>
      <c r="H275" s="105"/>
      <c r="I275" s="94">
        <f>SUM(ППД5[[#This Row],[Комната 1]:[Комната 3]])</f>
        <v>23.85</v>
      </c>
      <c r="J275" s="105">
        <v>18.71</v>
      </c>
      <c r="K275" s="105">
        <v>3.49</v>
      </c>
      <c r="L275" s="105">
        <v>2.11</v>
      </c>
      <c r="M275" s="105"/>
      <c r="N275" s="105">
        <v>7.09</v>
      </c>
      <c r="O275" s="105">
        <v>2.65</v>
      </c>
      <c r="P275" s="105"/>
      <c r="Q275" s="105"/>
      <c r="R275" s="105">
        <f>SUM(ППД5[[#This Row],[Лоджия 1]:[Лоджия 3]])</f>
        <v>2.65</v>
      </c>
      <c r="S275" s="8">
        <f>ROUND(SUM(ППД5[[#This Row],[Площадь по проекту жилая]:[Лоджия 3]]),2)</f>
        <v>57.9</v>
      </c>
      <c r="T275" s="8">
        <f>ROUND(ППД5[[#This Row],[Площадь по проекту(общая)]]-ППД5[[#This Row],[Летние]],2)</f>
        <v>55.25</v>
      </c>
      <c r="U275" s="91">
        <f>ROUND(ППД5[[#This Row],[Площадь по проекту(общая)]]-(SUM(ППД5[[#This Row],[Лоджия 1]:[Лоджия 3]])/2),2)</f>
        <v>56.58</v>
      </c>
      <c r="V275" s="91">
        <f>IF(ППД5[[#This Row],[Статус]]="продажа",ППД5[[#This Row],[Расчетная проектная площадь]],ППД5[[#This Row],[Расчетная ТП площадь]])</f>
        <v>56.58</v>
      </c>
      <c r="W275" s="91">
        <v>13.6</v>
      </c>
      <c r="X275" s="91">
        <v>9.8000000000000007</v>
      </c>
      <c r="Y275" s="91"/>
      <c r="Z275" s="91">
        <f>SUM(ППД5[[#This Row],[ТП Комната 1]:[ТП Комната 3]])</f>
        <v>23.4</v>
      </c>
      <c r="AA275" s="91">
        <v>18.8</v>
      </c>
      <c r="AB275" s="91">
        <v>3.5</v>
      </c>
      <c r="AC275" s="91">
        <v>2.1</v>
      </c>
      <c r="AD275" s="91"/>
      <c r="AE275" s="91">
        <v>7.2</v>
      </c>
      <c r="AF275" s="91">
        <v>1.3</v>
      </c>
      <c r="AG275" s="91"/>
      <c r="AH275" s="91"/>
      <c r="AI275" s="91">
        <f>SUM(ППД5[[#This Row],[ТП Лоджия 1]:[ТП Лоджия 3]])</f>
        <v>1.3</v>
      </c>
      <c r="AJ275" s="95">
        <v>2.6</v>
      </c>
      <c r="AK275" s="91">
        <f>SUM(ППД5[[#This Row],[Площадь по ТП жилая]:[ТП Лоджия 3]])-ППД5[[#This Row],[ТП Летние]]+ППД5[[#This Row],[кроме того прочая
(без коэффициента)]]</f>
        <v>57.600000000000009</v>
      </c>
      <c r="AL275" s="95">
        <f>ППД5[[#This Row],[ТП Площадь без летних]]+(ППД5[[#This Row],[ТП Летние]])</f>
        <v>56.300000000000004</v>
      </c>
      <c r="AM275" s="91">
        <f>ППД5[[#This Row],[ТП общая S]]-ППД5[[#This Row],[кроме того прочая
(без коэффициента)]]</f>
        <v>55.000000000000007</v>
      </c>
      <c r="AN275" s="95">
        <f>SUM(ППД5[[#This Row],[ТП Кухня]:[ТП Коридор]])</f>
        <v>31.6</v>
      </c>
      <c r="AO275" s="91">
        <f>ППД5[[#This Row],[Расчетная ТП площадь]]-ППД5[[#This Row],[Расчетная проектная площадь]]</f>
        <v>-0.27999999999999403</v>
      </c>
      <c r="AP275" s="335">
        <f>ППД5[[#This Row],[Расчетная ТП площадь]]/ППД5[[#This Row],[Расчетная проектная площадь]]-1</f>
        <v>-4.9487451396251769E-3</v>
      </c>
      <c r="AQ275" s="91">
        <f>ППД5[[#This Row],[% расхождения]]*ППД5[[#This Row],[Стоимость до скидки]]</f>
        <v>-27132.484977022956</v>
      </c>
      <c r="AR275" s="91">
        <f>VLOOKUP(ППД5[[#This Row],[№]],наценкад5[],COLUMN(наценкад5[[#This Row],[Цена м2 с учетом всех K]]),0)</f>
        <v>81080.055000000008</v>
      </c>
      <c r="AS275" s="8">
        <f>ППД5[[#This Row],[м2 после К]]*5%</f>
        <v>4054.0027500000006</v>
      </c>
      <c r="AT275" s="8">
        <f>ППД5[[#This Row],[м2 после К]]+ППД5[[#This Row],[Повышение 16.08.23 - 5%]]</f>
        <v>85134.057750000007</v>
      </c>
      <c r="AU275" s="93">
        <f>ППД5[[#This Row],[Фикс 16.08.23]]*3%</f>
        <v>2554.0217325000003</v>
      </c>
      <c r="AV275" s="93">
        <f>ППД5[[#This Row],[Фикс 16.08.23]]+ППД5[[#This Row],[Повышение 29.08.23 - 3%]]</f>
        <v>87688.079482500005</v>
      </c>
      <c r="AW275" s="93"/>
      <c r="AX275" s="93">
        <f>ППД5[[#This Row],[Фикс 29.08.23]]+ППД5[[#This Row],[Повышение 06.09.23 СТ и 1К]]</f>
        <v>87688.079482500005</v>
      </c>
      <c r="AY275" s="93"/>
      <c r="AZ275" s="93">
        <f>ППД5[[#This Row],[Повышение 23.10.23  В4 ]]+ППД5[[#This Row],[Фикс 06.09.23]]</f>
        <v>87688.079482500005</v>
      </c>
      <c r="BA275" s="93"/>
      <c r="BB275" s="93">
        <f>ППД5[[#This Row],[Повышение 8.11.23 1К 5%]]+ППД5[[#This Row],[Фикс 23.10.23]]</f>
        <v>87688.079482500005</v>
      </c>
      <c r="BC275" s="93"/>
      <c r="BD275" s="93">
        <f>ППД5[[#This Row],[Корректировка 24.11.23 - 1К В5, 2К А2, №233]]+ППД5[[#This Row],[Фикс 8.11.23]]</f>
        <v>87688.079482500005</v>
      </c>
      <c r="BE275" s="93">
        <f>ППД5[[#This Row],[Фикс 8.11.24]]*1%</f>
        <v>876.88079482500007</v>
      </c>
      <c r="BF275" s="93">
        <f>ППД5[[#This Row],[Наценка за отделку 29.12.23 1%]]+ППД5[[#This Row],[Фикс 8.11.24]]</f>
        <v>88564.960277325008</v>
      </c>
      <c r="BG275" s="93">
        <f>ППД5[[#This Row],[Фикс 29.12.23]]*5%</f>
        <v>4428.2480138662504</v>
      </c>
      <c r="BH275" s="93">
        <f>ППД5[[#This Row],[Фикс 29.12.23]]+ППД5[[#This Row],[Наценка 10.01.24 5%]]</f>
        <v>92993.208291191258</v>
      </c>
      <c r="BI275" s="93"/>
      <c r="BJ275" s="93">
        <f>ППД5[[#This Row],[Наценка 26.02.24 1 Этаж]]+ППД5[[#This Row],[Фикс 10.01.24]]</f>
        <v>92993.208291191258</v>
      </c>
      <c r="BK275" s="93">
        <f>ППД5[[#This Row],[Фикс 26.02.24]]*2%</f>
        <v>1859.8641658238253</v>
      </c>
      <c r="BL275" s="93">
        <f>ППД5[[#This Row],[Фикс 26.02.24]]+ППД5[[#This Row],[Наценка 06.03.24
СТ, 1К - 3%
2К, 3К - 2%]]</f>
        <v>94853.072457015078</v>
      </c>
      <c r="BM275" s="93"/>
      <c r="BN275" s="93">
        <f>ППД5[[#This Row],[Фикс 06.03.24]]+ППД5[[#This Row],[Наценка Г2+500]]</f>
        <v>94853.072457015078</v>
      </c>
      <c r="BO275" s="93">
        <f>ППД5[[#This Row],[Фикс 13.03.25]]*2%</f>
        <v>1897.0614491403016</v>
      </c>
      <c r="BP275" s="93">
        <f>ППД5[[#This Row],[Фикс 13.03.25]]+ППД5[[#This Row],[Наценка 20.03.24
2К, 3К - 2%]]</f>
        <v>96750.133906155374</v>
      </c>
      <c r="BQ275" s="93">
        <v>150</v>
      </c>
      <c r="BR275" s="93">
        <f>ППД5[[#This Row],[Фикс 20.03.24]]+ППД5[[#This Row],[Наценка 08.04.24 
2К: В3 - 150
3К: Г7 +1000]]</f>
        <v>96900.133906155374</v>
      </c>
      <c r="BS275" s="93"/>
      <c r="BT275" s="93">
        <f>ППД5[[#This Row],[Фикс 08.04.24]]+ППД5[[#This Row],[Наценка 16.05.24 1%
А4,А6,Б3,Б6,Б7,В2,В3,В5,В6,Г1,Г3-Г5]]</f>
        <v>96900.133906155374</v>
      </c>
      <c r="BU275" s="93"/>
      <c r="BV275" s="93">
        <f>ППД5[[#This Row],[Фикс 16.05.24]]+ППД5[[#This Row],[Наценка 24.05.24
1% - Б4, Б5,Г2,Г6
2% - А1,А3,А5,Б2,Г7]]</f>
        <v>96900.133906155374</v>
      </c>
      <c r="BW275" s="93"/>
      <c r="BX275" s="93">
        <f>ППД5[[#This Row],[Наценка 06.06.24
0К: В2,Г3 +0,5%
1К: А7, Б5/4, Г6 +0,5%
3К: В6 +0,5%
1К: А3 +1%]]+ППД5[[#This Row],[Фикс 24.05.24]]</f>
        <v>96900.133906155374</v>
      </c>
      <c r="BY275" s="93"/>
      <c r="BZ275" s="93">
        <f>ППД5[[#This Row],[Фикс 06.06.24]]+ППД5[[#This Row],[13.06.2024
3К - 2%]]</f>
        <v>96900.133906155374</v>
      </c>
      <c r="CA275" s="93"/>
      <c r="CB275" s="93">
        <f>ППД5[[#This Row],[02.07.2024: Г3 А1 А3 Б5 Б7 Г2 Г6 Б3 Б4 В3 Г7 2,5% ост 0,5-1,5%]]+ППД5[[#This Row],[Фикс 13.06.24]]</f>
        <v>96900.133906155374</v>
      </c>
      <c r="CC275" s="93"/>
      <c r="CD275" s="93">
        <f>ППД5[[#This Row],[Фикс 02.07.24]]+ППД5[[#This Row],[04.09.2024 +500
0К - Б2; 1К - А3;
2К - А6, Б4, В3, Г5]]</f>
        <v>96900.133906155374</v>
      </c>
      <c r="CE275" s="93"/>
      <c r="CF275" s="93">
        <f>ППД5[[#This Row],[Наценка 16.09.2024
1К: А1,В7,Г6/7,Г8 - 2%
2К: А4,А5,А6,Б1,Б6,Б3/4,В3,В4,Г4,Г5 - 4%
3К: 4%]]+ППД5[[#This Row],[Фикс 04.09.24]]</f>
        <v>96900.133906155374</v>
      </c>
      <c r="CG275" s="93"/>
      <c r="CH275" s="93">
        <f>ППД5[[#This Row],[Фикс 16.09.2024]]+ППД5[[#This Row],[Наценка 01.11.24
СТ: 4%
1К: 34-40м 5%; 40м+ 8%; МГН 1%
2К: 55-70м 6%; 70-73м 7%; 73-76м 8% 
3К: 5%]]</f>
        <v>96900.133906155374</v>
      </c>
      <c r="CI275" s="93"/>
      <c r="CJ275" s="93">
        <f>ППД5[[#This Row],[Наценка 06.11 13%]]+ППД5[[#This Row],[Фикс 01.11.24]]</f>
        <v>96900.133906155374</v>
      </c>
      <c r="CK275" s="93"/>
      <c r="CL275" s="93">
        <f>ППД5[[#This Row],[Фикс 06.11.24]]+ППД5[[#This Row],[Наценка 18.12.24 распределение КВ]]</f>
        <v>96900.133906155374</v>
      </c>
      <c r="CM275" s="93"/>
      <c r="CN275" s="93">
        <f>ППД5[[#This Row],[Фикс 18.12.24]]+ППД5[[#This Row],[Наценка 10.02.25 +1%
1К: А3
2К: Б3, В3]]</f>
        <v>96900.133906155374</v>
      </c>
      <c r="CO275" s="93">
        <f>ROUND(ППД5[[#This Row],[Фикс 10.02.25]],2)</f>
        <v>96900.13</v>
      </c>
      <c r="CP27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5482700</v>
      </c>
      <c r="CQ275" s="93">
        <f>ROUNDUP(ППД5[[#This Row],[Стоимость до скидки]]+ППД5[[#This Row],[Сумма доплаты]],-2)</f>
        <v>5455600</v>
      </c>
      <c r="CR275" s="68">
        <v>90000</v>
      </c>
      <c r="CS275" s="90"/>
      <c r="CT275" s="68">
        <f>ППД5[[#This Row],[Стоимость до скидки]]*ППД5[[#This Row],[Скидка %]]+ППД5[[#This Row],[Скидка фиксированная]]</f>
        <v>90000</v>
      </c>
      <c r="CU275" s="3">
        <f>ППД5[[#This Row],[Стоимость ОН без отделки со скидкой]]/ППД5[[#This Row],[Расчетная проектная площадь]]</f>
        <v>95311.063980205028</v>
      </c>
      <c r="CV275" s="3">
        <f>ROUND(ППД5[[#This Row],[Стоимость до скидки]]-ППД5[[#This Row],[Итоговая сумма скидки]],2)</f>
        <v>5392700</v>
      </c>
      <c r="CW27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275" s="197">
        <v>7000</v>
      </c>
      <c r="CY275" s="332">
        <f>ППД5[[#This Row],[Расхождение]]/ППД5[[#This Row],[Расчетная проектная площадь]]</f>
        <v>-4.9487451396252038E-3</v>
      </c>
      <c r="CZ27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0.20000000000000284</v>
      </c>
      <c r="DA275" s="3">
        <f>ППД5[[#This Row],[Цена м2 без отделки со скидкой]]+ППД5[[#This Row],[Стоимость отделки]]</f>
        <v>102311.06398020503</v>
      </c>
      <c r="DB275" s="3">
        <f>ППД5[[#This Row],[Стоимость квартиры с отделкой]]-ППД5[[#This Row],[Стоимость ОН без отделки со скидкой]]</f>
        <v>396060</v>
      </c>
      <c r="DC275" s="3">
        <f>ППД5[[#This Row],[Цена м2 с отделкой]]*ППД5[[#This Row],[Расчетная проектная площадь]]</f>
        <v>5788760</v>
      </c>
      <c r="DD275" s="3" t="s">
        <v>154</v>
      </c>
      <c r="DE275" s="111" t="s">
        <v>791</v>
      </c>
      <c r="DF275" s="199" t="s">
        <v>172</v>
      </c>
      <c r="DG275" s="245" t="s">
        <v>172</v>
      </c>
      <c r="DH275" s="100" t="b">
        <f>EXACT(ППД5[[#This Row],[Статусы CRM]],ППД5[[#This Row],[Статус]])</f>
        <v>1</v>
      </c>
      <c r="DI275" s="213" t="s">
        <v>447</v>
      </c>
      <c r="DJ275" s="204"/>
      <c r="DK275" s="111" t="s">
        <v>763</v>
      </c>
      <c r="DL275" s="216" t="s">
        <v>780</v>
      </c>
      <c r="DM275" s="201" t="b">
        <f>ППД5[[#This Row],[Отделка CRM]]=ППД5[[#This Row],[Отделка]]</f>
        <v>1</v>
      </c>
      <c r="DN275" s="203">
        <v>5788760</v>
      </c>
      <c r="DO27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75" s="207" t="b">
        <f>IF(AND(ППД5[[#This Row],[Статус]]="свободно",ППД5[[#This Row],[Итоговая сумма скидки]]&lt;&gt;0),FALSE,TRUE)</f>
        <v>1</v>
      </c>
      <c r="DQ275" s="240">
        <f>_xlfn.XLOOKUP(ППД5[[#This Row],[№]],Юрист[№ кв],Юрист[Дата подачи на регистрацию]," ",0,-1)</f>
        <v>45439</v>
      </c>
      <c r="DR275" s="115" t="str">
        <f>_xlfn.XLOOKUP(ППД5[[#This Row],[№]],Юрист[№ кв],Юрист[МОП],"",0,-1)</f>
        <v>Полехович</v>
      </c>
      <c r="DS275" s="333" t="s">
        <v>2842</v>
      </c>
      <c r="DT275" s="333" t="s">
        <v>2843</v>
      </c>
      <c r="DU275" s="333">
        <v>55</v>
      </c>
      <c r="DV275" s="111"/>
    </row>
    <row r="276" spans="1:126" hidden="1" x14ac:dyDescent="0.25">
      <c r="A276" s="112">
        <v>274</v>
      </c>
      <c r="B276" s="111" t="s">
        <v>3</v>
      </c>
      <c r="C276" s="111">
        <v>8</v>
      </c>
      <c r="D276" s="111">
        <v>4</v>
      </c>
      <c r="E276" s="111">
        <v>2</v>
      </c>
      <c r="F276" s="105">
        <v>15.45</v>
      </c>
      <c r="G276" s="105">
        <v>10.34</v>
      </c>
      <c r="H276" s="105"/>
      <c r="I276" s="94">
        <f>SUM(ППД5[[#This Row],[Комната 1]:[Комната 3]])</f>
        <v>25.79</v>
      </c>
      <c r="J276" s="105">
        <v>15.44</v>
      </c>
      <c r="K276" s="105">
        <v>4.59</v>
      </c>
      <c r="L276" s="105">
        <v>2.21</v>
      </c>
      <c r="M276" s="105"/>
      <c r="N276" s="105">
        <v>10.79</v>
      </c>
      <c r="O276" s="105">
        <v>2.84</v>
      </c>
      <c r="P276" s="105"/>
      <c r="Q276" s="105"/>
      <c r="R276" s="105">
        <f>SUM(ППД5[[#This Row],[Лоджия 1]:[Лоджия 3]])</f>
        <v>2.84</v>
      </c>
      <c r="S276" s="8">
        <f>ROUND(SUM(ППД5[[#This Row],[Площадь по проекту жилая]:[Лоджия 3]]),2)</f>
        <v>61.66</v>
      </c>
      <c r="T276" s="8">
        <f>ROUND(ППД5[[#This Row],[Площадь по проекту(общая)]]-ППД5[[#This Row],[Летние]],2)</f>
        <v>58.82</v>
      </c>
      <c r="U276" s="91">
        <f>ROUND(ППД5[[#This Row],[Площадь по проекту(общая)]]-(SUM(ППД5[[#This Row],[Лоджия 1]:[Лоджия 3]])/2),2)</f>
        <v>60.24</v>
      </c>
      <c r="V276" s="91">
        <f>IF(ППД5[[#This Row],[Статус]]="продажа",ППД5[[#This Row],[Расчетная проектная площадь]],ППД5[[#This Row],[Расчетная ТП площадь]])</f>
        <v>60.24</v>
      </c>
      <c r="W276" s="91">
        <v>15.4</v>
      </c>
      <c r="X276" s="91">
        <v>10.4</v>
      </c>
      <c r="Y276" s="91"/>
      <c r="Z276" s="91">
        <f>SUM(ППД5[[#This Row],[ТП Комната 1]:[ТП Комната 3]])</f>
        <v>25.8</v>
      </c>
      <c r="AA276" s="91">
        <v>15.3</v>
      </c>
      <c r="AB276" s="91">
        <v>4.5999999999999996</v>
      </c>
      <c r="AC276" s="91">
        <v>2.2000000000000002</v>
      </c>
      <c r="AD276" s="91"/>
      <c r="AE276" s="91">
        <v>10.8</v>
      </c>
      <c r="AF276" s="91">
        <v>1.4</v>
      </c>
      <c r="AG276" s="91"/>
      <c r="AH276" s="91"/>
      <c r="AI276" s="91">
        <f>SUM(ППД5[[#This Row],[ТП Лоджия 1]:[ТП Лоджия 3]])</f>
        <v>1.4</v>
      </c>
      <c r="AJ276" s="95">
        <v>2.8</v>
      </c>
      <c r="AK276" s="91">
        <f>SUM(ППД5[[#This Row],[Площадь по ТП жилая]:[ТП Лоджия 3]])-ППД5[[#This Row],[ТП Летние]]+ППД5[[#This Row],[кроме того прочая
(без коэффициента)]]</f>
        <v>61.5</v>
      </c>
      <c r="AL276" s="95">
        <f>ППД5[[#This Row],[ТП Площадь без летних]]+(ППД5[[#This Row],[ТП Летние]])</f>
        <v>60.1</v>
      </c>
      <c r="AM276" s="91">
        <f>ППД5[[#This Row],[ТП общая S]]-ППД5[[#This Row],[кроме того прочая
(без коэффициента)]]</f>
        <v>58.7</v>
      </c>
      <c r="AN276" s="95">
        <f>SUM(ППД5[[#This Row],[ТП Кухня]:[ТП Коридор]])</f>
        <v>32.9</v>
      </c>
      <c r="AO276" s="91">
        <f>ППД5[[#This Row],[Расчетная ТП площадь]]-ППД5[[#This Row],[Расчетная проектная площадь]]</f>
        <v>-0.14000000000000057</v>
      </c>
      <c r="AP276" s="335">
        <f>ППД5[[#This Row],[Расчетная ТП площадь]]/ППД5[[#This Row],[Расчетная проектная площадь]]-1</f>
        <v>-2.3240371845949515E-3</v>
      </c>
      <c r="AQ276" s="91">
        <f>ППД5[[#This Row],[% расхождения]]*ППД5[[#This Row],[Стоимость до скидки]]</f>
        <v>-13329.050464807426</v>
      </c>
      <c r="AR276" s="91">
        <f>VLOOKUP(ППД5[[#This Row],[№]],наценкад5[],COLUMN(наценкад5[[#This Row],[Цена м2 с учетом всех K]]),0)</f>
        <v>83010.532500000001</v>
      </c>
      <c r="AS276" s="8">
        <f>ППД5[[#This Row],[м2 после К]]*5%</f>
        <v>4150.5266250000004</v>
      </c>
      <c r="AT276" s="8">
        <f>ППД5[[#This Row],[м2 после К]]+ППД5[[#This Row],[Повышение 16.08.23 - 5%]]</f>
        <v>87161.059125</v>
      </c>
      <c r="AU276" s="93">
        <f>ППД5[[#This Row],[Фикс 16.08.23]]*3%</f>
        <v>2614.8317737499997</v>
      </c>
      <c r="AV276" s="93">
        <f>ППД5[[#This Row],[Фикс 16.08.23]]+ППД5[[#This Row],[Повышение 29.08.23 - 3%]]</f>
        <v>89775.890898750004</v>
      </c>
      <c r="AW276" s="93"/>
      <c r="AX276" s="93">
        <f>ППД5[[#This Row],[Фикс 29.08.23]]+ППД5[[#This Row],[Повышение 06.09.23 СТ и 1К]]</f>
        <v>89775.890898750004</v>
      </c>
      <c r="AY276" s="93"/>
      <c r="AZ276" s="93">
        <f>ППД5[[#This Row],[Повышение 23.10.23  В4 ]]+ППД5[[#This Row],[Фикс 06.09.23]]</f>
        <v>89775.890898750004</v>
      </c>
      <c r="BA276" s="93"/>
      <c r="BB276" s="93">
        <f>ППД5[[#This Row],[Повышение 8.11.23 1К 5%]]+ППД5[[#This Row],[Фикс 23.10.23]]</f>
        <v>89775.890898750004</v>
      </c>
      <c r="BC276" s="93"/>
      <c r="BD276" s="93">
        <f>ППД5[[#This Row],[Корректировка 24.11.23 - 1К В5, 2К А2, №233]]+ППД5[[#This Row],[Фикс 8.11.23]]</f>
        <v>89775.890898750004</v>
      </c>
      <c r="BE276" s="93">
        <f>ППД5[[#This Row],[Фикс 8.11.24]]*1%</f>
        <v>897.75890898750004</v>
      </c>
      <c r="BF276" s="93">
        <f>ППД5[[#This Row],[Наценка за отделку 29.12.23 1%]]+ППД5[[#This Row],[Фикс 8.11.24]]</f>
        <v>90673.6498077375</v>
      </c>
      <c r="BG276" s="93">
        <f>ППД5[[#This Row],[Фикс 29.12.23]]*5%</f>
        <v>4533.6824903868755</v>
      </c>
      <c r="BH276" s="93">
        <f>ППД5[[#This Row],[Фикс 29.12.23]]+ППД5[[#This Row],[Наценка 10.01.24 5%]]</f>
        <v>95207.332298124369</v>
      </c>
      <c r="BI276" s="93"/>
      <c r="BJ276" s="93">
        <f>ППД5[[#This Row],[Наценка 26.02.24 1 Этаж]]+ППД5[[#This Row],[Фикс 10.01.24]]</f>
        <v>95207.332298124369</v>
      </c>
      <c r="BK276" s="93"/>
      <c r="BL276" s="93">
        <f>ППД5[[#This Row],[Фикс 26.02.24]]+ППД5[[#This Row],[Наценка 06.03.24
СТ, 1К - 3%
2К, 3К - 2%]]</f>
        <v>95207.332298124369</v>
      </c>
      <c r="BM276" s="93"/>
      <c r="BN276" s="93">
        <f>ППД5[[#This Row],[Фикс 06.03.24]]+ППД5[[#This Row],[Наценка Г2+500]]</f>
        <v>95207.332298124369</v>
      </c>
      <c r="BO276" s="93"/>
      <c r="BP276" s="93">
        <f>ППД5[[#This Row],[Фикс 13.03.25]]+ППД5[[#This Row],[Наценка 20.03.24
2К, 3К - 2%]]</f>
        <v>95207.332298124369</v>
      </c>
      <c r="BQ276" s="93"/>
      <c r="BR276" s="93">
        <f>ППД5[[#This Row],[Фикс 20.03.24]]+ППД5[[#This Row],[Наценка 08.04.24 
2К: В3 - 150
3К: Г7 +1000]]</f>
        <v>95207.332298124369</v>
      </c>
      <c r="BS276" s="93"/>
      <c r="BT276" s="93">
        <f>ППД5[[#This Row],[Фикс 08.04.24]]+ППД5[[#This Row],[Наценка 16.05.24 1%
А4,А6,Б3,Б6,Б7,В2,В3,В5,В6,Г1,Г3-Г5]]</f>
        <v>95207.332298124369</v>
      </c>
      <c r="BU276" s="93"/>
      <c r="BV276" s="93">
        <f>ППД5[[#This Row],[Фикс 16.05.24]]+ППД5[[#This Row],[Наценка 24.05.24
1% - Б4, Б5,Г2,Г6
2% - А1,А3,А5,Б2,Г7]]</f>
        <v>95207.332298124369</v>
      </c>
      <c r="BW276" s="93"/>
      <c r="BX276" s="93">
        <f>ППД5[[#This Row],[Наценка 06.06.24
0К: В2,Г3 +0,5%
1К: А7, Б5/4, Г6 +0,5%
3К: В6 +0,5%
1К: А3 +1%]]+ППД5[[#This Row],[Фикс 24.05.24]]</f>
        <v>95207.332298124369</v>
      </c>
      <c r="BY276" s="93"/>
      <c r="BZ276" s="93">
        <f>ППД5[[#This Row],[Фикс 06.06.24]]+ППД5[[#This Row],[13.06.2024
3К - 2%]]</f>
        <v>95207.332298124369</v>
      </c>
      <c r="CA276" s="93"/>
      <c r="CB276" s="93">
        <f>ППД5[[#This Row],[02.07.2024: Г3 А1 А3 Б5 Б7 Г2 Г6 Б3 Б4 В3 Г7 2,5% ост 0,5-1,5%]]+ППД5[[#This Row],[Фикс 13.06.24]]</f>
        <v>95207.332298124369</v>
      </c>
      <c r="CC276" s="93"/>
      <c r="CD276" s="93">
        <f>ППД5[[#This Row],[Фикс 02.07.24]]+ППД5[[#This Row],[04.09.2024 +500
0К - Б2; 1К - А3;
2К - А6, Б4, В3, Г5]]</f>
        <v>95207.332298124369</v>
      </c>
      <c r="CE276" s="93"/>
      <c r="CF276" s="93">
        <f>ППД5[[#This Row],[Наценка 16.09.2024
1К: А1,В7,Г6/7,Г8 - 2%
2К: А4,А5,А6,Б1,Б6,Б3/4,В3,В4,Г4,Г5 - 4%
3К: 4%]]+ППД5[[#This Row],[Фикс 04.09.24]]</f>
        <v>95207.332298124369</v>
      </c>
      <c r="CG276" s="93"/>
      <c r="CH276" s="93">
        <f>ППД5[[#This Row],[Фикс 16.09.2024]]+ППД5[[#This Row],[Наценка 01.11.24
СТ: 4%
1К: 34-40м 5%; 40м+ 8%; МГН 1%
2К: 55-70м 6%; 70-73м 7%; 73-76м 8% 
3К: 5%]]</f>
        <v>95207.332298124369</v>
      </c>
      <c r="CI276" s="93"/>
      <c r="CJ276" s="93">
        <f>ППД5[[#This Row],[Наценка 06.11 13%]]+ППД5[[#This Row],[Фикс 01.11.24]]</f>
        <v>95207.332298124369</v>
      </c>
      <c r="CK276" s="93"/>
      <c r="CL276" s="93">
        <f>ППД5[[#This Row],[Фикс 06.11.24]]+ППД5[[#This Row],[Наценка 18.12.24 распределение КВ]]</f>
        <v>95207.332298124369</v>
      </c>
      <c r="CM276" s="93"/>
      <c r="CN276" s="93">
        <f>ППД5[[#This Row],[Фикс 18.12.24]]+ППД5[[#This Row],[Наценка 10.02.25 +1%
1К: А3
2К: Б3, В3]]</f>
        <v>95207.332298124369</v>
      </c>
      <c r="CO276" s="93">
        <f>ROUND(ППД5[[#This Row],[Фикс 10.02.25]],2)</f>
        <v>95207.33</v>
      </c>
      <c r="CP27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5735300</v>
      </c>
      <c r="CQ276" s="93">
        <f>ROUNDUP(ППД5[[#This Row],[Стоимость до скидки]]+ППД5[[#This Row],[Сумма доплаты]],-2)</f>
        <v>5722000</v>
      </c>
      <c r="CR276" s="68"/>
      <c r="CS276" s="90">
        <v>0.03</v>
      </c>
      <c r="CT276" s="68">
        <f>ППД5[[#This Row],[Стоимость до скидки]]*ППД5[[#This Row],[Скидка %]]+ППД5[[#This Row],[Скидка фиксированная]]</f>
        <v>172059</v>
      </c>
      <c r="CU276" s="3">
        <f>ППД5[[#This Row],[Стоимость ОН без отделки со скидкой]]/ППД5[[#This Row],[Расчетная проектная площадь]]</f>
        <v>92351.278220451524</v>
      </c>
      <c r="CV276" s="3">
        <f>ROUND(ППД5[[#This Row],[Стоимость до скидки]]-ППД5[[#This Row],[Итоговая сумма скидки]],2)</f>
        <v>5563241</v>
      </c>
      <c r="CW27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76" s="197">
        <v>20000</v>
      </c>
      <c r="CY276" s="332">
        <f>ППД5[[#This Row],[Расхождение]]/ППД5[[#This Row],[Расчетная проектная площадь]]</f>
        <v>-2.3240371845949627E-3</v>
      </c>
      <c r="CZ27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-0.13000000000000078</v>
      </c>
      <c r="DA276" s="3">
        <f>ППД5[[#This Row],[Цена м2 без отделки со скидкой]]+ППД5[[#This Row],[Стоимость отделки]]</f>
        <v>112351.27822045152</v>
      </c>
      <c r="DB276" s="3">
        <f>ППД5[[#This Row],[Стоимость квартиры с отделкой]]-ППД5[[#This Row],[Стоимость ОН без отделки со скидкой]]</f>
        <v>1204800</v>
      </c>
      <c r="DC276" s="3">
        <f>ППД5[[#This Row],[Цена м2 с отделкой]]*ППД5[[#This Row],[Расчетная проектная площадь]]</f>
        <v>6768041</v>
      </c>
      <c r="DD276" s="3"/>
      <c r="DE276" s="111" t="s">
        <v>162</v>
      </c>
      <c r="DF276" s="199" t="s">
        <v>172</v>
      </c>
      <c r="DG276" s="245" t="s">
        <v>172</v>
      </c>
      <c r="DH276" s="100" t="b">
        <f>EXACT(ППД5[[#This Row],[Статусы CRM]],ППД5[[#This Row],[Статус]])</f>
        <v>1</v>
      </c>
      <c r="DI276" s="213" t="s">
        <v>448</v>
      </c>
      <c r="DJ276" s="204"/>
      <c r="DK276" s="111" t="s">
        <v>763</v>
      </c>
      <c r="DL276" s="216" t="s">
        <v>14</v>
      </c>
      <c r="DM276" s="201" t="b">
        <f>ППД5[[#This Row],[Отделка CRM]]=ППД5[[#This Row],[Отделка]]</f>
        <v>1</v>
      </c>
      <c r="DN276" s="203">
        <v>6768041</v>
      </c>
      <c r="DO27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76" s="207" t="b">
        <f>IF(AND(ППД5[[#This Row],[Статус]]="свободно",ППД5[[#This Row],[Итоговая сумма скидки]]&lt;&gt;0),FALSE,TRUE)</f>
        <v>1</v>
      </c>
      <c r="DQ276" s="240">
        <f>_xlfn.XLOOKUP(ППД5[[#This Row],[№]],Юрист[№ кв],Юрист[Дата подачи на регистрацию]," ",0,-1)</f>
        <v>45358</v>
      </c>
      <c r="DR276" s="115" t="str">
        <f>_xlfn.XLOOKUP(ППД5[[#This Row],[№]],Юрист[№ кв],Юрист[МОП],"",0,-1)</f>
        <v>Дик</v>
      </c>
      <c r="DS276" s="333" t="s">
        <v>2844</v>
      </c>
      <c r="DT276" s="333" t="s">
        <v>2845</v>
      </c>
      <c r="DU276" s="333">
        <v>58.7</v>
      </c>
      <c r="DV276" s="111"/>
    </row>
    <row r="277" spans="1:126" hidden="1" x14ac:dyDescent="0.25">
      <c r="A277" s="112">
        <v>275</v>
      </c>
      <c r="B277" s="111" t="s">
        <v>3</v>
      </c>
      <c r="C277" s="111">
        <v>8</v>
      </c>
      <c r="D277" s="111">
        <v>5</v>
      </c>
      <c r="E277" s="111">
        <v>1</v>
      </c>
      <c r="F277" s="105">
        <v>12.54</v>
      </c>
      <c r="G277" s="105"/>
      <c r="H277" s="105"/>
      <c r="I277" s="94">
        <f>SUM(ППД5[[#This Row],[Комната 1]:[Комната 3]])</f>
        <v>12.54</v>
      </c>
      <c r="J277" s="105">
        <v>12.74</v>
      </c>
      <c r="K277" s="105">
        <v>4.0199999999999996</v>
      </c>
      <c r="L277" s="105"/>
      <c r="M277" s="105"/>
      <c r="N277" s="105">
        <v>7.09</v>
      </c>
      <c r="O277" s="105">
        <v>2.84</v>
      </c>
      <c r="P277" s="105"/>
      <c r="Q277" s="105"/>
      <c r="R277" s="105">
        <f>SUM(ППД5[[#This Row],[Лоджия 1]:[Лоджия 3]])</f>
        <v>2.84</v>
      </c>
      <c r="S277" s="8">
        <f>ROUND(SUM(ППД5[[#This Row],[Площадь по проекту жилая]:[Лоджия 3]]),2)</f>
        <v>39.229999999999997</v>
      </c>
      <c r="T277" s="8">
        <f>ROUND(ППД5[[#This Row],[Площадь по проекту(общая)]]-ППД5[[#This Row],[Летние]],2)</f>
        <v>36.39</v>
      </c>
      <c r="U277" s="91">
        <f>ROUND(ППД5[[#This Row],[Площадь по проекту(общая)]]-(SUM(ППД5[[#This Row],[Лоджия 1]:[Лоджия 3]])/2),2)</f>
        <v>37.81</v>
      </c>
      <c r="V277" s="91">
        <f>IF(ППД5[[#This Row],[Статус]]="продажа",ППД5[[#This Row],[Расчетная проектная площадь]],ППД5[[#This Row],[Расчетная ТП площадь]])</f>
        <v>37.81</v>
      </c>
      <c r="W277" s="91">
        <v>12.5</v>
      </c>
      <c r="X277" s="91"/>
      <c r="Y277" s="91"/>
      <c r="Z277" s="91">
        <f>SUM(ППД5[[#This Row],[ТП Комната 1]:[ТП Комната 3]])</f>
        <v>12.5</v>
      </c>
      <c r="AA277" s="91">
        <v>12.7</v>
      </c>
      <c r="AB277" s="91">
        <v>4</v>
      </c>
      <c r="AC277" s="91"/>
      <c r="AD277" s="91"/>
      <c r="AE277" s="91">
        <v>6.9</v>
      </c>
      <c r="AF277" s="91">
        <v>1.4</v>
      </c>
      <c r="AG277" s="91"/>
      <c r="AH277" s="91"/>
      <c r="AI277" s="91">
        <f>SUM(ППД5[[#This Row],[ТП Лоджия 1]:[ТП Лоджия 3]])</f>
        <v>1.4</v>
      </c>
      <c r="AJ277" s="95">
        <v>2.8</v>
      </c>
      <c r="AK277" s="91">
        <f>SUM(ППД5[[#This Row],[Площадь по ТП жилая]:[ТП Лоджия 3]])-ППД5[[#This Row],[ТП Летние]]+ППД5[[#This Row],[кроме того прочая
(без коэффициента)]]</f>
        <v>38.9</v>
      </c>
      <c r="AL277" s="95">
        <f>ППД5[[#This Row],[ТП Площадь без летних]]+(ППД5[[#This Row],[ТП Летние]])</f>
        <v>37.5</v>
      </c>
      <c r="AM277" s="91">
        <f>ППД5[[#This Row],[ТП общая S]]-ППД5[[#This Row],[кроме того прочая
(без коэффициента)]]</f>
        <v>36.1</v>
      </c>
      <c r="AN277" s="95">
        <f>SUM(ППД5[[#This Row],[ТП Кухня]:[ТП Коридор]])</f>
        <v>23.6</v>
      </c>
      <c r="AO277" s="91">
        <f>ППД5[[#This Row],[Расчетная ТП площадь]]-ППД5[[#This Row],[Расчетная проектная площадь]]</f>
        <v>-0.31000000000000227</v>
      </c>
      <c r="AP277" s="335">
        <f>ППД5[[#This Row],[Расчетная ТП площадь]]/ППД5[[#This Row],[Расчетная проектная площадь]]-1</f>
        <v>-8.1988891827559085E-3</v>
      </c>
      <c r="AQ277" s="91">
        <f>ППД5[[#This Row],[% расхождения]]*ППД5[[#This Row],[Стоимость до скидки]]</f>
        <v>-27910.812777043193</v>
      </c>
      <c r="AR277" s="91">
        <f>VLOOKUP(ППД5[[#This Row],[№]],наценкад5[],COLUMN(наценкад5[[#This Row],[Цена м2 с учетом всех K]]),0)</f>
        <v>90034.875</v>
      </c>
      <c r="AS277" s="8"/>
      <c r="AT277" s="8">
        <f>ППД5[[#This Row],[м2 после К]]+ППД5[[#This Row],[Повышение 16.08.23 - 5%]]</f>
        <v>90034.875</v>
      </c>
      <c r="AU277" s="93"/>
      <c r="AV277" s="93">
        <f>ППД5[[#This Row],[Фикс 16.08.23]]+ППД5[[#This Row],[Повышение 29.08.23 - 3%]]</f>
        <v>90034.875</v>
      </c>
      <c r="AW277" s="93"/>
      <c r="AX277" s="93">
        <f>ППД5[[#This Row],[Фикс 29.08.23]]+ППД5[[#This Row],[Повышение 06.09.23 СТ и 1К]]</f>
        <v>90034.875</v>
      </c>
      <c r="AY277" s="93"/>
      <c r="AZ277" s="93">
        <f>ППД5[[#This Row],[Повышение 23.10.23  В4 ]]+ППД5[[#This Row],[Фикс 06.09.23]]</f>
        <v>90034.875</v>
      </c>
      <c r="BA277" s="93"/>
      <c r="BB277" s="93">
        <f>ППД5[[#This Row],[Повышение 8.11.23 1К 5%]]+ППД5[[#This Row],[Фикс 23.10.23]]</f>
        <v>90034.875</v>
      </c>
      <c r="BC277" s="93"/>
      <c r="BD277" s="93">
        <f>ППД5[[#This Row],[Корректировка 24.11.23 - 1К В5, 2К А2, №233]]+ППД5[[#This Row],[Фикс 8.11.23]]</f>
        <v>90034.875</v>
      </c>
      <c r="BE277" s="93"/>
      <c r="BF277" s="93">
        <f>ППД5[[#This Row],[Наценка за отделку 29.12.23 1%]]+ППД5[[#This Row],[Фикс 8.11.24]]</f>
        <v>90034.875</v>
      </c>
      <c r="BG277" s="93"/>
      <c r="BH277" s="93">
        <f>ППД5[[#This Row],[Фикс 29.12.23]]+ППД5[[#This Row],[Наценка 10.01.24 5%]]</f>
        <v>90034.875</v>
      </c>
      <c r="BI277" s="93"/>
      <c r="BJ277" s="93">
        <f>ППД5[[#This Row],[Наценка 26.02.24 1 Этаж]]+ППД5[[#This Row],[Фикс 10.01.24]]</f>
        <v>90034.875</v>
      </c>
      <c r="BK277" s="93"/>
      <c r="BL277" s="93">
        <f>ППД5[[#This Row],[Фикс 26.02.24]]+ППД5[[#This Row],[Наценка 06.03.24
СТ, 1К - 3%
2К, 3К - 2%]]</f>
        <v>90034.875</v>
      </c>
      <c r="BM277" s="93"/>
      <c r="BN277" s="93">
        <f>ППД5[[#This Row],[Фикс 06.03.24]]+ППД5[[#This Row],[Наценка Г2+500]]</f>
        <v>90034.875</v>
      </c>
      <c r="BO277" s="93"/>
      <c r="BP277" s="93">
        <f>ППД5[[#This Row],[Фикс 13.03.25]]+ППД5[[#This Row],[Наценка 20.03.24
2К, 3К - 2%]]</f>
        <v>90034.875</v>
      </c>
      <c r="BQ277" s="93"/>
      <c r="BR277" s="93">
        <f>ППД5[[#This Row],[Фикс 20.03.24]]+ППД5[[#This Row],[Наценка 08.04.24 
2К: В3 - 150
3К: Г7 +1000]]</f>
        <v>90034.875</v>
      </c>
      <c r="BS277" s="93"/>
      <c r="BT277" s="93">
        <f>ППД5[[#This Row],[Фикс 08.04.24]]+ППД5[[#This Row],[Наценка 16.05.24 1%
А4,А6,Б3,Б6,Б7,В2,В3,В5,В6,Г1,Г3-Г5]]</f>
        <v>90034.875</v>
      </c>
      <c r="BU277" s="93"/>
      <c r="BV277" s="93">
        <f>ППД5[[#This Row],[Фикс 16.05.24]]+ППД5[[#This Row],[Наценка 24.05.24
1% - Б4, Б5,Г2,Г6
2% - А1,А3,А5,Б2,Г7]]</f>
        <v>90034.875</v>
      </c>
      <c r="BW277" s="93"/>
      <c r="BX277" s="93">
        <f>ППД5[[#This Row],[Наценка 06.06.24
0К: В2,Г3 +0,5%
1К: А7, Б5/4, Г6 +0,5%
3К: В6 +0,5%
1К: А3 +1%]]+ППД5[[#This Row],[Фикс 24.05.24]]</f>
        <v>90034.875</v>
      </c>
      <c r="BY277" s="93"/>
      <c r="BZ277" s="93">
        <f>ППД5[[#This Row],[Фикс 06.06.24]]+ППД5[[#This Row],[13.06.2024
3К - 2%]]</f>
        <v>90034.875</v>
      </c>
      <c r="CA277" s="93"/>
      <c r="CB277" s="93">
        <f>ППД5[[#This Row],[02.07.2024: Г3 А1 А3 Б5 Б7 Г2 Г6 Б3 Б4 В3 Г7 2,5% ост 0,5-1,5%]]+ППД5[[#This Row],[Фикс 13.06.24]]</f>
        <v>90034.875</v>
      </c>
      <c r="CC277" s="93"/>
      <c r="CD277" s="93">
        <f>ППД5[[#This Row],[Фикс 02.07.24]]+ППД5[[#This Row],[04.09.2024 +500
0К - Б2; 1К - А3;
2К - А6, Б4, В3, Г5]]</f>
        <v>90034.875</v>
      </c>
      <c r="CE277" s="93"/>
      <c r="CF277" s="93">
        <f>ППД5[[#This Row],[Наценка 16.09.2024
1К: А1,В7,Г6/7,Г8 - 2%
2К: А4,А5,А6,Б1,Б6,Б3/4,В3,В4,Г4,Г5 - 4%
3К: 4%]]+ППД5[[#This Row],[Фикс 04.09.24]]</f>
        <v>90034.875</v>
      </c>
      <c r="CG277" s="93"/>
      <c r="CH277" s="93">
        <f>ППД5[[#This Row],[Фикс 16.09.2024]]+ППД5[[#This Row],[Наценка 01.11.24
СТ: 4%
1К: 34-40м 5%; 40м+ 8%; МГН 1%
2К: 55-70м 6%; 70-73м 7%; 73-76м 8% 
3К: 5%]]</f>
        <v>90034.875</v>
      </c>
      <c r="CI277" s="93"/>
      <c r="CJ277" s="93">
        <f>ППД5[[#This Row],[Наценка 06.11 13%]]+ППД5[[#This Row],[Фикс 01.11.24]]</f>
        <v>90034.875</v>
      </c>
      <c r="CK277" s="93"/>
      <c r="CL277" s="93">
        <f>ППД5[[#This Row],[Фикс 06.11.24]]+ППД5[[#This Row],[Наценка 18.12.24 распределение КВ]]</f>
        <v>90034.875</v>
      </c>
      <c r="CM277" s="93"/>
      <c r="CN277" s="93">
        <f>ППД5[[#This Row],[Фикс 18.12.24]]+ППД5[[#This Row],[Наценка 10.02.25 +1%
1К: А3
2К: Б3, В3]]</f>
        <v>90034.875</v>
      </c>
      <c r="CO277" s="93">
        <f>ROUND(ППД5[[#This Row],[Фикс 10.02.25]],2)</f>
        <v>90034.880000000005</v>
      </c>
      <c r="CP27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3404218.81</v>
      </c>
      <c r="CQ277" s="93">
        <f>ROUNDUP(ППД5[[#This Row],[Стоимость до скидки]]+ППД5[[#This Row],[Сумма доплаты]],-2)</f>
        <v>3376400</v>
      </c>
      <c r="CR277" s="68"/>
      <c r="CS277" s="90"/>
      <c r="CT277" s="68">
        <f>ППД5[[#This Row],[Стоимость до скидки]]*ППД5[[#This Row],[Скидка %]]+ППД5[[#This Row],[Скидка фиксированная]]</f>
        <v>0</v>
      </c>
      <c r="CU277" s="3">
        <f>ППД5[[#This Row],[Стоимость ОН без отделки со скидкой]]/ППД5[[#This Row],[Расчетная проектная площадь]]</f>
        <v>90034.879925945512</v>
      </c>
      <c r="CV277" s="3">
        <f>ROUND(ППД5[[#This Row],[Стоимость до скидки]]-ППД5[[#This Row],[Итоговая сумма скидки]],2)</f>
        <v>3404218.81</v>
      </c>
      <c r="CW27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77" s="197">
        <v>15500</v>
      </c>
      <c r="CY277" s="332">
        <f>ППД5[[#This Row],[Расхождение]]/ППД5[[#This Row],[Расчетная проектная площадь]]</f>
        <v>-8.1988891827559449E-3</v>
      </c>
      <c r="CZ27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-0.24999999999999822</v>
      </c>
      <c r="DA277" s="3">
        <f>ППД5[[#This Row],[Цена м2 без отделки со скидкой]]+ППД5[[#This Row],[Стоимость отделки]]</f>
        <v>105534.87992594551</v>
      </c>
      <c r="DB277" s="3">
        <f>ППД5[[#This Row],[Стоимость квартиры с отделкой]]-ППД5[[#This Row],[Стоимость ОН без отделки со скидкой]]</f>
        <v>586055</v>
      </c>
      <c r="DC277" s="3">
        <f>ППД5[[#This Row],[Цена м2 с отделкой]]*ППД5[[#This Row],[Расчетная проектная площадь]]</f>
        <v>3990273.81</v>
      </c>
      <c r="DD277" s="3"/>
      <c r="DF277" s="199" t="s">
        <v>172</v>
      </c>
      <c r="DG277" s="245" t="s">
        <v>172</v>
      </c>
      <c r="DH277" s="100" t="b">
        <f>EXACT(ППД5[[#This Row],[Статусы CRM]],ППД5[[#This Row],[Статус]])</f>
        <v>1</v>
      </c>
      <c r="DI277" s="213" t="s">
        <v>449</v>
      </c>
      <c r="DJ277" s="204"/>
      <c r="DK277" s="111" t="s">
        <v>76</v>
      </c>
      <c r="DL277" s="216" t="s">
        <v>14</v>
      </c>
      <c r="DM277" s="201" t="b">
        <f>ППД5[[#This Row],[Отделка CRM]]=ППД5[[#This Row],[Отделка]]</f>
        <v>1</v>
      </c>
      <c r="DN277" s="203">
        <v>3990273.81</v>
      </c>
      <c r="DO27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77" s="207" t="b">
        <f>IF(AND(ППД5[[#This Row],[Статус]]="свободно",ППД5[[#This Row],[Итоговая сумма скидки]]&lt;&gt;0),FALSE,TRUE)</f>
        <v>1</v>
      </c>
      <c r="DQ277" s="240">
        <f>_xlfn.XLOOKUP(ППД5[[#This Row],[№]],Юрист[№ кв],Юрист[Дата подачи на регистрацию]," ",0,-1)</f>
        <v>45188</v>
      </c>
      <c r="DR277" s="115" t="str">
        <f>_xlfn.XLOOKUP(ППД5[[#This Row],[№]],Юрист[№ кв],Юрист[МОП],"",0,-1)</f>
        <v>Дик</v>
      </c>
      <c r="DS277" s="333" t="s">
        <v>2846</v>
      </c>
      <c r="DT277" s="333" t="s">
        <v>2847</v>
      </c>
      <c r="DU277" s="333">
        <v>36.1</v>
      </c>
      <c r="DV277" s="111"/>
    </row>
    <row r="278" spans="1:126" hidden="1" x14ac:dyDescent="0.25">
      <c r="A278" s="112">
        <v>276</v>
      </c>
      <c r="B278" s="111" t="s">
        <v>3</v>
      </c>
      <c r="C278" s="111">
        <v>8</v>
      </c>
      <c r="D278" s="111">
        <v>6</v>
      </c>
      <c r="E278" s="111">
        <v>3</v>
      </c>
      <c r="F278" s="105">
        <v>17.2</v>
      </c>
      <c r="G278" s="105">
        <v>14.64</v>
      </c>
      <c r="H278" s="105">
        <v>14.34</v>
      </c>
      <c r="I278" s="94">
        <f>SUM(ППД5[[#This Row],[Комната 1]:[Комната 3]])</f>
        <v>46.18</v>
      </c>
      <c r="J278" s="105">
        <v>13.15</v>
      </c>
      <c r="K278" s="105">
        <v>4.03</v>
      </c>
      <c r="L278" s="105">
        <v>1.76</v>
      </c>
      <c r="M278" s="105"/>
      <c r="N278" s="105">
        <v>13.11</v>
      </c>
      <c r="O278" s="105">
        <v>2.79</v>
      </c>
      <c r="P278" s="105">
        <v>2.68</v>
      </c>
      <c r="Q278" s="105"/>
      <c r="R278" s="105">
        <f>SUM(ППД5[[#This Row],[Лоджия 1]:[Лоджия 3]])</f>
        <v>5.4700000000000006</v>
      </c>
      <c r="S278" s="8">
        <f>ROUND(SUM(ППД5[[#This Row],[Площадь по проекту жилая]:[Лоджия 3]]),2)</f>
        <v>83.7</v>
      </c>
      <c r="T278" s="8">
        <f>ROUND(ППД5[[#This Row],[Площадь по проекту(общая)]]-ППД5[[#This Row],[Летние]],2)</f>
        <v>78.23</v>
      </c>
      <c r="U278" s="91">
        <f>ROUND(ППД5[[#This Row],[Площадь по проекту(общая)]]-(SUM(ППД5[[#This Row],[Лоджия 1]:[Лоджия 3]])/2),2)</f>
        <v>80.97</v>
      </c>
      <c r="V278" s="91">
        <f>IF(ППД5[[#This Row],[Статус]]="продажа",ППД5[[#This Row],[Расчетная проектная площадь]],ППД5[[#This Row],[Расчетная ТП площадь]])</f>
        <v>80.97</v>
      </c>
      <c r="W278" s="91">
        <v>17.2</v>
      </c>
      <c r="X278" s="91">
        <v>14.7</v>
      </c>
      <c r="Y278" s="91">
        <v>14.3</v>
      </c>
      <c r="Z278" s="91">
        <f>SUM(ППД5[[#This Row],[ТП Комната 1]:[ТП Комната 3]])</f>
        <v>46.2</v>
      </c>
      <c r="AA278" s="91">
        <v>13</v>
      </c>
      <c r="AB278" s="91">
        <v>4</v>
      </c>
      <c r="AC278" s="91">
        <v>1.7</v>
      </c>
      <c r="AD278" s="91"/>
      <c r="AE278" s="91">
        <v>13</v>
      </c>
      <c r="AF278" s="336">
        <v>1.4</v>
      </c>
      <c r="AG278" s="336">
        <v>1.25</v>
      </c>
      <c r="AH278" s="91"/>
      <c r="AI278" s="91">
        <f>SUM(ППД5[[#This Row],[ТП Лоджия 1]:[ТП Лоджия 3]])</f>
        <v>2.65</v>
      </c>
      <c r="AJ278" s="95">
        <v>5.3</v>
      </c>
      <c r="AK278" s="91">
        <f>SUM(ППД5[[#This Row],[Площадь по ТП жилая]:[ТП Лоджия 3]])-ППД5[[#This Row],[ТП Летние]]+ППД5[[#This Row],[кроме того прочая
(без коэффициента)]]</f>
        <v>83.2</v>
      </c>
      <c r="AL278" s="95">
        <f>ППД5[[#This Row],[ТП Площадь без летних]]+(ППД5[[#This Row],[ТП Летние]])</f>
        <v>80.550000000000011</v>
      </c>
      <c r="AM278" s="91">
        <f>ППД5[[#This Row],[ТП общая S]]-ППД5[[#This Row],[кроме того прочая
(без коэффициента)]]</f>
        <v>77.900000000000006</v>
      </c>
      <c r="AN278" s="95">
        <f>SUM(ППД5[[#This Row],[ТП Кухня]:[ТП Коридор]])</f>
        <v>31.7</v>
      </c>
      <c r="AO278" s="91">
        <f>ППД5[[#This Row],[Расчетная ТП площадь]]-ППД5[[#This Row],[Расчетная проектная площадь]]</f>
        <v>-0.41999999999998749</v>
      </c>
      <c r="AP278" s="335">
        <f>ППД5[[#This Row],[Расчетная ТП площадь]]/ППД5[[#This Row],[Расчетная проектная площадь]]-1</f>
        <v>-5.1871063356797587E-3</v>
      </c>
      <c r="AQ278" s="91">
        <f>ППД5[[#This Row],[% расхождения]]*ППД5[[#This Row],[Стоимость до скидки]]</f>
        <v>-40661.207854760061</v>
      </c>
      <c r="AR278" s="91">
        <f>VLOOKUP(ППД5[[#This Row],[№]],наценкад5[],COLUMN(наценкад5[[#This Row],[Цена м2 с учетом всех K]]),0)</f>
        <v>74234.160000000018</v>
      </c>
      <c r="AS278" s="8">
        <f>ППД5[[#This Row],[м2 после К]]*5%</f>
        <v>3711.708000000001</v>
      </c>
      <c r="AT278" s="8">
        <f>ППД5[[#This Row],[м2 после К]]+ППД5[[#This Row],[Повышение 16.08.23 - 5%]]</f>
        <v>77945.868000000017</v>
      </c>
      <c r="AU278" s="93">
        <f>ППД5[[#This Row],[Фикс 16.08.23]]*3%</f>
        <v>2338.3760400000006</v>
      </c>
      <c r="AV278" s="93">
        <f>ППД5[[#This Row],[Фикс 16.08.23]]+ППД5[[#This Row],[Повышение 29.08.23 - 3%]]</f>
        <v>80284.24404000002</v>
      </c>
      <c r="AW278" s="93"/>
      <c r="AX278" s="93">
        <f>ППД5[[#This Row],[Фикс 29.08.23]]+ППД5[[#This Row],[Повышение 06.09.23 СТ и 1К]]</f>
        <v>80284.24404000002</v>
      </c>
      <c r="AY278" s="93"/>
      <c r="AZ278" s="93">
        <f>ППД5[[#This Row],[Повышение 23.10.23  В4 ]]+ППД5[[#This Row],[Фикс 06.09.23]]</f>
        <v>80284.24404000002</v>
      </c>
      <c r="BA278" s="93"/>
      <c r="BB278" s="93">
        <f>ППД5[[#This Row],[Повышение 8.11.23 1К 5%]]+ППД5[[#This Row],[Фикс 23.10.23]]</f>
        <v>80284.24404000002</v>
      </c>
      <c r="BC278" s="93"/>
      <c r="BD278" s="93">
        <f>ППД5[[#This Row],[Корректировка 24.11.23 - 1К В5, 2К А2, №233]]+ППД5[[#This Row],[Фикс 8.11.23]]</f>
        <v>80284.24404000002</v>
      </c>
      <c r="BE278" s="93">
        <f>ППД5[[#This Row],[Фикс 8.11.24]]*1%</f>
        <v>802.84244040000021</v>
      </c>
      <c r="BF278" s="93">
        <f>ППД5[[#This Row],[Наценка за отделку 29.12.23 1%]]+ППД5[[#This Row],[Фикс 8.11.24]]</f>
        <v>81087.086480400016</v>
      </c>
      <c r="BG278" s="93">
        <f>ППД5[[#This Row],[Фикс 29.12.23]]*5%</f>
        <v>4054.3543240200011</v>
      </c>
      <c r="BH278" s="93">
        <f>ППД5[[#This Row],[Фикс 29.12.23]]+ППД5[[#This Row],[Наценка 10.01.24 5%]]</f>
        <v>85141.44080442001</v>
      </c>
      <c r="BI278" s="93"/>
      <c r="BJ278" s="93">
        <f>ППД5[[#This Row],[Наценка 26.02.24 1 Этаж]]+ППД5[[#This Row],[Фикс 10.01.24]]</f>
        <v>85141.44080442001</v>
      </c>
      <c r="BK278" s="93">
        <f>ППД5[[#This Row],[Фикс 26.02.24]]*2%</f>
        <v>1702.8288160884003</v>
      </c>
      <c r="BL278" s="93">
        <f>ППД5[[#This Row],[Фикс 26.02.24]]+ППД5[[#This Row],[Наценка 06.03.24
СТ, 1К - 3%
2К, 3К - 2%]]</f>
        <v>86844.269620508407</v>
      </c>
      <c r="BM278" s="93"/>
      <c r="BN278" s="93">
        <f>ППД5[[#This Row],[Фикс 06.03.24]]+ППД5[[#This Row],[Наценка Г2+500]]</f>
        <v>86844.269620508407</v>
      </c>
      <c r="BO278" s="93">
        <f>ППД5[[#This Row],[Фикс 13.03.25]]*2%</f>
        <v>1736.8853924101682</v>
      </c>
      <c r="BP278" s="93">
        <f>ППД5[[#This Row],[Фикс 13.03.25]]+ППД5[[#This Row],[Наценка 20.03.24
2К, 3К - 2%]]</f>
        <v>88581.155012918578</v>
      </c>
      <c r="BQ278" s="93"/>
      <c r="BR278" s="93">
        <f>ППД5[[#This Row],[Фикс 20.03.24]]+ППД5[[#This Row],[Наценка 08.04.24 
2К: В3 - 150
3К: Г7 +1000]]</f>
        <v>88581.155012918578</v>
      </c>
      <c r="BS278" s="93">
        <f>ППД5[[#This Row],[Фикс 08.04.24]]*1%</f>
        <v>885.81155012918578</v>
      </c>
      <c r="BT278" s="93">
        <f>ППД5[[#This Row],[Фикс 08.04.24]]+ППД5[[#This Row],[Наценка 16.05.24 1%
А4,А6,Б3,Б6,Б7,В2,В3,В5,В6,Г1,Г3-Г5]]</f>
        <v>89466.966563047768</v>
      </c>
      <c r="BU278" s="93"/>
      <c r="BV278" s="93">
        <f>ППД5[[#This Row],[Фикс 16.05.24]]+ППД5[[#This Row],[Наценка 24.05.24
1% - Б4, Б5,Г2,Г6
2% - А1,А3,А5,Б2,Г7]]</f>
        <v>89466.966563047768</v>
      </c>
      <c r="BW278" s="93">
        <f>ППД5[[#This Row],[Фикс 24.05.24]]*0.5%</f>
        <v>447.33483281523883</v>
      </c>
      <c r="BX278" s="93">
        <f>ППД5[[#This Row],[Наценка 06.06.24
0К: В2,Г3 +0,5%
1К: А7, Б5/4, Г6 +0,5%
3К: В6 +0,5%
1К: А3 +1%]]+ППД5[[#This Row],[Фикс 24.05.24]]</f>
        <v>89914.301395863004</v>
      </c>
      <c r="BY278" s="93">
        <f>ППД5[[#This Row],[Фикс 06.06.24]]*2%</f>
        <v>1798.2860279172601</v>
      </c>
      <c r="BZ278" s="93">
        <f>ППД5[[#This Row],[Фикс 06.06.24]]+ППД5[[#This Row],[13.06.2024
3К - 2%]]</f>
        <v>91712.587423780264</v>
      </c>
      <c r="CA278" s="93">
        <f>1.5%*ППД5[[#This Row],[Фикс 13.06.24]]</f>
        <v>1375.6888113567038</v>
      </c>
      <c r="CB278" s="93">
        <f>ППД5[[#This Row],[02.07.2024: Г3 А1 А3 Б5 Б7 Г2 Г6 Б3 Б4 В3 Г7 2,5% ост 0,5-1,5%]]+ППД5[[#This Row],[Фикс 13.06.24]]</f>
        <v>93088.27623513696</v>
      </c>
      <c r="CC278" s="93"/>
      <c r="CD278" s="93">
        <f>ППД5[[#This Row],[Фикс 02.07.24]]+ППД5[[#This Row],[04.09.2024 +500
0К - Б2; 1К - А3;
2К - А6, Б4, В3, Г5]]</f>
        <v>93088.27623513696</v>
      </c>
      <c r="CE278" s="93">
        <f>ППД5[[#This Row],[Фикс 04.09.24]]*4%</f>
        <v>3723.5310494054784</v>
      </c>
      <c r="CF278" s="93">
        <f>ППД5[[#This Row],[Наценка 16.09.2024
1К: А1,В7,Г6/7,Г8 - 2%
2К: А4,А5,А6,Б1,Б6,Б3/4,В3,В4,Г4,Г5 - 4%
3К: 4%]]+ППД5[[#This Row],[Фикс 04.09.24]]</f>
        <v>96811.807284542432</v>
      </c>
      <c r="CG278" s="93"/>
      <c r="CH278" s="93">
        <f>ППД5[[#This Row],[Фикс 16.09.2024]]+ППД5[[#This Row],[Наценка 01.11.24
СТ: 4%
1К: 34-40м 5%; 40м+ 8%; МГН 1%
2К: 55-70м 6%; 70-73м 7%; 73-76м 8% 
3К: 5%]]</f>
        <v>96811.807284542432</v>
      </c>
      <c r="CI278" s="93"/>
      <c r="CJ278" s="93">
        <f>ППД5[[#This Row],[Наценка 06.11 13%]]+ППД5[[#This Row],[Фикс 01.11.24]]</f>
        <v>96811.807284542432</v>
      </c>
      <c r="CK278" s="93"/>
      <c r="CL278" s="93">
        <f>ППД5[[#This Row],[Фикс 06.11.24]]+ППД5[[#This Row],[Наценка 18.12.24 распределение КВ]]</f>
        <v>96811.807284542432</v>
      </c>
      <c r="CM278" s="93"/>
      <c r="CN278" s="93">
        <f>ППД5[[#This Row],[Фикс 18.12.24]]+ППД5[[#This Row],[Наценка 10.02.25 +1%
1К: А3
2К: Б3, В3]]</f>
        <v>96811.807284542432</v>
      </c>
      <c r="CO278" s="93">
        <f>ROUND(ППД5[[#This Row],[Фикс 10.02.25]],2)</f>
        <v>96811.81</v>
      </c>
      <c r="CP27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7838900</v>
      </c>
      <c r="CQ278" s="93">
        <f>ROUNDUP(ППД5[[#This Row],[Стоимость до скидки]]+ППД5[[#This Row],[Сумма доплаты]],-2)</f>
        <v>7798300</v>
      </c>
      <c r="CR278" s="68"/>
      <c r="CS278" s="90">
        <v>0.03</v>
      </c>
      <c r="CT278" s="68">
        <f>ППД5[[#This Row],[Стоимость до скидки]]*ППД5[[#This Row],[Скидка %]]+ППД5[[#This Row],[Скидка фиксированная]]</f>
        <v>235167</v>
      </c>
      <c r="CU278" s="3">
        <f>ППД5[[#This Row],[Стоимость ОН без отделки со скидкой]]/ППД5[[#This Row],[Расчетная проектная площадь]]</f>
        <v>93908.027664567126</v>
      </c>
      <c r="CV278" s="3">
        <f>ROUND(ППД5[[#This Row],[Стоимость до скидки]]-ППД5[[#This Row],[Итоговая сумма скидки]],2)</f>
        <v>7603733</v>
      </c>
      <c r="CW27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78" s="197"/>
      <c r="CY278" s="332">
        <f>ППД5[[#This Row],[Расхождение]]/ППД5[[#This Row],[Расчетная проектная площадь]]</f>
        <v>-5.1871063356797274E-3</v>
      </c>
      <c r="CZ27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-0.3500000000000032</v>
      </c>
      <c r="DA278" s="3">
        <f>ППД5[[#This Row],[Цена м2 без отделки со скидкой]]+ППД5[[#This Row],[Стоимость отделки]]</f>
        <v>93908.027664567126</v>
      </c>
      <c r="DB278" s="3">
        <f>ППД5[[#This Row],[Стоимость квартиры с отделкой]]-ППД5[[#This Row],[Стоимость ОН без отделки со скидкой]]</f>
        <v>0</v>
      </c>
      <c r="DC278" s="3">
        <f>ППД5[[#This Row],[Цена м2 с отделкой]]*ППД5[[#This Row],[Расчетная проектная площадь]]</f>
        <v>7603733</v>
      </c>
      <c r="DD278" s="3"/>
      <c r="DE278" s="111" t="s">
        <v>167</v>
      </c>
      <c r="DF278" s="199" t="s">
        <v>172</v>
      </c>
      <c r="DG278" s="245" t="s">
        <v>172</v>
      </c>
      <c r="DH278" s="100" t="b">
        <f>EXACT(ППД5[[#This Row],[Статусы CRM]],ППД5[[#This Row],[Статус]])</f>
        <v>1</v>
      </c>
      <c r="DI278" s="213" t="s">
        <v>450</v>
      </c>
      <c r="DJ278" s="204"/>
      <c r="DK278" s="111" t="s">
        <v>763</v>
      </c>
      <c r="DL278" s="216" t="s">
        <v>12</v>
      </c>
      <c r="DM278" s="201" t="b">
        <f>ППД5[[#This Row],[Отделка CRM]]=ППД5[[#This Row],[Отделка]]</f>
        <v>1</v>
      </c>
      <c r="DN278" s="203">
        <v>7603733</v>
      </c>
      <c r="DO27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78" s="207" t="b">
        <f>IF(AND(ППД5[[#This Row],[Статус]]="свободно",ППД5[[#This Row],[Итоговая сумма скидки]]&lt;&gt;0),FALSE,TRUE)</f>
        <v>1</v>
      </c>
      <c r="DQ278" s="240">
        <f>_xlfn.XLOOKUP(ППД5[[#This Row],[№]],Юрист[№ кв],Юрист[Дата подачи на регистрацию]," ",0,-1)</f>
        <v>45589</v>
      </c>
      <c r="DR278" s="115" t="str">
        <f>_xlfn.XLOOKUP(ППД5[[#This Row],[№]],Юрист[№ кв],Юрист[МОП],"",0,-1)</f>
        <v>Дик</v>
      </c>
      <c r="DS278" s="333" t="s">
        <v>2848</v>
      </c>
      <c r="DT278" s="333" t="s">
        <v>2849</v>
      </c>
      <c r="DU278" s="333">
        <v>77.900000000000006</v>
      </c>
      <c r="DV278" s="111"/>
    </row>
    <row r="279" spans="1:126" hidden="1" x14ac:dyDescent="0.25">
      <c r="A279" s="112">
        <v>277</v>
      </c>
      <c r="B279" s="111" t="s">
        <v>3</v>
      </c>
      <c r="C279" s="111">
        <v>8</v>
      </c>
      <c r="D279" s="111">
        <v>7</v>
      </c>
      <c r="E279" s="111">
        <v>1</v>
      </c>
      <c r="F279" s="105">
        <v>14.3</v>
      </c>
      <c r="G279" s="105"/>
      <c r="H279" s="105"/>
      <c r="I279" s="94">
        <f>SUM(ППД5[[#This Row],[Комната 1]:[Комната 3]])</f>
        <v>14.3</v>
      </c>
      <c r="J279" s="105">
        <v>9.2799999999999994</v>
      </c>
      <c r="K279" s="105">
        <v>3.79</v>
      </c>
      <c r="L279" s="105"/>
      <c r="M279" s="105"/>
      <c r="N279" s="105">
        <v>6.08</v>
      </c>
      <c r="O279" s="105">
        <v>2.71</v>
      </c>
      <c r="P279" s="105"/>
      <c r="Q279" s="105"/>
      <c r="R279" s="105">
        <f>SUM(ППД5[[#This Row],[Лоджия 1]:[Лоджия 3]])</f>
        <v>2.71</v>
      </c>
      <c r="S279" s="8">
        <f>ROUND(SUM(ППД5[[#This Row],[Площадь по проекту жилая]:[Лоджия 3]]),2)</f>
        <v>36.159999999999997</v>
      </c>
      <c r="T279" s="8">
        <f>ROUND(ППД5[[#This Row],[Площадь по проекту(общая)]]-ППД5[[#This Row],[Летние]],2)</f>
        <v>33.450000000000003</v>
      </c>
      <c r="U279" s="91">
        <f>ROUND(ППД5[[#This Row],[Площадь по проекту(общая)]]-(SUM(ППД5[[#This Row],[Лоджия 1]:[Лоджия 3]])/2),2)</f>
        <v>34.81</v>
      </c>
      <c r="V279" s="91">
        <f>IF(ППД5[[#This Row],[Статус]]="продажа",ППД5[[#This Row],[Расчетная проектная площадь]],ППД5[[#This Row],[Расчетная ТП площадь]])</f>
        <v>34.81</v>
      </c>
      <c r="W279" s="91">
        <v>14.3</v>
      </c>
      <c r="X279" s="91"/>
      <c r="Y279" s="91"/>
      <c r="Z279" s="91">
        <f>SUM(ППД5[[#This Row],[ТП Комната 1]:[ТП Комната 3]])</f>
        <v>14.3</v>
      </c>
      <c r="AA279" s="91">
        <v>8.9</v>
      </c>
      <c r="AB279" s="91">
        <v>3.7</v>
      </c>
      <c r="AC279" s="91"/>
      <c r="AD279" s="91"/>
      <c r="AE279" s="91">
        <v>6.3</v>
      </c>
      <c r="AF279" s="91">
        <v>1.3</v>
      </c>
      <c r="AG279" s="91"/>
      <c r="AH279" s="91"/>
      <c r="AI279" s="91">
        <f>SUM(ППД5[[#This Row],[ТП Лоджия 1]:[ТП Лоджия 3]])</f>
        <v>1.3</v>
      </c>
      <c r="AJ279" s="95">
        <v>2.6</v>
      </c>
      <c r="AK279" s="91">
        <f>SUM(ППД5[[#This Row],[Площадь по ТП жилая]:[ТП Лоджия 3]])-ППД5[[#This Row],[ТП Летние]]+ППД5[[#This Row],[кроме того прочая
(без коэффициента)]]</f>
        <v>35.800000000000004</v>
      </c>
      <c r="AL279" s="95">
        <f>ППД5[[#This Row],[ТП Площадь без летних]]+(ППД5[[#This Row],[ТП Летние]])</f>
        <v>34.5</v>
      </c>
      <c r="AM279" s="91">
        <f>ППД5[[#This Row],[ТП общая S]]-ППД5[[#This Row],[кроме того прочая
(без коэффициента)]]</f>
        <v>33.200000000000003</v>
      </c>
      <c r="AN279" s="95">
        <f>SUM(ППД5[[#This Row],[ТП Кухня]:[ТП Коридор]])</f>
        <v>18.900000000000002</v>
      </c>
      <c r="AO279" s="91">
        <f>ППД5[[#This Row],[Расчетная ТП площадь]]-ППД5[[#This Row],[Расчетная проектная площадь]]</f>
        <v>-0.31000000000000227</v>
      </c>
      <c r="AP279" s="335">
        <f>ППД5[[#This Row],[Расчетная ТП площадь]]/ППД5[[#This Row],[Расчетная проектная площадь]]-1</f>
        <v>-8.9054869290434713E-3</v>
      </c>
      <c r="AQ279" s="91">
        <f>ППД5[[#This Row],[% расхождения]]*ППД5[[#This Row],[Стоимость до скидки]]</f>
        <v>-37512.582591209815</v>
      </c>
      <c r="AR279" s="91">
        <f>VLOOKUP(ППД5[[#This Row],[№]],наценкад5[],COLUMN(наценкад5[[#This Row],[Цена м2 с учетом всех K]]),0)</f>
        <v>85573.6875</v>
      </c>
      <c r="AS279" s="8">
        <f>ППД5[[#This Row],[м2 после К]]*5%</f>
        <v>4278.6843749999998</v>
      </c>
      <c r="AT279" s="8">
        <f>ППД5[[#This Row],[м2 после К]]+ППД5[[#This Row],[Повышение 16.08.23 - 5%]]</f>
        <v>89852.371874999997</v>
      </c>
      <c r="AU279" s="93">
        <f>ППД5[[#This Row],[Фикс 16.08.23]]*3%</f>
        <v>2695.5711562499996</v>
      </c>
      <c r="AV279" s="93">
        <f>ППД5[[#This Row],[Фикс 16.08.23]]+ППД5[[#This Row],[Повышение 29.08.23 - 3%]]</f>
        <v>92547.94303124999</v>
      </c>
      <c r="AW279" s="93">
        <f>ППД5[[#This Row],[Фикс 29.08.23]]*14%</f>
        <v>12956.712024375</v>
      </c>
      <c r="AX279" s="93">
        <f>ППД5[[#This Row],[Фикс 29.08.23]]+ППД5[[#This Row],[Повышение 06.09.23 СТ и 1К]]</f>
        <v>105504.65505562499</v>
      </c>
      <c r="AY279" s="93"/>
      <c r="AZ279" s="93">
        <f>ППД5[[#This Row],[Повышение 23.10.23  В4 ]]+ППД5[[#This Row],[Фикс 06.09.23]]</f>
        <v>105504.65505562499</v>
      </c>
      <c r="BA279" s="93">
        <f>ППД5[[#This Row],[Фикс 23.10.23]]*5%</f>
        <v>5275.2327527812495</v>
      </c>
      <c r="BB279" s="93">
        <f>ППД5[[#This Row],[Повышение 8.11.23 1К 5%]]+ППД5[[#This Row],[Фикс 23.10.23]]</f>
        <v>110779.88780840623</v>
      </c>
      <c r="BC279" s="93"/>
      <c r="BD279" s="93">
        <f>ППД5[[#This Row],[Корректировка 24.11.23 - 1К В5, 2К А2, №233]]+ППД5[[#This Row],[Фикс 8.11.23]]</f>
        <v>110779.88780840623</v>
      </c>
      <c r="BE279" s="93">
        <f>ППД5[[#This Row],[Фикс 8.11.24]]*1%</f>
        <v>1107.7988780840624</v>
      </c>
      <c r="BF279" s="93">
        <f>ППД5[[#This Row],[Наценка за отделку 29.12.23 1%]]+ППД5[[#This Row],[Фикс 8.11.24]]</f>
        <v>111887.6866864903</v>
      </c>
      <c r="BG279" s="93">
        <f>ППД5[[#This Row],[Фикс 29.12.23]]*5%</f>
        <v>5594.3843343245153</v>
      </c>
      <c r="BH279" s="93">
        <f>ППД5[[#This Row],[Фикс 29.12.23]]+ППД5[[#This Row],[Наценка 10.01.24 5%]]</f>
        <v>117482.07102081481</v>
      </c>
      <c r="BI279" s="93"/>
      <c r="BJ279" s="93">
        <f>ППД5[[#This Row],[Наценка 26.02.24 1 Этаж]]+ППД5[[#This Row],[Фикс 10.01.24]]</f>
        <v>117482.07102081481</v>
      </c>
      <c r="BK279" s="93">
        <f>ППД5[[#This Row],[Фикс 26.02.24]]*3%</f>
        <v>3524.4621306244439</v>
      </c>
      <c r="BL279" s="93">
        <f>ППД5[[#This Row],[Фикс 26.02.24]]+ППД5[[#This Row],[Наценка 06.03.24
СТ, 1К - 3%
2К, 3К - 2%]]</f>
        <v>121006.53315143925</v>
      </c>
      <c r="BM279" s="93"/>
      <c r="BN279" s="93">
        <f>ППД5[[#This Row],[Фикс 06.03.24]]+ППД5[[#This Row],[Наценка Г2+500]]</f>
        <v>121006.53315143925</v>
      </c>
      <c r="BO279" s="93"/>
      <c r="BP279" s="93">
        <f>ППД5[[#This Row],[Фикс 13.03.25]]+ППД5[[#This Row],[Наценка 20.03.24
2К, 3К - 2%]]</f>
        <v>121006.53315143925</v>
      </c>
      <c r="BQ279" s="93"/>
      <c r="BR279" s="93">
        <f>ППД5[[#This Row],[Фикс 20.03.24]]+ППД5[[#This Row],[Наценка 08.04.24 
2К: В3 - 150
3К: Г7 +1000]]</f>
        <v>121006.53315143925</v>
      </c>
      <c r="BS279" s="93"/>
      <c r="BT279" s="93">
        <f>ППД5[[#This Row],[Фикс 08.04.24]]+ППД5[[#This Row],[Наценка 16.05.24 1%
А4,А6,Б3,Б6,Б7,В2,В3,В5,В6,Г1,Г3-Г5]]</f>
        <v>121006.53315143925</v>
      </c>
      <c r="BU279" s="93"/>
      <c r="BV279" s="93">
        <f>ППД5[[#This Row],[Фикс 16.05.24]]+ППД5[[#This Row],[Наценка 24.05.24
1% - Б4, Б5,Г2,Г6
2% - А1,А3,А5,Б2,Г7]]</f>
        <v>121006.53315143925</v>
      </c>
      <c r="BW279" s="93"/>
      <c r="BX279" s="93">
        <f>ППД5[[#This Row],[Наценка 06.06.24
0К: В2,Г3 +0,5%
1К: А7, Б5/4, Г6 +0,5%
3К: В6 +0,5%
1К: А3 +1%]]+ППД5[[#This Row],[Фикс 24.05.24]]</f>
        <v>121006.53315143925</v>
      </c>
      <c r="BY279" s="93"/>
      <c r="BZ279" s="93">
        <f>ППД5[[#This Row],[Фикс 06.06.24]]+ППД5[[#This Row],[13.06.2024
3К - 2%]]</f>
        <v>121006.53315143925</v>
      </c>
      <c r="CA279" s="93"/>
      <c r="CB279" s="93">
        <f>ППД5[[#This Row],[02.07.2024: Г3 А1 А3 Б5 Б7 Г2 Г6 Б3 Б4 В3 Г7 2,5% ост 0,5-1,5%]]+ППД5[[#This Row],[Фикс 13.06.24]]</f>
        <v>121006.53315143925</v>
      </c>
      <c r="CC279" s="93"/>
      <c r="CD279" s="93">
        <f>ППД5[[#This Row],[Фикс 02.07.24]]+ППД5[[#This Row],[04.09.2024 +500
0К - Б2; 1К - А3;
2К - А6, Б4, В3, Г5]]</f>
        <v>121006.53315143925</v>
      </c>
      <c r="CE279" s="93"/>
      <c r="CF279" s="93">
        <f>ППД5[[#This Row],[Наценка 16.09.2024
1К: А1,В7,Г6/7,Г8 - 2%
2К: А4,А5,А6,Б1,Б6,Б3/4,В3,В4,Г4,Г5 - 4%
3К: 4%]]+ППД5[[#This Row],[Фикс 04.09.24]]</f>
        <v>121006.53315143925</v>
      </c>
      <c r="CG279" s="93"/>
      <c r="CH279" s="93">
        <f>ППД5[[#This Row],[Фикс 16.09.2024]]+ППД5[[#This Row],[Наценка 01.11.24
СТ: 4%
1К: 34-40м 5%; 40м+ 8%; МГН 1%
2К: 55-70м 6%; 70-73м 7%; 73-76м 8% 
3К: 5%]]</f>
        <v>121006.53315143925</v>
      </c>
      <c r="CI279" s="93"/>
      <c r="CJ279" s="93">
        <f>ППД5[[#This Row],[Наценка 06.11 13%]]+ППД5[[#This Row],[Фикс 01.11.24]]</f>
        <v>121006.53315143925</v>
      </c>
      <c r="CK279" s="93"/>
      <c r="CL279" s="93">
        <f>ППД5[[#This Row],[Фикс 06.11.24]]+ППД5[[#This Row],[Наценка 18.12.24 распределение КВ]]</f>
        <v>121006.53315143925</v>
      </c>
      <c r="CM279" s="93"/>
      <c r="CN279" s="93">
        <f>ППД5[[#This Row],[Фикс 18.12.24]]+ППД5[[#This Row],[Наценка 10.02.25 +1%
1К: А3
2К: Б3, В3]]</f>
        <v>121006.53315143925</v>
      </c>
      <c r="CO279" s="93">
        <f>ROUND(ППД5[[#This Row],[Фикс 10.02.25]],2)</f>
        <v>121006.53</v>
      </c>
      <c r="CP27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4212300</v>
      </c>
      <c r="CQ279" s="93">
        <f>ROUNDUP(ППД5[[#This Row],[Стоимость до скидки]]+ППД5[[#This Row],[Сумма доплаты]],-2)</f>
        <v>4174800</v>
      </c>
      <c r="CR279" s="68"/>
      <c r="CS279" s="90"/>
      <c r="CT279" s="68">
        <f>ППД5[[#This Row],[Стоимость до скидки]]*ППД5[[#This Row],[Скидка %]]+ППД5[[#This Row],[Скидка фиксированная]]</f>
        <v>0</v>
      </c>
      <c r="CU279" s="3">
        <f>ППД5[[#This Row],[Стоимость ОН без отделки со скидкой]]/ППД5[[#This Row],[Расчетная проектная площадь]]</f>
        <v>121008.33093938523</v>
      </c>
      <c r="CV279" s="3">
        <f>ROUND(ППД5[[#This Row],[Стоимость до скидки]]-ППД5[[#This Row],[Итоговая сумма скидки]],2)</f>
        <v>4212300</v>
      </c>
      <c r="CW27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79" s="197"/>
      <c r="CY279" s="332">
        <f>ППД5[[#This Row],[Расхождение]]/ППД5[[#This Row],[Расчетная проектная площадь]]</f>
        <v>-8.9054869290434435E-3</v>
      </c>
      <c r="CZ27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-0.24999999999999822</v>
      </c>
      <c r="DA279" s="3">
        <f>ППД5[[#This Row],[Цена м2 без отделки со скидкой]]+ППД5[[#This Row],[Стоимость отделки]]</f>
        <v>121008.33093938523</v>
      </c>
      <c r="DB279" s="3">
        <f>ППД5[[#This Row],[Стоимость квартиры с отделкой]]-ППД5[[#This Row],[Стоимость ОН без отделки со скидкой]]</f>
        <v>0</v>
      </c>
      <c r="DC279" s="3">
        <f>ППД5[[#This Row],[Цена м2 с отделкой]]*ППД5[[#This Row],[Расчетная проектная площадь]]</f>
        <v>4212300</v>
      </c>
      <c r="DD279" s="3" t="s">
        <v>154</v>
      </c>
      <c r="DF279" s="199" t="s">
        <v>172</v>
      </c>
      <c r="DG279" s="245" t="s">
        <v>172</v>
      </c>
      <c r="DH279" s="100" t="b">
        <f>EXACT(ППД5[[#This Row],[Статусы CRM]],ППД5[[#This Row],[Статус]])</f>
        <v>1</v>
      </c>
      <c r="DI279" s="213" t="s">
        <v>451</v>
      </c>
      <c r="DJ279" s="204"/>
      <c r="DK279" s="111" t="s">
        <v>763</v>
      </c>
      <c r="DL279" s="216" t="s">
        <v>12</v>
      </c>
      <c r="DM279" s="201" t="b">
        <f>ППД5[[#This Row],[Отделка CRM]]=ППД5[[#This Row],[Отделка]]</f>
        <v>1</v>
      </c>
      <c r="DN279" s="203">
        <v>4212300</v>
      </c>
      <c r="DO27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79" s="207" t="b">
        <f>IF(AND(ППД5[[#This Row],[Статус]]="свободно",ППД5[[#This Row],[Итоговая сумма скидки]]&lt;&gt;0),FALSE,TRUE)</f>
        <v>1</v>
      </c>
      <c r="DQ279" s="240">
        <f>_xlfn.XLOOKUP(ППД5[[#This Row],[№]],Юрист[№ кв],Юрист[Дата подачи на регистрацию]," ",0,-1)</f>
        <v>45464</v>
      </c>
      <c r="DR279" s="115" t="str">
        <f>_xlfn.XLOOKUP(ППД5[[#This Row],[№]],Юрист[№ кв],Юрист[МОП],"",0,-1)</f>
        <v>Дик</v>
      </c>
      <c r="DS279" s="333" t="s">
        <v>2850</v>
      </c>
      <c r="DT279" s="333" t="s">
        <v>2851</v>
      </c>
      <c r="DU279" s="333">
        <v>33.200000000000003</v>
      </c>
      <c r="DV279" s="111"/>
    </row>
    <row r="280" spans="1:126" hidden="1" x14ac:dyDescent="0.25">
      <c r="A280" s="112">
        <v>278</v>
      </c>
      <c r="B280" s="111" t="s">
        <v>3</v>
      </c>
      <c r="C280" s="111">
        <v>9</v>
      </c>
      <c r="D280" s="338">
        <v>1</v>
      </c>
      <c r="E280" s="111">
        <v>2</v>
      </c>
      <c r="F280" s="105">
        <v>17.63</v>
      </c>
      <c r="G280" s="105">
        <v>13.69</v>
      </c>
      <c r="H280" s="105"/>
      <c r="I280" s="94">
        <f>SUM(ППД5[[#This Row],[Комната 1]:[Комната 3]])</f>
        <v>31.32</v>
      </c>
      <c r="J280" s="105">
        <v>20.05</v>
      </c>
      <c r="K280" s="105">
        <v>3.54</v>
      </c>
      <c r="L280" s="105">
        <v>2.93</v>
      </c>
      <c r="M280" s="105"/>
      <c r="N280" s="105">
        <v>12.19</v>
      </c>
      <c r="O280" s="105">
        <v>4.6500000000000004</v>
      </c>
      <c r="P280" s="105">
        <v>2.68</v>
      </c>
      <c r="Q280" s="105"/>
      <c r="R280" s="105">
        <f>SUM(ППД5[[#This Row],[Лоджия 1]:[Лоджия 3]])</f>
        <v>7.33</v>
      </c>
      <c r="S280" s="8">
        <f>ROUND(SUM(ППД5[[#This Row],[Площадь по проекту жилая]:[Лоджия 3]]),2)</f>
        <v>77.36</v>
      </c>
      <c r="T280" s="8">
        <f>ROUND(ППД5[[#This Row],[Площадь по проекту(общая)]]-ППД5[[#This Row],[Летние]],2)</f>
        <v>70.03</v>
      </c>
      <c r="U280" s="91">
        <f>ROUND(ППД5[[#This Row],[Площадь по проекту(общая)]]-(SUM(ППД5[[#This Row],[Лоджия 1]:[Лоджия 3]])/2),2)</f>
        <v>73.7</v>
      </c>
      <c r="V280" s="91">
        <f>IF(ППД5[[#This Row],[Статус]]="продажа",ППД5[[#This Row],[Расчетная проектная площадь]],ППД5[[#This Row],[Расчетная ТП площадь]])</f>
        <v>73.599999999999994</v>
      </c>
      <c r="W280" s="91">
        <v>17.5</v>
      </c>
      <c r="X280" s="91">
        <v>13.6</v>
      </c>
      <c r="Y280" s="91"/>
      <c r="Z280" s="91">
        <f>SUM(ППД5[[#This Row],[ТП Комната 1]:[ТП Комната 3]])</f>
        <v>31.1</v>
      </c>
      <c r="AA280" s="91">
        <v>20.100000000000001</v>
      </c>
      <c r="AB280" s="91">
        <v>3.6</v>
      </c>
      <c r="AC280" s="91">
        <v>3</v>
      </c>
      <c r="AD280" s="91"/>
      <c r="AE280" s="91">
        <v>12.2</v>
      </c>
      <c r="AF280" s="91">
        <v>1.3</v>
      </c>
      <c r="AG280" s="91">
        <v>2.2999999999999998</v>
      </c>
      <c r="AH280" s="91"/>
      <c r="AI280" s="91">
        <f>SUM(ППД5[[#This Row],[ТП Лоджия 1]:[ТП Лоджия 3]])</f>
        <v>3.5999999999999996</v>
      </c>
      <c r="AJ280" s="95">
        <v>7.1999999999999993</v>
      </c>
      <c r="AK280" s="91">
        <f>SUM(ППД5[[#This Row],[Площадь по ТП жилая]:[ТП Лоджия 3]])-ППД5[[#This Row],[ТП Летние]]+ППД5[[#This Row],[кроме того прочая
(без коэффициента)]]</f>
        <v>77.2</v>
      </c>
      <c r="AL280" s="95">
        <f>ППД5[[#This Row],[ТП Площадь без летних]]+(ППД5[[#This Row],[ТП Летние]])</f>
        <v>73.599999999999994</v>
      </c>
      <c r="AM280" s="91">
        <f>ППД5[[#This Row],[ТП общая S]]-ППД5[[#This Row],[кроме того прочая
(без коэффициента)]]</f>
        <v>70</v>
      </c>
      <c r="AN280" s="95">
        <f>SUM(ППД5[[#This Row],[ТП Кухня]:[ТП Коридор]])</f>
        <v>38.900000000000006</v>
      </c>
      <c r="AO280" s="91">
        <f>ППД5[[#This Row],[Расчетная ТП площадь]]-ППД5[[#This Row],[Расчетная проектная площадь]]</f>
        <v>-0.10000000000000853</v>
      </c>
      <c r="AP280" s="335">
        <f>ППД5[[#This Row],[Расчетная ТП площадь]]/ППД5[[#This Row],[Расчетная проектная площадь]]-1</f>
        <v>-1.3568521031208647E-3</v>
      </c>
      <c r="AQ280" s="91">
        <f>ППД5[[#This Row],[% расхождения]]*ППД5[[#This Row],[Стоимость до скидки]]</f>
        <v>-11530.936227952045</v>
      </c>
      <c r="AR280" s="91">
        <f>VLOOKUP(ППД5[[#This Row],[№]],наценкад5[],COLUMN(наценкад5[[#This Row],[Цена м2 с учетом всех K]]),0)</f>
        <v>78763.482000000004</v>
      </c>
      <c r="AS280" s="8">
        <f>ППД5[[#This Row],[м2 после К]]*5%</f>
        <v>3938.1741000000002</v>
      </c>
      <c r="AT280" s="8">
        <f>ППД5[[#This Row],[м2 после К]]+ППД5[[#This Row],[Повышение 16.08.23 - 5%]]</f>
        <v>82701.656100000007</v>
      </c>
      <c r="AU280" s="93">
        <f>ППД5[[#This Row],[Фикс 16.08.23]]*3%</f>
        <v>2481.0496830000002</v>
      </c>
      <c r="AV280" s="93">
        <f>ППД5[[#This Row],[Фикс 16.08.23]]+ППД5[[#This Row],[Повышение 29.08.23 - 3%]]</f>
        <v>85182.705783000012</v>
      </c>
      <c r="AW280" s="93"/>
      <c r="AX280" s="93">
        <f>ППД5[[#This Row],[Фикс 29.08.23]]+ППД5[[#This Row],[Повышение 06.09.23 СТ и 1К]]</f>
        <v>85182.705783000012</v>
      </c>
      <c r="AY280" s="93"/>
      <c r="AZ280" s="93">
        <f>ППД5[[#This Row],[Повышение 23.10.23  В4 ]]+ППД5[[#This Row],[Фикс 06.09.23]]</f>
        <v>85182.705783000012</v>
      </c>
      <c r="BA280" s="93"/>
      <c r="BB280" s="93">
        <f>ППД5[[#This Row],[Повышение 8.11.23 1К 5%]]+ППД5[[#This Row],[Фикс 23.10.23]]</f>
        <v>85182.705783000012</v>
      </c>
      <c r="BC280" s="93"/>
      <c r="BD280" s="93">
        <f>ППД5[[#This Row],[Корректировка 24.11.23 - 1К В5, 2К А2, №233]]+ППД5[[#This Row],[Фикс 8.11.23]]</f>
        <v>85182.705783000012</v>
      </c>
      <c r="BE280" s="93">
        <f>ППД5[[#This Row],[Фикс 8.11.24]]*1%</f>
        <v>851.82705783000017</v>
      </c>
      <c r="BF280" s="93">
        <f>ППД5[[#This Row],[Наценка за отделку 29.12.23 1%]]+ППД5[[#This Row],[Фикс 8.11.24]]</f>
        <v>86034.532840830012</v>
      </c>
      <c r="BG280" s="93">
        <f>ППД5[[#This Row],[Фикс 29.12.23]]*5%</f>
        <v>4301.7266420415008</v>
      </c>
      <c r="BH280" s="93">
        <f>ППД5[[#This Row],[Фикс 29.12.23]]+ППД5[[#This Row],[Наценка 10.01.24 5%]]</f>
        <v>90336.259482871508</v>
      </c>
      <c r="BI280" s="93"/>
      <c r="BJ280" s="93">
        <f>ППД5[[#This Row],[Наценка 26.02.24 1 Этаж]]+ППД5[[#This Row],[Фикс 10.01.24]]</f>
        <v>90336.259482871508</v>
      </c>
      <c r="BK280" s="93">
        <f>ППД5[[#This Row],[Фикс 26.02.24]]*2%</f>
        <v>1806.7251896574303</v>
      </c>
      <c r="BL280" s="93">
        <f>ППД5[[#This Row],[Фикс 26.02.24]]+ППД5[[#This Row],[Наценка 06.03.24
СТ, 1К - 3%
2К, 3К - 2%]]</f>
        <v>92142.984672528939</v>
      </c>
      <c r="BM280" s="93"/>
      <c r="BN280" s="93">
        <f>ППД5[[#This Row],[Фикс 06.03.24]]+ППД5[[#This Row],[Наценка Г2+500]]</f>
        <v>92142.984672528939</v>
      </c>
      <c r="BO280" s="93">
        <f>ППД5[[#This Row],[Фикс 13.03.25]]*2%</f>
        <v>1842.8596934505788</v>
      </c>
      <c r="BP280" s="93">
        <f>ППД5[[#This Row],[Фикс 13.03.25]]+ППД5[[#This Row],[Наценка 20.03.24
2К, 3К - 2%]]</f>
        <v>93985.844365979516</v>
      </c>
      <c r="BQ280" s="93"/>
      <c r="BR280" s="93">
        <f>ППД5[[#This Row],[Фикс 20.03.24]]+ППД5[[#This Row],[Наценка 08.04.24 
2К: В3 - 150
3К: Г7 +1000]]</f>
        <v>93985.844365979516</v>
      </c>
      <c r="BS280" s="93"/>
      <c r="BT280" s="93">
        <f>ППД5[[#This Row],[Фикс 08.04.24]]+ППД5[[#This Row],[Наценка 16.05.24 1%
А4,А6,Б3,Б6,Б7,В2,В3,В5,В6,Г1,Г3-Г5]]</f>
        <v>93985.844365979516</v>
      </c>
      <c r="BU280" s="93"/>
      <c r="BV280" s="93">
        <f>ППД5[[#This Row],[Фикс 16.05.24]]+ППД5[[#This Row],[Наценка 24.05.24
1% - Б4, Б5,Г2,Г6
2% - А1,А3,А5,Б2,Г7]]</f>
        <v>93985.844365979516</v>
      </c>
      <c r="BW280" s="93"/>
      <c r="BX280" s="93">
        <f>ППД5[[#This Row],[Наценка 06.06.24
0К: В2,Г3 +0,5%
1К: А7, Б5/4, Г6 +0,5%
3К: В6 +0,5%
1К: А3 +1%]]+ППД5[[#This Row],[Фикс 24.05.24]]</f>
        <v>93985.844365979516</v>
      </c>
      <c r="BY280" s="93"/>
      <c r="BZ280" s="93">
        <f>ППД5[[#This Row],[Фикс 06.06.24]]+ППД5[[#This Row],[13.06.2024
3К - 2%]]</f>
        <v>93985.844365979516</v>
      </c>
      <c r="CA280" s="93">
        <f>0.5%*ППД5[[#This Row],[Фикс 13.06.24]]</f>
        <v>469.92922182989759</v>
      </c>
      <c r="CB280" s="93">
        <f>ППД5[[#This Row],[02.07.2024: Г3 А1 А3 Б5 Б7 Г2 Г6 Б3 Б4 В3 Г7 2,5% ост 0,5-1,5%]]+ППД5[[#This Row],[Фикс 13.06.24]]</f>
        <v>94455.77358780941</v>
      </c>
      <c r="CC280" s="93"/>
      <c r="CD280" s="93">
        <f>ППД5[[#This Row],[Фикс 02.07.24]]+ППД5[[#This Row],[04.09.2024 +500
0К - Б2; 1К - А3;
2К - А6, Б4, В3, Г5]]</f>
        <v>94455.77358780941</v>
      </c>
      <c r="CE280" s="93"/>
      <c r="CF280" s="93">
        <f>ППД5[[#This Row],[Наценка 16.09.2024
1К: А1,В7,Г6/7,Г8 - 2%
2К: А4,А5,А6,Б1,Б6,Б3/4,В3,В4,Г4,Г5 - 4%
3К: 4%]]+ППД5[[#This Row],[Фикс 04.09.24]]</f>
        <v>94455.77358780941</v>
      </c>
      <c r="CG280" s="93">
        <f>ППД5[[#This Row],[Фикс 16.09.2024]]*8%</f>
        <v>7556.4618870247532</v>
      </c>
      <c r="CH280" s="93">
        <f>ППД5[[#This Row],[Фикс 16.09.2024]]+ППД5[[#This Row],[Наценка 01.11.24
СТ: 4%
1К: 34-40м 5%; 40м+ 8%; МГН 1%
2К: 55-70м 6%; 70-73м 7%; 73-76м 8% 
3К: 5%]]</f>
        <v>102012.23547483416</v>
      </c>
      <c r="CI280" s="93">
        <f>ППД5[[#This Row],[Фикс 01.11.24]]*13%</f>
        <v>13261.590611728441</v>
      </c>
      <c r="CJ280" s="93">
        <f>ППД5[[#This Row],[Наценка 06.11 13%]]+ППД5[[#This Row],[Фикс 01.11.24]]</f>
        <v>115273.82608656261</v>
      </c>
      <c r="CK280" s="93">
        <v>35</v>
      </c>
      <c r="CL280" s="93">
        <f>ППД5[[#This Row],[Фикс 06.11.24]]+ППД5[[#This Row],[Наценка 18.12.24 распределение КВ]]</f>
        <v>115308.82608656261</v>
      </c>
      <c r="CM280" s="93"/>
      <c r="CN280" s="93">
        <f>ППД5[[#This Row],[Фикс 18.12.24]]+ППД5[[#This Row],[Наценка 10.02.25 +1%
1К: А3
2К: Б3, В3]]</f>
        <v>115308.82608656261</v>
      </c>
      <c r="CO280" s="93">
        <f>ROUND(ППД5[[#This Row],[Фикс 10.02.25]],2)</f>
        <v>115308.83</v>
      </c>
      <c r="CP28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8498300</v>
      </c>
      <c r="CQ280" s="93">
        <f>ROUNDUP(ППД5[[#This Row],[Стоимость до скидки]]+ППД5[[#This Row],[Сумма доплаты]],-2)</f>
        <v>8486800</v>
      </c>
      <c r="CR280" s="68"/>
      <c r="CS280" s="90"/>
      <c r="CT280" s="68">
        <f>ППД5[[#This Row],[Стоимость до скидки]]*ППД5[[#This Row],[Скидка %]]+ППД5[[#This Row],[Скидка фиксированная]]</f>
        <v>0</v>
      </c>
      <c r="CU280" s="3">
        <f>ППД5[[#This Row],[Стоимость ОН без отделки со скидкой]]/ППД5[[#This Row],[Расчетная проектная площадь]]</f>
        <v>115309.36227951152</v>
      </c>
      <c r="CV280" s="3">
        <f>ROUND(ППД5[[#This Row],[Стоимость до скидки]]-ППД5[[#This Row],[Итоговая сумма скидки]],2)</f>
        <v>8498300</v>
      </c>
      <c r="CW28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80" s="197"/>
      <c r="CY280" s="332">
        <f>ППД5[[#This Row],[Расхождение]]/ППД5[[#This Row],[Расчетная проектная площадь]]</f>
        <v>-1.3568521031208755E-3</v>
      </c>
      <c r="CZ28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0.19000000000000838</v>
      </c>
      <c r="DA280" s="3">
        <f>ППД5[[#This Row],[Цена м2 без отделки со скидкой]]+ППД5[[#This Row],[Стоимость отделки]]</f>
        <v>115309.36227951152</v>
      </c>
      <c r="DB280" s="3">
        <f>ППД5[[#This Row],[Стоимость квартиры с отделкой]]-ППД5[[#This Row],[Стоимость ОН без отделки со скидкой]]</f>
        <v>0</v>
      </c>
      <c r="DC280" s="3">
        <f>ППД5[[#This Row],[Цена м2 с отделкой]]*ППД5[[#This Row],[Расчетная проектная площадь]]</f>
        <v>8498300</v>
      </c>
      <c r="DD280" s="3" t="s">
        <v>158</v>
      </c>
      <c r="DF280" s="155" t="s">
        <v>157</v>
      </c>
      <c r="DG280" s="221" t="s">
        <v>157</v>
      </c>
      <c r="DH280" s="100" t="b">
        <f>EXACT(ППД5[[#This Row],[Статусы CRM]],ППД5[[#This Row],[Статус]])</f>
        <v>1</v>
      </c>
      <c r="DI280" s="213" t="s">
        <v>452</v>
      </c>
      <c r="DJ280" s="204"/>
      <c r="DK280" s="111" t="s">
        <v>763</v>
      </c>
      <c r="DL280" s="216" t="s">
        <v>12</v>
      </c>
      <c r="DM280" s="201" t="b">
        <f>ППД5[[#This Row],[Отделка CRM]]=ППД5[[#This Row],[Отделка]]</f>
        <v>1</v>
      </c>
      <c r="DN280" s="203">
        <v>8498300</v>
      </c>
      <c r="DO28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80" s="207" t="b">
        <f>IF(AND(ППД5[[#This Row],[Статус]]="свободно",ППД5[[#This Row],[Итоговая сумма скидки]]&lt;&gt;0),FALSE,TRUE)</f>
        <v>1</v>
      </c>
      <c r="DQ280" s="240" t="str">
        <f>_xlfn.XLOOKUP(ППД5[[#This Row],[№]],Юрист[№ кв],Юрист[Дата подачи на регистрацию]," ",0,-1)</f>
        <v xml:space="preserve"> </v>
      </c>
      <c r="DR280" s="115" t="str">
        <f>_xlfn.XLOOKUP(ППД5[[#This Row],[№]],Юрист[№ кв],Юрист[МОП],"",0,-1)</f>
        <v/>
      </c>
      <c r="DS280" s="333" t="s">
        <v>2852</v>
      </c>
      <c r="DT280" s="333" t="s">
        <v>2853</v>
      </c>
      <c r="DU280" s="333">
        <v>70</v>
      </c>
      <c r="DV280" s="111"/>
    </row>
    <row r="281" spans="1:126" hidden="1" x14ac:dyDescent="0.25">
      <c r="A281" s="112">
        <v>279</v>
      </c>
      <c r="B281" s="111" t="s">
        <v>3</v>
      </c>
      <c r="C281" s="111">
        <v>9</v>
      </c>
      <c r="D281" s="111">
        <v>2</v>
      </c>
      <c r="E281" s="111">
        <v>0</v>
      </c>
      <c r="F281" s="105">
        <v>7.18</v>
      </c>
      <c r="G281" s="105"/>
      <c r="H281" s="105"/>
      <c r="I281" s="94">
        <f>SUM(ППД5[[#This Row],[Комната 1]:[Комната 3]])</f>
        <v>7.18</v>
      </c>
      <c r="J281" s="105">
        <v>5.17</v>
      </c>
      <c r="K281" s="105">
        <v>3.72</v>
      </c>
      <c r="L281" s="105"/>
      <c r="M281" s="105"/>
      <c r="N281" s="105">
        <v>6.97</v>
      </c>
      <c r="O281" s="105">
        <v>2.97</v>
      </c>
      <c r="P281" s="105"/>
      <c r="Q281" s="105"/>
      <c r="R281" s="105">
        <f>SUM(ППД5[[#This Row],[Лоджия 1]:[Лоджия 3]])</f>
        <v>2.97</v>
      </c>
      <c r="S281" s="8">
        <f>ROUND(SUM(ППД5[[#This Row],[Площадь по проекту жилая]:[Лоджия 3]]),2)</f>
        <v>26.01</v>
      </c>
      <c r="T281" s="8">
        <f>ROUND(ППД5[[#This Row],[Площадь по проекту(общая)]]-ППД5[[#This Row],[Летние]],2)</f>
        <v>23.04</v>
      </c>
      <c r="U281" s="91">
        <f>ROUND(ППД5[[#This Row],[Площадь по проекту(общая)]]-(SUM(ППД5[[#This Row],[Лоджия 1]:[Лоджия 3]])/2),2)</f>
        <v>24.53</v>
      </c>
      <c r="V281" s="91">
        <f>IF(ППД5[[#This Row],[Статус]]="продажа",ППД5[[#This Row],[Расчетная проектная площадь]],ППД5[[#This Row],[Расчетная ТП площадь]])</f>
        <v>24.53</v>
      </c>
      <c r="W281" s="91">
        <v>7.2</v>
      </c>
      <c r="X281" s="91"/>
      <c r="Y281" s="91"/>
      <c r="Z281" s="91">
        <f>SUM(ППД5[[#This Row],[ТП Комната 1]:[ТП Комната 3]])</f>
        <v>7.2</v>
      </c>
      <c r="AA281" s="91">
        <v>5.0999999999999996</v>
      </c>
      <c r="AB281" s="91">
        <v>3.7</v>
      </c>
      <c r="AC281" s="91"/>
      <c r="AD281" s="91"/>
      <c r="AE281" s="91">
        <v>6.9</v>
      </c>
      <c r="AF281" s="91">
        <v>1.45</v>
      </c>
      <c r="AG281" s="91"/>
      <c r="AH281" s="91"/>
      <c r="AI281" s="91">
        <f>SUM(ППД5[[#This Row],[ТП Лоджия 1]:[ТП Лоджия 3]])</f>
        <v>1.45</v>
      </c>
      <c r="AJ281" s="95">
        <v>2.9</v>
      </c>
      <c r="AK281" s="91">
        <f>SUM(ППД5[[#This Row],[Площадь по ТП жилая]:[ТП Лоджия 3]])-ППД5[[#This Row],[ТП Летние]]+ППД5[[#This Row],[кроме того прочая
(без коэффициента)]]</f>
        <v>25.799999999999997</v>
      </c>
      <c r="AL281" s="95">
        <f>ППД5[[#This Row],[ТП Площадь без летних]]+(ППД5[[#This Row],[ТП Летние]])</f>
        <v>24.349999999999998</v>
      </c>
      <c r="AM281" s="91">
        <f>ППД5[[#This Row],[ТП общая S]]-ППД5[[#This Row],[кроме того прочая
(без коэффициента)]]</f>
        <v>22.9</v>
      </c>
      <c r="AN281" s="95">
        <f>SUM(ППД5[[#This Row],[ТП Кухня]:[ТП Коридор]])</f>
        <v>15.700000000000001</v>
      </c>
      <c r="AO281" s="91">
        <f>ППД5[[#This Row],[Расчетная ТП площадь]]-ППД5[[#This Row],[Расчетная проектная площадь]]</f>
        <v>-0.18000000000000327</v>
      </c>
      <c r="AP281" s="335">
        <f>ППД5[[#This Row],[Расчетная ТП площадь]]/ППД5[[#This Row],[Расчетная проектная площадь]]-1</f>
        <v>-7.3379535262945161E-3</v>
      </c>
      <c r="AQ281" s="91">
        <f>ППД5[[#This Row],[% расхождения]]*ППД5[[#This Row],[Стоимость до скидки]]</f>
        <v>-27570.158988993757</v>
      </c>
      <c r="AR281" s="91">
        <f>VLOOKUP(ППД5[[#This Row],[№]],наценкад5[],COLUMN(наценкад5[[#This Row],[Цена м2 с учетом всех K]]),0)</f>
        <v>91981.574999999997</v>
      </c>
      <c r="AS281" s="8">
        <f>ППД5[[#This Row],[м2 после К]]*5%</f>
        <v>4599.0787499999997</v>
      </c>
      <c r="AT281" s="8">
        <f>ППД5[[#This Row],[м2 после К]]+ППД5[[#This Row],[Повышение 16.08.23 - 5%]]</f>
        <v>96580.653749999998</v>
      </c>
      <c r="AU281" s="93">
        <f>ППД5[[#This Row],[Фикс 16.08.23]]*3%</f>
        <v>2897.4196124999999</v>
      </c>
      <c r="AV281" s="93">
        <f>ППД5[[#This Row],[Фикс 16.08.23]]+ППД5[[#This Row],[Повышение 29.08.23 - 3%]]</f>
        <v>99478.073362499999</v>
      </c>
      <c r="AW281" s="93">
        <f>ППД5[[#This Row],[Фикс 29.08.23]]*13%</f>
        <v>12932.149537125</v>
      </c>
      <c r="AX281" s="93">
        <f>ППД5[[#This Row],[Фикс 29.08.23]]+ППД5[[#This Row],[Повышение 06.09.23 СТ и 1К]]</f>
        <v>112410.22289962501</v>
      </c>
      <c r="AY281" s="93">
        <f>ППД5[[#This Row],[Фикс 06.09.23]]*3%</f>
        <v>3372.3066869887502</v>
      </c>
      <c r="AZ281" s="93">
        <f>ППД5[[#This Row],[Повышение 23.10.23  В4 ]]+ППД5[[#This Row],[Фикс 06.09.23]]</f>
        <v>115782.52958661376</v>
      </c>
      <c r="BA281" s="93"/>
      <c r="BB281" s="93">
        <f>ППД5[[#This Row],[Повышение 8.11.23 1К 5%]]+ППД5[[#This Row],[Фикс 23.10.23]]</f>
        <v>115782.52958661376</v>
      </c>
      <c r="BC281" s="93"/>
      <c r="BD281" s="93">
        <f>ППД5[[#This Row],[Корректировка 24.11.23 - 1К В5, 2К А2, №233]]+ППД5[[#This Row],[Фикс 8.11.23]]</f>
        <v>115782.52958661376</v>
      </c>
      <c r="BE281" s="93">
        <f>ППД5[[#This Row],[Фикс 8.11.24]]*1%</f>
        <v>1157.8252958661376</v>
      </c>
      <c r="BF281" s="93">
        <f>ППД5[[#This Row],[Наценка за отделку 29.12.23 1%]]+ППД5[[#This Row],[Фикс 8.11.24]]</f>
        <v>116940.35488247989</v>
      </c>
      <c r="BG281" s="93">
        <f>ППД5[[#This Row],[Фикс 29.12.23]]*5%</f>
        <v>5847.0177441239948</v>
      </c>
      <c r="BH281" s="93">
        <f>ППД5[[#This Row],[Фикс 29.12.23]]+ППД5[[#This Row],[Наценка 10.01.24 5%]]</f>
        <v>122787.37262660389</v>
      </c>
      <c r="BI281" s="93"/>
      <c r="BJ281" s="93">
        <f>ППД5[[#This Row],[Наценка 26.02.24 1 Этаж]]+ППД5[[#This Row],[Фикс 10.01.24]]</f>
        <v>122787.37262660389</v>
      </c>
      <c r="BK281" s="93">
        <f>ППД5[[#This Row],[Фикс 26.02.24]]*3%</f>
        <v>3683.6211787981165</v>
      </c>
      <c r="BL281" s="93">
        <f>ППД5[[#This Row],[Фикс 26.02.24]]+ППД5[[#This Row],[Наценка 06.03.24
СТ, 1К - 3%
2К, 3К - 2%]]</f>
        <v>126470.993805402</v>
      </c>
      <c r="BM281" s="93"/>
      <c r="BN281" s="93">
        <f>ППД5[[#This Row],[Фикс 06.03.24]]+ППД5[[#This Row],[Наценка Г2+500]]</f>
        <v>126470.993805402</v>
      </c>
      <c r="BO281" s="93"/>
      <c r="BP281" s="93">
        <f>ППД5[[#This Row],[Фикс 13.03.25]]+ППД5[[#This Row],[Наценка 20.03.24
2К, 3К - 2%]]</f>
        <v>126470.993805402</v>
      </c>
      <c r="BQ281" s="93"/>
      <c r="BR281" s="93">
        <f>ППД5[[#This Row],[Фикс 20.03.24]]+ППД5[[#This Row],[Наценка 08.04.24 
2К: В3 - 150
3К: Г7 +1000]]</f>
        <v>126470.993805402</v>
      </c>
      <c r="BS281" s="93">
        <f>ППД5[[#This Row],[Фикс 08.04.24]]*1%</f>
        <v>1264.7099380540201</v>
      </c>
      <c r="BT281" s="93">
        <f>ППД5[[#This Row],[Фикс 08.04.24]]+ППД5[[#This Row],[Наценка 16.05.24 1%
А4,А6,Б3,Б6,Б7,В2,В3,В5,В6,Г1,Г3-Г5]]</f>
        <v>127735.70374345602</v>
      </c>
      <c r="BU281" s="93"/>
      <c r="BV281" s="93">
        <f>ППД5[[#This Row],[Фикс 16.05.24]]+ППД5[[#This Row],[Наценка 24.05.24
1% - Б4, Б5,Г2,Г6
2% - А1,А3,А5,Б2,Г7]]</f>
        <v>127735.70374345602</v>
      </c>
      <c r="BW281" s="93">
        <f>ППД5[[#This Row],[Фикс 24.05.24]]*0.5%</f>
        <v>638.6785187172801</v>
      </c>
      <c r="BX281" s="93">
        <f>ППД5[[#This Row],[Наценка 06.06.24
0К: В2,Г3 +0,5%
1К: А7, Б5/4, Г6 +0,5%
3К: В6 +0,5%
1К: А3 +1%]]+ППД5[[#This Row],[Фикс 24.05.24]]</f>
        <v>128374.3822621733</v>
      </c>
      <c r="BY281" s="93"/>
      <c r="BZ281" s="93">
        <f>ППД5[[#This Row],[Фикс 06.06.24]]+ППД5[[#This Row],[13.06.2024
3К - 2%]]</f>
        <v>128374.3822621733</v>
      </c>
      <c r="CA281" s="93">
        <f>1.5%*ППД5[[#This Row],[Фикс 13.06.24]]</f>
        <v>1925.6157339325994</v>
      </c>
      <c r="CB281" s="93">
        <f>ППД5[[#This Row],[02.07.2024: Г3 А1 А3 Б5 Б7 Г2 Г6 Б3 Б4 В3 Г7 2,5% ост 0,5-1,5%]]+ППД5[[#This Row],[Фикс 13.06.24]]</f>
        <v>130299.9979961059</v>
      </c>
      <c r="CC281" s="93"/>
      <c r="CD281" s="93">
        <f>ППД5[[#This Row],[Фикс 02.07.24]]+ППД5[[#This Row],[04.09.2024 +500
0К - Б2; 1К - А3;
2К - А6, Б4, В3, Г5]]</f>
        <v>130299.9979961059</v>
      </c>
      <c r="CE281" s="93"/>
      <c r="CF281" s="93">
        <f>ППД5[[#This Row],[Наценка 16.09.2024
1К: А1,В7,Г6/7,Г8 - 2%
2К: А4,А5,А6,Б1,Б6,Б3/4,В3,В4,Г4,Г5 - 4%
3К: 4%]]+ППД5[[#This Row],[Фикс 04.09.24]]</f>
        <v>130299.9979961059</v>
      </c>
      <c r="CG281" s="93">
        <f>ППД5[[#This Row],[Фикс 16.09.2024]]*4%</f>
        <v>5211.9999198442365</v>
      </c>
      <c r="CH281" s="93">
        <f>ППД5[[#This Row],[Фикс 16.09.2024]]+ППД5[[#This Row],[Наценка 01.11.24
СТ: 4%
1К: 34-40м 5%; 40м+ 8%; МГН 1%
2К: 55-70м 6%; 70-73м 7%; 73-76м 8% 
3К: 5%]]</f>
        <v>135511.99791595014</v>
      </c>
      <c r="CI281" s="93">
        <f>ППД5[[#This Row],[Фикс 01.11.24]]*13%</f>
        <v>17616.559729073517</v>
      </c>
      <c r="CJ281" s="93">
        <f>ППД5[[#This Row],[Наценка 06.11 13%]]+ППД5[[#This Row],[Фикс 01.11.24]]</f>
        <v>153128.55764502365</v>
      </c>
      <c r="CK281" s="93">
        <v>35</v>
      </c>
      <c r="CL281" s="93">
        <f>ППД5[[#This Row],[Фикс 06.11.24]]+ППД5[[#This Row],[Наценка 18.12.24 распределение КВ]]</f>
        <v>153163.55764502365</v>
      </c>
      <c r="CM281" s="93"/>
      <c r="CN281" s="93">
        <f>ППД5[[#This Row],[Фикс 18.12.24]]+ППД5[[#This Row],[Наценка 10.02.25 +1%
1К: А3
2К: Б3, В3]]</f>
        <v>153163.55764502365</v>
      </c>
      <c r="CO281" s="93">
        <f>ROUND(ППД5[[#This Row],[Фикс 10.02.25]],2)</f>
        <v>153163.56</v>
      </c>
      <c r="CP28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3757200</v>
      </c>
      <c r="CQ281" s="93">
        <f>ROUNDUP(ППД5[[#This Row],[Стоимость до скидки]]+ППД5[[#This Row],[Сумма доплаты]],-2)</f>
        <v>3729700</v>
      </c>
      <c r="CR281" s="68">
        <v>249410</v>
      </c>
      <c r="CS281" s="90"/>
      <c r="CT281" s="68">
        <f>ППД5[[#This Row],[Стоимость до скидки]]*ППД5[[#This Row],[Скидка %]]+ППД5[[#This Row],[Скидка фиксированная]]</f>
        <v>249410</v>
      </c>
      <c r="CU281" s="3">
        <f>ППД5[[#This Row],[Стоимость ОН без отделки со скидкой]]/ППД5[[#This Row],[Расчетная проектная площадь]]</f>
        <v>143000</v>
      </c>
      <c r="CV281" s="3">
        <f>ROUND(ППД5[[#This Row],[Стоимость до скидки]]-ППД5[[#This Row],[Итоговая сумма скидки]],2)</f>
        <v>3507790</v>
      </c>
      <c r="CW28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81" s="197">
        <v>25000</v>
      </c>
      <c r="CY281" s="332">
        <f>ППД5[[#This Row],[Расхождение]]/ППД5[[#This Row],[Расчетная проектная площадь]]</f>
        <v>-7.3379535262944667E-3</v>
      </c>
      <c r="CZ28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-0.16000000000000014</v>
      </c>
      <c r="DA281" s="3">
        <f>ППД5[[#This Row],[Цена м2 без отделки со скидкой]]+ППД5[[#This Row],[Стоимость отделки]]</f>
        <v>168000</v>
      </c>
      <c r="DB281" s="3">
        <f>ППД5[[#This Row],[Стоимость квартиры с отделкой]]-ППД5[[#This Row],[Стоимость ОН без отделки со скидкой]]</f>
        <v>613250</v>
      </c>
      <c r="DC281" s="3">
        <f>ППД5[[#This Row],[Цена м2 с отделкой]]*ППД5[[#This Row],[Расчетная проектная площадь]]</f>
        <v>4121040</v>
      </c>
      <c r="DD281" s="3"/>
      <c r="DE281" s="111" t="s">
        <v>2199</v>
      </c>
      <c r="DF281" s="221" t="s">
        <v>172</v>
      </c>
      <c r="DG281" s="221" t="s">
        <v>172</v>
      </c>
      <c r="DH281" s="100" t="b">
        <f>EXACT(ППД5[[#This Row],[Статусы CRM]],ППД5[[#This Row],[Статус]])</f>
        <v>1</v>
      </c>
      <c r="DI281" s="213" t="s">
        <v>453</v>
      </c>
      <c r="DJ281" s="204"/>
      <c r="DK281" s="111" t="s">
        <v>763</v>
      </c>
      <c r="DL281" s="216" t="s">
        <v>14</v>
      </c>
      <c r="DM281" s="201" t="b">
        <f>ППД5[[#This Row],[Отделка CRM]]=ППД5[[#This Row],[Отделка]]</f>
        <v>1</v>
      </c>
      <c r="DN281" s="203">
        <v>4121040</v>
      </c>
      <c r="DO28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81" s="207" t="b">
        <f>IF(AND(ППД5[[#This Row],[Статус]]="свободно",ППД5[[#This Row],[Итоговая сумма скидки]]&lt;&gt;0),FALSE,TRUE)</f>
        <v>1</v>
      </c>
      <c r="DQ281" s="240" t="str">
        <f>_xlfn.XLOOKUP(ППД5[[#This Row],[№]],Юрист[№ кв],Юрист[Дата подачи на регистрацию]," ",0,-1)</f>
        <v xml:space="preserve"> </v>
      </c>
      <c r="DR281" s="115" t="str">
        <f>_xlfn.XLOOKUP(ППД5[[#This Row],[№]],Юрист[№ кв],Юрист[МОП],"",0,-1)</f>
        <v/>
      </c>
      <c r="DS281" s="333" t="s">
        <v>2854</v>
      </c>
      <c r="DT281" s="333" t="s">
        <v>2855</v>
      </c>
      <c r="DU281" s="333">
        <v>22.9</v>
      </c>
      <c r="DV281" s="111"/>
    </row>
    <row r="282" spans="1:126" hidden="1" x14ac:dyDescent="0.25">
      <c r="A282" s="112">
        <v>280</v>
      </c>
      <c r="B282" s="111" t="s">
        <v>3</v>
      </c>
      <c r="C282" s="111">
        <v>9</v>
      </c>
      <c r="D282" s="111">
        <v>3</v>
      </c>
      <c r="E282" s="111">
        <v>2</v>
      </c>
      <c r="F282" s="105">
        <v>13.69</v>
      </c>
      <c r="G282" s="105">
        <v>10.16</v>
      </c>
      <c r="H282" s="105"/>
      <c r="I282" s="94">
        <f>SUM(ППД5[[#This Row],[Комната 1]:[Комната 3]])</f>
        <v>23.85</v>
      </c>
      <c r="J282" s="105">
        <v>18.71</v>
      </c>
      <c r="K282" s="105">
        <v>3.49</v>
      </c>
      <c r="L282" s="105">
        <v>2.11</v>
      </c>
      <c r="M282" s="105"/>
      <c r="N282" s="105">
        <v>7.09</v>
      </c>
      <c r="O282" s="105">
        <v>2.65</v>
      </c>
      <c r="P282" s="105"/>
      <c r="Q282" s="105"/>
      <c r="R282" s="105">
        <f>SUM(ППД5[[#This Row],[Лоджия 1]:[Лоджия 3]])</f>
        <v>2.65</v>
      </c>
      <c r="S282" s="8">
        <f>ROUND(SUM(ППД5[[#This Row],[Площадь по проекту жилая]:[Лоджия 3]]),2)</f>
        <v>57.9</v>
      </c>
      <c r="T282" s="8">
        <f>ROUND(ППД5[[#This Row],[Площадь по проекту(общая)]]-ППД5[[#This Row],[Летние]],2)</f>
        <v>55.25</v>
      </c>
      <c r="U282" s="91">
        <f>ROUND(ППД5[[#This Row],[Площадь по проекту(общая)]]-(SUM(ППД5[[#This Row],[Лоджия 1]:[Лоджия 3]])/2),2)</f>
        <v>56.58</v>
      </c>
      <c r="V282" s="91">
        <f>IF(ППД5[[#This Row],[Статус]]="продажа",ППД5[[#This Row],[Расчетная проектная площадь]],ППД5[[#This Row],[Расчетная ТП площадь]])</f>
        <v>56.58</v>
      </c>
      <c r="W282" s="91">
        <v>13.6</v>
      </c>
      <c r="X282" s="91">
        <v>9.9</v>
      </c>
      <c r="Y282" s="91"/>
      <c r="Z282" s="91">
        <f>SUM(ППД5[[#This Row],[ТП Комната 1]:[ТП Комната 3]])</f>
        <v>23.5</v>
      </c>
      <c r="AA282" s="91">
        <v>18.8</v>
      </c>
      <c r="AB282" s="91">
        <v>3.5</v>
      </c>
      <c r="AC282" s="91">
        <v>2.1</v>
      </c>
      <c r="AD282" s="91"/>
      <c r="AE282" s="91">
        <v>7.2</v>
      </c>
      <c r="AF282" s="91">
        <v>1.3</v>
      </c>
      <c r="AG282" s="91"/>
      <c r="AH282" s="91"/>
      <c r="AI282" s="91">
        <f>SUM(ППД5[[#This Row],[ТП Лоджия 1]:[ТП Лоджия 3]])</f>
        <v>1.3</v>
      </c>
      <c r="AJ282" s="95">
        <v>2.6</v>
      </c>
      <c r="AK282" s="91">
        <f>SUM(ППД5[[#This Row],[Площадь по ТП жилая]:[ТП Лоджия 3]])-ППД5[[#This Row],[ТП Летние]]+ППД5[[#This Row],[кроме того прочая
(без коэффициента)]]</f>
        <v>57.7</v>
      </c>
      <c r="AL282" s="95">
        <f>ППД5[[#This Row],[ТП Площадь без летних]]+(ППД5[[#This Row],[ТП Летние]])</f>
        <v>56.4</v>
      </c>
      <c r="AM282" s="91">
        <f>ППД5[[#This Row],[ТП общая S]]-ППД5[[#This Row],[кроме того прочая
(без коэффициента)]]</f>
        <v>55.1</v>
      </c>
      <c r="AN282" s="95">
        <f>SUM(ППД5[[#This Row],[ТП Кухня]:[ТП Коридор]])</f>
        <v>31.6</v>
      </c>
      <c r="AO282" s="91">
        <f>ППД5[[#This Row],[Расчетная ТП площадь]]-ППД5[[#This Row],[Расчетная проектная площадь]]</f>
        <v>-0.17999999999999972</v>
      </c>
      <c r="AP282" s="335">
        <f>ППД5[[#This Row],[Расчетная ТП площадь]]/ППД5[[#This Row],[Расчетная проектная площадь]]-1</f>
        <v>-3.1813361611876534E-3</v>
      </c>
      <c r="AQ282" s="91">
        <f>ППД5[[#This Row],[% расхождения]]*ППД5[[#This Row],[Стоимость до скидки]]</f>
        <v>-15633.530996818441</v>
      </c>
      <c r="AR282" s="91">
        <f>VLOOKUP(ППД5[[#This Row],[№]],наценкад5[],COLUMN(наценкад5[[#This Row],[Цена м2 с учетом всех K]]),0)</f>
        <v>80307.864000000001</v>
      </c>
      <c r="AS282" s="8">
        <f>ППД5[[#This Row],[м2 после К]]*5%</f>
        <v>4015.3932000000004</v>
      </c>
      <c r="AT282" s="8">
        <f>ППД5[[#This Row],[м2 после К]]+ППД5[[#This Row],[Повышение 16.08.23 - 5%]]</f>
        <v>84323.257200000007</v>
      </c>
      <c r="AU282" s="93">
        <f>ППД5[[#This Row],[Фикс 16.08.23]]*3%</f>
        <v>2529.6977160000001</v>
      </c>
      <c r="AV282" s="93">
        <f>ППД5[[#This Row],[Фикс 16.08.23]]+ППД5[[#This Row],[Повышение 29.08.23 - 3%]]</f>
        <v>86852.954916000002</v>
      </c>
      <c r="AW282" s="93"/>
      <c r="AX282" s="93">
        <f>ППД5[[#This Row],[Фикс 29.08.23]]+ППД5[[#This Row],[Повышение 06.09.23 СТ и 1К]]</f>
        <v>86852.954916000002</v>
      </c>
      <c r="AY282" s="93"/>
      <c r="AZ282" s="93">
        <f>ППД5[[#This Row],[Повышение 23.10.23  В4 ]]+ППД5[[#This Row],[Фикс 06.09.23]]</f>
        <v>86852.954916000002</v>
      </c>
      <c r="BA282" s="93"/>
      <c r="BB282" s="93">
        <f>ППД5[[#This Row],[Повышение 8.11.23 1К 5%]]+ППД5[[#This Row],[Фикс 23.10.23]]</f>
        <v>86852.954916000002</v>
      </c>
      <c r="BC282" s="93"/>
      <c r="BD282" s="93">
        <f>ППД5[[#This Row],[Корректировка 24.11.23 - 1К В5, 2К А2, №233]]+ППД5[[#This Row],[Фикс 8.11.23]]</f>
        <v>86852.954916000002</v>
      </c>
      <c r="BE282" s="93"/>
      <c r="BF282" s="93">
        <f>ППД5[[#This Row],[Наценка за отделку 29.12.23 1%]]+ППД5[[#This Row],[Фикс 8.11.24]]</f>
        <v>86852.954916000002</v>
      </c>
      <c r="BG282" s="93"/>
      <c r="BH282" s="93">
        <f>ППД5[[#This Row],[Фикс 29.12.23]]+ППД5[[#This Row],[Наценка 10.01.24 5%]]</f>
        <v>86852.954916000002</v>
      </c>
      <c r="BI282" s="93"/>
      <c r="BJ282" s="93">
        <f>ППД5[[#This Row],[Наценка 26.02.24 1 Этаж]]+ППД5[[#This Row],[Фикс 10.01.24]]</f>
        <v>86852.954916000002</v>
      </c>
      <c r="BK282" s="93"/>
      <c r="BL282" s="93">
        <f>ППД5[[#This Row],[Фикс 26.02.24]]+ППД5[[#This Row],[Наценка 06.03.24
СТ, 1К - 3%
2К, 3К - 2%]]</f>
        <v>86852.954916000002</v>
      </c>
      <c r="BM282" s="93"/>
      <c r="BN282" s="93">
        <f>ППД5[[#This Row],[Фикс 06.03.24]]+ППД5[[#This Row],[Наценка Г2+500]]</f>
        <v>86852.954916000002</v>
      </c>
      <c r="BO282" s="93"/>
      <c r="BP282" s="93">
        <f>ППД5[[#This Row],[Фикс 13.03.25]]+ППД5[[#This Row],[Наценка 20.03.24
2К, 3К - 2%]]</f>
        <v>86852.954916000002</v>
      </c>
      <c r="BQ282" s="93"/>
      <c r="BR282" s="93">
        <f>ППД5[[#This Row],[Фикс 20.03.24]]+ППД5[[#This Row],[Наценка 08.04.24 
2К: В3 - 150
3К: Г7 +1000]]</f>
        <v>86852.954916000002</v>
      </c>
      <c r="BS282" s="93"/>
      <c r="BT282" s="93">
        <f>ППД5[[#This Row],[Фикс 08.04.24]]+ППД5[[#This Row],[Наценка 16.05.24 1%
А4,А6,Б3,Б6,Б7,В2,В3,В5,В6,Г1,Г3-Г5]]</f>
        <v>86852.954916000002</v>
      </c>
      <c r="BU282" s="93"/>
      <c r="BV282" s="93">
        <f>ППД5[[#This Row],[Фикс 16.05.24]]+ППД5[[#This Row],[Наценка 24.05.24
1% - Б4, Б5,Г2,Г6
2% - А1,А3,А5,Б2,Г7]]</f>
        <v>86852.954916000002</v>
      </c>
      <c r="BW282" s="93"/>
      <c r="BX282" s="93">
        <f>ППД5[[#This Row],[Наценка 06.06.24
0К: В2,Г3 +0,5%
1К: А7, Б5/4, Г6 +0,5%
3К: В6 +0,5%
1К: А3 +1%]]+ППД5[[#This Row],[Фикс 24.05.24]]</f>
        <v>86852.954916000002</v>
      </c>
      <c r="BY282" s="93"/>
      <c r="BZ282" s="93">
        <f>ППД5[[#This Row],[Фикс 06.06.24]]+ППД5[[#This Row],[13.06.2024
3К - 2%]]</f>
        <v>86852.954916000002</v>
      </c>
      <c r="CA282" s="93"/>
      <c r="CB282" s="93">
        <f>ППД5[[#This Row],[02.07.2024: Г3 А1 А3 Б5 Б7 Г2 Г6 Б3 Б4 В3 Г7 2,5% ост 0,5-1,5%]]+ППД5[[#This Row],[Фикс 13.06.24]]</f>
        <v>86852.954916000002</v>
      </c>
      <c r="CC282" s="93"/>
      <c r="CD282" s="93">
        <f>ППД5[[#This Row],[Фикс 02.07.24]]+ППД5[[#This Row],[04.09.2024 +500
0К - Б2; 1К - А3;
2К - А6, Б4, В3, Г5]]</f>
        <v>86852.954916000002</v>
      </c>
      <c r="CE282" s="93"/>
      <c r="CF282" s="93">
        <f>ППД5[[#This Row],[Наценка 16.09.2024
1К: А1,В7,Г6/7,Г8 - 2%
2К: А4,А5,А6,Б1,Б6,Б3/4,В3,В4,Г4,Г5 - 4%
3К: 4%]]+ППД5[[#This Row],[Фикс 04.09.24]]</f>
        <v>86852.954916000002</v>
      </c>
      <c r="CG282" s="93"/>
      <c r="CH282" s="93">
        <f>ППД5[[#This Row],[Фикс 16.09.2024]]+ППД5[[#This Row],[Наценка 01.11.24
СТ: 4%
1К: 34-40м 5%; 40м+ 8%; МГН 1%
2К: 55-70м 6%; 70-73м 7%; 73-76м 8% 
3К: 5%]]</f>
        <v>86852.954916000002</v>
      </c>
      <c r="CI282" s="93"/>
      <c r="CJ282" s="93">
        <f>ППД5[[#This Row],[Наценка 06.11 13%]]+ППД5[[#This Row],[Фикс 01.11.24]]</f>
        <v>86852.954916000002</v>
      </c>
      <c r="CK282" s="93"/>
      <c r="CL282" s="93">
        <f>ППД5[[#This Row],[Фикс 06.11.24]]+ППД5[[#This Row],[Наценка 18.12.24 распределение КВ]]</f>
        <v>86852.954916000002</v>
      </c>
      <c r="CM282" s="93"/>
      <c r="CN282" s="93">
        <f>ППД5[[#This Row],[Фикс 18.12.24]]+ППД5[[#This Row],[Наценка 10.02.25 +1%
1К: А3
2К: Б3, В3]]</f>
        <v>86852.954916000002</v>
      </c>
      <c r="CO282" s="93">
        <f>ROUND(ППД5[[#This Row],[Фикс 10.02.25]],2)</f>
        <v>86852.95</v>
      </c>
      <c r="CP28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4914139.91</v>
      </c>
      <c r="CQ282" s="93">
        <f>ROUNDUP(ППД5[[#This Row],[Стоимость до скидки]]+ППД5[[#This Row],[Сумма доплаты]],-2)</f>
        <v>4898600</v>
      </c>
      <c r="CR282" s="68"/>
      <c r="CS282" s="90">
        <v>0.02</v>
      </c>
      <c r="CT282" s="68">
        <f>ППД5[[#This Row],[Стоимость до скидки]]*ППД5[[#This Row],[Скидка %]]+ППД5[[#This Row],[Скидка фиксированная]]</f>
        <v>98282.798200000005</v>
      </c>
      <c r="CU282" s="3">
        <f>ППД5[[#This Row],[Стоимость ОН без отделки со скидкой]]/ППД5[[#This Row],[Расчетная проектная площадь]]</f>
        <v>85115.890950866044</v>
      </c>
      <c r="CV282" s="3">
        <f>ROUND(ППД5[[#This Row],[Стоимость до скидки]]-ППД5[[#This Row],[Итоговая сумма скидки]],2)</f>
        <v>4815857.1100000003</v>
      </c>
      <c r="CW28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82" s="197">
        <v>22000</v>
      </c>
      <c r="CY282" s="332">
        <f>ППД5[[#This Row],[Расхождение]]/ППД5[[#This Row],[Расчетная проектная площадь]]</f>
        <v>-3.1813361611876937E-3</v>
      </c>
      <c r="CZ28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0.20000000000000284</v>
      </c>
      <c r="DA282" s="3">
        <f>ППД5[[#This Row],[Цена м2 без отделки со скидкой]]+ППД5[[#This Row],[Стоимость отделки]]</f>
        <v>107115.89095086604</v>
      </c>
      <c r="DB282" s="3">
        <f>ППД5[[#This Row],[Стоимость квартиры с отделкой]]-ППД5[[#This Row],[Стоимость ОН без отделки со скидкой]]</f>
        <v>1244760</v>
      </c>
      <c r="DC282" s="3">
        <f>ППД5[[#This Row],[Цена м2 с отделкой]]*ППД5[[#This Row],[Расчетная проектная площадь]]</f>
        <v>6060617.1100000003</v>
      </c>
      <c r="DD282" s="3" t="s">
        <v>154</v>
      </c>
      <c r="DE282" s="111" t="s">
        <v>757</v>
      </c>
      <c r="DF282" s="199" t="s">
        <v>172</v>
      </c>
      <c r="DG282" s="245" t="s">
        <v>172</v>
      </c>
      <c r="DH282" s="100" t="b">
        <f>EXACT(ППД5[[#This Row],[Статусы CRM]],ППД5[[#This Row],[Статус]])</f>
        <v>1</v>
      </c>
      <c r="DI282" s="213" t="s">
        <v>454</v>
      </c>
      <c r="DJ282" s="204"/>
      <c r="DK282" s="111" t="s">
        <v>76</v>
      </c>
      <c r="DL282" s="216" t="s">
        <v>14</v>
      </c>
      <c r="DM282" s="201" t="b">
        <f>ППД5[[#This Row],[Отделка CRM]]=ППД5[[#This Row],[Отделка]]</f>
        <v>1</v>
      </c>
      <c r="DN282" s="203">
        <v>6060617.1100000003</v>
      </c>
      <c r="DO28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82" s="207" t="b">
        <f>IF(AND(ППД5[[#This Row],[Статус]]="свободно",ППД5[[#This Row],[Итоговая сумма скидки]]&lt;&gt;0),FALSE,TRUE)</f>
        <v>1</v>
      </c>
      <c r="DQ282" s="240">
        <f>_xlfn.XLOOKUP(ППД5[[#This Row],[№]],Юрист[№ кв],Юрист[Дата подачи на регистрацию]," ",0,-1)</f>
        <v>45254</v>
      </c>
      <c r="DR282" s="115" t="str">
        <f>_xlfn.XLOOKUP(ППД5[[#This Row],[№]],Юрист[№ кв],Юрист[МОП],"",0,-1)</f>
        <v>Дик</v>
      </c>
      <c r="DS282" s="333" t="s">
        <v>2856</v>
      </c>
      <c r="DT282" s="333" t="s">
        <v>2857</v>
      </c>
      <c r="DU282" s="333">
        <v>55.1</v>
      </c>
      <c r="DV282" s="111"/>
    </row>
    <row r="283" spans="1:126" hidden="1" x14ac:dyDescent="0.25">
      <c r="A283" s="112">
        <v>281</v>
      </c>
      <c r="B283" s="111" t="s">
        <v>3</v>
      </c>
      <c r="C283" s="111">
        <v>9</v>
      </c>
      <c r="D283" s="111">
        <v>4</v>
      </c>
      <c r="E283" s="111">
        <v>2</v>
      </c>
      <c r="F283" s="105">
        <v>15.45</v>
      </c>
      <c r="G283" s="105">
        <v>10.34</v>
      </c>
      <c r="H283" s="105"/>
      <c r="I283" s="94">
        <f>SUM(ППД5[[#This Row],[Комната 1]:[Комната 3]])</f>
        <v>25.79</v>
      </c>
      <c r="J283" s="105">
        <v>15.44</v>
      </c>
      <c r="K283" s="105">
        <v>4.59</v>
      </c>
      <c r="L283" s="105">
        <v>2.21</v>
      </c>
      <c r="M283" s="105"/>
      <c r="N283" s="105">
        <v>10.79</v>
      </c>
      <c r="O283" s="105">
        <v>2.84</v>
      </c>
      <c r="P283" s="105"/>
      <c r="Q283" s="105"/>
      <c r="R283" s="105">
        <f>SUM(ППД5[[#This Row],[Лоджия 1]:[Лоджия 3]])</f>
        <v>2.84</v>
      </c>
      <c r="S283" s="8">
        <f>ROUND(SUM(ППД5[[#This Row],[Площадь по проекту жилая]:[Лоджия 3]]),2)</f>
        <v>61.66</v>
      </c>
      <c r="T283" s="8">
        <f>ROUND(ППД5[[#This Row],[Площадь по проекту(общая)]]-ППД5[[#This Row],[Летние]],2)</f>
        <v>58.82</v>
      </c>
      <c r="U283" s="91">
        <f>ROUND(ППД5[[#This Row],[Площадь по проекту(общая)]]-(SUM(ППД5[[#This Row],[Лоджия 1]:[Лоджия 3]])/2),2)</f>
        <v>60.24</v>
      </c>
      <c r="V283" s="91">
        <f>IF(ППД5[[#This Row],[Статус]]="продажа",ППД5[[#This Row],[Расчетная проектная площадь]],ППД5[[#This Row],[Расчетная ТП площадь]])</f>
        <v>60.24</v>
      </c>
      <c r="W283" s="91">
        <v>15.5</v>
      </c>
      <c r="X283" s="91">
        <v>10.3</v>
      </c>
      <c r="Y283" s="91"/>
      <c r="Z283" s="91">
        <f>SUM(ППД5[[#This Row],[ТП Комната 1]:[ТП Комната 3]])</f>
        <v>25.8</v>
      </c>
      <c r="AA283" s="91">
        <v>15.4</v>
      </c>
      <c r="AB283" s="91">
        <v>4.5999999999999996</v>
      </c>
      <c r="AC283" s="91">
        <v>2.2000000000000002</v>
      </c>
      <c r="AD283" s="91"/>
      <c r="AE283" s="91">
        <v>10.8</v>
      </c>
      <c r="AF283" s="91">
        <v>1.4</v>
      </c>
      <c r="AG283" s="91"/>
      <c r="AH283" s="91"/>
      <c r="AI283" s="91">
        <f>SUM(ППД5[[#This Row],[ТП Лоджия 1]:[ТП Лоджия 3]])</f>
        <v>1.4</v>
      </c>
      <c r="AJ283" s="95">
        <v>2.8</v>
      </c>
      <c r="AK283" s="91">
        <f>SUM(ППД5[[#This Row],[Площадь по ТП жилая]:[ТП Лоджия 3]])-ППД5[[#This Row],[ТП Летние]]+ППД5[[#This Row],[кроме того прочая
(без коэффициента)]]</f>
        <v>61.600000000000009</v>
      </c>
      <c r="AL283" s="95">
        <f>ППД5[[#This Row],[ТП Площадь без летних]]+(ППД5[[#This Row],[ТП Летние]])</f>
        <v>60.20000000000001</v>
      </c>
      <c r="AM283" s="91">
        <f>ППД5[[#This Row],[ТП общая S]]-ППД5[[#This Row],[кроме того прочая
(без коэффициента)]]</f>
        <v>58.800000000000011</v>
      </c>
      <c r="AN283" s="95">
        <f>SUM(ППД5[[#This Row],[ТП Кухня]:[ТП Коридор]])</f>
        <v>33</v>
      </c>
      <c r="AO283" s="91">
        <f>ППД5[[#This Row],[Расчетная ТП площадь]]-ППД5[[#This Row],[Расчетная проектная площадь]]</f>
        <v>-3.9999999999992042E-2</v>
      </c>
      <c r="AP283" s="335">
        <f>ППД5[[#This Row],[Расчетная ТП площадь]]/ППД5[[#This Row],[Расчетная проектная площадь]]-1</f>
        <v>-6.6401062416987511E-4</v>
      </c>
      <c r="AQ283" s="91">
        <f>ППД5[[#This Row],[% расхождения]]*ППД5[[#This Row],[Стоимость до скидки]]</f>
        <v>-4102.7224435584076</v>
      </c>
      <c r="AR283" s="91">
        <f>VLOOKUP(ППД5[[#This Row],[№]],наценкад5[],COLUMN(наценкад5[[#This Row],[Цена м2 с учетом всех K]]),0)</f>
        <v>82238.34150000001</v>
      </c>
      <c r="AS283" s="8">
        <f>ППД5[[#This Row],[м2 после К]]*5%</f>
        <v>4111.9170750000003</v>
      </c>
      <c r="AT283" s="8">
        <f>ППД5[[#This Row],[м2 после К]]+ППД5[[#This Row],[Повышение 16.08.23 - 5%]]</f>
        <v>86350.258575000014</v>
      </c>
      <c r="AU283" s="93">
        <f>ППД5[[#This Row],[Фикс 16.08.23]]*3%</f>
        <v>2590.5077572500004</v>
      </c>
      <c r="AV283" s="93">
        <f>ППД5[[#This Row],[Фикс 16.08.23]]+ППД5[[#This Row],[Повышение 29.08.23 - 3%]]</f>
        <v>88940.766332250016</v>
      </c>
      <c r="AW283" s="93"/>
      <c r="AX283" s="93">
        <f>ППД5[[#This Row],[Фикс 29.08.23]]+ППД5[[#This Row],[Повышение 06.09.23 СТ и 1К]]</f>
        <v>88940.766332250016</v>
      </c>
      <c r="AY283" s="93"/>
      <c r="AZ283" s="93">
        <f>ППД5[[#This Row],[Повышение 23.10.23  В4 ]]+ППД5[[#This Row],[Фикс 06.09.23]]</f>
        <v>88940.766332250016</v>
      </c>
      <c r="BA283" s="93"/>
      <c r="BB283" s="93">
        <f>ППД5[[#This Row],[Повышение 8.11.23 1К 5%]]+ППД5[[#This Row],[Фикс 23.10.23]]</f>
        <v>88940.766332250016</v>
      </c>
      <c r="BC283" s="93"/>
      <c r="BD283" s="93">
        <f>ППД5[[#This Row],[Корректировка 24.11.23 - 1К В5, 2К А2, №233]]+ППД5[[#This Row],[Фикс 8.11.23]]</f>
        <v>88940.766332250016</v>
      </c>
      <c r="BE283" s="93">
        <f>ППД5[[#This Row],[Фикс 8.11.24]]*1%</f>
        <v>889.40766332250018</v>
      </c>
      <c r="BF283" s="93">
        <f>ППД5[[#This Row],[Наценка за отделку 29.12.23 1%]]+ППД5[[#This Row],[Фикс 8.11.24]]</f>
        <v>89830.173995572521</v>
      </c>
      <c r="BG283" s="93">
        <f>ППД5[[#This Row],[Фикс 29.12.23]]*5%</f>
        <v>4491.5086997786266</v>
      </c>
      <c r="BH283" s="93">
        <f>ППД5[[#This Row],[Фикс 29.12.23]]+ППД5[[#This Row],[Наценка 10.01.24 5%]]</f>
        <v>94321.682695351148</v>
      </c>
      <c r="BI283" s="93"/>
      <c r="BJ283" s="93">
        <f>ППД5[[#This Row],[Наценка 26.02.24 1 Этаж]]+ППД5[[#This Row],[Фикс 10.01.24]]</f>
        <v>94321.682695351148</v>
      </c>
      <c r="BK283" s="93">
        <f>ППД5[[#This Row],[Фикс 26.02.24]]*2%</f>
        <v>1886.433653907023</v>
      </c>
      <c r="BL283" s="93">
        <f>ППД5[[#This Row],[Фикс 26.02.24]]+ППД5[[#This Row],[Наценка 06.03.24
СТ, 1К - 3%
2К, 3К - 2%]]</f>
        <v>96208.116349258169</v>
      </c>
      <c r="BM283" s="93"/>
      <c r="BN283" s="93">
        <f>ППД5[[#This Row],[Фикс 06.03.24]]+ППД5[[#This Row],[Наценка Г2+500]]</f>
        <v>96208.116349258169</v>
      </c>
      <c r="BO283" s="93">
        <f>ППД5[[#This Row],[Фикс 13.03.25]]*2%</f>
        <v>1924.1623269851634</v>
      </c>
      <c r="BP283" s="93">
        <f>ППД5[[#This Row],[Фикс 13.03.25]]+ППД5[[#This Row],[Наценка 20.03.24
2К, 3К - 2%]]</f>
        <v>98132.278676243339</v>
      </c>
      <c r="BQ283" s="93"/>
      <c r="BR283" s="93">
        <f>ППД5[[#This Row],[Фикс 20.03.24]]+ППД5[[#This Row],[Наценка 08.04.24 
2К: В3 - 150
3К: Г7 +1000]]</f>
        <v>98132.278676243339</v>
      </c>
      <c r="BS283" s="93"/>
      <c r="BT283" s="93">
        <f>ППД5[[#This Row],[Фикс 08.04.24]]+ППД5[[#This Row],[Наценка 16.05.24 1%
А4,А6,Б3,Б6,Б7,В2,В3,В5,В6,Г1,Г3-Г5]]</f>
        <v>98132.278676243339</v>
      </c>
      <c r="BU283" s="93"/>
      <c r="BV283" s="93">
        <f>ППД5[[#This Row],[Фикс 16.05.24]]+ППД5[[#This Row],[Наценка 24.05.24
1% - Б4, Б5,Г2,Г6
2% - А1,А3,А5,Б2,Г7]]</f>
        <v>98132.278676243339</v>
      </c>
      <c r="BW283" s="93"/>
      <c r="BX283" s="93">
        <f>ППД5[[#This Row],[Наценка 06.06.24
0К: В2,Г3 +0,5%
1К: А7, Б5/4, Г6 +0,5%
3К: В6 +0,5%
1К: А3 +1%]]+ППД5[[#This Row],[Фикс 24.05.24]]</f>
        <v>98132.278676243339</v>
      </c>
      <c r="BY283" s="93"/>
      <c r="BZ283" s="93">
        <f>ППД5[[#This Row],[Фикс 06.06.24]]+ППД5[[#This Row],[13.06.2024
3К - 2%]]</f>
        <v>98132.278676243339</v>
      </c>
      <c r="CA283" s="93">
        <f>0.5%*ППД5[[#This Row],[Фикс 13.06.24]]</f>
        <v>490.66139338121673</v>
      </c>
      <c r="CB283" s="93">
        <f>ППД5[[#This Row],[02.07.2024: Г3 А1 А3 Б5 Б7 Г2 Г6 Б3 Б4 В3 Г7 2,5% ост 0,5-1,5%]]+ППД5[[#This Row],[Фикс 13.06.24]]</f>
        <v>98622.940069624558</v>
      </c>
      <c r="CC283" s="93"/>
      <c r="CD283" s="93">
        <f>ППД5[[#This Row],[Фикс 02.07.24]]+ППД5[[#This Row],[04.09.2024 +500
0К - Б2; 1К - А3;
2К - А6, Б4, В3, Г5]]</f>
        <v>98622.940069624558</v>
      </c>
      <c r="CE283" s="93">
        <f>ППД5[[#This Row],[Фикс 04.09.24]]*4%</f>
        <v>3944.9176027849826</v>
      </c>
      <c r="CF283" s="93">
        <f>ППД5[[#This Row],[Наценка 16.09.2024
1К: А1,В7,Г6/7,Г8 - 2%
2К: А4,А5,А6,Б1,Б6,Б3/4,В3,В4,Г4,Г5 - 4%
3К: 4%]]+ППД5[[#This Row],[Фикс 04.09.24]]</f>
        <v>102567.85767240953</v>
      </c>
      <c r="CG283" s="93"/>
      <c r="CH283" s="93">
        <f>ППД5[[#This Row],[Фикс 16.09.2024]]+ППД5[[#This Row],[Наценка 01.11.24
СТ: 4%
1К: 34-40м 5%; 40м+ 8%; МГН 1%
2К: 55-70м 6%; 70-73м 7%; 73-76м 8% 
3К: 5%]]</f>
        <v>102567.85767240953</v>
      </c>
      <c r="CI283" s="93"/>
      <c r="CJ283" s="93">
        <f>ППД5[[#This Row],[Наценка 06.11 13%]]+ППД5[[#This Row],[Фикс 01.11.24]]</f>
        <v>102567.85767240953</v>
      </c>
      <c r="CK283" s="93"/>
      <c r="CL283" s="93">
        <f>ППД5[[#This Row],[Фикс 06.11.24]]+ППД5[[#This Row],[Наценка 18.12.24 распределение КВ]]</f>
        <v>102567.85767240953</v>
      </c>
      <c r="CM283" s="93"/>
      <c r="CN283" s="93">
        <f>ППД5[[#This Row],[Фикс 18.12.24]]+ППД5[[#This Row],[Наценка 10.02.25 +1%
1К: А3
2К: Б3, В3]]</f>
        <v>102567.85767240953</v>
      </c>
      <c r="CO283" s="93">
        <f>ROUND(ППД5[[#This Row],[Фикс 10.02.25]],2)</f>
        <v>102567.86</v>
      </c>
      <c r="CP28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6178700</v>
      </c>
      <c r="CQ283" s="93">
        <f>ROUNDUP(ППД5[[#This Row],[Стоимость до скидки]]+ППД5[[#This Row],[Сумма доплаты]],-2)</f>
        <v>6174600</v>
      </c>
      <c r="CR283" s="68"/>
      <c r="CS283" s="90">
        <v>0.02</v>
      </c>
      <c r="CT283" s="68">
        <f>ППД5[[#This Row],[Стоимость до скидки]]*ППД5[[#This Row],[Скидка %]]+ППД5[[#This Row],[Скидка фиксированная]]</f>
        <v>123574</v>
      </c>
      <c r="CU283" s="3">
        <f>ППД5[[#This Row],[Стоимость ОН без отделки со скидкой]]/ППД5[[#This Row],[Расчетная проектная площадь]]</f>
        <v>100516.69986719787</v>
      </c>
      <c r="CV283" s="3">
        <f>ROUND(ППД5[[#This Row],[Стоимость до скидки]]-ППД5[[#This Row],[Итоговая сумма скидки]],2)</f>
        <v>6055126</v>
      </c>
      <c r="CW28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283" s="197">
        <v>8000</v>
      </c>
      <c r="CY283" s="332">
        <f>ППД5[[#This Row],[Расхождение]]/ППД5[[#This Row],[Расчетная проектная площадь]]</f>
        <v>-6.6401062416985462E-4</v>
      </c>
      <c r="CZ28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-2.9999999999999361E-2</v>
      </c>
      <c r="DA283" s="3">
        <f>ППД5[[#This Row],[Цена м2 без отделки со скидкой]]+ППД5[[#This Row],[Стоимость отделки]]</f>
        <v>108516.69986719787</v>
      </c>
      <c r="DB283" s="3">
        <f>ППД5[[#This Row],[Стоимость квартиры с отделкой]]-ППД5[[#This Row],[Стоимость ОН без отделки со скидкой]]</f>
        <v>481920</v>
      </c>
      <c r="DC283" s="3">
        <f>ППД5[[#This Row],[Цена м2 с отделкой]]*ППД5[[#This Row],[Расчетная проектная площадь]]</f>
        <v>6537046</v>
      </c>
      <c r="DD283" s="3"/>
      <c r="DE283" s="111" t="s">
        <v>757</v>
      </c>
      <c r="DF283" s="155" t="s">
        <v>172</v>
      </c>
      <c r="DG283" s="245" t="s">
        <v>172</v>
      </c>
      <c r="DH283" s="100" t="b">
        <f>EXACT(ППД5[[#This Row],[Статусы CRM]],ППД5[[#This Row],[Статус]])</f>
        <v>1</v>
      </c>
      <c r="DI283" s="213" t="s">
        <v>455</v>
      </c>
      <c r="DJ283" s="204"/>
      <c r="DK283" s="111" t="s">
        <v>763</v>
      </c>
      <c r="DL283" s="216" t="s">
        <v>780</v>
      </c>
      <c r="DM283" s="201" t="b">
        <f>ППД5[[#This Row],[Отделка CRM]]=ППД5[[#This Row],[Отделка]]</f>
        <v>1</v>
      </c>
      <c r="DN283" s="203">
        <v>6537046</v>
      </c>
      <c r="DO28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83" s="207" t="b">
        <f>IF(AND(ППД5[[#This Row],[Статус]]="свободно",ППД5[[#This Row],[Итоговая сумма скидки]]&lt;&gt;0),FALSE,TRUE)</f>
        <v>1</v>
      </c>
      <c r="DQ283" s="240">
        <f>_xlfn.XLOOKUP(ППД5[[#This Row],[№]],Юрист[№ кв],Юрист[Дата подачи на регистрацию]," ",0,-1)</f>
        <v>45604</v>
      </c>
      <c r="DR283" s="115" t="str">
        <f>_xlfn.XLOOKUP(ППД5[[#This Row],[№]],Юрист[№ кв],Юрист[МОП],"",0,-1)</f>
        <v>Полехович</v>
      </c>
      <c r="DS283" s="333" t="s">
        <v>2858</v>
      </c>
      <c r="DT283" s="333" t="s">
        <v>2859</v>
      </c>
      <c r="DU283" s="333">
        <v>58.8</v>
      </c>
      <c r="DV283" s="111"/>
    </row>
    <row r="284" spans="1:126" hidden="1" x14ac:dyDescent="0.25">
      <c r="A284" s="112">
        <v>282</v>
      </c>
      <c r="B284" s="111" t="s">
        <v>3</v>
      </c>
      <c r="C284" s="111">
        <v>9</v>
      </c>
      <c r="D284" s="111">
        <v>5</v>
      </c>
      <c r="E284" s="111">
        <v>1</v>
      </c>
      <c r="F284" s="105">
        <v>12.54</v>
      </c>
      <c r="G284" s="105"/>
      <c r="H284" s="105"/>
      <c r="I284" s="94">
        <f>SUM(ППД5[[#This Row],[Комната 1]:[Комната 3]])</f>
        <v>12.54</v>
      </c>
      <c r="J284" s="105">
        <v>12.74</v>
      </c>
      <c r="K284" s="105">
        <v>4.0199999999999996</v>
      </c>
      <c r="L284" s="105"/>
      <c r="M284" s="105"/>
      <c r="N284" s="105">
        <v>7.09</v>
      </c>
      <c r="O284" s="105">
        <v>2.84</v>
      </c>
      <c r="P284" s="105"/>
      <c r="Q284" s="105"/>
      <c r="R284" s="105">
        <f>SUM(ППД5[[#This Row],[Лоджия 1]:[Лоджия 3]])</f>
        <v>2.84</v>
      </c>
      <c r="S284" s="8">
        <f>ROUND(SUM(ППД5[[#This Row],[Площадь по проекту жилая]:[Лоджия 3]]),2)</f>
        <v>39.229999999999997</v>
      </c>
      <c r="T284" s="8">
        <f>ROUND(ППД5[[#This Row],[Площадь по проекту(общая)]]-ППД5[[#This Row],[Летние]],2)</f>
        <v>36.39</v>
      </c>
      <c r="U284" s="91">
        <f>ROUND(ППД5[[#This Row],[Площадь по проекту(общая)]]-(SUM(ППД5[[#This Row],[Лоджия 1]:[Лоджия 3]])/2),2)</f>
        <v>37.81</v>
      </c>
      <c r="V284" s="91">
        <f>IF(ППД5[[#This Row],[Статус]]="продажа",ППД5[[#This Row],[Расчетная проектная площадь]],ППД5[[#This Row],[Расчетная ТП площадь]])</f>
        <v>37.81</v>
      </c>
      <c r="W284" s="91">
        <v>12.6</v>
      </c>
      <c r="X284" s="91"/>
      <c r="Y284" s="91"/>
      <c r="Z284" s="91">
        <f>SUM(ППД5[[#This Row],[ТП Комната 1]:[ТП Комната 3]])</f>
        <v>12.6</v>
      </c>
      <c r="AA284" s="91">
        <v>12.6</v>
      </c>
      <c r="AB284" s="91">
        <v>4.0999999999999996</v>
      </c>
      <c r="AC284" s="91"/>
      <c r="AD284" s="91"/>
      <c r="AE284" s="91">
        <v>6.8</v>
      </c>
      <c r="AF284" s="91">
        <v>1.4</v>
      </c>
      <c r="AG284" s="91"/>
      <c r="AH284" s="91"/>
      <c r="AI284" s="91">
        <f>SUM(ППД5[[#This Row],[ТП Лоджия 1]:[ТП Лоджия 3]])</f>
        <v>1.4</v>
      </c>
      <c r="AJ284" s="95">
        <v>2.8</v>
      </c>
      <c r="AK284" s="91">
        <f>SUM(ППД5[[#This Row],[Площадь по ТП жилая]:[ТП Лоджия 3]])-ППД5[[#This Row],[ТП Летние]]+ППД5[[#This Row],[кроме того прочая
(без коэффициента)]]</f>
        <v>38.899999999999991</v>
      </c>
      <c r="AL284" s="95">
        <f>ППД5[[#This Row],[ТП Площадь без летних]]+(ППД5[[#This Row],[ТП Летние]])</f>
        <v>37.499999999999993</v>
      </c>
      <c r="AM284" s="91">
        <f>ППД5[[#This Row],[ТП общая S]]-ППД5[[#This Row],[кроме того прочая
(без коэффициента)]]</f>
        <v>36.099999999999994</v>
      </c>
      <c r="AN284" s="95">
        <f>SUM(ППД5[[#This Row],[ТП Кухня]:[ТП Коридор]])</f>
        <v>23.5</v>
      </c>
      <c r="AO284" s="91">
        <f>ППД5[[#This Row],[Расчетная ТП площадь]]-ППД5[[#This Row],[Расчетная проектная площадь]]</f>
        <v>-0.31000000000000938</v>
      </c>
      <c r="AP284" s="335">
        <f>ППД5[[#This Row],[Расчетная ТП площадь]]/ППД5[[#This Row],[Расчетная проектная площадь]]-1</f>
        <v>-8.1988891827561305E-3</v>
      </c>
      <c r="AQ284" s="91">
        <f>ППД5[[#This Row],[% расхождения]]*ППД5[[#This Row],[Стоимость до скидки]]</f>
        <v>-42937.582650093857</v>
      </c>
      <c r="AR284" s="91">
        <f>VLOOKUP(ППД5[[#This Row],[№]],наценкад5[],COLUMN(наценкад5[[#This Row],[Цена м2 с учетом всех K]]),0)</f>
        <v>89223.75</v>
      </c>
      <c r="AS284" s="8">
        <f>ППД5[[#This Row],[м2 после К]]*5%</f>
        <v>4461.1875</v>
      </c>
      <c r="AT284" s="8">
        <f>ППД5[[#This Row],[м2 после К]]+ППД5[[#This Row],[Повышение 16.08.23 - 5%]]</f>
        <v>93684.9375</v>
      </c>
      <c r="AU284" s="93">
        <f>ППД5[[#This Row],[Фикс 16.08.23]]*3%</f>
        <v>2810.5481249999998</v>
      </c>
      <c r="AV284" s="93">
        <f>ППД5[[#This Row],[Фикс 16.08.23]]+ППД5[[#This Row],[Повышение 29.08.23 - 3%]]</f>
        <v>96495.485625000001</v>
      </c>
      <c r="AW284" s="93">
        <f>ППД5[[#This Row],[Фикс 29.08.23]]*4.5%</f>
        <v>4342.2968531249999</v>
      </c>
      <c r="AX284" s="93">
        <f>ППД5[[#This Row],[Фикс 29.08.23]]+ППД5[[#This Row],[Повышение 06.09.23 СТ и 1К]]</f>
        <v>100837.78247812499</v>
      </c>
      <c r="AY284" s="93"/>
      <c r="AZ284" s="93">
        <f>ППД5[[#This Row],[Повышение 23.10.23  В4 ]]+ППД5[[#This Row],[Фикс 06.09.23]]</f>
        <v>100837.78247812499</v>
      </c>
      <c r="BA284" s="93">
        <f>ППД5[[#This Row],[Фикс 23.10.23]]*5%</f>
        <v>5041.8891239062505</v>
      </c>
      <c r="BB284" s="93">
        <f>ППД5[[#This Row],[Повышение 8.11.23 1К 5%]]+ППД5[[#This Row],[Фикс 23.10.23]]</f>
        <v>105879.67160203125</v>
      </c>
      <c r="BC284" s="93">
        <v>-620</v>
      </c>
      <c r="BD284" s="93">
        <f>ППД5[[#This Row],[Корректировка 24.11.23 - 1К В5, 2К А2, №233]]+ППД5[[#This Row],[Фикс 8.11.23]]</f>
        <v>105259.67160203125</v>
      </c>
      <c r="BE284" s="93">
        <f>ППД5[[#This Row],[Фикс 8.11.24]]*1%</f>
        <v>1052.5967160203124</v>
      </c>
      <c r="BF284" s="93">
        <f>ППД5[[#This Row],[Наценка за отделку 29.12.23 1%]]+ППД5[[#This Row],[Фикс 8.11.24]]</f>
        <v>106312.26831805156</v>
      </c>
      <c r="BG284" s="93">
        <f>ППД5[[#This Row],[Фикс 29.12.23]]*5%</f>
        <v>5315.6134159025787</v>
      </c>
      <c r="BH284" s="93">
        <f>ППД5[[#This Row],[Фикс 29.12.23]]+ППД5[[#This Row],[Наценка 10.01.24 5%]]</f>
        <v>111627.88173395414</v>
      </c>
      <c r="BI284" s="93"/>
      <c r="BJ284" s="93">
        <f>ППД5[[#This Row],[Наценка 26.02.24 1 Этаж]]+ППД5[[#This Row],[Фикс 10.01.24]]</f>
        <v>111627.88173395414</v>
      </c>
      <c r="BK284" s="93">
        <f>ППД5[[#This Row],[Фикс 26.02.24]]*3%</f>
        <v>3348.8364520186242</v>
      </c>
      <c r="BL284" s="93">
        <f>ППД5[[#This Row],[Фикс 26.02.24]]+ППД5[[#This Row],[Наценка 06.03.24
СТ, 1К - 3%
2К, 3К - 2%]]</f>
        <v>114976.71818597277</v>
      </c>
      <c r="BM284" s="93"/>
      <c r="BN284" s="93">
        <f>ППД5[[#This Row],[Фикс 06.03.24]]+ППД5[[#This Row],[Наценка Г2+500]]</f>
        <v>114976.71818597277</v>
      </c>
      <c r="BO284" s="93"/>
      <c r="BP284" s="93">
        <f>ППД5[[#This Row],[Фикс 13.03.25]]+ППД5[[#This Row],[Наценка 20.03.24
2К, 3К - 2%]]</f>
        <v>114976.71818597277</v>
      </c>
      <c r="BQ284" s="93"/>
      <c r="BR284" s="93">
        <f>ППД5[[#This Row],[Фикс 20.03.24]]+ППД5[[#This Row],[Наценка 08.04.24 
2К: В3 - 150
3К: Г7 +1000]]</f>
        <v>114976.71818597277</v>
      </c>
      <c r="BS284" s="93">
        <f>ППД5[[#This Row],[Фикс 08.04.24]]*1%</f>
        <v>1149.7671818597278</v>
      </c>
      <c r="BT284" s="93">
        <f>ППД5[[#This Row],[Фикс 08.04.24]]+ППД5[[#This Row],[Наценка 16.05.24 1%
А4,А6,Б3,Б6,Б7,В2,В3,В5,В6,Г1,Г3-Г5]]</f>
        <v>116126.4853678325</v>
      </c>
      <c r="BU284" s="93"/>
      <c r="BV284" s="93">
        <f>ППД5[[#This Row],[Фикс 16.05.24]]+ППД5[[#This Row],[Наценка 24.05.24
1% - Б4, Б5,Г2,Г6
2% - А1,А3,А5,Б2,Г7]]</f>
        <v>116126.4853678325</v>
      </c>
      <c r="BW284" s="93"/>
      <c r="BX284" s="93">
        <f>ППД5[[#This Row],[Наценка 06.06.24
0К: В2,Г3 +0,5%
1К: А7, Б5/4, Г6 +0,5%
3К: В6 +0,5%
1К: А3 +1%]]+ППД5[[#This Row],[Фикс 24.05.24]]</f>
        <v>116126.4853678325</v>
      </c>
      <c r="BY284" s="93"/>
      <c r="BZ284" s="93">
        <f>ППД5[[#This Row],[Фикс 06.06.24]]+ППД5[[#This Row],[13.06.2024
3К - 2%]]</f>
        <v>116126.4853678325</v>
      </c>
      <c r="CA284" s="93">
        <f>0.5%*ППД5[[#This Row],[Фикс 13.06.24]]</f>
        <v>580.63242683916258</v>
      </c>
      <c r="CB284" s="93">
        <f>ППД5[[#This Row],[02.07.2024: Г3 А1 А3 Б5 Б7 Г2 Г6 Б3 Б4 В3 Г7 2,5% ост 0,5-1,5%]]+ППД5[[#This Row],[Фикс 13.06.24]]</f>
        <v>116707.11779467166</v>
      </c>
      <c r="CC284" s="93"/>
      <c r="CD284" s="93">
        <f>ППД5[[#This Row],[Фикс 02.07.24]]+ППД5[[#This Row],[04.09.2024 +500
0К - Б2; 1К - А3;
2К - А6, Б4, В3, Г5]]</f>
        <v>116707.11779467166</v>
      </c>
      <c r="CE284" s="93"/>
      <c r="CF284" s="93">
        <f>ППД5[[#This Row],[Наценка 16.09.2024
1К: А1,В7,Г6/7,Г8 - 2%
2К: А4,А5,А6,Б1,Б6,Б3/4,В3,В4,Г4,Г5 - 4%
3К: 4%]]+ППД5[[#This Row],[Фикс 04.09.24]]</f>
        <v>116707.11779467166</v>
      </c>
      <c r="CG284" s="93">
        <f>ППД5[[#This Row],[Фикс 16.09.2024]]*5%</f>
        <v>5835.3558897335834</v>
      </c>
      <c r="CH284" s="93">
        <f>ППД5[[#This Row],[Фикс 16.09.2024]]+ППД5[[#This Row],[Наценка 01.11.24
СТ: 4%
1К: 34-40м 5%; 40м+ 8%; МГН 1%
2К: 55-70м 6%; 70-73м 7%; 73-76м 8% 
3К: 5%]]</f>
        <v>122542.47368440525</v>
      </c>
      <c r="CI284" s="93">
        <f>ППД5[[#This Row],[Фикс 01.11.24]]*13%</f>
        <v>15930.521578972683</v>
      </c>
      <c r="CJ284" s="93">
        <f>ППД5[[#This Row],[Наценка 06.11 13%]]+ППД5[[#This Row],[Фикс 01.11.24]]</f>
        <v>138472.99526337793</v>
      </c>
      <c r="CK284" s="93">
        <v>35</v>
      </c>
      <c r="CL284" s="93">
        <f>ППД5[[#This Row],[Фикс 06.11.24]]+ППД5[[#This Row],[Наценка 18.12.24 распределение КВ]]</f>
        <v>138507.99526337793</v>
      </c>
      <c r="CM284" s="93"/>
      <c r="CN284" s="93">
        <f>ППД5[[#This Row],[Фикс 18.12.24]]+ППД5[[#This Row],[Наценка 10.02.25 +1%
1К: А3
2К: Б3, В3]]</f>
        <v>138507.99526337793</v>
      </c>
      <c r="CO284" s="93">
        <f>ROUND(ППД5[[#This Row],[Фикс 10.02.25]],2)</f>
        <v>138508</v>
      </c>
      <c r="CP28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5237000</v>
      </c>
      <c r="CQ284" s="93">
        <f>ROUNDUP(ППД5[[#This Row],[Стоимость до скидки]]+ППД5[[#This Row],[Сумма доплаты]],-2)</f>
        <v>5194100</v>
      </c>
      <c r="CR284" s="68">
        <f>ППД5[[#This Row],[Расчетная проектная площадь]]*8000</f>
        <v>302480</v>
      </c>
      <c r="CS284" s="90"/>
      <c r="CT284" s="68">
        <f>ППД5[[#This Row],[Стоимость до скидки]]*ППД5[[#This Row],[Скидка %]]+ППД5[[#This Row],[Скидка фиксированная]]</f>
        <v>302480</v>
      </c>
      <c r="CU284" s="3">
        <f>ППД5[[#This Row],[Стоимость ОН без отделки со скидкой]]/ППД5[[#This Row],[Расчетная проектная площадь]]</f>
        <v>130508.33112933085</v>
      </c>
      <c r="CV284" s="3">
        <f>ROUND(ППД5[[#This Row],[Стоимость до скидки]]-ППД5[[#This Row],[Итоговая сумма скидки]],2)</f>
        <v>4934520</v>
      </c>
      <c r="CW28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284" s="197">
        <v>10000</v>
      </c>
      <c r="CY284" s="332">
        <f>ППД5[[#This Row],[Расхождение]]/ППД5[[#This Row],[Расчетная проектная площадь]]</f>
        <v>-8.1988891827561323E-3</v>
      </c>
      <c r="CZ28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-0.34999999999999964</v>
      </c>
      <c r="DA284" s="3">
        <f>ППД5[[#This Row],[Цена м2 без отделки со скидкой]]+ППД5[[#This Row],[Стоимость отделки]]</f>
        <v>140508.33112933085</v>
      </c>
      <c r="DB284" s="3">
        <f>ППД5[[#This Row],[Стоимость квартиры с отделкой]]-ППД5[[#This Row],[Стоимость ОН без отделки со скидкой]]</f>
        <v>378100</v>
      </c>
      <c r="DC284" s="3">
        <f>ППД5[[#This Row],[Цена м2 с отделкой]]*ППД5[[#This Row],[Расчетная проектная площадь]]</f>
        <v>5312620</v>
      </c>
      <c r="DD284" s="3"/>
      <c r="DE284" s="111" t="s">
        <v>2122</v>
      </c>
      <c r="DF284" s="155" t="s">
        <v>172</v>
      </c>
      <c r="DG284" s="221" t="s">
        <v>172</v>
      </c>
      <c r="DH284" s="100" t="b">
        <f>EXACT(ППД5[[#This Row],[Статусы CRM]],ППД5[[#This Row],[Статус]])</f>
        <v>1</v>
      </c>
      <c r="DI284" s="213" t="s">
        <v>456</v>
      </c>
      <c r="DJ284" s="204"/>
      <c r="DK284" s="111" t="s">
        <v>763</v>
      </c>
      <c r="DL284" s="216" t="s">
        <v>780</v>
      </c>
      <c r="DM284" s="201" t="b">
        <f>ППД5[[#This Row],[Отделка CRM]]=ППД5[[#This Row],[Отделка]]</f>
        <v>1</v>
      </c>
      <c r="DN284" s="203">
        <v>5312620</v>
      </c>
      <c r="DO28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84" s="207" t="b">
        <f>IF(AND(ППД5[[#This Row],[Статус]]="свободно",ППД5[[#This Row],[Итоговая сумма скидки]]&lt;&gt;0),FALSE,TRUE)</f>
        <v>1</v>
      </c>
      <c r="DQ284" s="240">
        <f>_xlfn.XLOOKUP(ППД5[[#This Row],[№]],Юрист[№ кв],Юрист[Дата подачи на регистрацию]," ",0,-1)</f>
        <v>45749</v>
      </c>
      <c r="DR284" s="115" t="str">
        <f>_xlfn.XLOOKUP(ППД5[[#This Row],[№]],Юрист[№ кв],Юрист[МОП],"",0,-1)</f>
        <v>Нуждина</v>
      </c>
      <c r="DS284" s="333" t="s">
        <v>2860</v>
      </c>
      <c r="DT284" s="333" t="s">
        <v>2861</v>
      </c>
      <c r="DU284" s="333">
        <v>36.1</v>
      </c>
      <c r="DV284" s="111"/>
    </row>
    <row r="285" spans="1:126" hidden="1" x14ac:dyDescent="0.25">
      <c r="A285" s="112">
        <v>283</v>
      </c>
      <c r="B285" s="111" t="s">
        <v>3</v>
      </c>
      <c r="C285" s="111">
        <v>9</v>
      </c>
      <c r="D285" s="111">
        <v>6</v>
      </c>
      <c r="E285" s="111">
        <v>3</v>
      </c>
      <c r="F285" s="105">
        <v>17.2</v>
      </c>
      <c r="G285" s="105">
        <v>14.64</v>
      </c>
      <c r="H285" s="105">
        <v>14.34</v>
      </c>
      <c r="I285" s="94">
        <f>SUM(ППД5[[#This Row],[Комната 1]:[Комната 3]])</f>
        <v>46.18</v>
      </c>
      <c r="J285" s="105">
        <v>13.15</v>
      </c>
      <c r="K285" s="105">
        <v>4.03</v>
      </c>
      <c r="L285" s="105">
        <v>1.76</v>
      </c>
      <c r="M285" s="105"/>
      <c r="N285" s="105">
        <v>13.11</v>
      </c>
      <c r="O285" s="105">
        <v>2.79</v>
      </c>
      <c r="P285" s="105">
        <v>2.68</v>
      </c>
      <c r="Q285" s="105"/>
      <c r="R285" s="105">
        <f>SUM(ППД5[[#This Row],[Лоджия 1]:[Лоджия 3]])</f>
        <v>5.4700000000000006</v>
      </c>
      <c r="S285" s="8">
        <f>ROUND(SUM(ППД5[[#This Row],[Площадь по проекту жилая]:[Лоджия 3]]),2)</f>
        <v>83.7</v>
      </c>
      <c r="T285" s="8">
        <f>ROUND(ППД5[[#This Row],[Площадь по проекту(общая)]]-ППД5[[#This Row],[Летние]],2)</f>
        <v>78.23</v>
      </c>
      <c r="U285" s="91">
        <f>ROUND(ППД5[[#This Row],[Площадь по проекту(общая)]]-(SUM(ППД5[[#This Row],[Лоджия 1]:[Лоджия 3]])/2),2)</f>
        <v>80.97</v>
      </c>
      <c r="V285" s="91">
        <f>IF(ППД5[[#This Row],[Статус]]="продажа",ППД5[[#This Row],[Расчетная проектная площадь]],ППД5[[#This Row],[Расчетная ТП площадь]])</f>
        <v>80.97</v>
      </c>
      <c r="W285" s="91">
        <v>17.2</v>
      </c>
      <c r="X285" s="91">
        <v>14.5</v>
      </c>
      <c r="Y285" s="91">
        <v>14.3</v>
      </c>
      <c r="Z285" s="91">
        <f>SUM(ППД5[[#This Row],[ТП Комната 1]:[ТП Комната 3]])</f>
        <v>46</v>
      </c>
      <c r="AA285" s="91">
        <v>13</v>
      </c>
      <c r="AB285" s="91">
        <v>4</v>
      </c>
      <c r="AC285" s="91">
        <v>1.8</v>
      </c>
      <c r="AD285" s="91"/>
      <c r="AE285" s="91">
        <v>13</v>
      </c>
      <c r="AF285" s="91">
        <v>1.4</v>
      </c>
      <c r="AG285" s="92">
        <v>1.35</v>
      </c>
      <c r="AH285" s="91"/>
      <c r="AI285" s="91">
        <f>SUM(ППД5[[#This Row],[ТП Лоджия 1]:[ТП Лоджия 3]])</f>
        <v>2.75</v>
      </c>
      <c r="AJ285" s="95">
        <v>5.5</v>
      </c>
      <c r="AK285" s="91">
        <f>SUM(ППД5[[#This Row],[Площадь по ТП жилая]:[ТП Лоджия 3]])-ППД5[[#This Row],[ТП Летние]]+ППД5[[#This Row],[кроме того прочая
(без коэффициента)]]</f>
        <v>83.3</v>
      </c>
      <c r="AL285" s="95">
        <f>ППД5[[#This Row],[ТП Площадь без летних]]+(ППД5[[#This Row],[ТП Летние]])</f>
        <v>80.55</v>
      </c>
      <c r="AM285" s="91">
        <f>ППД5[[#This Row],[ТП общая S]]-ППД5[[#This Row],[кроме того прочая
(без коэффициента)]]</f>
        <v>77.8</v>
      </c>
      <c r="AN285" s="95">
        <f>SUM(ППД5[[#This Row],[ТП Кухня]:[ТП Коридор]])</f>
        <v>31.8</v>
      </c>
      <c r="AO285" s="91">
        <f>ППД5[[#This Row],[Расчетная ТП площадь]]-ППД5[[#This Row],[Расчетная проектная площадь]]</f>
        <v>-0.42000000000000171</v>
      </c>
      <c r="AP285" s="335">
        <f>ППД5[[#This Row],[Расчетная ТП площадь]]/ППД5[[#This Row],[Расчетная проектная площадь]]-1</f>
        <v>-5.1871063356798697E-3</v>
      </c>
      <c r="AQ285" s="91">
        <f>ППД5[[#This Row],[% расхождения]]*ППД5[[#This Row],[Стоимость до скидки]]</f>
        <v>-40270.100037050666</v>
      </c>
      <c r="AR285" s="91">
        <f>VLOOKUP(ППД5[[#This Row],[№]],наценкад5[],COLUMN(наценкад5[[#This Row],[Цена м2 с учетом всех K]]),0)</f>
        <v>73520.37000000001</v>
      </c>
      <c r="AS285" s="8">
        <f>ППД5[[#This Row],[м2 после К]]*5%</f>
        <v>3676.0185000000006</v>
      </c>
      <c r="AT285" s="8">
        <f>ППД5[[#This Row],[м2 после К]]+ППД5[[#This Row],[Повышение 16.08.23 - 5%]]</f>
        <v>77196.388500000015</v>
      </c>
      <c r="AU285" s="93">
        <f>ППД5[[#This Row],[Фикс 16.08.23]]*3%</f>
        <v>2315.8916550000004</v>
      </c>
      <c r="AV285" s="93">
        <f>ППД5[[#This Row],[Фикс 16.08.23]]+ППД5[[#This Row],[Повышение 29.08.23 - 3%]]</f>
        <v>79512.280155000015</v>
      </c>
      <c r="AW285" s="93"/>
      <c r="AX285" s="93">
        <f>ППД5[[#This Row],[Фикс 29.08.23]]+ППД5[[#This Row],[Повышение 06.09.23 СТ и 1К]]</f>
        <v>79512.280155000015</v>
      </c>
      <c r="AY285" s="93"/>
      <c r="AZ285" s="93">
        <f>ППД5[[#This Row],[Повышение 23.10.23  В4 ]]+ППД5[[#This Row],[Фикс 06.09.23]]</f>
        <v>79512.280155000015</v>
      </c>
      <c r="BA285" s="93"/>
      <c r="BB285" s="93">
        <f>ППД5[[#This Row],[Повышение 8.11.23 1К 5%]]+ППД5[[#This Row],[Фикс 23.10.23]]</f>
        <v>79512.280155000015</v>
      </c>
      <c r="BC285" s="93"/>
      <c r="BD285" s="93">
        <f>ППД5[[#This Row],[Корректировка 24.11.23 - 1К В5, 2К А2, №233]]+ППД5[[#This Row],[Фикс 8.11.23]]</f>
        <v>79512.280155000015</v>
      </c>
      <c r="BE285" s="93">
        <f>ППД5[[#This Row],[Фикс 8.11.24]]*1%</f>
        <v>795.12280155000019</v>
      </c>
      <c r="BF285" s="93">
        <f>ППД5[[#This Row],[Наценка за отделку 29.12.23 1%]]+ППД5[[#This Row],[Фикс 8.11.24]]</f>
        <v>80307.40295655001</v>
      </c>
      <c r="BG285" s="93">
        <f>ППД5[[#This Row],[Фикс 29.12.23]]*5%</f>
        <v>4015.3701478275007</v>
      </c>
      <c r="BH285" s="93">
        <f>ППД5[[#This Row],[Фикс 29.12.23]]+ППД5[[#This Row],[Наценка 10.01.24 5%]]</f>
        <v>84322.773104377513</v>
      </c>
      <c r="BI285" s="93"/>
      <c r="BJ285" s="93">
        <f>ППД5[[#This Row],[Наценка 26.02.24 1 Этаж]]+ППД5[[#This Row],[Фикс 10.01.24]]</f>
        <v>84322.773104377513</v>
      </c>
      <c r="BK285" s="93">
        <f>ППД5[[#This Row],[Фикс 26.02.24]]*2%</f>
        <v>1686.4554620875504</v>
      </c>
      <c r="BL285" s="93">
        <f>ППД5[[#This Row],[Фикс 26.02.24]]+ППД5[[#This Row],[Наценка 06.03.24
СТ, 1К - 3%
2К, 3К - 2%]]</f>
        <v>86009.22856646507</v>
      </c>
      <c r="BM285" s="93"/>
      <c r="BN285" s="93">
        <f>ППД5[[#This Row],[Фикс 06.03.24]]+ППД5[[#This Row],[Наценка Г2+500]]</f>
        <v>86009.22856646507</v>
      </c>
      <c r="BO285" s="93">
        <f>ППД5[[#This Row],[Фикс 13.03.25]]*2%</f>
        <v>1720.1845713293014</v>
      </c>
      <c r="BP285" s="93">
        <f>ППД5[[#This Row],[Фикс 13.03.25]]+ППД5[[#This Row],[Наценка 20.03.24
2К, 3К - 2%]]</f>
        <v>87729.41313779437</v>
      </c>
      <c r="BQ285" s="93"/>
      <c r="BR285" s="93">
        <f>ППД5[[#This Row],[Фикс 20.03.24]]+ППД5[[#This Row],[Наценка 08.04.24 
2К: В3 - 150
3К: Г7 +1000]]</f>
        <v>87729.41313779437</v>
      </c>
      <c r="BS285" s="93">
        <f>ППД5[[#This Row],[Фикс 08.04.24]]*1%</f>
        <v>877.2941313779437</v>
      </c>
      <c r="BT285" s="93">
        <f>ППД5[[#This Row],[Фикс 08.04.24]]+ППД5[[#This Row],[Наценка 16.05.24 1%
А4,А6,Б3,Б6,Б7,В2,В3,В5,В6,Г1,Г3-Г5]]</f>
        <v>88606.707269172315</v>
      </c>
      <c r="BU285" s="93"/>
      <c r="BV285" s="93">
        <f>ППД5[[#This Row],[Фикс 16.05.24]]+ППД5[[#This Row],[Наценка 24.05.24
1% - Б4, Б5,Г2,Г6
2% - А1,А3,А5,Б2,Г7]]</f>
        <v>88606.707269172315</v>
      </c>
      <c r="BW285" s="93">
        <f>ППД5[[#This Row],[Фикс 24.05.24]]*0.5%</f>
        <v>443.03353634586159</v>
      </c>
      <c r="BX285" s="93">
        <f>ППД5[[#This Row],[Наценка 06.06.24
0К: В2,Г3 +0,5%
1К: А7, Б5/4, Г6 +0,5%
3К: В6 +0,5%
1К: А3 +1%]]+ППД5[[#This Row],[Фикс 24.05.24]]</f>
        <v>89049.740805518173</v>
      </c>
      <c r="BY285" s="93">
        <f>ППД5[[#This Row],[Фикс 06.06.24]]*2%</f>
        <v>1780.9948161103634</v>
      </c>
      <c r="BZ285" s="93">
        <f>ППД5[[#This Row],[Фикс 06.06.24]]+ППД5[[#This Row],[13.06.2024
3К - 2%]]</f>
        <v>90830.735621628541</v>
      </c>
      <c r="CA285" s="93">
        <f>1.5%*ППД5[[#This Row],[Фикс 13.06.24]]</f>
        <v>1362.4610343244281</v>
      </c>
      <c r="CB285" s="93">
        <f>ППД5[[#This Row],[02.07.2024: Г3 А1 А3 Б5 Б7 Г2 Г6 Б3 Б4 В3 Г7 2,5% ост 0,5-1,5%]]+ППД5[[#This Row],[Фикс 13.06.24]]</f>
        <v>92193.196655952968</v>
      </c>
      <c r="CC285" s="93"/>
      <c r="CD285" s="93">
        <f>ППД5[[#This Row],[Фикс 02.07.24]]+ППД5[[#This Row],[04.09.2024 +500
0К - Б2; 1К - А3;
2К - А6, Б4, В3, Г5]]</f>
        <v>92193.196655952968</v>
      </c>
      <c r="CE285" s="93">
        <f>ППД5[[#This Row],[Фикс 04.09.24]]*4%</f>
        <v>3687.7278662381186</v>
      </c>
      <c r="CF285" s="93">
        <f>ППД5[[#This Row],[Наценка 16.09.2024
1К: А1,В7,Г6/7,Г8 - 2%
2К: А4,А5,А6,Б1,Б6,Б3/4,В3,В4,Г4,Г5 - 4%
3К: 4%]]+ППД5[[#This Row],[Фикс 04.09.24]]</f>
        <v>95880.924522191082</v>
      </c>
      <c r="CG285" s="93"/>
      <c r="CH285" s="93">
        <f>ППД5[[#This Row],[Фикс 16.09.2024]]+ППД5[[#This Row],[Наценка 01.11.24
СТ: 4%
1К: 34-40м 5%; 40м+ 8%; МГН 1%
2К: 55-70м 6%; 70-73м 7%; 73-76м 8% 
3К: 5%]]</f>
        <v>95880.924522191082</v>
      </c>
      <c r="CI285" s="93"/>
      <c r="CJ285" s="93">
        <f>ППД5[[#This Row],[Наценка 06.11 13%]]+ППД5[[#This Row],[Фикс 01.11.24]]</f>
        <v>95880.924522191082</v>
      </c>
      <c r="CK285" s="93"/>
      <c r="CL285" s="93">
        <f>ППД5[[#This Row],[Фикс 06.11.24]]+ППД5[[#This Row],[Наценка 18.12.24 распределение КВ]]</f>
        <v>95880.924522191082</v>
      </c>
      <c r="CM285" s="93"/>
      <c r="CN285" s="93">
        <f>ППД5[[#This Row],[Фикс 18.12.24]]+ППД5[[#This Row],[Наценка 10.02.25 +1%
1К: А3
2К: Б3, В3]]</f>
        <v>95880.924522191082</v>
      </c>
      <c r="CO285" s="93">
        <f>ROUND(ППД5[[#This Row],[Фикс 10.02.25]],2)</f>
        <v>95880.92</v>
      </c>
      <c r="CP28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7763500</v>
      </c>
      <c r="CQ285" s="93">
        <f>ROUNDUP(ППД5[[#This Row],[Стоимость до скидки]]+ППД5[[#This Row],[Сумма доплаты]],-2)</f>
        <v>7723300</v>
      </c>
      <c r="CR285" s="68"/>
      <c r="CS285" s="90">
        <v>0.02</v>
      </c>
      <c r="CT285" s="68">
        <f>ППД5[[#This Row],[Стоимость до скидки]]*ППД5[[#This Row],[Скидка %]]+ППД5[[#This Row],[Скидка фиксированная]]</f>
        <v>155270</v>
      </c>
      <c r="CU285" s="3">
        <f>ППД5[[#This Row],[Стоимость ОН без отделки со скидкой]]/ППД5[[#This Row],[Расчетная проектная площадь]]</f>
        <v>93963.566753118444</v>
      </c>
      <c r="CV285" s="3">
        <f>ROUND(ППД5[[#This Row],[Стоимость до скидки]]-ППД5[[#This Row],[Итоговая сумма скидки]],2)</f>
        <v>7608230</v>
      </c>
      <c r="CW28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85" s="197"/>
      <c r="CY285" s="332">
        <f>ППД5[[#This Row],[Расхождение]]/ППД5[[#This Row],[Расчетная проектная площадь]]</f>
        <v>-5.1871063356799026E-3</v>
      </c>
      <c r="CZ28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-0.25000000000000178</v>
      </c>
      <c r="DA285" s="3">
        <f>ППД5[[#This Row],[Цена м2 без отделки со скидкой]]+ППД5[[#This Row],[Стоимость отделки]]</f>
        <v>93963.566753118444</v>
      </c>
      <c r="DB285" s="3">
        <f>ППД5[[#This Row],[Стоимость квартиры с отделкой]]-ППД5[[#This Row],[Стоимость ОН без отделки со скидкой]]</f>
        <v>0</v>
      </c>
      <c r="DC285" s="3">
        <f>ППД5[[#This Row],[Цена м2 с отделкой]]*ППД5[[#This Row],[Расчетная проектная площадь]]</f>
        <v>7608230</v>
      </c>
      <c r="DD285" s="3"/>
      <c r="DE285" s="111" t="s">
        <v>757</v>
      </c>
      <c r="DF285" s="199" t="s">
        <v>172</v>
      </c>
      <c r="DG285" s="245" t="s">
        <v>172</v>
      </c>
      <c r="DH285" s="100" t="b">
        <f>EXACT(ППД5[[#This Row],[Статусы CRM]],ППД5[[#This Row],[Статус]])</f>
        <v>1</v>
      </c>
      <c r="DI285" s="213" t="s">
        <v>457</v>
      </c>
      <c r="DJ285" s="204"/>
      <c r="DK285" s="111" t="s">
        <v>763</v>
      </c>
      <c r="DL285" s="216" t="s">
        <v>12</v>
      </c>
      <c r="DM285" s="201" t="b">
        <f>ППД5[[#This Row],[Отделка CRM]]=ППД5[[#This Row],[Отделка]]</f>
        <v>1</v>
      </c>
      <c r="DN285" s="203">
        <v>7608230</v>
      </c>
      <c r="DO28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85" s="207" t="b">
        <f>IF(AND(ППД5[[#This Row],[Статус]]="свободно",ППД5[[#This Row],[Итоговая сумма скидки]]&lt;&gt;0),FALSE,TRUE)</f>
        <v>1</v>
      </c>
      <c r="DQ285" s="240">
        <f>_xlfn.XLOOKUP(ППД5[[#This Row],[№]],Юрист[№ кв],Юрист[Дата подачи на регистрацию]," ",0,-1)</f>
        <v>45595</v>
      </c>
      <c r="DR285" s="115" t="str">
        <f>_xlfn.XLOOKUP(ППД5[[#This Row],[№]],Юрист[№ кв],Юрист[МОП],"",0,-1)</f>
        <v>Полехович</v>
      </c>
      <c r="DS285" s="333" t="s">
        <v>2862</v>
      </c>
      <c r="DT285" s="333" t="s">
        <v>2863</v>
      </c>
      <c r="DU285" s="333">
        <v>77.8</v>
      </c>
      <c r="DV285" s="111"/>
    </row>
    <row r="286" spans="1:126" hidden="1" x14ac:dyDescent="0.25">
      <c r="A286" s="112">
        <v>284</v>
      </c>
      <c r="B286" s="111" t="s">
        <v>3</v>
      </c>
      <c r="C286" s="111">
        <v>9</v>
      </c>
      <c r="D286" s="111">
        <v>7</v>
      </c>
      <c r="E286" s="111">
        <v>1</v>
      </c>
      <c r="F286" s="105">
        <v>14.3</v>
      </c>
      <c r="G286" s="105"/>
      <c r="H286" s="105"/>
      <c r="I286" s="94">
        <f>SUM(ППД5[[#This Row],[Комната 1]:[Комната 3]])</f>
        <v>14.3</v>
      </c>
      <c r="J286" s="105">
        <v>9.2799999999999994</v>
      </c>
      <c r="K286" s="105">
        <v>3.79</v>
      </c>
      <c r="L286" s="105"/>
      <c r="M286" s="105"/>
      <c r="N286" s="105">
        <v>6.08</v>
      </c>
      <c r="O286" s="105">
        <v>2.71</v>
      </c>
      <c r="P286" s="105"/>
      <c r="Q286" s="105"/>
      <c r="R286" s="105">
        <f>SUM(ППД5[[#This Row],[Лоджия 1]:[Лоджия 3]])</f>
        <v>2.71</v>
      </c>
      <c r="S286" s="8">
        <f>ROUND(SUM(ППД5[[#This Row],[Площадь по проекту жилая]:[Лоджия 3]]),2)</f>
        <v>36.159999999999997</v>
      </c>
      <c r="T286" s="8">
        <f>ROUND(ППД5[[#This Row],[Площадь по проекту(общая)]]-ППД5[[#This Row],[Летние]],2)</f>
        <v>33.450000000000003</v>
      </c>
      <c r="U286" s="91">
        <f>ROUND(ППД5[[#This Row],[Площадь по проекту(общая)]]-(SUM(ППД5[[#This Row],[Лоджия 1]:[Лоджия 3]])/2),2)</f>
        <v>34.81</v>
      </c>
      <c r="V286" s="91">
        <f>IF(ППД5[[#This Row],[Статус]]="продажа",ППД5[[#This Row],[Расчетная проектная площадь]],ППД5[[#This Row],[Расчетная ТП площадь]])</f>
        <v>34.81</v>
      </c>
      <c r="W286" s="91">
        <v>14.3</v>
      </c>
      <c r="X286" s="91"/>
      <c r="Y286" s="91"/>
      <c r="Z286" s="91">
        <f>SUM(ППД5[[#This Row],[ТП Комната 1]:[ТП Комната 3]])</f>
        <v>14.3</v>
      </c>
      <c r="AA286" s="91">
        <v>9.1999999999999993</v>
      </c>
      <c r="AB286" s="91">
        <v>3.8</v>
      </c>
      <c r="AC286" s="91"/>
      <c r="AD286" s="91"/>
      <c r="AE286" s="91">
        <v>6.1</v>
      </c>
      <c r="AF286" s="91">
        <v>1.3</v>
      </c>
      <c r="AG286" s="91"/>
      <c r="AH286" s="91"/>
      <c r="AI286" s="91">
        <f>SUM(ППД5[[#This Row],[ТП Лоджия 1]:[ТП Лоджия 3]])</f>
        <v>1.3</v>
      </c>
      <c r="AJ286" s="95">
        <v>2.6</v>
      </c>
      <c r="AK286" s="91">
        <f>SUM(ППД5[[#This Row],[Площадь по ТП жилая]:[ТП Лоджия 3]])-ППД5[[#This Row],[ТП Летние]]+ППД5[[#This Row],[кроме того прочая
(без коэффициента)]]</f>
        <v>36</v>
      </c>
      <c r="AL286" s="95">
        <f>ППД5[[#This Row],[ТП Площадь без летних]]+(ППД5[[#This Row],[ТП Летние]])</f>
        <v>34.699999999999996</v>
      </c>
      <c r="AM286" s="91">
        <f>ППД5[[#This Row],[ТП общая S]]-ППД5[[#This Row],[кроме того прочая
(без коэффициента)]]</f>
        <v>33.4</v>
      </c>
      <c r="AN286" s="95">
        <f>SUM(ППД5[[#This Row],[ТП Кухня]:[ТП Коридор]])</f>
        <v>19.100000000000001</v>
      </c>
      <c r="AO286" s="91">
        <f>ППД5[[#This Row],[Расчетная ТП площадь]]-ППД5[[#This Row],[Расчетная проектная площадь]]</f>
        <v>-0.11000000000000654</v>
      </c>
      <c r="AP286" s="335">
        <f>ППД5[[#This Row],[Расчетная ТП площадь]]/ППД5[[#This Row],[Расчетная проектная площадь]]-1</f>
        <v>-3.1600114909510202E-3</v>
      </c>
      <c r="AQ286" s="91">
        <f>ППД5[[#This Row],[% расхождения]]*ППД5[[#This Row],[Стоимость до скидки]]</f>
        <v>-12070.295891985612</v>
      </c>
      <c r="AR286" s="91">
        <f>VLOOKUP(ППД5[[#This Row],[№]],наценкад5[],COLUMN(наценкад5[[#This Row],[Цена м2 с учетом всех K]]),0)</f>
        <v>84762.5625</v>
      </c>
      <c r="AS286" s="8">
        <f>ППД5[[#This Row],[м2 после К]]*5%</f>
        <v>4238.1281250000002</v>
      </c>
      <c r="AT286" s="8">
        <f>ППД5[[#This Row],[м2 после К]]+ППД5[[#This Row],[Повышение 16.08.23 - 5%]]</f>
        <v>89000.690625000003</v>
      </c>
      <c r="AU286" s="93">
        <f>ППД5[[#This Row],[Фикс 16.08.23]]*3%</f>
        <v>2670.02071875</v>
      </c>
      <c r="AV286" s="93">
        <f>ППД5[[#This Row],[Фикс 16.08.23]]+ППД5[[#This Row],[Повышение 29.08.23 - 3%]]</f>
        <v>91670.711343750008</v>
      </c>
      <c r="AW286" s="93">
        <f>ППД5[[#This Row],[Фикс 29.08.23]]*14%</f>
        <v>12833.899588125003</v>
      </c>
      <c r="AX286" s="93">
        <f>ППД5[[#This Row],[Фикс 29.08.23]]+ППД5[[#This Row],[Повышение 06.09.23 СТ и 1К]]</f>
        <v>104504.61093187501</v>
      </c>
      <c r="AY286" s="93"/>
      <c r="AZ286" s="93">
        <f>ППД5[[#This Row],[Повышение 23.10.23  В4 ]]+ППД5[[#This Row],[Фикс 06.09.23]]</f>
        <v>104504.61093187501</v>
      </c>
      <c r="BA286" s="93">
        <f>ППД5[[#This Row],[Фикс 23.10.23]]*5%</f>
        <v>5225.2305465937507</v>
      </c>
      <c r="BB286" s="93">
        <f>ППД5[[#This Row],[Повышение 8.11.23 1К 5%]]+ППД5[[#This Row],[Фикс 23.10.23]]</f>
        <v>109729.84147846876</v>
      </c>
      <c r="BC286" s="93"/>
      <c r="BD286" s="93">
        <f>ППД5[[#This Row],[Корректировка 24.11.23 - 1К В5, 2К А2, №233]]+ППД5[[#This Row],[Фикс 8.11.23]]</f>
        <v>109729.84147846876</v>
      </c>
      <c r="BE286" s="93"/>
      <c r="BF286" s="93">
        <f>ППД5[[#This Row],[Наценка за отделку 29.12.23 1%]]+ППД5[[#This Row],[Фикс 8.11.24]]</f>
        <v>109729.84147846876</v>
      </c>
      <c r="BG286" s="93"/>
      <c r="BH286" s="93">
        <f>ППД5[[#This Row],[Фикс 29.12.23]]+ППД5[[#This Row],[Наценка 10.01.24 5%]]</f>
        <v>109729.84147846876</v>
      </c>
      <c r="BI286" s="93"/>
      <c r="BJ286" s="93">
        <f>ППД5[[#This Row],[Наценка 26.02.24 1 Этаж]]+ППД5[[#This Row],[Фикс 10.01.24]]</f>
        <v>109729.84147846876</v>
      </c>
      <c r="BK286" s="93"/>
      <c r="BL286" s="93">
        <f>ППД5[[#This Row],[Фикс 26.02.24]]+ППД5[[#This Row],[Наценка 06.03.24
СТ, 1К - 3%
2К, 3К - 2%]]</f>
        <v>109729.84147846876</v>
      </c>
      <c r="BM286" s="93"/>
      <c r="BN286" s="93">
        <f>ППД5[[#This Row],[Фикс 06.03.24]]+ППД5[[#This Row],[Наценка Г2+500]]</f>
        <v>109729.84147846876</v>
      </c>
      <c r="BO286" s="93"/>
      <c r="BP286" s="93">
        <f>ППД5[[#This Row],[Фикс 13.03.25]]+ППД5[[#This Row],[Наценка 20.03.24
2К, 3К - 2%]]</f>
        <v>109729.84147846876</v>
      </c>
      <c r="BQ286" s="93"/>
      <c r="BR286" s="93">
        <f>ППД5[[#This Row],[Фикс 20.03.24]]+ППД5[[#This Row],[Наценка 08.04.24 
2К: В3 - 150
3К: Г7 +1000]]</f>
        <v>109729.84147846876</v>
      </c>
      <c r="BS286" s="93"/>
      <c r="BT286" s="93">
        <f>ППД5[[#This Row],[Фикс 08.04.24]]+ППД5[[#This Row],[Наценка 16.05.24 1%
А4,А6,Б3,Б6,Б7,В2,В3,В5,В6,Г1,Г3-Г5]]</f>
        <v>109729.84147846876</v>
      </c>
      <c r="BU286" s="93"/>
      <c r="BV286" s="93">
        <f>ППД5[[#This Row],[Фикс 16.05.24]]+ППД5[[#This Row],[Наценка 24.05.24
1% - Б4, Б5,Г2,Г6
2% - А1,А3,А5,Б2,Г7]]</f>
        <v>109729.84147846876</v>
      </c>
      <c r="BW286" s="93"/>
      <c r="BX286" s="93">
        <f>ППД5[[#This Row],[Наценка 06.06.24
0К: В2,Г3 +0,5%
1К: А7, Б5/4, Г6 +0,5%
3К: В6 +0,5%
1К: А3 +1%]]+ППД5[[#This Row],[Фикс 24.05.24]]</f>
        <v>109729.84147846876</v>
      </c>
      <c r="BY286" s="93"/>
      <c r="BZ286" s="93">
        <f>ППД5[[#This Row],[Фикс 06.06.24]]+ППД5[[#This Row],[13.06.2024
3К - 2%]]</f>
        <v>109729.84147846876</v>
      </c>
      <c r="CA286" s="93"/>
      <c r="CB286" s="93">
        <f>ППД5[[#This Row],[02.07.2024: Г3 А1 А3 Б5 Б7 Г2 Г6 Б3 Б4 В3 Г7 2,5% ост 0,5-1,5%]]+ППД5[[#This Row],[Фикс 13.06.24]]</f>
        <v>109729.84147846876</v>
      </c>
      <c r="CC286" s="93"/>
      <c r="CD286" s="93">
        <f>ППД5[[#This Row],[Фикс 02.07.24]]+ППД5[[#This Row],[04.09.2024 +500
0К - Б2; 1К - А3;
2К - А6, Б4, В3, Г5]]</f>
        <v>109729.84147846876</v>
      </c>
      <c r="CE286" s="93"/>
      <c r="CF286" s="93">
        <f>ППД5[[#This Row],[Наценка 16.09.2024
1К: А1,В7,Г6/7,Г8 - 2%
2К: А4,А5,А6,Б1,Б6,Б3/4,В3,В4,Г4,Г5 - 4%
3К: 4%]]+ППД5[[#This Row],[Фикс 04.09.24]]</f>
        <v>109729.84147846876</v>
      </c>
      <c r="CG286" s="93"/>
      <c r="CH286" s="93">
        <f>ППД5[[#This Row],[Фикс 16.09.2024]]+ППД5[[#This Row],[Наценка 01.11.24
СТ: 4%
1К: 34-40м 5%; 40м+ 8%; МГН 1%
2К: 55-70м 6%; 70-73м 7%; 73-76м 8% 
3К: 5%]]</f>
        <v>109729.84147846876</v>
      </c>
      <c r="CI286" s="93"/>
      <c r="CJ286" s="93">
        <f>ППД5[[#This Row],[Наценка 06.11 13%]]+ППД5[[#This Row],[Фикс 01.11.24]]</f>
        <v>109729.84147846876</v>
      </c>
      <c r="CK286" s="93"/>
      <c r="CL286" s="93">
        <f>ППД5[[#This Row],[Фикс 06.11.24]]+ППД5[[#This Row],[Наценка 18.12.24 распределение КВ]]</f>
        <v>109729.84147846876</v>
      </c>
      <c r="CM286" s="93"/>
      <c r="CN286" s="93">
        <f>ППД5[[#This Row],[Фикс 18.12.24]]+ППД5[[#This Row],[Наценка 10.02.25 +1%
1К: А3
2К: Б3, В3]]</f>
        <v>109729.84147846876</v>
      </c>
      <c r="CO286" s="93">
        <f>ROUND(ППД5[[#This Row],[Фикс 10.02.25]],2)</f>
        <v>109729.84</v>
      </c>
      <c r="CP28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3819700</v>
      </c>
      <c r="CQ286" s="93">
        <f>ROUNDUP(ППД5[[#This Row],[Стоимость до скидки]]+ППД5[[#This Row],[Сумма доплаты]],-2)</f>
        <v>3807700</v>
      </c>
      <c r="CR286" s="68">
        <v>50000</v>
      </c>
      <c r="CS286" s="90"/>
      <c r="CT286" s="68">
        <f>ППД5[[#This Row],[Стоимость до скидки]]*ППД5[[#This Row],[Скидка %]]+ППД5[[#This Row],[Скидка фиксированная]]</f>
        <v>50000</v>
      </c>
      <c r="CU286" s="3">
        <f>ППД5[[#This Row],[Стоимость ОН без отделки со скидкой]]/ППД5[[#This Row],[Расчетная проектная площадь]]</f>
        <v>108293.59379488652</v>
      </c>
      <c r="CV286" s="3">
        <f>ROUND(ППД5[[#This Row],[Стоимость до скидки]]-ППД5[[#This Row],[Итоговая сумма скидки]],2)</f>
        <v>3769700</v>
      </c>
      <c r="CW28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286" s="197">
        <v>7500</v>
      </c>
      <c r="CY286" s="332">
        <f>ППД5[[#This Row],[Расхождение]]/ППД5[[#This Row],[Расчетная проектная площадь]]</f>
        <v>-3.1600114909510636E-3</v>
      </c>
      <c r="CZ28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-4.9999999999998934E-2</v>
      </c>
      <c r="DA286" s="3">
        <f>ППД5[[#This Row],[Цена м2 без отделки со скидкой]]+ППД5[[#This Row],[Стоимость отделки]]</f>
        <v>115793.59379488652</v>
      </c>
      <c r="DB286" s="3">
        <f>ППД5[[#This Row],[Стоимость квартиры с отделкой]]-ППД5[[#This Row],[Стоимость ОН без отделки со скидкой]]</f>
        <v>261075</v>
      </c>
      <c r="DC286" s="3">
        <f>ППД5[[#This Row],[Цена м2 с отделкой]]*ППД5[[#This Row],[Расчетная проектная площадь]]</f>
        <v>4030775</v>
      </c>
      <c r="DD286" s="3" t="s">
        <v>154</v>
      </c>
      <c r="DE286" s="111" t="s">
        <v>766</v>
      </c>
      <c r="DF286" s="199" t="s">
        <v>172</v>
      </c>
      <c r="DG286" s="245" t="s">
        <v>172</v>
      </c>
      <c r="DH286" s="100" t="b">
        <f>EXACT(ППД5[[#This Row],[Статусы CRM]],ППД5[[#This Row],[Статус]])</f>
        <v>1</v>
      </c>
      <c r="DI286" s="213" t="s">
        <v>458</v>
      </c>
      <c r="DJ286" s="204"/>
      <c r="DK286" s="111" t="s">
        <v>763</v>
      </c>
      <c r="DL286" s="216" t="s">
        <v>13</v>
      </c>
      <c r="DM286" s="201" t="b">
        <f>ППД5[[#This Row],[Отделка CRM]]=ППД5[[#This Row],[Отделка]]</f>
        <v>1</v>
      </c>
      <c r="DN286" s="203">
        <v>4030775</v>
      </c>
      <c r="DO28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86" s="207" t="b">
        <f>IF(AND(ППД5[[#This Row],[Статус]]="свободно",ППД5[[#This Row],[Итоговая сумма скидки]]&lt;&gt;0),FALSE,TRUE)</f>
        <v>1</v>
      </c>
      <c r="DQ286" s="240">
        <f>_xlfn.XLOOKUP(ППД5[[#This Row],[№]],Юрист[№ кв],Юрист[Дата подачи на регистрацию]," ",0,-1)</f>
        <v>45282</v>
      </c>
      <c r="DR286" s="115" t="str">
        <f>_xlfn.XLOOKUP(ППД5[[#This Row],[№]],Юрист[№ кв],Юрист[МОП],"",0,-1)</f>
        <v>Дик</v>
      </c>
      <c r="DS286" s="333" t="s">
        <v>2864</v>
      </c>
      <c r="DT286" s="333" t="s">
        <v>2865</v>
      </c>
      <c r="DU286" s="333">
        <v>33.4</v>
      </c>
      <c r="DV286" s="111"/>
    </row>
    <row r="287" spans="1:126" hidden="1" x14ac:dyDescent="0.25">
      <c r="A287" s="112">
        <v>285</v>
      </c>
      <c r="B287" s="111" t="s">
        <v>3</v>
      </c>
      <c r="C287" s="111">
        <v>10</v>
      </c>
      <c r="D287" s="338">
        <v>1</v>
      </c>
      <c r="E287" s="111">
        <v>2</v>
      </c>
      <c r="F287" s="105">
        <v>17.63</v>
      </c>
      <c r="G287" s="105">
        <v>13.69</v>
      </c>
      <c r="H287" s="105"/>
      <c r="I287" s="94">
        <f>SUM(ППД5[[#This Row],[Комната 1]:[Комната 3]])</f>
        <v>31.32</v>
      </c>
      <c r="J287" s="105">
        <v>20.05</v>
      </c>
      <c r="K287" s="105">
        <v>3.54</v>
      </c>
      <c r="L287" s="105">
        <v>2.93</v>
      </c>
      <c r="M287" s="105"/>
      <c r="N287" s="105">
        <v>12.19</v>
      </c>
      <c r="O287" s="105">
        <v>4.6500000000000004</v>
      </c>
      <c r="P287" s="105">
        <v>2.68</v>
      </c>
      <c r="Q287" s="105"/>
      <c r="R287" s="105">
        <f>SUM(ППД5[[#This Row],[Лоджия 1]:[Лоджия 3]])</f>
        <v>7.33</v>
      </c>
      <c r="S287" s="8">
        <f>ROUND(SUM(ППД5[[#This Row],[Площадь по проекту жилая]:[Лоджия 3]]),2)</f>
        <v>77.36</v>
      </c>
      <c r="T287" s="8">
        <f>ROUND(ППД5[[#This Row],[Площадь по проекту(общая)]]-ППД5[[#This Row],[Летние]],2)</f>
        <v>70.03</v>
      </c>
      <c r="U287" s="91">
        <f>ROUND(ППД5[[#This Row],[Площадь по проекту(общая)]]-(SUM(ППД5[[#This Row],[Лоджия 1]:[Лоджия 3]])/2),2)</f>
        <v>73.7</v>
      </c>
      <c r="V287" s="91">
        <f>IF(ППД5[[#This Row],[Статус]]="продажа",ППД5[[#This Row],[Расчетная проектная площадь]],ППД5[[#This Row],[Расчетная ТП площадь]])</f>
        <v>73.7</v>
      </c>
      <c r="W287" s="91">
        <v>17.600000000000001</v>
      </c>
      <c r="X287" s="91">
        <v>13.4</v>
      </c>
      <c r="Y287" s="91"/>
      <c r="Z287" s="91">
        <f>SUM(ППД5[[#This Row],[ТП Комната 1]:[ТП Комната 3]])</f>
        <v>31</v>
      </c>
      <c r="AA287" s="91">
        <v>20</v>
      </c>
      <c r="AB287" s="91">
        <v>3.5</v>
      </c>
      <c r="AC287" s="91">
        <v>2.9</v>
      </c>
      <c r="AD287" s="91"/>
      <c r="AE287" s="91">
        <v>12</v>
      </c>
      <c r="AF287" s="91">
        <v>1.35</v>
      </c>
      <c r="AG287" s="91">
        <v>2.2999999999999998</v>
      </c>
      <c r="AH287" s="91"/>
      <c r="AI287" s="91">
        <f>SUM(ППД5[[#This Row],[ТП Лоджия 1]:[ТП Лоджия 3]])</f>
        <v>3.65</v>
      </c>
      <c r="AJ287" s="95">
        <v>7.3</v>
      </c>
      <c r="AK287" s="91">
        <f>SUM(ППД5[[#This Row],[Площадь по ТП жилая]:[ТП Лоджия 3]])-ППД5[[#This Row],[ТП Летние]]+ППД5[[#This Row],[кроме того прочая
(без коэффициента)]]</f>
        <v>76.699999999999989</v>
      </c>
      <c r="AL287" s="95">
        <f>ППД5[[#This Row],[ТП Площадь без летних]]+(ППД5[[#This Row],[ТП Летние]])</f>
        <v>73.05</v>
      </c>
      <c r="AM287" s="91">
        <f>ППД5[[#This Row],[ТП общая S]]-ППД5[[#This Row],[кроме того прочая
(без коэффициента)]]</f>
        <v>69.399999999999991</v>
      </c>
      <c r="AN287" s="95">
        <f>SUM(ППД5[[#This Row],[ТП Кухня]:[ТП Коридор]])</f>
        <v>38.4</v>
      </c>
      <c r="AO287" s="91">
        <f>ППД5[[#This Row],[Расчетная ТП площадь]]-ППД5[[#This Row],[Расчетная проектная площадь]]</f>
        <v>-0.65000000000000568</v>
      </c>
      <c r="AP287" s="335">
        <f>ППД5[[#This Row],[Расчетная ТП площадь]]/ППД5[[#This Row],[Расчетная проектная площадь]]-1</f>
        <v>-8.8195386702850653E-3</v>
      </c>
      <c r="AQ287" s="91">
        <f>ППД5[[#This Row],[% расхождения]]*ППД5[[#This Row],[Стоимость до скидки]]</f>
        <v>-59870.556309363135</v>
      </c>
      <c r="AR287" s="91">
        <f>VLOOKUP(ППД5[[#This Row],[№]],наценкад5[],COLUMN(наценкад5[[#This Row],[Цена м2 с учетом всех K]]),0)</f>
        <v>80307.864000000001</v>
      </c>
      <c r="AS287" s="8">
        <f>ППД5[[#This Row],[м2 после К]]*5%</f>
        <v>4015.3932000000004</v>
      </c>
      <c r="AT287" s="8">
        <f>ППД5[[#This Row],[м2 после К]]+ППД5[[#This Row],[Повышение 16.08.23 - 5%]]</f>
        <v>84323.257200000007</v>
      </c>
      <c r="AU287" s="93">
        <f>ППД5[[#This Row],[Фикс 16.08.23]]*3%</f>
        <v>2529.6977160000001</v>
      </c>
      <c r="AV287" s="93">
        <f>ППД5[[#This Row],[Фикс 16.08.23]]+ППД5[[#This Row],[Повышение 29.08.23 - 3%]]</f>
        <v>86852.954916000002</v>
      </c>
      <c r="AW287" s="93"/>
      <c r="AX287" s="93">
        <f>ППД5[[#This Row],[Фикс 29.08.23]]+ППД5[[#This Row],[Повышение 06.09.23 СТ и 1К]]</f>
        <v>86852.954916000002</v>
      </c>
      <c r="AY287" s="93"/>
      <c r="AZ287" s="93">
        <f>ППД5[[#This Row],[Повышение 23.10.23  В4 ]]+ППД5[[#This Row],[Фикс 06.09.23]]</f>
        <v>86852.954916000002</v>
      </c>
      <c r="BA287" s="93"/>
      <c r="BB287" s="93">
        <f>ППД5[[#This Row],[Повышение 8.11.23 1К 5%]]+ППД5[[#This Row],[Фикс 23.10.23]]</f>
        <v>86852.954916000002</v>
      </c>
      <c r="BC287" s="93"/>
      <c r="BD287" s="93">
        <f>ППД5[[#This Row],[Корректировка 24.11.23 - 1К В5, 2К А2, №233]]+ППД5[[#This Row],[Фикс 8.11.23]]</f>
        <v>86852.954916000002</v>
      </c>
      <c r="BE287" s="93">
        <f>ППД5[[#This Row],[Фикс 8.11.24]]*1%</f>
        <v>868.52954915999999</v>
      </c>
      <c r="BF287" s="93">
        <f>ППД5[[#This Row],[Наценка за отделку 29.12.23 1%]]+ППД5[[#This Row],[Фикс 8.11.24]]</f>
        <v>87721.48446516</v>
      </c>
      <c r="BG287" s="93">
        <f>ППД5[[#This Row],[Фикс 29.12.23]]*5%</f>
        <v>4386.0742232580005</v>
      </c>
      <c r="BH287" s="93">
        <f>ППД5[[#This Row],[Фикс 29.12.23]]+ППД5[[#This Row],[Наценка 10.01.24 5%]]</f>
        <v>92107.558688417994</v>
      </c>
      <c r="BI287" s="93"/>
      <c r="BJ287" s="93">
        <f>ППД5[[#This Row],[Наценка 26.02.24 1 Этаж]]+ППД5[[#This Row],[Фикс 10.01.24]]</f>
        <v>92107.558688417994</v>
      </c>
      <c r="BK287" s="93"/>
      <c r="BL287" s="93">
        <f>ППД5[[#This Row],[Фикс 26.02.24]]+ППД5[[#This Row],[Наценка 06.03.24
СТ, 1К - 3%
2К, 3К - 2%]]</f>
        <v>92107.558688417994</v>
      </c>
      <c r="BM287" s="93"/>
      <c r="BN287" s="93">
        <f>ППД5[[#This Row],[Фикс 06.03.24]]+ППД5[[#This Row],[Наценка Г2+500]]</f>
        <v>92107.558688417994</v>
      </c>
      <c r="BO287" s="93"/>
      <c r="BP287" s="93">
        <f>ППД5[[#This Row],[Фикс 13.03.25]]+ППД5[[#This Row],[Наценка 20.03.24
2К, 3К - 2%]]</f>
        <v>92107.558688417994</v>
      </c>
      <c r="BQ287" s="93"/>
      <c r="BR287" s="93">
        <f>ППД5[[#This Row],[Фикс 20.03.24]]+ППД5[[#This Row],[Наценка 08.04.24 
2К: В3 - 150
3К: Г7 +1000]]</f>
        <v>92107.558688417994</v>
      </c>
      <c r="BS287" s="93"/>
      <c r="BT287" s="93">
        <f>ППД5[[#This Row],[Фикс 08.04.24]]+ППД5[[#This Row],[Наценка 16.05.24 1%
А4,А6,Б3,Б6,Б7,В2,В3,В5,В6,Г1,Г3-Г5]]</f>
        <v>92107.558688417994</v>
      </c>
      <c r="BU287" s="93"/>
      <c r="BV287" s="93">
        <f>ППД5[[#This Row],[Фикс 16.05.24]]+ППД5[[#This Row],[Наценка 24.05.24
1% - Б4, Б5,Г2,Г6
2% - А1,А3,А5,Б2,Г7]]</f>
        <v>92107.558688417994</v>
      </c>
      <c r="BW287" s="93"/>
      <c r="BX287" s="93">
        <f>ППД5[[#This Row],[Наценка 06.06.24
0К: В2,Г3 +0,5%
1К: А7, Б5/4, Г6 +0,5%
3К: В6 +0,5%
1К: А3 +1%]]+ППД5[[#This Row],[Фикс 24.05.24]]</f>
        <v>92107.558688417994</v>
      </c>
      <c r="BY287" s="93"/>
      <c r="BZ287" s="93">
        <f>ППД5[[#This Row],[Фикс 06.06.24]]+ППД5[[#This Row],[13.06.2024
3К - 2%]]</f>
        <v>92107.558688417994</v>
      </c>
      <c r="CA287" s="93"/>
      <c r="CB287" s="93">
        <f>ППД5[[#This Row],[02.07.2024: Г3 А1 А3 Б5 Б7 Г2 Г6 Б3 Б4 В3 Г7 2,5% ост 0,5-1,5%]]+ППД5[[#This Row],[Фикс 13.06.24]]</f>
        <v>92107.558688417994</v>
      </c>
      <c r="CC287" s="93"/>
      <c r="CD287" s="93">
        <f>ППД5[[#This Row],[Фикс 02.07.24]]+ППД5[[#This Row],[04.09.2024 +500
0К - Б2; 1К - А3;
2К - А6, Б4, В3, Г5]]</f>
        <v>92107.558688417994</v>
      </c>
      <c r="CE287" s="93"/>
      <c r="CF287" s="93">
        <f>ППД5[[#This Row],[Наценка 16.09.2024
1К: А1,В7,Г6/7,Г8 - 2%
2К: А4,А5,А6,Б1,Б6,Б3/4,В3,В4,Г4,Г5 - 4%
3К: 4%]]+ППД5[[#This Row],[Фикс 04.09.24]]</f>
        <v>92107.558688417994</v>
      </c>
      <c r="CG287" s="93"/>
      <c r="CH287" s="93">
        <f>ППД5[[#This Row],[Фикс 16.09.2024]]+ППД5[[#This Row],[Наценка 01.11.24
СТ: 4%
1К: 34-40м 5%; 40м+ 8%; МГН 1%
2К: 55-70м 6%; 70-73м 7%; 73-76м 8% 
3К: 5%]]</f>
        <v>92107.558688417994</v>
      </c>
      <c r="CI287" s="93"/>
      <c r="CJ287" s="93">
        <f>ППД5[[#This Row],[Наценка 06.11 13%]]+ППД5[[#This Row],[Фикс 01.11.24]]</f>
        <v>92107.558688417994</v>
      </c>
      <c r="CK287" s="93"/>
      <c r="CL287" s="93">
        <f>ППД5[[#This Row],[Фикс 06.11.24]]+ППД5[[#This Row],[Наценка 18.12.24 распределение КВ]]</f>
        <v>92107.558688417994</v>
      </c>
      <c r="CM287" s="93"/>
      <c r="CN287" s="93">
        <f>ППД5[[#This Row],[Фикс 18.12.24]]+ППД5[[#This Row],[Наценка 10.02.25 +1%
1К: А3
2К: Б3, В3]]</f>
        <v>92107.558688417994</v>
      </c>
      <c r="CO287" s="93">
        <f>ROUND(ППД5[[#This Row],[Фикс 10.02.25]],2)</f>
        <v>92107.56</v>
      </c>
      <c r="CP28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6788400</v>
      </c>
      <c r="CQ287" s="93">
        <f>ROUNDUP(ППД5[[#This Row],[Стоимость до скидки]]+ППД5[[#This Row],[Сумма доплаты]],-2)</f>
        <v>6728600</v>
      </c>
      <c r="CR287" s="68"/>
      <c r="CS287" s="90"/>
      <c r="CT287" s="68">
        <f>ППД5[[#This Row],[Стоимость до скидки]]*ППД5[[#This Row],[Скидка %]]+ППД5[[#This Row],[Скидка фиксированная]]</f>
        <v>0</v>
      </c>
      <c r="CU287" s="3">
        <f>ППД5[[#This Row],[Стоимость ОН без отделки со скидкой]]/ППД5[[#This Row],[Расчетная проектная площадь]]</f>
        <v>92108.548168249661</v>
      </c>
      <c r="CV287" s="3">
        <f>ROUND(ППД5[[#This Row],[Стоимость до скидки]]-ППД5[[#This Row],[Итоговая сумма скидки]],2)</f>
        <v>6788400</v>
      </c>
      <c r="CW28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87" s="197"/>
      <c r="CY287" s="332">
        <f>ППД5[[#This Row],[Расхождение]]/ППД5[[#This Row],[Расчетная проектная площадь]]</f>
        <v>-8.819538670285015E-3</v>
      </c>
      <c r="CZ28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-0.30999999999999872</v>
      </c>
      <c r="DA287" s="3">
        <f>ППД5[[#This Row],[Цена м2 без отделки со скидкой]]+ППД5[[#This Row],[Стоимость отделки]]</f>
        <v>92108.548168249661</v>
      </c>
      <c r="DB287" s="3">
        <f>ППД5[[#This Row],[Стоимость квартиры с отделкой]]-ППД5[[#This Row],[Стоимость ОН без отделки со скидкой]]</f>
        <v>0</v>
      </c>
      <c r="DC287" s="3">
        <f>ППД5[[#This Row],[Цена м2 с отделкой]]*ППД5[[#This Row],[Расчетная проектная площадь]]</f>
        <v>6788400</v>
      </c>
      <c r="DD287" s="3" t="s">
        <v>158</v>
      </c>
      <c r="DF287" s="199" t="s">
        <v>172</v>
      </c>
      <c r="DG287" s="245" t="s">
        <v>172</v>
      </c>
      <c r="DH287" s="100" t="b">
        <f>EXACT(ППД5[[#This Row],[Статусы CRM]],ППД5[[#This Row],[Статус]])</f>
        <v>1</v>
      </c>
      <c r="DI287" s="213" t="s">
        <v>459</v>
      </c>
      <c r="DJ287" s="204"/>
      <c r="DK287" s="111" t="s">
        <v>763</v>
      </c>
      <c r="DL287" s="216" t="s">
        <v>12</v>
      </c>
      <c r="DM287" s="201" t="b">
        <f>ППД5[[#This Row],[Отделка CRM]]=ППД5[[#This Row],[Отделка]]</f>
        <v>1</v>
      </c>
      <c r="DN287" s="203">
        <v>6788400</v>
      </c>
      <c r="DO28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87" s="207" t="b">
        <f>IF(AND(ППД5[[#This Row],[Статус]]="свободно",ППД5[[#This Row],[Итоговая сумма скидки]]&lt;&gt;0),FALSE,TRUE)</f>
        <v>1</v>
      </c>
      <c r="DQ287" s="240">
        <f>_xlfn.XLOOKUP(ППД5[[#This Row],[№]],Юрист[№ кв],Юрист[Дата подачи на регистрацию]," ",0,-1)</f>
        <v>45370</v>
      </c>
      <c r="DR287" s="115" t="str">
        <f>_xlfn.XLOOKUP(ППД5[[#This Row],[№]],Юрист[№ кв],Юрист[МОП],"",0,-1)</f>
        <v>Полехович</v>
      </c>
      <c r="DS287" s="333" t="s">
        <v>2866</v>
      </c>
      <c r="DT287" s="333" t="s">
        <v>2867</v>
      </c>
      <c r="DU287" s="333">
        <v>69.400000000000006</v>
      </c>
      <c r="DV287" s="111"/>
    </row>
    <row r="288" spans="1:126" hidden="1" x14ac:dyDescent="0.25">
      <c r="A288" s="112">
        <v>286</v>
      </c>
      <c r="B288" s="111" t="s">
        <v>3</v>
      </c>
      <c r="C288" s="111">
        <v>10</v>
      </c>
      <c r="D288" s="111">
        <v>2</v>
      </c>
      <c r="E288" s="111">
        <v>0</v>
      </c>
      <c r="F288" s="105">
        <v>7.18</v>
      </c>
      <c r="G288" s="105"/>
      <c r="H288" s="105"/>
      <c r="I288" s="94">
        <f>SUM(ППД5[[#This Row],[Комната 1]:[Комната 3]])</f>
        <v>7.18</v>
      </c>
      <c r="J288" s="105">
        <v>5.17</v>
      </c>
      <c r="K288" s="105">
        <v>3.72</v>
      </c>
      <c r="L288" s="105"/>
      <c r="M288" s="105"/>
      <c r="N288" s="105">
        <v>6.97</v>
      </c>
      <c r="O288" s="105">
        <v>2.97</v>
      </c>
      <c r="P288" s="105"/>
      <c r="Q288" s="105"/>
      <c r="R288" s="105">
        <f>SUM(ППД5[[#This Row],[Лоджия 1]:[Лоджия 3]])</f>
        <v>2.97</v>
      </c>
      <c r="S288" s="8">
        <f>ROUND(SUM(ППД5[[#This Row],[Площадь по проекту жилая]:[Лоджия 3]]),2)</f>
        <v>26.01</v>
      </c>
      <c r="T288" s="8">
        <f>ROUND(ППД5[[#This Row],[Площадь по проекту(общая)]]-ППД5[[#This Row],[Летние]],2)</f>
        <v>23.04</v>
      </c>
      <c r="U288" s="91">
        <f>ROUND(ППД5[[#This Row],[Площадь по проекту(общая)]]-(SUM(ППД5[[#This Row],[Лоджия 1]:[Лоджия 3]])/2),2)</f>
        <v>24.53</v>
      </c>
      <c r="V288" s="91">
        <f>IF(ППД5[[#This Row],[Статус]]="продажа",ППД5[[#This Row],[Расчетная проектная площадь]],ППД5[[#This Row],[Расчетная ТП площадь]])</f>
        <v>24.53</v>
      </c>
      <c r="W288" s="91">
        <v>7.2</v>
      </c>
      <c r="X288" s="91"/>
      <c r="Y288" s="91"/>
      <c r="Z288" s="91">
        <f>SUM(ППД5[[#This Row],[ТП Комната 1]:[ТП Комната 3]])</f>
        <v>7.2</v>
      </c>
      <c r="AA288" s="91">
        <v>5.2</v>
      </c>
      <c r="AB288" s="91">
        <v>3.6</v>
      </c>
      <c r="AC288" s="91"/>
      <c r="AD288" s="91"/>
      <c r="AE288" s="91">
        <v>6.8</v>
      </c>
      <c r="AF288" s="91">
        <v>1.4</v>
      </c>
      <c r="AG288" s="91"/>
      <c r="AH288" s="91"/>
      <c r="AI288" s="91">
        <f>SUM(ППД5[[#This Row],[ТП Лоджия 1]:[ТП Лоджия 3]])</f>
        <v>1.4</v>
      </c>
      <c r="AJ288" s="95">
        <v>2.8</v>
      </c>
      <c r="AK288" s="91">
        <f>SUM(ППД5[[#This Row],[Площадь по ТП жилая]:[ТП Лоджия 3]])-ППД5[[#This Row],[ТП Летние]]+ППД5[[#This Row],[кроме того прочая
(без коэффициента)]]</f>
        <v>25.6</v>
      </c>
      <c r="AL288" s="95">
        <f>ППД5[[#This Row],[ТП Площадь без летних]]+(ППД5[[#This Row],[ТП Летние]])</f>
        <v>24.2</v>
      </c>
      <c r="AM288" s="91">
        <f>ППД5[[#This Row],[ТП общая S]]-ППД5[[#This Row],[кроме того прочая
(без коэффициента)]]</f>
        <v>22.8</v>
      </c>
      <c r="AN288" s="95">
        <f>SUM(ППД5[[#This Row],[ТП Кухня]:[ТП Коридор]])</f>
        <v>15.600000000000001</v>
      </c>
      <c r="AO288" s="91">
        <f>ППД5[[#This Row],[Расчетная ТП площадь]]-ППД5[[#This Row],[Расчетная проектная площадь]]</f>
        <v>-0.33000000000000185</v>
      </c>
      <c r="AP288" s="335">
        <f>ППД5[[#This Row],[Расчетная ТП площадь]]/ППД5[[#This Row],[Расчетная проектная площадь]]-1</f>
        <v>-1.3452914798206317E-2</v>
      </c>
      <c r="AQ288" s="91">
        <f>ППД5[[#This Row],[% расхождения]]*ППД5[[#This Row],[Стоимость до скидки]]</f>
        <v>-43408.520179372324</v>
      </c>
      <c r="AR288" s="91">
        <f>VLOOKUP(ППД5[[#This Row],[№]],наценкад5[],COLUMN(наценкад5[[#This Row],[Цена м2 с учетом всех K]]),0)</f>
        <v>92857.59</v>
      </c>
      <c r="AS288" s="8">
        <f>ППД5[[#This Row],[м2 после К]]*5%</f>
        <v>4642.8795</v>
      </c>
      <c r="AT288" s="8">
        <f>ППД5[[#This Row],[м2 после К]]+ППД5[[#This Row],[Повышение 16.08.23 - 5%]]</f>
        <v>97500.469499999992</v>
      </c>
      <c r="AU288" s="93">
        <f>ППД5[[#This Row],[Фикс 16.08.23]]*3%</f>
        <v>2925.0140849999998</v>
      </c>
      <c r="AV288" s="93">
        <f>ППД5[[#This Row],[Фикс 16.08.23]]+ППД5[[#This Row],[Повышение 29.08.23 - 3%]]</f>
        <v>100425.48358499999</v>
      </c>
      <c r="AW288" s="93">
        <f>ППД5[[#This Row],[Фикс 29.08.23]]*13%</f>
        <v>13055.312866050001</v>
      </c>
      <c r="AX288" s="93">
        <f>ППД5[[#This Row],[Фикс 29.08.23]]+ППД5[[#This Row],[Повышение 06.09.23 СТ и 1К]]</f>
        <v>113480.79645105</v>
      </c>
      <c r="AY288" s="93">
        <f>ППД5[[#This Row],[Фикс 06.09.23]]*3%</f>
        <v>3404.4238935314997</v>
      </c>
      <c r="AZ288" s="93">
        <f>ППД5[[#This Row],[Повышение 23.10.23  В4 ]]+ППД5[[#This Row],[Фикс 06.09.23]]</f>
        <v>116885.2203445815</v>
      </c>
      <c r="BA288" s="93"/>
      <c r="BB288" s="93">
        <f>ППД5[[#This Row],[Повышение 8.11.23 1К 5%]]+ППД5[[#This Row],[Фикс 23.10.23]]</f>
        <v>116885.2203445815</v>
      </c>
      <c r="BC288" s="93"/>
      <c r="BD288" s="93">
        <f>ППД5[[#This Row],[Корректировка 24.11.23 - 1К В5, 2К А2, №233]]+ППД5[[#This Row],[Фикс 8.11.23]]</f>
        <v>116885.2203445815</v>
      </c>
      <c r="BE288" s="93">
        <f>ППД5[[#This Row],[Фикс 8.11.24]]*1%</f>
        <v>1168.8522034458149</v>
      </c>
      <c r="BF288" s="93">
        <f>ППД5[[#This Row],[Наценка за отделку 29.12.23 1%]]+ППД5[[#This Row],[Фикс 8.11.24]]</f>
        <v>118054.07254802731</v>
      </c>
      <c r="BG288" s="93">
        <f>ППД5[[#This Row],[Фикс 29.12.23]]*5%</f>
        <v>5902.7036274013662</v>
      </c>
      <c r="BH288" s="93">
        <f>ППД5[[#This Row],[Фикс 29.12.23]]+ППД5[[#This Row],[Наценка 10.01.24 5%]]</f>
        <v>123956.77617542868</v>
      </c>
      <c r="BI288" s="93"/>
      <c r="BJ288" s="93">
        <f>ППД5[[#This Row],[Наценка 26.02.24 1 Этаж]]+ППД5[[#This Row],[Фикс 10.01.24]]</f>
        <v>123956.77617542868</v>
      </c>
      <c r="BK288" s="93">
        <f>ППД5[[#This Row],[Фикс 26.02.24]]*3%</f>
        <v>3718.7032852628599</v>
      </c>
      <c r="BL288" s="93">
        <f>ППД5[[#This Row],[Фикс 26.02.24]]+ППД5[[#This Row],[Наценка 06.03.24
СТ, 1К - 3%
2К, 3К - 2%]]</f>
        <v>127675.47946069154</v>
      </c>
      <c r="BM288" s="93"/>
      <c r="BN288" s="93">
        <f>ППД5[[#This Row],[Фикс 06.03.24]]+ППД5[[#This Row],[Наценка Г2+500]]</f>
        <v>127675.47946069154</v>
      </c>
      <c r="BO288" s="93"/>
      <c r="BP288" s="93">
        <f>ППД5[[#This Row],[Фикс 13.03.25]]+ППД5[[#This Row],[Наценка 20.03.24
2К, 3К - 2%]]</f>
        <v>127675.47946069154</v>
      </c>
      <c r="BQ288" s="93"/>
      <c r="BR288" s="93">
        <f>ППД5[[#This Row],[Фикс 20.03.24]]+ППД5[[#This Row],[Наценка 08.04.24 
2К: В3 - 150
3К: Г7 +1000]]</f>
        <v>127675.47946069154</v>
      </c>
      <c r="BS288" s="93">
        <f>ППД5[[#This Row],[Фикс 08.04.24]]*1%</f>
        <v>1276.7547946069153</v>
      </c>
      <c r="BT288" s="93">
        <f>ППД5[[#This Row],[Фикс 08.04.24]]+ППД5[[#This Row],[Наценка 16.05.24 1%
А4,А6,Б3,Б6,Б7,В2,В3,В5,В6,Г1,Г3-Г5]]</f>
        <v>128952.23425529845</v>
      </c>
      <c r="BU288" s="93"/>
      <c r="BV288" s="93">
        <f>ППД5[[#This Row],[Фикс 16.05.24]]+ППД5[[#This Row],[Наценка 24.05.24
1% - Б4, Б5,Г2,Г6
2% - А1,А3,А5,Б2,Г7]]</f>
        <v>128952.23425529845</v>
      </c>
      <c r="BW288" s="93">
        <f>ППД5[[#This Row],[Фикс 24.05.24]]*0.5%</f>
        <v>644.76117127649229</v>
      </c>
      <c r="BX288" s="93">
        <f>ППД5[[#This Row],[Наценка 06.06.24
0К: В2,Г3 +0,5%
1К: А7, Б5/4, Г6 +0,5%
3К: В6 +0,5%
1К: А3 +1%]]+ППД5[[#This Row],[Фикс 24.05.24]]</f>
        <v>129596.99542657494</v>
      </c>
      <c r="BY288" s="93"/>
      <c r="BZ288" s="93">
        <f>ППД5[[#This Row],[Фикс 06.06.24]]+ППД5[[#This Row],[13.06.2024
3К - 2%]]</f>
        <v>129596.99542657494</v>
      </c>
      <c r="CA288" s="93">
        <f>1.5%*ППД5[[#This Row],[Фикс 13.06.24]]</f>
        <v>1943.954931398624</v>
      </c>
      <c r="CB288" s="93">
        <f>ППД5[[#This Row],[02.07.2024: Г3 А1 А3 Б5 Б7 Г2 Г6 Б3 Б4 В3 Г7 2,5% ост 0,5-1,5%]]+ППД5[[#This Row],[Фикс 13.06.24]]</f>
        <v>131540.95035797358</v>
      </c>
      <c r="CC288" s="93"/>
      <c r="CD288" s="93">
        <f>ППД5[[#This Row],[Фикс 02.07.24]]+ППД5[[#This Row],[04.09.2024 +500
0К - Б2; 1К - А3;
2К - А6, Б4, В3, Г5]]</f>
        <v>131540.95035797358</v>
      </c>
      <c r="CE288" s="93"/>
      <c r="CF288" s="93">
        <f>ППД5[[#This Row],[Наценка 16.09.2024
1К: А1,В7,Г6/7,Г8 - 2%
2К: А4,А5,А6,Б1,Б6,Б3/4,В3,В4,Г4,Г5 - 4%
3К: 4%]]+ППД5[[#This Row],[Фикс 04.09.24]]</f>
        <v>131540.95035797358</v>
      </c>
      <c r="CG288" s="93"/>
      <c r="CH288" s="93">
        <f>ППД5[[#This Row],[Фикс 16.09.2024]]+ППД5[[#This Row],[Наценка 01.11.24
СТ: 4%
1К: 34-40м 5%; 40м+ 8%; МГН 1%
2К: 55-70м 6%; 70-73м 7%; 73-76м 8% 
3К: 5%]]</f>
        <v>131540.95035797358</v>
      </c>
      <c r="CI288" s="93"/>
      <c r="CJ288" s="93">
        <f>ППД5[[#This Row],[Наценка 06.11 13%]]+ППД5[[#This Row],[Фикс 01.11.24]]</f>
        <v>131540.95035797358</v>
      </c>
      <c r="CK288" s="93"/>
      <c r="CL288" s="93">
        <f>ППД5[[#This Row],[Фикс 06.11.24]]+ППД5[[#This Row],[Наценка 18.12.24 распределение КВ]]</f>
        <v>131540.95035797358</v>
      </c>
      <c r="CM288" s="93"/>
      <c r="CN288" s="93">
        <f>ППД5[[#This Row],[Фикс 18.12.24]]+ППД5[[#This Row],[Наценка 10.02.25 +1%
1К: А3
2К: Б3, В3]]</f>
        <v>131540.95035797358</v>
      </c>
      <c r="CO288" s="93">
        <f>ROUND(ППД5[[#This Row],[Фикс 10.02.25]],2)</f>
        <v>131540.95000000001</v>
      </c>
      <c r="CP28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3226700</v>
      </c>
      <c r="CQ288" s="93">
        <f>ROUNDUP(ППД5[[#This Row],[Стоимость до скидки]]+ППД5[[#This Row],[Сумма доплаты]],-2)</f>
        <v>3183300</v>
      </c>
      <c r="CR288" s="68"/>
      <c r="CS288" s="90"/>
      <c r="CT288" s="68">
        <f>ППД5[[#This Row],[Стоимость до скидки]]*ППД5[[#This Row],[Скидка %]]+ППД5[[#This Row],[Скидка фиксированная]]</f>
        <v>0</v>
      </c>
      <c r="CU288" s="3">
        <f>ППД5[[#This Row],[Стоимость ОН без отделки со скидкой]]/ППД5[[#This Row],[Расчетная проектная площадь]]</f>
        <v>131540.9702405218</v>
      </c>
      <c r="CV288" s="3">
        <f>ROUND(ППД5[[#This Row],[Стоимость до скидки]]-ППД5[[#This Row],[Итоговая сумма скидки]],2)</f>
        <v>3226700</v>
      </c>
      <c r="CW28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88" s="197"/>
      <c r="CY288" s="332">
        <f>ППД5[[#This Row],[Расхождение]]/ППД5[[#This Row],[Расчетная проектная площадь]]</f>
        <v>-1.3452914798206353E-2</v>
      </c>
      <c r="CZ28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-0.25999999999999801</v>
      </c>
      <c r="DA288" s="3">
        <f>ППД5[[#This Row],[Цена м2 без отделки со скидкой]]+ППД5[[#This Row],[Стоимость отделки]]</f>
        <v>131540.9702405218</v>
      </c>
      <c r="DB288" s="3">
        <f>ППД5[[#This Row],[Стоимость квартиры с отделкой]]-ППД5[[#This Row],[Стоимость ОН без отделки со скидкой]]</f>
        <v>0</v>
      </c>
      <c r="DC288" s="3">
        <f>ППД5[[#This Row],[Цена м2 с отделкой]]*ППД5[[#This Row],[Расчетная проектная площадь]]</f>
        <v>3226700</v>
      </c>
      <c r="DD288" s="3"/>
      <c r="DF288" s="199" t="s">
        <v>172</v>
      </c>
      <c r="DG288" s="245" t="s">
        <v>172</v>
      </c>
      <c r="DH288" s="100" t="b">
        <f>EXACT(ППД5[[#This Row],[Статусы CRM]],ППД5[[#This Row],[Статус]])</f>
        <v>1</v>
      </c>
      <c r="DI288" s="213" t="s">
        <v>460</v>
      </c>
      <c r="DJ288" s="204"/>
      <c r="DK288" s="111" t="s">
        <v>763</v>
      </c>
      <c r="DL288" s="216" t="s">
        <v>12</v>
      </c>
      <c r="DM288" s="201" t="b">
        <f>ППД5[[#This Row],[Отделка CRM]]=ППД5[[#This Row],[Отделка]]</f>
        <v>1</v>
      </c>
      <c r="DN288" s="203">
        <v>3226700</v>
      </c>
      <c r="DO28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88" s="207" t="b">
        <f>IF(AND(ППД5[[#This Row],[Статус]]="свободно",ППД5[[#This Row],[Итоговая сумма скидки]]&lt;&gt;0),FALSE,TRUE)</f>
        <v>1</v>
      </c>
      <c r="DQ288" s="240">
        <f>_xlfn.XLOOKUP(ППД5[[#This Row],[№]],Юрист[№ кв],Юрист[Дата подачи на регистрацию]," ",0,-1)</f>
        <v>45507</v>
      </c>
      <c r="DR288" s="115" t="str">
        <f>_xlfn.XLOOKUP(ППД5[[#This Row],[№]],Юрист[№ кв],Юрист[МОП],"",0,-1)</f>
        <v>Полехович</v>
      </c>
      <c r="DS288" s="333" t="s">
        <v>2868</v>
      </c>
      <c r="DT288" s="333" t="s">
        <v>2869</v>
      </c>
      <c r="DU288" s="333">
        <v>22.8</v>
      </c>
      <c r="DV288" s="111"/>
    </row>
    <row r="289" spans="1:126" hidden="1" x14ac:dyDescent="0.25">
      <c r="A289" s="112">
        <v>287</v>
      </c>
      <c r="B289" s="111" t="s">
        <v>3</v>
      </c>
      <c r="C289" s="111">
        <v>10</v>
      </c>
      <c r="D289" s="111">
        <v>3</v>
      </c>
      <c r="E289" s="111">
        <v>2</v>
      </c>
      <c r="F289" s="105">
        <v>13.69</v>
      </c>
      <c r="G289" s="105">
        <v>10.16</v>
      </c>
      <c r="H289" s="105"/>
      <c r="I289" s="94">
        <f>SUM(ППД5[[#This Row],[Комната 1]:[Комната 3]])</f>
        <v>23.85</v>
      </c>
      <c r="J289" s="105">
        <v>18.71</v>
      </c>
      <c r="K289" s="105">
        <v>3.49</v>
      </c>
      <c r="L289" s="105">
        <v>2.11</v>
      </c>
      <c r="M289" s="105"/>
      <c r="N289" s="105">
        <v>7.09</v>
      </c>
      <c r="O289" s="105">
        <v>2.65</v>
      </c>
      <c r="P289" s="105"/>
      <c r="Q289" s="105"/>
      <c r="R289" s="105">
        <f>SUM(ППД5[[#This Row],[Лоджия 1]:[Лоджия 3]])</f>
        <v>2.65</v>
      </c>
      <c r="S289" s="8">
        <f>ROUND(SUM(ППД5[[#This Row],[Площадь по проекту жилая]:[Лоджия 3]]),2)</f>
        <v>57.9</v>
      </c>
      <c r="T289" s="8">
        <f>ROUND(ППД5[[#This Row],[Площадь по проекту(общая)]]-ППД5[[#This Row],[Летние]],2)</f>
        <v>55.25</v>
      </c>
      <c r="U289" s="91">
        <f>ROUND(ППД5[[#This Row],[Площадь по проекту(общая)]]-(SUM(ППД5[[#This Row],[Лоджия 1]:[Лоджия 3]])/2),2)</f>
        <v>56.58</v>
      </c>
      <c r="V289" s="91">
        <f>IF(ППД5[[#This Row],[Статус]]="продажа",ППД5[[#This Row],[Расчетная проектная площадь]],ППД5[[#This Row],[Расчетная ТП площадь]])</f>
        <v>56.58</v>
      </c>
      <c r="W289" s="91">
        <v>13.6</v>
      </c>
      <c r="X289" s="91">
        <v>9.9</v>
      </c>
      <c r="Y289" s="91"/>
      <c r="Z289" s="91">
        <f>SUM(ППД5[[#This Row],[ТП Комната 1]:[ТП Комната 3]])</f>
        <v>23.5</v>
      </c>
      <c r="AA289" s="91">
        <v>18.600000000000001</v>
      </c>
      <c r="AB289" s="91">
        <v>3.6</v>
      </c>
      <c r="AC289" s="91">
        <v>2.1</v>
      </c>
      <c r="AD289" s="91"/>
      <c r="AE289" s="91">
        <v>7</v>
      </c>
      <c r="AF289" s="91">
        <v>1.35</v>
      </c>
      <c r="AG289" s="91"/>
      <c r="AH289" s="91"/>
      <c r="AI289" s="91">
        <f>SUM(ППД5[[#This Row],[ТП Лоджия 1]:[ТП Лоджия 3]])</f>
        <v>1.35</v>
      </c>
      <c r="AJ289" s="95">
        <v>2.7</v>
      </c>
      <c r="AK289" s="91">
        <f>SUM(ППД5[[#This Row],[Площадь по ТП жилая]:[ТП Лоджия 3]])-ППД5[[#This Row],[ТП Летние]]+ППД5[[#This Row],[кроме того прочая
(без коэффициента)]]</f>
        <v>57.500000000000007</v>
      </c>
      <c r="AL289" s="95">
        <f>ППД5[[#This Row],[ТП Площадь без летних]]+(ППД5[[#This Row],[ТП Летние]])</f>
        <v>56.150000000000006</v>
      </c>
      <c r="AM289" s="91">
        <f>ППД5[[#This Row],[ТП общая S]]-ППД5[[#This Row],[кроме того прочая
(без коэффициента)]]</f>
        <v>54.800000000000004</v>
      </c>
      <c r="AN289" s="95">
        <f>SUM(ППД5[[#This Row],[ТП Кухня]:[ТП Коридор]])</f>
        <v>31.300000000000004</v>
      </c>
      <c r="AO289" s="91">
        <f>ППД5[[#This Row],[Расчетная ТП площадь]]-ППД5[[#This Row],[Расчетная проектная площадь]]</f>
        <v>-0.42999999999999261</v>
      </c>
      <c r="AP289" s="335">
        <f>ППД5[[#This Row],[Расчетная ТП площадь]]/ППД5[[#This Row],[Расчетная проектная площадь]]-1</f>
        <v>-7.5998586072816288E-3</v>
      </c>
      <c r="AQ289" s="91">
        <f>ППД5[[#This Row],[% расхождения]]*ППД5[[#This Row],[Стоимость до скидки]]</f>
        <v>-41603.145987981094</v>
      </c>
      <c r="AR289" s="91">
        <f>VLOOKUP(ППД5[[#This Row],[№]],наценкад5[],COLUMN(наценкад5[[#This Row],[Цена м2 с учетом всех K]]),0)</f>
        <v>81080.055000000008</v>
      </c>
      <c r="AS289" s="8">
        <f>ППД5[[#This Row],[м2 после К]]*5%</f>
        <v>4054.0027500000006</v>
      </c>
      <c r="AT289" s="8">
        <f>ППД5[[#This Row],[м2 после К]]+ППД5[[#This Row],[Повышение 16.08.23 - 5%]]</f>
        <v>85134.057750000007</v>
      </c>
      <c r="AU289" s="93">
        <f>ППД5[[#This Row],[Фикс 16.08.23]]*3%</f>
        <v>2554.0217325000003</v>
      </c>
      <c r="AV289" s="93">
        <f>ППД5[[#This Row],[Фикс 16.08.23]]+ППД5[[#This Row],[Повышение 29.08.23 - 3%]]</f>
        <v>87688.079482500005</v>
      </c>
      <c r="AW289" s="93"/>
      <c r="AX289" s="93">
        <f>ППД5[[#This Row],[Фикс 29.08.23]]+ППД5[[#This Row],[Повышение 06.09.23 СТ и 1К]]</f>
        <v>87688.079482500005</v>
      </c>
      <c r="AY289" s="93"/>
      <c r="AZ289" s="93">
        <f>ППД5[[#This Row],[Повышение 23.10.23  В4 ]]+ППД5[[#This Row],[Фикс 06.09.23]]</f>
        <v>87688.079482500005</v>
      </c>
      <c r="BA289" s="93"/>
      <c r="BB289" s="93">
        <f>ППД5[[#This Row],[Повышение 8.11.23 1К 5%]]+ППД5[[#This Row],[Фикс 23.10.23]]</f>
        <v>87688.079482500005</v>
      </c>
      <c r="BC289" s="93"/>
      <c r="BD289" s="93">
        <f>ППД5[[#This Row],[Корректировка 24.11.23 - 1К В5, 2К А2, №233]]+ППД5[[#This Row],[Фикс 8.11.23]]</f>
        <v>87688.079482500005</v>
      </c>
      <c r="BE289" s="93">
        <f>ППД5[[#This Row],[Фикс 8.11.24]]*1%</f>
        <v>876.88079482500007</v>
      </c>
      <c r="BF289" s="93">
        <f>ППД5[[#This Row],[Наценка за отделку 29.12.23 1%]]+ППД5[[#This Row],[Фикс 8.11.24]]</f>
        <v>88564.960277325008</v>
      </c>
      <c r="BG289" s="93">
        <f>ППД5[[#This Row],[Фикс 29.12.23]]*5%</f>
        <v>4428.2480138662504</v>
      </c>
      <c r="BH289" s="93">
        <f>ППД5[[#This Row],[Фикс 29.12.23]]+ППД5[[#This Row],[Наценка 10.01.24 5%]]</f>
        <v>92993.208291191258</v>
      </c>
      <c r="BI289" s="93"/>
      <c r="BJ289" s="93">
        <f>ППД5[[#This Row],[Наценка 26.02.24 1 Этаж]]+ППД5[[#This Row],[Фикс 10.01.24]]</f>
        <v>92993.208291191258</v>
      </c>
      <c r="BK289" s="93">
        <f>ППД5[[#This Row],[Фикс 26.02.24]]*2%</f>
        <v>1859.8641658238253</v>
      </c>
      <c r="BL289" s="93">
        <f>ППД5[[#This Row],[Фикс 26.02.24]]+ППД5[[#This Row],[Наценка 06.03.24
СТ, 1К - 3%
2К, 3К - 2%]]</f>
        <v>94853.072457015078</v>
      </c>
      <c r="BM289" s="93"/>
      <c r="BN289" s="93">
        <f>ППД5[[#This Row],[Фикс 06.03.24]]+ППД5[[#This Row],[Наценка Г2+500]]</f>
        <v>94853.072457015078</v>
      </c>
      <c r="BO289" s="93">
        <f>ППД5[[#This Row],[Фикс 13.03.25]]*2%</f>
        <v>1897.0614491403016</v>
      </c>
      <c r="BP289" s="93">
        <f>ППД5[[#This Row],[Фикс 13.03.25]]+ППД5[[#This Row],[Наценка 20.03.24
2К, 3К - 2%]]</f>
        <v>96750.133906155374</v>
      </c>
      <c r="BQ289" s="93"/>
      <c r="BR289" s="93">
        <f>ППД5[[#This Row],[Фикс 20.03.24]]+ППД5[[#This Row],[Наценка 08.04.24 
2К: В3 - 150
3К: Г7 +1000]]</f>
        <v>96750.133906155374</v>
      </c>
      <c r="BS289" s="93"/>
      <c r="BT289" s="93">
        <f>ППД5[[#This Row],[Фикс 08.04.24]]+ППД5[[#This Row],[Наценка 16.05.24 1%
А4,А6,Б3,Б6,Б7,В2,В3,В5,В6,Г1,Г3-Г5]]</f>
        <v>96750.133906155374</v>
      </c>
      <c r="BU289" s="93"/>
      <c r="BV289" s="93">
        <f>ППД5[[#This Row],[Фикс 16.05.24]]+ППД5[[#This Row],[Наценка 24.05.24
1% - Б4, Б5,Г2,Г6
2% - А1,А3,А5,Б2,Г7]]</f>
        <v>96750.133906155374</v>
      </c>
      <c r="BW289" s="93"/>
      <c r="BX289" s="93">
        <f>ППД5[[#This Row],[Наценка 06.06.24
0К: В2,Г3 +0,5%
1К: А7, Б5/4, Г6 +0,5%
3К: В6 +0,5%
1К: А3 +1%]]+ППД5[[#This Row],[Фикс 24.05.24]]</f>
        <v>96750.133906155374</v>
      </c>
      <c r="BY289" s="93"/>
      <c r="BZ289" s="93">
        <f>ППД5[[#This Row],[Фикс 06.06.24]]+ППД5[[#This Row],[13.06.2024
3К - 2%]]</f>
        <v>96750.133906155374</v>
      </c>
      <c r="CA289" s="93"/>
      <c r="CB289" s="93">
        <f>ППД5[[#This Row],[02.07.2024: Г3 А1 А3 Б5 Б7 Г2 Г6 Б3 Б4 В3 Г7 2,5% ост 0,5-1,5%]]+ППД5[[#This Row],[Фикс 13.06.24]]</f>
        <v>96750.133906155374</v>
      </c>
      <c r="CC289" s="93"/>
      <c r="CD289" s="93">
        <f>ППД5[[#This Row],[Фикс 02.07.24]]+ППД5[[#This Row],[04.09.2024 +500
0К - Б2; 1К - А3;
2К - А6, Б4, В3, Г5]]</f>
        <v>96750.133906155374</v>
      </c>
      <c r="CE289" s="93"/>
      <c r="CF289" s="93">
        <f>ППД5[[#This Row],[Наценка 16.09.2024
1К: А1,В7,Г6/7,Г8 - 2%
2К: А4,А5,А6,Б1,Б6,Б3/4,В3,В4,Г4,Г5 - 4%
3К: 4%]]+ППД5[[#This Row],[Фикс 04.09.24]]</f>
        <v>96750.133906155374</v>
      </c>
      <c r="CG289" s="93"/>
      <c r="CH289" s="93">
        <f>ППД5[[#This Row],[Фикс 16.09.2024]]+ППД5[[#This Row],[Наценка 01.11.24
СТ: 4%
1К: 34-40м 5%; 40м+ 8%; МГН 1%
2К: 55-70м 6%; 70-73м 7%; 73-76м 8% 
3К: 5%]]</f>
        <v>96750.133906155374</v>
      </c>
      <c r="CI289" s="93"/>
      <c r="CJ289" s="93">
        <f>ППД5[[#This Row],[Наценка 06.11 13%]]+ППД5[[#This Row],[Фикс 01.11.24]]</f>
        <v>96750.133906155374</v>
      </c>
      <c r="CK289" s="93"/>
      <c r="CL289" s="93">
        <f>ППД5[[#This Row],[Фикс 06.11.24]]+ППД5[[#This Row],[Наценка 18.12.24 распределение КВ]]</f>
        <v>96750.133906155374</v>
      </c>
      <c r="CM289" s="93"/>
      <c r="CN289" s="93">
        <f>ППД5[[#This Row],[Фикс 18.12.24]]+ППД5[[#This Row],[Наценка 10.02.25 +1%
1К: А3
2К: Б3, В3]]</f>
        <v>96750.133906155374</v>
      </c>
      <c r="CO289" s="93">
        <f>ROUND(ППД5[[#This Row],[Фикс 10.02.25]],2)</f>
        <v>96750.13</v>
      </c>
      <c r="CP28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5474200</v>
      </c>
      <c r="CQ289" s="93">
        <f>ROUNDUP(ППД5[[#This Row],[Стоимость до скидки]]+ППД5[[#This Row],[Сумма доплаты]],-2)</f>
        <v>5432600</v>
      </c>
      <c r="CR289" s="68">
        <v>90000</v>
      </c>
      <c r="CS289" s="90"/>
      <c r="CT289" s="68">
        <f>ППД5[[#This Row],[Стоимость до скидки]]*ППД5[[#This Row],[Скидка %]]+ППД5[[#This Row],[Скидка фиксированная]]</f>
        <v>90000</v>
      </c>
      <c r="CU289" s="3">
        <f>ППД5[[#This Row],[Стоимость ОН без отделки со скидкой]]/ППД5[[#This Row],[Расчетная проектная площадь]]</f>
        <v>95160.834217037831</v>
      </c>
      <c r="CV289" s="3">
        <f>ROUND(ППД5[[#This Row],[Стоимость до скидки]]-ППД5[[#This Row],[Итоговая сумма скидки]],2)</f>
        <v>5384200</v>
      </c>
      <c r="CW28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89" s="197">
        <v>20000</v>
      </c>
      <c r="CY289" s="332">
        <f>ППД5[[#This Row],[Расхождение]]/ППД5[[#This Row],[Расчетная проектная площадь]]</f>
        <v>-7.5998586072815949E-3</v>
      </c>
      <c r="CZ28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-9.9999999999994316E-2</v>
      </c>
      <c r="DA289" s="3">
        <f>ППД5[[#This Row],[Цена м2 без отделки со скидкой]]+ППД5[[#This Row],[Стоимость отделки]]</f>
        <v>115160.83421703783</v>
      </c>
      <c r="DB289" s="3">
        <f>ППД5[[#This Row],[Стоимость квартиры с отделкой]]-ППД5[[#This Row],[Стоимость ОН без отделки со скидкой]]</f>
        <v>1131600</v>
      </c>
      <c r="DC289" s="3">
        <f>ППД5[[#This Row],[Цена м2 с отделкой]]*ППД5[[#This Row],[Расчетная проектная площадь]]</f>
        <v>6515800</v>
      </c>
      <c r="DD289" s="3" t="s">
        <v>154</v>
      </c>
      <c r="DE289" s="111" t="s">
        <v>791</v>
      </c>
      <c r="DF289" s="199" t="s">
        <v>172</v>
      </c>
      <c r="DG289" s="245" t="s">
        <v>172</v>
      </c>
      <c r="DH289" s="100" t="b">
        <f>EXACT(ППД5[[#This Row],[Статусы CRM]],ППД5[[#This Row],[Статус]])</f>
        <v>1</v>
      </c>
      <c r="DI289" s="213" t="s">
        <v>461</v>
      </c>
      <c r="DJ289" s="204"/>
      <c r="DK289" s="111" t="s">
        <v>763</v>
      </c>
      <c r="DL289" s="216" t="s">
        <v>14</v>
      </c>
      <c r="DM289" s="201" t="b">
        <f>ППД5[[#This Row],[Отделка CRM]]=ППД5[[#This Row],[Отделка]]</f>
        <v>1</v>
      </c>
      <c r="DN289" s="203">
        <v>6515800</v>
      </c>
      <c r="DO28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89" s="207" t="b">
        <f>IF(AND(ППД5[[#This Row],[Статус]]="свободно",ППД5[[#This Row],[Итоговая сумма скидки]]&lt;&gt;0),FALSE,TRUE)</f>
        <v>1</v>
      </c>
      <c r="DQ289" s="240">
        <f>_xlfn.XLOOKUP(ППД5[[#This Row],[№]],Юрист[№ кв],Юрист[Дата подачи на регистрацию]," ",0,-1)</f>
        <v>45393</v>
      </c>
      <c r="DR289" s="115" t="str">
        <f>_xlfn.XLOOKUP(ППД5[[#This Row],[№]],Юрист[№ кв],Юрист[МОП],"",0,-1)</f>
        <v>Никишов</v>
      </c>
      <c r="DS289" s="333" t="s">
        <v>2870</v>
      </c>
      <c r="DT289" s="333" t="s">
        <v>2871</v>
      </c>
      <c r="DU289" s="333">
        <v>54.8</v>
      </c>
      <c r="DV289" s="111"/>
    </row>
    <row r="290" spans="1:126" hidden="1" x14ac:dyDescent="0.25">
      <c r="A290" s="112">
        <v>288</v>
      </c>
      <c r="B290" s="111" t="s">
        <v>3</v>
      </c>
      <c r="C290" s="111">
        <v>10</v>
      </c>
      <c r="D290" s="111">
        <v>4</v>
      </c>
      <c r="E290" s="111">
        <v>2</v>
      </c>
      <c r="F290" s="105">
        <v>15.45</v>
      </c>
      <c r="G290" s="105">
        <v>10.34</v>
      </c>
      <c r="H290" s="105"/>
      <c r="I290" s="94">
        <f>SUM(ППД5[[#This Row],[Комната 1]:[Комната 3]])</f>
        <v>25.79</v>
      </c>
      <c r="J290" s="105">
        <v>15.44</v>
      </c>
      <c r="K290" s="105">
        <v>4.59</v>
      </c>
      <c r="L290" s="105">
        <v>2.21</v>
      </c>
      <c r="M290" s="105"/>
      <c r="N290" s="105">
        <v>10.79</v>
      </c>
      <c r="O290" s="105">
        <v>2.84</v>
      </c>
      <c r="P290" s="105"/>
      <c r="Q290" s="105"/>
      <c r="R290" s="105">
        <f>SUM(ППД5[[#This Row],[Лоджия 1]:[Лоджия 3]])</f>
        <v>2.84</v>
      </c>
      <c r="S290" s="8">
        <f>ROUND(SUM(ППД5[[#This Row],[Площадь по проекту жилая]:[Лоджия 3]]),2)</f>
        <v>61.66</v>
      </c>
      <c r="T290" s="8">
        <f>ROUND(ППД5[[#This Row],[Площадь по проекту(общая)]]-ППД5[[#This Row],[Летние]],2)</f>
        <v>58.82</v>
      </c>
      <c r="U290" s="91">
        <f>ROUND(ППД5[[#This Row],[Площадь по проекту(общая)]]-(SUM(ППД5[[#This Row],[Лоджия 1]:[Лоджия 3]])/2),2)</f>
        <v>60.24</v>
      </c>
      <c r="V290" s="91">
        <f>IF(ППД5[[#This Row],[Статус]]="продажа",ППД5[[#This Row],[Расчетная проектная площадь]],ППД5[[#This Row],[Расчетная ТП площадь]])</f>
        <v>60.000000000000007</v>
      </c>
      <c r="W290" s="91">
        <v>15.5</v>
      </c>
      <c r="X290" s="91">
        <v>10.199999999999999</v>
      </c>
      <c r="Y290" s="91"/>
      <c r="Z290" s="91">
        <f>SUM(ППД5[[#This Row],[ТП Комната 1]:[ТП Комната 3]])</f>
        <v>25.7</v>
      </c>
      <c r="AA290" s="91">
        <v>15.4</v>
      </c>
      <c r="AB290" s="91">
        <v>4.5</v>
      </c>
      <c r="AC290" s="91">
        <v>2.2000000000000002</v>
      </c>
      <c r="AD290" s="91"/>
      <c r="AE290" s="91">
        <v>10.8</v>
      </c>
      <c r="AF290" s="91">
        <v>1.4</v>
      </c>
      <c r="AG290" s="91"/>
      <c r="AH290" s="91"/>
      <c r="AI290" s="91">
        <f>SUM(ППД5[[#This Row],[ТП Лоджия 1]:[ТП Лоджия 3]])</f>
        <v>1.4</v>
      </c>
      <c r="AJ290" s="95">
        <v>2.8</v>
      </c>
      <c r="AK290" s="91">
        <f>SUM(ППД5[[#This Row],[Площадь по ТП жилая]:[ТП Лоджия 3]])-ППД5[[#This Row],[ТП Летние]]+ППД5[[#This Row],[кроме того прочая
(без коэффициента)]]</f>
        <v>61.400000000000006</v>
      </c>
      <c r="AL290" s="95">
        <f>ППД5[[#This Row],[ТП Площадь без летних]]+(ППД5[[#This Row],[ТП Летние]])</f>
        <v>60.000000000000007</v>
      </c>
      <c r="AM290" s="91">
        <f>ППД5[[#This Row],[ТП общая S]]-ППД5[[#This Row],[кроме того прочая
(без коэффициента)]]</f>
        <v>58.600000000000009</v>
      </c>
      <c r="AN290" s="95">
        <f>SUM(ППД5[[#This Row],[ТП Кухня]:[ТП Коридор]])</f>
        <v>32.9</v>
      </c>
      <c r="AO290" s="91">
        <f>ППД5[[#This Row],[Расчетная ТП площадь]]-ППД5[[#This Row],[Расчетная проектная площадь]]</f>
        <v>-0.23999999999999488</v>
      </c>
      <c r="AP290" s="335">
        <f>ППД5[[#This Row],[Расчетная ТП площадь]]/ППД5[[#This Row],[Расчетная проектная площадь]]-1</f>
        <v>-3.9840637450198058E-3</v>
      </c>
      <c r="AQ290" s="91">
        <f>ППД5[[#This Row],[% расхождения]]*ППД5[[#This Row],[Стоимость до скидки]]</f>
        <v>-29770.916334660498</v>
      </c>
      <c r="AR290" s="91">
        <f>VLOOKUP(ППД5[[#This Row],[№]],наценкад5[],COLUMN(наценкад5[[#This Row],[Цена м2 с учетом всех K]]),0)</f>
        <v>83010.532500000001</v>
      </c>
      <c r="AS290" s="8">
        <f>ППД5[[#This Row],[м2 после К]]*5%</f>
        <v>4150.5266250000004</v>
      </c>
      <c r="AT290" s="8">
        <f>ППД5[[#This Row],[м2 после К]]+ППД5[[#This Row],[Повышение 16.08.23 - 5%]]</f>
        <v>87161.059125</v>
      </c>
      <c r="AU290" s="93">
        <f>ППД5[[#This Row],[Фикс 16.08.23]]*3%</f>
        <v>2614.8317737499997</v>
      </c>
      <c r="AV290" s="93">
        <f>ППД5[[#This Row],[Фикс 16.08.23]]+ППД5[[#This Row],[Повышение 29.08.23 - 3%]]</f>
        <v>89775.890898750004</v>
      </c>
      <c r="AW290" s="93"/>
      <c r="AX290" s="93">
        <f>ППД5[[#This Row],[Фикс 29.08.23]]+ППД5[[#This Row],[Повышение 06.09.23 СТ и 1К]]</f>
        <v>89775.890898750004</v>
      </c>
      <c r="AY290" s="93"/>
      <c r="AZ290" s="93">
        <f>ППД5[[#This Row],[Повышение 23.10.23  В4 ]]+ППД5[[#This Row],[Фикс 06.09.23]]</f>
        <v>89775.890898750004</v>
      </c>
      <c r="BA290" s="93"/>
      <c r="BB290" s="93">
        <f>ППД5[[#This Row],[Повышение 8.11.23 1К 5%]]+ППД5[[#This Row],[Фикс 23.10.23]]</f>
        <v>89775.890898750004</v>
      </c>
      <c r="BC290" s="93"/>
      <c r="BD290" s="93">
        <f>ППД5[[#This Row],[Корректировка 24.11.23 - 1К В5, 2К А2, №233]]+ППД5[[#This Row],[Фикс 8.11.23]]</f>
        <v>89775.890898750004</v>
      </c>
      <c r="BE290" s="93">
        <f>ППД5[[#This Row],[Фикс 8.11.24]]*1%</f>
        <v>897.75890898750004</v>
      </c>
      <c r="BF290" s="93">
        <f>ППД5[[#This Row],[Наценка за отделку 29.12.23 1%]]+ППД5[[#This Row],[Фикс 8.11.24]]</f>
        <v>90673.6498077375</v>
      </c>
      <c r="BG290" s="93">
        <f>ППД5[[#This Row],[Фикс 29.12.23]]*5%</f>
        <v>4533.6824903868755</v>
      </c>
      <c r="BH290" s="93">
        <f>ППД5[[#This Row],[Фикс 29.12.23]]+ППД5[[#This Row],[Наценка 10.01.24 5%]]</f>
        <v>95207.332298124369</v>
      </c>
      <c r="BI290" s="93"/>
      <c r="BJ290" s="93">
        <f>ППД5[[#This Row],[Наценка 26.02.24 1 Этаж]]+ППД5[[#This Row],[Фикс 10.01.24]]</f>
        <v>95207.332298124369</v>
      </c>
      <c r="BK290" s="93">
        <f>ППД5[[#This Row],[Фикс 26.02.24]]*2%</f>
        <v>1904.1466459624874</v>
      </c>
      <c r="BL290" s="93">
        <f>ППД5[[#This Row],[Фикс 26.02.24]]+ППД5[[#This Row],[Наценка 06.03.24
СТ, 1К - 3%
2К, 3К - 2%]]</f>
        <v>97111.478944086863</v>
      </c>
      <c r="BM290" s="93"/>
      <c r="BN290" s="93">
        <f>ППД5[[#This Row],[Фикс 06.03.24]]+ППД5[[#This Row],[Наценка Г2+500]]</f>
        <v>97111.478944086863</v>
      </c>
      <c r="BO290" s="93">
        <f>ППД5[[#This Row],[Фикс 13.03.25]]*2%</f>
        <v>1942.2295788817373</v>
      </c>
      <c r="BP290" s="93">
        <f>ППД5[[#This Row],[Фикс 13.03.25]]+ППД5[[#This Row],[Наценка 20.03.24
2К, 3К - 2%]]</f>
        <v>99053.708522968605</v>
      </c>
      <c r="BQ290" s="93"/>
      <c r="BR290" s="93">
        <f>ППД5[[#This Row],[Фикс 20.03.24]]+ППД5[[#This Row],[Наценка 08.04.24 
2К: В3 - 150
3К: Г7 +1000]]</f>
        <v>99053.708522968605</v>
      </c>
      <c r="BS290" s="93"/>
      <c r="BT290" s="93">
        <f>ППД5[[#This Row],[Фикс 08.04.24]]+ППД5[[#This Row],[Наценка 16.05.24 1%
А4,А6,Б3,Б6,Б7,В2,В3,В5,В6,Г1,Г3-Г5]]</f>
        <v>99053.708522968605</v>
      </c>
      <c r="BU290" s="93"/>
      <c r="BV290" s="93">
        <f>ППД5[[#This Row],[Фикс 16.05.24]]+ППД5[[#This Row],[Наценка 24.05.24
1% - Б4, Б5,Г2,Г6
2% - А1,А3,А5,Б2,Г7]]</f>
        <v>99053.708522968605</v>
      </c>
      <c r="BW290" s="93"/>
      <c r="BX290" s="93">
        <f>ППД5[[#This Row],[Наценка 06.06.24
0К: В2,Г3 +0,5%
1К: А7, Б5/4, Г6 +0,5%
3К: В6 +0,5%
1К: А3 +1%]]+ППД5[[#This Row],[Фикс 24.05.24]]</f>
        <v>99053.708522968605</v>
      </c>
      <c r="BY290" s="93"/>
      <c r="BZ290" s="93">
        <f>ППД5[[#This Row],[Фикс 06.06.24]]+ППД5[[#This Row],[13.06.2024
3К - 2%]]</f>
        <v>99053.708522968605</v>
      </c>
      <c r="CA290" s="93">
        <f>0.5%*ППД5[[#This Row],[Фикс 13.06.24]]</f>
        <v>495.26854261484306</v>
      </c>
      <c r="CB290" s="93">
        <f>ППД5[[#This Row],[02.07.2024: Г3 А1 А3 Б5 Б7 Г2 Г6 Б3 Б4 В3 Г7 2,5% ост 0,5-1,5%]]+ППД5[[#This Row],[Фикс 13.06.24]]</f>
        <v>99548.977065583444</v>
      </c>
      <c r="CC290" s="93"/>
      <c r="CD290" s="93">
        <f>ППД5[[#This Row],[Фикс 02.07.24]]+ППД5[[#This Row],[04.09.2024 +500
0К - Б2; 1К - А3;
2К - А6, Б4, В3, Г5]]</f>
        <v>99548.977065583444</v>
      </c>
      <c r="CE290" s="93">
        <f>ППД5[[#This Row],[Фикс 04.09.24]]*4%</f>
        <v>3981.959082623338</v>
      </c>
      <c r="CF290" s="93">
        <f>ППД5[[#This Row],[Наценка 16.09.2024
1К: А1,В7,Г6/7,Г8 - 2%
2К: А4,А5,А6,Б1,Б6,Б3/4,В3,В4,Г4,Г5 - 4%
3К: 4%]]+ППД5[[#This Row],[Фикс 04.09.24]]</f>
        <v>103530.93614820678</v>
      </c>
      <c r="CG290" s="93">
        <f>ППД5[[#This Row],[Фикс 16.09.2024]]*6%</f>
        <v>6211.8561688924065</v>
      </c>
      <c r="CH290" s="93">
        <f>ППД5[[#This Row],[Фикс 16.09.2024]]+ППД5[[#This Row],[Наценка 01.11.24
СТ: 4%
1К: 34-40м 5%; 40м+ 8%; МГН 1%
2К: 55-70м 6%; 70-73м 7%; 73-76м 8% 
3К: 5%]]</f>
        <v>109742.79231709919</v>
      </c>
      <c r="CI290" s="93">
        <f>ППД5[[#This Row],[Фикс 01.11.24]]*13%</f>
        <v>14266.563001222894</v>
      </c>
      <c r="CJ290" s="93">
        <f>ППД5[[#This Row],[Наценка 06.11 13%]]+ППД5[[#This Row],[Фикс 01.11.24]]</f>
        <v>124009.35531832208</v>
      </c>
      <c r="CK290" s="93">
        <v>35</v>
      </c>
      <c r="CL290" s="93">
        <f>ППД5[[#This Row],[Фикс 06.11.24]]+ППД5[[#This Row],[Наценка 18.12.24 распределение КВ]]</f>
        <v>124044.35531832208</v>
      </c>
      <c r="CM290" s="93"/>
      <c r="CN290" s="93">
        <f>ППД5[[#This Row],[Фикс 18.12.24]]+ППД5[[#This Row],[Наценка 10.02.25 +1%
1К: А3
2К: Б3, В3]]</f>
        <v>124044.35531832208</v>
      </c>
      <c r="CO290" s="93">
        <f>ROUND(ППД5[[#This Row],[Фикс 10.02.25]],2)</f>
        <v>124044.36</v>
      </c>
      <c r="CP29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7472500</v>
      </c>
      <c r="CQ290" s="93">
        <f>ROUNDUP(ППД5[[#This Row],[Стоимость до скидки]]+ППД5[[#This Row],[Сумма доплаты]],-2)</f>
        <v>7442800</v>
      </c>
      <c r="CR290" s="68"/>
      <c r="CS290" s="90"/>
      <c r="CT290" s="68">
        <f>ППД5[[#This Row],[Стоимость до скидки]]*ППД5[[#This Row],[Скидка %]]+ППД5[[#This Row],[Скидка фиксированная]]</f>
        <v>0</v>
      </c>
      <c r="CU290" s="3">
        <f>ППД5[[#This Row],[Стоимость ОН без отделки со скидкой]]/ППД5[[#This Row],[Расчетная проектная площадь]]</f>
        <v>124045.48472775564</v>
      </c>
      <c r="CV290" s="3">
        <f>ROUND(ППД5[[#This Row],[Стоимость до скидки]]-ППД5[[#This Row],[Итоговая сумма скидки]],2)</f>
        <v>7472500</v>
      </c>
      <c r="CW29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90" s="197"/>
      <c r="CY290" s="332">
        <f>ППД5[[#This Row],[Расхождение]]/ППД5[[#This Row],[Расчетная проектная площадь]]</f>
        <v>-3.9840637450198352E-3</v>
      </c>
      <c r="CZ29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-0.13000000000000078</v>
      </c>
      <c r="DA290" s="3">
        <f>ППД5[[#This Row],[Цена м2 без отделки со скидкой]]+ППД5[[#This Row],[Стоимость отделки]]</f>
        <v>124045.48472775564</v>
      </c>
      <c r="DB290" s="3">
        <f>ППД5[[#This Row],[Стоимость квартиры с отделкой]]-ППД5[[#This Row],[Стоимость ОН без отделки со скидкой]]</f>
        <v>0</v>
      </c>
      <c r="DC290" s="3">
        <f>ППД5[[#This Row],[Цена м2 с отделкой]]*ППД5[[#This Row],[Расчетная проектная площадь]]</f>
        <v>7472500</v>
      </c>
      <c r="DD290" s="3"/>
      <c r="DF290" s="155" t="s">
        <v>161</v>
      </c>
      <c r="DG290" s="245" t="s">
        <v>161</v>
      </c>
      <c r="DH290" s="100" t="b">
        <f>EXACT(ППД5[[#This Row],[Статусы CRM]],ППД5[[#This Row],[Статус]])</f>
        <v>1</v>
      </c>
      <c r="DI290" s="213" t="s">
        <v>462</v>
      </c>
      <c r="DJ290" s="204"/>
      <c r="DK290" s="111" t="s">
        <v>763</v>
      </c>
      <c r="DL290" s="216" t="s">
        <v>12</v>
      </c>
      <c r="DM290" s="201" t="b">
        <f>ППД5[[#This Row],[Отделка CRM]]=ППД5[[#This Row],[Отделка]]</f>
        <v>1</v>
      </c>
      <c r="DN290" s="203">
        <v>7472500</v>
      </c>
      <c r="DO29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90" s="207" t="b">
        <f>IF(AND(ППД5[[#This Row],[Статус]]="свободно",ППД5[[#This Row],[Итоговая сумма скидки]]&lt;&gt;0),FALSE,TRUE)</f>
        <v>1</v>
      </c>
      <c r="DQ290" s="240" t="str">
        <f>_xlfn.XLOOKUP(ППД5[[#This Row],[№]],Юрист[№ кв],Юрист[Дата подачи на регистрацию]," ",0,-1)</f>
        <v xml:space="preserve"> </v>
      </c>
      <c r="DR290" s="115" t="str">
        <f>_xlfn.XLOOKUP(ППД5[[#This Row],[№]],Юрист[№ кв],Юрист[МОП],"",0,-1)</f>
        <v/>
      </c>
      <c r="DS290" s="333" t="s">
        <v>2872</v>
      </c>
      <c r="DT290" s="333" t="s">
        <v>2873</v>
      </c>
      <c r="DU290" s="333">
        <v>58.6</v>
      </c>
      <c r="DV290" s="111"/>
    </row>
    <row r="291" spans="1:126" hidden="1" x14ac:dyDescent="0.25">
      <c r="A291" s="112">
        <v>289</v>
      </c>
      <c r="B291" s="111" t="s">
        <v>3</v>
      </c>
      <c r="C291" s="111">
        <v>10</v>
      </c>
      <c r="D291" s="111">
        <v>5</v>
      </c>
      <c r="E291" s="111">
        <v>1</v>
      </c>
      <c r="F291" s="105">
        <v>12.54</v>
      </c>
      <c r="G291" s="105"/>
      <c r="H291" s="105"/>
      <c r="I291" s="94">
        <f>SUM(ППД5[[#This Row],[Комната 1]:[Комната 3]])</f>
        <v>12.54</v>
      </c>
      <c r="J291" s="105">
        <v>12.74</v>
      </c>
      <c r="K291" s="105">
        <v>4.0199999999999996</v>
      </c>
      <c r="L291" s="105"/>
      <c r="M291" s="105"/>
      <c r="N291" s="105">
        <v>7.09</v>
      </c>
      <c r="O291" s="105">
        <v>2.84</v>
      </c>
      <c r="P291" s="105"/>
      <c r="Q291" s="105"/>
      <c r="R291" s="105">
        <f>SUM(ППД5[[#This Row],[Лоджия 1]:[Лоджия 3]])</f>
        <v>2.84</v>
      </c>
      <c r="S291" s="8">
        <f>ROUND(SUM(ППД5[[#This Row],[Площадь по проекту жилая]:[Лоджия 3]]),2)</f>
        <v>39.229999999999997</v>
      </c>
      <c r="T291" s="8">
        <f>ROUND(ППД5[[#This Row],[Площадь по проекту(общая)]]-ППД5[[#This Row],[Летние]],2)</f>
        <v>36.39</v>
      </c>
      <c r="U291" s="91">
        <f>ROUND(ППД5[[#This Row],[Площадь по проекту(общая)]]-(SUM(ППД5[[#This Row],[Лоджия 1]:[Лоджия 3]])/2),2)</f>
        <v>37.81</v>
      </c>
      <c r="V291" s="91">
        <f>IF(ППД5[[#This Row],[Статус]]="продажа",ППД5[[#This Row],[Расчетная проектная площадь]],ППД5[[#This Row],[Расчетная ТП площадь]])</f>
        <v>37.81</v>
      </c>
      <c r="W291" s="91">
        <v>12.5</v>
      </c>
      <c r="X291" s="91"/>
      <c r="Y291" s="91"/>
      <c r="Z291" s="91">
        <f>SUM(ППД5[[#This Row],[ТП Комната 1]:[ТП Комната 3]])</f>
        <v>12.5</v>
      </c>
      <c r="AA291" s="91">
        <v>12.6</v>
      </c>
      <c r="AB291" s="91">
        <v>4</v>
      </c>
      <c r="AC291" s="91"/>
      <c r="AD291" s="91"/>
      <c r="AE291" s="91">
        <v>6.9</v>
      </c>
      <c r="AF291" s="91">
        <v>1.4</v>
      </c>
      <c r="AG291" s="91"/>
      <c r="AH291" s="91"/>
      <c r="AI291" s="91">
        <f>SUM(ППД5[[#This Row],[ТП Лоджия 1]:[ТП Лоджия 3]])</f>
        <v>1.4</v>
      </c>
      <c r="AJ291" s="95">
        <v>2.8</v>
      </c>
      <c r="AK291" s="91">
        <f>SUM(ППД5[[#This Row],[Площадь по ТП жилая]:[ТП Лоджия 3]])-ППД5[[#This Row],[ТП Летние]]+ППД5[[#This Row],[кроме того прочая
(без коэффициента)]]</f>
        <v>38.799999999999997</v>
      </c>
      <c r="AL291" s="95">
        <f>ППД5[[#This Row],[ТП Площадь без летних]]+(ППД5[[#This Row],[ТП Летние]])</f>
        <v>37.4</v>
      </c>
      <c r="AM291" s="91">
        <f>ППД5[[#This Row],[ТП общая S]]-ППД5[[#This Row],[кроме того прочая
(без коэффициента)]]</f>
        <v>36</v>
      </c>
      <c r="AN291" s="95">
        <f>SUM(ППД5[[#This Row],[ТП Кухня]:[ТП Коридор]])</f>
        <v>23.5</v>
      </c>
      <c r="AO291" s="91">
        <f>ППД5[[#This Row],[Расчетная ТП площадь]]-ППД5[[#This Row],[Расчетная проектная площадь]]</f>
        <v>-0.41000000000000369</v>
      </c>
      <c r="AP291" s="335">
        <f>ППД5[[#This Row],[Расчетная ТП площадь]]/ППД5[[#This Row],[Расчетная проектная площадь]]-1</f>
        <v>-1.0843692144935302E-2</v>
      </c>
      <c r="AQ291" s="91">
        <f>ППД5[[#This Row],[% расхождения]]*ППД5[[#This Row],[Стоимость до скидки]]</f>
        <v>-48047.315524993828</v>
      </c>
      <c r="AR291" s="91">
        <f>VLOOKUP(ППД5[[#This Row],[№]],наценкад5[],COLUMN(наценкад5[[#This Row],[Цена м2 с учетом всех K]]),0)</f>
        <v>90034.875</v>
      </c>
      <c r="AS291" s="8">
        <f>ППД5[[#This Row],[м2 после К]]*5%</f>
        <v>4501.7437500000005</v>
      </c>
      <c r="AT291" s="8">
        <f>ППД5[[#This Row],[м2 после К]]+ППД5[[#This Row],[Повышение 16.08.23 - 5%]]</f>
        <v>94536.618749999994</v>
      </c>
      <c r="AU291" s="93">
        <f>ППД5[[#This Row],[Фикс 16.08.23]]*3%</f>
        <v>2836.0985624999998</v>
      </c>
      <c r="AV291" s="93">
        <f>ППД5[[#This Row],[Фикс 16.08.23]]+ППД5[[#This Row],[Повышение 29.08.23 - 3%]]</f>
        <v>97372.717312499997</v>
      </c>
      <c r="AW291" s="93">
        <f>ППД5[[#This Row],[Фикс 29.08.23]]*4.5%</f>
        <v>4381.7722790624994</v>
      </c>
      <c r="AX291" s="93">
        <f>ППД5[[#This Row],[Фикс 29.08.23]]+ППД5[[#This Row],[Повышение 06.09.23 СТ и 1К]]</f>
        <v>101754.48959156249</v>
      </c>
      <c r="AY291" s="93"/>
      <c r="AZ291" s="93">
        <f>ППД5[[#This Row],[Повышение 23.10.23  В4 ]]+ППД5[[#This Row],[Фикс 06.09.23]]</f>
        <v>101754.48959156249</v>
      </c>
      <c r="BA291" s="93">
        <f>ППД5[[#This Row],[Фикс 23.10.23]]*5%</f>
        <v>5087.7244795781253</v>
      </c>
      <c r="BB291" s="93">
        <f>ППД5[[#This Row],[Повышение 8.11.23 1К 5%]]+ППД5[[#This Row],[Фикс 23.10.23]]</f>
        <v>106842.21407114062</v>
      </c>
      <c r="BC291" s="93">
        <v>-620</v>
      </c>
      <c r="BD291" s="93">
        <f>ППД5[[#This Row],[Корректировка 24.11.23 - 1К В5, 2К А2, №233]]+ППД5[[#This Row],[Фикс 8.11.23]]</f>
        <v>106222.21407114062</v>
      </c>
      <c r="BE291" s="93">
        <f>ППД5[[#This Row],[Фикс 8.11.24]]*1%</f>
        <v>1062.2221407114062</v>
      </c>
      <c r="BF291" s="93">
        <f>ППД5[[#This Row],[Наценка за отделку 29.12.23 1%]]+ППД5[[#This Row],[Фикс 8.11.24]]</f>
        <v>107284.43621185204</v>
      </c>
      <c r="BG291" s="93">
        <f>ППД5[[#This Row],[Фикс 29.12.23]]*5%</f>
        <v>5364.2218105926022</v>
      </c>
      <c r="BH291" s="93">
        <f>ППД5[[#This Row],[Фикс 29.12.23]]+ППД5[[#This Row],[Наценка 10.01.24 5%]]</f>
        <v>112648.65802244464</v>
      </c>
      <c r="BI291" s="93"/>
      <c r="BJ291" s="93">
        <f>ППД5[[#This Row],[Наценка 26.02.24 1 Этаж]]+ППД5[[#This Row],[Фикс 10.01.24]]</f>
        <v>112648.65802244464</v>
      </c>
      <c r="BK291" s="93">
        <f>ППД5[[#This Row],[Фикс 26.02.24]]*3%</f>
        <v>3379.4597406733392</v>
      </c>
      <c r="BL291" s="93">
        <f>ППД5[[#This Row],[Фикс 26.02.24]]+ППД5[[#This Row],[Наценка 06.03.24
СТ, 1К - 3%
2К, 3К - 2%]]</f>
        <v>116028.11776311797</v>
      </c>
      <c r="BM291" s="93"/>
      <c r="BN291" s="93">
        <f>ППД5[[#This Row],[Фикс 06.03.24]]+ППД5[[#This Row],[Наценка Г2+500]]</f>
        <v>116028.11776311797</v>
      </c>
      <c r="BO291" s="93"/>
      <c r="BP291" s="93">
        <f>ППД5[[#This Row],[Фикс 13.03.25]]+ППД5[[#This Row],[Наценка 20.03.24
2К, 3К - 2%]]</f>
        <v>116028.11776311797</v>
      </c>
      <c r="BQ291" s="93"/>
      <c r="BR291" s="93">
        <f>ППД5[[#This Row],[Фикс 20.03.24]]+ППД5[[#This Row],[Наценка 08.04.24 
2К: В3 - 150
3К: Г7 +1000]]</f>
        <v>116028.11776311797</v>
      </c>
      <c r="BS291" s="93">
        <f>ППД5[[#This Row],[Фикс 08.04.24]]*1%</f>
        <v>1160.2811776311798</v>
      </c>
      <c r="BT291" s="93">
        <f>ППД5[[#This Row],[Фикс 08.04.24]]+ППД5[[#This Row],[Наценка 16.05.24 1%
А4,А6,Б3,Б6,Б7,В2,В3,В5,В6,Г1,Г3-Г5]]</f>
        <v>117188.39894074916</v>
      </c>
      <c r="BU291" s="93"/>
      <c r="BV291" s="93">
        <f>ППД5[[#This Row],[Фикс 16.05.24]]+ППД5[[#This Row],[Наценка 24.05.24
1% - Б4, Б5,Г2,Г6
2% - А1,А3,А5,Б2,Г7]]</f>
        <v>117188.39894074916</v>
      </c>
      <c r="BW291" s="93"/>
      <c r="BX291" s="93">
        <f>ППД5[[#This Row],[Наценка 06.06.24
0К: В2,Г3 +0,5%
1К: А7, Б5/4, Г6 +0,5%
3К: В6 +0,5%
1К: А3 +1%]]+ППД5[[#This Row],[Фикс 24.05.24]]</f>
        <v>117188.39894074916</v>
      </c>
      <c r="BY291" s="93"/>
      <c r="BZ291" s="93">
        <f>ППД5[[#This Row],[Фикс 06.06.24]]+ППД5[[#This Row],[13.06.2024
3К - 2%]]</f>
        <v>117188.39894074916</v>
      </c>
      <c r="CA291" s="93"/>
      <c r="CB291" s="93">
        <f>ППД5[[#This Row],[02.07.2024: Г3 А1 А3 Б5 Б7 Г2 Г6 Б3 Б4 В3 Г7 2,5% ост 0,5-1,5%]]+ППД5[[#This Row],[Фикс 13.06.24]]</f>
        <v>117188.39894074916</v>
      </c>
      <c r="CC291" s="93"/>
      <c r="CD291" s="93">
        <f>ППД5[[#This Row],[Фикс 02.07.24]]+ППД5[[#This Row],[04.09.2024 +500
0К - Б2; 1К - А3;
2К - А6, Б4, В3, Г5]]</f>
        <v>117188.39894074916</v>
      </c>
      <c r="CE291" s="93"/>
      <c r="CF291" s="93">
        <f>ППД5[[#This Row],[Наценка 16.09.2024
1К: А1,В7,Г6/7,Г8 - 2%
2К: А4,А5,А6,Б1,Б6,Б3/4,В3,В4,Г4,Г5 - 4%
3К: 4%]]+ППД5[[#This Row],[Фикс 04.09.24]]</f>
        <v>117188.39894074916</v>
      </c>
      <c r="CG291" s="93"/>
      <c r="CH291" s="93">
        <f>ППД5[[#This Row],[Фикс 16.09.2024]]+ППД5[[#This Row],[Наценка 01.11.24
СТ: 4%
1К: 34-40м 5%; 40м+ 8%; МГН 1%
2К: 55-70м 6%; 70-73м 7%; 73-76м 8% 
3К: 5%]]</f>
        <v>117188.39894074916</v>
      </c>
      <c r="CI291" s="93"/>
      <c r="CJ291" s="93">
        <f>ППД5[[#This Row],[Наценка 06.11 13%]]+ППД5[[#This Row],[Фикс 01.11.24]]</f>
        <v>117188.39894074916</v>
      </c>
      <c r="CK291" s="93"/>
      <c r="CL291" s="93">
        <f>ППД5[[#This Row],[Фикс 06.11.24]]+ППД5[[#This Row],[Наценка 18.12.24 распределение КВ]]</f>
        <v>117188.39894074916</v>
      </c>
      <c r="CM291" s="93"/>
      <c r="CN291" s="93">
        <f>ППД5[[#This Row],[Фикс 18.12.24]]+ППД5[[#This Row],[Наценка 10.02.25 +1%
1К: А3
2К: Б3, В3]]</f>
        <v>117188.39894074916</v>
      </c>
      <c r="CO291" s="93">
        <f>ROUND(ППД5[[#This Row],[Фикс 10.02.25]],2)</f>
        <v>117188.4</v>
      </c>
      <c r="CP29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4430900</v>
      </c>
      <c r="CQ291" s="93">
        <f>ROUNDUP(ППД5[[#This Row],[Стоимость до скидки]]+ППД5[[#This Row],[Сумма доплаты]],-2)</f>
        <v>4382900</v>
      </c>
      <c r="CR291" s="68"/>
      <c r="CS291" s="90"/>
      <c r="CT291" s="68">
        <f>ППД5[[#This Row],[Стоимость до скидки]]*ППД5[[#This Row],[Скидка %]]+ППД5[[#This Row],[Скидка фиксированная]]</f>
        <v>0</v>
      </c>
      <c r="CU291" s="3">
        <f>ППД5[[#This Row],[Стоимость ОН без отделки со скидкой]]/ППД5[[#This Row],[Расчетная проектная площадь]]</f>
        <v>117188.57445120339</v>
      </c>
      <c r="CV291" s="3">
        <f>ROUND(ППД5[[#This Row],[Стоимость до скидки]]-ППД5[[#This Row],[Итоговая сумма скидки]],2)</f>
        <v>4430900</v>
      </c>
      <c r="CW29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91" s="197"/>
      <c r="CY291" s="332">
        <f>ППД5[[#This Row],[Расхождение]]/ППД5[[#This Row],[Расчетная проектная площадь]]</f>
        <v>-1.08436921449353E-2</v>
      </c>
      <c r="CZ29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-0.34999999999999964</v>
      </c>
      <c r="DA291" s="3">
        <f>ППД5[[#This Row],[Цена м2 без отделки со скидкой]]+ППД5[[#This Row],[Стоимость отделки]]</f>
        <v>117188.57445120339</v>
      </c>
      <c r="DB291" s="3">
        <f>ППД5[[#This Row],[Стоимость квартиры с отделкой]]-ППД5[[#This Row],[Стоимость ОН без отделки со скидкой]]</f>
        <v>0</v>
      </c>
      <c r="DC291" s="3">
        <f>ППД5[[#This Row],[Цена м2 с отделкой]]*ППД5[[#This Row],[Расчетная проектная площадь]]</f>
        <v>4430900</v>
      </c>
      <c r="DD291" s="3"/>
      <c r="DF291" s="199" t="s">
        <v>172</v>
      </c>
      <c r="DG291" s="245" t="s">
        <v>172</v>
      </c>
      <c r="DH291" s="100" t="b">
        <f>EXACT(ППД5[[#This Row],[Статусы CRM]],ППД5[[#This Row],[Статус]])</f>
        <v>1</v>
      </c>
      <c r="DI291" s="213" t="s">
        <v>463</v>
      </c>
      <c r="DJ291" s="204"/>
      <c r="DK291" s="111" t="s">
        <v>763</v>
      </c>
      <c r="DL291" s="216" t="s">
        <v>12</v>
      </c>
      <c r="DM291" s="201" t="b">
        <f>ППД5[[#This Row],[Отделка CRM]]=ППД5[[#This Row],[Отделка]]</f>
        <v>1</v>
      </c>
      <c r="DN291" s="203">
        <v>4430900</v>
      </c>
      <c r="DO29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91" s="207" t="b">
        <f>IF(AND(ППД5[[#This Row],[Статус]]="свободно",ППД5[[#This Row],[Итоговая сумма скидки]]&lt;&gt;0),FALSE,TRUE)</f>
        <v>1</v>
      </c>
      <c r="DQ291" s="240">
        <f>_xlfn.XLOOKUP(ППД5[[#This Row],[№]],Юрист[№ кв],Юрист[Дата подачи на регистрацию]," ",0,-1)</f>
        <v>45464</v>
      </c>
      <c r="DR291" s="115" t="str">
        <f>_xlfn.XLOOKUP(ППД5[[#This Row],[№]],Юрист[№ кв],Юрист[МОП],"",0,-1)</f>
        <v>Дик</v>
      </c>
      <c r="DS291" s="333" t="s">
        <v>2874</v>
      </c>
      <c r="DT291" s="333" t="s">
        <v>2875</v>
      </c>
      <c r="DU291" s="333">
        <v>36</v>
      </c>
      <c r="DV291" s="111"/>
    </row>
    <row r="292" spans="1:126" hidden="1" x14ac:dyDescent="0.25">
      <c r="A292" s="112">
        <v>290</v>
      </c>
      <c r="B292" s="111" t="s">
        <v>3</v>
      </c>
      <c r="C292" s="111">
        <v>10</v>
      </c>
      <c r="D292" s="111">
        <v>6</v>
      </c>
      <c r="E292" s="111">
        <v>3</v>
      </c>
      <c r="F292" s="105">
        <v>17.2</v>
      </c>
      <c r="G292" s="105">
        <v>14.64</v>
      </c>
      <c r="H292" s="105">
        <v>14.34</v>
      </c>
      <c r="I292" s="94">
        <f>SUM(ППД5[[#This Row],[Комната 1]:[Комната 3]])</f>
        <v>46.18</v>
      </c>
      <c r="J292" s="105">
        <v>13.15</v>
      </c>
      <c r="K292" s="105">
        <v>4.03</v>
      </c>
      <c r="L292" s="105">
        <v>1.76</v>
      </c>
      <c r="M292" s="105"/>
      <c r="N292" s="105">
        <v>13.11</v>
      </c>
      <c r="O292" s="105">
        <v>2.79</v>
      </c>
      <c r="P292" s="105">
        <v>2.68</v>
      </c>
      <c r="Q292" s="105"/>
      <c r="R292" s="105">
        <f>SUM(ППД5[[#This Row],[Лоджия 1]:[Лоджия 3]])</f>
        <v>5.4700000000000006</v>
      </c>
      <c r="S292" s="8">
        <f>ROUND(SUM(ППД5[[#This Row],[Площадь по проекту жилая]:[Лоджия 3]]),2)</f>
        <v>83.7</v>
      </c>
      <c r="T292" s="8">
        <f>ROUND(ППД5[[#This Row],[Площадь по проекту(общая)]]-ППД5[[#This Row],[Летние]],2)</f>
        <v>78.23</v>
      </c>
      <c r="U292" s="91">
        <f>ROUND(ППД5[[#This Row],[Площадь по проекту(общая)]]-(SUM(ППД5[[#This Row],[Лоджия 1]:[Лоджия 3]])/2),2)</f>
        <v>80.97</v>
      </c>
      <c r="V292" s="91">
        <f>IF(ППД5[[#This Row],[Статус]]="продажа",ППД5[[#This Row],[Расчетная проектная площадь]],ППД5[[#This Row],[Расчетная ТП площадь]])</f>
        <v>80.97</v>
      </c>
      <c r="W292" s="91">
        <v>17.100000000000001</v>
      </c>
      <c r="X292" s="91">
        <v>14.6</v>
      </c>
      <c r="Y292" s="91">
        <v>14.3</v>
      </c>
      <c r="Z292" s="91">
        <f>SUM(ППД5[[#This Row],[ТП Комната 1]:[ТП Комната 3]])</f>
        <v>46</v>
      </c>
      <c r="AA292" s="91">
        <v>13</v>
      </c>
      <c r="AB292" s="91">
        <v>4</v>
      </c>
      <c r="AC292" s="91">
        <v>1.8</v>
      </c>
      <c r="AD292" s="91"/>
      <c r="AE292" s="91">
        <v>13</v>
      </c>
      <c r="AF292" s="91">
        <v>1.35</v>
      </c>
      <c r="AG292" s="91">
        <v>1.35</v>
      </c>
      <c r="AH292" s="91"/>
      <c r="AI292" s="91">
        <f>SUM(ППД5[[#This Row],[ТП Лоджия 1]:[ТП Лоджия 3]])</f>
        <v>2.7</v>
      </c>
      <c r="AJ292" s="95">
        <v>5.4</v>
      </c>
      <c r="AK292" s="91">
        <f>SUM(ППД5[[#This Row],[Площадь по ТП жилая]:[ТП Лоджия 3]])-ППД5[[#This Row],[ТП Летние]]+ППД5[[#This Row],[кроме того прочая
(без коэффициента)]]</f>
        <v>83.199999999999989</v>
      </c>
      <c r="AL292" s="95">
        <f>ППД5[[#This Row],[ТП Площадь без летних]]+(ППД5[[#This Row],[ТП Летние]])</f>
        <v>80.499999999999986</v>
      </c>
      <c r="AM292" s="91">
        <f>ППД5[[#This Row],[ТП общая S]]-ППД5[[#This Row],[кроме того прочая
(без коэффициента)]]</f>
        <v>77.799999999999983</v>
      </c>
      <c r="AN292" s="95">
        <f>SUM(ППД5[[#This Row],[ТП Кухня]:[ТП Коридор]])</f>
        <v>31.8</v>
      </c>
      <c r="AO292" s="91">
        <f>ППД5[[#This Row],[Расчетная ТП площадь]]-ППД5[[#This Row],[Расчетная проектная площадь]]</f>
        <v>-0.47000000000001307</v>
      </c>
      <c r="AP292" s="335">
        <f>ППД5[[#This Row],[Расчетная ТП площадь]]/ППД5[[#This Row],[Расчетная проектная площадь]]-1</f>
        <v>-5.8046189946895366E-3</v>
      </c>
      <c r="AQ292" s="91">
        <f>ППД5[[#This Row],[% расхождения]]*ППД5[[#This Row],[Стоимость до скидки]]</f>
        <v>-37734.086698778272</v>
      </c>
      <c r="AR292" s="91">
        <f>VLOOKUP(ППД5[[#This Row],[№]],наценкад5[],COLUMN(наценкад5[[#This Row],[Цена м2 с учетом всех K]]),0)</f>
        <v>74234.160000000018</v>
      </c>
      <c r="AS292" s="8">
        <f>ППД5[[#This Row],[м2 после К]]*5%</f>
        <v>3711.708000000001</v>
      </c>
      <c r="AT292" s="8">
        <f>ППД5[[#This Row],[м2 после К]]+ППД5[[#This Row],[Повышение 16.08.23 - 5%]]</f>
        <v>77945.868000000017</v>
      </c>
      <c r="AU292" s="93">
        <f>ППД5[[#This Row],[Фикс 16.08.23]]*3%</f>
        <v>2338.3760400000006</v>
      </c>
      <c r="AV292" s="93">
        <f>ППД5[[#This Row],[Фикс 16.08.23]]+ППД5[[#This Row],[Повышение 29.08.23 - 3%]]</f>
        <v>80284.24404000002</v>
      </c>
      <c r="AW292" s="93"/>
      <c r="AX292" s="93">
        <f>ППД5[[#This Row],[Фикс 29.08.23]]+ППД5[[#This Row],[Повышение 06.09.23 СТ и 1К]]</f>
        <v>80284.24404000002</v>
      </c>
      <c r="AY292" s="93"/>
      <c r="AZ292" s="93">
        <f>ППД5[[#This Row],[Повышение 23.10.23  В4 ]]+ППД5[[#This Row],[Фикс 06.09.23]]</f>
        <v>80284.24404000002</v>
      </c>
      <c r="BA292" s="93"/>
      <c r="BB292" s="93">
        <f>ППД5[[#This Row],[Повышение 8.11.23 1К 5%]]+ППД5[[#This Row],[Фикс 23.10.23]]</f>
        <v>80284.24404000002</v>
      </c>
      <c r="BC292" s="93"/>
      <c r="BD292" s="93">
        <f>ППД5[[#This Row],[Корректировка 24.11.23 - 1К В5, 2К А2, №233]]+ППД5[[#This Row],[Фикс 8.11.23]]</f>
        <v>80284.24404000002</v>
      </c>
      <c r="BE292" s="93"/>
      <c r="BF292" s="93">
        <f>ППД5[[#This Row],[Наценка за отделку 29.12.23 1%]]+ППД5[[#This Row],[Фикс 8.11.24]]</f>
        <v>80284.24404000002</v>
      </c>
      <c r="BG292" s="93"/>
      <c r="BH292" s="93">
        <f>ППД5[[#This Row],[Фикс 29.12.23]]+ППД5[[#This Row],[Наценка 10.01.24 5%]]</f>
        <v>80284.24404000002</v>
      </c>
      <c r="BI292" s="93"/>
      <c r="BJ292" s="93">
        <f>ППД5[[#This Row],[Наценка 26.02.24 1 Этаж]]+ППД5[[#This Row],[Фикс 10.01.24]]</f>
        <v>80284.24404000002</v>
      </c>
      <c r="BK292" s="93"/>
      <c r="BL292" s="93">
        <f>ППД5[[#This Row],[Фикс 26.02.24]]+ППД5[[#This Row],[Наценка 06.03.24
СТ, 1К - 3%
2К, 3К - 2%]]</f>
        <v>80284.24404000002</v>
      </c>
      <c r="BM292" s="93"/>
      <c r="BN292" s="93">
        <f>ППД5[[#This Row],[Фикс 06.03.24]]+ППД5[[#This Row],[Наценка Г2+500]]</f>
        <v>80284.24404000002</v>
      </c>
      <c r="BO292" s="93"/>
      <c r="BP292" s="93">
        <f>ППД5[[#This Row],[Фикс 13.03.25]]+ППД5[[#This Row],[Наценка 20.03.24
2К, 3К - 2%]]</f>
        <v>80284.24404000002</v>
      </c>
      <c r="BQ292" s="93"/>
      <c r="BR292" s="93">
        <f>ППД5[[#This Row],[Фикс 20.03.24]]+ППД5[[#This Row],[Наценка 08.04.24 
2К: В3 - 150
3К: Г7 +1000]]</f>
        <v>80284.24404000002</v>
      </c>
      <c r="BS292" s="93"/>
      <c r="BT292" s="93">
        <f>ППД5[[#This Row],[Фикс 08.04.24]]+ППД5[[#This Row],[Наценка 16.05.24 1%
А4,А6,Б3,Б6,Б7,В2,В3,В5,В6,Г1,Г3-Г5]]</f>
        <v>80284.24404000002</v>
      </c>
      <c r="BU292" s="93"/>
      <c r="BV292" s="93">
        <f>ППД5[[#This Row],[Фикс 16.05.24]]+ППД5[[#This Row],[Наценка 24.05.24
1% - Б4, Б5,Г2,Г6
2% - А1,А3,А5,Б2,Г7]]</f>
        <v>80284.24404000002</v>
      </c>
      <c r="BW292" s="93"/>
      <c r="BX292" s="93">
        <f>ППД5[[#This Row],[Наценка 06.06.24
0К: В2,Г3 +0,5%
1К: А7, Б5/4, Г6 +0,5%
3К: В6 +0,5%
1К: А3 +1%]]+ППД5[[#This Row],[Фикс 24.05.24]]</f>
        <v>80284.24404000002</v>
      </c>
      <c r="BY292" s="93"/>
      <c r="BZ292" s="93">
        <f>ППД5[[#This Row],[Фикс 06.06.24]]+ППД5[[#This Row],[13.06.2024
3К - 2%]]</f>
        <v>80284.24404000002</v>
      </c>
      <c r="CA292" s="93"/>
      <c r="CB292" s="93">
        <f>ППД5[[#This Row],[02.07.2024: Г3 А1 А3 Б5 Б7 Г2 Г6 Б3 Б4 В3 Г7 2,5% ост 0,5-1,5%]]+ППД5[[#This Row],[Фикс 13.06.24]]</f>
        <v>80284.24404000002</v>
      </c>
      <c r="CC292" s="93"/>
      <c r="CD292" s="93">
        <f>ППД5[[#This Row],[Фикс 02.07.24]]+ППД5[[#This Row],[04.09.2024 +500
0К - Б2; 1К - А3;
2К - А6, Б4, В3, Г5]]</f>
        <v>80284.24404000002</v>
      </c>
      <c r="CE292" s="93"/>
      <c r="CF292" s="93">
        <f>ППД5[[#This Row],[Наценка 16.09.2024
1К: А1,В7,Г6/7,Г8 - 2%
2К: А4,А5,А6,Б1,Б6,Б3/4,В3,В4,Г4,Г5 - 4%
3К: 4%]]+ППД5[[#This Row],[Фикс 04.09.24]]</f>
        <v>80284.24404000002</v>
      </c>
      <c r="CG292" s="93"/>
      <c r="CH292" s="93">
        <f>ППД5[[#This Row],[Фикс 16.09.2024]]+ППД5[[#This Row],[Наценка 01.11.24
СТ: 4%
1К: 34-40м 5%; 40м+ 8%; МГН 1%
2К: 55-70м 6%; 70-73м 7%; 73-76м 8% 
3К: 5%]]</f>
        <v>80284.24404000002</v>
      </c>
      <c r="CI292" s="93"/>
      <c r="CJ292" s="93">
        <f>ППД5[[#This Row],[Наценка 06.11 13%]]+ППД5[[#This Row],[Фикс 01.11.24]]</f>
        <v>80284.24404000002</v>
      </c>
      <c r="CK292" s="93"/>
      <c r="CL292" s="93">
        <f>ППД5[[#This Row],[Фикс 06.11.24]]+ППД5[[#This Row],[Наценка 18.12.24 распределение КВ]]</f>
        <v>80284.24404000002</v>
      </c>
      <c r="CM292" s="93"/>
      <c r="CN292" s="93">
        <f>ППД5[[#This Row],[Фикс 18.12.24]]+ППД5[[#This Row],[Наценка 10.02.25 +1%
1К: А3
2К: Б3, В3]]</f>
        <v>80284.24404000002</v>
      </c>
      <c r="CO292" s="93">
        <f>ROUND(ППД5[[#This Row],[Фикс 10.02.25]],2)</f>
        <v>80284.240000000005</v>
      </c>
      <c r="CP29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6500700</v>
      </c>
      <c r="CQ292" s="93">
        <f>ROUNDUP(ППД5[[#This Row],[Стоимость до скидки]]+ППД5[[#This Row],[Сумма доплаты]],-2)</f>
        <v>6463000</v>
      </c>
      <c r="CR292" s="68">
        <v>10000</v>
      </c>
      <c r="CS292" s="90"/>
      <c r="CT292" s="68">
        <f>ППД5[[#This Row],[Стоимость до скидки]]*ППД5[[#This Row],[Скидка %]]+ППД5[[#This Row],[Скидка фиксированная]]</f>
        <v>10000</v>
      </c>
      <c r="CU292" s="3">
        <f>ППД5[[#This Row],[Стоимость ОН без отделки со скидкой]]/ППД5[[#This Row],[Расчетная проектная площадь]]</f>
        <v>80161.788316660488</v>
      </c>
      <c r="CV292" s="3">
        <f>ROUND(ППД5[[#This Row],[Стоимость до скидки]]-ППД5[[#This Row],[Итоговая сумма скидки]],2)</f>
        <v>6490700</v>
      </c>
      <c r="CW29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292" s="197">
        <v>7500</v>
      </c>
      <c r="CY292" s="332">
        <f>ППД5[[#This Row],[Расхождение]]/ППД5[[#This Row],[Расчетная проектная площадь]]</f>
        <v>-5.8046189946895531E-3</v>
      </c>
      <c r="CZ29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-0.25000000000000178</v>
      </c>
      <c r="DA292" s="3">
        <f>ППД5[[#This Row],[Цена м2 без отделки со скидкой]]+ППД5[[#This Row],[Стоимость отделки]]</f>
        <v>87661.788316660488</v>
      </c>
      <c r="DB292" s="3">
        <f>ППД5[[#This Row],[Стоимость квартиры с отделкой]]-ППД5[[#This Row],[Стоимость ОН без отделки со скидкой]]</f>
        <v>607275</v>
      </c>
      <c r="DC292" s="3">
        <f>ППД5[[#This Row],[Цена м2 с отделкой]]*ППД5[[#This Row],[Расчетная проектная площадь]]</f>
        <v>7097975</v>
      </c>
      <c r="DD292" s="3"/>
      <c r="DE292" s="111" t="s">
        <v>766</v>
      </c>
      <c r="DF292" s="199" t="s">
        <v>172</v>
      </c>
      <c r="DG292" s="245" t="s">
        <v>172</v>
      </c>
      <c r="DH292" s="100" t="b">
        <f>EXACT(ППД5[[#This Row],[Статусы CRM]],ППД5[[#This Row],[Статус]])</f>
        <v>1</v>
      </c>
      <c r="DI292" s="213" t="s">
        <v>464</v>
      </c>
      <c r="DJ292" s="204"/>
      <c r="DK292" s="111" t="s">
        <v>763</v>
      </c>
      <c r="DL292" s="216" t="s">
        <v>13</v>
      </c>
      <c r="DM292" s="201" t="b">
        <f>ППД5[[#This Row],[Отделка CRM]]=ППД5[[#This Row],[Отделка]]</f>
        <v>1</v>
      </c>
      <c r="DN292" s="203">
        <v>7097975</v>
      </c>
      <c r="DO29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92" s="207" t="b">
        <f>IF(AND(ППД5[[#This Row],[Статус]]="свободно",ППД5[[#This Row],[Итоговая сумма скидки]]&lt;&gt;0),FALSE,TRUE)</f>
        <v>1</v>
      </c>
      <c r="DQ292" s="240">
        <f>_xlfn.XLOOKUP(ППД5[[#This Row],[№]],Юрист[№ кв],Юрист[Дата подачи на регистрацию]," ",0,-1)</f>
        <v>45273</v>
      </c>
      <c r="DR292" s="115" t="str">
        <f>_xlfn.XLOOKUP(ППД5[[#This Row],[№]],Юрист[№ кв],Юрист[МОП],"",0,-1)</f>
        <v>Никишов</v>
      </c>
      <c r="DS292" s="333" t="s">
        <v>2876</v>
      </c>
      <c r="DT292" s="333" t="s">
        <v>2877</v>
      </c>
      <c r="DU292" s="333">
        <v>77.8</v>
      </c>
      <c r="DV292" s="111"/>
    </row>
    <row r="293" spans="1:126" hidden="1" x14ac:dyDescent="0.25">
      <c r="A293" s="112">
        <v>291</v>
      </c>
      <c r="B293" s="111" t="s">
        <v>3</v>
      </c>
      <c r="C293" s="111">
        <v>10</v>
      </c>
      <c r="D293" s="111">
        <v>7</v>
      </c>
      <c r="E293" s="111">
        <v>1</v>
      </c>
      <c r="F293" s="105">
        <v>14.3</v>
      </c>
      <c r="G293" s="105"/>
      <c r="H293" s="105"/>
      <c r="I293" s="94">
        <f>SUM(ППД5[[#This Row],[Комната 1]:[Комната 3]])</f>
        <v>14.3</v>
      </c>
      <c r="J293" s="105">
        <v>9.2799999999999994</v>
      </c>
      <c r="K293" s="105">
        <v>3.79</v>
      </c>
      <c r="L293" s="105"/>
      <c r="M293" s="105"/>
      <c r="N293" s="105">
        <v>6.08</v>
      </c>
      <c r="O293" s="105">
        <v>2.71</v>
      </c>
      <c r="P293" s="105"/>
      <c r="Q293" s="105"/>
      <c r="R293" s="105">
        <f>SUM(ППД5[[#This Row],[Лоджия 1]:[Лоджия 3]])</f>
        <v>2.71</v>
      </c>
      <c r="S293" s="8">
        <f>ROUND(SUM(ППД5[[#This Row],[Площадь по проекту жилая]:[Лоджия 3]]),2)</f>
        <v>36.159999999999997</v>
      </c>
      <c r="T293" s="8">
        <f>ROUND(ППД5[[#This Row],[Площадь по проекту(общая)]]-ППД5[[#This Row],[Летние]],2)</f>
        <v>33.450000000000003</v>
      </c>
      <c r="U293" s="91">
        <f>ROUND(ППД5[[#This Row],[Площадь по проекту(общая)]]-(SUM(ППД5[[#This Row],[Лоджия 1]:[Лоджия 3]])/2),2)</f>
        <v>34.81</v>
      </c>
      <c r="V293" s="91">
        <f>IF(ППД5[[#This Row],[Статус]]="продажа",ППД5[[#This Row],[Расчетная проектная площадь]],ППД5[[#This Row],[Расчетная ТП площадь]])</f>
        <v>34.75</v>
      </c>
      <c r="W293" s="91">
        <v>14.3</v>
      </c>
      <c r="X293" s="91"/>
      <c r="Y293" s="91"/>
      <c r="Z293" s="91">
        <f>SUM(ППД5[[#This Row],[ТП Комната 1]:[ТП Комната 3]])</f>
        <v>14.3</v>
      </c>
      <c r="AA293" s="91">
        <v>9.1999999999999993</v>
      </c>
      <c r="AB293" s="91">
        <v>3.8</v>
      </c>
      <c r="AC293" s="91"/>
      <c r="AD293" s="91"/>
      <c r="AE293" s="91">
        <v>6.1</v>
      </c>
      <c r="AF293" s="91">
        <v>1.35</v>
      </c>
      <c r="AG293" s="91"/>
      <c r="AH293" s="91"/>
      <c r="AI293" s="91">
        <f>SUM(ППД5[[#This Row],[ТП Лоджия 1]:[ТП Лоджия 3]])</f>
        <v>1.35</v>
      </c>
      <c r="AJ293" s="95">
        <v>2.7</v>
      </c>
      <c r="AK293" s="91">
        <f>SUM(ППД5[[#This Row],[Площадь по ТП жилая]:[ТП Лоджия 3]])-ППД5[[#This Row],[ТП Летние]]+ППД5[[#This Row],[кроме того прочая
(без коэффициента)]]</f>
        <v>36.1</v>
      </c>
      <c r="AL293" s="95">
        <f>ППД5[[#This Row],[ТП Площадь без летних]]+(ППД5[[#This Row],[ТП Летние]])</f>
        <v>34.75</v>
      </c>
      <c r="AM293" s="91">
        <f>ППД5[[#This Row],[ТП общая S]]-ППД5[[#This Row],[кроме того прочая
(без коэффициента)]]</f>
        <v>33.4</v>
      </c>
      <c r="AN293" s="95">
        <f>SUM(ППД5[[#This Row],[ТП Кухня]:[ТП Коридор]])</f>
        <v>19.100000000000001</v>
      </c>
      <c r="AO293" s="91">
        <f>ППД5[[#This Row],[Расчетная ТП площадь]]-ППД5[[#This Row],[Расчетная проектная площадь]]</f>
        <v>-6.0000000000002274E-2</v>
      </c>
      <c r="AP293" s="335">
        <f>ППД5[[#This Row],[Расчетная ТП площадь]]/ППД5[[#This Row],[Расчетная проектная площадь]]-1</f>
        <v>-1.7236426314277686E-3</v>
      </c>
      <c r="AQ293" s="91">
        <f>ППД5[[#This Row],[% расхождения]]*ППД5[[#This Row],[Стоимость до скидки]]</f>
        <v>-8832.8066647516007</v>
      </c>
      <c r="AR293" s="91">
        <f>VLOOKUP(ППД5[[#This Row],[№]],наценкад5[],COLUMN(наценкад5[[#This Row],[Цена м2 с учетом всех K]]),0)</f>
        <v>85573.6875</v>
      </c>
      <c r="AS293" s="8">
        <f>ППД5[[#This Row],[м2 после К]]*5%</f>
        <v>4278.6843749999998</v>
      </c>
      <c r="AT293" s="8">
        <f>ППД5[[#This Row],[м2 после К]]+ППД5[[#This Row],[Повышение 16.08.23 - 5%]]</f>
        <v>89852.371874999997</v>
      </c>
      <c r="AU293" s="93">
        <f>ППД5[[#This Row],[Фикс 16.08.23]]*3%</f>
        <v>2695.5711562499996</v>
      </c>
      <c r="AV293" s="93">
        <f>ППД5[[#This Row],[Фикс 16.08.23]]+ППД5[[#This Row],[Повышение 29.08.23 - 3%]]</f>
        <v>92547.94303124999</v>
      </c>
      <c r="AW293" s="93">
        <f>ППД5[[#This Row],[Фикс 29.08.23]]*14%</f>
        <v>12956.712024375</v>
      </c>
      <c r="AX293" s="93">
        <f>ППД5[[#This Row],[Фикс 29.08.23]]+ППД5[[#This Row],[Повышение 06.09.23 СТ и 1К]]</f>
        <v>105504.65505562499</v>
      </c>
      <c r="AY293" s="93"/>
      <c r="AZ293" s="93">
        <f>ППД5[[#This Row],[Повышение 23.10.23  В4 ]]+ППД5[[#This Row],[Фикс 06.09.23]]</f>
        <v>105504.65505562499</v>
      </c>
      <c r="BA293" s="93">
        <f>ППД5[[#This Row],[Фикс 23.10.23]]*5%</f>
        <v>5275.2327527812495</v>
      </c>
      <c r="BB293" s="93">
        <f>ППД5[[#This Row],[Повышение 8.11.23 1К 5%]]+ППД5[[#This Row],[Фикс 23.10.23]]</f>
        <v>110779.88780840623</v>
      </c>
      <c r="BC293" s="93"/>
      <c r="BD293" s="93">
        <f>ППД5[[#This Row],[Корректировка 24.11.23 - 1К В5, 2К А2, №233]]+ППД5[[#This Row],[Фикс 8.11.23]]</f>
        <v>110779.88780840623</v>
      </c>
      <c r="BE293" s="93">
        <f>ППД5[[#This Row],[Фикс 8.11.24]]*1%</f>
        <v>1107.7988780840624</v>
      </c>
      <c r="BF293" s="93">
        <f>ППД5[[#This Row],[Наценка за отделку 29.12.23 1%]]+ППД5[[#This Row],[Фикс 8.11.24]]</f>
        <v>111887.6866864903</v>
      </c>
      <c r="BG293" s="93">
        <f>ППД5[[#This Row],[Фикс 29.12.23]]*5%</f>
        <v>5594.3843343245153</v>
      </c>
      <c r="BH293" s="93">
        <f>ППД5[[#This Row],[Фикс 29.12.23]]+ППД5[[#This Row],[Наценка 10.01.24 5%]]</f>
        <v>117482.07102081481</v>
      </c>
      <c r="BI293" s="93"/>
      <c r="BJ293" s="93">
        <f>ППД5[[#This Row],[Наценка 26.02.24 1 Этаж]]+ППД5[[#This Row],[Фикс 10.01.24]]</f>
        <v>117482.07102081481</v>
      </c>
      <c r="BK293" s="93">
        <f>ППД5[[#This Row],[Фикс 26.02.24]]*3%</f>
        <v>3524.4621306244439</v>
      </c>
      <c r="BL293" s="93">
        <f>ППД5[[#This Row],[Фикс 26.02.24]]+ППД5[[#This Row],[Наценка 06.03.24
СТ, 1К - 3%
2К, 3К - 2%]]</f>
        <v>121006.53315143925</v>
      </c>
      <c r="BM293" s="93"/>
      <c r="BN293" s="93">
        <f>ППД5[[#This Row],[Фикс 06.03.24]]+ППД5[[#This Row],[Наценка Г2+500]]</f>
        <v>121006.53315143925</v>
      </c>
      <c r="BO293" s="93"/>
      <c r="BP293" s="93">
        <f>ППД5[[#This Row],[Фикс 13.03.25]]+ППД5[[#This Row],[Наценка 20.03.24
2К, 3К - 2%]]</f>
        <v>121006.53315143925</v>
      </c>
      <c r="BQ293" s="93"/>
      <c r="BR293" s="93">
        <f>ППД5[[#This Row],[Фикс 20.03.24]]+ППД5[[#This Row],[Наценка 08.04.24 
2К: В3 - 150
3К: Г7 +1000]]</f>
        <v>121006.53315143925</v>
      </c>
      <c r="BS293" s="93"/>
      <c r="BT293" s="93">
        <f>ППД5[[#This Row],[Фикс 08.04.24]]+ППД5[[#This Row],[Наценка 16.05.24 1%
А4,А6,Б3,Б6,Б7,В2,В3,В5,В6,Г1,Г3-Г5]]</f>
        <v>121006.53315143925</v>
      </c>
      <c r="BU293" s="93"/>
      <c r="BV293" s="93">
        <f>ППД5[[#This Row],[Фикс 16.05.24]]+ППД5[[#This Row],[Наценка 24.05.24
1% - Б4, Б5,Г2,Г6
2% - А1,А3,А5,Б2,Г7]]</f>
        <v>121006.53315143925</v>
      </c>
      <c r="BW293" s="93"/>
      <c r="BX293" s="93">
        <f>ППД5[[#This Row],[Наценка 06.06.24
0К: В2,Г3 +0,5%
1К: А7, Б5/4, Г6 +0,5%
3К: В6 +0,5%
1К: А3 +1%]]+ППД5[[#This Row],[Фикс 24.05.24]]</f>
        <v>121006.53315143925</v>
      </c>
      <c r="BY293" s="93"/>
      <c r="BZ293" s="93">
        <f>ППД5[[#This Row],[Фикс 06.06.24]]+ППД5[[#This Row],[13.06.2024
3К - 2%]]</f>
        <v>121006.53315143925</v>
      </c>
      <c r="CA293" s="93">
        <f>0.5%*ППД5[[#This Row],[Фикс 13.06.24]]</f>
        <v>605.03266575719624</v>
      </c>
      <c r="CB293" s="93">
        <f>ППД5[[#This Row],[02.07.2024: Г3 А1 А3 Б5 Б7 Г2 Г6 Б3 Б4 В3 Г7 2,5% ост 0,5-1,5%]]+ППД5[[#This Row],[Фикс 13.06.24]]</f>
        <v>121611.56581719645</v>
      </c>
      <c r="CC293" s="93"/>
      <c r="CD293" s="93">
        <f>ППД5[[#This Row],[Фикс 02.07.24]]+ППД5[[#This Row],[04.09.2024 +500
0К - Б2; 1К - А3;
2К - А6, Б4, В3, Г5]]</f>
        <v>121611.56581719645</v>
      </c>
      <c r="CE293" s="93">
        <f>ППД5[[#This Row],[Фикс 04.09.24]]*2%</f>
        <v>2432.2313163439289</v>
      </c>
      <c r="CF293" s="93">
        <f>ППД5[[#This Row],[Наценка 16.09.2024
1К: А1,В7,Г6/7,Г8 - 2%
2К: А4,А5,А6,Б1,Б6,Б3/4,В3,В4,Г4,Г5 - 4%
3К: 4%]]+ППД5[[#This Row],[Фикс 04.09.24]]</f>
        <v>124043.79713354037</v>
      </c>
      <c r="CG293" s="93">
        <f>ППД5[[#This Row],[Фикс 16.09.2024]]*5%</f>
        <v>6202.1898566770187</v>
      </c>
      <c r="CH293" s="93">
        <f>ППД5[[#This Row],[Фикс 16.09.2024]]+ППД5[[#This Row],[Наценка 01.11.24
СТ: 4%
1К: 34-40м 5%; 40м+ 8%; МГН 1%
2К: 55-70м 6%; 70-73м 7%; 73-76м 8% 
3К: 5%]]</f>
        <v>130245.9869902174</v>
      </c>
      <c r="CI293" s="93">
        <f>ППД5[[#This Row],[Фикс 01.11.24]]*13%</f>
        <v>16931.978308728263</v>
      </c>
      <c r="CJ293" s="93">
        <f>ППД5[[#This Row],[Наценка 06.11 13%]]+ППД5[[#This Row],[Фикс 01.11.24]]</f>
        <v>147177.96529894567</v>
      </c>
      <c r="CK293" s="93">
        <v>35</v>
      </c>
      <c r="CL293" s="93">
        <f>ППД5[[#This Row],[Фикс 06.11.24]]+ППД5[[#This Row],[Наценка 18.12.24 распределение КВ]]</f>
        <v>147212.96529894567</v>
      </c>
      <c r="CM293" s="93"/>
      <c r="CN293" s="93">
        <f>ППД5[[#This Row],[Фикс 18.12.24]]+ППД5[[#This Row],[Наценка 10.02.25 +1%
1К: А3
2К: Б3, В3]]</f>
        <v>147212.96529894567</v>
      </c>
      <c r="CO293" s="93">
        <f>ROUND(ППД5[[#This Row],[Фикс 10.02.25]],2)</f>
        <v>147212.97</v>
      </c>
      <c r="CP29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5124500</v>
      </c>
      <c r="CQ293" s="93">
        <f>ROUNDUP(ППД5[[#This Row],[Стоимость до скидки]]+ППД5[[#This Row],[Сумма доплаты]],-2)</f>
        <v>5115700</v>
      </c>
      <c r="CR293" s="68"/>
      <c r="CS293" s="90"/>
      <c r="CT293" s="68">
        <f>ППД5[[#This Row],[Стоимость до скидки]]*ППД5[[#This Row],[Скидка %]]+ППД5[[#This Row],[Скидка фиксированная]]</f>
        <v>0</v>
      </c>
      <c r="CU293" s="3">
        <f>ППД5[[#This Row],[Стоимость ОН без отделки со скидкой]]/ППД5[[#This Row],[Расчетная проектная площадь]]</f>
        <v>147213.44441252513</v>
      </c>
      <c r="CV293" s="3">
        <f>ROUND(ППД5[[#This Row],[Стоимость до скидки]]-ППД5[[#This Row],[Итоговая сумма скидки]],2)</f>
        <v>5124500</v>
      </c>
      <c r="CW29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293" s="218">
        <v>10000</v>
      </c>
      <c r="CY293" s="332">
        <f>ППД5[[#This Row],[Расхождение]]/ППД5[[#This Row],[Расчетная проектная площадь]]</f>
        <v>-1.7236426314278159E-3</v>
      </c>
      <c r="CZ293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-4.9999999999998934E-2</v>
      </c>
      <c r="DA293" s="3">
        <f>ППД5[[#This Row],[Цена м2 без отделки со скидкой]]+ППД5[[#This Row],[Стоимость отделки]]</f>
        <v>157213.44441252513</v>
      </c>
      <c r="DB293" s="3">
        <f>ППД5[[#This Row],[Стоимость квартиры с отделкой]]-ППД5[[#This Row],[Стоимость ОН без отделки со скидкой]]</f>
        <v>348100</v>
      </c>
      <c r="DC293" s="3">
        <f>ППД5[[#This Row],[Цена м2 с отделкой]]*ППД5[[#This Row],[Расчетная проектная площадь]]</f>
        <v>5472600</v>
      </c>
      <c r="DD293" s="3" t="s">
        <v>154</v>
      </c>
      <c r="DF293" s="221" t="s">
        <v>157</v>
      </c>
      <c r="DG293" s="245" t="s">
        <v>157</v>
      </c>
      <c r="DH293" s="100" t="b">
        <f>EXACT(ППД5[[#This Row],[Статусы CRM]],ППД5[[#This Row],[Статус]])</f>
        <v>1</v>
      </c>
      <c r="DI293" s="213" t="s">
        <v>465</v>
      </c>
      <c r="DJ293" s="204"/>
      <c r="DK293" s="111" t="s">
        <v>763</v>
      </c>
      <c r="DL293" s="216" t="s">
        <v>780</v>
      </c>
      <c r="DM293" s="201" t="b">
        <f>ППД5[[#This Row],[Отделка CRM]]=ППД5[[#This Row],[Отделка]]</f>
        <v>1</v>
      </c>
      <c r="DN293" s="203">
        <v>5472600</v>
      </c>
      <c r="DO29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93" s="207" t="b">
        <f>IF(AND(ППД5[[#This Row],[Статус]]="свободно",ППД5[[#This Row],[Итоговая сумма скидки]]&lt;&gt;0),FALSE,TRUE)</f>
        <v>1</v>
      </c>
      <c r="DQ293" s="240" t="str">
        <f>_xlfn.XLOOKUP(ППД5[[#This Row],[№]],Юрист[№ кв],Юрист[Дата подачи на регистрацию]," ",0,-1)</f>
        <v xml:space="preserve"> </v>
      </c>
      <c r="DR293" s="115" t="str">
        <f>_xlfn.XLOOKUP(ППД5[[#This Row],[№]],Юрист[№ кв],Юрист[МОП],"",0,-1)</f>
        <v/>
      </c>
      <c r="DS293" s="333" t="s">
        <v>2878</v>
      </c>
      <c r="DT293" s="333" t="s">
        <v>2879</v>
      </c>
      <c r="DU293" s="333">
        <v>33.4</v>
      </c>
      <c r="DV293" s="111"/>
    </row>
    <row r="294" spans="1:126" hidden="1" x14ac:dyDescent="0.25">
      <c r="A294" s="112">
        <v>292</v>
      </c>
      <c r="B294" s="111" t="s">
        <v>3</v>
      </c>
      <c r="C294" s="111">
        <v>11</v>
      </c>
      <c r="D294" s="338">
        <v>1</v>
      </c>
      <c r="E294" s="111">
        <v>2</v>
      </c>
      <c r="F294" s="105">
        <v>17.63</v>
      </c>
      <c r="G294" s="105">
        <v>13.69</v>
      </c>
      <c r="H294" s="105"/>
      <c r="I294" s="94">
        <f>SUM(ППД5[[#This Row],[Комната 1]:[Комната 3]])</f>
        <v>31.32</v>
      </c>
      <c r="J294" s="105">
        <v>20.05</v>
      </c>
      <c r="K294" s="105">
        <v>3.54</v>
      </c>
      <c r="L294" s="105">
        <v>2.93</v>
      </c>
      <c r="M294" s="105"/>
      <c r="N294" s="105">
        <v>12.19</v>
      </c>
      <c r="O294" s="105">
        <v>4.6500000000000004</v>
      </c>
      <c r="P294" s="105">
        <v>2.68</v>
      </c>
      <c r="Q294" s="105"/>
      <c r="R294" s="105">
        <f>SUM(ППД5[[#This Row],[Лоджия 1]:[Лоджия 3]])</f>
        <v>7.33</v>
      </c>
      <c r="S294" s="8">
        <f>ROUND(SUM(ППД5[[#This Row],[Площадь по проекту жилая]:[Лоджия 3]]),2)</f>
        <v>77.36</v>
      </c>
      <c r="T294" s="8">
        <f>ROUND(ППД5[[#This Row],[Площадь по проекту(общая)]]-ППД5[[#This Row],[Летние]],2)</f>
        <v>70.03</v>
      </c>
      <c r="U294" s="91">
        <f>ROUND(ППД5[[#This Row],[Площадь по проекту(общая)]]-(SUM(ППД5[[#This Row],[Лоджия 1]:[Лоджия 3]])/2),2)</f>
        <v>73.7</v>
      </c>
      <c r="V294" s="91">
        <f>IF(ППД5[[#This Row],[Статус]]="продажа",ППД5[[#This Row],[Расчетная проектная площадь]],ППД5[[#This Row],[Расчетная ТП площадь]])</f>
        <v>73.55</v>
      </c>
      <c r="W294" s="91">
        <v>17.600000000000001</v>
      </c>
      <c r="X294" s="91">
        <v>13.5</v>
      </c>
      <c r="Y294" s="91"/>
      <c r="Z294" s="91">
        <f>SUM(ППД5[[#This Row],[ТП Комната 1]:[ТП Комната 3]])</f>
        <v>31.1</v>
      </c>
      <c r="AA294" s="91">
        <v>20</v>
      </c>
      <c r="AB294" s="91">
        <v>3.6</v>
      </c>
      <c r="AC294" s="91">
        <v>3</v>
      </c>
      <c r="AD294" s="91"/>
      <c r="AE294" s="91">
        <v>12.2</v>
      </c>
      <c r="AF294" s="91">
        <v>1.35</v>
      </c>
      <c r="AG294" s="91">
        <v>2.2999999999999998</v>
      </c>
      <c r="AH294" s="91"/>
      <c r="AI294" s="91">
        <f>SUM(ППД5[[#This Row],[ТП Лоджия 1]:[ТП Лоджия 3]])</f>
        <v>3.65</v>
      </c>
      <c r="AJ294" s="95">
        <v>7.3</v>
      </c>
      <c r="AK294" s="91">
        <f>SUM(ППД5[[#This Row],[Площадь по ТП жилая]:[ТП Лоджия 3]])-ППД5[[#This Row],[ТП Летние]]+ППД5[[#This Row],[кроме того прочая
(без коэффициента)]]</f>
        <v>77.199999999999989</v>
      </c>
      <c r="AL294" s="95">
        <f>ППД5[[#This Row],[ТП Площадь без летних]]+(ППД5[[#This Row],[ТП Летние]])</f>
        <v>73.55</v>
      </c>
      <c r="AM294" s="91">
        <f>ППД5[[#This Row],[ТП общая S]]-ППД5[[#This Row],[кроме того прочая
(без коэффициента)]]</f>
        <v>69.899999999999991</v>
      </c>
      <c r="AN294" s="95">
        <f>SUM(ППД5[[#This Row],[ТП Кухня]:[ТП Коридор]])</f>
        <v>38.799999999999997</v>
      </c>
      <c r="AO294" s="91">
        <f>ППД5[[#This Row],[Расчетная ТП площадь]]-ППД5[[#This Row],[Расчетная проектная площадь]]</f>
        <v>-0.15000000000000568</v>
      </c>
      <c r="AP294" s="335">
        <f>ППД5[[#This Row],[Расчетная ТП площадь]]/ППД5[[#This Row],[Расчетная проектная площадь]]-1</f>
        <v>-2.035278154681186E-3</v>
      </c>
      <c r="AQ294" s="91">
        <f>ППД5[[#This Row],[% расхождения]]*ППД5[[#This Row],[Стоимость до скидки]]</f>
        <v>-17296.404341927122</v>
      </c>
      <c r="AR294" s="91">
        <f>VLOOKUP(ППД5[[#This Row],[№]],наценкад5[],COLUMN(наценкад5[[#This Row],[Цена м2 с учетом всех K]]),0)</f>
        <v>78763.482000000004</v>
      </c>
      <c r="AS294" s="8">
        <f>ППД5[[#This Row],[м2 после К]]*5%</f>
        <v>3938.1741000000002</v>
      </c>
      <c r="AT294" s="8">
        <f>ППД5[[#This Row],[м2 после К]]+ППД5[[#This Row],[Повышение 16.08.23 - 5%]]</f>
        <v>82701.656100000007</v>
      </c>
      <c r="AU294" s="93">
        <f>ППД5[[#This Row],[Фикс 16.08.23]]*3%</f>
        <v>2481.0496830000002</v>
      </c>
      <c r="AV294" s="93">
        <f>ППД5[[#This Row],[Фикс 16.08.23]]+ППД5[[#This Row],[Повышение 29.08.23 - 3%]]</f>
        <v>85182.705783000012</v>
      </c>
      <c r="AW294" s="93"/>
      <c r="AX294" s="93">
        <f>ППД5[[#This Row],[Фикс 29.08.23]]+ППД5[[#This Row],[Повышение 06.09.23 СТ и 1К]]</f>
        <v>85182.705783000012</v>
      </c>
      <c r="AY294" s="93"/>
      <c r="AZ294" s="93">
        <f>ППД5[[#This Row],[Повышение 23.10.23  В4 ]]+ППД5[[#This Row],[Фикс 06.09.23]]</f>
        <v>85182.705783000012</v>
      </c>
      <c r="BA294" s="93"/>
      <c r="BB294" s="93">
        <f>ППД5[[#This Row],[Повышение 8.11.23 1К 5%]]+ППД5[[#This Row],[Фикс 23.10.23]]</f>
        <v>85182.705783000012</v>
      </c>
      <c r="BC294" s="93"/>
      <c r="BD294" s="93">
        <f>ППД5[[#This Row],[Корректировка 24.11.23 - 1К В5, 2К А2, №233]]+ППД5[[#This Row],[Фикс 8.11.23]]</f>
        <v>85182.705783000012</v>
      </c>
      <c r="BE294" s="93">
        <f>ППД5[[#This Row],[Фикс 8.11.24]]*1%</f>
        <v>851.82705783000017</v>
      </c>
      <c r="BF294" s="93">
        <f>ППД5[[#This Row],[Наценка за отделку 29.12.23 1%]]+ППД5[[#This Row],[Фикс 8.11.24]]</f>
        <v>86034.532840830012</v>
      </c>
      <c r="BG294" s="93">
        <f>ППД5[[#This Row],[Фикс 29.12.23]]*5%</f>
        <v>4301.7266420415008</v>
      </c>
      <c r="BH294" s="93">
        <f>ППД5[[#This Row],[Фикс 29.12.23]]+ППД5[[#This Row],[Наценка 10.01.24 5%]]</f>
        <v>90336.259482871508</v>
      </c>
      <c r="BI294" s="93"/>
      <c r="BJ294" s="93">
        <f>ППД5[[#This Row],[Наценка 26.02.24 1 Этаж]]+ППД5[[#This Row],[Фикс 10.01.24]]</f>
        <v>90336.259482871508</v>
      </c>
      <c r="BK294" s="93">
        <f>ППД5[[#This Row],[Фикс 26.02.24]]*2%</f>
        <v>1806.7251896574303</v>
      </c>
      <c r="BL294" s="93">
        <f>ППД5[[#This Row],[Фикс 26.02.24]]+ППД5[[#This Row],[Наценка 06.03.24
СТ, 1К - 3%
2К, 3К - 2%]]</f>
        <v>92142.984672528939</v>
      </c>
      <c r="BM294" s="93"/>
      <c r="BN294" s="93">
        <f>ППД5[[#This Row],[Фикс 06.03.24]]+ППД5[[#This Row],[Наценка Г2+500]]</f>
        <v>92142.984672528939</v>
      </c>
      <c r="BO294" s="93">
        <f>ППД5[[#This Row],[Фикс 13.03.25]]*2%</f>
        <v>1842.8596934505788</v>
      </c>
      <c r="BP294" s="93">
        <f>ППД5[[#This Row],[Фикс 13.03.25]]+ППД5[[#This Row],[Наценка 20.03.24
2К, 3К - 2%]]</f>
        <v>93985.844365979516</v>
      </c>
      <c r="BQ294" s="93"/>
      <c r="BR294" s="93">
        <f>ППД5[[#This Row],[Фикс 20.03.24]]+ППД5[[#This Row],[Наценка 08.04.24 
2К: В3 - 150
3К: Г7 +1000]]</f>
        <v>93985.844365979516</v>
      </c>
      <c r="BS294" s="93"/>
      <c r="BT294" s="93">
        <f>ППД5[[#This Row],[Фикс 08.04.24]]+ППД5[[#This Row],[Наценка 16.05.24 1%
А4,А6,Б3,Б6,Б7,В2,В3,В5,В6,Г1,Г3-Г5]]</f>
        <v>93985.844365979516</v>
      </c>
      <c r="BU294" s="93"/>
      <c r="BV294" s="93">
        <f>ППД5[[#This Row],[Фикс 16.05.24]]+ППД5[[#This Row],[Наценка 24.05.24
1% - Б4, Б5,Г2,Г6
2% - А1,А3,А5,Б2,Г7]]</f>
        <v>93985.844365979516</v>
      </c>
      <c r="BW294" s="93"/>
      <c r="BX294" s="93">
        <f>ППД5[[#This Row],[Наценка 06.06.24
0К: В2,Г3 +0,5%
1К: А7, Б5/4, Г6 +0,5%
3К: В6 +0,5%
1К: А3 +1%]]+ППД5[[#This Row],[Фикс 24.05.24]]</f>
        <v>93985.844365979516</v>
      </c>
      <c r="BY294" s="93"/>
      <c r="BZ294" s="93">
        <f>ППД5[[#This Row],[Фикс 06.06.24]]+ППД5[[#This Row],[13.06.2024
3К - 2%]]</f>
        <v>93985.844365979516</v>
      </c>
      <c r="CA294" s="93">
        <f>0.5%*ППД5[[#This Row],[Фикс 13.06.24]]</f>
        <v>469.92922182989759</v>
      </c>
      <c r="CB294" s="93">
        <f>ППД5[[#This Row],[02.07.2024: Г3 А1 А3 Б5 Б7 Г2 Г6 Б3 Б4 В3 Г7 2,5% ост 0,5-1,5%]]+ППД5[[#This Row],[Фикс 13.06.24]]</f>
        <v>94455.77358780941</v>
      </c>
      <c r="CC294" s="93"/>
      <c r="CD294" s="93">
        <f>ППД5[[#This Row],[Фикс 02.07.24]]+ППД5[[#This Row],[04.09.2024 +500
0К - Б2; 1К - А3;
2К - А6, Б4, В3, Г5]]</f>
        <v>94455.77358780941</v>
      </c>
      <c r="CE294" s="93"/>
      <c r="CF294" s="93">
        <f>ППД5[[#This Row],[Наценка 16.09.2024
1К: А1,В7,Г6/7,Г8 - 2%
2К: А4,А5,А6,Б1,Б6,Б3/4,В3,В4,Г4,Г5 - 4%
3К: 4%]]+ППД5[[#This Row],[Фикс 04.09.24]]</f>
        <v>94455.77358780941</v>
      </c>
      <c r="CG294" s="93">
        <f>ППД5[[#This Row],[Фикс 16.09.2024]]*8%</f>
        <v>7556.4618870247532</v>
      </c>
      <c r="CH294" s="93">
        <f>ППД5[[#This Row],[Фикс 16.09.2024]]+ППД5[[#This Row],[Наценка 01.11.24
СТ: 4%
1К: 34-40м 5%; 40м+ 8%; МГН 1%
2К: 55-70м 6%; 70-73м 7%; 73-76м 8% 
3К: 5%]]</f>
        <v>102012.23547483416</v>
      </c>
      <c r="CI294" s="93">
        <f>ППД5[[#This Row],[Фикс 01.11.24]]*13%</f>
        <v>13261.590611728441</v>
      </c>
      <c r="CJ294" s="93">
        <f>ППД5[[#This Row],[Наценка 06.11 13%]]+ППД5[[#This Row],[Фикс 01.11.24]]</f>
        <v>115273.82608656261</v>
      </c>
      <c r="CK294" s="93">
        <v>35</v>
      </c>
      <c r="CL294" s="93">
        <f>ППД5[[#This Row],[Фикс 06.11.24]]+ППД5[[#This Row],[Наценка 18.12.24 распределение КВ]]</f>
        <v>115308.82608656261</v>
      </c>
      <c r="CM294" s="93"/>
      <c r="CN294" s="93">
        <f>ППД5[[#This Row],[Фикс 18.12.24]]+ППД5[[#This Row],[Наценка 10.02.25 +1%
1К: А3
2К: Б3, В3]]</f>
        <v>115308.82608656261</v>
      </c>
      <c r="CO294" s="93">
        <f>ROUND(ППД5[[#This Row],[Фикс 10.02.25]],2)</f>
        <v>115308.83</v>
      </c>
      <c r="CP29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8498300</v>
      </c>
      <c r="CQ294" s="93">
        <f>ROUNDUP(ППД5[[#This Row],[Стоимость до скидки]]+ППД5[[#This Row],[Сумма доплаты]],-2)</f>
        <v>8481100</v>
      </c>
      <c r="CR294" s="68"/>
      <c r="CS294" s="90"/>
      <c r="CT294" s="68">
        <f>ППД5[[#This Row],[Стоимость до скидки]]*ППД5[[#This Row],[Скидка %]]+ППД5[[#This Row],[Скидка фиксированная]]</f>
        <v>0</v>
      </c>
      <c r="CU294" s="3">
        <f>ППД5[[#This Row],[Стоимость ОН без отделки со скидкой]]/ППД5[[#This Row],[Расчетная проектная площадь]]</f>
        <v>115309.36227951152</v>
      </c>
      <c r="CV294" s="3">
        <f>ROUND(ППД5[[#This Row],[Стоимость до скидки]]-ППД5[[#This Row],[Итоговая сумма скидки]],2)</f>
        <v>8498300</v>
      </c>
      <c r="CW29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94" s="197"/>
      <c r="CY294" s="332">
        <f>ППД5[[#This Row],[Расхождение]]/ППД5[[#This Row],[Расчетная проектная площадь]]</f>
        <v>-2.0352781546812168E-3</v>
      </c>
      <c r="CZ29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8.9999999999999858E-2</v>
      </c>
      <c r="DA294" s="3">
        <f>ППД5[[#This Row],[Цена м2 без отделки со скидкой]]+ППД5[[#This Row],[Стоимость отделки]]</f>
        <v>115309.36227951152</v>
      </c>
      <c r="DB294" s="3">
        <f>ППД5[[#This Row],[Стоимость квартиры с отделкой]]-ППД5[[#This Row],[Стоимость ОН без отделки со скидкой]]</f>
        <v>0</v>
      </c>
      <c r="DC294" s="3">
        <f>ППД5[[#This Row],[Цена м2 с отделкой]]*ППД5[[#This Row],[Расчетная проектная площадь]]</f>
        <v>8498300</v>
      </c>
      <c r="DD294" s="3" t="s">
        <v>158</v>
      </c>
      <c r="DF294" s="155" t="s">
        <v>157</v>
      </c>
      <c r="DG294" s="221" t="s">
        <v>157</v>
      </c>
      <c r="DH294" s="100" t="b">
        <f>EXACT(ППД5[[#This Row],[Статусы CRM]],ППД5[[#This Row],[Статус]])</f>
        <v>1</v>
      </c>
      <c r="DI294" s="213" t="s">
        <v>466</v>
      </c>
      <c r="DJ294" s="204"/>
      <c r="DK294" s="111" t="s">
        <v>763</v>
      </c>
      <c r="DL294" s="216" t="s">
        <v>12</v>
      </c>
      <c r="DM294" s="201" t="b">
        <f>ППД5[[#This Row],[Отделка CRM]]=ППД5[[#This Row],[Отделка]]</f>
        <v>1</v>
      </c>
      <c r="DN294" s="203">
        <v>8498300</v>
      </c>
      <c r="DO29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94" s="207" t="b">
        <f>IF(AND(ППД5[[#This Row],[Статус]]="свободно",ППД5[[#This Row],[Итоговая сумма скидки]]&lt;&gt;0),FALSE,TRUE)</f>
        <v>1</v>
      </c>
      <c r="DQ294" s="240" t="str">
        <f>_xlfn.XLOOKUP(ППД5[[#This Row],[№]],Юрист[№ кв],Юрист[Дата подачи на регистрацию]," ",0,-1)</f>
        <v xml:space="preserve"> </v>
      </c>
      <c r="DR294" s="115" t="str">
        <f>_xlfn.XLOOKUP(ППД5[[#This Row],[№]],Юрист[№ кв],Юрист[МОП],"",0,-1)</f>
        <v/>
      </c>
      <c r="DS294" s="333" t="s">
        <v>2880</v>
      </c>
      <c r="DT294" s="333" t="s">
        <v>2881</v>
      </c>
      <c r="DU294" s="333">
        <v>69.900000000000006</v>
      </c>
      <c r="DV294" s="111"/>
    </row>
    <row r="295" spans="1:126" hidden="1" x14ac:dyDescent="0.25">
      <c r="A295" s="112">
        <v>293</v>
      </c>
      <c r="B295" s="111" t="s">
        <v>3</v>
      </c>
      <c r="C295" s="111">
        <v>11</v>
      </c>
      <c r="D295" s="111">
        <v>2</v>
      </c>
      <c r="E295" s="111">
        <v>0</v>
      </c>
      <c r="F295" s="105">
        <v>7.18</v>
      </c>
      <c r="G295" s="105"/>
      <c r="H295" s="105"/>
      <c r="I295" s="94">
        <f>SUM(ППД5[[#This Row],[Комната 1]:[Комната 3]])</f>
        <v>7.18</v>
      </c>
      <c r="J295" s="105">
        <v>5.17</v>
      </c>
      <c r="K295" s="105">
        <v>3.72</v>
      </c>
      <c r="L295" s="105"/>
      <c r="M295" s="105"/>
      <c r="N295" s="105">
        <v>6.97</v>
      </c>
      <c r="O295" s="105">
        <v>2.97</v>
      </c>
      <c r="P295" s="105"/>
      <c r="Q295" s="105"/>
      <c r="R295" s="105">
        <f>SUM(ППД5[[#This Row],[Лоджия 1]:[Лоджия 3]])</f>
        <v>2.97</v>
      </c>
      <c r="S295" s="8">
        <f>ROUND(SUM(ППД5[[#This Row],[Площадь по проекту жилая]:[Лоджия 3]]),2)</f>
        <v>26.01</v>
      </c>
      <c r="T295" s="8">
        <f>ROUND(ППД5[[#This Row],[Площадь по проекту(общая)]]-ППД5[[#This Row],[Летние]],2)</f>
        <v>23.04</v>
      </c>
      <c r="U295" s="91">
        <f>ROUND(ППД5[[#This Row],[Площадь по проекту(общая)]]-(SUM(ППД5[[#This Row],[Лоджия 1]:[Лоджия 3]])/2),2)</f>
        <v>24.53</v>
      </c>
      <c r="V295" s="91">
        <f>IF(ППД5[[#This Row],[Статус]]="продажа",ППД5[[#This Row],[Расчетная проектная площадь]],ППД5[[#This Row],[Расчетная ТП площадь]])</f>
        <v>24.249999999999996</v>
      </c>
      <c r="W295" s="91">
        <v>7.2</v>
      </c>
      <c r="X295" s="91"/>
      <c r="Y295" s="91"/>
      <c r="Z295" s="91">
        <f>SUM(ППД5[[#This Row],[ТП Комната 1]:[ТП Комната 3]])</f>
        <v>7.2</v>
      </c>
      <c r="AA295" s="91">
        <v>5</v>
      </c>
      <c r="AB295" s="91">
        <v>3.7</v>
      </c>
      <c r="AC295" s="91"/>
      <c r="AD295" s="91"/>
      <c r="AE295" s="91">
        <v>6.9</v>
      </c>
      <c r="AF295" s="91">
        <v>1.45</v>
      </c>
      <c r="AG295" s="91"/>
      <c r="AH295" s="91"/>
      <c r="AI295" s="91">
        <f>SUM(ППД5[[#This Row],[ТП Лоджия 1]:[ТП Лоджия 3]])</f>
        <v>1.45</v>
      </c>
      <c r="AJ295" s="95">
        <v>2.9</v>
      </c>
      <c r="AK295" s="91">
        <f>SUM(ППД5[[#This Row],[Площадь по ТП жилая]:[ТП Лоджия 3]])-ППД5[[#This Row],[ТП Летние]]+ППД5[[#This Row],[кроме того прочая
(без коэффициента)]]</f>
        <v>25.699999999999996</v>
      </c>
      <c r="AL295" s="95">
        <f>ППД5[[#This Row],[ТП Площадь без летних]]+(ППД5[[#This Row],[ТП Летние]])</f>
        <v>24.249999999999996</v>
      </c>
      <c r="AM295" s="91">
        <f>ППД5[[#This Row],[ТП общая S]]-ППД5[[#This Row],[кроме того прочая
(без коэффициента)]]</f>
        <v>22.799999999999997</v>
      </c>
      <c r="AN295" s="95">
        <f>SUM(ППД5[[#This Row],[ТП Кухня]:[ТП Коридор]])</f>
        <v>15.6</v>
      </c>
      <c r="AO295" s="91">
        <f>ППД5[[#This Row],[Расчетная ТП площадь]]-ППД5[[#This Row],[Расчетная проектная площадь]]</f>
        <v>-0.28000000000000469</v>
      </c>
      <c r="AP295" s="335">
        <f>ППД5[[#This Row],[Расчетная ТП площадь]]/ППД5[[#This Row],[Расчетная проектная площадь]]-1</f>
        <v>-1.1414594374235865E-2</v>
      </c>
      <c r="AQ295" s="91">
        <f>ППД5[[#This Row],[% расхождения]]*ППД5[[#This Row],[Стоимость до скидки]]</f>
        <v>-42886.913982878992</v>
      </c>
      <c r="AR295" s="91">
        <f>VLOOKUP(ППД5[[#This Row],[№]],наценкад5[],COLUMN(наценкад5[[#This Row],[Цена м2 с учетом всех K]]),0)</f>
        <v>91981.574999999997</v>
      </c>
      <c r="AS295" s="8">
        <f>ППД5[[#This Row],[м2 после К]]*5%</f>
        <v>4599.0787499999997</v>
      </c>
      <c r="AT295" s="8">
        <f>ППД5[[#This Row],[м2 после К]]+ППД5[[#This Row],[Повышение 16.08.23 - 5%]]</f>
        <v>96580.653749999998</v>
      </c>
      <c r="AU295" s="93">
        <f>ППД5[[#This Row],[Фикс 16.08.23]]*3%</f>
        <v>2897.4196124999999</v>
      </c>
      <c r="AV295" s="93">
        <f>ППД5[[#This Row],[Фикс 16.08.23]]+ППД5[[#This Row],[Повышение 29.08.23 - 3%]]</f>
        <v>99478.073362499999</v>
      </c>
      <c r="AW295" s="93">
        <f>ППД5[[#This Row],[Фикс 29.08.23]]*13%</f>
        <v>12932.149537125</v>
      </c>
      <c r="AX295" s="93">
        <f>ППД5[[#This Row],[Фикс 29.08.23]]+ППД5[[#This Row],[Повышение 06.09.23 СТ и 1К]]</f>
        <v>112410.22289962501</v>
      </c>
      <c r="AY295" s="93">
        <f>ППД5[[#This Row],[Фикс 06.09.23]]*3%</f>
        <v>3372.3066869887502</v>
      </c>
      <c r="AZ295" s="93">
        <f>ППД5[[#This Row],[Повышение 23.10.23  В4 ]]+ППД5[[#This Row],[Фикс 06.09.23]]</f>
        <v>115782.52958661376</v>
      </c>
      <c r="BA295" s="93"/>
      <c r="BB295" s="93">
        <f>ППД5[[#This Row],[Повышение 8.11.23 1К 5%]]+ППД5[[#This Row],[Фикс 23.10.23]]</f>
        <v>115782.52958661376</v>
      </c>
      <c r="BC295" s="93"/>
      <c r="BD295" s="93">
        <f>ППД5[[#This Row],[Корректировка 24.11.23 - 1К В5, 2К А2, №233]]+ППД5[[#This Row],[Фикс 8.11.23]]</f>
        <v>115782.52958661376</v>
      </c>
      <c r="BE295" s="93">
        <f>ППД5[[#This Row],[Фикс 8.11.24]]*1%</f>
        <v>1157.8252958661376</v>
      </c>
      <c r="BF295" s="93">
        <f>ППД5[[#This Row],[Наценка за отделку 29.12.23 1%]]+ППД5[[#This Row],[Фикс 8.11.24]]</f>
        <v>116940.35488247989</v>
      </c>
      <c r="BG295" s="93">
        <f>ППД5[[#This Row],[Фикс 29.12.23]]*5%</f>
        <v>5847.0177441239948</v>
      </c>
      <c r="BH295" s="93">
        <f>ППД5[[#This Row],[Фикс 29.12.23]]+ППД5[[#This Row],[Наценка 10.01.24 5%]]</f>
        <v>122787.37262660389</v>
      </c>
      <c r="BI295" s="93"/>
      <c r="BJ295" s="93">
        <f>ППД5[[#This Row],[Наценка 26.02.24 1 Этаж]]+ППД5[[#This Row],[Фикс 10.01.24]]</f>
        <v>122787.37262660389</v>
      </c>
      <c r="BK295" s="93">
        <f>ППД5[[#This Row],[Фикс 26.02.24]]*3%</f>
        <v>3683.6211787981165</v>
      </c>
      <c r="BL295" s="93">
        <f>ППД5[[#This Row],[Фикс 26.02.24]]+ППД5[[#This Row],[Наценка 06.03.24
СТ, 1К - 3%
2К, 3К - 2%]]</f>
        <v>126470.993805402</v>
      </c>
      <c r="BM295" s="93"/>
      <c r="BN295" s="93">
        <f>ППД5[[#This Row],[Фикс 06.03.24]]+ППД5[[#This Row],[Наценка Г2+500]]</f>
        <v>126470.993805402</v>
      </c>
      <c r="BO295" s="93"/>
      <c r="BP295" s="93">
        <f>ППД5[[#This Row],[Фикс 13.03.25]]+ППД5[[#This Row],[Наценка 20.03.24
2К, 3К - 2%]]</f>
        <v>126470.993805402</v>
      </c>
      <c r="BQ295" s="93"/>
      <c r="BR295" s="93">
        <f>ППД5[[#This Row],[Фикс 20.03.24]]+ППД5[[#This Row],[Наценка 08.04.24 
2К: В3 - 150
3К: Г7 +1000]]</f>
        <v>126470.993805402</v>
      </c>
      <c r="BS295" s="93">
        <f>ППД5[[#This Row],[Фикс 08.04.24]]*1%</f>
        <v>1264.7099380540201</v>
      </c>
      <c r="BT295" s="93">
        <f>ППД5[[#This Row],[Фикс 08.04.24]]+ППД5[[#This Row],[Наценка 16.05.24 1%
А4,А6,Б3,Б6,Б7,В2,В3,В5,В6,Г1,Г3-Г5]]</f>
        <v>127735.70374345602</v>
      </c>
      <c r="BU295" s="93"/>
      <c r="BV295" s="93">
        <f>ППД5[[#This Row],[Фикс 16.05.24]]+ППД5[[#This Row],[Наценка 24.05.24
1% - Б4, Б5,Г2,Г6
2% - А1,А3,А5,Б2,Г7]]</f>
        <v>127735.70374345602</v>
      </c>
      <c r="BW295" s="93">
        <f>ППД5[[#This Row],[Фикс 24.05.24]]*0.5%</f>
        <v>638.6785187172801</v>
      </c>
      <c r="BX295" s="93">
        <f>ППД5[[#This Row],[Наценка 06.06.24
0К: В2,Г3 +0,5%
1К: А7, Б5/4, Г6 +0,5%
3К: В6 +0,5%
1К: А3 +1%]]+ППД5[[#This Row],[Фикс 24.05.24]]</f>
        <v>128374.3822621733</v>
      </c>
      <c r="BY295" s="93"/>
      <c r="BZ295" s="93">
        <f>ППД5[[#This Row],[Фикс 06.06.24]]+ППД5[[#This Row],[13.06.2024
3К - 2%]]</f>
        <v>128374.3822621733</v>
      </c>
      <c r="CA295" s="93">
        <f>1.5%*ППД5[[#This Row],[Фикс 13.06.24]]</f>
        <v>1925.6157339325994</v>
      </c>
      <c r="CB295" s="93">
        <f>ППД5[[#This Row],[02.07.2024: Г3 А1 А3 Б5 Б7 Г2 Г6 Б3 Б4 В3 Г7 2,5% ост 0,5-1,5%]]+ППД5[[#This Row],[Фикс 13.06.24]]</f>
        <v>130299.9979961059</v>
      </c>
      <c r="CC295" s="93"/>
      <c r="CD295" s="93">
        <f>ППД5[[#This Row],[Фикс 02.07.24]]+ППД5[[#This Row],[04.09.2024 +500
0К - Б2; 1К - А3;
2К - А6, Б4, В3, Г5]]</f>
        <v>130299.9979961059</v>
      </c>
      <c r="CE295" s="93"/>
      <c r="CF295" s="93">
        <f>ППД5[[#This Row],[Наценка 16.09.2024
1К: А1,В7,Г6/7,Г8 - 2%
2К: А4,А5,А6,Б1,Б6,Б3/4,В3,В4,Г4,Г5 - 4%
3К: 4%]]+ППД5[[#This Row],[Фикс 04.09.24]]</f>
        <v>130299.9979961059</v>
      </c>
      <c r="CG295" s="93">
        <f>ППД5[[#This Row],[Фикс 16.09.2024]]*4%</f>
        <v>5211.9999198442365</v>
      </c>
      <c r="CH295" s="93">
        <f>ППД5[[#This Row],[Фикс 16.09.2024]]+ППД5[[#This Row],[Наценка 01.11.24
СТ: 4%
1К: 34-40м 5%; 40м+ 8%; МГН 1%
2К: 55-70м 6%; 70-73м 7%; 73-76м 8% 
3К: 5%]]</f>
        <v>135511.99791595014</v>
      </c>
      <c r="CI295" s="93">
        <f>ППД5[[#This Row],[Фикс 01.11.24]]*13%</f>
        <v>17616.559729073517</v>
      </c>
      <c r="CJ295" s="93">
        <f>ППД5[[#This Row],[Наценка 06.11 13%]]+ППД5[[#This Row],[Фикс 01.11.24]]</f>
        <v>153128.55764502365</v>
      </c>
      <c r="CK295" s="93">
        <v>35</v>
      </c>
      <c r="CL295" s="93">
        <f>ППД5[[#This Row],[Фикс 06.11.24]]+ППД5[[#This Row],[Наценка 18.12.24 распределение КВ]]</f>
        <v>153163.55764502365</v>
      </c>
      <c r="CM295" s="93"/>
      <c r="CN295" s="93">
        <f>ППД5[[#This Row],[Фикс 18.12.24]]+ППД5[[#This Row],[Наценка 10.02.25 +1%
1К: А3
2К: Б3, В3]]</f>
        <v>153163.55764502365</v>
      </c>
      <c r="CO295" s="93">
        <f>ROUND(ППД5[[#This Row],[Фикс 10.02.25]],2)</f>
        <v>153163.56</v>
      </c>
      <c r="CP29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3757200</v>
      </c>
      <c r="CQ295" s="93">
        <f>ROUNDUP(ППД5[[#This Row],[Стоимость до скидки]]+ППД5[[#This Row],[Сумма доплаты]],-2)</f>
        <v>3714400</v>
      </c>
      <c r="CR295" s="68"/>
      <c r="CS295" s="90"/>
      <c r="CT295" s="68">
        <f>ППД5[[#This Row],[Стоимость до скидки]]*ППД5[[#This Row],[Скидка %]]+ППД5[[#This Row],[Скидка фиксированная]]</f>
        <v>0</v>
      </c>
      <c r="CU295" s="3">
        <f>ППД5[[#This Row],[Стоимость ОН без отделки со скидкой]]/ППД5[[#This Row],[Расчетная проектная площадь]]</f>
        <v>153167.54993885037</v>
      </c>
      <c r="CV295" s="3">
        <f>ROUND(ППД5[[#This Row],[Стоимость до скидки]]-ППД5[[#This Row],[Итоговая сумма скидки]],2)</f>
        <v>3757200</v>
      </c>
      <c r="CW29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295" s="218">
        <v>10000</v>
      </c>
      <c r="CY295" s="332">
        <f>ППД5[[#This Row],[Расхождение]]/ППД5[[#This Row],[Расчетная проектная площадь]]</f>
        <v>-1.1414594374235821E-2</v>
      </c>
      <c r="CZ295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-0.26000000000000156</v>
      </c>
      <c r="DA295" s="3">
        <f>ППД5[[#This Row],[Цена м2 без отделки со скидкой]]+ППД5[[#This Row],[Стоимость отделки]]</f>
        <v>163167.54993885037</v>
      </c>
      <c r="DB295" s="3">
        <f>ППД5[[#This Row],[Стоимость квартиры с отделкой]]-ППД5[[#This Row],[Стоимость ОН без отделки со скидкой]]</f>
        <v>245299.99999999953</v>
      </c>
      <c r="DC295" s="3">
        <f>ППД5[[#This Row],[Цена м2 с отделкой]]*ППД5[[#This Row],[Расчетная проектная площадь]]</f>
        <v>4002499.9999999995</v>
      </c>
      <c r="DD295" s="3"/>
      <c r="DE295" s="111" t="s">
        <v>2199</v>
      </c>
      <c r="DF295" s="155" t="s">
        <v>15</v>
      </c>
      <c r="DG295" s="221" t="s">
        <v>15</v>
      </c>
      <c r="DH295" s="100" t="b">
        <f>EXACT(ППД5[[#This Row],[Статусы CRM]],ППД5[[#This Row],[Статус]])</f>
        <v>1</v>
      </c>
      <c r="DI295" s="213" t="s">
        <v>467</v>
      </c>
      <c r="DJ295" s="204"/>
      <c r="DK295" s="111" t="s">
        <v>763</v>
      </c>
      <c r="DL295" s="216" t="s">
        <v>780</v>
      </c>
      <c r="DM295" s="201" t="b">
        <f>ППД5[[#This Row],[Отделка CRM]]=ППД5[[#This Row],[Отделка]]</f>
        <v>1</v>
      </c>
      <c r="DN295" s="203">
        <v>4002500</v>
      </c>
      <c r="DO29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4.6566128730773926E-10</v>
      </c>
      <c r="DP295" s="207" t="b">
        <f>IF(AND(ППД5[[#This Row],[Статус]]="свободно",ППД5[[#This Row],[Итоговая сумма скидки]]&lt;&gt;0),FALSE,TRUE)</f>
        <v>1</v>
      </c>
      <c r="DQ295" s="240" t="str">
        <f>_xlfn.XLOOKUP(ППД5[[#This Row],[№]],Юрист[№ кв],Юрист[Дата подачи на регистрацию]," ",0,-1)</f>
        <v xml:space="preserve"> </v>
      </c>
      <c r="DR295" s="115" t="str">
        <f>_xlfn.XLOOKUP(ППД5[[#This Row],[№]],Юрист[№ кв],Юрист[МОП],"",0,-1)</f>
        <v/>
      </c>
      <c r="DS295" s="333" t="s">
        <v>2882</v>
      </c>
      <c r="DT295" s="333" t="s">
        <v>2883</v>
      </c>
      <c r="DU295" s="333">
        <v>22.8</v>
      </c>
      <c r="DV295" s="111"/>
    </row>
    <row r="296" spans="1:126" hidden="1" x14ac:dyDescent="0.25">
      <c r="A296" s="112">
        <v>294</v>
      </c>
      <c r="B296" s="111" t="s">
        <v>3</v>
      </c>
      <c r="C296" s="111">
        <v>11</v>
      </c>
      <c r="D296" s="111">
        <v>3</v>
      </c>
      <c r="E296" s="111">
        <v>2</v>
      </c>
      <c r="F296" s="105">
        <v>13.69</v>
      </c>
      <c r="G296" s="105">
        <v>10.16</v>
      </c>
      <c r="H296" s="105"/>
      <c r="I296" s="94">
        <f>SUM(ППД5[[#This Row],[Комната 1]:[Комната 3]])</f>
        <v>23.85</v>
      </c>
      <c r="J296" s="105">
        <v>18.71</v>
      </c>
      <c r="K296" s="105">
        <v>3.49</v>
      </c>
      <c r="L296" s="105">
        <v>2.11</v>
      </c>
      <c r="M296" s="105"/>
      <c r="N296" s="105">
        <v>7.09</v>
      </c>
      <c r="O296" s="105">
        <v>2.65</v>
      </c>
      <c r="P296" s="105"/>
      <c r="Q296" s="105"/>
      <c r="R296" s="105">
        <f>SUM(ППД5[[#This Row],[Лоджия 1]:[Лоджия 3]])</f>
        <v>2.65</v>
      </c>
      <c r="S296" s="8">
        <f>ROUND(SUM(ППД5[[#This Row],[Площадь по проекту жилая]:[Лоджия 3]]),2)</f>
        <v>57.9</v>
      </c>
      <c r="T296" s="8">
        <f>ROUND(ППД5[[#This Row],[Площадь по проекту(общая)]]-ППД5[[#This Row],[Летние]],2)</f>
        <v>55.25</v>
      </c>
      <c r="U296" s="91">
        <f>ROUND(ППД5[[#This Row],[Площадь по проекту(общая)]]-(SUM(ППД5[[#This Row],[Лоджия 1]:[Лоджия 3]])/2),2)</f>
        <v>56.58</v>
      </c>
      <c r="V296" s="91">
        <f>IF(ППД5[[#This Row],[Статус]]="продажа",ППД5[[#This Row],[Расчетная проектная площадь]],ППД5[[#This Row],[Расчетная ТП площадь]])</f>
        <v>56.58</v>
      </c>
      <c r="W296" s="91">
        <v>13.7</v>
      </c>
      <c r="X296" s="91">
        <v>9.8000000000000007</v>
      </c>
      <c r="Y296" s="91"/>
      <c r="Z296" s="91">
        <f>SUM(ППД5[[#This Row],[ТП Комната 1]:[ТП Комната 3]])</f>
        <v>23.5</v>
      </c>
      <c r="AA296" s="91">
        <v>18.7</v>
      </c>
      <c r="AB296" s="91">
        <v>3.6</v>
      </c>
      <c r="AC296" s="91">
        <v>2.1</v>
      </c>
      <c r="AD296" s="91"/>
      <c r="AE296" s="91">
        <v>7</v>
      </c>
      <c r="AF296" s="91">
        <v>1.35</v>
      </c>
      <c r="AG296" s="91"/>
      <c r="AH296" s="91"/>
      <c r="AI296" s="91">
        <f>SUM(ППД5[[#This Row],[ТП Лоджия 1]:[ТП Лоджия 3]])</f>
        <v>1.35</v>
      </c>
      <c r="AJ296" s="95">
        <v>2.7</v>
      </c>
      <c r="AK296" s="91">
        <f>SUM(ППД5[[#This Row],[Площадь по ТП жилая]:[ТП Лоджия 3]])-ППД5[[#This Row],[ТП Летние]]+ППД5[[#This Row],[кроме того прочая
(без коэффициента)]]</f>
        <v>57.600000000000009</v>
      </c>
      <c r="AL296" s="95">
        <f>ППД5[[#This Row],[ТП Площадь без летних]]+(ППД5[[#This Row],[ТП Летние]])</f>
        <v>56.250000000000007</v>
      </c>
      <c r="AM296" s="91">
        <f>ППД5[[#This Row],[ТП общая S]]-ППД5[[#This Row],[кроме того прочая
(без коэффициента)]]</f>
        <v>54.900000000000006</v>
      </c>
      <c r="AN296" s="95">
        <f>SUM(ППД5[[#This Row],[ТП Кухня]:[ТП Коридор]])</f>
        <v>31.400000000000002</v>
      </c>
      <c r="AO296" s="91">
        <f>ППД5[[#This Row],[Расчетная ТП площадь]]-ППД5[[#This Row],[Расчетная проектная площадь]]</f>
        <v>-0.32999999999999119</v>
      </c>
      <c r="AP296" s="335">
        <f>ППД5[[#This Row],[Расчетная ТП площадь]]/ППД5[[#This Row],[Расчетная проектная площадь]]-1</f>
        <v>-5.8324496288439942E-3</v>
      </c>
      <c r="AQ296" s="91">
        <f>ППД5[[#This Row],[% расхождения]]*ППД5[[#This Row],[Стоимость до скидки]]</f>
        <v>-28661.823966065156</v>
      </c>
      <c r="AR296" s="91">
        <f>VLOOKUP(ППД5[[#This Row],[№]],наценкад5[],COLUMN(наценкад5[[#This Row],[Цена м2 с учетом всех K]]),0)</f>
        <v>80307.864000000001</v>
      </c>
      <c r="AS296" s="8">
        <f>ППД5[[#This Row],[м2 после К]]*5%</f>
        <v>4015.3932000000004</v>
      </c>
      <c r="AT296" s="8">
        <f>ППД5[[#This Row],[м2 после К]]+ППД5[[#This Row],[Повышение 16.08.23 - 5%]]</f>
        <v>84323.257200000007</v>
      </c>
      <c r="AU296" s="93">
        <f>ППД5[[#This Row],[Фикс 16.08.23]]*3%</f>
        <v>2529.6977160000001</v>
      </c>
      <c r="AV296" s="93">
        <f>ППД5[[#This Row],[Фикс 16.08.23]]+ППД5[[#This Row],[Повышение 29.08.23 - 3%]]</f>
        <v>86852.954916000002</v>
      </c>
      <c r="AW296" s="93"/>
      <c r="AX296" s="93">
        <f>ППД5[[#This Row],[Фикс 29.08.23]]+ППД5[[#This Row],[Повышение 06.09.23 СТ и 1К]]</f>
        <v>86852.954916000002</v>
      </c>
      <c r="AY296" s="93"/>
      <c r="AZ296" s="93">
        <f>ППД5[[#This Row],[Повышение 23.10.23  В4 ]]+ППД5[[#This Row],[Фикс 06.09.23]]</f>
        <v>86852.954916000002</v>
      </c>
      <c r="BA296" s="93"/>
      <c r="BB296" s="93">
        <f>ППД5[[#This Row],[Повышение 8.11.23 1К 5%]]+ППД5[[#This Row],[Фикс 23.10.23]]</f>
        <v>86852.954916000002</v>
      </c>
      <c r="BC296" s="93"/>
      <c r="BD296" s="93">
        <f>ППД5[[#This Row],[Корректировка 24.11.23 - 1К В5, 2К А2, №233]]+ППД5[[#This Row],[Фикс 8.11.23]]</f>
        <v>86852.954916000002</v>
      </c>
      <c r="BE296" s="93"/>
      <c r="BF296" s="93">
        <f>ППД5[[#This Row],[Наценка за отделку 29.12.23 1%]]+ППД5[[#This Row],[Фикс 8.11.24]]</f>
        <v>86852.954916000002</v>
      </c>
      <c r="BG296" s="93"/>
      <c r="BH296" s="93">
        <f>ППД5[[#This Row],[Фикс 29.12.23]]+ППД5[[#This Row],[Наценка 10.01.24 5%]]</f>
        <v>86852.954916000002</v>
      </c>
      <c r="BI296" s="93"/>
      <c r="BJ296" s="93">
        <f>ППД5[[#This Row],[Наценка 26.02.24 1 Этаж]]+ППД5[[#This Row],[Фикс 10.01.24]]</f>
        <v>86852.954916000002</v>
      </c>
      <c r="BK296" s="93"/>
      <c r="BL296" s="93">
        <f>ППД5[[#This Row],[Фикс 26.02.24]]+ППД5[[#This Row],[Наценка 06.03.24
СТ, 1К - 3%
2К, 3К - 2%]]</f>
        <v>86852.954916000002</v>
      </c>
      <c r="BM296" s="93"/>
      <c r="BN296" s="93">
        <f>ППД5[[#This Row],[Фикс 06.03.24]]+ППД5[[#This Row],[Наценка Г2+500]]</f>
        <v>86852.954916000002</v>
      </c>
      <c r="BO296" s="93"/>
      <c r="BP296" s="93">
        <f>ППД5[[#This Row],[Фикс 13.03.25]]+ППД5[[#This Row],[Наценка 20.03.24
2К, 3К - 2%]]</f>
        <v>86852.954916000002</v>
      </c>
      <c r="BQ296" s="93"/>
      <c r="BR296" s="93">
        <f>ППД5[[#This Row],[Фикс 20.03.24]]+ППД5[[#This Row],[Наценка 08.04.24 
2К: В3 - 150
3К: Г7 +1000]]</f>
        <v>86852.954916000002</v>
      </c>
      <c r="BS296" s="93"/>
      <c r="BT296" s="93">
        <f>ППД5[[#This Row],[Фикс 08.04.24]]+ППД5[[#This Row],[Наценка 16.05.24 1%
А4,А6,Б3,Б6,Б7,В2,В3,В5,В6,Г1,Г3-Г5]]</f>
        <v>86852.954916000002</v>
      </c>
      <c r="BU296" s="93"/>
      <c r="BV296" s="93">
        <f>ППД5[[#This Row],[Фикс 16.05.24]]+ППД5[[#This Row],[Наценка 24.05.24
1% - Б4, Б5,Г2,Г6
2% - А1,А3,А5,Б2,Г7]]</f>
        <v>86852.954916000002</v>
      </c>
      <c r="BW296" s="93"/>
      <c r="BX296" s="93">
        <f>ППД5[[#This Row],[Наценка 06.06.24
0К: В2,Г3 +0,5%
1К: А7, Б5/4, Г6 +0,5%
3К: В6 +0,5%
1К: А3 +1%]]+ППД5[[#This Row],[Фикс 24.05.24]]</f>
        <v>86852.954916000002</v>
      </c>
      <c r="BY296" s="93"/>
      <c r="BZ296" s="93">
        <f>ППД5[[#This Row],[Фикс 06.06.24]]+ППД5[[#This Row],[13.06.2024
3К - 2%]]</f>
        <v>86852.954916000002</v>
      </c>
      <c r="CA296" s="93"/>
      <c r="CB296" s="93">
        <f>ППД5[[#This Row],[02.07.2024: Г3 А1 А3 Б5 Б7 Г2 Г6 Б3 Б4 В3 Г7 2,5% ост 0,5-1,5%]]+ППД5[[#This Row],[Фикс 13.06.24]]</f>
        <v>86852.954916000002</v>
      </c>
      <c r="CC296" s="93"/>
      <c r="CD296" s="93">
        <f>ППД5[[#This Row],[Фикс 02.07.24]]+ППД5[[#This Row],[04.09.2024 +500
0К - Б2; 1К - А3;
2К - А6, Б4, В3, Г5]]</f>
        <v>86852.954916000002</v>
      </c>
      <c r="CE296" s="93"/>
      <c r="CF296" s="93">
        <f>ППД5[[#This Row],[Наценка 16.09.2024
1К: А1,В7,Г6/7,Г8 - 2%
2К: А4,А5,А6,Б1,Б6,Б3/4,В3,В4,Г4,Г5 - 4%
3К: 4%]]+ППД5[[#This Row],[Фикс 04.09.24]]</f>
        <v>86852.954916000002</v>
      </c>
      <c r="CG296" s="93"/>
      <c r="CH296" s="93">
        <f>ППД5[[#This Row],[Фикс 16.09.2024]]+ППД5[[#This Row],[Наценка 01.11.24
СТ: 4%
1К: 34-40м 5%; 40м+ 8%; МГН 1%
2К: 55-70м 6%; 70-73м 7%; 73-76м 8% 
3К: 5%]]</f>
        <v>86852.954916000002</v>
      </c>
      <c r="CI296" s="93"/>
      <c r="CJ296" s="93">
        <f>ППД5[[#This Row],[Наценка 06.11 13%]]+ППД5[[#This Row],[Фикс 01.11.24]]</f>
        <v>86852.954916000002</v>
      </c>
      <c r="CK296" s="93"/>
      <c r="CL296" s="93">
        <f>ППД5[[#This Row],[Фикс 06.11.24]]+ППД5[[#This Row],[Наценка 18.12.24 распределение КВ]]</f>
        <v>86852.954916000002</v>
      </c>
      <c r="CM296" s="93"/>
      <c r="CN296" s="93">
        <f>ППД5[[#This Row],[Фикс 18.12.24]]+ППД5[[#This Row],[Наценка 10.02.25 +1%
1К: А3
2К: Б3, В3]]</f>
        <v>86852.954916000002</v>
      </c>
      <c r="CO296" s="93">
        <f>ROUND(ППД5[[#This Row],[Фикс 10.02.25]],2)</f>
        <v>86852.95</v>
      </c>
      <c r="CP29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4914200</v>
      </c>
      <c r="CQ296" s="93">
        <f>ROUNDUP(ППД5[[#This Row],[Стоимость до скидки]]+ППД5[[#This Row],[Сумма доплаты]],-2)</f>
        <v>4885600</v>
      </c>
      <c r="CR296" s="68"/>
      <c r="CS296" s="90">
        <v>0.02</v>
      </c>
      <c r="CT296" s="68">
        <f>ППД5[[#This Row],[Стоимость до скидки]]*ППД5[[#This Row],[Скидка %]]+ППД5[[#This Row],[Скидка фиксированная]]</f>
        <v>98284</v>
      </c>
      <c r="CU296" s="3">
        <f>ППД5[[#This Row],[Стоимость ОН без отделки со скидкой]]/ППД5[[#This Row],[Расчетная проектная площадь]]</f>
        <v>85116.93177801343</v>
      </c>
      <c r="CV296" s="3">
        <f>ROUND(ППД5[[#This Row],[Стоимость до скидки]]-ППД5[[#This Row],[Итоговая сумма скидки]],2)</f>
        <v>4815916</v>
      </c>
      <c r="CW29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296" s="197">
        <v>7500</v>
      </c>
      <c r="CY296" s="332">
        <f>ППД5[[#This Row],[Расхождение]]/ППД5[[#This Row],[Расчетная проектная площадь]]</f>
        <v>-5.8324496288439586E-3</v>
      </c>
      <c r="CZ29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</v>
      </c>
      <c r="DA296" s="3">
        <f>ППД5[[#This Row],[Цена м2 без отделки со скидкой]]+ППД5[[#This Row],[Стоимость отделки]]</f>
        <v>92616.93177801343</v>
      </c>
      <c r="DB296" s="3">
        <f>ППД5[[#This Row],[Стоимость квартиры с отделкой]]-ППД5[[#This Row],[Стоимость ОН без отделки со скидкой]]</f>
        <v>424350</v>
      </c>
      <c r="DC296" s="3">
        <f>ППД5[[#This Row],[Цена м2 с отделкой]]*ППД5[[#This Row],[Расчетная проектная площадь]]</f>
        <v>5240266</v>
      </c>
      <c r="DD296" s="3" t="s">
        <v>154</v>
      </c>
      <c r="DE296" s="111" t="s">
        <v>757</v>
      </c>
      <c r="DF296" s="199" t="s">
        <v>172</v>
      </c>
      <c r="DG296" s="245" t="s">
        <v>172</v>
      </c>
      <c r="DH296" s="100" t="b">
        <f>EXACT(ППД5[[#This Row],[Статусы CRM]],ППД5[[#This Row],[Статус]])</f>
        <v>1</v>
      </c>
      <c r="DI296" s="213" t="s">
        <v>468</v>
      </c>
      <c r="DJ296" s="204"/>
      <c r="DK296" s="111" t="s">
        <v>765</v>
      </c>
      <c r="DL296" s="216" t="s">
        <v>13</v>
      </c>
      <c r="DM296" s="201" t="b">
        <f>ППД5[[#This Row],[Отделка CRM]]=ППД5[[#This Row],[Отделка]]</f>
        <v>1</v>
      </c>
      <c r="DN296" s="203">
        <v>5240266</v>
      </c>
      <c r="DO29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96" s="207" t="b">
        <f>IF(AND(ППД5[[#This Row],[Статус]]="свободно",ППД5[[#This Row],[Итоговая сумма скидки]]&lt;&gt;0),FALSE,TRUE)</f>
        <v>1</v>
      </c>
      <c r="DQ296" s="240">
        <f>_xlfn.XLOOKUP(ППД5[[#This Row],[№]],Юрист[№ кв],Юрист[Дата подачи на регистрацию]," ",0,-1)</f>
        <v>45273</v>
      </c>
      <c r="DR296" s="115" t="str">
        <f>_xlfn.XLOOKUP(ППД5[[#This Row],[№]],Юрист[№ кв],Юрист[МОП],"",0,-1)</f>
        <v>Полехович</v>
      </c>
      <c r="DS296" s="333" t="s">
        <v>2884</v>
      </c>
      <c r="DT296" s="333" t="s">
        <v>2885</v>
      </c>
      <c r="DU296" s="333">
        <v>54.9</v>
      </c>
      <c r="DV296" s="111"/>
    </row>
    <row r="297" spans="1:126" hidden="1" x14ac:dyDescent="0.25">
      <c r="A297" s="112">
        <v>295</v>
      </c>
      <c r="B297" s="111" t="s">
        <v>3</v>
      </c>
      <c r="C297" s="111">
        <v>11</v>
      </c>
      <c r="D297" s="111">
        <v>4</v>
      </c>
      <c r="E297" s="111">
        <v>2</v>
      </c>
      <c r="F297" s="105">
        <v>15.45</v>
      </c>
      <c r="G297" s="105">
        <v>10.34</v>
      </c>
      <c r="H297" s="105"/>
      <c r="I297" s="94">
        <f>SUM(ППД5[[#This Row],[Комната 1]:[Комната 3]])</f>
        <v>25.79</v>
      </c>
      <c r="J297" s="105">
        <v>15.44</v>
      </c>
      <c r="K297" s="105">
        <v>4.59</v>
      </c>
      <c r="L297" s="105">
        <v>2.21</v>
      </c>
      <c r="M297" s="105"/>
      <c r="N297" s="105">
        <v>10.79</v>
      </c>
      <c r="O297" s="105">
        <v>2.84</v>
      </c>
      <c r="P297" s="105"/>
      <c r="Q297" s="105"/>
      <c r="R297" s="105">
        <f>SUM(ППД5[[#This Row],[Лоджия 1]:[Лоджия 3]])</f>
        <v>2.84</v>
      </c>
      <c r="S297" s="8">
        <f>ROUND(SUM(ППД5[[#This Row],[Площадь по проекту жилая]:[Лоджия 3]]),2)</f>
        <v>61.66</v>
      </c>
      <c r="T297" s="8">
        <f>ROUND(ППД5[[#This Row],[Площадь по проекту(общая)]]-ППД5[[#This Row],[Летние]],2)</f>
        <v>58.82</v>
      </c>
      <c r="U297" s="91">
        <f>ROUND(ППД5[[#This Row],[Площадь по проекту(общая)]]-(SUM(ППД5[[#This Row],[Лоджия 1]:[Лоджия 3]])/2),2)</f>
        <v>60.24</v>
      </c>
      <c r="V297" s="91">
        <f>IF(ППД5[[#This Row],[Статус]]="продажа",ППД5[[#This Row],[Расчетная проектная площадь]],ППД5[[#This Row],[Расчетная ТП площадь]])</f>
        <v>60.24</v>
      </c>
      <c r="W297" s="91">
        <v>15.4</v>
      </c>
      <c r="X297" s="91">
        <v>10.3</v>
      </c>
      <c r="Y297" s="91"/>
      <c r="Z297" s="91">
        <f>SUM(ППД5[[#This Row],[ТП Комната 1]:[ТП Комната 3]])</f>
        <v>25.700000000000003</v>
      </c>
      <c r="AA297" s="91">
        <v>15.4</v>
      </c>
      <c r="AB297" s="91">
        <v>4.5999999999999996</v>
      </c>
      <c r="AC297" s="91">
        <v>2.2000000000000002</v>
      </c>
      <c r="AD297" s="91"/>
      <c r="AE297" s="91">
        <v>10.8</v>
      </c>
      <c r="AF297" s="91">
        <v>1.4</v>
      </c>
      <c r="AG297" s="91"/>
      <c r="AH297" s="91"/>
      <c r="AI297" s="91">
        <f>SUM(ППД5[[#This Row],[ТП Лоджия 1]:[ТП Лоджия 3]])</f>
        <v>1.4</v>
      </c>
      <c r="AJ297" s="95">
        <v>2.8</v>
      </c>
      <c r="AK297" s="91">
        <f>SUM(ППД5[[#This Row],[Площадь по ТП жилая]:[ТП Лоджия 3]])-ППД5[[#This Row],[ТП Летние]]+ППД5[[#This Row],[кроме того прочая
(без коэффициента)]]</f>
        <v>61.5</v>
      </c>
      <c r="AL297" s="95">
        <f>ППД5[[#This Row],[ТП Площадь без летних]]+(ППД5[[#This Row],[ТП Летние]])</f>
        <v>60.1</v>
      </c>
      <c r="AM297" s="91">
        <f>ППД5[[#This Row],[ТП общая S]]-ППД5[[#This Row],[кроме того прочая
(без коэффициента)]]</f>
        <v>58.7</v>
      </c>
      <c r="AN297" s="95">
        <f>SUM(ППД5[[#This Row],[ТП Кухня]:[ТП Коридор]])</f>
        <v>33</v>
      </c>
      <c r="AO297" s="91">
        <f>ППД5[[#This Row],[Расчетная ТП площадь]]-ППД5[[#This Row],[Расчетная проектная площадь]]</f>
        <v>-0.14000000000000057</v>
      </c>
      <c r="AP297" s="335">
        <f>ППД5[[#This Row],[Расчетная ТП площадь]]/ППД5[[#This Row],[Расчетная проектная площадь]]-1</f>
        <v>-2.3240371845949515E-3</v>
      </c>
      <c r="AQ297" s="91">
        <f>ППД5[[#This Row],[% расхождения]]*ППД5[[#This Row],[Стоимость до скидки]]</f>
        <v>-12451.707788844611</v>
      </c>
      <c r="AR297" s="91">
        <f>VLOOKUP(ППД5[[#This Row],[№]],наценкад5[],COLUMN(наценкад5[[#This Row],[Цена м2 с учетом всех K]]),0)</f>
        <v>82238.34150000001</v>
      </c>
      <c r="AS297" s="8">
        <f>ППД5[[#This Row],[м2 после К]]*5%</f>
        <v>4111.9170750000003</v>
      </c>
      <c r="AT297" s="8">
        <f>ППД5[[#This Row],[м2 после К]]+ППД5[[#This Row],[Повышение 16.08.23 - 5%]]</f>
        <v>86350.258575000014</v>
      </c>
      <c r="AU297" s="93">
        <f>ППД5[[#This Row],[Фикс 16.08.23]]*3%</f>
        <v>2590.5077572500004</v>
      </c>
      <c r="AV297" s="93">
        <f>ППД5[[#This Row],[Фикс 16.08.23]]+ППД5[[#This Row],[Повышение 29.08.23 - 3%]]</f>
        <v>88940.766332250016</v>
      </c>
      <c r="AW297" s="93"/>
      <c r="AX297" s="93">
        <f>ППД5[[#This Row],[Фикс 29.08.23]]+ППД5[[#This Row],[Повышение 06.09.23 СТ и 1К]]</f>
        <v>88940.766332250016</v>
      </c>
      <c r="AY297" s="93"/>
      <c r="AZ297" s="93">
        <f>ППД5[[#This Row],[Повышение 23.10.23  В4 ]]+ППД5[[#This Row],[Фикс 06.09.23]]</f>
        <v>88940.766332250016</v>
      </c>
      <c r="BA297" s="93"/>
      <c r="BB297" s="93">
        <f>ППД5[[#This Row],[Повышение 8.11.23 1К 5%]]+ППД5[[#This Row],[Фикс 23.10.23]]</f>
        <v>88940.766332250016</v>
      </c>
      <c r="BC297" s="93"/>
      <c r="BD297" s="93">
        <f>ППД5[[#This Row],[Корректировка 24.11.23 - 1К В5, 2К А2, №233]]+ППД5[[#This Row],[Фикс 8.11.23]]</f>
        <v>88940.766332250016</v>
      </c>
      <c r="BE297" s="93"/>
      <c r="BF297" s="93">
        <f>ППД5[[#This Row],[Наценка за отделку 29.12.23 1%]]+ППД5[[#This Row],[Фикс 8.11.24]]</f>
        <v>88940.766332250016</v>
      </c>
      <c r="BG297" s="93"/>
      <c r="BH297" s="93">
        <f>ППД5[[#This Row],[Фикс 29.12.23]]+ППД5[[#This Row],[Наценка 10.01.24 5%]]</f>
        <v>88940.766332250016</v>
      </c>
      <c r="BI297" s="93"/>
      <c r="BJ297" s="93">
        <f>ППД5[[#This Row],[Наценка 26.02.24 1 Этаж]]+ППД5[[#This Row],[Фикс 10.01.24]]</f>
        <v>88940.766332250016</v>
      </c>
      <c r="BK297" s="93"/>
      <c r="BL297" s="93">
        <f>ППД5[[#This Row],[Фикс 26.02.24]]+ППД5[[#This Row],[Наценка 06.03.24
СТ, 1К - 3%
2К, 3К - 2%]]</f>
        <v>88940.766332250016</v>
      </c>
      <c r="BM297" s="93"/>
      <c r="BN297" s="93">
        <f>ППД5[[#This Row],[Фикс 06.03.24]]+ППД5[[#This Row],[Наценка Г2+500]]</f>
        <v>88940.766332250016</v>
      </c>
      <c r="BO297" s="93"/>
      <c r="BP297" s="93">
        <f>ППД5[[#This Row],[Фикс 13.03.25]]+ППД5[[#This Row],[Наценка 20.03.24
2К, 3К - 2%]]</f>
        <v>88940.766332250016</v>
      </c>
      <c r="BQ297" s="93"/>
      <c r="BR297" s="93">
        <f>ППД5[[#This Row],[Фикс 20.03.24]]+ППД5[[#This Row],[Наценка 08.04.24 
2К: В3 - 150
3К: Г7 +1000]]</f>
        <v>88940.766332250016</v>
      </c>
      <c r="BS297" s="93"/>
      <c r="BT297" s="93">
        <f>ППД5[[#This Row],[Фикс 08.04.24]]+ППД5[[#This Row],[Наценка 16.05.24 1%
А4,А6,Б3,Б6,Б7,В2,В3,В5,В6,Г1,Г3-Г5]]</f>
        <v>88940.766332250016</v>
      </c>
      <c r="BU297" s="93"/>
      <c r="BV297" s="93">
        <f>ППД5[[#This Row],[Фикс 16.05.24]]+ППД5[[#This Row],[Наценка 24.05.24
1% - Б4, Б5,Г2,Г6
2% - А1,А3,А5,Б2,Г7]]</f>
        <v>88940.766332250016</v>
      </c>
      <c r="BW297" s="93"/>
      <c r="BX297" s="93">
        <f>ППД5[[#This Row],[Наценка 06.06.24
0К: В2,Г3 +0,5%
1К: А7, Б5/4, Г6 +0,5%
3К: В6 +0,5%
1К: А3 +1%]]+ППД5[[#This Row],[Фикс 24.05.24]]</f>
        <v>88940.766332250016</v>
      </c>
      <c r="BY297" s="93"/>
      <c r="BZ297" s="93">
        <f>ППД5[[#This Row],[Фикс 06.06.24]]+ППД5[[#This Row],[13.06.2024
3К - 2%]]</f>
        <v>88940.766332250016</v>
      </c>
      <c r="CA297" s="93"/>
      <c r="CB297" s="93">
        <f>ППД5[[#This Row],[02.07.2024: Г3 А1 А3 Б5 Б7 Г2 Г6 Б3 Б4 В3 Г7 2,5% ост 0,5-1,5%]]+ППД5[[#This Row],[Фикс 13.06.24]]</f>
        <v>88940.766332250016</v>
      </c>
      <c r="CC297" s="93"/>
      <c r="CD297" s="93">
        <f>ППД5[[#This Row],[Фикс 02.07.24]]+ППД5[[#This Row],[04.09.2024 +500
0К - Б2; 1К - А3;
2К - А6, Б4, В3, Г5]]</f>
        <v>88940.766332250016</v>
      </c>
      <c r="CE297" s="93"/>
      <c r="CF297" s="93">
        <f>ППД5[[#This Row],[Наценка 16.09.2024
1К: А1,В7,Г6/7,Г8 - 2%
2К: А4,А5,А6,Б1,Б6,Б3/4,В3,В4,Г4,Г5 - 4%
3К: 4%]]+ППД5[[#This Row],[Фикс 04.09.24]]</f>
        <v>88940.766332250016</v>
      </c>
      <c r="CG297" s="93"/>
      <c r="CH297" s="93">
        <f>ППД5[[#This Row],[Фикс 16.09.2024]]+ППД5[[#This Row],[Наценка 01.11.24
СТ: 4%
1К: 34-40м 5%; 40м+ 8%; МГН 1%
2К: 55-70м 6%; 70-73м 7%; 73-76м 8% 
3К: 5%]]</f>
        <v>88940.766332250016</v>
      </c>
      <c r="CI297" s="93"/>
      <c r="CJ297" s="93">
        <f>ППД5[[#This Row],[Наценка 06.11 13%]]+ППД5[[#This Row],[Фикс 01.11.24]]</f>
        <v>88940.766332250016</v>
      </c>
      <c r="CK297" s="93"/>
      <c r="CL297" s="93">
        <f>ППД5[[#This Row],[Фикс 06.11.24]]+ППД5[[#This Row],[Наценка 18.12.24 распределение КВ]]</f>
        <v>88940.766332250016</v>
      </c>
      <c r="CM297" s="93"/>
      <c r="CN297" s="93">
        <f>ППД5[[#This Row],[Фикс 18.12.24]]+ППД5[[#This Row],[Наценка 10.02.25 +1%
1К: А3
2К: Б3, В3]]</f>
        <v>88940.766332250016</v>
      </c>
      <c r="CO297" s="93">
        <f>ROUND(ППД5[[#This Row],[Фикс 10.02.25]],2)</f>
        <v>88940.77</v>
      </c>
      <c r="CP29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5357791.9800000004</v>
      </c>
      <c r="CQ297" s="93">
        <f>ROUNDUP(ППД5[[#This Row],[Стоимость до скидки]]+ППД5[[#This Row],[Сумма доплаты]],-2)</f>
        <v>5345400</v>
      </c>
      <c r="CR297" s="68"/>
      <c r="CS297" s="90">
        <v>0.05</v>
      </c>
      <c r="CT297" s="68">
        <f>ППД5[[#This Row],[Стоимость до скидки]]*ППД5[[#This Row],[Скидка %]]+ППД5[[#This Row],[Скидка фиксированная]]</f>
        <v>267889.59900000005</v>
      </c>
      <c r="CU297" s="3">
        <f>ППД5[[#This Row],[Стоимость ОН без отделки со скидкой]]/ППД5[[#This Row],[Расчетная проектная площадь]]</f>
        <v>84493.731407702522</v>
      </c>
      <c r="CV297" s="3">
        <f>ROUND(ППД5[[#This Row],[Стоимость до скидки]]-ППД5[[#This Row],[Итоговая сумма скидки]],2)</f>
        <v>5089902.38</v>
      </c>
      <c r="CW29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297" s="197"/>
      <c r="CY297" s="332">
        <f>ППД5[[#This Row],[Расхождение]]/ППД5[[#This Row],[Расчетная проектная площадь]]</f>
        <v>-2.3240371845949627E-3</v>
      </c>
      <c r="CZ29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-2.9999999999999361E-2</v>
      </c>
      <c r="DA297" s="3">
        <f>ППД5[[#This Row],[Цена м2 без отделки со скидкой]]+ППД5[[#This Row],[Стоимость отделки]]</f>
        <v>84493.731407702522</v>
      </c>
      <c r="DB297" s="3">
        <f>ППД5[[#This Row],[Стоимость квартиры с отделкой]]-ППД5[[#This Row],[Стоимость ОН без отделки со скидкой]]</f>
        <v>0</v>
      </c>
      <c r="DC297" s="3">
        <f>ППД5[[#This Row],[Цена м2 с отделкой]]*ППД5[[#This Row],[Расчетная проектная площадь]]</f>
        <v>5089902.38</v>
      </c>
      <c r="DD297" s="3"/>
      <c r="DE297" s="111" t="s">
        <v>162</v>
      </c>
      <c r="DF297" s="199" t="s">
        <v>172</v>
      </c>
      <c r="DG297" s="245" t="s">
        <v>172</v>
      </c>
      <c r="DH297" s="100" t="b">
        <f>EXACT(ППД5[[#This Row],[Статусы CRM]],ППД5[[#This Row],[Статус]])</f>
        <v>1</v>
      </c>
      <c r="DI297" s="213" t="s">
        <v>469</v>
      </c>
      <c r="DJ297" s="204"/>
      <c r="DK297" s="111" t="s">
        <v>76</v>
      </c>
      <c r="DL297" s="216" t="s">
        <v>12</v>
      </c>
      <c r="DM297" s="201" t="b">
        <f>ППД5[[#This Row],[Отделка CRM]]=ППД5[[#This Row],[Отделка]]</f>
        <v>1</v>
      </c>
      <c r="DN297" s="203">
        <v>5089902.38</v>
      </c>
      <c r="DO29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97" s="207" t="b">
        <f>IF(AND(ППД5[[#This Row],[Статус]]="свободно",ППД5[[#This Row],[Итоговая сумма скидки]]&lt;&gt;0),FALSE,TRUE)</f>
        <v>1</v>
      </c>
      <c r="DQ297" s="240">
        <f>_xlfn.XLOOKUP(ППД5[[#This Row],[№]],Юрист[№ кв],Юрист[Дата подачи на регистрацию]," ",0,-1)</f>
        <v>45246</v>
      </c>
      <c r="DR297" s="115" t="str">
        <f>_xlfn.XLOOKUP(ППД5[[#This Row],[№]],Юрист[№ кв],Юрист[МОП],"",0,-1)</f>
        <v>Никишов</v>
      </c>
      <c r="DS297" s="333" t="s">
        <v>2886</v>
      </c>
      <c r="DT297" s="333" t="s">
        <v>2887</v>
      </c>
      <c r="DU297" s="333">
        <v>58.7</v>
      </c>
      <c r="DV297" s="111"/>
    </row>
    <row r="298" spans="1:126" hidden="1" x14ac:dyDescent="0.25">
      <c r="A298" s="112">
        <v>296</v>
      </c>
      <c r="B298" s="111" t="s">
        <v>3</v>
      </c>
      <c r="C298" s="111">
        <v>11</v>
      </c>
      <c r="D298" s="111">
        <v>5</v>
      </c>
      <c r="E298" s="111">
        <v>1</v>
      </c>
      <c r="F298" s="105">
        <v>12.54</v>
      </c>
      <c r="G298" s="105"/>
      <c r="H298" s="105"/>
      <c r="I298" s="94">
        <f>SUM(ППД5[[#This Row],[Комната 1]:[Комната 3]])</f>
        <v>12.54</v>
      </c>
      <c r="J298" s="105">
        <v>12.74</v>
      </c>
      <c r="K298" s="105">
        <v>4.0199999999999996</v>
      </c>
      <c r="L298" s="105"/>
      <c r="M298" s="105"/>
      <c r="N298" s="105">
        <v>7.09</v>
      </c>
      <c r="O298" s="105">
        <v>2.84</v>
      </c>
      <c r="P298" s="105"/>
      <c r="Q298" s="105"/>
      <c r="R298" s="105">
        <f>SUM(ППД5[[#This Row],[Лоджия 1]:[Лоджия 3]])</f>
        <v>2.84</v>
      </c>
      <c r="S298" s="8">
        <f>ROUND(SUM(ППД5[[#This Row],[Площадь по проекту жилая]:[Лоджия 3]]),2)</f>
        <v>39.229999999999997</v>
      </c>
      <c r="T298" s="8">
        <f>ROUND(ППД5[[#This Row],[Площадь по проекту(общая)]]-ППД5[[#This Row],[Летние]],2)</f>
        <v>36.39</v>
      </c>
      <c r="U298" s="91">
        <f>ROUND(ППД5[[#This Row],[Площадь по проекту(общая)]]-(SUM(ППД5[[#This Row],[Лоджия 1]:[Лоджия 3]])/2),2)</f>
        <v>37.81</v>
      </c>
      <c r="V298" s="91">
        <f>IF(ППД5[[#This Row],[Статус]]="продажа",ППД5[[#This Row],[Расчетная проектная площадь]],ППД5[[#This Row],[Расчетная ТП площадь]])</f>
        <v>37.81</v>
      </c>
      <c r="W298" s="91">
        <v>12.5</v>
      </c>
      <c r="X298" s="91"/>
      <c r="Y298" s="91"/>
      <c r="Z298" s="91">
        <f>SUM(ППД5[[#This Row],[ТП Комната 1]:[ТП Комната 3]])</f>
        <v>12.5</v>
      </c>
      <c r="AA298" s="91">
        <v>12.6</v>
      </c>
      <c r="AB298" s="91">
        <v>4.0999999999999996</v>
      </c>
      <c r="AC298" s="91"/>
      <c r="AD298" s="91"/>
      <c r="AE298" s="91">
        <v>6.9</v>
      </c>
      <c r="AF298" s="91">
        <v>1.45</v>
      </c>
      <c r="AG298" s="91"/>
      <c r="AH298" s="91"/>
      <c r="AI298" s="91">
        <f>SUM(ППД5[[#This Row],[ТП Лоджия 1]:[ТП Лоджия 3]])</f>
        <v>1.45</v>
      </c>
      <c r="AJ298" s="95">
        <v>2.9</v>
      </c>
      <c r="AK298" s="91">
        <f>SUM(ППД5[[#This Row],[Площадь по ТП жилая]:[ТП Лоджия 3]])-ППД5[[#This Row],[ТП Летние]]+ППД5[[#This Row],[кроме того прочая
(без коэффициента)]]</f>
        <v>39</v>
      </c>
      <c r="AL298" s="95">
        <f>ППД5[[#This Row],[ТП Площадь без летних]]+(ППД5[[#This Row],[ТП Летние]])</f>
        <v>37.550000000000004</v>
      </c>
      <c r="AM298" s="91">
        <f>ППД5[[#This Row],[ТП общая S]]-ППД5[[#This Row],[кроме того прочая
(без коэффициента)]]</f>
        <v>36.1</v>
      </c>
      <c r="AN298" s="95">
        <f>SUM(ППД5[[#This Row],[ТП Кухня]:[ТП Коридор]])</f>
        <v>23.6</v>
      </c>
      <c r="AO298" s="91">
        <f>ППД5[[#This Row],[Расчетная ТП площадь]]-ППД5[[#This Row],[Расчетная проектная площадь]]</f>
        <v>-0.25999999999999801</v>
      </c>
      <c r="AP298" s="335">
        <f>ППД5[[#This Row],[Расчетная ТП площадь]]/ППД5[[#This Row],[Расчетная проектная площадь]]-1</f>
        <v>-6.8764877016661563E-3</v>
      </c>
      <c r="AQ298" s="91">
        <f>ППД5[[#This Row],[% расхождения]]*ППД5[[#This Row],[Стоимость до скидки]]</f>
        <v>-36012.166093625659</v>
      </c>
      <c r="AR298" s="91">
        <f>VLOOKUP(ППД5[[#This Row],[№]],наценкад5[],COLUMN(наценкад5[[#This Row],[Цена м2 с учетом всех K]]),0)</f>
        <v>89223.75</v>
      </c>
      <c r="AS298" s="8">
        <f>ППД5[[#This Row],[м2 после К]]*5%</f>
        <v>4461.1875</v>
      </c>
      <c r="AT298" s="8">
        <f>ППД5[[#This Row],[м2 после К]]+ППД5[[#This Row],[Повышение 16.08.23 - 5%]]</f>
        <v>93684.9375</v>
      </c>
      <c r="AU298" s="93">
        <f>ППД5[[#This Row],[Фикс 16.08.23]]*3%</f>
        <v>2810.5481249999998</v>
      </c>
      <c r="AV298" s="93">
        <f>ППД5[[#This Row],[Фикс 16.08.23]]+ППД5[[#This Row],[Повышение 29.08.23 - 3%]]</f>
        <v>96495.485625000001</v>
      </c>
      <c r="AW298" s="93">
        <f>ППД5[[#This Row],[Фикс 29.08.23]]*4.5%</f>
        <v>4342.2968531249999</v>
      </c>
      <c r="AX298" s="93">
        <f>ППД5[[#This Row],[Фикс 29.08.23]]+ППД5[[#This Row],[Повышение 06.09.23 СТ и 1К]]</f>
        <v>100837.78247812499</v>
      </c>
      <c r="AY298" s="93"/>
      <c r="AZ298" s="93">
        <f>ППД5[[#This Row],[Повышение 23.10.23  В4 ]]+ППД5[[#This Row],[Фикс 06.09.23]]</f>
        <v>100837.78247812499</v>
      </c>
      <c r="BA298" s="93">
        <f>ППД5[[#This Row],[Фикс 23.10.23]]*5%</f>
        <v>5041.8891239062505</v>
      </c>
      <c r="BB298" s="93">
        <f>ППД5[[#This Row],[Повышение 8.11.23 1К 5%]]+ППД5[[#This Row],[Фикс 23.10.23]]</f>
        <v>105879.67160203125</v>
      </c>
      <c r="BC298" s="93">
        <v>-620</v>
      </c>
      <c r="BD298" s="93">
        <f>ППД5[[#This Row],[Корректировка 24.11.23 - 1К В5, 2К А2, №233]]+ППД5[[#This Row],[Фикс 8.11.23]]</f>
        <v>105259.67160203125</v>
      </c>
      <c r="BE298" s="93">
        <f>ППД5[[#This Row],[Фикс 8.11.24]]*1%</f>
        <v>1052.5967160203124</v>
      </c>
      <c r="BF298" s="93">
        <f>ППД5[[#This Row],[Наценка за отделку 29.12.23 1%]]+ППД5[[#This Row],[Фикс 8.11.24]]</f>
        <v>106312.26831805156</v>
      </c>
      <c r="BG298" s="93">
        <f>ППД5[[#This Row],[Фикс 29.12.23]]*5%</f>
        <v>5315.6134159025787</v>
      </c>
      <c r="BH298" s="93">
        <f>ППД5[[#This Row],[Фикс 29.12.23]]+ППД5[[#This Row],[Наценка 10.01.24 5%]]</f>
        <v>111627.88173395414</v>
      </c>
      <c r="BI298" s="93"/>
      <c r="BJ298" s="93">
        <f>ППД5[[#This Row],[Наценка 26.02.24 1 Этаж]]+ППД5[[#This Row],[Фикс 10.01.24]]</f>
        <v>111627.88173395414</v>
      </c>
      <c r="BK298" s="93">
        <f>ППД5[[#This Row],[Фикс 26.02.24]]*3%</f>
        <v>3348.8364520186242</v>
      </c>
      <c r="BL298" s="93">
        <f>ППД5[[#This Row],[Фикс 26.02.24]]+ППД5[[#This Row],[Наценка 06.03.24
СТ, 1К - 3%
2К, 3К - 2%]]</f>
        <v>114976.71818597277</v>
      </c>
      <c r="BM298" s="93"/>
      <c r="BN298" s="93">
        <f>ППД5[[#This Row],[Фикс 06.03.24]]+ППД5[[#This Row],[Наценка Г2+500]]</f>
        <v>114976.71818597277</v>
      </c>
      <c r="BO298" s="93"/>
      <c r="BP298" s="93">
        <f>ППД5[[#This Row],[Фикс 13.03.25]]+ППД5[[#This Row],[Наценка 20.03.24
2К, 3К - 2%]]</f>
        <v>114976.71818597277</v>
      </c>
      <c r="BQ298" s="93"/>
      <c r="BR298" s="93">
        <f>ППД5[[#This Row],[Фикс 20.03.24]]+ППД5[[#This Row],[Наценка 08.04.24 
2К: В3 - 150
3К: Г7 +1000]]</f>
        <v>114976.71818597277</v>
      </c>
      <c r="BS298" s="93">
        <f>ППД5[[#This Row],[Фикс 08.04.24]]*1%</f>
        <v>1149.7671818597278</v>
      </c>
      <c r="BT298" s="93">
        <f>ППД5[[#This Row],[Фикс 08.04.24]]+ППД5[[#This Row],[Наценка 16.05.24 1%
А4,А6,Б3,Б6,Б7,В2,В3,В5,В6,Г1,Г3-Г5]]</f>
        <v>116126.4853678325</v>
      </c>
      <c r="BU298" s="93"/>
      <c r="BV298" s="93">
        <f>ППД5[[#This Row],[Фикс 16.05.24]]+ППД5[[#This Row],[Наценка 24.05.24
1% - Б4, Б5,Г2,Г6
2% - А1,А3,А5,Б2,Г7]]</f>
        <v>116126.4853678325</v>
      </c>
      <c r="BW298" s="93"/>
      <c r="BX298" s="93">
        <f>ППД5[[#This Row],[Наценка 06.06.24
0К: В2,Г3 +0,5%
1К: А7, Б5/4, Г6 +0,5%
3К: В6 +0,5%
1К: А3 +1%]]+ППД5[[#This Row],[Фикс 24.05.24]]</f>
        <v>116126.4853678325</v>
      </c>
      <c r="BY298" s="93"/>
      <c r="BZ298" s="93">
        <f>ППД5[[#This Row],[Фикс 06.06.24]]+ППД5[[#This Row],[13.06.2024
3К - 2%]]</f>
        <v>116126.4853678325</v>
      </c>
      <c r="CA298" s="93">
        <f>0.5%*ППД5[[#This Row],[Фикс 13.06.24]]</f>
        <v>580.63242683916258</v>
      </c>
      <c r="CB298" s="93">
        <f>ППД5[[#This Row],[02.07.2024: Г3 А1 А3 Б5 Б7 Г2 Г6 Б3 Б4 В3 Г7 2,5% ост 0,5-1,5%]]+ППД5[[#This Row],[Фикс 13.06.24]]</f>
        <v>116707.11779467166</v>
      </c>
      <c r="CC298" s="93"/>
      <c r="CD298" s="93">
        <f>ППД5[[#This Row],[Фикс 02.07.24]]+ППД5[[#This Row],[04.09.2024 +500
0К - Б2; 1К - А3;
2К - А6, Б4, В3, Г5]]</f>
        <v>116707.11779467166</v>
      </c>
      <c r="CE298" s="93"/>
      <c r="CF298" s="93">
        <f>ППД5[[#This Row],[Наценка 16.09.2024
1К: А1,В7,Г6/7,Г8 - 2%
2К: А4,А5,А6,Б1,Б6,Б3/4,В3,В4,Г4,Г5 - 4%
3К: 4%]]+ППД5[[#This Row],[Фикс 04.09.24]]</f>
        <v>116707.11779467166</v>
      </c>
      <c r="CG298" s="93">
        <f>ППД5[[#This Row],[Фикс 16.09.2024]]*5%</f>
        <v>5835.3558897335834</v>
      </c>
      <c r="CH298" s="93">
        <f>ППД5[[#This Row],[Фикс 16.09.2024]]+ППД5[[#This Row],[Наценка 01.11.24
СТ: 4%
1К: 34-40м 5%; 40м+ 8%; МГН 1%
2К: 55-70м 6%; 70-73м 7%; 73-76м 8% 
3К: 5%]]</f>
        <v>122542.47368440525</v>
      </c>
      <c r="CI298" s="93">
        <f>ППД5[[#This Row],[Фикс 01.11.24]]*13%</f>
        <v>15930.521578972683</v>
      </c>
      <c r="CJ298" s="93">
        <f>ППД5[[#This Row],[Наценка 06.11 13%]]+ППД5[[#This Row],[Фикс 01.11.24]]</f>
        <v>138472.99526337793</v>
      </c>
      <c r="CK298" s="93">
        <v>35</v>
      </c>
      <c r="CL298" s="93">
        <f>ППД5[[#This Row],[Фикс 06.11.24]]+ППД5[[#This Row],[Наценка 18.12.24 распределение КВ]]</f>
        <v>138507.99526337793</v>
      </c>
      <c r="CM298" s="93"/>
      <c r="CN298" s="93">
        <f>ППД5[[#This Row],[Фикс 18.12.24]]+ППД5[[#This Row],[Наценка 10.02.25 +1%
1К: А3
2К: Б3, В3]]</f>
        <v>138507.99526337793</v>
      </c>
      <c r="CO298" s="93">
        <f>ROUND(ППД5[[#This Row],[Фикс 10.02.25]],2)</f>
        <v>138508</v>
      </c>
      <c r="CP29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5237000</v>
      </c>
      <c r="CQ298" s="93">
        <f>ROUNDUP(ППД5[[#This Row],[Стоимость до скидки]]+ППД5[[#This Row],[Сумма доплаты]],-2)</f>
        <v>5201000</v>
      </c>
      <c r="CR298" s="68">
        <v>100000</v>
      </c>
      <c r="CS298" s="90"/>
      <c r="CT298" s="68">
        <f>ППД5[[#This Row],[Стоимость до скидки]]*ППД5[[#This Row],[Скидка %]]+ППД5[[#This Row],[Скидка фиксированная]]</f>
        <v>100000</v>
      </c>
      <c r="CU298" s="3">
        <f>ППД5[[#This Row],[Стоимость ОН без отделки со скидкой]]/ППД5[[#This Row],[Расчетная проектная площадь]]</f>
        <v>135863.52816715153</v>
      </c>
      <c r="CV298" s="3">
        <f>ROUND(ППД5[[#This Row],[Стоимость до скидки]]-ППД5[[#This Row],[Итоговая сумма скидки]],2)</f>
        <v>5137000</v>
      </c>
      <c r="CW29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298" s="218">
        <v>10000</v>
      </c>
      <c r="CY298" s="332">
        <f>ППД5[[#This Row],[Расхождение]]/ППД5[[#This Row],[Расчетная проектная площадь]]</f>
        <v>-6.8764877016661728E-3</v>
      </c>
      <c r="CZ298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-0.24999999999999822</v>
      </c>
      <c r="DA298" s="3">
        <f>ППД5[[#This Row],[Цена м2 без отделки со скидкой]]+ППД5[[#This Row],[Стоимость отделки]]</f>
        <v>145863.52816715153</v>
      </c>
      <c r="DB298" s="3">
        <f>ППД5[[#This Row],[Стоимость квартиры с отделкой]]-ППД5[[#This Row],[Стоимость ОН без отделки со скидкой]]</f>
        <v>378099.99999999907</v>
      </c>
      <c r="DC298" s="3">
        <f>ППД5[[#This Row],[Цена м2 с отделкой]]*ППД5[[#This Row],[Расчетная проектная площадь]]</f>
        <v>5515099.9999999991</v>
      </c>
      <c r="DD298" s="3"/>
      <c r="DE298" s="111" t="s">
        <v>767</v>
      </c>
      <c r="DF298" s="199" t="s">
        <v>172</v>
      </c>
      <c r="DG298" s="352" t="s">
        <v>172</v>
      </c>
      <c r="DH298" s="100" t="b">
        <f>EXACT(ППД5[[#This Row],[Статусы CRM]],ППД5[[#This Row],[Статус]])</f>
        <v>1</v>
      </c>
      <c r="DI298" s="213" t="s">
        <v>470</v>
      </c>
      <c r="DJ298" s="204"/>
      <c r="DK298" s="111" t="s">
        <v>763</v>
      </c>
      <c r="DL298" s="216" t="s">
        <v>780</v>
      </c>
      <c r="DM298" s="201" t="b">
        <f>ППД5[[#This Row],[Отделка CRM]]=ППД5[[#This Row],[Отделка]]</f>
        <v>1</v>
      </c>
      <c r="DN298" s="203">
        <v>5515100</v>
      </c>
      <c r="DO29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9.3132257461547852E-10</v>
      </c>
      <c r="DP298" s="207" t="b">
        <f>IF(AND(ППД5[[#This Row],[Статус]]="свободно",ППД5[[#This Row],[Итоговая сумма скидки]]&lt;&gt;0),FALSE,TRUE)</f>
        <v>1</v>
      </c>
      <c r="DQ298" s="240">
        <f>_xlfn.XLOOKUP(ППД5[[#This Row],[№]],Юрист[№ кв],Юрист[Дата подачи на регистрацию]," ",0,-1)</f>
        <v>45679</v>
      </c>
      <c r="DR298" s="115" t="str">
        <f>_xlfn.XLOOKUP(ППД5[[#This Row],[№]],Юрист[№ кв],Юрист[МОП],"",0,-1)</f>
        <v>Нуждина</v>
      </c>
      <c r="DS298" s="333" t="s">
        <v>2888</v>
      </c>
      <c r="DT298" s="333" t="s">
        <v>2889</v>
      </c>
      <c r="DU298" s="333">
        <v>36.1</v>
      </c>
      <c r="DV298" s="111"/>
    </row>
    <row r="299" spans="1:126" hidden="1" x14ac:dyDescent="0.25">
      <c r="A299" s="112">
        <v>297</v>
      </c>
      <c r="B299" s="111" t="s">
        <v>3</v>
      </c>
      <c r="C299" s="111">
        <v>11</v>
      </c>
      <c r="D299" s="111">
        <v>6</v>
      </c>
      <c r="E299" s="111">
        <v>3</v>
      </c>
      <c r="F299" s="105">
        <v>17.2</v>
      </c>
      <c r="G299" s="105">
        <v>14.64</v>
      </c>
      <c r="H299" s="105">
        <v>14.34</v>
      </c>
      <c r="I299" s="94">
        <f>SUM(ППД5[[#This Row],[Комната 1]:[Комната 3]])</f>
        <v>46.18</v>
      </c>
      <c r="J299" s="105">
        <v>13.15</v>
      </c>
      <c r="K299" s="105">
        <v>4.03</v>
      </c>
      <c r="L299" s="105">
        <v>1.76</v>
      </c>
      <c r="M299" s="105"/>
      <c r="N299" s="105">
        <v>13.11</v>
      </c>
      <c r="O299" s="105">
        <v>2.79</v>
      </c>
      <c r="P299" s="105">
        <v>2.68</v>
      </c>
      <c r="Q299" s="105"/>
      <c r="R299" s="105">
        <f>SUM(ППД5[[#This Row],[Лоджия 1]:[Лоджия 3]])</f>
        <v>5.4700000000000006</v>
      </c>
      <c r="S299" s="8">
        <f>ROUND(SUM(ППД5[[#This Row],[Площадь по проекту жилая]:[Лоджия 3]]),2)</f>
        <v>83.7</v>
      </c>
      <c r="T299" s="8">
        <f>ROUND(ППД5[[#This Row],[Площадь по проекту(общая)]]-ППД5[[#This Row],[Летние]],2)</f>
        <v>78.23</v>
      </c>
      <c r="U299" s="91">
        <f>ROUND(ППД5[[#This Row],[Площадь по проекту(общая)]]-(SUM(ППД5[[#This Row],[Лоджия 1]:[Лоджия 3]])/2),2)</f>
        <v>80.97</v>
      </c>
      <c r="V299" s="91">
        <f>IF(ППД5[[#This Row],[Статус]]="продажа",ППД5[[#This Row],[Расчетная проектная площадь]],ППД5[[#This Row],[Расчетная ТП площадь]])</f>
        <v>80.97</v>
      </c>
      <c r="W299" s="91">
        <v>17.100000000000001</v>
      </c>
      <c r="X299" s="91">
        <v>14.5</v>
      </c>
      <c r="Y299" s="91">
        <v>14.2</v>
      </c>
      <c r="Z299" s="91">
        <f>SUM(ППД5[[#This Row],[ТП Комната 1]:[ТП Комната 3]])</f>
        <v>45.8</v>
      </c>
      <c r="AA299" s="91">
        <v>13</v>
      </c>
      <c r="AB299" s="91">
        <v>3.9</v>
      </c>
      <c r="AC299" s="91">
        <v>1.7</v>
      </c>
      <c r="AD299" s="91"/>
      <c r="AE299" s="91">
        <v>13</v>
      </c>
      <c r="AF299" s="91">
        <v>1.4</v>
      </c>
      <c r="AG299" s="91">
        <v>1.4</v>
      </c>
      <c r="AH299" s="91"/>
      <c r="AI299" s="91">
        <f>SUM(ППД5[[#This Row],[ТП Лоджия 1]:[ТП Лоджия 3]])</f>
        <v>2.8</v>
      </c>
      <c r="AJ299" s="95">
        <v>5.6</v>
      </c>
      <c r="AK299" s="91">
        <f>SUM(ППД5[[#This Row],[Площадь по ТП жилая]:[ТП Лоджия 3]])-ППД5[[#This Row],[ТП Летние]]+ППД5[[#This Row],[кроме того прочая
(без коэффициента)]]</f>
        <v>83</v>
      </c>
      <c r="AL299" s="95">
        <f>ППД5[[#This Row],[ТП Площадь без летних]]+(ППД5[[#This Row],[ТП Летние]])</f>
        <v>80.2</v>
      </c>
      <c r="AM299" s="91">
        <f>ППД5[[#This Row],[ТП общая S]]-ППД5[[#This Row],[кроме того прочая
(без коэффициента)]]</f>
        <v>77.400000000000006</v>
      </c>
      <c r="AN299" s="95">
        <f>SUM(ППД5[[#This Row],[ТП Кухня]:[ТП Коридор]])</f>
        <v>31.599999999999998</v>
      </c>
      <c r="AO299" s="91">
        <f>ППД5[[#This Row],[Расчетная ТП площадь]]-ППД5[[#This Row],[Расчетная проектная площадь]]</f>
        <v>-0.76999999999999602</v>
      </c>
      <c r="AP299" s="335">
        <f>ППД5[[#This Row],[Расчетная ТП площадь]]/ППД5[[#This Row],[Расчетная проектная площадь]]-1</f>
        <v>-9.5096949487464277E-3</v>
      </c>
      <c r="AQ299" s="91">
        <f>ППД5[[#This Row],[% расхождения]]*ППД5[[#This Row],[Стоимость до скидки]]</f>
        <v>-68568.704458441236</v>
      </c>
      <c r="AR299" s="91">
        <f>VLOOKUP(ППД5[[#This Row],[№]],наценкад5[],COLUMN(наценкад5[[#This Row],[Цена м2 с учетом всех K]]),0)</f>
        <v>73520.37000000001</v>
      </c>
      <c r="AS299" s="8">
        <f>ППД5[[#This Row],[м2 после К]]*5%</f>
        <v>3676.0185000000006</v>
      </c>
      <c r="AT299" s="8">
        <f>ППД5[[#This Row],[м2 после К]]+ППД5[[#This Row],[Повышение 16.08.23 - 5%]]</f>
        <v>77196.388500000015</v>
      </c>
      <c r="AU299" s="93">
        <f>ППД5[[#This Row],[Фикс 16.08.23]]*3%</f>
        <v>2315.8916550000004</v>
      </c>
      <c r="AV299" s="93">
        <f>ППД5[[#This Row],[Фикс 16.08.23]]+ППД5[[#This Row],[Повышение 29.08.23 - 3%]]</f>
        <v>79512.280155000015</v>
      </c>
      <c r="AW299" s="93"/>
      <c r="AX299" s="93">
        <f>ППД5[[#This Row],[Фикс 29.08.23]]+ППД5[[#This Row],[Повышение 06.09.23 СТ и 1К]]</f>
        <v>79512.280155000015</v>
      </c>
      <c r="AY299" s="93"/>
      <c r="AZ299" s="93">
        <f>ППД5[[#This Row],[Повышение 23.10.23  В4 ]]+ППД5[[#This Row],[Фикс 06.09.23]]</f>
        <v>79512.280155000015</v>
      </c>
      <c r="BA299" s="93"/>
      <c r="BB299" s="93">
        <f>ППД5[[#This Row],[Повышение 8.11.23 1К 5%]]+ППД5[[#This Row],[Фикс 23.10.23]]</f>
        <v>79512.280155000015</v>
      </c>
      <c r="BC299" s="93"/>
      <c r="BD299" s="93">
        <f>ППД5[[#This Row],[Корректировка 24.11.23 - 1К В5, 2К А2, №233]]+ППД5[[#This Row],[Фикс 8.11.23]]</f>
        <v>79512.280155000015</v>
      </c>
      <c r="BE299" s="93">
        <f>ППД5[[#This Row],[Фикс 8.11.24]]*1%</f>
        <v>795.12280155000019</v>
      </c>
      <c r="BF299" s="93">
        <f>ППД5[[#This Row],[Наценка за отделку 29.12.23 1%]]+ППД5[[#This Row],[Фикс 8.11.24]]</f>
        <v>80307.40295655001</v>
      </c>
      <c r="BG299" s="93">
        <f>ППД5[[#This Row],[Фикс 29.12.23]]*5%</f>
        <v>4015.3701478275007</v>
      </c>
      <c r="BH299" s="93">
        <f>ППД5[[#This Row],[Фикс 29.12.23]]+ППД5[[#This Row],[Наценка 10.01.24 5%]]</f>
        <v>84322.773104377513</v>
      </c>
      <c r="BI299" s="93"/>
      <c r="BJ299" s="93">
        <f>ППД5[[#This Row],[Наценка 26.02.24 1 Этаж]]+ППД5[[#This Row],[Фикс 10.01.24]]</f>
        <v>84322.773104377513</v>
      </c>
      <c r="BK299" s="93">
        <f>ППД5[[#This Row],[Фикс 26.02.24]]*2%</f>
        <v>1686.4554620875504</v>
      </c>
      <c r="BL299" s="93">
        <f>ППД5[[#This Row],[Фикс 26.02.24]]+ППД5[[#This Row],[Наценка 06.03.24
СТ, 1К - 3%
2К, 3К - 2%]]</f>
        <v>86009.22856646507</v>
      </c>
      <c r="BM299" s="93"/>
      <c r="BN299" s="93">
        <f>ППД5[[#This Row],[Фикс 06.03.24]]+ППД5[[#This Row],[Наценка Г2+500]]</f>
        <v>86009.22856646507</v>
      </c>
      <c r="BO299" s="93">
        <f>ППД5[[#This Row],[Фикс 13.03.25]]*2%</f>
        <v>1720.1845713293014</v>
      </c>
      <c r="BP299" s="93">
        <f>ППД5[[#This Row],[Фикс 13.03.25]]+ППД5[[#This Row],[Наценка 20.03.24
2К, 3К - 2%]]</f>
        <v>87729.41313779437</v>
      </c>
      <c r="BQ299" s="93"/>
      <c r="BR299" s="93">
        <f>ППД5[[#This Row],[Фикс 20.03.24]]+ППД5[[#This Row],[Наценка 08.04.24 
2К: В3 - 150
3К: Г7 +1000]]</f>
        <v>87729.41313779437</v>
      </c>
      <c r="BS299" s="93">
        <f>ППД5[[#This Row],[Фикс 08.04.24]]*1%</f>
        <v>877.2941313779437</v>
      </c>
      <c r="BT299" s="93">
        <f>ППД5[[#This Row],[Фикс 08.04.24]]+ППД5[[#This Row],[Наценка 16.05.24 1%
А4,А6,Б3,Б6,Б7,В2,В3,В5,В6,Г1,Г3-Г5]]</f>
        <v>88606.707269172315</v>
      </c>
      <c r="BU299" s="93"/>
      <c r="BV299" s="93">
        <f>ППД5[[#This Row],[Фикс 16.05.24]]+ППД5[[#This Row],[Наценка 24.05.24
1% - Б4, Б5,Г2,Г6
2% - А1,А3,А5,Б2,Г7]]</f>
        <v>88606.707269172315</v>
      </c>
      <c r="BW299" s="93">
        <f>ППД5[[#This Row],[Фикс 24.05.24]]*0.5%</f>
        <v>443.03353634586159</v>
      </c>
      <c r="BX299" s="93">
        <f>ППД5[[#This Row],[Наценка 06.06.24
0К: В2,Г3 +0,5%
1К: А7, Б5/4, Г6 +0,5%
3К: В6 +0,5%
1К: А3 +1%]]+ППД5[[#This Row],[Фикс 24.05.24]]</f>
        <v>89049.740805518173</v>
      </c>
      <c r="BY299" s="93"/>
      <c r="BZ299" s="93">
        <f>ППД5[[#This Row],[Фикс 06.06.24]]+ППД5[[#This Row],[13.06.2024
3К - 2%]]</f>
        <v>89049.740805518173</v>
      </c>
      <c r="CA299" s="93"/>
      <c r="CB299" s="93">
        <f>ППД5[[#This Row],[02.07.2024: Г3 А1 А3 Б5 Б7 Г2 Г6 Б3 Б4 В3 Г7 2,5% ост 0,5-1,5%]]+ППД5[[#This Row],[Фикс 13.06.24]]</f>
        <v>89049.740805518173</v>
      </c>
      <c r="CC299" s="93"/>
      <c r="CD299" s="93">
        <f>ППД5[[#This Row],[Фикс 02.07.24]]+ППД5[[#This Row],[04.09.2024 +500
0К - Б2; 1К - А3;
2К - А6, Б4, В3, Г5]]</f>
        <v>89049.740805518173</v>
      </c>
      <c r="CE299" s="93"/>
      <c r="CF299" s="93">
        <f>ППД5[[#This Row],[Наценка 16.09.2024
1К: А1,В7,Г6/7,Г8 - 2%
2К: А4,А5,А6,Б1,Б6,Б3/4,В3,В4,Г4,Г5 - 4%
3К: 4%]]+ППД5[[#This Row],[Фикс 04.09.24]]</f>
        <v>89049.740805518173</v>
      </c>
      <c r="CG299" s="93"/>
      <c r="CH299" s="93">
        <f>ППД5[[#This Row],[Фикс 16.09.2024]]+ППД5[[#This Row],[Наценка 01.11.24
СТ: 4%
1К: 34-40м 5%; 40м+ 8%; МГН 1%
2К: 55-70м 6%; 70-73м 7%; 73-76м 8% 
3К: 5%]]</f>
        <v>89049.740805518173</v>
      </c>
      <c r="CI299" s="93"/>
      <c r="CJ299" s="93">
        <f>ППД5[[#This Row],[Наценка 06.11 13%]]+ППД5[[#This Row],[Фикс 01.11.24]]</f>
        <v>89049.740805518173</v>
      </c>
      <c r="CK299" s="93"/>
      <c r="CL299" s="93">
        <f>ППД5[[#This Row],[Фикс 06.11.24]]+ППД5[[#This Row],[Наценка 18.12.24 распределение КВ]]</f>
        <v>89049.740805518173</v>
      </c>
      <c r="CM299" s="93"/>
      <c r="CN299" s="93">
        <f>ППД5[[#This Row],[Фикс 18.12.24]]+ППД5[[#This Row],[Наценка 10.02.25 +1%
1К: А3
2К: Б3, В3]]</f>
        <v>89049.740805518173</v>
      </c>
      <c r="CO299" s="93">
        <f>ROUND(ППД5[[#This Row],[Фикс 10.02.25]],2)</f>
        <v>89049.74</v>
      </c>
      <c r="CP29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7210400</v>
      </c>
      <c r="CQ299" s="93">
        <f>ROUNDUP(ППД5[[#This Row],[Стоимость до скидки]]+ППД5[[#This Row],[Сумма доплаты]],-2)</f>
        <v>7141900</v>
      </c>
      <c r="CR299" s="68"/>
      <c r="CS299" s="90"/>
      <c r="CT299" s="68">
        <f>ППД5[[#This Row],[Стоимость до скидки]]*ППД5[[#This Row],[Скидка %]]+ППД5[[#This Row],[Скидка фиксированная]]</f>
        <v>0</v>
      </c>
      <c r="CU299" s="3">
        <f>ППД5[[#This Row],[Стоимость ОН без отделки со скидкой]]/ППД5[[#This Row],[Расчетная проектная площадь]]</f>
        <v>89050.265530443372</v>
      </c>
      <c r="CV299" s="3">
        <f>ROUND(ППД5[[#This Row],[Стоимость до скидки]]-ППД5[[#This Row],[Итоговая сумма скидки]],2)</f>
        <v>7210400</v>
      </c>
      <c r="CW29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299" s="197">
        <v>20000</v>
      </c>
      <c r="CY299" s="332">
        <f>ППД5[[#This Row],[Расхождение]]/ППД5[[#This Row],[Расчетная проектная площадь]]</f>
        <v>-9.5096949487464E-3</v>
      </c>
      <c r="CZ29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-0.45000000000000462</v>
      </c>
      <c r="DA299" s="3">
        <f>ППД5[[#This Row],[Цена м2 без отделки со скидкой]]+ППД5[[#This Row],[Стоимость отделки]]</f>
        <v>109050.26553044337</v>
      </c>
      <c r="DB299" s="3">
        <f>ППД5[[#This Row],[Стоимость квартиры с отделкой]]-ППД5[[#This Row],[Стоимость ОН без отделки со скидкой]]</f>
        <v>1619400</v>
      </c>
      <c r="DC299" s="3">
        <f>ППД5[[#This Row],[Цена м2 с отделкой]]*ППД5[[#This Row],[Расчетная проектная площадь]]</f>
        <v>8829800</v>
      </c>
      <c r="DD299" s="3"/>
      <c r="DF299" s="199" t="s">
        <v>172</v>
      </c>
      <c r="DG299" s="245" t="s">
        <v>172</v>
      </c>
      <c r="DH299" s="100" t="b">
        <f>EXACT(ППД5[[#This Row],[Статусы CRM]],ППД5[[#This Row],[Статус]])</f>
        <v>1</v>
      </c>
      <c r="DI299" s="213" t="s">
        <v>471</v>
      </c>
      <c r="DJ299" s="204"/>
      <c r="DK299" s="111" t="s">
        <v>763</v>
      </c>
      <c r="DL299" s="216" t="s">
        <v>14</v>
      </c>
      <c r="DM299" s="201" t="b">
        <f>ППД5[[#This Row],[Отделка CRM]]=ППД5[[#This Row],[Отделка]]</f>
        <v>1</v>
      </c>
      <c r="DN299" s="203">
        <v>8829800</v>
      </c>
      <c r="DO29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299" s="207" t="b">
        <f>IF(AND(ППД5[[#This Row],[Статус]]="свободно",ППД5[[#This Row],[Итоговая сумма скидки]]&lt;&gt;0),FALSE,TRUE)</f>
        <v>1</v>
      </c>
      <c r="DQ299" s="240">
        <f>_xlfn.XLOOKUP(ППД5[[#This Row],[№]],Юрист[№ кв],Юрист[Дата подачи на регистрацию]," ",0,-1)</f>
        <v>45471</v>
      </c>
      <c r="DR299" s="115" t="str">
        <f>_xlfn.XLOOKUP(ППД5[[#This Row],[№]],Юрист[№ кв],Юрист[МОП],"",0,-1)</f>
        <v>Никишов</v>
      </c>
      <c r="DS299" s="333" t="s">
        <v>2890</v>
      </c>
      <c r="DT299" s="333" t="s">
        <v>2891</v>
      </c>
      <c r="DU299" s="333">
        <v>77.400000000000006</v>
      </c>
      <c r="DV299" s="111"/>
    </row>
    <row r="300" spans="1:126" hidden="1" x14ac:dyDescent="0.25">
      <c r="A300" s="112">
        <v>298</v>
      </c>
      <c r="B300" s="111" t="s">
        <v>3</v>
      </c>
      <c r="C300" s="111">
        <v>11</v>
      </c>
      <c r="D300" s="111">
        <v>7</v>
      </c>
      <c r="E300" s="111">
        <v>1</v>
      </c>
      <c r="F300" s="105">
        <v>14.3</v>
      </c>
      <c r="G300" s="105"/>
      <c r="H300" s="105"/>
      <c r="I300" s="94">
        <f>SUM(ППД5[[#This Row],[Комната 1]:[Комната 3]])</f>
        <v>14.3</v>
      </c>
      <c r="J300" s="105">
        <v>9.2799999999999994</v>
      </c>
      <c r="K300" s="105">
        <v>3.79</v>
      </c>
      <c r="L300" s="105"/>
      <c r="M300" s="105"/>
      <c r="N300" s="105">
        <v>6.08</v>
      </c>
      <c r="O300" s="105">
        <v>2.71</v>
      </c>
      <c r="P300" s="105"/>
      <c r="Q300" s="105"/>
      <c r="R300" s="105">
        <f>SUM(ППД5[[#This Row],[Лоджия 1]:[Лоджия 3]])</f>
        <v>2.71</v>
      </c>
      <c r="S300" s="8">
        <f>ROUND(SUM(ППД5[[#This Row],[Площадь по проекту жилая]:[Лоджия 3]]),2)</f>
        <v>36.159999999999997</v>
      </c>
      <c r="T300" s="8">
        <f>ROUND(ППД5[[#This Row],[Площадь по проекту(общая)]]-ППД5[[#This Row],[Летние]],2)</f>
        <v>33.450000000000003</v>
      </c>
      <c r="U300" s="91">
        <f>ROUND(ППД5[[#This Row],[Площадь по проекту(общая)]]-(SUM(ППД5[[#This Row],[Лоджия 1]:[Лоджия 3]])/2),2)</f>
        <v>34.81</v>
      </c>
      <c r="V300" s="91">
        <f>IF(ППД5[[#This Row],[Статус]]="продажа",ППД5[[#This Row],[Расчетная проектная площадь]],ППД5[[#This Row],[Расчетная ТП площадь]])</f>
        <v>34.599999999999994</v>
      </c>
      <c r="W300" s="91">
        <v>14.2</v>
      </c>
      <c r="X300" s="91"/>
      <c r="Y300" s="91"/>
      <c r="Z300" s="91">
        <f>SUM(ППД5[[#This Row],[ТП Комната 1]:[ТП Комната 3]])</f>
        <v>14.2</v>
      </c>
      <c r="AA300" s="91">
        <v>9.1999999999999993</v>
      </c>
      <c r="AB300" s="91">
        <v>3.8</v>
      </c>
      <c r="AC300" s="91"/>
      <c r="AD300" s="91"/>
      <c r="AE300" s="91">
        <v>6.1</v>
      </c>
      <c r="AF300" s="91">
        <v>1.3</v>
      </c>
      <c r="AG300" s="91"/>
      <c r="AH300" s="91"/>
      <c r="AI300" s="91">
        <f>SUM(ППД5[[#This Row],[ТП Лоджия 1]:[ТП Лоджия 3]])</f>
        <v>1.3</v>
      </c>
      <c r="AJ300" s="95">
        <v>2.6</v>
      </c>
      <c r="AK300" s="91">
        <f>SUM(ППД5[[#This Row],[Площадь по ТП жилая]:[ТП Лоджия 3]])-ППД5[[#This Row],[ТП Летние]]+ППД5[[#This Row],[кроме того прочая
(без коэффициента)]]</f>
        <v>35.9</v>
      </c>
      <c r="AL300" s="95">
        <f>ППД5[[#This Row],[ТП Площадь без летних]]+(ППД5[[#This Row],[ТП Летние]])</f>
        <v>34.599999999999994</v>
      </c>
      <c r="AM300" s="91">
        <f>ППД5[[#This Row],[ТП общая S]]-ППД5[[#This Row],[кроме того прочая
(без коэффициента)]]</f>
        <v>33.299999999999997</v>
      </c>
      <c r="AN300" s="95">
        <f>SUM(ППД5[[#This Row],[ТП Кухня]:[ТП Коридор]])</f>
        <v>19.100000000000001</v>
      </c>
      <c r="AO300" s="91">
        <f>ППД5[[#This Row],[Расчетная ТП площадь]]-ППД5[[#This Row],[Расчетная проектная площадь]]</f>
        <v>-0.21000000000000796</v>
      </c>
      <c r="AP300" s="335">
        <f>ППД5[[#This Row],[Расчетная ТП площадь]]/ППД5[[#This Row],[Расчетная проектная площадь]]-1</f>
        <v>-6.0327492099973012E-3</v>
      </c>
      <c r="AQ300" s="91">
        <f>ППД5[[#This Row],[% расхождения]]*ППД5[[#This Row],[Стоимость до скидки]]</f>
        <v>-30622.234989946301</v>
      </c>
      <c r="AR300" s="91">
        <f>VLOOKUP(ППД5[[#This Row],[№]],наценкад5[],COLUMN(наценкад5[[#This Row],[Цена м2 с учетом всех K]]),0)</f>
        <v>84762.5625</v>
      </c>
      <c r="AS300" s="8">
        <f>ППД5[[#This Row],[м2 после К]]*5%</f>
        <v>4238.1281250000002</v>
      </c>
      <c r="AT300" s="8">
        <f>ППД5[[#This Row],[м2 после К]]+ППД5[[#This Row],[Повышение 16.08.23 - 5%]]</f>
        <v>89000.690625000003</v>
      </c>
      <c r="AU300" s="93">
        <f>ППД5[[#This Row],[Фикс 16.08.23]]*3%</f>
        <v>2670.02071875</v>
      </c>
      <c r="AV300" s="93">
        <f>ППД5[[#This Row],[Фикс 16.08.23]]+ППД5[[#This Row],[Повышение 29.08.23 - 3%]]</f>
        <v>91670.711343750008</v>
      </c>
      <c r="AW300" s="93">
        <f>ППД5[[#This Row],[Фикс 29.08.23]]*14%</f>
        <v>12833.899588125003</v>
      </c>
      <c r="AX300" s="93">
        <f>ППД5[[#This Row],[Фикс 29.08.23]]+ППД5[[#This Row],[Повышение 06.09.23 СТ и 1К]]</f>
        <v>104504.61093187501</v>
      </c>
      <c r="AY300" s="93"/>
      <c r="AZ300" s="93">
        <f>ППД5[[#This Row],[Повышение 23.10.23  В4 ]]+ППД5[[#This Row],[Фикс 06.09.23]]</f>
        <v>104504.61093187501</v>
      </c>
      <c r="BA300" s="93">
        <f>ППД5[[#This Row],[Фикс 23.10.23]]*5%</f>
        <v>5225.2305465937507</v>
      </c>
      <c r="BB300" s="93">
        <f>ППД5[[#This Row],[Повышение 8.11.23 1К 5%]]+ППД5[[#This Row],[Фикс 23.10.23]]</f>
        <v>109729.84147846876</v>
      </c>
      <c r="BC300" s="93"/>
      <c r="BD300" s="93">
        <f>ППД5[[#This Row],[Корректировка 24.11.23 - 1К В5, 2К А2, №233]]+ППД5[[#This Row],[Фикс 8.11.23]]</f>
        <v>109729.84147846876</v>
      </c>
      <c r="BE300" s="93">
        <f>ППД5[[#This Row],[Фикс 8.11.24]]*1%</f>
        <v>1097.2984147846876</v>
      </c>
      <c r="BF300" s="93">
        <f>ППД5[[#This Row],[Наценка за отделку 29.12.23 1%]]+ППД5[[#This Row],[Фикс 8.11.24]]</f>
        <v>110827.13989325345</v>
      </c>
      <c r="BG300" s="93">
        <f>ППД5[[#This Row],[Фикс 29.12.23]]*5%</f>
        <v>5541.3569946626731</v>
      </c>
      <c r="BH300" s="93">
        <f>ППД5[[#This Row],[Фикс 29.12.23]]+ППД5[[#This Row],[Наценка 10.01.24 5%]]</f>
        <v>116368.49688791612</v>
      </c>
      <c r="BI300" s="93"/>
      <c r="BJ300" s="93">
        <f>ППД5[[#This Row],[Наценка 26.02.24 1 Этаж]]+ППД5[[#This Row],[Фикс 10.01.24]]</f>
        <v>116368.49688791612</v>
      </c>
      <c r="BK300" s="93">
        <f>ППД5[[#This Row],[Фикс 26.02.24]]*3%</f>
        <v>3491.0549066374833</v>
      </c>
      <c r="BL300" s="93">
        <f>ППД5[[#This Row],[Фикс 26.02.24]]+ППД5[[#This Row],[Наценка 06.03.24
СТ, 1К - 3%
2К, 3К - 2%]]</f>
        <v>119859.5517945536</v>
      </c>
      <c r="BM300" s="93"/>
      <c r="BN300" s="93">
        <f>ППД5[[#This Row],[Фикс 06.03.24]]+ППД5[[#This Row],[Наценка Г2+500]]</f>
        <v>119859.5517945536</v>
      </c>
      <c r="BO300" s="93"/>
      <c r="BP300" s="93">
        <f>ППД5[[#This Row],[Фикс 13.03.25]]+ППД5[[#This Row],[Наценка 20.03.24
2К, 3К - 2%]]</f>
        <v>119859.5517945536</v>
      </c>
      <c r="BQ300" s="93"/>
      <c r="BR300" s="93">
        <f>ППД5[[#This Row],[Фикс 20.03.24]]+ППД5[[#This Row],[Наценка 08.04.24 
2К: В3 - 150
3К: Г7 +1000]]</f>
        <v>119859.5517945536</v>
      </c>
      <c r="BS300" s="93"/>
      <c r="BT300" s="93">
        <f>ППД5[[#This Row],[Фикс 08.04.24]]+ППД5[[#This Row],[Наценка 16.05.24 1%
А4,А6,Б3,Б6,Б7,В2,В3,В5,В6,Г1,Г3-Г5]]</f>
        <v>119859.5517945536</v>
      </c>
      <c r="BU300" s="93"/>
      <c r="BV300" s="93">
        <f>ППД5[[#This Row],[Фикс 16.05.24]]+ППД5[[#This Row],[Наценка 24.05.24
1% - Б4, Б5,Г2,Г6
2% - А1,А3,А5,Б2,Г7]]</f>
        <v>119859.5517945536</v>
      </c>
      <c r="BW300" s="93"/>
      <c r="BX300" s="93">
        <f>ППД5[[#This Row],[Наценка 06.06.24
0К: В2,Г3 +0,5%
1К: А7, Б5/4, Г6 +0,5%
3К: В6 +0,5%
1К: А3 +1%]]+ППД5[[#This Row],[Фикс 24.05.24]]</f>
        <v>119859.5517945536</v>
      </c>
      <c r="BY300" s="93"/>
      <c r="BZ300" s="93">
        <f>ППД5[[#This Row],[Фикс 06.06.24]]+ППД5[[#This Row],[13.06.2024
3К - 2%]]</f>
        <v>119859.5517945536</v>
      </c>
      <c r="CA300" s="93">
        <f>0.5%*ППД5[[#This Row],[Фикс 13.06.24]]</f>
        <v>599.29775897276795</v>
      </c>
      <c r="CB300" s="93">
        <f>ППД5[[#This Row],[02.07.2024: Г3 А1 А3 Б5 Б7 Г2 Г6 Б3 Б4 В3 Г7 2,5% ост 0,5-1,5%]]+ППД5[[#This Row],[Фикс 13.06.24]]</f>
        <v>120458.84955352636</v>
      </c>
      <c r="CC300" s="93"/>
      <c r="CD300" s="93">
        <f>ППД5[[#This Row],[Фикс 02.07.24]]+ППД5[[#This Row],[04.09.2024 +500
0К - Б2; 1К - А3;
2К - А6, Б4, В3, Г5]]</f>
        <v>120458.84955352636</v>
      </c>
      <c r="CE300" s="93">
        <f>ППД5[[#This Row],[Фикс 04.09.24]]*2%</f>
        <v>2409.1769910705275</v>
      </c>
      <c r="CF300" s="93">
        <f>ППД5[[#This Row],[Наценка 16.09.2024
1К: А1,В7,Г6/7,Г8 - 2%
2К: А4,А5,А6,Б1,Б6,Б3/4,В3,В4,Г4,Г5 - 4%
3К: 4%]]+ППД5[[#This Row],[Фикс 04.09.24]]</f>
        <v>122868.0265445969</v>
      </c>
      <c r="CG300" s="93">
        <f>ППД5[[#This Row],[Фикс 16.09.2024]]*5%</f>
        <v>6143.4013272298453</v>
      </c>
      <c r="CH300" s="93">
        <f>ППД5[[#This Row],[Фикс 16.09.2024]]+ППД5[[#This Row],[Наценка 01.11.24
СТ: 4%
1К: 34-40м 5%; 40м+ 8%; МГН 1%
2К: 55-70м 6%; 70-73м 7%; 73-76м 8% 
3К: 5%]]</f>
        <v>129011.42787182675</v>
      </c>
      <c r="CI300" s="93">
        <f>ППД5[[#This Row],[Фикс 01.11.24]]*13%</f>
        <v>16771.485623337478</v>
      </c>
      <c r="CJ300" s="93">
        <f>ППД5[[#This Row],[Наценка 06.11 13%]]+ППД5[[#This Row],[Фикс 01.11.24]]</f>
        <v>145782.91349516422</v>
      </c>
      <c r="CK300" s="93">
        <v>35</v>
      </c>
      <c r="CL300" s="93">
        <f>ППД5[[#This Row],[Фикс 06.11.24]]+ППД5[[#This Row],[Наценка 18.12.24 распределение КВ]]</f>
        <v>145817.91349516422</v>
      </c>
      <c r="CM300" s="93"/>
      <c r="CN300" s="93">
        <f>ППД5[[#This Row],[Фикс 18.12.24]]+ППД5[[#This Row],[Наценка 10.02.25 +1%
1К: А3
2К: Б3, В3]]</f>
        <v>145817.91349516422</v>
      </c>
      <c r="CO300" s="93">
        <f>ROUND(ППД5[[#This Row],[Фикс 10.02.25]],2)</f>
        <v>145817.91</v>
      </c>
      <c r="CP30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5076000</v>
      </c>
      <c r="CQ300" s="93">
        <f>ROUNDUP(ППД5[[#This Row],[Стоимость до скидки]]+ППД5[[#This Row],[Сумма доплаты]],-2)</f>
        <v>5045400</v>
      </c>
      <c r="CR300" s="68"/>
      <c r="CS300" s="90"/>
      <c r="CT300" s="68">
        <f>ППД5[[#This Row],[Стоимость до скидки]]*ППД5[[#This Row],[Скидка %]]+ППД5[[#This Row],[Скидка фиксированная]]</f>
        <v>0</v>
      </c>
      <c r="CU300" s="3">
        <f>ППД5[[#This Row],[Стоимость ОН без отделки со скидкой]]/ППД5[[#This Row],[Расчетная проектная площадь]]</f>
        <v>145820.16661878768</v>
      </c>
      <c r="CV300" s="3">
        <f>ROUND(ППД5[[#This Row],[Стоимость до скидки]]-ППД5[[#This Row],[Итоговая сумма скидки]],2)</f>
        <v>5076000</v>
      </c>
      <c r="CW30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00" s="197">
        <v>25000</v>
      </c>
      <c r="CY300" s="332">
        <f>ППД5[[#This Row],[Расхождение]]/ППД5[[#This Row],[Расчетная проектная площадь]]</f>
        <v>-6.0327492099973559E-3</v>
      </c>
      <c r="CZ30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-4.9999999999998934E-2</v>
      </c>
      <c r="DA300" s="3">
        <f>ППД5[[#This Row],[Цена м2 без отделки со скидкой]]+ППД5[[#This Row],[Стоимость отделки]]</f>
        <v>170820.16661878768</v>
      </c>
      <c r="DB300" s="3">
        <f>ППД5[[#This Row],[Стоимость квартиры с отделкой]]-ППД5[[#This Row],[Стоимость ОН без отделки со скидкой]]</f>
        <v>870250</v>
      </c>
      <c r="DC300" s="3">
        <f>ППД5[[#This Row],[Цена м2 с отделкой]]*ППД5[[#This Row],[Расчетная проектная площадь]]</f>
        <v>5946250</v>
      </c>
      <c r="DD300" s="3" t="s">
        <v>154</v>
      </c>
      <c r="DF300" s="155" t="s">
        <v>157</v>
      </c>
      <c r="DG300" s="221" t="s">
        <v>157</v>
      </c>
      <c r="DH300" s="100" t="b">
        <f>EXACT(ППД5[[#This Row],[Статусы CRM]],ППД5[[#This Row],[Статус]])</f>
        <v>1</v>
      </c>
      <c r="DI300" s="213" t="s">
        <v>472</v>
      </c>
      <c r="DJ300" s="204"/>
      <c r="DK300" s="111" t="s">
        <v>763</v>
      </c>
      <c r="DL300" s="216" t="s">
        <v>14</v>
      </c>
      <c r="DM300" s="201" t="b">
        <f>ППД5[[#This Row],[Отделка CRM]]=ППД5[[#This Row],[Отделка]]</f>
        <v>1</v>
      </c>
      <c r="DN300" s="203">
        <v>5946250</v>
      </c>
      <c r="DO30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00" s="207" t="b">
        <f>IF(AND(ППД5[[#This Row],[Статус]]="свободно",ППД5[[#This Row],[Итоговая сумма скидки]]&lt;&gt;0),FALSE,TRUE)</f>
        <v>1</v>
      </c>
      <c r="DQ300" s="240" t="str">
        <f>_xlfn.XLOOKUP(ППД5[[#This Row],[№]],Юрист[№ кв],Юрист[Дата подачи на регистрацию]," ",0,-1)</f>
        <v xml:space="preserve"> </v>
      </c>
      <c r="DR300" s="115" t="str">
        <f>_xlfn.XLOOKUP(ППД5[[#This Row],[№]],Юрист[№ кв],Юрист[МОП],"",0,-1)</f>
        <v/>
      </c>
      <c r="DS300" s="333" t="s">
        <v>2892</v>
      </c>
      <c r="DT300" s="333" t="s">
        <v>2893</v>
      </c>
      <c r="DU300" s="333">
        <v>33.299999999999997</v>
      </c>
      <c r="DV300" s="111"/>
    </row>
    <row r="301" spans="1:126" hidden="1" x14ac:dyDescent="0.25">
      <c r="A301" s="112">
        <v>299</v>
      </c>
      <c r="B301" s="111" t="s">
        <v>3</v>
      </c>
      <c r="C301" s="111">
        <v>12</v>
      </c>
      <c r="D301" s="338">
        <v>1</v>
      </c>
      <c r="E301" s="111">
        <v>2</v>
      </c>
      <c r="F301" s="105">
        <v>17.63</v>
      </c>
      <c r="G301" s="105">
        <v>13.69</v>
      </c>
      <c r="H301" s="105"/>
      <c r="I301" s="94">
        <f>SUM(ППД5[[#This Row],[Комната 1]:[Комната 3]])</f>
        <v>31.32</v>
      </c>
      <c r="J301" s="105">
        <v>20.05</v>
      </c>
      <c r="K301" s="105">
        <v>3.54</v>
      </c>
      <c r="L301" s="105">
        <v>2.93</v>
      </c>
      <c r="M301" s="105"/>
      <c r="N301" s="105">
        <v>12.19</v>
      </c>
      <c r="O301" s="105">
        <v>4.6500000000000004</v>
      </c>
      <c r="P301" s="105">
        <v>2.68</v>
      </c>
      <c r="Q301" s="105"/>
      <c r="R301" s="105">
        <f>SUM(ППД5[[#This Row],[Лоджия 1]:[Лоджия 3]])</f>
        <v>7.33</v>
      </c>
      <c r="S301" s="8">
        <f>ROUND(SUM(ППД5[[#This Row],[Площадь по проекту жилая]:[Лоджия 3]]),2)</f>
        <v>77.36</v>
      </c>
      <c r="T301" s="8">
        <f>ROUND(ППД5[[#This Row],[Площадь по проекту(общая)]]-ППД5[[#This Row],[Летние]],2)</f>
        <v>70.03</v>
      </c>
      <c r="U301" s="91">
        <f>ROUND(ППД5[[#This Row],[Площадь по проекту(общая)]]-(SUM(ППД5[[#This Row],[Лоджия 1]:[Лоджия 3]])/2),2)</f>
        <v>73.7</v>
      </c>
      <c r="V301" s="91">
        <f>IF(ППД5[[#This Row],[Статус]]="продажа",ППД5[[#This Row],[Расчетная проектная площадь]],ППД5[[#This Row],[Расчетная ТП площадь]])</f>
        <v>73.7</v>
      </c>
      <c r="W301" s="91">
        <v>17.600000000000001</v>
      </c>
      <c r="X301" s="91">
        <v>13.7</v>
      </c>
      <c r="Y301" s="91"/>
      <c r="Z301" s="91">
        <f>SUM(ППД5[[#This Row],[ТП Комната 1]:[ТП Комната 3]])</f>
        <v>31.3</v>
      </c>
      <c r="AA301" s="91">
        <v>19.899999999999999</v>
      </c>
      <c r="AB301" s="91">
        <v>3.5</v>
      </c>
      <c r="AC301" s="91">
        <v>2.9</v>
      </c>
      <c r="AD301" s="91"/>
      <c r="AE301" s="91">
        <v>12.1</v>
      </c>
      <c r="AF301" s="91">
        <v>1.35</v>
      </c>
      <c r="AG301" s="91">
        <v>2.35</v>
      </c>
      <c r="AH301" s="91"/>
      <c r="AI301" s="91">
        <f>SUM(ППД5[[#This Row],[ТП Лоджия 1]:[ТП Лоджия 3]])</f>
        <v>3.7</v>
      </c>
      <c r="AJ301" s="95">
        <v>7.4</v>
      </c>
      <c r="AK301" s="91">
        <f>SUM(ППД5[[#This Row],[Площадь по ТП жилая]:[ТП Лоджия 3]])-ППД5[[#This Row],[ТП Летние]]+ППД5[[#This Row],[кроме того прочая
(без коэффициента)]]</f>
        <v>77.099999999999994</v>
      </c>
      <c r="AL301" s="95">
        <f>ППД5[[#This Row],[ТП Площадь без летних]]+(ППД5[[#This Row],[ТП Летние]])</f>
        <v>73.399999999999991</v>
      </c>
      <c r="AM301" s="91">
        <f>ППД5[[#This Row],[ТП общая S]]-ППД5[[#This Row],[кроме того прочая
(без коэффициента)]]</f>
        <v>69.699999999999989</v>
      </c>
      <c r="AN301" s="95">
        <f>SUM(ППД5[[#This Row],[ТП Кухня]:[ТП Коридор]])</f>
        <v>38.4</v>
      </c>
      <c r="AO301" s="91">
        <f>ППД5[[#This Row],[Расчетная ТП площадь]]-ППД5[[#This Row],[Расчетная проектная площадь]]</f>
        <v>-0.30000000000001137</v>
      </c>
      <c r="AP301" s="335">
        <f>ППД5[[#This Row],[Расчетная ТП площадь]]/ППД5[[#This Row],[Расчетная проектная площадь]]-1</f>
        <v>-4.070556309362483E-3</v>
      </c>
      <c r="AQ301" s="91">
        <f>ППД5[[#This Row],[% расхождения]]*ППД5[[#This Row],[Стоимость до скидки]]</f>
        <v>-26056.03799186019</v>
      </c>
      <c r="AR301" s="91">
        <f>VLOOKUP(ППД5[[#This Row],[№]],наценкад5[],COLUMN(наценкад5[[#This Row],[Цена м2 с учетом всех K]]),0)</f>
        <v>80307.864000000001</v>
      </c>
      <c r="AS301" s="8">
        <f>ППД5[[#This Row],[м2 после К]]*5%</f>
        <v>4015.3932000000004</v>
      </c>
      <c r="AT301" s="8">
        <f>ППД5[[#This Row],[м2 после К]]+ППД5[[#This Row],[Повышение 16.08.23 - 5%]]</f>
        <v>84323.257200000007</v>
      </c>
      <c r="AU301" s="93">
        <f>ППД5[[#This Row],[Фикс 16.08.23]]*3%</f>
        <v>2529.6977160000001</v>
      </c>
      <c r="AV301" s="93">
        <f>ППД5[[#This Row],[Фикс 16.08.23]]+ППД5[[#This Row],[Повышение 29.08.23 - 3%]]</f>
        <v>86852.954916000002</v>
      </c>
      <c r="AW301" s="93"/>
      <c r="AX301" s="93">
        <f>ППД5[[#This Row],[Фикс 29.08.23]]+ППД5[[#This Row],[Повышение 06.09.23 СТ и 1К]]</f>
        <v>86852.954916000002</v>
      </c>
      <c r="AY301" s="93"/>
      <c r="AZ301" s="93">
        <f>ППД5[[#This Row],[Повышение 23.10.23  В4 ]]+ППД5[[#This Row],[Фикс 06.09.23]]</f>
        <v>86852.954916000002</v>
      </c>
      <c r="BA301" s="93"/>
      <c r="BB301" s="93">
        <f>ППД5[[#This Row],[Повышение 8.11.23 1К 5%]]+ППД5[[#This Row],[Фикс 23.10.23]]</f>
        <v>86852.954916000002</v>
      </c>
      <c r="BC301" s="93"/>
      <c r="BD301" s="93">
        <f>ППД5[[#This Row],[Корректировка 24.11.23 - 1К В5, 2К А2, №233]]+ППД5[[#This Row],[Фикс 8.11.23]]</f>
        <v>86852.954916000002</v>
      </c>
      <c r="BE301" s="93"/>
      <c r="BF301" s="93">
        <f>ППД5[[#This Row],[Наценка за отделку 29.12.23 1%]]+ППД5[[#This Row],[Фикс 8.11.24]]</f>
        <v>86852.954916000002</v>
      </c>
      <c r="BG301" s="93"/>
      <c r="BH301" s="93">
        <f>ППД5[[#This Row],[Фикс 29.12.23]]+ППД5[[#This Row],[Наценка 10.01.24 5%]]</f>
        <v>86852.954916000002</v>
      </c>
      <c r="BI301" s="93"/>
      <c r="BJ301" s="93">
        <f>ППД5[[#This Row],[Наценка 26.02.24 1 Этаж]]+ППД5[[#This Row],[Фикс 10.01.24]]</f>
        <v>86852.954916000002</v>
      </c>
      <c r="BK301" s="93"/>
      <c r="BL301" s="93">
        <f>ППД5[[#This Row],[Фикс 26.02.24]]+ППД5[[#This Row],[Наценка 06.03.24
СТ, 1К - 3%
2К, 3К - 2%]]</f>
        <v>86852.954916000002</v>
      </c>
      <c r="BM301" s="93"/>
      <c r="BN301" s="93">
        <f>ППД5[[#This Row],[Фикс 06.03.24]]+ППД5[[#This Row],[Наценка Г2+500]]</f>
        <v>86852.954916000002</v>
      </c>
      <c r="BO301" s="93"/>
      <c r="BP301" s="93">
        <f>ППД5[[#This Row],[Фикс 13.03.25]]+ППД5[[#This Row],[Наценка 20.03.24
2К, 3К - 2%]]</f>
        <v>86852.954916000002</v>
      </c>
      <c r="BQ301" s="93"/>
      <c r="BR301" s="93">
        <f>ППД5[[#This Row],[Фикс 20.03.24]]+ППД5[[#This Row],[Наценка 08.04.24 
2К: В3 - 150
3К: Г7 +1000]]</f>
        <v>86852.954916000002</v>
      </c>
      <c r="BS301" s="93"/>
      <c r="BT301" s="93">
        <f>ППД5[[#This Row],[Фикс 08.04.24]]+ППД5[[#This Row],[Наценка 16.05.24 1%
А4,А6,Б3,Б6,Б7,В2,В3,В5,В6,Г1,Г3-Г5]]</f>
        <v>86852.954916000002</v>
      </c>
      <c r="BU301" s="93"/>
      <c r="BV301" s="93">
        <f>ППД5[[#This Row],[Фикс 16.05.24]]+ППД5[[#This Row],[Наценка 24.05.24
1% - Б4, Б5,Г2,Г6
2% - А1,А3,А5,Б2,Г7]]</f>
        <v>86852.954916000002</v>
      </c>
      <c r="BW301" s="93"/>
      <c r="BX301" s="93">
        <f>ППД5[[#This Row],[Наценка 06.06.24
0К: В2,Г3 +0,5%
1К: А7, Б5/4, Г6 +0,5%
3К: В6 +0,5%
1К: А3 +1%]]+ППД5[[#This Row],[Фикс 24.05.24]]</f>
        <v>86852.954916000002</v>
      </c>
      <c r="BY301" s="93"/>
      <c r="BZ301" s="93">
        <f>ППД5[[#This Row],[Фикс 06.06.24]]+ППД5[[#This Row],[13.06.2024
3К - 2%]]</f>
        <v>86852.954916000002</v>
      </c>
      <c r="CA301" s="93"/>
      <c r="CB301" s="93">
        <f>ППД5[[#This Row],[02.07.2024: Г3 А1 А3 Б5 Б7 Г2 Г6 Б3 Б4 В3 Г7 2,5% ост 0,5-1,5%]]+ППД5[[#This Row],[Фикс 13.06.24]]</f>
        <v>86852.954916000002</v>
      </c>
      <c r="CC301" s="93"/>
      <c r="CD301" s="93">
        <f>ППД5[[#This Row],[Фикс 02.07.24]]+ППД5[[#This Row],[04.09.2024 +500
0К - Б2; 1К - А3;
2К - А6, Б4, В3, Г5]]</f>
        <v>86852.954916000002</v>
      </c>
      <c r="CE301" s="93"/>
      <c r="CF301" s="93">
        <f>ППД5[[#This Row],[Наценка 16.09.2024
1К: А1,В7,Г6/7,Г8 - 2%
2К: А4,А5,А6,Б1,Б6,Б3/4,В3,В4,Г4,Г5 - 4%
3К: 4%]]+ППД5[[#This Row],[Фикс 04.09.24]]</f>
        <v>86852.954916000002</v>
      </c>
      <c r="CG301" s="93"/>
      <c r="CH301" s="93">
        <f>ППД5[[#This Row],[Фикс 16.09.2024]]+ППД5[[#This Row],[Наценка 01.11.24
СТ: 4%
1К: 34-40м 5%; 40м+ 8%; МГН 1%
2К: 55-70м 6%; 70-73м 7%; 73-76м 8% 
3К: 5%]]</f>
        <v>86852.954916000002</v>
      </c>
      <c r="CI301" s="93"/>
      <c r="CJ301" s="93">
        <f>ППД5[[#This Row],[Наценка 06.11 13%]]+ППД5[[#This Row],[Фикс 01.11.24]]</f>
        <v>86852.954916000002</v>
      </c>
      <c r="CK301" s="93"/>
      <c r="CL301" s="93">
        <f>ППД5[[#This Row],[Фикс 06.11.24]]+ППД5[[#This Row],[Наценка 18.12.24 распределение КВ]]</f>
        <v>86852.954916000002</v>
      </c>
      <c r="CM301" s="93"/>
      <c r="CN301" s="93">
        <f>ППД5[[#This Row],[Фикс 18.12.24]]+ППД5[[#This Row],[Наценка 10.02.25 +1%
1К: А3
2К: Б3, В3]]</f>
        <v>86852.954916000002</v>
      </c>
      <c r="CO301" s="93">
        <f>ROUND(ППД5[[#This Row],[Фикс 10.02.25]],2)</f>
        <v>86852.95</v>
      </c>
      <c r="CP30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6401100</v>
      </c>
      <c r="CQ301" s="93">
        <f>ROUNDUP(ППД5[[#This Row],[Стоимость до скидки]]+ППД5[[#This Row],[Сумма доплаты]],-2)</f>
        <v>6375100</v>
      </c>
      <c r="CR301" s="68"/>
      <c r="CS301" s="90">
        <v>0.02</v>
      </c>
      <c r="CT301" s="68">
        <f>ППД5[[#This Row],[Стоимость до скидки]]*ППД5[[#This Row],[Скидка %]]+ППД5[[#This Row],[Скидка фиксированная]]</f>
        <v>128022</v>
      </c>
      <c r="CU301" s="3">
        <f>ППД5[[#This Row],[Стоимость ОН без отделки со скидкой]]/ППД5[[#This Row],[Расчетная проектная площадь]]</f>
        <v>85116.390773405699</v>
      </c>
      <c r="CV301" s="3">
        <f>ROUND(ППД5[[#This Row],[Стоимость до скидки]]-ППД5[[#This Row],[Итоговая сумма скидки]],2)</f>
        <v>6273078</v>
      </c>
      <c r="CW30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01" s="197"/>
      <c r="CY301" s="332">
        <f>ППД5[[#This Row],[Расхождение]]/ППД5[[#This Row],[Расчетная проектная площадь]]</f>
        <v>-4.0705563093624336E-3</v>
      </c>
      <c r="CZ30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-0.30999999999999872</v>
      </c>
      <c r="DA301" s="3">
        <f>ППД5[[#This Row],[Цена м2 без отделки со скидкой]]+ППД5[[#This Row],[Стоимость отделки]]</f>
        <v>85116.390773405699</v>
      </c>
      <c r="DB301" s="3">
        <f>ППД5[[#This Row],[Стоимость квартиры с отделкой]]-ППД5[[#This Row],[Стоимость ОН без отделки со скидкой]]</f>
        <v>0</v>
      </c>
      <c r="DC301" s="3">
        <f>ППД5[[#This Row],[Цена м2 с отделкой]]*ППД5[[#This Row],[Расчетная проектная площадь]]</f>
        <v>6273078</v>
      </c>
      <c r="DD301" s="3" t="s">
        <v>158</v>
      </c>
      <c r="DE301" s="111" t="s">
        <v>757</v>
      </c>
      <c r="DF301" s="199" t="s">
        <v>172</v>
      </c>
      <c r="DG301" s="245" t="s">
        <v>172</v>
      </c>
      <c r="DH301" s="100" t="b">
        <f>EXACT(ППД5[[#This Row],[Статусы CRM]],ППД5[[#This Row],[Статус]])</f>
        <v>1</v>
      </c>
      <c r="DI301" s="213" t="s">
        <v>473</v>
      </c>
      <c r="DJ301" s="204"/>
      <c r="DK301" s="111" t="s">
        <v>763</v>
      </c>
      <c r="DL301" s="216" t="s">
        <v>12</v>
      </c>
      <c r="DM301" s="201" t="b">
        <f>ППД5[[#This Row],[Отделка CRM]]=ППД5[[#This Row],[Отделка]]</f>
        <v>1</v>
      </c>
      <c r="DN301" s="203">
        <v>6273078</v>
      </c>
      <c r="DO30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01" s="207" t="b">
        <f>IF(AND(ППД5[[#This Row],[Статус]]="свободно",ППД5[[#This Row],[Итоговая сумма скидки]]&lt;&gt;0),FALSE,TRUE)</f>
        <v>1</v>
      </c>
      <c r="DQ301" s="240">
        <f>_xlfn.XLOOKUP(ППД5[[#This Row],[№]],Юрист[№ кв],Юрист[Дата подачи на регистрацию]," ",0,-1)</f>
        <v>45269</v>
      </c>
      <c r="DR301" s="115" t="str">
        <f>_xlfn.XLOOKUP(ППД5[[#This Row],[№]],Юрист[№ кв],Юрист[МОП],"",0,-1)</f>
        <v>Дик</v>
      </c>
      <c r="DS301" s="333" t="s">
        <v>2894</v>
      </c>
      <c r="DT301" s="333" t="s">
        <v>2895</v>
      </c>
      <c r="DU301" s="333">
        <v>69.7</v>
      </c>
      <c r="DV301" s="111"/>
    </row>
    <row r="302" spans="1:126" hidden="1" x14ac:dyDescent="0.25">
      <c r="A302" s="112">
        <v>300</v>
      </c>
      <c r="B302" s="111" t="s">
        <v>3</v>
      </c>
      <c r="C302" s="111">
        <v>12</v>
      </c>
      <c r="D302" s="111">
        <v>2</v>
      </c>
      <c r="E302" s="111">
        <v>0</v>
      </c>
      <c r="F302" s="105">
        <v>7.18</v>
      </c>
      <c r="G302" s="105"/>
      <c r="H302" s="105"/>
      <c r="I302" s="94">
        <f>SUM(ППД5[[#This Row],[Комната 1]:[Комната 3]])</f>
        <v>7.18</v>
      </c>
      <c r="J302" s="105">
        <v>5.17</v>
      </c>
      <c r="K302" s="105">
        <v>3.72</v>
      </c>
      <c r="L302" s="105"/>
      <c r="M302" s="105"/>
      <c r="N302" s="105">
        <v>6.97</v>
      </c>
      <c r="O302" s="105">
        <v>2.97</v>
      </c>
      <c r="P302" s="105"/>
      <c r="Q302" s="105"/>
      <c r="R302" s="105">
        <f>SUM(ППД5[[#This Row],[Лоджия 1]:[Лоджия 3]])</f>
        <v>2.97</v>
      </c>
      <c r="S302" s="8">
        <f>ROUND(SUM(ППД5[[#This Row],[Площадь по проекту жилая]:[Лоджия 3]]),2)</f>
        <v>26.01</v>
      </c>
      <c r="T302" s="8">
        <f>ROUND(ППД5[[#This Row],[Площадь по проекту(общая)]]-ППД5[[#This Row],[Летние]],2)</f>
        <v>23.04</v>
      </c>
      <c r="U302" s="91">
        <f>ROUND(ППД5[[#This Row],[Площадь по проекту(общая)]]-(SUM(ППД5[[#This Row],[Лоджия 1]:[Лоджия 3]])/2),2)</f>
        <v>24.53</v>
      </c>
      <c r="V302" s="91">
        <f>IF(ППД5[[#This Row],[Статус]]="продажа",ППД5[[#This Row],[Расчетная проектная площадь]],ППД5[[#This Row],[Расчетная ТП площадь]])</f>
        <v>24.53</v>
      </c>
      <c r="W302" s="91">
        <v>7.2</v>
      </c>
      <c r="X302" s="91"/>
      <c r="Y302" s="91"/>
      <c r="Z302" s="91">
        <f>SUM(ППД5[[#This Row],[ТП Комната 1]:[ТП Комната 3]])</f>
        <v>7.2</v>
      </c>
      <c r="AA302" s="91">
        <v>5.0999999999999996</v>
      </c>
      <c r="AB302" s="91">
        <v>3.7</v>
      </c>
      <c r="AC302" s="91"/>
      <c r="AD302" s="91"/>
      <c r="AE302" s="91">
        <v>6.9</v>
      </c>
      <c r="AF302" s="91">
        <v>1.45</v>
      </c>
      <c r="AG302" s="91"/>
      <c r="AH302" s="91"/>
      <c r="AI302" s="91">
        <f>SUM(ППД5[[#This Row],[ТП Лоджия 1]:[ТП Лоджия 3]])</f>
        <v>1.45</v>
      </c>
      <c r="AJ302" s="95">
        <v>2.9</v>
      </c>
      <c r="AK302" s="91">
        <f>SUM(ППД5[[#This Row],[Площадь по ТП жилая]:[ТП Лоджия 3]])-ППД5[[#This Row],[ТП Летние]]+ППД5[[#This Row],[кроме того прочая
(без коэффициента)]]</f>
        <v>25.799999999999997</v>
      </c>
      <c r="AL302" s="95">
        <f>ППД5[[#This Row],[ТП Площадь без летних]]+(ППД5[[#This Row],[ТП Летние]])</f>
        <v>24.349999999999998</v>
      </c>
      <c r="AM302" s="91">
        <f>ППД5[[#This Row],[ТП общая S]]-ППД5[[#This Row],[кроме того прочая
(без коэффициента)]]</f>
        <v>22.9</v>
      </c>
      <c r="AN302" s="95">
        <f>SUM(ППД5[[#This Row],[ТП Кухня]:[ТП Коридор]])</f>
        <v>15.700000000000001</v>
      </c>
      <c r="AO302" s="91">
        <f>ППД5[[#This Row],[Расчетная ТП площадь]]-ППД5[[#This Row],[Расчетная проектная площадь]]</f>
        <v>-0.18000000000000327</v>
      </c>
      <c r="AP302" s="335">
        <f>ППД5[[#This Row],[Расчетная ТП площадь]]/ППД5[[#This Row],[Расчетная проектная площадь]]-1</f>
        <v>-7.3379535262945161E-3</v>
      </c>
      <c r="AQ302" s="91">
        <f>ППД5[[#This Row],[% расхождения]]*ППД5[[#This Row],[Стоимость до скидки]]</f>
        <v>-16714.366180187943</v>
      </c>
      <c r="AR302" s="91">
        <f>VLOOKUP(ППД5[[#This Row],[№]],наценкад5[],COLUMN(наценкад5[[#This Row],[Цена м2 с учетом всех K]]),0)</f>
        <v>92857.59</v>
      </c>
      <c r="AS302" s="8"/>
      <c r="AT302" s="8">
        <f>ППД5[[#This Row],[м2 после К]]+ППД5[[#This Row],[Повышение 16.08.23 - 5%]]</f>
        <v>92857.59</v>
      </c>
      <c r="AU302" s="93"/>
      <c r="AV302" s="93">
        <f>ППД5[[#This Row],[Фикс 16.08.23]]+ППД5[[#This Row],[Повышение 29.08.23 - 3%]]</f>
        <v>92857.59</v>
      </c>
      <c r="AW302" s="93"/>
      <c r="AX302" s="93">
        <f>ППД5[[#This Row],[Фикс 29.08.23]]+ППД5[[#This Row],[Повышение 06.09.23 СТ и 1К]]</f>
        <v>92857.59</v>
      </c>
      <c r="AY302" s="93"/>
      <c r="AZ302" s="93">
        <f>ППД5[[#This Row],[Повышение 23.10.23  В4 ]]+ППД5[[#This Row],[Фикс 06.09.23]]</f>
        <v>92857.59</v>
      </c>
      <c r="BA302" s="93"/>
      <c r="BB302" s="93">
        <f>ППД5[[#This Row],[Повышение 8.11.23 1К 5%]]+ППД5[[#This Row],[Фикс 23.10.23]]</f>
        <v>92857.59</v>
      </c>
      <c r="BC302" s="93"/>
      <c r="BD302" s="93">
        <f>ППД5[[#This Row],[Корректировка 24.11.23 - 1К В5, 2К А2, №233]]+ППД5[[#This Row],[Фикс 8.11.23]]</f>
        <v>92857.59</v>
      </c>
      <c r="BE302" s="93"/>
      <c r="BF302" s="93">
        <f>ППД5[[#This Row],[Наценка за отделку 29.12.23 1%]]+ППД5[[#This Row],[Фикс 8.11.24]]</f>
        <v>92857.59</v>
      </c>
      <c r="BG302" s="93"/>
      <c r="BH302" s="93">
        <f>ППД5[[#This Row],[Фикс 29.12.23]]+ППД5[[#This Row],[Наценка 10.01.24 5%]]</f>
        <v>92857.59</v>
      </c>
      <c r="BI302" s="93"/>
      <c r="BJ302" s="93">
        <f>ППД5[[#This Row],[Наценка 26.02.24 1 Этаж]]+ППД5[[#This Row],[Фикс 10.01.24]]</f>
        <v>92857.59</v>
      </c>
      <c r="BK302" s="93"/>
      <c r="BL302" s="93">
        <f>ППД5[[#This Row],[Фикс 26.02.24]]+ППД5[[#This Row],[Наценка 06.03.24
СТ, 1К - 3%
2К, 3К - 2%]]</f>
        <v>92857.59</v>
      </c>
      <c r="BM302" s="93"/>
      <c r="BN302" s="93">
        <f>ППД5[[#This Row],[Фикс 06.03.24]]+ППД5[[#This Row],[Наценка Г2+500]]</f>
        <v>92857.59</v>
      </c>
      <c r="BO302" s="93"/>
      <c r="BP302" s="93">
        <f>ППД5[[#This Row],[Фикс 13.03.25]]+ППД5[[#This Row],[Наценка 20.03.24
2К, 3К - 2%]]</f>
        <v>92857.59</v>
      </c>
      <c r="BQ302" s="93"/>
      <c r="BR302" s="93">
        <f>ППД5[[#This Row],[Фикс 20.03.24]]+ППД5[[#This Row],[Наценка 08.04.24 
2К: В3 - 150
3К: Г7 +1000]]</f>
        <v>92857.59</v>
      </c>
      <c r="BS302" s="93"/>
      <c r="BT302" s="93">
        <f>ППД5[[#This Row],[Фикс 08.04.24]]+ППД5[[#This Row],[Наценка 16.05.24 1%
А4,А6,Б3,Б6,Б7,В2,В3,В5,В6,Г1,Г3-Г5]]</f>
        <v>92857.59</v>
      </c>
      <c r="BU302" s="93"/>
      <c r="BV302" s="93">
        <f>ППД5[[#This Row],[Фикс 16.05.24]]+ППД5[[#This Row],[Наценка 24.05.24
1% - Б4, Б5,Г2,Г6
2% - А1,А3,А5,Б2,Г7]]</f>
        <v>92857.59</v>
      </c>
      <c r="BW302" s="93"/>
      <c r="BX302" s="93">
        <f>ППД5[[#This Row],[Наценка 06.06.24
0К: В2,Г3 +0,5%
1К: А7, Б5/4, Г6 +0,5%
3К: В6 +0,5%
1К: А3 +1%]]+ППД5[[#This Row],[Фикс 24.05.24]]</f>
        <v>92857.59</v>
      </c>
      <c r="BY302" s="93"/>
      <c r="BZ302" s="93">
        <f>ППД5[[#This Row],[Фикс 06.06.24]]+ППД5[[#This Row],[13.06.2024
3К - 2%]]</f>
        <v>92857.59</v>
      </c>
      <c r="CA302" s="93"/>
      <c r="CB302" s="93">
        <f>ППД5[[#This Row],[02.07.2024: Г3 А1 А3 Б5 Б7 Г2 Г6 Б3 Б4 В3 Г7 2,5% ост 0,5-1,5%]]+ППД5[[#This Row],[Фикс 13.06.24]]</f>
        <v>92857.59</v>
      </c>
      <c r="CC302" s="93"/>
      <c r="CD302" s="93">
        <f>ППД5[[#This Row],[Фикс 02.07.24]]+ППД5[[#This Row],[04.09.2024 +500
0К - Б2; 1К - А3;
2К - А6, Б4, В3, Г5]]</f>
        <v>92857.59</v>
      </c>
      <c r="CE302" s="93"/>
      <c r="CF302" s="93">
        <f>ППД5[[#This Row],[Наценка 16.09.2024
1К: А1,В7,Г6/7,Г8 - 2%
2К: А4,А5,А6,Б1,Б6,Б3/4,В3,В4,Г4,Г5 - 4%
3К: 4%]]+ППД5[[#This Row],[Фикс 04.09.24]]</f>
        <v>92857.59</v>
      </c>
      <c r="CG302" s="93"/>
      <c r="CH302" s="93">
        <f>ППД5[[#This Row],[Фикс 16.09.2024]]+ППД5[[#This Row],[Наценка 01.11.24
СТ: 4%
1К: 34-40м 5%; 40м+ 8%; МГН 1%
2К: 55-70м 6%; 70-73м 7%; 73-76м 8% 
3К: 5%]]</f>
        <v>92857.59</v>
      </c>
      <c r="CI302" s="93"/>
      <c r="CJ302" s="93">
        <f>ППД5[[#This Row],[Наценка 06.11 13%]]+ППД5[[#This Row],[Фикс 01.11.24]]</f>
        <v>92857.59</v>
      </c>
      <c r="CK302" s="93"/>
      <c r="CL302" s="93">
        <f>ППД5[[#This Row],[Фикс 06.11.24]]+ППД5[[#This Row],[Наценка 18.12.24 распределение КВ]]</f>
        <v>92857.59</v>
      </c>
      <c r="CM302" s="93"/>
      <c r="CN302" s="93">
        <f>ППД5[[#This Row],[Фикс 18.12.24]]+ППД5[[#This Row],[Наценка 10.02.25 +1%
1К: А3
2К: Б3, В3]]</f>
        <v>92857.59</v>
      </c>
      <c r="CO302" s="93">
        <f>ROUND(ППД5[[#This Row],[Фикс 10.02.25]],2)</f>
        <v>92857.59</v>
      </c>
      <c r="CP30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2277796.6800000002</v>
      </c>
      <c r="CQ302" s="93">
        <f>ROUNDUP(ППД5[[#This Row],[Стоимость до скидки]]+ППД5[[#This Row],[Сумма доплаты]],-2)</f>
        <v>2261100</v>
      </c>
      <c r="CR302" s="68"/>
      <c r="CS302" s="90"/>
      <c r="CT302" s="68">
        <f>ППД5[[#This Row],[Стоимость до скидки]]*ППД5[[#This Row],[Скидка %]]+ППД5[[#This Row],[Скидка фиксированная]]</f>
        <v>0</v>
      </c>
      <c r="CU302" s="3">
        <f>ППД5[[#This Row],[Стоимость ОН без отделки со скидкой]]/ППД5[[#This Row],[Расчетная проектная площадь]]</f>
        <v>92857.589889930707</v>
      </c>
      <c r="CV302" s="3">
        <f>ROUND(ППД5[[#This Row],[Стоимость до скидки]]-ППД5[[#This Row],[Итоговая сумма скидки]],2)</f>
        <v>2277796.6800000002</v>
      </c>
      <c r="CW30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02" s="197"/>
      <c r="CY302" s="332">
        <f>ППД5[[#This Row],[Расхождение]]/ППД5[[#This Row],[Расчетная проектная площадь]]</f>
        <v>-7.3379535262944667E-3</v>
      </c>
      <c r="CZ30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-0.16000000000000014</v>
      </c>
      <c r="DA302" s="3">
        <f>ППД5[[#This Row],[Цена м2 без отделки со скидкой]]+ППД5[[#This Row],[Стоимость отделки]]</f>
        <v>92857.589889930707</v>
      </c>
      <c r="DB302" s="3">
        <f>ППД5[[#This Row],[Стоимость квартиры с отделкой]]-ППД5[[#This Row],[Стоимость ОН без отделки со скидкой]]</f>
        <v>0</v>
      </c>
      <c r="DC302" s="3">
        <f>ППД5[[#This Row],[Цена м2 с отделкой]]*ППД5[[#This Row],[Расчетная проектная площадь]]</f>
        <v>2277796.6800000002</v>
      </c>
      <c r="DD302" s="3"/>
      <c r="DF302" s="199" t="s">
        <v>172</v>
      </c>
      <c r="DG302" s="245" t="s">
        <v>172</v>
      </c>
      <c r="DH302" s="100" t="b">
        <f>EXACT(ППД5[[#This Row],[Статусы CRM]],ППД5[[#This Row],[Статус]])</f>
        <v>1</v>
      </c>
      <c r="DI302" s="213" t="s">
        <v>474</v>
      </c>
      <c r="DJ302" s="204"/>
      <c r="DK302" s="111" t="s">
        <v>76</v>
      </c>
      <c r="DL302" s="216" t="s">
        <v>12</v>
      </c>
      <c r="DM302" s="201" t="b">
        <f>ППД5[[#This Row],[Отделка CRM]]=ППД5[[#This Row],[Отделка]]</f>
        <v>1</v>
      </c>
      <c r="DN302" s="203">
        <v>2277796.6800000002</v>
      </c>
      <c r="DO30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02" s="207" t="b">
        <f>IF(AND(ППД5[[#This Row],[Статус]]="свободно",ППД5[[#This Row],[Итоговая сумма скидки]]&lt;&gt;0),FALSE,TRUE)</f>
        <v>1</v>
      </c>
      <c r="DQ302" s="240">
        <f>_xlfn.XLOOKUP(ППД5[[#This Row],[№]],Юрист[№ кв],Юрист[Дата подачи на регистрацию]," ",0,-1)</f>
        <v>45194</v>
      </c>
      <c r="DR302" s="115" t="str">
        <f>_xlfn.XLOOKUP(ППД5[[#This Row],[№]],Юрист[№ кв],Юрист[МОП],"",0,-1)</f>
        <v>Калачева</v>
      </c>
      <c r="DS302" s="333" t="s">
        <v>2896</v>
      </c>
      <c r="DT302" s="333" t="s">
        <v>2897</v>
      </c>
      <c r="DU302" s="333">
        <v>22.9</v>
      </c>
      <c r="DV302" s="111"/>
    </row>
    <row r="303" spans="1:126" hidden="1" x14ac:dyDescent="0.25">
      <c r="A303" s="112">
        <v>301</v>
      </c>
      <c r="B303" s="111" t="s">
        <v>3</v>
      </c>
      <c r="C303" s="111">
        <v>12</v>
      </c>
      <c r="D303" s="111">
        <v>3</v>
      </c>
      <c r="E303" s="111">
        <v>2</v>
      </c>
      <c r="F303" s="105">
        <v>13.69</v>
      </c>
      <c r="G303" s="105">
        <v>10.16</v>
      </c>
      <c r="H303" s="105"/>
      <c r="I303" s="94">
        <f>SUM(ППД5[[#This Row],[Комната 1]:[Комната 3]])</f>
        <v>23.85</v>
      </c>
      <c r="J303" s="105">
        <v>18.71</v>
      </c>
      <c r="K303" s="105">
        <v>3.49</v>
      </c>
      <c r="L303" s="105">
        <v>2.11</v>
      </c>
      <c r="M303" s="105"/>
      <c r="N303" s="105">
        <v>7.09</v>
      </c>
      <c r="O303" s="105">
        <v>2.65</v>
      </c>
      <c r="P303" s="105"/>
      <c r="Q303" s="105"/>
      <c r="R303" s="105">
        <f>SUM(ППД5[[#This Row],[Лоджия 1]:[Лоджия 3]])</f>
        <v>2.65</v>
      </c>
      <c r="S303" s="8">
        <f>ROUND(SUM(ППД5[[#This Row],[Площадь по проекту жилая]:[Лоджия 3]]),2)</f>
        <v>57.9</v>
      </c>
      <c r="T303" s="8">
        <f>ROUND(ППД5[[#This Row],[Площадь по проекту(общая)]]-ППД5[[#This Row],[Летние]],2)</f>
        <v>55.25</v>
      </c>
      <c r="U303" s="91">
        <f>ROUND(ППД5[[#This Row],[Площадь по проекту(общая)]]-(SUM(ППД5[[#This Row],[Лоджия 1]:[Лоджия 3]])/2),2)</f>
        <v>56.58</v>
      </c>
      <c r="V303" s="91">
        <f>IF(ППД5[[#This Row],[Статус]]="продажа",ППД5[[#This Row],[Расчетная проектная площадь]],ППД5[[#This Row],[Расчетная ТП площадь]])</f>
        <v>56.58</v>
      </c>
      <c r="W303" s="91">
        <v>13.5</v>
      </c>
      <c r="X303" s="91">
        <v>10</v>
      </c>
      <c r="Y303" s="91"/>
      <c r="Z303" s="91">
        <f>SUM(ППД5[[#This Row],[ТП Комната 1]:[ТП Комната 3]])</f>
        <v>23.5</v>
      </c>
      <c r="AA303" s="91">
        <v>18.7</v>
      </c>
      <c r="AB303" s="91">
        <v>3.6</v>
      </c>
      <c r="AC303" s="91">
        <v>2.1</v>
      </c>
      <c r="AD303" s="91"/>
      <c r="AE303" s="91">
        <v>7.1</v>
      </c>
      <c r="AF303" s="91">
        <v>1.3</v>
      </c>
      <c r="AG303" s="91"/>
      <c r="AH303" s="91"/>
      <c r="AI303" s="91">
        <f>SUM(ППД5[[#This Row],[ТП Лоджия 1]:[ТП Лоджия 3]])</f>
        <v>1.3</v>
      </c>
      <c r="AJ303" s="95">
        <v>2.6</v>
      </c>
      <c r="AK303" s="91">
        <f>SUM(ППД5[[#This Row],[Площадь по ТП жилая]:[ТП Лоджия 3]])-ППД5[[#This Row],[ТП Летние]]+ППД5[[#This Row],[кроме того прочая
(без коэффициента)]]</f>
        <v>57.600000000000009</v>
      </c>
      <c r="AL303" s="95">
        <f>ППД5[[#This Row],[ТП Площадь без летних]]+(ППД5[[#This Row],[ТП Летние]])</f>
        <v>56.300000000000004</v>
      </c>
      <c r="AM303" s="91">
        <f>ППД5[[#This Row],[ТП общая S]]-ППД5[[#This Row],[кроме того прочая
(без коэффициента)]]</f>
        <v>55.000000000000007</v>
      </c>
      <c r="AN303" s="95">
        <f>SUM(ППД5[[#This Row],[ТП Кухня]:[ТП Коридор]])</f>
        <v>31.5</v>
      </c>
      <c r="AO303" s="91">
        <f>ППД5[[#This Row],[Расчетная ТП площадь]]-ППД5[[#This Row],[Расчетная проектная площадь]]</f>
        <v>-0.27999999999999403</v>
      </c>
      <c r="AP303" s="335">
        <f>ППД5[[#This Row],[Расчетная ТП площадь]]/ППД5[[#This Row],[Расчетная проектная площадь]]-1</f>
        <v>-4.9487451396251769E-3</v>
      </c>
      <c r="AQ303" s="91">
        <f>ППД5[[#This Row],[% расхождения]]*ППД5[[#This Row],[Стоимость до скидки]]</f>
        <v>-35174.690703427834</v>
      </c>
      <c r="AR303" s="91">
        <f>VLOOKUP(ППД5[[#This Row],[№]],наценкад5[],COLUMN(наценкад5[[#This Row],[Цена м2 с учетом всех K]]),0)</f>
        <v>81080.055000000008</v>
      </c>
      <c r="AS303" s="8">
        <f>ППД5[[#This Row],[м2 после К]]*5%</f>
        <v>4054.0027500000006</v>
      </c>
      <c r="AT303" s="8">
        <f>ППД5[[#This Row],[м2 после К]]+ППД5[[#This Row],[Повышение 16.08.23 - 5%]]</f>
        <v>85134.057750000007</v>
      </c>
      <c r="AU303" s="93">
        <f>ППД5[[#This Row],[Фикс 16.08.23]]*3%</f>
        <v>2554.0217325000003</v>
      </c>
      <c r="AV303" s="93">
        <f>ППД5[[#This Row],[Фикс 16.08.23]]+ППД5[[#This Row],[Повышение 29.08.23 - 3%]]</f>
        <v>87688.079482500005</v>
      </c>
      <c r="AW303" s="93"/>
      <c r="AX303" s="93">
        <f>ППД5[[#This Row],[Фикс 29.08.23]]+ППД5[[#This Row],[Повышение 06.09.23 СТ и 1К]]</f>
        <v>87688.079482500005</v>
      </c>
      <c r="AY303" s="93"/>
      <c r="AZ303" s="93">
        <f>ППД5[[#This Row],[Повышение 23.10.23  В4 ]]+ППД5[[#This Row],[Фикс 06.09.23]]</f>
        <v>87688.079482500005</v>
      </c>
      <c r="BA303" s="93"/>
      <c r="BB303" s="93">
        <f>ППД5[[#This Row],[Повышение 8.11.23 1К 5%]]+ППД5[[#This Row],[Фикс 23.10.23]]</f>
        <v>87688.079482500005</v>
      </c>
      <c r="BC303" s="93"/>
      <c r="BD303" s="93">
        <f>ППД5[[#This Row],[Корректировка 24.11.23 - 1К В5, 2К А2, №233]]+ППД5[[#This Row],[Фикс 8.11.23]]</f>
        <v>87688.079482500005</v>
      </c>
      <c r="BE303" s="93">
        <f>ППД5[[#This Row],[Фикс 8.11.24]]*1%</f>
        <v>876.88079482500007</v>
      </c>
      <c r="BF303" s="93">
        <f>ППД5[[#This Row],[Наценка за отделку 29.12.23 1%]]+ППД5[[#This Row],[Фикс 8.11.24]]</f>
        <v>88564.960277325008</v>
      </c>
      <c r="BG303" s="93">
        <f>ППД5[[#This Row],[Фикс 29.12.23]]*5%</f>
        <v>4428.2480138662504</v>
      </c>
      <c r="BH303" s="93">
        <f>ППД5[[#This Row],[Фикс 29.12.23]]+ППД5[[#This Row],[Наценка 10.01.24 5%]]</f>
        <v>92993.208291191258</v>
      </c>
      <c r="BI303" s="93"/>
      <c r="BJ303" s="93">
        <f>ППД5[[#This Row],[Наценка 26.02.24 1 Этаж]]+ППД5[[#This Row],[Фикс 10.01.24]]</f>
        <v>92993.208291191258</v>
      </c>
      <c r="BK303" s="93">
        <f>ППД5[[#This Row],[Фикс 26.02.24]]*2%</f>
        <v>1859.8641658238253</v>
      </c>
      <c r="BL303" s="93">
        <f>ППД5[[#This Row],[Фикс 26.02.24]]+ППД5[[#This Row],[Наценка 06.03.24
СТ, 1К - 3%
2К, 3К - 2%]]</f>
        <v>94853.072457015078</v>
      </c>
      <c r="BM303" s="93"/>
      <c r="BN303" s="93">
        <f>ППД5[[#This Row],[Фикс 06.03.24]]+ППД5[[#This Row],[Наценка Г2+500]]</f>
        <v>94853.072457015078</v>
      </c>
      <c r="BO303" s="93">
        <f>ППД5[[#This Row],[Фикс 13.03.25]]*2%</f>
        <v>1897.0614491403016</v>
      </c>
      <c r="BP303" s="93">
        <f>ППД5[[#This Row],[Фикс 13.03.25]]+ППД5[[#This Row],[Наценка 20.03.24
2К, 3К - 2%]]</f>
        <v>96750.133906155374</v>
      </c>
      <c r="BQ303" s="93">
        <v>150</v>
      </c>
      <c r="BR303" s="93">
        <f>ППД5[[#This Row],[Фикс 20.03.24]]+ППД5[[#This Row],[Наценка 08.04.24 
2К: В3 - 150
3К: Г7 +1000]]</f>
        <v>96900.133906155374</v>
      </c>
      <c r="BS303" s="93">
        <f>ППД5[[#This Row],[Фикс 08.04.24]]*1%</f>
        <v>969.00133906155372</v>
      </c>
      <c r="BT303" s="93">
        <f>ППД5[[#This Row],[Фикс 08.04.24]]+ППД5[[#This Row],[Наценка 16.05.24 1%
А4,А6,Б3,Б6,Б7,В2,В3,В5,В6,Г1,Г3-Г5]]</f>
        <v>97869.135245216923</v>
      </c>
      <c r="BU303" s="93"/>
      <c r="BV303" s="93">
        <f>ППД5[[#This Row],[Фикс 16.05.24]]+ППД5[[#This Row],[Наценка 24.05.24
1% - Б4, Б5,Г2,Г6
2% - А1,А3,А5,Б2,Г7]]</f>
        <v>97869.135245216923</v>
      </c>
      <c r="BW303" s="93"/>
      <c r="BX303" s="93">
        <f>ППД5[[#This Row],[Наценка 06.06.24
0К: В2,Г3 +0,5%
1К: А7, Б5/4, Г6 +0,5%
3К: В6 +0,5%
1К: А3 +1%]]+ППД5[[#This Row],[Фикс 24.05.24]]</f>
        <v>97869.135245216923</v>
      </c>
      <c r="BY303" s="93"/>
      <c r="BZ303" s="93">
        <f>ППД5[[#This Row],[Фикс 06.06.24]]+ППД5[[#This Row],[13.06.2024
3К - 2%]]</f>
        <v>97869.135245216923</v>
      </c>
      <c r="CA303" s="93">
        <f>2.5%*ППД5[[#This Row],[Фикс 13.06.24]]</f>
        <v>2446.7283811304233</v>
      </c>
      <c r="CB303" s="93">
        <f>ППД5[[#This Row],[02.07.2024: Г3 А1 А3 Б5 Б7 Г2 Г6 Б3 Б4 В3 Г7 2,5% ост 0,5-1,5%]]+ППД5[[#This Row],[Фикс 13.06.24]]</f>
        <v>100315.86362634735</v>
      </c>
      <c r="CC303" s="93">
        <v>500</v>
      </c>
      <c r="CD303" s="93">
        <f>ППД5[[#This Row],[Фикс 02.07.24]]+ППД5[[#This Row],[04.09.2024 +500
0К - Б2; 1К - А3;
2К - А6, Б4, В3, Г5]]</f>
        <v>100815.86362634735</v>
      </c>
      <c r="CE303" s="93">
        <f>ППД5[[#This Row],[Фикс 04.09.24]]*4%</f>
        <v>4032.6345450538938</v>
      </c>
      <c r="CF303" s="93">
        <f>ППД5[[#This Row],[Наценка 16.09.2024
1К: А1,В7,Г6/7,Г8 - 2%
2К: А4,А5,А6,Б1,Б6,Б3/4,В3,В4,Г4,Г5 - 4%
3К: 4%]]+ППД5[[#This Row],[Фикс 04.09.24]]</f>
        <v>104848.49817140124</v>
      </c>
      <c r="CG303" s="93">
        <f>ППД5[[#This Row],[Фикс 16.09.2024]]*6%</f>
        <v>6290.9098902840742</v>
      </c>
      <c r="CH303" s="93">
        <f>ППД5[[#This Row],[Фикс 16.09.2024]]+ППД5[[#This Row],[Наценка 01.11.24
СТ: 4%
1К: 34-40м 5%; 40м+ 8%; МГН 1%
2К: 55-70м 6%; 70-73м 7%; 73-76м 8% 
3К: 5%]]</f>
        <v>111139.40806168532</v>
      </c>
      <c r="CI303" s="93">
        <f>ППД5[[#This Row],[Фикс 01.11.24]]*13%</f>
        <v>14448.123048019092</v>
      </c>
      <c r="CJ303" s="93">
        <f>ППД5[[#This Row],[Наценка 06.11 13%]]+ППД5[[#This Row],[Фикс 01.11.24]]</f>
        <v>125587.5311097044</v>
      </c>
      <c r="CK303" s="93">
        <v>35</v>
      </c>
      <c r="CL303" s="93">
        <f>ППД5[[#This Row],[Фикс 06.11.24]]+ППД5[[#This Row],[Наценка 18.12.24 распределение КВ]]</f>
        <v>125622.5311097044</v>
      </c>
      <c r="CM303" s="93"/>
      <c r="CN303" s="93">
        <f>ППД5[[#This Row],[Фикс 18.12.24]]+ППД5[[#This Row],[Наценка 10.02.25 +1%
1К: А3
2К: Б3, В3]]</f>
        <v>125622.5311097044</v>
      </c>
      <c r="CO303" s="93">
        <f>ROUND(ППД5[[#This Row],[Фикс 10.02.25]],2)</f>
        <v>125622.53</v>
      </c>
      <c r="CP30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7107800</v>
      </c>
      <c r="CQ303" s="93">
        <f>ROUNDUP(ППД5[[#This Row],[Стоимость до скидки]]+ППД5[[#This Row],[Сумма доплаты]],-2)</f>
        <v>7072700</v>
      </c>
      <c r="CR303" s="68"/>
      <c r="CS303" s="90">
        <v>0.03</v>
      </c>
      <c r="CT303" s="68">
        <f>ППД5[[#This Row],[Стоимость до скидки]]*ППД5[[#This Row],[Скидка %]]+ППД5[[#This Row],[Скидка фиксированная]]</f>
        <v>213234</v>
      </c>
      <c r="CU303" s="3">
        <f>ППД5[[#This Row],[Стоимость ОН без отделки со скидкой]]/ППД5[[#This Row],[Расчетная проектная площадь]]</f>
        <v>121855.17850830682</v>
      </c>
      <c r="CV303" s="3">
        <f>ROUND(ППД5[[#This Row],[Стоимость до скидки]]-ППД5[[#This Row],[Итоговая сумма скидки]],2)</f>
        <v>6894566</v>
      </c>
      <c r="CW30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303" s="218">
        <v>10000</v>
      </c>
      <c r="CY303" s="332">
        <f>ППД5[[#This Row],[Расхождение]]/ППД5[[#This Row],[Расчетная проектная площадь]]</f>
        <v>-4.9487451396252038E-3</v>
      </c>
      <c r="CZ303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0.10000000000000142</v>
      </c>
      <c r="DA303" s="3">
        <f>ППД5[[#This Row],[Цена м2 без отделки со скидкой]]+ППД5[[#This Row],[Стоимость отделки]]</f>
        <v>131855.17850830682</v>
      </c>
      <c r="DB303" s="3">
        <f>ППД5[[#This Row],[Стоимость квартиры с отделкой]]-ППД5[[#This Row],[Стоимость ОН без отделки со скидкой]]</f>
        <v>565800</v>
      </c>
      <c r="DC303" s="3">
        <f>ППД5[[#This Row],[Цена м2 с отделкой]]*ППД5[[#This Row],[Расчетная проектная площадь]]</f>
        <v>7460366</v>
      </c>
      <c r="DD303" s="3" t="s">
        <v>154</v>
      </c>
      <c r="DE303" s="111" t="s">
        <v>162</v>
      </c>
      <c r="DF303" s="215" t="s">
        <v>172</v>
      </c>
      <c r="DG303" s="245" t="s">
        <v>172</v>
      </c>
      <c r="DH303" s="100" t="b">
        <f>EXACT(ППД5[[#This Row],[Статусы CRM]],ППД5[[#This Row],[Статус]])</f>
        <v>1</v>
      </c>
      <c r="DI303" s="213" t="s">
        <v>475</v>
      </c>
      <c r="DJ303" s="204"/>
      <c r="DK303" s="111" t="s">
        <v>763</v>
      </c>
      <c r="DL303" s="216" t="s">
        <v>780</v>
      </c>
      <c r="DM303" s="201" t="b">
        <f>ППД5[[#This Row],[Отделка CRM]]=ППД5[[#This Row],[Отделка]]</f>
        <v>1</v>
      </c>
      <c r="DN303" s="203">
        <v>7460366</v>
      </c>
      <c r="DO30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03" s="207" t="b">
        <f>IF(AND(ППД5[[#This Row],[Статус]]="свободно",ППД5[[#This Row],[Итоговая сумма скидки]]&lt;&gt;0),FALSE,TRUE)</f>
        <v>1</v>
      </c>
      <c r="DQ303" s="240">
        <f>_xlfn.XLOOKUP(ППД5[[#This Row],[№]],Юрист[№ кв],Юрист[Дата подачи на регистрацию]," ",0,-1)</f>
        <v>45701</v>
      </c>
      <c r="DR303" s="115" t="str">
        <f>_xlfn.XLOOKUP(ППД5[[#This Row],[№]],Юрист[№ кв],Юрист[МОП],"",0,-1)</f>
        <v>Дик</v>
      </c>
      <c r="DS303" s="333" t="s">
        <v>2898</v>
      </c>
      <c r="DT303" s="333" t="s">
        <v>2899</v>
      </c>
      <c r="DU303" s="333">
        <v>55</v>
      </c>
      <c r="DV303" s="111"/>
    </row>
    <row r="304" spans="1:126" hidden="1" x14ac:dyDescent="0.25">
      <c r="A304" s="112">
        <v>302</v>
      </c>
      <c r="B304" s="111" t="s">
        <v>3</v>
      </c>
      <c r="C304" s="111">
        <v>12</v>
      </c>
      <c r="D304" s="111">
        <v>4</v>
      </c>
      <c r="E304" s="111">
        <v>2</v>
      </c>
      <c r="F304" s="105">
        <v>15.45</v>
      </c>
      <c r="G304" s="105">
        <v>10.34</v>
      </c>
      <c r="H304" s="105"/>
      <c r="I304" s="94">
        <f>SUM(ППД5[[#This Row],[Комната 1]:[Комната 3]])</f>
        <v>25.79</v>
      </c>
      <c r="J304" s="105">
        <v>15.44</v>
      </c>
      <c r="K304" s="105">
        <v>4.59</v>
      </c>
      <c r="L304" s="105">
        <v>2.21</v>
      </c>
      <c r="M304" s="105"/>
      <c r="N304" s="105">
        <v>10.79</v>
      </c>
      <c r="O304" s="105">
        <v>2.84</v>
      </c>
      <c r="P304" s="105"/>
      <c r="Q304" s="105"/>
      <c r="R304" s="105">
        <f>SUM(ППД5[[#This Row],[Лоджия 1]:[Лоджия 3]])</f>
        <v>2.84</v>
      </c>
      <c r="S304" s="8">
        <f>ROUND(SUM(ППД5[[#This Row],[Площадь по проекту жилая]:[Лоджия 3]]),2)</f>
        <v>61.66</v>
      </c>
      <c r="T304" s="8">
        <f>ROUND(ППД5[[#This Row],[Площадь по проекту(общая)]]-ППД5[[#This Row],[Летние]],2)</f>
        <v>58.82</v>
      </c>
      <c r="U304" s="91">
        <f>ROUND(ППД5[[#This Row],[Площадь по проекту(общая)]]-(SUM(ППД5[[#This Row],[Лоджия 1]:[Лоджия 3]])/2),2)</f>
        <v>60.24</v>
      </c>
      <c r="V304" s="91">
        <f>IF(ППД5[[#This Row],[Статус]]="продажа",ППД5[[#This Row],[Расчетная проектная площадь]],ППД5[[#This Row],[Расчетная ТП площадь]])</f>
        <v>60.24</v>
      </c>
      <c r="W304" s="91">
        <v>15.4</v>
      </c>
      <c r="X304" s="91">
        <v>10.3</v>
      </c>
      <c r="Y304" s="91"/>
      <c r="Z304" s="91">
        <f>SUM(ППД5[[#This Row],[ТП Комната 1]:[ТП Комната 3]])</f>
        <v>25.700000000000003</v>
      </c>
      <c r="AA304" s="91">
        <v>15.3</v>
      </c>
      <c r="AB304" s="91">
        <v>4.5</v>
      </c>
      <c r="AC304" s="91">
        <v>2.2000000000000002</v>
      </c>
      <c r="AD304" s="91"/>
      <c r="AE304" s="91">
        <v>10.8</v>
      </c>
      <c r="AF304" s="91">
        <v>1.45</v>
      </c>
      <c r="AG304" s="91"/>
      <c r="AH304" s="91"/>
      <c r="AI304" s="91">
        <f>SUM(ППД5[[#This Row],[ТП Лоджия 1]:[ТП Лоджия 3]])</f>
        <v>1.45</v>
      </c>
      <c r="AJ304" s="95">
        <v>2.9</v>
      </c>
      <c r="AK304" s="91">
        <f>SUM(ППД5[[#This Row],[Площадь по ТП жилая]:[ТП Лоджия 3]])-ППД5[[#This Row],[ТП Летние]]+ППД5[[#This Row],[кроме того прочая
(без коэффициента)]]</f>
        <v>61.4</v>
      </c>
      <c r="AL304" s="95">
        <f>ППД5[[#This Row],[ТП Площадь без летних]]+(ППД5[[#This Row],[ТП Летние]])</f>
        <v>59.95</v>
      </c>
      <c r="AM304" s="91">
        <f>ППД5[[#This Row],[ТП общая S]]-ППД5[[#This Row],[кроме того прочая
(без коэффициента)]]</f>
        <v>58.5</v>
      </c>
      <c r="AN304" s="95">
        <f>SUM(ППД5[[#This Row],[ТП Кухня]:[ТП Коридор]])</f>
        <v>32.799999999999997</v>
      </c>
      <c r="AO304" s="91">
        <f>ППД5[[#This Row],[Расчетная ТП площадь]]-ППД5[[#This Row],[Расчетная проектная площадь]]</f>
        <v>-0.28999999999999915</v>
      </c>
      <c r="AP304" s="335">
        <f>ППД5[[#This Row],[Расчетная ТП площадь]]/ППД5[[#This Row],[Расчетная проектная площадь]]-1</f>
        <v>-4.8140770252323994E-3</v>
      </c>
      <c r="AQ304" s="91">
        <f>ППД5[[#This Row],[% расхождения]]*ППД5[[#This Row],[Стоимость до скидки]]</f>
        <v>-28869.538512616175</v>
      </c>
      <c r="AR304" s="91">
        <f>VLOOKUP(ППД5[[#This Row],[№]],наценкад5[],COLUMN(наценкад5[[#This Row],[Цена м2 с учетом всех K]]),0)</f>
        <v>83010.532500000001</v>
      </c>
      <c r="AS304" s="8">
        <f>ППД5[[#This Row],[м2 после К]]*5%</f>
        <v>4150.5266250000004</v>
      </c>
      <c r="AT304" s="8">
        <f>ППД5[[#This Row],[м2 после К]]+ППД5[[#This Row],[Повышение 16.08.23 - 5%]]</f>
        <v>87161.059125</v>
      </c>
      <c r="AU304" s="93">
        <f>ППД5[[#This Row],[Фикс 16.08.23]]*3%</f>
        <v>2614.8317737499997</v>
      </c>
      <c r="AV304" s="93">
        <f>ППД5[[#This Row],[Фикс 16.08.23]]+ППД5[[#This Row],[Повышение 29.08.23 - 3%]]</f>
        <v>89775.890898750004</v>
      </c>
      <c r="AW304" s="93"/>
      <c r="AX304" s="93">
        <f>ППД5[[#This Row],[Фикс 29.08.23]]+ППД5[[#This Row],[Повышение 06.09.23 СТ и 1К]]</f>
        <v>89775.890898750004</v>
      </c>
      <c r="AY304" s="93"/>
      <c r="AZ304" s="93">
        <f>ППД5[[#This Row],[Повышение 23.10.23  В4 ]]+ППД5[[#This Row],[Фикс 06.09.23]]</f>
        <v>89775.890898750004</v>
      </c>
      <c r="BA304" s="93"/>
      <c r="BB304" s="93">
        <f>ППД5[[#This Row],[Повышение 8.11.23 1К 5%]]+ППД5[[#This Row],[Фикс 23.10.23]]</f>
        <v>89775.890898750004</v>
      </c>
      <c r="BC304" s="93"/>
      <c r="BD304" s="93">
        <f>ППД5[[#This Row],[Корректировка 24.11.23 - 1К В5, 2К А2, №233]]+ППД5[[#This Row],[Фикс 8.11.23]]</f>
        <v>89775.890898750004</v>
      </c>
      <c r="BE304" s="93">
        <f>ППД5[[#This Row],[Фикс 8.11.24]]*1%</f>
        <v>897.75890898750004</v>
      </c>
      <c r="BF304" s="93">
        <f>ППД5[[#This Row],[Наценка за отделку 29.12.23 1%]]+ППД5[[#This Row],[Фикс 8.11.24]]</f>
        <v>90673.6498077375</v>
      </c>
      <c r="BG304" s="93">
        <f>ППД5[[#This Row],[Фикс 29.12.23]]*5%</f>
        <v>4533.6824903868755</v>
      </c>
      <c r="BH304" s="93">
        <f>ППД5[[#This Row],[Фикс 29.12.23]]+ППД5[[#This Row],[Наценка 10.01.24 5%]]</f>
        <v>95207.332298124369</v>
      </c>
      <c r="BI304" s="93"/>
      <c r="BJ304" s="93">
        <f>ППД5[[#This Row],[Наценка 26.02.24 1 Этаж]]+ППД5[[#This Row],[Фикс 10.01.24]]</f>
        <v>95207.332298124369</v>
      </c>
      <c r="BK304" s="93">
        <f>ППД5[[#This Row],[Фикс 26.02.24]]*2%</f>
        <v>1904.1466459624874</v>
      </c>
      <c r="BL304" s="93">
        <f>ППД5[[#This Row],[Фикс 26.02.24]]+ППД5[[#This Row],[Наценка 06.03.24
СТ, 1К - 3%
2К, 3К - 2%]]</f>
        <v>97111.478944086863</v>
      </c>
      <c r="BM304" s="93"/>
      <c r="BN304" s="93">
        <f>ППД5[[#This Row],[Фикс 06.03.24]]+ППД5[[#This Row],[Наценка Г2+500]]</f>
        <v>97111.478944086863</v>
      </c>
      <c r="BO304" s="93">
        <f>ППД5[[#This Row],[Фикс 13.03.25]]*2%</f>
        <v>1942.2295788817373</v>
      </c>
      <c r="BP304" s="93">
        <f>ППД5[[#This Row],[Фикс 13.03.25]]+ППД5[[#This Row],[Наценка 20.03.24
2К, 3К - 2%]]</f>
        <v>99053.708522968605</v>
      </c>
      <c r="BQ304" s="93"/>
      <c r="BR304" s="93">
        <f>ППД5[[#This Row],[Фикс 20.03.24]]+ППД5[[#This Row],[Наценка 08.04.24 
2К: В3 - 150
3К: Г7 +1000]]</f>
        <v>99053.708522968605</v>
      </c>
      <c r="BS304" s="93"/>
      <c r="BT304" s="93">
        <f>ППД5[[#This Row],[Фикс 08.04.24]]+ППД5[[#This Row],[Наценка 16.05.24 1%
А4,А6,Б3,Б6,Б7,В2,В3,В5,В6,Г1,Г3-Г5]]</f>
        <v>99053.708522968605</v>
      </c>
      <c r="BU304" s="93"/>
      <c r="BV304" s="93">
        <f>ППД5[[#This Row],[Фикс 16.05.24]]+ППД5[[#This Row],[Наценка 24.05.24
1% - Б4, Б5,Г2,Г6
2% - А1,А3,А5,Б2,Г7]]</f>
        <v>99053.708522968605</v>
      </c>
      <c r="BW304" s="93"/>
      <c r="BX304" s="93">
        <f>ППД5[[#This Row],[Наценка 06.06.24
0К: В2,Г3 +0,5%
1К: А7, Б5/4, Г6 +0,5%
3К: В6 +0,5%
1К: А3 +1%]]+ППД5[[#This Row],[Фикс 24.05.24]]</f>
        <v>99053.708522968605</v>
      </c>
      <c r="BY304" s="93"/>
      <c r="BZ304" s="93">
        <f>ППД5[[#This Row],[Фикс 06.06.24]]+ППД5[[#This Row],[13.06.2024
3К - 2%]]</f>
        <v>99053.708522968605</v>
      </c>
      <c r="CA304" s="93">
        <f>0.5%*ППД5[[#This Row],[Фикс 13.06.24]]</f>
        <v>495.26854261484306</v>
      </c>
      <c r="CB304" s="93">
        <f>ППД5[[#This Row],[02.07.2024: Г3 А1 А3 Б5 Б7 Г2 Г6 Б3 Б4 В3 Г7 2,5% ост 0,5-1,5%]]+ППД5[[#This Row],[Фикс 13.06.24]]</f>
        <v>99548.977065583444</v>
      </c>
      <c r="CC304" s="93"/>
      <c r="CD304" s="93">
        <f>ППД5[[#This Row],[Фикс 02.07.24]]+ППД5[[#This Row],[04.09.2024 +500
0К - Б2; 1К - А3;
2К - А6, Б4, В3, Г5]]</f>
        <v>99548.977065583444</v>
      </c>
      <c r="CE304" s="93"/>
      <c r="CF304" s="93">
        <f>ППД5[[#This Row],[Наценка 16.09.2024
1К: А1,В7,Г6/7,Г8 - 2%
2К: А4,А5,А6,Б1,Б6,Б3/4,В3,В4,Г4,Г5 - 4%
3К: 4%]]+ППД5[[#This Row],[Фикс 04.09.24]]</f>
        <v>99548.977065583444</v>
      </c>
      <c r="CG304" s="93"/>
      <c r="CH304" s="93">
        <f>ППД5[[#This Row],[Фикс 16.09.2024]]+ППД5[[#This Row],[Наценка 01.11.24
СТ: 4%
1К: 34-40м 5%; 40м+ 8%; МГН 1%
2К: 55-70м 6%; 70-73м 7%; 73-76м 8% 
3К: 5%]]</f>
        <v>99548.977065583444</v>
      </c>
      <c r="CI304" s="93"/>
      <c r="CJ304" s="93">
        <f>ППД5[[#This Row],[Наценка 06.11 13%]]+ППД5[[#This Row],[Фикс 01.11.24]]</f>
        <v>99548.977065583444</v>
      </c>
      <c r="CK304" s="93"/>
      <c r="CL304" s="93">
        <f>ППД5[[#This Row],[Фикс 06.11.24]]+ППД5[[#This Row],[Наценка 18.12.24 распределение КВ]]</f>
        <v>99548.977065583444</v>
      </c>
      <c r="CM304" s="93"/>
      <c r="CN304" s="93">
        <f>ППД5[[#This Row],[Фикс 18.12.24]]+ППД5[[#This Row],[Наценка 10.02.25 +1%
1К: А3
2К: Б3, В3]]</f>
        <v>99548.977065583444</v>
      </c>
      <c r="CO304" s="93">
        <f>ROUND(ППД5[[#This Row],[Фикс 10.02.25]],2)</f>
        <v>99548.98</v>
      </c>
      <c r="CP30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5996900</v>
      </c>
      <c r="CQ304" s="93">
        <f>ROUNDUP(ППД5[[#This Row],[Стоимость до скидки]]+ППД5[[#This Row],[Сумма доплаты]],-2)</f>
        <v>5968100</v>
      </c>
      <c r="CR304" s="68"/>
      <c r="CS304" s="90"/>
      <c r="CT304" s="68">
        <f>ППД5[[#This Row],[Стоимость до скидки]]*ППД5[[#This Row],[Скидка %]]+ППД5[[#This Row],[Скидка фиксированная]]</f>
        <v>0</v>
      </c>
      <c r="CU304" s="3">
        <f>ППД5[[#This Row],[Стоимость ОН без отделки со скидкой]]/ППД5[[#This Row],[Расчетная проектная площадь]]</f>
        <v>99550.132802124834</v>
      </c>
      <c r="CV304" s="3">
        <f>ROUND(ППД5[[#This Row],[Стоимость до скидки]]-ППД5[[#This Row],[Итоговая сумма скидки]],2)</f>
        <v>5996900</v>
      </c>
      <c r="CW30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04" s="217">
        <v>20000</v>
      </c>
      <c r="CY304" s="210">
        <f>ППД5[[#This Row],[Расхождение]]/ППД5[[#This Row],[Расчетная проектная площадь]]</f>
        <v>-4.814077025232389E-3</v>
      </c>
      <c r="CZ304" s="330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-0.2300000000000022</v>
      </c>
      <c r="DA304" s="3">
        <f>ППД5[[#This Row],[Цена м2 без отделки со скидкой]]+ППД5[[#This Row],[Стоимость отделки]]</f>
        <v>119550.13280212483</v>
      </c>
      <c r="DB304" s="3">
        <f>ППД5[[#This Row],[Стоимость квартиры с отделкой]]-ППД5[[#This Row],[Стоимость ОН без отделки со скидкой]]</f>
        <v>1204800</v>
      </c>
      <c r="DC304" s="3">
        <f>ППД5[[#This Row],[Цена м2 с отделкой]]*ППД5[[#This Row],[Расчетная проектная площадь]]</f>
        <v>7201700</v>
      </c>
      <c r="DD304" s="3"/>
      <c r="DF304" s="155" t="s">
        <v>172</v>
      </c>
      <c r="DG304" s="245" t="s">
        <v>172</v>
      </c>
      <c r="DH304" s="100" t="b">
        <f>EXACT(ППД5[[#This Row],[Статусы CRM]],ППД5[[#This Row],[Статус]])</f>
        <v>1</v>
      </c>
      <c r="DI304" s="213" t="s">
        <v>476</v>
      </c>
      <c r="DJ304" s="204"/>
      <c r="DK304" s="111" t="s">
        <v>763</v>
      </c>
      <c r="DL304" s="216" t="s">
        <v>14</v>
      </c>
      <c r="DM304" s="201" t="b">
        <f>ППД5[[#This Row],[Отделка CRM]]=ППД5[[#This Row],[Отделка]]</f>
        <v>1</v>
      </c>
      <c r="DN304" s="203">
        <v>7201700</v>
      </c>
      <c r="DO30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04" s="207" t="b">
        <f>IF(AND(ППД5[[#This Row],[Статус]]="свободно",ППД5[[#This Row],[Итоговая сумма скидки]]&lt;&gt;0),FALSE,TRUE)</f>
        <v>1</v>
      </c>
      <c r="DQ304" s="240">
        <f>_xlfn.XLOOKUP(ППД5[[#This Row],[№]],Юрист[№ кв],Юрист[Дата подачи на регистрацию]," ",0,-1)</f>
        <v>45593</v>
      </c>
      <c r="DR304" s="115" t="str">
        <f>_xlfn.XLOOKUP(ППД5[[#This Row],[№]],Юрист[№ кв],Юрист[МОП],"",0,-1)</f>
        <v>Дик</v>
      </c>
      <c r="DS304" s="333" t="s">
        <v>2900</v>
      </c>
      <c r="DT304" s="333" t="s">
        <v>2901</v>
      </c>
      <c r="DU304" s="333">
        <v>58.5</v>
      </c>
      <c r="DV304" s="111"/>
    </row>
    <row r="305" spans="1:126" hidden="1" x14ac:dyDescent="0.25">
      <c r="A305" s="112">
        <v>303</v>
      </c>
      <c r="B305" s="111" t="s">
        <v>3</v>
      </c>
      <c r="C305" s="111">
        <v>12</v>
      </c>
      <c r="D305" s="111">
        <v>5</v>
      </c>
      <c r="E305" s="111">
        <v>1</v>
      </c>
      <c r="F305" s="105">
        <v>12.54</v>
      </c>
      <c r="G305" s="105"/>
      <c r="H305" s="105"/>
      <c r="I305" s="94">
        <f>SUM(ППД5[[#This Row],[Комната 1]:[Комната 3]])</f>
        <v>12.54</v>
      </c>
      <c r="J305" s="105">
        <v>12.74</v>
      </c>
      <c r="K305" s="105">
        <v>4.0199999999999996</v>
      </c>
      <c r="L305" s="105"/>
      <c r="M305" s="105"/>
      <c r="N305" s="105">
        <v>7.09</v>
      </c>
      <c r="O305" s="105">
        <v>2.84</v>
      </c>
      <c r="P305" s="105"/>
      <c r="Q305" s="105"/>
      <c r="R305" s="105">
        <f>SUM(ППД5[[#This Row],[Лоджия 1]:[Лоджия 3]])</f>
        <v>2.84</v>
      </c>
      <c r="S305" s="8">
        <f>ROUND(SUM(ППД5[[#This Row],[Площадь по проекту жилая]:[Лоджия 3]]),2)</f>
        <v>39.229999999999997</v>
      </c>
      <c r="T305" s="8">
        <f>ROUND(ППД5[[#This Row],[Площадь по проекту(общая)]]-ППД5[[#This Row],[Летние]],2)</f>
        <v>36.39</v>
      </c>
      <c r="U305" s="205">
        <f>ROUND(ППД5[[#This Row],[Площадь по проекту(общая)]]-(SUM(ППД5[[#This Row],[Лоджия 1]:[Лоджия 3]])/2),2)</f>
        <v>37.81</v>
      </c>
      <c r="V305" s="205">
        <f>IF(ППД5[[#This Row],[Статус]]="продажа",ППД5[[#This Row],[Расчетная проектная площадь]],ППД5[[#This Row],[Расчетная ТП площадь]])</f>
        <v>37.81</v>
      </c>
      <c r="W305" s="205">
        <v>12.5</v>
      </c>
      <c r="X305" s="205"/>
      <c r="Y305" s="205"/>
      <c r="Z305" s="205">
        <f>SUM(ППД5[[#This Row],[ТП Комната 1]:[ТП Комната 3]])</f>
        <v>12.5</v>
      </c>
      <c r="AA305" s="205">
        <v>12.7</v>
      </c>
      <c r="AB305" s="205">
        <v>4</v>
      </c>
      <c r="AC305" s="205"/>
      <c r="AD305" s="205"/>
      <c r="AE305" s="205">
        <v>6.9</v>
      </c>
      <c r="AF305" s="91">
        <v>1.45</v>
      </c>
      <c r="AG305" s="205"/>
      <c r="AH305" s="205"/>
      <c r="AI305" s="91">
        <f>SUM(ППД5[[#This Row],[ТП Лоджия 1]:[ТП Лоджия 3]])</f>
        <v>1.45</v>
      </c>
      <c r="AJ305" s="95">
        <v>2.9</v>
      </c>
      <c r="AK305" s="205">
        <f>SUM(ППД5[[#This Row],[Площадь по ТП жилая]:[ТП Лоджия 3]])-ППД5[[#This Row],[ТП Летние]]+ППД5[[#This Row],[кроме того прочая
(без коэффициента)]]</f>
        <v>39</v>
      </c>
      <c r="AL305" s="95">
        <f>ППД5[[#This Row],[ТП Площадь без летних]]+(ППД5[[#This Row],[ТП Летние]])</f>
        <v>37.550000000000004</v>
      </c>
      <c r="AM305" s="205">
        <f>ППД5[[#This Row],[ТП общая S]]-ППД5[[#This Row],[кроме того прочая
(без коэффициента)]]</f>
        <v>36.1</v>
      </c>
      <c r="AN305" s="95">
        <f>SUM(ППД5[[#This Row],[ТП Кухня]:[ТП Коридор]])</f>
        <v>23.6</v>
      </c>
      <c r="AO305" s="205">
        <f>ППД5[[#This Row],[Расчетная ТП площадь]]-ППД5[[#This Row],[Расчетная проектная площадь]]</f>
        <v>-0.25999999999999801</v>
      </c>
      <c r="AP305" s="335">
        <f>ППД5[[#This Row],[Расчетная ТП площадь]]/ППД5[[#This Row],[Расчетная проектная площадь]]-1</f>
        <v>-6.8764877016661563E-3</v>
      </c>
      <c r="AQ305" s="205">
        <f>ППД5[[#This Row],[% расхождения]]*ППД5[[#This Row],[Стоимость до скидки]]</f>
        <v>-30469.029357312571</v>
      </c>
      <c r="AR305" s="205">
        <f>VLOOKUP(ППД5[[#This Row],[№]],наценкад5[],COLUMN(наценкад5[[#This Row],[Цена м2 с учетом всех K]]),0)</f>
        <v>90034.875</v>
      </c>
      <c r="AS305" s="113">
        <f>ППД5[[#This Row],[м2 после К]]*5%</f>
        <v>4501.7437500000005</v>
      </c>
      <c r="AT305" s="113">
        <f>ППД5[[#This Row],[м2 после К]]+ППД5[[#This Row],[Повышение 16.08.23 - 5%]]</f>
        <v>94536.618749999994</v>
      </c>
      <c r="AU305" s="47">
        <f>ППД5[[#This Row],[Фикс 16.08.23]]*3%</f>
        <v>2836.0985624999998</v>
      </c>
      <c r="AV305" s="47">
        <f>ППД5[[#This Row],[Фикс 16.08.23]]+ППД5[[#This Row],[Повышение 29.08.23 - 3%]]</f>
        <v>97372.717312499997</v>
      </c>
      <c r="AW305" s="47">
        <f>ППД5[[#This Row],[Фикс 29.08.23]]*4.5%</f>
        <v>4381.7722790624994</v>
      </c>
      <c r="AX305" s="47">
        <f>ППД5[[#This Row],[Фикс 29.08.23]]+ППД5[[#This Row],[Повышение 06.09.23 СТ и 1К]]</f>
        <v>101754.48959156249</v>
      </c>
      <c r="AY305" s="47"/>
      <c r="AZ305" s="47">
        <f>ППД5[[#This Row],[Повышение 23.10.23  В4 ]]+ППД5[[#This Row],[Фикс 06.09.23]]</f>
        <v>101754.48959156249</v>
      </c>
      <c r="BA305" s="47">
        <f>ППД5[[#This Row],[Фикс 23.10.23]]*5%</f>
        <v>5087.7244795781253</v>
      </c>
      <c r="BB305" s="47">
        <f>ППД5[[#This Row],[Повышение 8.11.23 1К 5%]]+ППД5[[#This Row],[Фикс 23.10.23]]</f>
        <v>106842.21407114062</v>
      </c>
      <c r="BC305" s="47">
        <v>-620</v>
      </c>
      <c r="BD305" s="47">
        <f>ППД5[[#This Row],[Корректировка 24.11.23 - 1К В5, 2К А2, №233]]+ППД5[[#This Row],[Фикс 8.11.23]]</f>
        <v>106222.21407114062</v>
      </c>
      <c r="BE305" s="47">
        <f>ППД5[[#This Row],[Фикс 8.11.24]]*1%</f>
        <v>1062.2221407114062</v>
      </c>
      <c r="BF305" s="47">
        <f>ППД5[[#This Row],[Наценка за отделку 29.12.23 1%]]+ППД5[[#This Row],[Фикс 8.11.24]]</f>
        <v>107284.43621185204</v>
      </c>
      <c r="BG305" s="47">
        <f>ППД5[[#This Row],[Фикс 29.12.23]]*5%</f>
        <v>5364.2218105926022</v>
      </c>
      <c r="BH305" s="47">
        <f>ППД5[[#This Row],[Фикс 29.12.23]]+ППД5[[#This Row],[Наценка 10.01.24 5%]]</f>
        <v>112648.65802244464</v>
      </c>
      <c r="BI305" s="47"/>
      <c r="BJ305" s="47">
        <f>ППД5[[#This Row],[Наценка 26.02.24 1 Этаж]]+ППД5[[#This Row],[Фикс 10.01.24]]</f>
        <v>112648.65802244464</v>
      </c>
      <c r="BK305" s="47">
        <f>ППД5[[#This Row],[Фикс 26.02.24]]*3%</f>
        <v>3379.4597406733392</v>
      </c>
      <c r="BL305" s="47">
        <f>ППД5[[#This Row],[Фикс 26.02.24]]+ППД5[[#This Row],[Наценка 06.03.24
СТ, 1К - 3%
2К, 3К - 2%]]</f>
        <v>116028.11776311797</v>
      </c>
      <c r="BM305" s="47"/>
      <c r="BN305" s="47">
        <f>ППД5[[#This Row],[Фикс 06.03.24]]+ППД5[[#This Row],[Наценка Г2+500]]</f>
        <v>116028.11776311797</v>
      </c>
      <c r="BO305" s="47"/>
      <c r="BP305" s="47">
        <f>ППД5[[#This Row],[Фикс 13.03.25]]+ППД5[[#This Row],[Наценка 20.03.24
2К, 3К - 2%]]</f>
        <v>116028.11776311797</v>
      </c>
      <c r="BQ305" s="47"/>
      <c r="BR305" s="47">
        <f>ППД5[[#This Row],[Фикс 20.03.24]]+ППД5[[#This Row],[Наценка 08.04.24 
2К: В3 - 150
3К: Г7 +1000]]</f>
        <v>116028.11776311797</v>
      </c>
      <c r="BS305" s="47">
        <f>ППД5[[#This Row],[Фикс 08.04.24]]*1%</f>
        <v>1160.2811776311798</v>
      </c>
      <c r="BT305" s="47">
        <f>ППД5[[#This Row],[Фикс 08.04.24]]+ППД5[[#This Row],[Наценка 16.05.24 1%
А4,А6,Б3,Б6,Б7,В2,В3,В5,В6,Г1,Г3-Г5]]</f>
        <v>117188.39894074916</v>
      </c>
      <c r="BU305" s="47"/>
      <c r="BV305" s="47">
        <f>ППД5[[#This Row],[Фикс 16.05.24]]+ППД5[[#This Row],[Наценка 24.05.24
1% - Б4, Б5,Г2,Г6
2% - А1,А3,А5,Б2,Г7]]</f>
        <v>117188.39894074916</v>
      </c>
      <c r="BW305" s="47"/>
      <c r="BX305" s="47">
        <f>ППД5[[#This Row],[Наценка 06.06.24
0К: В2,Г3 +0,5%
1К: А7, Б5/4, Г6 +0,5%
3К: В6 +0,5%
1К: А3 +1%]]+ППД5[[#This Row],[Фикс 24.05.24]]</f>
        <v>117188.39894074916</v>
      </c>
      <c r="BY305" s="47"/>
      <c r="BZ305" s="47">
        <f>ППД5[[#This Row],[Фикс 06.06.24]]+ППД5[[#This Row],[13.06.2024
3К - 2%]]</f>
        <v>117188.39894074916</v>
      </c>
      <c r="CA305" s="47"/>
      <c r="CB305" s="47">
        <f>ППД5[[#This Row],[02.07.2024: Г3 А1 А3 Б5 Б7 Г2 Г6 Б3 Б4 В3 Г7 2,5% ост 0,5-1,5%]]+ППД5[[#This Row],[Фикс 13.06.24]]</f>
        <v>117188.39894074916</v>
      </c>
      <c r="CC305" s="47"/>
      <c r="CD305" s="47">
        <f>ППД5[[#This Row],[Фикс 02.07.24]]+ППД5[[#This Row],[04.09.2024 +500
0К - Б2; 1К - А3;
2К - А6, Б4, В3, Г5]]</f>
        <v>117188.39894074916</v>
      </c>
      <c r="CE305" s="47"/>
      <c r="CF305" s="47">
        <f>ППД5[[#This Row],[Наценка 16.09.2024
1К: А1,В7,Г6/7,Г8 - 2%
2К: А4,А5,А6,Б1,Б6,Б3/4,В3,В4,Г4,Г5 - 4%
3К: 4%]]+ППД5[[#This Row],[Фикс 04.09.24]]</f>
        <v>117188.39894074916</v>
      </c>
      <c r="CG305" s="47"/>
      <c r="CH305" s="47">
        <f>ППД5[[#This Row],[Фикс 16.09.2024]]+ППД5[[#This Row],[Наценка 01.11.24
СТ: 4%
1К: 34-40м 5%; 40м+ 8%; МГН 1%
2К: 55-70м 6%; 70-73м 7%; 73-76м 8% 
3К: 5%]]</f>
        <v>117188.39894074916</v>
      </c>
      <c r="CI305" s="47"/>
      <c r="CJ305" s="47">
        <f>ППД5[[#This Row],[Наценка 06.11 13%]]+ППД5[[#This Row],[Фикс 01.11.24]]</f>
        <v>117188.39894074916</v>
      </c>
      <c r="CK305" s="47"/>
      <c r="CL305" s="47">
        <f>ППД5[[#This Row],[Фикс 06.11.24]]+ППД5[[#This Row],[Наценка 18.12.24 распределение КВ]]</f>
        <v>117188.39894074916</v>
      </c>
      <c r="CM305" s="47"/>
      <c r="CN305" s="47">
        <f>ППД5[[#This Row],[Фикс 18.12.24]]+ППД5[[#This Row],[Наценка 10.02.25 +1%
1К: А3
2К: Б3, В3]]</f>
        <v>117188.39894074916</v>
      </c>
      <c r="CO305" s="47">
        <f>ROUND(ППД5[[#This Row],[Фикс 10.02.25]],2)</f>
        <v>117188.4</v>
      </c>
      <c r="CP305" s="47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4430900</v>
      </c>
      <c r="CQ305" s="47">
        <f>ROUNDUP(ППД5[[#This Row],[Стоимость до скидки]]+ППД5[[#This Row],[Сумма доплаты]],-2)</f>
        <v>4400500</v>
      </c>
      <c r="CR305" s="3"/>
      <c r="CS305" s="206"/>
      <c r="CT305" s="3">
        <f>ППД5[[#This Row],[Стоимость до скидки]]*ППД5[[#This Row],[Скидка %]]+ППД5[[#This Row],[Скидка фиксированная]]</f>
        <v>0</v>
      </c>
      <c r="CU305" s="3">
        <f>ППД5[[#This Row],[Стоимость ОН без отделки со скидкой]]/ППД5[[#This Row],[Расчетная проектная площадь]]</f>
        <v>117188.57445120339</v>
      </c>
      <c r="CV305" s="3">
        <f>ROUND(ППД5[[#This Row],[Стоимость до скидки]]-ППД5[[#This Row],[Итоговая сумма скидки]],2)</f>
        <v>4430900</v>
      </c>
      <c r="CW30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305" s="197">
        <v>7000</v>
      </c>
      <c r="CY305" s="332">
        <f>ППД5[[#This Row],[Расхождение]]/ППД5[[#This Row],[Расчетная проектная площадь]]</f>
        <v>-6.8764877016661728E-3</v>
      </c>
      <c r="CZ30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-0.24999999999999822</v>
      </c>
      <c r="DA305" s="3">
        <f>ППД5[[#This Row],[Цена м2 без отделки со скидкой]]+ППД5[[#This Row],[Стоимость отделки]]</f>
        <v>124188.57445120339</v>
      </c>
      <c r="DB305" s="3">
        <f>ППД5[[#This Row],[Стоимость квартиры с отделкой]]-ППД5[[#This Row],[Стоимость ОН без отделки со скидкой]]</f>
        <v>264670</v>
      </c>
      <c r="DC305" s="3">
        <f>ППД5[[#This Row],[Цена м2 с отделкой]]*ППД5[[#This Row],[Расчетная проектная площадь]]</f>
        <v>4695570</v>
      </c>
      <c r="DD305" s="3"/>
      <c r="DF305" s="199" t="s">
        <v>172</v>
      </c>
      <c r="DG305" s="245" t="s">
        <v>172</v>
      </c>
      <c r="DH305" s="100" t="b">
        <f>EXACT(ППД5[[#This Row],[Статусы CRM]],ППД5[[#This Row],[Статус]])</f>
        <v>1</v>
      </c>
      <c r="DI305" s="213" t="s">
        <v>477</v>
      </c>
      <c r="DJ305" s="204"/>
      <c r="DK305" s="111" t="s">
        <v>763</v>
      </c>
      <c r="DL305" s="216" t="s">
        <v>780</v>
      </c>
      <c r="DM305" s="111" t="b">
        <f>ППД5[[#This Row],[Отделка CRM]]=ППД5[[#This Row],[Отделка]]</f>
        <v>1</v>
      </c>
      <c r="DN305" s="204">
        <v>4695570</v>
      </c>
      <c r="DO305" s="204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05" s="207" t="b">
        <f>IF(AND(ППД5[[#This Row],[Статус]]="свободно",ППД5[[#This Row],[Итоговая сумма скидки]]&lt;&gt;0),FALSE,TRUE)</f>
        <v>1</v>
      </c>
      <c r="DQ305" s="240">
        <f>_xlfn.XLOOKUP(ППД5[[#This Row],[№]],Юрист[№ кв],Юрист[Дата подачи на регистрацию]," ",0,-1)</f>
        <v>45440</v>
      </c>
      <c r="DR305" s="115" t="str">
        <f>_xlfn.XLOOKUP(ППД5[[#This Row],[№]],Юрист[№ кв],Юрист[МОП],"",0,-1)</f>
        <v>Дик</v>
      </c>
      <c r="DS305" s="333" t="s">
        <v>2902</v>
      </c>
      <c r="DT305" s="333" t="s">
        <v>2903</v>
      </c>
      <c r="DU305" s="333">
        <v>36.1</v>
      </c>
      <c r="DV305" s="111"/>
    </row>
    <row r="306" spans="1:126" hidden="1" x14ac:dyDescent="0.25">
      <c r="A306" s="112">
        <v>304</v>
      </c>
      <c r="B306" s="111" t="s">
        <v>3</v>
      </c>
      <c r="C306" s="111">
        <v>12</v>
      </c>
      <c r="D306" s="111">
        <v>6</v>
      </c>
      <c r="E306" s="111">
        <v>3</v>
      </c>
      <c r="F306" s="105">
        <v>17.2</v>
      </c>
      <c r="G306" s="105">
        <v>14.64</v>
      </c>
      <c r="H306" s="105">
        <v>14.34</v>
      </c>
      <c r="I306" s="94">
        <f>SUM(ППД5[[#This Row],[Комната 1]:[Комната 3]])</f>
        <v>46.18</v>
      </c>
      <c r="J306" s="105">
        <v>13.15</v>
      </c>
      <c r="K306" s="105">
        <v>4.03</v>
      </c>
      <c r="L306" s="105">
        <v>1.76</v>
      </c>
      <c r="M306" s="105"/>
      <c r="N306" s="105">
        <v>13.11</v>
      </c>
      <c r="O306" s="105">
        <v>2.79</v>
      </c>
      <c r="P306" s="105">
        <v>2.68</v>
      </c>
      <c r="Q306" s="105"/>
      <c r="R306" s="105">
        <f>SUM(ППД5[[#This Row],[Лоджия 1]:[Лоджия 3]])</f>
        <v>5.4700000000000006</v>
      </c>
      <c r="S306" s="8">
        <f>ROUND(SUM(ППД5[[#This Row],[Площадь по проекту жилая]:[Лоджия 3]]),2)</f>
        <v>83.7</v>
      </c>
      <c r="T306" s="8">
        <f>ROUND(ППД5[[#This Row],[Площадь по проекту(общая)]]-ППД5[[#This Row],[Летние]],2)</f>
        <v>78.23</v>
      </c>
      <c r="U306" s="91">
        <f>ROUND(ППД5[[#This Row],[Площадь по проекту(общая)]]-(SUM(ППД5[[#This Row],[Лоджия 1]:[Лоджия 3]])/2),2)</f>
        <v>80.97</v>
      </c>
      <c r="V306" s="91">
        <f>IF(ППД5[[#This Row],[Статус]]="продажа",ППД5[[#This Row],[Расчетная проектная площадь]],ППД5[[#This Row],[Расчетная ТП площадь]])</f>
        <v>80.97</v>
      </c>
      <c r="W306" s="91">
        <v>17.100000000000001</v>
      </c>
      <c r="X306" s="91">
        <v>14.6</v>
      </c>
      <c r="Y306" s="91">
        <v>14.3</v>
      </c>
      <c r="Z306" s="91">
        <f>SUM(ППД5[[#This Row],[ТП Комната 1]:[ТП Комната 3]])</f>
        <v>46</v>
      </c>
      <c r="AA306" s="91">
        <v>13</v>
      </c>
      <c r="AB306" s="91">
        <v>4.0999999999999996</v>
      </c>
      <c r="AC306" s="91">
        <v>1.8</v>
      </c>
      <c r="AD306" s="91"/>
      <c r="AE306" s="91">
        <v>12.9</v>
      </c>
      <c r="AF306" s="91">
        <v>1.4</v>
      </c>
      <c r="AG306" s="91">
        <v>1.4</v>
      </c>
      <c r="AH306" s="91"/>
      <c r="AI306" s="91">
        <f>SUM(ППД5[[#This Row],[ТП Лоджия 1]:[ТП Лоджия 3]])</f>
        <v>2.8</v>
      </c>
      <c r="AJ306" s="95">
        <v>5.6</v>
      </c>
      <c r="AK306" s="91">
        <f>SUM(ППД5[[#This Row],[Площадь по ТП жилая]:[ТП Лоджия 3]])-ППД5[[#This Row],[ТП Летние]]+ППД5[[#This Row],[кроме того прочая
(без коэффициента)]]</f>
        <v>83.40000000000002</v>
      </c>
      <c r="AL306" s="95">
        <f>ППД5[[#This Row],[ТП Площадь без летних]]+(ППД5[[#This Row],[ТП Летние]])</f>
        <v>80.600000000000023</v>
      </c>
      <c r="AM306" s="91">
        <f>ППД5[[#This Row],[ТП общая S]]-ППД5[[#This Row],[кроме того прочая
(без коэффициента)]]</f>
        <v>77.800000000000026</v>
      </c>
      <c r="AN306" s="95">
        <f>SUM(ППД5[[#This Row],[ТП Кухня]:[ТП Коридор]])</f>
        <v>31.800000000000004</v>
      </c>
      <c r="AO306" s="91">
        <f>ППД5[[#This Row],[Расчетная ТП площадь]]-ППД5[[#This Row],[Расчетная проектная площадь]]</f>
        <v>-0.36999999999997613</v>
      </c>
      <c r="AP306" s="335">
        <f>ППД5[[#This Row],[Расчетная ТП площадь]]/ППД5[[#This Row],[Расчетная проектная площадь]]-1</f>
        <v>-4.5695936766700918E-3</v>
      </c>
      <c r="AQ306" s="91">
        <f>ППД5[[#This Row],[% расхождения]]*ППД5[[#This Row],[Стоимость до скидки]]</f>
        <v>-29705.168787203318</v>
      </c>
      <c r="AR306" s="91">
        <f>VLOOKUP(ППД5[[#This Row],[№]],наценкад5[],COLUMN(наценкад5[[#This Row],[Цена м2 с учетом всех K]]),0)</f>
        <v>74234.160000000018</v>
      </c>
      <c r="AS306" s="8">
        <f>ППД5[[#This Row],[м2 после К]]*5%</f>
        <v>3711.708000000001</v>
      </c>
      <c r="AT306" s="8">
        <f>ППД5[[#This Row],[м2 после К]]+ППД5[[#This Row],[Повышение 16.08.23 - 5%]]</f>
        <v>77945.868000000017</v>
      </c>
      <c r="AU306" s="93">
        <f>ППД5[[#This Row],[Фикс 16.08.23]]*3%</f>
        <v>2338.3760400000006</v>
      </c>
      <c r="AV306" s="93">
        <f>ППД5[[#This Row],[Фикс 16.08.23]]+ППД5[[#This Row],[Повышение 29.08.23 - 3%]]</f>
        <v>80284.24404000002</v>
      </c>
      <c r="AW306" s="93"/>
      <c r="AX306" s="93">
        <f>ППД5[[#This Row],[Фикс 29.08.23]]+ППД5[[#This Row],[Повышение 06.09.23 СТ и 1К]]</f>
        <v>80284.24404000002</v>
      </c>
      <c r="AY306" s="93"/>
      <c r="AZ306" s="93">
        <f>ППД5[[#This Row],[Повышение 23.10.23  В4 ]]+ППД5[[#This Row],[Фикс 06.09.23]]</f>
        <v>80284.24404000002</v>
      </c>
      <c r="BA306" s="93"/>
      <c r="BB306" s="93">
        <f>ППД5[[#This Row],[Повышение 8.11.23 1К 5%]]+ППД5[[#This Row],[Фикс 23.10.23]]</f>
        <v>80284.24404000002</v>
      </c>
      <c r="BC306" s="93"/>
      <c r="BD306" s="93">
        <f>ППД5[[#This Row],[Корректировка 24.11.23 - 1К В5, 2К А2, №233]]+ППД5[[#This Row],[Фикс 8.11.23]]</f>
        <v>80284.24404000002</v>
      </c>
      <c r="BE306" s="93"/>
      <c r="BF306" s="93">
        <f>ППД5[[#This Row],[Наценка за отделку 29.12.23 1%]]+ППД5[[#This Row],[Фикс 8.11.24]]</f>
        <v>80284.24404000002</v>
      </c>
      <c r="BG306" s="93"/>
      <c r="BH306" s="93">
        <f>ППД5[[#This Row],[Фикс 29.12.23]]+ППД5[[#This Row],[Наценка 10.01.24 5%]]</f>
        <v>80284.24404000002</v>
      </c>
      <c r="BI306" s="93"/>
      <c r="BJ306" s="93">
        <f>ППД5[[#This Row],[Наценка 26.02.24 1 Этаж]]+ППД5[[#This Row],[Фикс 10.01.24]]</f>
        <v>80284.24404000002</v>
      </c>
      <c r="BK306" s="93"/>
      <c r="BL306" s="93">
        <f>ППД5[[#This Row],[Фикс 26.02.24]]+ППД5[[#This Row],[Наценка 06.03.24
СТ, 1К - 3%
2К, 3К - 2%]]</f>
        <v>80284.24404000002</v>
      </c>
      <c r="BM306" s="93"/>
      <c r="BN306" s="93">
        <f>ППД5[[#This Row],[Фикс 06.03.24]]+ППД5[[#This Row],[Наценка Г2+500]]</f>
        <v>80284.24404000002</v>
      </c>
      <c r="BO306" s="93"/>
      <c r="BP306" s="93">
        <f>ППД5[[#This Row],[Фикс 13.03.25]]+ППД5[[#This Row],[Наценка 20.03.24
2К, 3К - 2%]]</f>
        <v>80284.24404000002</v>
      </c>
      <c r="BQ306" s="93"/>
      <c r="BR306" s="93">
        <f>ППД5[[#This Row],[Фикс 20.03.24]]+ППД5[[#This Row],[Наценка 08.04.24 
2К: В3 - 150
3К: Г7 +1000]]</f>
        <v>80284.24404000002</v>
      </c>
      <c r="BS306" s="93"/>
      <c r="BT306" s="93">
        <f>ППД5[[#This Row],[Фикс 08.04.24]]+ППД5[[#This Row],[Наценка 16.05.24 1%
А4,А6,Б3,Б6,Б7,В2,В3,В5,В6,Г1,Г3-Г5]]</f>
        <v>80284.24404000002</v>
      </c>
      <c r="BU306" s="93"/>
      <c r="BV306" s="93">
        <f>ППД5[[#This Row],[Фикс 16.05.24]]+ППД5[[#This Row],[Наценка 24.05.24
1% - Б4, Б5,Г2,Г6
2% - А1,А3,А5,Б2,Г7]]</f>
        <v>80284.24404000002</v>
      </c>
      <c r="BW306" s="93"/>
      <c r="BX306" s="93">
        <f>ППД5[[#This Row],[Наценка 06.06.24
0К: В2,Г3 +0,5%
1К: А7, Б5/4, Г6 +0,5%
3К: В6 +0,5%
1К: А3 +1%]]+ППД5[[#This Row],[Фикс 24.05.24]]</f>
        <v>80284.24404000002</v>
      </c>
      <c r="BY306" s="93"/>
      <c r="BZ306" s="93">
        <f>ППД5[[#This Row],[Фикс 06.06.24]]+ППД5[[#This Row],[13.06.2024
3К - 2%]]</f>
        <v>80284.24404000002</v>
      </c>
      <c r="CA306" s="93"/>
      <c r="CB306" s="93">
        <f>ППД5[[#This Row],[02.07.2024: Г3 А1 А3 Б5 Б7 Г2 Г6 Б3 Б4 В3 Г7 2,5% ост 0,5-1,5%]]+ППД5[[#This Row],[Фикс 13.06.24]]</f>
        <v>80284.24404000002</v>
      </c>
      <c r="CC306" s="93"/>
      <c r="CD306" s="93">
        <f>ППД5[[#This Row],[Фикс 02.07.24]]+ППД5[[#This Row],[04.09.2024 +500
0К - Б2; 1К - А3;
2К - А6, Б4, В3, Г5]]</f>
        <v>80284.24404000002</v>
      </c>
      <c r="CE306" s="93"/>
      <c r="CF306" s="93">
        <f>ППД5[[#This Row],[Наценка 16.09.2024
1К: А1,В7,Г6/7,Г8 - 2%
2К: А4,А5,А6,Б1,Б6,Б3/4,В3,В4,Г4,Г5 - 4%
3К: 4%]]+ППД5[[#This Row],[Фикс 04.09.24]]</f>
        <v>80284.24404000002</v>
      </c>
      <c r="CG306" s="93"/>
      <c r="CH306" s="93">
        <f>ППД5[[#This Row],[Фикс 16.09.2024]]+ППД5[[#This Row],[Наценка 01.11.24
СТ: 4%
1К: 34-40м 5%; 40м+ 8%; МГН 1%
2К: 55-70м 6%; 70-73м 7%; 73-76м 8% 
3К: 5%]]</f>
        <v>80284.24404000002</v>
      </c>
      <c r="CI306" s="93"/>
      <c r="CJ306" s="93">
        <f>ППД5[[#This Row],[Наценка 06.11 13%]]+ППД5[[#This Row],[Фикс 01.11.24]]</f>
        <v>80284.24404000002</v>
      </c>
      <c r="CK306" s="93"/>
      <c r="CL306" s="93">
        <f>ППД5[[#This Row],[Фикс 06.11.24]]+ППД5[[#This Row],[Наценка 18.12.24 распределение КВ]]</f>
        <v>80284.24404000002</v>
      </c>
      <c r="CM306" s="93"/>
      <c r="CN306" s="93">
        <f>ППД5[[#This Row],[Фикс 18.12.24]]+ППД5[[#This Row],[Наценка 10.02.25 +1%
1К: А3
2К: Б3, В3]]</f>
        <v>80284.24404000002</v>
      </c>
      <c r="CO306" s="93">
        <f>ROUND(ППД5[[#This Row],[Фикс 10.02.25]],2)</f>
        <v>80284.240000000005</v>
      </c>
      <c r="CP30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6500614.9100000001</v>
      </c>
      <c r="CQ306" s="93">
        <f>ROUNDUP(ППД5[[#This Row],[Стоимость до скидки]]+ППД5[[#This Row],[Сумма доплаты]],-2)</f>
        <v>6471000</v>
      </c>
      <c r="CR306" s="68">
        <v>20000</v>
      </c>
      <c r="CS306" s="90"/>
      <c r="CT306" s="68">
        <f>ППД5[[#This Row],[Стоимость до скидки]]*ППД5[[#This Row],[Скидка %]]+ППД5[[#This Row],[Скидка фиксированная]]</f>
        <v>20000</v>
      </c>
      <c r="CU306" s="3">
        <f>ППД5[[#This Row],[Стоимость ОН без отделки со скидкой]]/ППД5[[#This Row],[Расчетная проектная площадь]]</f>
        <v>80037.234901815493</v>
      </c>
      <c r="CV306" s="3">
        <f>ROUND(ППД5[[#This Row],[Стоимость до скидки]]-ППД5[[#This Row],[Итоговая сумма скидки]],2)</f>
        <v>6480614.9100000001</v>
      </c>
      <c r="CW30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06" s="197"/>
      <c r="CY306" s="332">
        <f>ППД5[[#This Row],[Расхождение]]/ППД5[[#This Row],[Расчетная проектная площадь]]</f>
        <v>-4.569593676670077E-3</v>
      </c>
      <c r="CZ30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-0.24999999999999822</v>
      </c>
      <c r="DA306" s="3">
        <f>ППД5[[#This Row],[Цена м2 без отделки со скидкой]]+ППД5[[#This Row],[Стоимость отделки]]</f>
        <v>80037.234901815493</v>
      </c>
      <c r="DB306" s="3">
        <f>ППД5[[#This Row],[Стоимость квартиры с отделкой]]-ППД5[[#This Row],[Стоимость ОН без отделки со скидкой]]</f>
        <v>0</v>
      </c>
      <c r="DC306" s="3">
        <f>ППД5[[#This Row],[Цена м2 с отделкой]]*ППД5[[#This Row],[Расчетная проектная площадь]]</f>
        <v>6480614.9100000001</v>
      </c>
      <c r="DD306" s="3"/>
      <c r="DE306" s="111" t="s">
        <v>159</v>
      </c>
      <c r="DF306" s="199" t="s">
        <v>172</v>
      </c>
      <c r="DG306" s="245" t="s">
        <v>172</v>
      </c>
      <c r="DH306" s="100" t="b">
        <f>EXACT(ППД5[[#This Row],[Статусы CRM]],ППД5[[#This Row],[Статус]])</f>
        <v>1</v>
      </c>
      <c r="DI306" s="213" t="s">
        <v>478</v>
      </c>
      <c r="DJ306" s="204"/>
      <c r="DK306" s="111" t="s">
        <v>76</v>
      </c>
      <c r="DL306" s="216" t="s">
        <v>12</v>
      </c>
      <c r="DM306" s="201" t="b">
        <f>ППД5[[#This Row],[Отделка CRM]]=ППД5[[#This Row],[Отделка]]</f>
        <v>1</v>
      </c>
      <c r="DN306" s="203">
        <v>6480614.9100000001</v>
      </c>
      <c r="DO30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06" s="207" t="b">
        <f>IF(AND(ППД5[[#This Row],[Статус]]="свободно",ППД5[[#This Row],[Итоговая сумма скидки]]&lt;&gt;0),FALSE,TRUE)</f>
        <v>1</v>
      </c>
      <c r="DQ306" s="240">
        <f>_xlfn.XLOOKUP(ППД5[[#This Row],[№]],Юрист[№ кв],Юрист[Дата подачи на регистрацию]," ",0,-1)</f>
        <v>45217</v>
      </c>
      <c r="DR306" s="115" t="str">
        <f>_xlfn.XLOOKUP(ППД5[[#This Row],[№]],Юрист[№ кв],Юрист[МОП],"",0,-1)</f>
        <v>Никишов</v>
      </c>
      <c r="DS306" s="333" t="s">
        <v>2904</v>
      </c>
      <c r="DT306" s="333" t="s">
        <v>2905</v>
      </c>
      <c r="DU306" s="333">
        <v>77.8</v>
      </c>
      <c r="DV306" s="111"/>
    </row>
    <row r="307" spans="1:126" s="389" customFormat="1" x14ac:dyDescent="0.25">
      <c r="A307" s="385">
        <v>305</v>
      </c>
      <c r="B307" s="247" t="s">
        <v>3</v>
      </c>
      <c r="C307" s="247">
        <v>12</v>
      </c>
      <c r="D307" s="247">
        <v>7</v>
      </c>
      <c r="E307" s="247">
        <v>1</v>
      </c>
      <c r="F307" s="105">
        <v>14.3</v>
      </c>
      <c r="G307" s="105"/>
      <c r="H307" s="105"/>
      <c r="I307" s="94">
        <f>SUM(ППД5[[#This Row],[Комната 1]:[Комната 3]])</f>
        <v>14.3</v>
      </c>
      <c r="J307" s="105">
        <v>9.2799999999999994</v>
      </c>
      <c r="K307" s="105">
        <v>3.79</v>
      </c>
      <c r="L307" s="105"/>
      <c r="M307" s="105"/>
      <c r="N307" s="105">
        <v>6.08</v>
      </c>
      <c r="O307" s="105">
        <v>2.71</v>
      </c>
      <c r="P307" s="105"/>
      <c r="Q307" s="105"/>
      <c r="R307" s="105">
        <f>SUM(ППД5[[#This Row],[Лоджия 1]:[Лоджия 3]])</f>
        <v>2.71</v>
      </c>
      <c r="S307" s="8">
        <f>ROUND(SUM(ППД5[[#This Row],[Площадь по проекту жилая]:[Лоджия 3]]),2)</f>
        <v>36.159999999999997</v>
      </c>
      <c r="T307" s="8">
        <f>ROUND(ППД5[[#This Row],[Площадь по проекту(общая)]]-ППД5[[#This Row],[Летние]],2)</f>
        <v>33.450000000000003</v>
      </c>
      <c r="U307" s="386">
        <f>ROUND(ППД5[[#This Row],[Площадь по проекту(общая)]]-(SUM(ППД5[[#This Row],[Лоджия 1]:[Лоджия 3]])/2),2)</f>
        <v>34.81</v>
      </c>
      <c r="V307" s="91">
        <f>IF(ППД5[[#This Row],[Статус]]="продажа",ППД5[[#This Row],[Расчетная проектная площадь]],ППД5[[#This Row],[Расчетная ТП площадь]])</f>
        <v>34.65</v>
      </c>
      <c r="W307" s="386">
        <v>14.2</v>
      </c>
      <c r="X307" s="386"/>
      <c r="Y307" s="386"/>
      <c r="Z307" s="386">
        <f>SUM(ППД5[[#This Row],[ТП Комната 1]:[ТП Комната 3]])</f>
        <v>14.2</v>
      </c>
      <c r="AA307" s="386">
        <v>9.1</v>
      </c>
      <c r="AB307" s="386">
        <v>3.8</v>
      </c>
      <c r="AC307" s="386"/>
      <c r="AD307" s="91"/>
      <c r="AE307" s="386">
        <v>6.2</v>
      </c>
      <c r="AF307" s="386">
        <v>1.35</v>
      </c>
      <c r="AG307" s="386"/>
      <c r="AH307" s="386"/>
      <c r="AI307" s="386">
        <f>SUM(ППД5[[#This Row],[ТП Лоджия 1]:[ТП Лоджия 3]])</f>
        <v>1.35</v>
      </c>
      <c r="AJ307" s="387">
        <v>2.7</v>
      </c>
      <c r="AK307" s="386">
        <f>SUM(ППД5[[#This Row],[Площадь по ТП жилая]:[ТП Лоджия 3]])-ППД5[[#This Row],[ТП Летние]]+ППД5[[#This Row],[кроме того прочая
(без коэффициента)]]</f>
        <v>36</v>
      </c>
      <c r="AL307" s="387">
        <f>ППД5[[#This Row],[ТП Площадь без летних]]+(ППД5[[#This Row],[ТП Летние]])</f>
        <v>34.65</v>
      </c>
      <c r="AM307" s="386">
        <f>ППД5[[#This Row],[ТП общая S]]-ППД5[[#This Row],[кроме того прочая
(без коэффициента)]]</f>
        <v>33.299999999999997</v>
      </c>
      <c r="AN307" s="95">
        <f>SUM(ППД5[[#This Row],[ТП Кухня]:[ТП Коридор]])</f>
        <v>19.099999999999998</v>
      </c>
      <c r="AO307" s="386">
        <f>ППД5[[#This Row],[Расчетная ТП площадь]]-ППД5[[#This Row],[Расчетная проектная площадь]]</f>
        <v>-0.16000000000000369</v>
      </c>
      <c r="AP307" s="335">
        <f>ППД5[[#This Row],[Расчетная ТП площадь]]/ППД5[[#This Row],[Расчетная проектная площадь]]-1</f>
        <v>-4.5963803504741607E-3</v>
      </c>
      <c r="AQ307" s="91">
        <f>ППД5[[#This Row],[% расхождения]]*ППД5[[#This Row],[Стоимость до скидки]]</f>
        <v>-23554.151106004836</v>
      </c>
      <c r="AR307" s="91">
        <f>VLOOKUP(ППД5[[#This Row],[№]],наценкад5[],COLUMN(наценкад5[[#This Row],[Цена м2 с учетом всех K]]),0)</f>
        <v>85573.6875</v>
      </c>
      <c r="AS307" s="8">
        <f>ППД5[[#This Row],[м2 после К]]*5%</f>
        <v>4278.6843749999998</v>
      </c>
      <c r="AT307" s="8">
        <f>ППД5[[#This Row],[м2 после К]]+ППД5[[#This Row],[Повышение 16.08.23 - 5%]]</f>
        <v>89852.371874999997</v>
      </c>
      <c r="AU307" s="93">
        <f>ППД5[[#This Row],[Фикс 16.08.23]]*3%</f>
        <v>2695.5711562499996</v>
      </c>
      <c r="AV307" s="93">
        <f>ППД5[[#This Row],[Фикс 16.08.23]]+ППД5[[#This Row],[Повышение 29.08.23 - 3%]]</f>
        <v>92547.94303124999</v>
      </c>
      <c r="AW307" s="93">
        <f>ППД5[[#This Row],[Фикс 29.08.23]]*14%</f>
        <v>12956.712024375</v>
      </c>
      <c r="AX307" s="93">
        <f>ППД5[[#This Row],[Фикс 29.08.23]]+ППД5[[#This Row],[Повышение 06.09.23 СТ и 1К]]</f>
        <v>105504.65505562499</v>
      </c>
      <c r="AY307" s="93"/>
      <c r="AZ307" s="93">
        <f>ППД5[[#This Row],[Повышение 23.10.23  В4 ]]+ППД5[[#This Row],[Фикс 06.09.23]]</f>
        <v>105504.65505562499</v>
      </c>
      <c r="BA307" s="93">
        <f>ППД5[[#This Row],[Фикс 23.10.23]]*5%</f>
        <v>5275.2327527812495</v>
      </c>
      <c r="BB307" s="93">
        <f>ППД5[[#This Row],[Повышение 8.11.23 1К 5%]]+ППД5[[#This Row],[Фикс 23.10.23]]</f>
        <v>110779.88780840623</v>
      </c>
      <c r="BC307" s="93"/>
      <c r="BD307" s="93">
        <f>ППД5[[#This Row],[Корректировка 24.11.23 - 1К В5, 2К А2, №233]]+ППД5[[#This Row],[Фикс 8.11.23]]</f>
        <v>110779.88780840623</v>
      </c>
      <c r="BE307" s="93">
        <f>ППД5[[#This Row],[Фикс 8.11.24]]*1%</f>
        <v>1107.7988780840624</v>
      </c>
      <c r="BF307" s="93">
        <f>ППД5[[#This Row],[Наценка за отделку 29.12.23 1%]]+ППД5[[#This Row],[Фикс 8.11.24]]</f>
        <v>111887.6866864903</v>
      </c>
      <c r="BG307" s="93">
        <f>ППД5[[#This Row],[Фикс 29.12.23]]*5%</f>
        <v>5594.3843343245153</v>
      </c>
      <c r="BH307" s="93">
        <f>ППД5[[#This Row],[Фикс 29.12.23]]+ППД5[[#This Row],[Наценка 10.01.24 5%]]</f>
        <v>117482.07102081481</v>
      </c>
      <c r="BI307" s="93"/>
      <c r="BJ307" s="93">
        <f>ППД5[[#This Row],[Наценка 26.02.24 1 Этаж]]+ППД5[[#This Row],[Фикс 10.01.24]]</f>
        <v>117482.07102081481</v>
      </c>
      <c r="BK307" s="93">
        <f>ППД5[[#This Row],[Фикс 26.02.24]]*3%</f>
        <v>3524.4621306244439</v>
      </c>
      <c r="BL307" s="93">
        <f>ППД5[[#This Row],[Фикс 26.02.24]]+ППД5[[#This Row],[Наценка 06.03.24
СТ, 1К - 3%
2К, 3К - 2%]]</f>
        <v>121006.53315143925</v>
      </c>
      <c r="BM307" s="93"/>
      <c r="BN307" s="93">
        <f>ППД5[[#This Row],[Фикс 06.03.24]]+ППД5[[#This Row],[Наценка Г2+500]]</f>
        <v>121006.53315143925</v>
      </c>
      <c r="BO307" s="93"/>
      <c r="BP307" s="93">
        <f>ППД5[[#This Row],[Фикс 13.03.25]]+ППД5[[#This Row],[Наценка 20.03.24
2К, 3К - 2%]]</f>
        <v>121006.53315143925</v>
      </c>
      <c r="BQ307" s="93"/>
      <c r="BR307" s="93">
        <f>ППД5[[#This Row],[Фикс 20.03.24]]+ППД5[[#This Row],[Наценка 08.04.24 
2К: В3 - 150
3К: Г7 +1000]]</f>
        <v>121006.53315143925</v>
      </c>
      <c r="BS307" s="93"/>
      <c r="BT307" s="93">
        <f>ППД5[[#This Row],[Фикс 08.04.24]]+ППД5[[#This Row],[Наценка 16.05.24 1%
А4,А6,Б3,Б6,Б7,В2,В3,В5,В6,Г1,Г3-Г5]]</f>
        <v>121006.53315143925</v>
      </c>
      <c r="BU307" s="93"/>
      <c r="BV307" s="93">
        <f>ППД5[[#This Row],[Фикс 16.05.24]]+ППД5[[#This Row],[Наценка 24.05.24
1% - Б4, Б5,Г2,Г6
2% - А1,А3,А5,Б2,Г7]]</f>
        <v>121006.53315143925</v>
      </c>
      <c r="BW307" s="93"/>
      <c r="BX307" s="93">
        <f>ППД5[[#This Row],[Наценка 06.06.24
0К: В2,Г3 +0,5%
1К: А7, Б5/4, Г6 +0,5%
3К: В6 +0,5%
1К: А3 +1%]]+ППД5[[#This Row],[Фикс 24.05.24]]</f>
        <v>121006.53315143925</v>
      </c>
      <c r="BY307" s="93"/>
      <c r="BZ307" s="93">
        <f>ППД5[[#This Row],[Фикс 06.06.24]]+ППД5[[#This Row],[13.06.2024
3К - 2%]]</f>
        <v>121006.53315143925</v>
      </c>
      <c r="CA307" s="93">
        <f>0.5%*ППД5[[#This Row],[Фикс 13.06.24]]</f>
        <v>605.03266575719624</v>
      </c>
      <c r="CB307" s="93">
        <f>ППД5[[#This Row],[02.07.2024: Г3 А1 А3 Б5 Б7 Г2 Г6 Б3 Б4 В3 Г7 2,5% ост 0,5-1,5%]]+ППД5[[#This Row],[Фикс 13.06.24]]</f>
        <v>121611.56581719645</v>
      </c>
      <c r="CC307" s="93"/>
      <c r="CD307" s="93">
        <f>ППД5[[#This Row],[Фикс 02.07.24]]+ППД5[[#This Row],[04.09.2024 +500
0К - Б2; 1К - А3;
2К - А6, Б4, В3, Г5]]</f>
        <v>121611.56581719645</v>
      </c>
      <c r="CE307" s="93">
        <f>ППД5[[#This Row],[Фикс 04.09.24]]*2%</f>
        <v>2432.2313163439289</v>
      </c>
      <c r="CF307" s="93">
        <f>ППД5[[#This Row],[Наценка 16.09.2024
1К: А1,В7,Г6/7,Г8 - 2%
2К: А4,А5,А6,Б1,Б6,Б3/4,В3,В4,Г4,Г5 - 4%
3К: 4%]]+ППД5[[#This Row],[Фикс 04.09.24]]</f>
        <v>124043.79713354037</v>
      </c>
      <c r="CG307" s="93">
        <f>ППД5[[#This Row],[Фикс 16.09.2024]]*5%</f>
        <v>6202.1898566770187</v>
      </c>
      <c r="CH307" s="93">
        <f>ППД5[[#This Row],[Фикс 16.09.2024]]+ППД5[[#This Row],[Наценка 01.11.24
СТ: 4%
1К: 34-40м 5%; 40м+ 8%; МГН 1%
2К: 55-70м 6%; 70-73м 7%; 73-76м 8% 
3К: 5%]]</f>
        <v>130245.9869902174</v>
      </c>
      <c r="CI307" s="93">
        <f>ППД5[[#This Row],[Фикс 01.11.24]]*13%</f>
        <v>16931.978308728263</v>
      </c>
      <c r="CJ307" s="93">
        <f>ППД5[[#This Row],[Наценка 06.11 13%]]+ППД5[[#This Row],[Фикс 01.11.24]]</f>
        <v>147177.96529894567</v>
      </c>
      <c r="CK307" s="93">
        <v>35</v>
      </c>
      <c r="CL307" s="93">
        <f>ППД5[[#This Row],[Фикс 06.11.24]]+ППД5[[#This Row],[Наценка 18.12.24 распределение КВ]]</f>
        <v>147212.96529894567</v>
      </c>
      <c r="CM307" s="93"/>
      <c r="CN307" s="93">
        <f>ППД5[[#This Row],[Фикс 18.12.24]]+ППД5[[#This Row],[Наценка 10.02.25 +1%
1К: А3
2К: Б3, В3]]</f>
        <v>147212.96529894567</v>
      </c>
      <c r="CO307" s="93">
        <f>ROUND(ППД5[[#This Row],[Фикс 10.02.25]],2)</f>
        <v>147212.97</v>
      </c>
      <c r="CP30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5124500</v>
      </c>
      <c r="CQ307" s="93">
        <f>ROUNDUP(ППД5[[#This Row],[Стоимость до скидки]]+ППД5[[#This Row],[Сумма доплаты]],-2)</f>
        <v>5101000</v>
      </c>
      <c r="CR307" s="68"/>
      <c r="CS307" s="90">
        <v>0.03</v>
      </c>
      <c r="CT307" s="68">
        <f>ППД5[[#This Row],[Стоимость до скидки]]*ППД5[[#This Row],[Скидка %]]+ППД5[[#This Row],[Скидка фиксированная]]</f>
        <v>153735</v>
      </c>
      <c r="CU307" s="3">
        <f>ППД5[[#This Row],[Стоимость ОН без отделки со скидкой]]/ППД5[[#This Row],[Расчетная проектная площадь]]</f>
        <v>142797.04108014939</v>
      </c>
      <c r="CV307" s="3">
        <f>ROUND(ППД5[[#This Row],[Стоимость до скидки]]-ППД5[[#This Row],[Итоговая сумма скидки]],2)</f>
        <v>4970765</v>
      </c>
      <c r="CW30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07" s="197">
        <v>25000</v>
      </c>
      <c r="CY307" s="332">
        <f>ППД5[[#This Row],[Расхождение]]/ППД5[[#This Row],[Расчетная проектная площадь]]</f>
        <v>-4.5963803504741078E-3</v>
      </c>
      <c r="CZ30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-5.0000000000002487E-2</v>
      </c>
      <c r="DA307" s="3">
        <f>ППД5[[#This Row],[Цена м2 без отделки со скидкой]]+ППД5[[#This Row],[Стоимость отделки]]</f>
        <v>167797.04108014939</v>
      </c>
      <c r="DB307" s="3">
        <f>ППД5[[#This Row],[Стоимость квартиры с отделкой]]-ППД5[[#This Row],[Стоимость ОН без отделки со скидкой]]</f>
        <v>870250.00000000093</v>
      </c>
      <c r="DC307" s="3">
        <f>ППД5[[#This Row],[Цена м2 с отделкой]]*ППД5[[#This Row],[Расчетная проектная площадь]]</f>
        <v>5841015.0000000009</v>
      </c>
      <c r="DD307" s="3" t="s">
        <v>154</v>
      </c>
      <c r="DE307" s="111" t="s">
        <v>1719</v>
      </c>
      <c r="DF307" s="388" t="s">
        <v>157</v>
      </c>
      <c r="DG307" s="221" t="s">
        <v>172</v>
      </c>
      <c r="DH307" s="100" t="b">
        <f>EXACT(ППД5[[#This Row],[Статусы CRM]],ППД5[[#This Row],[Статус]])</f>
        <v>0</v>
      </c>
      <c r="DI307" s="213" t="s">
        <v>479</v>
      </c>
      <c r="DJ307" s="204"/>
      <c r="DK307" s="111" t="s">
        <v>763</v>
      </c>
      <c r="DL307" s="216" t="s">
        <v>14</v>
      </c>
      <c r="DM307" s="201" t="b">
        <f>ППД5[[#This Row],[Отделка CRM]]=ППД5[[#This Row],[Отделка]]</f>
        <v>1</v>
      </c>
      <c r="DN307" s="203">
        <v>5841015</v>
      </c>
      <c r="DO30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-9.3132257461547852E-10</v>
      </c>
      <c r="DP307" s="207" t="b">
        <f>IF(AND(ППД5[[#This Row],[Статус]]="свободно",ППД5[[#This Row],[Итоговая сумма скидки]]&lt;&gt;0),FALSE,TRUE)</f>
        <v>0</v>
      </c>
      <c r="DQ307" s="240">
        <f>_xlfn.XLOOKUP(ППД5[[#This Row],[№]],Юрист[№ кв],Юрист[Дата подачи на регистрацию]," ",0,-1)</f>
        <v>45719</v>
      </c>
      <c r="DR307" s="115" t="str">
        <f>_xlfn.XLOOKUP(ППД5[[#This Row],[№]],Юрист[№ кв],Юрист[МОП],"",0,-1)</f>
        <v>Полехович</v>
      </c>
      <c r="DS307" s="333" t="s">
        <v>2906</v>
      </c>
      <c r="DT307" s="333" t="s">
        <v>2907</v>
      </c>
      <c r="DU307" s="333">
        <v>33.299999999999997</v>
      </c>
      <c r="DV307" s="111"/>
    </row>
    <row r="308" spans="1:126" hidden="1" x14ac:dyDescent="0.25">
      <c r="A308" s="112">
        <v>306</v>
      </c>
      <c r="B308" s="111" t="s">
        <v>3</v>
      </c>
      <c r="C308" s="111">
        <v>13</v>
      </c>
      <c r="D308" s="338">
        <v>1</v>
      </c>
      <c r="E308" s="111">
        <v>2</v>
      </c>
      <c r="F308" s="105">
        <v>17.63</v>
      </c>
      <c r="G308" s="105">
        <v>13.69</v>
      </c>
      <c r="H308" s="105"/>
      <c r="I308" s="94">
        <f>SUM(ППД5[[#This Row],[Комната 1]:[Комната 3]])</f>
        <v>31.32</v>
      </c>
      <c r="J308" s="105">
        <v>20.05</v>
      </c>
      <c r="K308" s="105">
        <v>3.54</v>
      </c>
      <c r="L308" s="105">
        <v>2.93</v>
      </c>
      <c r="M308" s="105"/>
      <c r="N308" s="105">
        <v>12.19</v>
      </c>
      <c r="O308" s="105">
        <v>4.6500000000000004</v>
      </c>
      <c r="P308" s="105">
        <v>2.68</v>
      </c>
      <c r="Q308" s="105"/>
      <c r="R308" s="105">
        <f>SUM(ППД5[[#This Row],[Лоджия 1]:[Лоджия 3]])</f>
        <v>7.33</v>
      </c>
      <c r="S308" s="8">
        <f>ROUND(SUM(ППД5[[#This Row],[Площадь по проекту жилая]:[Лоджия 3]]),2)</f>
        <v>77.36</v>
      </c>
      <c r="T308" s="8">
        <f>ROUND(ППД5[[#This Row],[Площадь по проекту(общая)]]-ППД5[[#This Row],[Летние]],2)</f>
        <v>70.03</v>
      </c>
      <c r="U308" s="91">
        <f>ROUND(ППД5[[#This Row],[Площадь по проекту(общая)]]-(SUM(ППД5[[#This Row],[Лоджия 1]:[Лоджия 3]])/2),2)</f>
        <v>73.7</v>
      </c>
      <c r="V308" s="91">
        <f>IF(ППД5[[#This Row],[Статус]]="продажа",ППД5[[#This Row],[Расчетная проектная площадь]],ППД5[[#This Row],[Расчетная ТП площадь]])</f>
        <v>73.7</v>
      </c>
      <c r="W308" s="91">
        <v>17.7</v>
      </c>
      <c r="X308" s="91">
        <v>13.6</v>
      </c>
      <c r="Y308" s="91"/>
      <c r="Z308" s="91">
        <f>SUM(ППД5[[#This Row],[ТП Комната 1]:[ТП Комната 3]])</f>
        <v>31.299999999999997</v>
      </c>
      <c r="AA308" s="91">
        <v>19.899999999999999</v>
      </c>
      <c r="AB308" s="91">
        <v>3.6</v>
      </c>
      <c r="AC308" s="91">
        <v>2.9</v>
      </c>
      <c r="AD308" s="91"/>
      <c r="AE308" s="91">
        <v>12.2</v>
      </c>
      <c r="AF308" s="91">
        <v>1.3</v>
      </c>
      <c r="AG308" s="91">
        <v>2.2999999999999998</v>
      </c>
      <c r="AH308" s="91"/>
      <c r="AI308" s="91">
        <f>SUM(ППД5[[#This Row],[ТП Лоджия 1]:[ТП Лоджия 3]])</f>
        <v>3.5999999999999996</v>
      </c>
      <c r="AJ308" s="95">
        <v>7.1999999999999993</v>
      </c>
      <c r="AK308" s="91">
        <f>SUM(ППД5[[#This Row],[Площадь по ТП жилая]:[ТП Лоджия 3]])-ППД5[[#This Row],[ТП Летние]]+ППД5[[#This Row],[кроме того прочая
(без коэффициента)]]</f>
        <v>77.099999999999994</v>
      </c>
      <c r="AL308" s="95">
        <f>ППД5[[#This Row],[ТП Площадь без летних]]+(ППД5[[#This Row],[ТП Летние]])</f>
        <v>73.499999999999986</v>
      </c>
      <c r="AM308" s="91">
        <f>ППД5[[#This Row],[ТП общая S]]-ППД5[[#This Row],[кроме того прочая
(без коэффициента)]]</f>
        <v>69.899999999999991</v>
      </c>
      <c r="AN308" s="95">
        <f>SUM(ППД5[[#This Row],[ТП Кухня]:[ТП Коридор]])</f>
        <v>38.599999999999994</v>
      </c>
      <c r="AO308" s="91">
        <f>ППД5[[#This Row],[Расчетная ТП площадь]]-ППД5[[#This Row],[Расчетная проектная площадь]]</f>
        <v>-0.20000000000001705</v>
      </c>
      <c r="AP308" s="335">
        <f>ППД5[[#This Row],[Расчетная ТП площадь]]/ППД5[[#This Row],[Расчетная проектная площадь]]-1</f>
        <v>-2.7137042062417294E-3</v>
      </c>
      <c r="AQ308" s="91">
        <f>ППД5[[#This Row],[% расхождения]]*ППД5[[#This Row],[Стоимость до скидки]]</f>
        <v>-20402.713704207817</v>
      </c>
      <c r="AR308" s="91">
        <f>VLOOKUP(ППД5[[#This Row],[№]],наценкад5[],COLUMN(наценкад5[[#This Row],[Цена м2 с учетом всех K]]),0)</f>
        <v>78763.482000000004</v>
      </c>
      <c r="AS308" s="8">
        <f>ППД5[[#This Row],[м2 после К]]*5%</f>
        <v>3938.1741000000002</v>
      </c>
      <c r="AT308" s="8">
        <f>ППД5[[#This Row],[м2 после К]]+ППД5[[#This Row],[Повышение 16.08.23 - 5%]]</f>
        <v>82701.656100000007</v>
      </c>
      <c r="AU308" s="93">
        <f>ППД5[[#This Row],[Фикс 16.08.23]]*3%</f>
        <v>2481.0496830000002</v>
      </c>
      <c r="AV308" s="93">
        <f>ППД5[[#This Row],[Фикс 16.08.23]]+ППД5[[#This Row],[Повышение 29.08.23 - 3%]]</f>
        <v>85182.705783000012</v>
      </c>
      <c r="AW308" s="93"/>
      <c r="AX308" s="93">
        <f>ППД5[[#This Row],[Фикс 29.08.23]]+ППД5[[#This Row],[Повышение 06.09.23 СТ и 1К]]</f>
        <v>85182.705783000012</v>
      </c>
      <c r="AY308" s="93"/>
      <c r="AZ308" s="93">
        <f>ППД5[[#This Row],[Повышение 23.10.23  В4 ]]+ППД5[[#This Row],[Фикс 06.09.23]]</f>
        <v>85182.705783000012</v>
      </c>
      <c r="BA308" s="93"/>
      <c r="BB308" s="93">
        <f>ППД5[[#This Row],[Повышение 8.11.23 1К 5%]]+ППД5[[#This Row],[Фикс 23.10.23]]</f>
        <v>85182.705783000012</v>
      </c>
      <c r="BC308" s="93"/>
      <c r="BD308" s="93">
        <f>ППД5[[#This Row],[Корректировка 24.11.23 - 1К В5, 2К А2, №233]]+ППД5[[#This Row],[Фикс 8.11.23]]</f>
        <v>85182.705783000012</v>
      </c>
      <c r="BE308" s="93">
        <f>ППД5[[#This Row],[Фикс 8.11.24]]*1%</f>
        <v>851.82705783000017</v>
      </c>
      <c r="BF308" s="93">
        <f>ППД5[[#This Row],[Наценка за отделку 29.12.23 1%]]+ППД5[[#This Row],[Фикс 8.11.24]]</f>
        <v>86034.532840830012</v>
      </c>
      <c r="BG308" s="93">
        <f>ППД5[[#This Row],[Фикс 29.12.23]]*5%</f>
        <v>4301.7266420415008</v>
      </c>
      <c r="BH308" s="93">
        <f>ППД5[[#This Row],[Фикс 29.12.23]]+ППД5[[#This Row],[Наценка 10.01.24 5%]]</f>
        <v>90336.259482871508</v>
      </c>
      <c r="BI308" s="93"/>
      <c r="BJ308" s="93">
        <f>ППД5[[#This Row],[Наценка 26.02.24 1 Этаж]]+ППД5[[#This Row],[Фикс 10.01.24]]</f>
        <v>90336.259482871508</v>
      </c>
      <c r="BK308" s="93">
        <f>ППД5[[#This Row],[Фикс 26.02.24]]*2%</f>
        <v>1806.7251896574303</v>
      </c>
      <c r="BL308" s="93">
        <f>ППД5[[#This Row],[Фикс 26.02.24]]+ППД5[[#This Row],[Наценка 06.03.24
СТ, 1К - 3%
2К, 3К - 2%]]</f>
        <v>92142.984672528939</v>
      </c>
      <c r="BM308" s="93"/>
      <c r="BN308" s="93">
        <f>ППД5[[#This Row],[Фикс 06.03.24]]+ППД5[[#This Row],[Наценка Г2+500]]</f>
        <v>92142.984672528939</v>
      </c>
      <c r="BO308" s="93">
        <f>ППД5[[#This Row],[Фикс 13.03.25]]*2%</f>
        <v>1842.8596934505788</v>
      </c>
      <c r="BP308" s="93">
        <f>ППД5[[#This Row],[Фикс 13.03.25]]+ППД5[[#This Row],[Наценка 20.03.24
2К, 3К - 2%]]</f>
        <v>93985.844365979516</v>
      </c>
      <c r="BQ308" s="93"/>
      <c r="BR308" s="93">
        <f>ППД5[[#This Row],[Фикс 20.03.24]]+ППД5[[#This Row],[Наценка 08.04.24 
2К: В3 - 150
3К: Г7 +1000]]</f>
        <v>93985.844365979516</v>
      </c>
      <c r="BS308" s="93"/>
      <c r="BT308" s="93">
        <f>ППД5[[#This Row],[Фикс 08.04.24]]+ППД5[[#This Row],[Наценка 16.05.24 1%
А4,А6,Б3,Б6,Б7,В2,В3,В5,В6,Г1,Г3-Г5]]</f>
        <v>93985.844365979516</v>
      </c>
      <c r="BU308" s="93"/>
      <c r="BV308" s="93">
        <f>ППД5[[#This Row],[Фикс 16.05.24]]+ППД5[[#This Row],[Наценка 24.05.24
1% - Б4, Б5,Г2,Г6
2% - А1,А3,А5,Б2,Г7]]</f>
        <v>93985.844365979516</v>
      </c>
      <c r="BW308" s="93"/>
      <c r="BX308" s="93">
        <f>ППД5[[#This Row],[Наценка 06.06.24
0К: В2,Г3 +0,5%
1К: А7, Б5/4, Г6 +0,5%
3К: В6 +0,5%
1К: А3 +1%]]+ППД5[[#This Row],[Фикс 24.05.24]]</f>
        <v>93985.844365979516</v>
      </c>
      <c r="BY308" s="93"/>
      <c r="BZ308" s="93">
        <f>ППД5[[#This Row],[Фикс 06.06.24]]+ППД5[[#This Row],[13.06.2024
3К - 2%]]</f>
        <v>93985.844365979516</v>
      </c>
      <c r="CA308" s="93">
        <f>0.5%*ППД5[[#This Row],[Фикс 13.06.24]]</f>
        <v>469.92922182989759</v>
      </c>
      <c r="CB308" s="93">
        <f>ППД5[[#This Row],[02.07.2024: Г3 А1 А3 Б5 Б7 Г2 Г6 Б3 Б4 В3 Г7 2,5% ост 0,5-1,5%]]+ППД5[[#This Row],[Фикс 13.06.24]]</f>
        <v>94455.77358780941</v>
      </c>
      <c r="CC308" s="93"/>
      <c r="CD308" s="93">
        <f>ППД5[[#This Row],[Фикс 02.07.24]]+ППД5[[#This Row],[04.09.2024 +500
0К - Б2; 1К - А3;
2К - А6, Б4, В3, Г5]]</f>
        <v>94455.77358780941</v>
      </c>
      <c r="CE308" s="93"/>
      <c r="CF308" s="93">
        <f>ППД5[[#This Row],[Наценка 16.09.2024
1К: А1,В7,Г6/7,Г8 - 2%
2К: А4,А5,А6,Б1,Б6,Б3/4,В3,В4,Г4,Г5 - 4%
3К: 4%]]+ППД5[[#This Row],[Фикс 04.09.24]]</f>
        <v>94455.77358780941</v>
      </c>
      <c r="CG308" s="93">
        <f>ППД5[[#This Row],[Фикс 16.09.2024]]*8%</f>
        <v>7556.4618870247532</v>
      </c>
      <c r="CH308" s="93">
        <f>ППД5[[#This Row],[Фикс 16.09.2024]]+ППД5[[#This Row],[Наценка 01.11.24
СТ: 4%
1К: 34-40м 5%; 40м+ 8%; МГН 1%
2К: 55-70м 6%; 70-73м 7%; 73-76м 8% 
3К: 5%]]</f>
        <v>102012.23547483416</v>
      </c>
      <c r="CI308" s="93"/>
      <c r="CJ308" s="93">
        <f>ППД5[[#This Row],[Наценка 06.11 13%]]+ППД5[[#This Row],[Фикс 01.11.24]]</f>
        <v>102012.23547483416</v>
      </c>
      <c r="CK308" s="93"/>
      <c r="CL308" s="93">
        <f>ППД5[[#This Row],[Фикс 06.11.24]]+ППД5[[#This Row],[Наценка 18.12.24 распределение КВ]]</f>
        <v>102012.23547483416</v>
      </c>
      <c r="CM308" s="93"/>
      <c r="CN308" s="93">
        <f>ППД5[[#This Row],[Фикс 18.12.24]]+ППД5[[#This Row],[Наценка 10.02.25 +1%
1К: А3
2К: Б3, В3]]</f>
        <v>102012.23547483416</v>
      </c>
      <c r="CO308" s="93">
        <f>ROUND(ППД5[[#This Row],[Фикс 10.02.25]],2)</f>
        <v>102012.24</v>
      </c>
      <c r="CP30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7518400</v>
      </c>
      <c r="CQ308" s="93">
        <f>ROUNDUP(ППД5[[#This Row],[Стоимость до скидки]]+ППД5[[#This Row],[Сумма доплаты]],-2)</f>
        <v>7498000</v>
      </c>
      <c r="CR308" s="68"/>
      <c r="CS308" s="90">
        <v>0.02</v>
      </c>
      <c r="CT308" s="68">
        <f>ППД5[[#This Row],[Стоимость до скидки]]*ППД5[[#This Row],[Скидка %]]+ППД5[[#This Row],[Скидка фиксированная]]</f>
        <v>150368</v>
      </c>
      <c r="CU308" s="3">
        <f>ППД5[[#This Row],[Стоимость ОН без отделки со скидкой]]/ППД5[[#This Row],[Расчетная проектная площадь]]</f>
        <v>99973.297150610582</v>
      </c>
      <c r="CV308" s="3">
        <f>ROUND(ППД5[[#This Row],[Стоимость до скидки]]-ППД5[[#This Row],[Итоговая сумма скидки]],2)</f>
        <v>7368032</v>
      </c>
      <c r="CW30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08" s="197">
        <v>24000</v>
      </c>
      <c r="CY308" s="332">
        <f>ППД5[[#This Row],[Расхождение]]/ППД5[[#This Row],[Расчетная проектная площадь]]</f>
        <v>-2.7137042062417511E-3</v>
      </c>
      <c r="CZ30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-0.11000000000000298</v>
      </c>
      <c r="DA308" s="3">
        <f>ППД5[[#This Row],[Цена м2 без отделки со скидкой]]+ППД5[[#This Row],[Стоимость отделки]]</f>
        <v>123973.29715061058</v>
      </c>
      <c r="DB308" s="3">
        <f>ППД5[[#This Row],[Стоимость квартиры с отделкой]]-ППД5[[#This Row],[Стоимость ОН без отделки со скидкой]]</f>
        <v>1768800</v>
      </c>
      <c r="DC308" s="3">
        <f>ППД5[[#This Row],[Цена м2 с отделкой]]*ППД5[[#This Row],[Расчетная проектная площадь]]</f>
        <v>9136832</v>
      </c>
      <c r="DD308" s="3" t="s">
        <v>158</v>
      </c>
      <c r="DE308" s="111" t="s">
        <v>757</v>
      </c>
      <c r="DF308" s="215" t="s">
        <v>172</v>
      </c>
      <c r="DG308" s="245" t="s">
        <v>172</v>
      </c>
      <c r="DH308" s="100" t="b">
        <f>EXACT(ППД5[[#This Row],[Статусы CRM]],ППД5[[#This Row],[Статус]])</f>
        <v>1</v>
      </c>
      <c r="DI308" s="213" t="s">
        <v>480</v>
      </c>
      <c r="DJ308" s="204"/>
      <c r="DK308" s="111" t="s">
        <v>763</v>
      </c>
      <c r="DL308" s="216" t="s">
        <v>14</v>
      </c>
      <c r="DM308" s="201" t="b">
        <f>ППД5[[#This Row],[Отделка CRM]]=ППД5[[#This Row],[Отделка]]</f>
        <v>1</v>
      </c>
      <c r="DN308" s="203">
        <v>9136832</v>
      </c>
      <c r="DO30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08" s="207" t="b">
        <f>IF(AND(ППД5[[#This Row],[Статус]]="свободно",ППД5[[#This Row],[Итоговая сумма скидки]]&lt;&gt;0),FALSE,TRUE)</f>
        <v>1</v>
      </c>
      <c r="DQ308" s="240">
        <f>_xlfn.XLOOKUP(ППД5[[#This Row],[№]],Юрист[№ кв],Юрист[Дата подачи на регистрацию]," ",0,-1)</f>
        <v>45610</v>
      </c>
      <c r="DR308" s="115" t="str">
        <f>_xlfn.XLOOKUP(ППД5[[#This Row],[№]],Юрист[№ кв],Юрист[МОП],"",0,-1)</f>
        <v>Дик</v>
      </c>
      <c r="DS308" s="333" t="s">
        <v>2908</v>
      </c>
      <c r="DT308" s="333" t="s">
        <v>2909</v>
      </c>
      <c r="DU308" s="333">
        <v>69.900000000000006</v>
      </c>
      <c r="DV308" s="111"/>
    </row>
    <row r="309" spans="1:126" hidden="1" x14ac:dyDescent="0.25">
      <c r="A309" s="112">
        <v>307</v>
      </c>
      <c r="B309" s="111" t="s">
        <v>3</v>
      </c>
      <c r="C309" s="111">
        <v>13</v>
      </c>
      <c r="D309" s="111">
        <v>2</v>
      </c>
      <c r="E309" s="111">
        <v>0</v>
      </c>
      <c r="F309" s="105">
        <v>7.18</v>
      </c>
      <c r="G309" s="105"/>
      <c r="H309" s="105"/>
      <c r="I309" s="94">
        <f>SUM(ППД5[[#This Row],[Комната 1]:[Комната 3]])</f>
        <v>7.18</v>
      </c>
      <c r="J309" s="105">
        <v>5.17</v>
      </c>
      <c r="K309" s="105">
        <v>3.72</v>
      </c>
      <c r="L309" s="105"/>
      <c r="M309" s="105"/>
      <c r="N309" s="105">
        <v>6.97</v>
      </c>
      <c r="O309" s="105">
        <v>2.97</v>
      </c>
      <c r="P309" s="105"/>
      <c r="Q309" s="105"/>
      <c r="R309" s="105">
        <f>SUM(ППД5[[#This Row],[Лоджия 1]:[Лоджия 3]])</f>
        <v>2.97</v>
      </c>
      <c r="S309" s="8">
        <f>ROUND(SUM(ППД5[[#This Row],[Площадь по проекту жилая]:[Лоджия 3]]),2)</f>
        <v>26.01</v>
      </c>
      <c r="T309" s="8">
        <f>ROUND(ППД5[[#This Row],[Площадь по проекту(общая)]]-ППД5[[#This Row],[Летние]],2)</f>
        <v>23.04</v>
      </c>
      <c r="U309" s="91">
        <f>ROUND(ППД5[[#This Row],[Площадь по проекту(общая)]]-(SUM(ППД5[[#This Row],[Лоджия 1]:[Лоджия 3]])/2),2)</f>
        <v>24.53</v>
      </c>
      <c r="V309" s="91">
        <f>IF(ППД5[[#This Row],[Статус]]="продажа",ППД5[[#This Row],[Расчетная проектная площадь]],ППД5[[#This Row],[Расчетная ТП площадь]])</f>
        <v>24.53</v>
      </c>
      <c r="W309" s="91">
        <v>7.2</v>
      </c>
      <c r="X309" s="91"/>
      <c r="Y309" s="91"/>
      <c r="Z309" s="91">
        <f>SUM(ППД5[[#This Row],[ТП Комната 1]:[ТП Комната 3]])</f>
        <v>7.2</v>
      </c>
      <c r="AA309" s="91">
        <v>5.0999999999999996</v>
      </c>
      <c r="AB309" s="91">
        <v>3.7</v>
      </c>
      <c r="AC309" s="91"/>
      <c r="AD309" s="91"/>
      <c r="AE309" s="91">
        <v>6.9</v>
      </c>
      <c r="AF309" s="91">
        <v>1.45</v>
      </c>
      <c r="AG309" s="91"/>
      <c r="AH309" s="91"/>
      <c r="AI309" s="91">
        <f>SUM(ППД5[[#This Row],[ТП Лоджия 1]:[ТП Лоджия 3]])</f>
        <v>1.45</v>
      </c>
      <c r="AJ309" s="95">
        <v>2.9</v>
      </c>
      <c r="AK309" s="91">
        <f>SUM(ППД5[[#This Row],[Площадь по ТП жилая]:[ТП Лоджия 3]])-ППД5[[#This Row],[ТП Летние]]+ППД5[[#This Row],[кроме того прочая
(без коэффициента)]]</f>
        <v>25.799999999999997</v>
      </c>
      <c r="AL309" s="95">
        <f>ППД5[[#This Row],[ТП Площадь без летних]]+(ППД5[[#This Row],[ТП Летние]])</f>
        <v>24.349999999999998</v>
      </c>
      <c r="AM309" s="91">
        <f>ППД5[[#This Row],[ТП общая S]]-ППД5[[#This Row],[кроме того прочая
(без коэффициента)]]</f>
        <v>22.9</v>
      </c>
      <c r="AN309" s="95">
        <f>SUM(ППД5[[#This Row],[ТП Кухня]:[ТП Коридор]])</f>
        <v>15.700000000000001</v>
      </c>
      <c r="AO309" s="91">
        <f>ППД5[[#This Row],[Расчетная ТП площадь]]-ППД5[[#This Row],[Расчетная проектная площадь]]</f>
        <v>-0.18000000000000327</v>
      </c>
      <c r="AP309" s="335">
        <f>ППД5[[#This Row],[Расчетная ТП площадь]]/ППД5[[#This Row],[Расчетная проектная площадь]]-1</f>
        <v>-7.3379535262945161E-3</v>
      </c>
      <c r="AQ309" s="91">
        <f>ППД5[[#This Row],[% расхождения]]*ППД5[[#This Row],[Стоимость до скидки]]</f>
        <v>-20840.855393396359</v>
      </c>
      <c r="AR309" s="91">
        <f>VLOOKUP(ППД5[[#This Row],[№]],наценкад5[],COLUMN(наценкад5[[#This Row],[Цена м2 с учетом всех K]]),0)</f>
        <v>91981.574999999997</v>
      </c>
      <c r="AS309" s="8">
        <f>ППД5[[#This Row],[м2 после К]]*5%</f>
        <v>4599.0787499999997</v>
      </c>
      <c r="AT309" s="8">
        <f>ППД5[[#This Row],[м2 после К]]+ППД5[[#This Row],[Повышение 16.08.23 - 5%]]</f>
        <v>96580.653749999998</v>
      </c>
      <c r="AU309" s="93">
        <f>ППД5[[#This Row],[Фикс 16.08.23]]*3%</f>
        <v>2897.4196124999999</v>
      </c>
      <c r="AV309" s="93">
        <f>ППД5[[#This Row],[Фикс 16.08.23]]+ППД5[[#This Row],[Повышение 29.08.23 - 3%]]</f>
        <v>99478.073362499999</v>
      </c>
      <c r="AW309" s="93">
        <f>ППД5[[#This Row],[Фикс 29.08.23]]*13%</f>
        <v>12932.149537125</v>
      </c>
      <c r="AX309" s="93">
        <f>ППД5[[#This Row],[Фикс 29.08.23]]+ППД5[[#This Row],[Повышение 06.09.23 СТ и 1К]]</f>
        <v>112410.22289962501</v>
      </c>
      <c r="AY309" s="93">
        <f>ППД5[[#This Row],[Фикс 06.09.23]]*3%</f>
        <v>3372.3066869887502</v>
      </c>
      <c r="AZ309" s="93">
        <f>ППД5[[#This Row],[Повышение 23.10.23  В4 ]]+ППД5[[#This Row],[Фикс 06.09.23]]</f>
        <v>115782.52958661376</v>
      </c>
      <c r="BA309" s="93"/>
      <c r="BB309" s="93">
        <f>ППД5[[#This Row],[Повышение 8.11.23 1К 5%]]+ППД5[[#This Row],[Фикс 23.10.23]]</f>
        <v>115782.52958661376</v>
      </c>
      <c r="BC309" s="93"/>
      <c r="BD309" s="93">
        <f>ППД5[[#This Row],[Корректировка 24.11.23 - 1К В5, 2К А2, №233]]+ППД5[[#This Row],[Фикс 8.11.23]]</f>
        <v>115782.52958661376</v>
      </c>
      <c r="BE309" s="93"/>
      <c r="BF309" s="93">
        <f>ППД5[[#This Row],[Наценка за отделку 29.12.23 1%]]+ППД5[[#This Row],[Фикс 8.11.24]]</f>
        <v>115782.52958661376</v>
      </c>
      <c r="BG309" s="93"/>
      <c r="BH309" s="93">
        <f>ППД5[[#This Row],[Фикс 29.12.23]]+ППД5[[#This Row],[Наценка 10.01.24 5%]]</f>
        <v>115782.52958661376</v>
      </c>
      <c r="BI309" s="93"/>
      <c r="BJ309" s="93">
        <f>ППД5[[#This Row],[Наценка 26.02.24 1 Этаж]]+ППД5[[#This Row],[Фикс 10.01.24]]</f>
        <v>115782.52958661376</v>
      </c>
      <c r="BK309" s="93"/>
      <c r="BL309" s="93">
        <f>ППД5[[#This Row],[Фикс 26.02.24]]+ППД5[[#This Row],[Наценка 06.03.24
СТ, 1К - 3%
2К, 3К - 2%]]</f>
        <v>115782.52958661376</v>
      </c>
      <c r="BM309" s="93"/>
      <c r="BN309" s="93">
        <f>ППД5[[#This Row],[Фикс 06.03.24]]+ППД5[[#This Row],[Наценка Г2+500]]</f>
        <v>115782.52958661376</v>
      </c>
      <c r="BO309" s="93"/>
      <c r="BP309" s="93">
        <f>ППД5[[#This Row],[Фикс 13.03.25]]+ППД5[[#This Row],[Наценка 20.03.24
2К, 3К - 2%]]</f>
        <v>115782.52958661376</v>
      </c>
      <c r="BQ309" s="93"/>
      <c r="BR309" s="93">
        <f>ППД5[[#This Row],[Фикс 20.03.24]]+ППД5[[#This Row],[Наценка 08.04.24 
2К: В3 - 150
3К: Г7 +1000]]</f>
        <v>115782.52958661376</v>
      </c>
      <c r="BS309" s="93"/>
      <c r="BT309" s="93">
        <f>ППД5[[#This Row],[Фикс 08.04.24]]+ППД5[[#This Row],[Наценка 16.05.24 1%
А4,А6,Б3,Б6,Б7,В2,В3,В5,В6,Г1,Г3-Г5]]</f>
        <v>115782.52958661376</v>
      </c>
      <c r="BU309" s="93"/>
      <c r="BV309" s="93">
        <f>ППД5[[#This Row],[Фикс 16.05.24]]+ППД5[[#This Row],[Наценка 24.05.24
1% - Б4, Б5,Г2,Г6
2% - А1,А3,А5,Б2,Г7]]</f>
        <v>115782.52958661376</v>
      </c>
      <c r="BW309" s="93"/>
      <c r="BX309" s="93">
        <f>ППД5[[#This Row],[Наценка 06.06.24
0К: В2,Г3 +0,5%
1К: А7, Б5/4, Г6 +0,5%
3К: В6 +0,5%
1К: А3 +1%]]+ППД5[[#This Row],[Фикс 24.05.24]]</f>
        <v>115782.52958661376</v>
      </c>
      <c r="BY309" s="93"/>
      <c r="BZ309" s="93">
        <f>ППД5[[#This Row],[Фикс 06.06.24]]+ППД5[[#This Row],[13.06.2024
3К - 2%]]</f>
        <v>115782.52958661376</v>
      </c>
      <c r="CA309" s="93"/>
      <c r="CB309" s="93">
        <f>ППД5[[#This Row],[02.07.2024: Г3 А1 А3 Б5 Б7 Г2 Г6 Б3 Б4 В3 Г7 2,5% ост 0,5-1,5%]]+ППД5[[#This Row],[Фикс 13.06.24]]</f>
        <v>115782.52958661376</v>
      </c>
      <c r="CC309" s="93"/>
      <c r="CD309" s="93">
        <f>ППД5[[#This Row],[Фикс 02.07.24]]+ППД5[[#This Row],[04.09.2024 +500
0К - Б2; 1К - А3;
2К - А6, Б4, В3, Г5]]</f>
        <v>115782.52958661376</v>
      </c>
      <c r="CE309" s="93"/>
      <c r="CF309" s="93">
        <f>ППД5[[#This Row],[Наценка 16.09.2024
1К: А1,В7,Г6/7,Г8 - 2%
2К: А4,А5,А6,Б1,Б6,Б3/4,В3,В4,Г4,Г5 - 4%
3К: 4%]]+ППД5[[#This Row],[Фикс 04.09.24]]</f>
        <v>115782.52958661376</v>
      </c>
      <c r="CG309" s="93"/>
      <c r="CH309" s="93">
        <f>ППД5[[#This Row],[Фикс 16.09.2024]]+ППД5[[#This Row],[Наценка 01.11.24
СТ: 4%
1К: 34-40м 5%; 40м+ 8%; МГН 1%
2К: 55-70м 6%; 70-73м 7%; 73-76м 8% 
3К: 5%]]</f>
        <v>115782.52958661376</v>
      </c>
      <c r="CI309" s="93"/>
      <c r="CJ309" s="93">
        <f>ППД5[[#This Row],[Наценка 06.11 13%]]+ППД5[[#This Row],[Фикс 01.11.24]]</f>
        <v>115782.52958661376</v>
      </c>
      <c r="CK309" s="93"/>
      <c r="CL309" s="93">
        <f>ППД5[[#This Row],[Фикс 06.11.24]]+ППД5[[#This Row],[Наценка 18.12.24 распределение КВ]]</f>
        <v>115782.52958661376</v>
      </c>
      <c r="CM309" s="93"/>
      <c r="CN309" s="93">
        <f>ППД5[[#This Row],[Фикс 18.12.24]]+ППД5[[#This Row],[Наценка 10.02.25 +1%
1К: А3
2К: Б3, В3]]</f>
        <v>115782.52958661376</v>
      </c>
      <c r="CO309" s="93">
        <f>ROUND(ППД5[[#This Row],[Фикс 10.02.25]],2)</f>
        <v>115782.53</v>
      </c>
      <c r="CP30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2840145.46</v>
      </c>
      <c r="CQ309" s="93">
        <f>ROUNDUP(ППД5[[#This Row],[Стоимость до скидки]]+ППД5[[#This Row],[Сумма доплаты]],-2)</f>
        <v>2819400</v>
      </c>
      <c r="CR309" s="68"/>
      <c r="CS309" s="90">
        <v>0.02</v>
      </c>
      <c r="CT309" s="68">
        <f>ППД5[[#This Row],[Стоимость до скидки]]*ППД5[[#This Row],[Скидка %]]+ППД5[[#This Row],[Скидка фиксированная]]</f>
        <v>56802.909200000002</v>
      </c>
      <c r="CU309" s="3">
        <f>ППД5[[#This Row],[Стоимость ОН без отделки со скидкой]]/ППД5[[#This Row],[Расчетная проектная площадь]]</f>
        <v>113466.87933143089</v>
      </c>
      <c r="CV309" s="3">
        <f>ROUND(ППД5[[#This Row],[Стоимость до скидки]]-ППД5[[#This Row],[Итоговая сумма скидки]],2)</f>
        <v>2783342.55</v>
      </c>
      <c r="CW30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09" s="197"/>
      <c r="CY309" s="332">
        <f>ППД5[[#This Row],[Расхождение]]/ППД5[[#This Row],[Расчетная проектная площадь]]</f>
        <v>-7.3379535262944667E-3</v>
      </c>
      <c r="CZ30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-0.16000000000000014</v>
      </c>
      <c r="DA309" s="3">
        <f>ППД5[[#This Row],[Цена м2 без отделки со скидкой]]+ППД5[[#This Row],[Стоимость отделки]]</f>
        <v>113466.87933143089</v>
      </c>
      <c r="DB309" s="3">
        <f>ППД5[[#This Row],[Стоимость квартиры с отделкой]]-ППД5[[#This Row],[Стоимость ОН без отделки со скидкой]]</f>
        <v>0</v>
      </c>
      <c r="DC309" s="3">
        <f>ППД5[[#This Row],[Цена м2 с отделкой]]*ППД5[[#This Row],[Расчетная проектная площадь]]</f>
        <v>2783342.55</v>
      </c>
      <c r="DD309" s="3"/>
      <c r="DE309" s="111" t="s">
        <v>757</v>
      </c>
      <c r="DF309" s="199" t="s">
        <v>172</v>
      </c>
      <c r="DG309" s="245" t="s">
        <v>172</v>
      </c>
      <c r="DH309" s="100" t="b">
        <f>EXACT(ППД5[[#This Row],[Статусы CRM]],ППД5[[#This Row],[Статус]])</f>
        <v>1</v>
      </c>
      <c r="DI309" s="213" t="s">
        <v>481</v>
      </c>
      <c r="DJ309" s="204"/>
      <c r="DK309" s="111" t="s">
        <v>76</v>
      </c>
      <c r="DL309" s="216" t="s">
        <v>12</v>
      </c>
      <c r="DM309" s="201" t="b">
        <f>ППД5[[#This Row],[Отделка CRM]]=ППД5[[#This Row],[Отделка]]</f>
        <v>1</v>
      </c>
      <c r="DN309" s="203">
        <v>2783342.55</v>
      </c>
      <c r="DO30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09" s="207" t="b">
        <f>IF(AND(ППД5[[#This Row],[Статус]]="свободно",ППД5[[#This Row],[Итоговая сумма скидки]]&lt;&gt;0),FALSE,TRUE)</f>
        <v>1</v>
      </c>
      <c r="DQ309" s="240">
        <f>_xlfn.XLOOKUP(ППД5[[#This Row],[№]],Юрист[№ кв],Юрист[Дата подачи на регистрацию]," ",0,-1)</f>
        <v>45288</v>
      </c>
      <c r="DR309" s="115" t="str">
        <f>_xlfn.XLOOKUP(ППД5[[#This Row],[№]],Юрист[№ кв],Юрист[МОП],"",0,-1)</f>
        <v>Полехович</v>
      </c>
      <c r="DS309" s="333" t="s">
        <v>2910</v>
      </c>
      <c r="DT309" s="333" t="s">
        <v>2911</v>
      </c>
      <c r="DU309" s="333">
        <v>22.9</v>
      </c>
      <c r="DV309" s="111"/>
    </row>
    <row r="310" spans="1:126" hidden="1" x14ac:dyDescent="0.25">
      <c r="A310" s="112">
        <v>308</v>
      </c>
      <c r="B310" s="111" t="s">
        <v>3</v>
      </c>
      <c r="C310" s="111">
        <v>13</v>
      </c>
      <c r="D310" s="111">
        <v>3</v>
      </c>
      <c r="E310" s="111">
        <v>2</v>
      </c>
      <c r="F310" s="105">
        <v>13.69</v>
      </c>
      <c r="G310" s="105">
        <v>10.16</v>
      </c>
      <c r="H310" s="105"/>
      <c r="I310" s="94">
        <f>SUM(ППД5[[#This Row],[Комната 1]:[Комната 3]])</f>
        <v>23.85</v>
      </c>
      <c r="J310" s="105">
        <v>18.71</v>
      </c>
      <c r="K310" s="105">
        <v>3.49</v>
      </c>
      <c r="L310" s="105">
        <v>2.11</v>
      </c>
      <c r="M310" s="105"/>
      <c r="N310" s="105">
        <v>7.09</v>
      </c>
      <c r="O310" s="105">
        <v>2.65</v>
      </c>
      <c r="P310" s="105"/>
      <c r="Q310" s="105"/>
      <c r="R310" s="105">
        <f>SUM(ППД5[[#This Row],[Лоджия 1]:[Лоджия 3]])</f>
        <v>2.65</v>
      </c>
      <c r="S310" s="8">
        <f>ROUND(SUM(ППД5[[#This Row],[Площадь по проекту жилая]:[Лоджия 3]]),2)</f>
        <v>57.9</v>
      </c>
      <c r="T310" s="8">
        <f>ROUND(ППД5[[#This Row],[Площадь по проекту(общая)]]-ППД5[[#This Row],[Летние]],2)</f>
        <v>55.25</v>
      </c>
      <c r="U310" s="91">
        <f>ROUND(ППД5[[#This Row],[Площадь по проекту(общая)]]-(SUM(ППД5[[#This Row],[Лоджия 1]:[Лоджия 3]])/2),2)</f>
        <v>56.58</v>
      </c>
      <c r="V310" s="91">
        <f>IF(ППД5[[#This Row],[Статус]]="продажа",ППД5[[#This Row],[Расчетная проектная площадь]],ППД5[[#This Row],[Расчетная ТП площадь]])</f>
        <v>56.58</v>
      </c>
      <c r="W310" s="91">
        <v>13.8</v>
      </c>
      <c r="X310" s="91">
        <v>9.9</v>
      </c>
      <c r="Y310" s="91"/>
      <c r="Z310" s="91">
        <f>SUM(ППД5[[#This Row],[ТП Комната 1]:[ТП Комната 3]])</f>
        <v>23.700000000000003</v>
      </c>
      <c r="AA310" s="91">
        <v>18.7</v>
      </c>
      <c r="AB310" s="91">
        <v>3.6</v>
      </c>
      <c r="AC310" s="91">
        <v>2.1</v>
      </c>
      <c r="AD310" s="91"/>
      <c r="AE310" s="91">
        <v>7</v>
      </c>
      <c r="AF310" s="91">
        <v>1.3</v>
      </c>
      <c r="AG310" s="91"/>
      <c r="AH310" s="91"/>
      <c r="AI310" s="91">
        <f>SUM(ППД5[[#This Row],[ТП Лоджия 1]:[ТП Лоджия 3]])</f>
        <v>1.3</v>
      </c>
      <c r="AJ310" s="95">
        <v>2.6</v>
      </c>
      <c r="AK310" s="91">
        <f>SUM(ППД5[[#This Row],[Площадь по ТП жилая]:[ТП Лоджия 3]])-ППД5[[#This Row],[ТП Летние]]+ППД5[[#This Row],[кроме того прочая
(без коэффициента)]]</f>
        <v>57.70000000000001</v>
      </c>
      <c r="AL310" s="95">
        <f>ППД5[[#This Row],[ТП Площадь без летних]]+(ППД5[[#This Row],[ТП Летние]])</f>
        <v>56.400000000000006</v>
      </c>
      <c r="AM310" s="91">
        <f>ППД5[[#This Row],[ТП общая S]]-ППД5[[#This Row],[кроме того прочая
(без коэффициента)]]</f>
        <v>55.100000000000009</v>
      </c>
      <c r="AN310" s="95">
        <f>SUM(ППД5[[#This Row],[ТП Кухня]:[ТП Коридор]])</f>
        <v>31.400000000000002</v>
      </c>
      <c r="AO310" s="91">
        <f>ППД5[[#This Row],[Расчетная ТП площадь]]-ППД5[[#This Row],[Расчетная проектная площадь]]</f>
        <v>-0.17999999999999261</v>
      </c>
      <c r="AP310" s="335">
        <f>ППД5[[#This Row],[Расчетная ТП площадь]]/ППД5[[#This Row],[Расчетная проектная площадь]]-1</f>
        <v>-3.1813361611875424E-3</v>
      </c>
      <c r="AQ310" s="91">
        <f>ППД5[[#This Row],[% расхождения]]*ППД5[[#This Row],[Стоимость до скидки]]</f>
        <v>-15178.186797454184</v>
      </c>
      <c r="AR310" s="91">
        <f>VLOOKUP(ППД5[[#This Row],[№]],наценкад5[],COLUMN(наценкад5[[#This Row],[Цена м2 с учетом всех K]]),0)</f>
        <v>80307.864000000001</v>
      </c>
      <c r="AS310" s="8">
        <f>ППД5[[#This Row],[м2 после К]]*5%</f>
        <v>4015.3932000000004</v>
      </c>
      <c r="AT310" s="8">
        <f>ППД5[[#This Row],[м2 после К]]+ППД5[[#This Row],[Повышение 16.08.23 - 5%]]</f>
        <v>84323.257200000007</v>
      </c>
      <c r="AU310" s="93"/>
      <c r="AV310" s="93">
        <f>ППД5[[#This Row],[Фикс 16.08.23]]+ППД5[[#This Row],[Повышение 29.08.23 - 3%]]</f>
        <v>84323.257200000007</v>
      </c>
      <c r="AW310" s="93"/>
      <c r="AX310" s="93">
        <f>ППД5[[#This Row],[Фикс 29.08.23]]+ППД5[[#This Row],[Повышение 06.09.23 СТ и 1К]]</f>
        <v>84323.257200000007</v>
      </c>
      <c r="AY310" s="93"/>
      <c r="AZ310" s="93">
        <f>ППД5[[#This Row],[Повышение 23.10.23  В4 ]]+ППД5[[#This Row],[Фикс 06.09.23]]</f>
        <v>84323.257200000007</v>
      </c>
      <c r="BA310" s="93"/>
      <c r="BB310" s="93">
        <f>ППД5[[#This Row],[Повышение 8.11.23 1К 5%]]+ППД5[[#This Row],[Фикс 23.10.23]]</f>
        <v>84323.257200000007</v>
      </c>
      <c r="BC310" s="93"/>
      <c r="BD310" s="93">
        <f>ППД5[[#This Row],[Корректировка 24.11.23 - 1К В5, 2К А2, №233]]+ППД5[[#This Row],[Фикс 8.11.23]]</f>
        <v>84323.257200000007</v>
      </c>
      <c r="BE310" s="93"/>
      <c r="BF310" s="93">
        <f>ППД5[[#This Row],[Наценка за отделку 29.12.23 1%]]+ППД5[[#This Row],[Фикс 8.11.24]]</f>
        <v>84323.257200000007</v>
      </c>
      <c r="BG310" s="93"/>
      <c r="BH310" s="93">
        <f>ППД5[[#This Row],[Фикс 29.12.23]]+ППД5[[#This Row],[Наценка 10.01.24 5%]]</f>
        <v>84323.257200000007</v>
      </c>
      <c r="BI310" s="93"/>
      <c r="BJ310" s="93">
        <f>ППД5[[#This Row],[Наценка 26.02.24 1 Этаж]]+ППД5[[#This Row],[Фикс 10.01.24]]</f>
        <v>84323.257200000007</v>
      </c>
      <c r="BK310" s="93"/>
      <c r="BL310" s="93">
        <f>ППД5[[#This Row],[Фикс 26.02.24]]+ППД5[[#This Row],[Наценка 06.03.24
СТ, 1К - 3%
2К, 3К - 2%]]</f>
        <v>84323.257200000007</v>
      </c>
      <c r="BM310" s="93"/>
      <c r="BN310" s="93">
        <f>ППД5[[#This Row],[Фикс 06.03.24]]+ППД5[[#This Row],[Наценка Г2+500]]</f>
        <v>84323.257200000007</v>
      </c>
      <c r="BO310" s="93"/>
      <c r="BP310" s="93">
        <f>ППД5[[#This Row],[Фикс 13.03.25]]+ППД5[[#This Row],[Наценка 20.03.24
2К, 3К - 2%]]</f>
        <v>84323.257200000007</v>
      </c>
      <c r="BQ310" s="93"/>
      <c r="BR310" s="93">
        <f>ППД5[[#This Row],[Фикс 20.03.24]]+ППД5[[#This Row],[Наценка 08.04.24 
2К: В3 - 150
3К: Г7 +1000]]</f>
        <v>84323.257200000007</v>
      </c>
      <c r="BS310" s="93"/>
      <c r="BT310" s="93">
        <f>ППД5[[#This Row],[Фикс 08.04.24]]+ППД5[[#This Row],[Наценка 16.05.24 1%
А4,А6,Б3,Б6,Б7,В2,В3,В5,В6,Г1,Г3-Г5]]</f>
        <v>84323.257200000007</v>
      </c>
      <c r="BU310" s="93"/>
      <c r="BV310" s="93">
        <f>ППД5[[#This Row],[Фикс 16.05.24]]+ППД5[[#This Row],[Наценка 24.05.24
1% - Б4, Б5,Г2,Г6
2% - А1,А3,А5,Б2,Г7]]</f>
        <v>84323.257200000007</v>
      </c>
      <c r="BW310" s="93"/>
      <c r="BX310" s="93">
        <f>ППД5[[#This Row],[Наценка 06.06.24
0К: В2,Г3 +0,5%
1К: А7, Б5/4, Г6 +0,5%
3К: В6 +0,5%
1К: А3 +1%]]+ППД5[[#This Row],[Фикс 24.05.24]]</f>
        <v>84323.257200000007</v>
      </c>
      <c r="BY310" s="93"/>
      <c r="BZ310" s="93">
        <f>ППД5[[#This Row],[Фикс 06.06.24]]+ППД5[[#This Row],[13.06.2024
3К - 2%]]</f>
        <v>84323.257200000007</v>
      </c>
      <c r="CA310" s="93"/>
      <c r="CB310" s="93">
        <f>ППД5[[#This Row],[02.07.2024: Г3 А1 А3 Б5 Б7 Г2 Г6 Б3 Б4 В3 Г7 2,5% ост 0,5-1,5%]]+ППД5[[#This Row],[Фикс 13.06.24]]</f>
        <v>84323.257200000007</v>
      </c>
      <c r="CC310" s="93"/>
      <c r="CD310" s="93">
        <f>ППД5[[#This Row],[Фикс 02.07.24]]+ППД5[[#This Row],[04.09.2024 +500
0К - Б2; 1К - А3;
2К - А6, Б4, В3, Г5]]</f>
        <v>84323.257200000007</v>
      </c>
      <c r="CE310" s="93"/>
      <c r="CF310" s="93">
        <f>ППД5[[#This Row],[Наценка 16.09.2024
1К: А1,В7,Г6/7,Г8 - 2%
2К: А4,А5,А6,Б1,Б6,Б3/4,В3,В4,Г4,Г5 - 4%
3К: 4%]]+ППД5[[#This Row],[Фикс 04.09.24]]</f>
        <v>84323.257200000007</v>
      </c>
      <c r="CG310" s="93"/>
      <c r="CH310" s="93">
        <f>ППД5[[#This Row],[Фикс 16.09.2024]]+ППД5[[#This Row],[Наценка 01.11.24
СТ: 4%
1К: 34-40м 5%; 40м+ 8%; МГН 1%
2К: 55-70м 6%; 70-73м 7%; 73-76м 8% 
3К: 5%]]</f>
        <v>84323.257200000007</v>
      </c>
      <c r="CI310" s="93"/>
      <c r="CJ310" s="93">
        <f>ППД5[[#This Row],[Наценка 06.11 13%]]+ППД5[[#This Row],[Фикс 01.11.24]]</f>
        <v>84323.257200000007</v>
      </c>
      <c r="CK310" s="93"/>
      <c r="CL310" s="93">
        <f>ППД5[[#This Row],[Фикс 06.11.24]]+ППД5[[#This Row],[Наценка 18.12.24 распределение КВ]]</f>
        <v>84323.257200000007</v>
      </c>
      <c r="CM310" s="93"/>
      <c r="CN310" s="93">
        <f>ППД5[[#This Row],[Фикс 18.12.24]]+ППД5[[#This Row],[Наценка 10.02.25 +1%
1К: А3
2К: Б3, В3]]</f>
        <v>84323.257200000007</v>
      </c>
      <c r="CO310" s="93">
        <f>ROUND(ППД5[[#This Row],[Фикс 10.02.25]],2)</f>
        <v>84323.26</v>
      </c>
      <c r="CP31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4771010.05</v>
      </c>
      <c r="CQ310" s="93">
        <f>ROUNDUP(ППД5[[#This Row],[Стоимость до скидки]]+ППД5[[#This Row],[Сумма доплаты]],-2)</f>
        <v>4755900</v>
      </c>
      <c r="CR310" s="68"/>
      <c r="CS310" s="90"/>
      <c r="CT310" s="68">
        <f>ППД5[[#This Row],[Стоимость до скидки]]*ППД5[[#This Row],[Скидка %]]+ППД5[[#This Row],[Скидка фиксированная]]</f>
        <v>0</v>
      </c>
      <c r="CU310" s="3">
        <f>ППД5[[#This Row],[Стоимость ОН без отделки со скидкой]]/ППД5[[#This Row],[Расчетная проектная площадь]]</f>
        <v>84323.259985860728</v>
      </c>
      <c r="CV310" s="3">
        <f>ROUND(ППД5[[#This Row],[Стоимость до скидки]]-ППД5[[#This Row],[Итоговая сумма скидки]],2)</f>
        <v>4771010.05</v>
      </c>
      <c r="CW31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10" s="197"/>
      <c r="CY310" s="332">
        <f>ППД5[[#This Row],[Расхождение]]/ППД5[[#This Row],[Расчетная проектная площадь]]</f>
        <v>-3.1813361611875684E-3</v>
      </c>
      <c r="CZ31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</v>
      </c>
      <c r="DA310" s="3">
        <f>ППД5[[#This Row],[Цена м2 без отделки со скидкой]]+ППД5[[#This Row],[Стоимость отделки]]</f>
        <v>84323.259985860728</v>
      </c>
      <c r="DB310" s="3">
        <f>ППД5[[#This Row],[Стоимость квартиры с отделкой]]-ППД5[[#This Row],[Стоимость ОН без отделки со скидкой]]</f>
        <v>0</v>
      </c>
      <c r="DC310" s="3">
        <f>ППД5[[#This Row],[Цена м2 с отделкой]]*ППД5[[#This Row],[Расчетная проектная площадь]]</f>
        <v>4771010.05</v>
      </c>
      <c r="DD310" s="3" t="s">
        <v>154</v>
      </c>
      <c r="DF310" s="199" t="s">
        <v>172</v>
      </c>
      <c r="DG310" s="245" t="s">
        <v>172</v>
      </c>
      <c r="DH310" s="100" t="b">
        <f>EXACT(ППД5[[#This Row],[Статусы CRM]],ППД5[[#This Row],[Статус]])</f>
        <v>1</v>
      </c>
      <c r="DI310" s="213" t="s">
        <v>482</v>
      </c>
      <c r="DJ310" s="204"/>
      <c r="DK310" s="111" t="s">
        <v>76</v>
      </c>
      <c r="DL310" s="216" t="s">
        <v>12</v>
      </c>
      <c r="DM310" s="201" t="b">
        <f>ППД5[[#This Row],[Отделка CRM]]=ППД5[[#This Row],[Отделка]]</f>
        <v>1</v>
      </c>
      <c r="DN310" s="203">
        <v>4771010.05</v>
      </c>
      <c r="DO31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10" s="207" t="b">
        <f>IF(AND(ППД5[[#This Row],[Статус]]="свободно",ППД5[[#This Row],[Итоговая сумма скидки]]&lt;&gt;0),FALSE,TRUE)</f>
        <v>1</v>
      </c>
      <c r="DQ310" s="240">
        <f>_xlfn.XLOOKUP(ППД5[[#This Row],[№]],Юрист[№ кв],Юрист[Дата подачи на регистрацию]," ",0,-1)</f>
        <v>45187</v>
      </c>
      <c r="DR310" s="115" t="str">
        <f>_xlfn.XLOOKUP(ППД5[[#This Row],[№]],Юрист[№ кв],Юрист[МОП],"",0,-1)</f>
        <v>Калачева</v>
      </c>
      <c r="DS310" s="333" t="s">
        <v>2912</v>
      </c>
      <c r="DT310" s="333" t="s">
        <v>2913</v>
      </c>
      <c r="DU310" s="333">
        <v>55.1</v>
      </c>
      <c r="DV310" s="111"/>
    </row>
    <row r="311" spans="1:126" hidden="1" x14ac:dyDescent="0.25">
      <c r="A311" s="112">
        <v>309</v>
      </c>
      <c r="B311" s="111" t="s">
        <v>3</v>
      </c>
      <c r="C311" s="111">
        <v>13</v>
      </c>
      <c r="D311" s="111">
        <v>4</v>
      </c>
      <c r="E311" s="111">
        <v>2</v>
      </c>
      <c r="F311" s="105">
        <v>15.45</v>
      </c>
      <c r="G311" s="105">
        <v>10.34</v>
      </c>
      <c r="H311" s="105"/>
      <c r="I311" s="94">
        <f>SUM(ППД5[[#This Row],[Комната 1]:[Комната 3]])</f>
        <v>25.79</v>
      </c>
      <c r="J311" s="105">
        <v>15.44</v>
      </c>
      <c r="K311" s="105">
        <v>4.59</v>
      </c>
      <c r="L311" s="105">
        <v>2.21</v>
      </c>
      <c r="M311" s="105"/>
      <c r="N311" s="105">
        <v>10.79</v>
      </c>
      <c r="O311" s="105">
        <v>2.84</v>
      </c>
      <c r="P311" s="105"/>
      <c r="Q311" s="105"/>
      <c r="R311" s="105">
        <f>SUM(ППД5[[#This Row],[Лоджия 1]:[Лоджия 3]])</f>
        <v>2.84</v>
      </c>
      <c r="S311" s="8">
        <f>ROUND(SUM(ППД5[[#This Row],[Площадь по проекту жилая]:[Лоджия 3]]),2)</f>
        <v>61.66</v>
      </c>
      <c r="T311" s="8">
        <f>ROUND(ППД5[[#This Row],[Площадь по проекту(общая)]]-ППД5[[#This Row],[Летние]],2)</f>
        <v>58.82</v>
      </c>
      <c r="U311" s="91">
        <f>ROUND(ППД5[[#This Row],[Площадь по проекту(общая)]]-(SUM(ППД5[[#This Row],[Лоджия 1]:[Лоджия 3]])/2),2)</f>
        <v>60.24</v>
      </c>
      <c r="V311" s="91">
        <f>IF(ППД5[[#This Row],[Статус]]="продажа",ППД5[[#This Row],[Расчетная проектная площадь]],ППД5[[#This Row],[Расчетная ТП площадь]])</f>
        <v>60.24</v>
      </c>
      <c r="W311" s="91">
        <v>15.5</v>
      </c>
      <c r="X311" s="91">
        <v>10.4</v>
      </c>
      <c r="Y311" s="91"/>
      <c r="Z311" s="91">
        <f>SUM(ППД5[[#This Row],[ТП Комната 1]:[ТП Комната 3]])</f>
        <v>25.9</v>
      </c>
      <c r="AA311" s="91">
        <v>15.4</v>
      </c>
      <c r="AB311" s="91">
        <v>4.5</v>
      </c>
      <c r="AC311" s="91">
        <v>2.2000000000000002</v>
      </c>
      <c r="AD311" s="91"/>
      <c r="AE311" s="91">
        <v>10.7</v>
      </c>
      <c r="AF311" s="91">
        <v>1.4</v>
      </c>
      <c r="AG311" s="91"/>
      <c r="AH311" s="91"/>
      <c r="AI311" s="91">
        <f>SUM(ППД5[[#This Row],[ТП Лоджия 1]:[ТП Лоджия 3]])</f>
        <v>1.4</v>
      </c>
      <c r="AJ311" s="95">
        <v>2.8</v>
      </c>
      <c r="AK311" s="91">
        <f>SUM(ППД5[[#This Row],[Площадь по ТП жилая]:[ТП Лоджия 3]])-ППД5[[#This Row],[ТП Летние]]+ППД5[[#This Row],[кроме того прочая
(без коэффициента)]]</f>
        <v>61.5</v>
      </c>
      <c r="AL311" s="95">
        <f>ППД5[[#This Row],[ТП Площадь без летних]]+(ППД5[[#This Row],[ТП Летние]])</f>
        <v>60.1</v>
      </c>
      <c r="AM311" s="91">
        <f>ППД5[[#This Row],[ТП общая S]]-ППД5[[#This Row],[кроме того прочая
(без коэффициента)]]</f>
        <v>58.7</v>
      </c>
      <c r="AN311" s="95">
        <f>SUM(ППД5[[#This Row],[ТП Кухня]:[ТП Коридор]])</f>
        <v>32.799999999999997</v>
      </c>
      <c r="AO311" s="91">
        <f>ППД5[[#This Row],[Расчетная ТП площадь]]-ППД5[[#This Row],[Расчетная проектная площадь]]</f>
        <v>-0.14000000000000057</v>
      </c>
      <c r="AP311" s="335">
        <f>ППД5[[#This Row],[Расчетная ТП площадь]]/ППД5[[#This Row],[Расчетная проектная площадь]]-1</f>
        <v>-2.3240371845949515E-3</v>
      </c>
      <c r="AQ311" s="91">
        <f>ППД5[[#This Row],[% расхождения]]*ППД5[[#This Row],[Стоимость до скидки]]</f>
        <v>-17204.847277556426</v>
      </c>
      <c r="AR311" s="91">
        <f>VLOOKUP(ППД5[[#This Row],[№]],наценкад5[],COLUMN(наценкад5[[#This Row],[Цена м2 с учетом всех K]]),0)</f>
        <v>82238.34150000001</v>
      </c>
      <c r="AS311" s="8">
        <f>ППД5[[#This Row],[м2 после К]]*5%</f>
        <v>4111.9170750000003</v>
      </c>
      <c r="AT311" s="8">
        <f>ППД5[[#This Row],[м2 после К]]+ППД5[[#This Row],[Повышение 16.08.23 - 5%]]</f>
        <v>86350.258575000014</v>
      </c>
      <c r="AU311" s="93">
        <f>ППД5[[#This Row],[Фикс 16.08.23]]*3%</f>
        <v>2590.5077572500004</v>
      </c>
      <c r="AV311" s="93">
        <f>ППД5[[#This Row],[Фикс 16.08.23]]+ППД5[[#This Row],[Повышение 29.08.23 - 3%]]</f>
        <v>88940.766332250016</v>
      </c>
      <c r="AW311" s="93"/>
      <c r="AX311" s="93">
        <f>ППД5[[#This Row],[Фикс 29.08.23]]+ППД5[[#This Row],[Повышение 06.09.23 СТ и 1К]]</f>
        <v>88940.766332250016</v>
      </c>
      <c r="AY311" s="93"/>
      <c r="AZ311" s="93">
        <f>ППД5[[#This Row],[Повышение 23.10.23  В4 ]]+ППД5[[#This Row],[Фикс 06.09.23]]</f>
        <v>88940.766332250016</v>
      </c>
      <c r="BA311" s="93"/>
      <c r="BB311" s="93">
        <f>ППД5[[#This Row],[Повышение 8.11.23 1К 5%]]+ППД5[[#This Row],[Фикс 23.10.23]]</f>
        <v>88940.766332250016</v>
      </c>
      <c r="BC311" s="93"/>
      <c r="BD311" s="93">
        <f>ППД5[[#This Row],[Корректировка 24.11.23 - 1К В5, 2К А2, №233]]+ППД5[[#This Row],[Фикс 8.11.23]]</f>
        <v>88940.766332250016</v>
      </c>
      <c r="BE311" s="93">
        <f>ППД5[[#This Row],[Фикс 8.11.24]]*1%</f>
        <v>889.40766332250018</v>
      </c>
      <c r="BF311" s="93">
        <f>ППД5[[#This Row],[Наценка за отделку 29.12.23 1%]]+ППД5[[#This Row],[Фикс 8.11.24]]</f>
        <v>89830.173995572521</v>
      </c>
      <c r="BG311" s="93">
        <f>ППД5[[#This Row],[Фикс 29.12.23]]*5%</f>
        <v>4491.5086997786266</v>
      </c>
      <c r="BH311" s="93">
        <f>ППД5[[#This Row],[Фикс 29.12.23]]+ППД5[[#This Row],[Наценка 10.01.24 5%]]</f>
        <v>94321.682695351148</v>
      </c>
      <c r="BI311" s="93"/>
      <c r="BJ311" s="93">
        <f>ППД5[[#This Row],[Наценка 26.02.24 1 Этаж]]+ППД5[[#This Row],[Фикс 10.01.24]]</f>
        <v>94321.682695351148</v>
      </c>
      <c r="BK311" s="93">
        <f>ППД5[[#This Row],[Фикс 26.02.24]]*2%</f>
        <v>1886.433653907023</v>
      </c>
      <c r="BL311" s="93">
        <f>ППД5[[#This Row],[Фикс 26.02.24]]+ППД5[[#This Row],[Наценка 06.03.24
СТ, 1К - 3%
2К, 3К - 2%]]</f>
        <v>96208.116349258169</v>
      </c>
      <c r="BM311" s="93"/>
      <c r="BN311" s="93">
        <f>ППД5[[#This Row],[Фикс 06.03.24]]+ППД5[[#This Row],[Наценка Г2+500]]</f>
        <v>96208.116349258169</v>
      </c>
      <c r="BO311" s="93">
        <f>ППД5[[#This Row],[Фикс 13.03.25]]*2%</f>
        <v>1924.1623269851634</v>
      </c>
      <c r="BP311" s="93">
        <f>ППД5[[#This Row],[Фикс 13.03.25]]+ППД5[[#This Row],[Наценка 20.03.24
2К, 3К - 2%]]</f>
        <v>98132.278676243339</v>
      </c>
      <c r="BQ311" s="93"/>
      <c r="BR311" s="93">
        <f>ППД5[[#This Row],[Фикс 20.03.24]]+ППД5[[#This Row],[Наценка 08.04.24 
2К: В3 - 150
3К: Г7 +1000]]</f>
        <v>98132.278676243339</v>
      </c>
      <c r="BS311" s="93"/>
      <c r="BT311" s="93">
        <f>ППД5[[#This Row],[Фикс 08.04.24]]+ППД5[[#This Row],[Наценка 16.05.24 1%
А4,А6,Б3,Б6,Б7,В2,В3,В5,В6,Г1,Г3-Г5]]</f>
        <v>98132.278676243339</v>
      </c>
      <c r="BU311" s="93"/>
      <c r="BV311" s="93">
        <f>ППД5[[#This Row],[Фикс 16.05.24]]+ППД5[[#This Row],[Наценка 24.05.24
1% - Б4, Б5,Г2,Г6
2% - А1,А3,А5,Б2,Г7]]</f>
        <v>98132.278676243339</v>
      </c>
      <c r="BW311" s="93"/>
      <c r="BX311" s="93">
        <f>ППД5[[#This Row],[Наценка 06.06.24
0К: В2,Г3 +0,5%
1К: А7, Б5/4, Г6 +0,5%
3К: В6 +0,5%
1К: А3 +1%]]+ППД5[[#This Row],[Фикс 24.05.24]]</f>
        <v>98132.278676243339</v>
      </c>
      <c r="BY311" s="93"/>
      <c r="BZ311" s="93">
        <f>ППД5[[#This Row],[Фикс 06.06.24]]+ППД5[[#This Row],[13.06.2024
3К - 2%]]</f>
        <v>98132.278676243339</v>
      </c>
      <c r="CA311" s="93">
        <f>0.5%*ППД5[[#This Row],[Фикс 13.06.24]]</f>
        <v>490.66139338121673</v>
      </c>
      <c r="CB311" s="93">
        <f>ППД5[[#This Row],[02.07.2024: Г3 А1 А3 Б5 Б7 Г2 Г6 Б3 Б4 В3 Г7 2,5% ост 0,5-1,5%]]+ППД5[[#This Row],[Фикс 13.06.24]]</f>
        <v>98622.940069624558</v>
      </c>
      <c r="CC311" s="93"/>
      <c r="CD311" s="93">
        <f>ППД5[[#This Row],[Фикс 02.07.24]]+ППД5[[#This Row],[04.09.2024 +500
0К - Б2; 1К - А3;
2К - А6, Б4, В3, Г5]]</f>
        <v>98622.940069624558</v>
      </c>
      <c r="CE311" s="93">
        <f>ППД5[[#This Row],[Фикс 04.09.24]]*4%</f>
        <v>3944.9176027849826</v>
      </c>
      <c r="CF311" s="93">
        <f>ППД5[[#This Row],[Наценка 16.09.2024
1К: А1,В7,Г6/7,Г8 - 2%
2К: А4,А5,А6,Б1,Б6,Б3/4,В3,В4,Г4,Г5 - 4%
3К: 4%]]+ППД5[[#This Row],[Фикс 04.09.24]]</f>
        <v>102567.85767240953</v>
      </c>
      <c r="CG311" s="93">
        <f>ППД5[[#This Row],[Фикс 16.09.2024]]*6%</f>
        <v>6154.0714603445722</v>
      </c>
      <c r="CH311" s="93">
        <f>ППД5[[#This Row],[Фикс 16.09.2024]]+ППД5[[#This Row],[Наценка 01.11.24
СТ: 4%
1К: 34-40м 5%; 40м+ 8%; МГН 1%
2К: 55-70м 6%; 70-73м 7%; 73-76м 8% 
3К: 5%]]</f>
        <v>108721.9291327541</v>
      </c>
      <c r="CI311" s="93">
        <f>ППД5[[#This Row],[Фикс 01.11.24]]*13%</f>
        <v>14133.850787258034</v>
      </c>
      <c r="CJ311" s="93">
        <f>ППД5[[#This Row],[Наценка 06.11 13%]]+ППД5[[#This Row],[Фикс 01.11.24]]</f>
        <v>122855.77992001214</v>
      </c>
      <c r="CK311" s="93">
        <v>35</v>
      </c>
      <c r="CL311" s="93">
        <f>ППД5[[#This Row],[Фикс 06.11.24]]+ППД5[[#This Row],[Наценка 18.12.24 распределение КВ]]</f>
        <v>122890.77992001214</v>
      </c>
      <c r="CM311" s="93"/>
      <c r="CN311" s="93">
        <f>ППД5[[#This Row],[Фикс 18.12.24]]+ППД5[[#This Row],[Наценка 10.02.25 +1%
1К: А3
2К: Б3, В3]]</f>
        <v>122890.77992001214</v>
      </c>
      <c r="CO311" s="93">
        <f>ROUND(ППД5[[#This Row],[Фикс 10.02.25]],2)</f>
        <v>122890.78</v>
      </c>
      <c r="CP31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7403000</v>
      </c>
      <c r="CQ311" s="93">
        <f>ROUNDUP(ППД5[[#This Row],[Стоимость до скидки]]+ППД5[[#This Row],[Сумма доплаты]],-2)</f>
        <v>7385800</v>
      </c>
      <c r="CR311" s="68"/>
      <c r="CS311" s="90">
        <v>0.03</v>
      </c>
      <c r="CT311" s="68">
        <f>ППД5[[#This Row],[Стоимость до скидки]]*ППД5[[#This Row],[Скидка %]]+ППД5[[#This Row],[Скидка фиксированная]]</f>
        <v>222090</v>
      </c>
      <c r="CU311" s="3">
        <f>ППД5[[#This Row],[Стоимость ОН без отделки со скидкой]]/ППД5[[#This Row],[Расчетная проектная площадь]]</f>
        <v>119205.01328021249</v>
      </c>
      <c r="CV311" s="3">
        <f>ROUND(ППД5[[#This Row],[Стоимость до скидки]]-ППД5[[#This Row],[Итоговая сумма скидки]],2)</f>
        <v>7180910</v>
      </c>
      <c r="CW31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11" s="197">
        <v>25000</v>
      </c>
      <c r="CY311" s="332">
        <f>ППД5[[#This Row],[Расхождение]]/ППД5[[#This Row],[Расчетная проектная площадь]]</f>
        <v>-2.3240371845949627E-3</v>
      </c>
      <c r="CZ31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-0.2300000000000022</v>
      </c>
      <c r="DA311" s="3">
        <f>ППД5[[#This Row],[Цена м2 без отделки со скидкой]]+ППД5[[#This Row],[Стоимость отделки]]</f>
        <v>144205.01328021247</v>
      </c>
      <c r="DB311" s="3">
        <f>ППД5[[#This Row],[Стоимость квартиры с отделкой]]-ППД5[[#This Row],[Стоимость ОН без отделки со скидкой]]</f>
        <v>1506000</v>
      </c>
      <c r="DC311" s="3">
        <f>ППД5[[#This Row],[Цена м2 с отделкой]]*ППД5[[#This Row],[Расчетная проектная площадь]]</f>
        <v>8686910</v>
      </c>
      <c r="DD311" s="3"/>
      <c r="DE311" s="111" t="s">
        <v>1719</v>
      </c>
      <c r="DF311" s="199" t="s">
        <v>172</v>
      </c>
      <c r="DG311" s="221" t="s">
        <v>172</v>
      </c>
      <c r="DH311" s="100" t="b">
        <f>EXACT(ППД5[[#This Row],[Статусы CRM]],ППД5[[#This Row],[Статус]])</f>
        <v>1</v>
      </c>
      <c r="DI311" s="213" t="s">
        <v>483</v>
      </c>
      <c r="DJ311" s="204"/>
      <c r="DK311" s="111" t="s">
        <v>763</v>
      </c>
      <c r="DL311" s="216" t="s">
        <v>14</v>
      </c>
      <c r="DM311" s="201" t="b">
        <f>ППД5[[#This Row],[Отделка CRM]]=ППД5[[#This Row],[Отделка]]</f>
        <v>1</v>
      </c>
      <c r="DN311" s="203">
        <v>8686910</v>
      </c>
      <c r="DO31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11" s="207" t="b">
        <f>IF(AND(ППД5[[#This Row],[Статус]]="свободно",ППД5[[#This Row],[Итоговая сумма скидки]]&lt;&gt;0),FALSE,TRUE)</f>
        <v>1</v>
      </c>
      <c r="DQ311" s="240">
        <f>_xlfn.XLOOKUP(ППД5[[#This Row],[№]],Юрист[№ кв],Юрист[Дата подачи на регистрацию]," ",0,-1)</f>
        <v>45742</v>
      </c>
      <c r="DR311" s="115" t="str">
        <f>_xlfn.XLOOKUP(ППД5[[#This Row],[№]],Юрист[№ кв],Юрист[МОП],"",0,-1)</f>
        <v>Никишов</v>
      </c>
      <c r="DS311" s="333" t="s">
        <v>2914</v>
      </c>
      <c r="DT311" s="333" t="s">
        <v>2915</v>
      </c>
      <c r="DU311" s="333">
        <v>58.7</v>
      </c>
      <c r="DV311" s="111"/>
    </row>
    <row r="312" spans="1:126" hidden="1" x14ac:dyDescent="0.25">
      <c r="A312" s="112">
        <v>310</v>
      </c>
      <c r="B312" s="111" t="s">
        <v>3</v>
      </c>
      <c r="C312" s="111">
        <v>13</v>
      </c>
      <c r="D312" s="111">
        <v>5</v>
      </c>
      <c r="E312" s="111">
        <v>1</v>
      </c>
      <c r="F312" s="105">
        <v>12.54</v>
      </c>
      <c r="G312" s="105"/>
      <c r="H312" s="105"/>
      <c r="I312" s="94">
        <f>SUM(ППД5[[#This Row],[Комната 1]:[Комната 3]])</f>
        <v>12.54</v>
      </c>
      <c r="J312" s="105">
        <v>12.74</v>
      </c>
      <c r="K312" s="105">
        <v>4.0199999999999996</v>
      </c>
      <c r="L312" s="105"/>
      <c r="M312" s="105"/>
      <c r="N312" s="105">
        <v>7.09</v>
      </c>
      <c r="O312" s="105">
        <v>2.84</v>
      </c>
      <c r="P312" s="105"/>
      <c r="Q312" s="105"/>
      <c r="R312" s="105">
        <f>SUM(ППД5[[#This Row],[Лоджия 1]:[Лоджия 3]])</f>
        <v>2.84</v>
      </c>
      <c r="S312" s="8">
        <f>ROUND(SUM(ППД5[[#This Row],[Площадь по проекту жилая]:[Лоджия 3]]),2)</f>
        <v>39.229999999999997</v>
      </c>
      <c r="T312" s="8">
        <f>ROUND(ППД5[[#This Row],[Площадь по проекту(общая)]]-ППД5[[#This Row],[Летние]],2)</f>
        <v>36.39</v>
      </c>
      <c r="U312" s="91">
        <f>ROUND(ППД5[[#This Row],[Площадь по проекту(общая)]]-(SUM(ППД5[[#This Row],[Лоджия 1]:[Лоджия 3]])/2),2)</f>
        <v>37.81</v>
      </c>
      <c r="V312" s="91">
        <f>IF(ППД5[[#This Row],[Статус]]="продажа",ППД5[[#This Row],[Расчетная проектная площадь]],ППД5[[#This Row],[Расчетная ТП площадь]])</f>
        <v>37.6</v>
      </c>
      <c r="W312" s="91">
        <v>12.4</v>
      </c>
      <c r="X312" s="91"/>
      <c r="Y312" s="91"/>
      <c r="Z312" s="91">
        <f>SUM(ППД5[[#This Row],[ТП Комната 1]:[ТП Комната 3]])</f>
        <v>12.4</v>
      </c>
      <c r="AA312" s="91">
        <v>12.7</v>
      </c>
      <c r="AB312" s="91">
        <v>4.0999999999999996</v>
      </c>
      <c r="AC312" s="91"/>
      <c r="AD312" s="91"/>
      <c r="AE312" s="91">
        <v>7</v>
      </c>
      <c r="AF312" s="91">
        <v>1.4</v>
      </c>
      <c r="AG312" s="91"/>
      <c r="AH312" s="91"/>
      <c r="AI312" s="91">
        <f>SUM(ППД5[[#This Row],[ТП Лоджия 1]:[ТП Лоджия 3]])</f>
        <v>1.4</v>
      </c>
      <c r="AJ312" s="95">
        <v>2.8</v>
      </c>
      <c r="AK312" s="91">
        <f>SUM(ППД5[[#This Row],[Площадь по ТП жилая]:[ТП Лоджия 3]])-ППД5[[#This Row],[ТП Летние]]+ППД5[[#This Row],[кроме того прочая
(без коэффициента)]]</f>
        <v>39</v>
      </c>
      <c r="AL312" s="95">
        <f>ППД5[[#This Row],[ТП Площадь без летних]]+(ППД5[[#This Row],[ТП Летние]])</f>
        <v>37.6</v>
      </c>
      <c r="AM312" s="91">
        <f>ППД5[[#This Row],[ТП общая S]]-ППД5[[#This Row],[кроме того прочая
(без коэффициента)]]</f>
        <v>36.200000000000003</v>
      </c>
      <c r="AN312" s="95">
        <f>SUM(ППД5[[#This Row],[ТП Кухня]:[ТП Коридор]])</f>
        <v>23.799999999999997</v>
      </c>
      <c r="AO312" s="91">
        <f>ППД5[[#This Row],[Расчетная ТП площадь]]-ППД5[[#This Row],[Расчетная проектная площадь]]</f>
        <v>-0.21000000000000085</v>
      </c>
      <c r="AP312" s="335">
        <f>ППД5[[#This Row],[Расчетная ТП площадь]]/ППД5[[#This Row],[Расчетная проектная площадь]]-1</f>
        <v>-5.5540862205766262E-3</v>
      </c>
      <c r="AQ312" s="91">
        <f>ППД5[[#This Row],[% расхождения]]*ППД5[[#This Row],[Стоимость до скидки]]</f>
        <v>-29086.749537159791</v>
      </c>
      <c r="AR312" s="91">
        <f>VLOOKUP(ППД5[[#This Row],[№]],наценкад5[],COLUMN(наценкад5[[#This Row],[Цена м2 с учетом всех K]]),0)</f>
        <v>89223.75</v>
      </c>
      <c r="AS312" s="8">
        <f>ППД5[[#This Row],[м2 после К]]*5%</f>
        <v>4461.1875</v>
      </c>
      <c r="AT312" s="8">
        <f>ППД5[[#This Row],[м2 после К]]+ППД5[[#This Row],[Повышение 16.08.23 - 5%]]</f>
        <v>93684.9375</v>
      </c>
      <c r="AU312" s="93">
        <f>ППД5[[#This Row],[Фикс 16.08.23]]*3%</f>
        <v>2810.5481249999998</v>
      </c>
      <c r="AV312" s="93">
        <f>ППД5[[#This Row],[Фикс 16.08.23]]+ППД5[[#This Row],[Повышение 29.08.23 - 3%]]</f>
        <v>96495.485625000001</v>
      </c>
      <c r="AW312" s="93">
        <f>ППД5[[#This Row],[Фикс 29.08.23]]*4.5%</f>
        <v>4342.2968531249999</v>
      </c>
      <c r="AX312" s="93">
        <f>ППД5[[#This Row],[Фикс 29.08.23]]+ППД5[[#This Row],[Повышение 06.09.23 СТ и 1К]]</f>
        <v>100837.78247812499</v>
      </c>
      <c r="AY312" s="93"/>
      <c r="AZ312" s="93">
        <f>ППД5[[#This Row],[Повышение 23.10.23  В4 ]]+ППД5[[#This Row],[Фикс 06.09.23]]</f>
        <v>100837.78247812499</v>
      </c>
      <c r="BA312" s="93">
        <f>ППД5[[#This Row],[Фикс 23.10.23]]*5%</f>
        <v>5041.8891239062505</v>
      </c>
      <c r="BB312" s="93">
        <f>ППД5[[#This Row],[Повышение 8.11.23 1К 5%]]+ППД5[[#This Row],[Фикс 23.10.23]]</f>
        <v>105879.67160203125</v>
      </c>
      <c r="BC312" s="93">
        <v>-620</v>
      </c>
      <c r="BD312" s="93">
        <f>ППД5[[#This Row],[Корректировка 24.11.23 - 1К В5, 2К А2, №233]]+ППД5[[#This Row],[Фикс 8.11.23]]</f>
        <v>105259.67160203125</v>
      </c>
      <c r="BE312" s="93">
        <f>ППД5[[#This Row],[Фикс 8.11.24]]*1%</f>
        <v>1052.5967160203124</v>
      </c>
      <c r="BF312" s="93">
        <f>ППД5[[#This Row],[Наценка за отделку 29.12.23 1%]]+ППД5[[#This Row],[Фикс 8.11.24]]</f>
        <v>106312.26831805156</v>
      </c>
      <c r="BG312" s="93">
        <f>ППД5[[#This Row],[Фикс 29.12.23]]*5%</f>
        <v>5315.6134159025787</v>
      </c>
      <c r="BH312" s="93">
        <f>ППД5[[#This Row],[Фикс 29.12.23]]+ППД5[[#This Row],[Наценка 10.01.24 5%]]</f>
        <v>111627.88173395414</v>
      </c>
      <c r="BI312" s="93"/>
      <c r="BJ312" s="93">
        <f>ППД5[[#This Row],[Наценка 26.02.24 1 Этаж]]+ППД5[[#This Row],[Фикс 10.01.24]]</f>
        <v>111627.88173395414</v>
      </c>
      <c r="BK312" s="93">
        <f>ППД5[[#This Row],[Фикс 26.02.24]]*3%</f>
        <v>3348.8364520186242</v>
      </c>
      <c r="BL312" s="93">
        <f>ППД5[[#This Row],[Фикс 26.02.24]]+ППД5[[#This Row],[Наценка 06.03.24
СТ, 1К - 3%
2К, 3К - 2%]]</f>
        <v>114976.71818597277</v>
      </c>
      <c r="BM312" s="93"/>
      <c r="BN312" s="93">
        <f>ППД5[[#This Row],[Фикс 06.03.24]]+ППД5[[#This Row],[Наценка Г2+500]]</f>
        <v>114976.71818597277</v>
      </c>
      <c r="BO312" s="93"/>
      <c r="BP312" s="93">
        <f>ППД5[[#This Row],[Фикс 13.03.25]]+ППД5[[#This Row],[Наценка 20.03.24
2К, 3К - 2%]]</f>
        <v>114976.71818597277</v>
      </c>
      <c r="BQ312" s="93"/>
      <c r="BR312" s="93">
        <f>ППД5[[#This Row],[Фикс 20.03.24]]+ППД5[[#This Row],[Наценка 08.04.24 
2К: В3 - 150
3К: Г7 +1000]]</f>
        <v>114976.71818597277</v>
      </c>
      <c r="BS312" s="93">
        <f>ППД5[[#This Row],[Фикс 08.04.24]]*1%</f>
        <v>1149.7671818597278</v>
      </c>
      <c r="BT312" s="93">
        <f>ППД5[[#This Row],[Фикс 08.04.24]]+ППД5[[#This Row],[Наценка 16.05.24 1%
А4,А6,Б3,Б6,Б7,В2,В3,В5,В6,Г1,Г3-Г5]]</f>
        <v>116126.4853678325</v>
      </c>
      <c r="BU312" s="93"/>
      <c r="BV312" s="93">
        <f>ППД5[[#This Row],[Фикс 16.05.24]]+ППД5[[#This Row],[Наценка 24.05.24
1% - Б4, Б5,Г2,Г6
2% - А1,А3,А5,Б2,Г7]]</f>
        <v>116126.4853678325</v>
      </c>
      <c r="BW312" s="93"/>
      <c r="BX312" s="93">
        <f>ППД5[[#This Row],[Наценка 06.06.24
0К: В2,Г3 +0,5%
1К: А7, Б5/4, Г6 +0,5%
3К: В6 +0,5%
1К: А3 +1%]]+ППД5[[#This Row],[Фикс 24.05.24]]</f>
        <v>116126.4853678325</v>
      </c>
      <c r="BY312" s="93"/>
      <c r="BZ312" s="93">
        <f>ППД5[[#This Row],[Фикс 06.06.24]]+ППД5[[#This Row],[13.06.2024
3К - 2%]]</f>
        <v>116126.4853678325</v>
      </c>
      <c r="CA312" s="93">
        <f>0.5%*ППД5[[#This Row],[Фикс 13.06.24]]</f>
        <v>580.63242683916258</v>
      </c>
      <c r="CB312" s="93">
        <f>ППД5[[#This Row],[02.07.2024: Г3 А1 А3 Б5 Б7 Г2 Г6 Б3 Б4 В3 Г7 2,5% ост 0,5-1,5%]]+ППД5[[#This Row],[Фикс 13.06.24]]</f>
        <v>116707.11779467166</v>
      </c>
      <c r="CC312" s="93"/>
      <c r="CD312" s="93">
        <f>ППД5[[#This Row],[Фикс 02.07.24]]+ППД5[[#This Row],[04.09.2024 +500
0К - Б2; 1К - А3;
2К - А6, Б4, В3, Г5]]</f>
        <v>116707.11779467166</v>
      </c>
      <c r="CE312" s="93"/>
      <c r="CF312" s="93">
        <f>ППД5[[#This Row],[Наценка 16.09.2024
1К: А1,В7,Г6/7,Г8 - 2%
2К: А4,А5,А6,Б1,Б6,Б3/4,В3,В4,Г4,Г5 - 4%
3К: 4%]]+ППД5[[#This Row],[Фикс 04.09.24]]</f>
        <v>116707.11779467166</v>
      </c>
      <c r="CG312" s="93">
        <f>ППД5[[#This Row],[Фикс 16.09.2024]]*5%</f>
        <v>5835.3558897335834</v>
      </c>
      <c r="CH312" s="93">
        <f>ППД5[[#This Row],[Фикс 16.09.2024]]+ППД5[[#This Row],[Наценка 01.11.24
СТ: 4%
1К: 34-40м 5%; 40м+ 8%; МГН 1%
2К: 55-70м 6%; 70-73м 7%; 73-76м 8% 
3К: 5%]]</f>
        <v>122542.47368440525</v>
      </c>
      <c r="CI312" s="93">
        <f>ППД5[[#This Row],[Фикс 01.11.24]]*13%</f>
        <v>15930.521578972683</v>
      </c>
      <c r="CJ312" s="93">
        <f>ППД5[[#This Row],[Наценка 06.11 13%]]+ППД5[[#This Row],[Фикс 01.11.24]]</f>
        <v>138472.99526337793</v>
      </c>
      <c r="CK312" s="93">
        <v>35</v>
      </c>
      <c r="CL312" s="93">
        <f>ППД5[[#This Row],[Фикс 06.11.24]]+ППД5[[#This Row],[Наценка 18.12.24 распределение КВ]]</f>
        <v>138507.99526337793</v>
      </c>
      <c r="CM312" s="93"/>
      <c r="CN312" s="93">
        <f>ППД5[[#This Row],[Фикс 18.12.24]]+ППД5[[#This Row],[Наценка 10.02.25 +1%
1К: А3
2К: Б3, В3]]</f>
        <v>138507.99526337793</v>
      </c>
      <c r="CO312" s="93">
        <f>ROUND(ППД5[[#This Row],[Фикс 10.02.25]],2)</f>
        <v>138508</v>
      </c>
      <c r="CP31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5237000</v>
      </c>
      <c r="CQ312" s="93">
        <f>ROUNDUP(ППД5[[#This Row],[Стоимость до скидки]]+ППД5[[#This Row],[Сумма доплаты]],-2)</f>
        <v>5208000</v>
      </c>
      <c r="CR312" s="68"/>
      <c r="CS312" s="90"/>
      <c r="CT312" s="68">
        <f>ППД5[[#This Row],[Стоимость до скидки]]*ППД5[[#This Row],[Скидка %]]+ППД5[[#This Row],[Скидка фиксированная]]</f>
        <v>0</v>
      </c>
      <c r="CU312" s="3">
        <f>ППД5[[#This Row],[Стоимость ОН без отделки со скидкой]]/ППД5[[#This Row],[Расчетная проектная площадь]]</f>
        <v>138508.33112933085</v>
      </c>
      <c r="CV312" s="3">
        <f>ROUND(ППД5[[#This Row],[Стоимость до скидки]]-ППД5[[#This Row],[Итоговая сумма скидки]],2)</f>
        <v>5237000</v>
      </c>
      <c r="CW31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312" s="218">
        <v>10000</v>
      </c>
      <c r="CY312" s="332">
        <f>ППД5[[#This Row],[Расхождение]]/ППД5[[#This Row],[Расчетная проектная площадь]]</f>
        <v>-5.5540862205765889E-3</v>
      </c>
      <c r="CZ312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-5.0000000000002487E-2</v>
      </c>
      <c r="DA312" s="3">
        <f>ППД5[[#This Row],[Цена м2 без отделки со скидкой]]+ППД5[[#This Row],[Стоимость отделки]]</f>
        <v>148508.33112933085</v>
      </c>
      <c r="DB312" s="3">
        <f>ППД5[[#This Row],[Стоимость квартиры с отделкой]]-ППД5[[#This Row],[Стоимость ОН без отделки со скидкой]]</f>
        <v>378100</v>
      </c>
      <c r="DC312" s="3">
        <f>ППД5[[#This Row],[Цена м2 с отделкой]]*ППД5[[#This Row],[Расчетная проектная площадь]]</f>
        <v>5615100</v>
      </c>
      <c r="DD312" s="3"/>
      <c r="DF312" s="155" t="s">
        <v>157</v>
      </c>
      <c r="DG312" s="221" t="s">
        <v>157</v>
      </c>
      <c r="DH312" s="100" t="b">
        <f>EXACT(ППД5[[#This Row],[Статусы CRM]],ППД5[[#This Row],[Статус]])</f>
        <v>1</v>
      </c>
      <c r="DI312" s="213" t="s">
        <v>484</v>
      </c>
      <c r="DJ312" s="204"/>
      <c r="DK312" s="111" t="s">
        <v>763</v>
      </c>
      <c r="DL312" s="216" t="s">
        <v>780</v>
      </c>
      <c r="DM312" s="201" t="b">
        <f>ППД5[[#This Row],[Отделка CRM]]=ППД5[[#This Row],[Отделка]]</f>
        <v>1</v>
      </c>
      <c r="DN312" s="203">
        <v>5615100</v>
      </c>
      <c r="DO31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12" s="207" t="b">
        <f>IF(AND(ППД5[[#This Row],[Статус]]="свободно",ППД5[[#This Row],[Итоговая сумма скидки]]&lt;&gt;0),FALSE,TRUE)</f>
        <v>1</v>
      </c>
      <c r="DQ312" s="240" t="str">
        <f>_xlfn.XLOOKUP(ППД5[[#This Row],[№]],Юрист[№ кв],Юрист[Дата подачи на регистрацию]," ",0,-1)</f>
        <v xml:space="preserve"> </v>
      </c>
      <c r="DR312" s="115" t="str">
        <f>_xlfn.XLOOKUP(ППД5[[#This Row],[№]],Юрист[№ кв],Юрист[МОП],"",0,-1)</f>
        <v/>
      </c>
      <c r="DS312" s="333" t="s">
        <v>2916</v>
      </c>
      <c r="DT312" s="333" t="s">
        <v>2917</v>
      </c>
      <c r="DU312" s="333">
        <v>36.200000000000003</v>
      </c>
      <c r="DV312" s="111"/>
    </row>
    <row r="313" spans="1:126" hidden="1" x14ac:dyDescent="0.25">
      <c r="A313" s="112">
        <v>311</v>
      </c>
      <c r="B313" s="111" t="s">
        <v>3</v>
      </c>
      <c r="C313" s="111">
        <v>13</v>
      </c>
      <c r="D313" s="111">
        <v>6</v>
      </c>
      <c r="E313" s="111">
        <v>3</v>
      </c>
      <c r="F313" s="105">
        <v>17.2</v>
      </c>
      <c r="G313" s="105">
        <v>14.64</v>
      </c>
      <c r="H313" s="105">
        <v>14.34</v>
      </c>
      <c r="I313" s="94">
        <f>SUM(ППД5[[#This Row],[Комната 1]:[Комната 3]])</f>
        <v>46.18</v>
      </c>
      <c r="J313" s="105">
        <v>13.15</v>
      </c>
      <c r="K313" s="105">
        <v>4.03</v>
      </c>
      <c r="L313" s="105">
        <v>1.76</v>
      </c>
      <c r="M313" s="105"/>
      <c r="N313" s="105">
        <v>13.11</v>
      </c>
      <c r="O313" s="105">
        <v>2.79</v>
      </c>
      <c r="P313" s="105">
        <v>2.68</v>
      </c>
      <c r="Q313" s="105"/>
      <c r="R313" s="105">
        <f>SUM(ППД5[[#This Row],[Лоджия 1]:[Лоджия 3]])</f>
        <v>5.4700000000000006</v>
      </c>
      <c r="S313" s="8">
        <f>ROUND(SUM(ППД5[[#This Row],[Площадь по проекту жилая]:[Лоджия 3]]),2)</f>
        <v>83.7</v>
      </c>
      <c r="T313" s="8">
        <f>ROUND(ППД5[[#This Row],[Площадь по проекту(общая)]]-ППД5[[#This Row],[Летние]],2)</f>
        <v>78.23</v>
      </c>
      <c r="U313" s="91">
        <f>ROUND(ППД5[[#This Row],[Площадь по проекту(общая)]]-(SUM(ППД5[[#This Row],[Лоджия 1]:[Лоджия 3]])/2),2)</f>
        <v>80.97</v>
      </c>
      <c r="V313" s="91">
        <f>IF(ППД5[[#This Row],[Статус]]="продажа",ППД5[[#This Row],[Расчетная проектная площадь]],ППД5[[#This Row],[Расчетная ТП площадь]])</f>
        <v>80.97</v>
      </c>
      <c r="W313" s="91">
        <v>17.100000000000001</v>
      </c>
      <c r="X313" s="91">
        <v>14.6</v>
      </c>
      <c r="Y313" s="91">
        <v>14.3</v>
      </c>
      <c r="Z313" s="91">
        <f>SUM(ППД5[[#This Row],[ТП Комната 1]:[ТП Комната 3]])</f>
        <v>46</v>
      </c>
      <c r="AA313" s="91">
        <v>13.1</v>
      </c>
      <c r="AB313" s="91">
        <v>4</v>
      </c>
      <c r="AC313" s="91">
        <v>1.7</v>
      </c>
      <c r="AD313" s="91"/>
      <c r="AE313" s="91">
        <v>13</v>
      </c>
      <c r="AF313" s="91">
        <v>1.4</v>
      </c>
      <c r="AG313" s="92">
        <v>1.35</v>
      </c>
      <c r="AH313" s="91"/>
      <c r="AI313" s="91">
        <f>SUM(ППД5[[#This Row],[ТП Лоджия 1]:[ТП Лоджия 3]])</f>
        <v>2.75</v>
      </c>
      <c r="AJ313" s="95">
        <v>5.5</v>
      </c>
      <c r="AK313" s="91">
        <f>SUM(ППД5[[#This Row],[Площадь по ТП жилая]:[ТП Лоджия 3]])-ППД5[[#This Row],[ТП Летние]]+ППД5[[#This Row],[кроме того прочая
(без коэффициента)]]</f>
        <v>83.3</v>
      </c>
      <c r="AL313" s="95">
        <f>ППД5[[#This Row],[ТП Площадь без летних]]+(ППД5[[#This Row],[ТП Летние]])</f>
        <v>80.55</v>
      </c>
      <c r="AM313" s="91">
        <f>ППД5[[#This Row],[ТП общая S]]-ППД5[[#This Row],[кроме того прочая
(без коэффициента)]]</f>
        <v>77.8</v>
      </c>
      <c r="AN313" s="95">
        <f>SUM(ППД5[[#This Row],[ТП Кухня]:[ТП Коридор]])</f>
        <v>31.8</v>
      </c>
      <c r="AO313" s="91">
        <f>ППД5[[#This Row],[Расчетная ТП площадь]]-ППД5[[#This Row],[Расчетная проектная площадь]]</f>
        <v>-0.42000000000000171</v>
      </c>
      <c r="AP313" s="335">
        <f>ППД5[[#This Row],[Расчетная ТП площадь]]/ППД5[[#This Row],[Расчетная проектная площадь]]-1</f>
        <v>-5.1871063356798697E-3</v>
      </c>
      <c r="AQ313" s="91">
        <f>ППД5[[#This Row],[% расхождения]]*ППД5[[#This Row],[Стоимость до скидки]]</f>
        <v>-37214.894405335224</v>
      </c>
      <c r="AR313" s="91">
        <f>VLOOKUP(ППД5[[#This Row],[№]],наценкад5[],COLUMN(наценкад5[[#This Row],[Цена м2 с учетом всех K]]),0)</f>
        <v>73520.37000000001</v>
      </c>
      <c r="AS313" s="8">
        <f>ППД5[[#This Row],[м2 после К]]*5%</f>
        <v>3676.0185000000006</v>
      </c>
      <c r="AT313" s="8">
        <f>ППД5[[#This Row],[м2 после К]]+ППД5[[#This Row],[Повышение 16.08.23 - 5%]]</f>
        <v>77196.388500000015</v>
      </c>
      <c r="AU313" s="93">
        <f>ППД5[[#This Row],[Фикс 16.08.23]]*3%</f>
        <v>2315.8916550000004</v>
      </c>
      <c r="AV313" s="93">
        <f>ППД5[[#This Row],[Фикс 16.08.23]]+ППД5[[#This Row],[Повышение 29.08.23 - 3%]]</f>
        <v>79512.280155000015</v>
      </c>
      <c r="AW313" s="93"/>
      <c r="AX313" s="93">
        <f>ППД5[[#This Row],[Фикс 29.08.23]]+ППД5[[#This Row],[Повышение 06.09.23 СТ и 1К]]</f>
        <v>79512.280155000015</v>
      </c>
      <c r="AY313" s="93"/>
      <c r="AZ313" s="93">
        <f>ППД5[[#This Row],[Повышение 23.10.23  В4 ]]+ППД5[[#This Row],[Фикс 06.09.23]]</f>
        <v>79512.280155000015</v>
      </c>
      <c r="BA313" s="93"/>
      <c r="BB313" s="93">
        <f>ППД5[[#This Row],[Повышение 8.11.23 1К 5%]]+ППД5[[#This Row],[Фикс 23.10.23]]</f>
        <v>79512.280155000015</v>
      </c>
      <c r="BC313" s="93"/>
      <c r="BD313" s="93">
        <f>ППД5[[#This Row],[Корректировка 24.11.23 - 1К В5, 2К А2, №233]]+ППД5[[#This Row],[Фикс 8.11.23]]</f>
        <v>79512.280155000015</v>
      </c>
      <c r="BE313" s="93">
        <f>ППД5[[#This Row],[Фикс 8.11.24]]*1%</f>
        <v>795.12280155000019</v>
      </c>
      <c r="BF313" s="93">
        <f>ППД5[[#This Row],[Наценка за отделку 29.12.23 1%]]+ППД5[[#This Row],[Фикс 8.11.24]]</f>
        <v>80307.40295655001</v>
      </c>
      <c r="BG313" s="93">
        <f>ППД5[[#This Row],[Фикс 29.12.23]]*5%</f>
        <v>4015.3701478275007</v>
      </c>
      <c r="BH313" s="93">
        <f>ППД5[[#This Row],[Фикс 29.12.23]]+ППД5[[#This Row],[Наценка 10.01.24 5%]]</f>
        <v>84322.773104377513</v>
      </c>
      <c r="BI313" s="93"/>
      <c r="BJ313" s="93">
        <f>ППД5[[#This Row],[Наценка 26.02.24 1 Этаж]]+ППД5[[#This Row],[Фикс 10.01.24]]</f>
        <v>84322.773104377513</v>
      </c>
      <c r="BK313" s="93">
        <f>ППД5[[#This Row],[Фикс 26.02.24]]*2%</f>
        <v>1686.4554620875504</v>
      </c>
      <c r="BL313" s="93">
        <f>ППД5[[#This Row],[Фикс 26.02.24]]+ППД5[[#This Row],[Наценка 06.03.24
СТ, 1К - 3%
2К, 3К - 2%]]</f>
        <v>86009.22856646507</v>
      </c>
      <c r="BM313" s="93"/>
      <c r="BN313" s="93">
        <f>ППД5[[#This Row],[Фикс 06.03.24]]+ППД5[[#This Row],[Наценка Г2+500]]</f>
        <v>86009.22856646507</v>
      </c>
      <c r="BO313" s="93">
        <f>ППД5[[#This Row],[Фикс 13.03.25]]*2%</f>
        <v>1720.1845713293014</v>
      </c>
      <c r="BP313" s="93">
        <f>ППД5[[#This Row],[Фикс 13.03.25]]+ППД5[[#This Row],[Наценка 20.03.24
2К, 3К - 2%]]</f>
        <v>87729.41313779437</v>
      </c>
      <c r="BQ313" s="93"/>
      <c r="BR313" s="93">
        <f>ППД5[[#This Row],[Фикс 20.03.24]]+ППД5[[#This Row],[Наценка 08.04.24 
2К: В3 - 150
3К: Г7 +1000]]</f>
        <v>87729.41313779437</v>
      </c>
      <c r="BS313" s="93">
        <f>ППД5[[#This Row],[Фикс 08.04.24]]*1%</f>
        <v>877.2941313779437</v>
      </c>
      <c r="BT313" s="93">
        <f>ППД5[[#This Row],[Фикс 08.04.24]]+ППД5[[#This Row],[Наценка 16.05.24 1%
А4,А6,Б3,Б6,Б7,В2,В3,В5,В6,Г1,Г3-Г5]]</f>
        <v>88606.707269172315</v>
      </c>
      <c r="BU313" s="93"/>
      <c r="BV313" s="93">
        <f>ППД5[[#This Row],[Фикс 16.05.24]]+ППД5[[#This Row],[Наценка 24.05.24
1% - Б4, Б5,Г2,Г6
2% - А1,А3,А5,Б2,Г7]]</f>
        <v>88606.707269172315</v>
      </c>
      <c r="BW313" s="93"/>
      <c r="BX313" s="93">
        <f>ППД5[[#This Row],[Наценка 06.06.24
0К: В2,Г3 +0,5%
1К: А7, Б5/4, Г6 +0,5%
3К: В6 +0,5%
1К: А3 +1%]]+ППД5[[#This Row],[Фикс 24.05.24]]</f>
        <v>88606.707269172315</v>
      </c>
      <c r="BY313" s="93"/>
      <c r="BZ313" s="93">
        <f>ППД5[[#This Row],[Фикс 06.06.24]]+ППД5[[#This Row],[13.06.2024
3К - 2%]]</f>
        <v>88606.707269172315</v>
      </c>
      <c r="CA313" s="93"/>
      <c r="CB313" s="93">
        <f>ППД5[[#This Row],[02.07.2024: Г3 А1 А3 Б5 Б7 Г2 Г6 Б3 Б4 В3 Г7 2,5% ост 0,5-1,5%]]+ППД5[[#This Row],[Фикс 13.06.24]]</f>
        <v>88606.707269172315</v>
      </c>
      <c r="CC313" s="93"/>
      <c r="CD313" s="93">
        <f>ППД5[[#This Row],[Фикс 02.07.24]]+ППД5[[#This Row],[04.09.2024 +500
0К - Б2; 1К - А3;
2К - А6, Б4, В3, Г5]]</f>
        <v>88606.707269172315</v>
      </c>
      <c r="CE313" s="93"/>
      <c r="CF313" s="93">
        <f>ППД5[[#This Row],[Наценка 16.09.2024
1К: А1,В7,Г6/7,Г8 - 2%
2К: А4,А5,А6,Б1,Б6,Б3/4,В3,В4,Г4,Г5 - 4%
3К: 4%]]+ППД5[[#This Row],[Фикс 04.09.24]]</f>
        <v>88606.707269172315</v>
      </c>
      <c r="CG313" s="93"/>
      <c r="CH313" s="93">
        <f>ППД5[[#This Row],[Фикс 16.09.2024]]+ППД5[[#This Row],[Наценка 01.11.24
СТ: 4%
1К: 34-40м 5%; 40м+ 8%; МГН 1%
2К: 55-70м 6%; 70-73м 7%; 73-76м 8% 
3К: 5%]]</f>
        <v>88606.707269172315</v>
      </c>
      <c r="CI313" s="93"/>
      <c r="CJ313" s="93">
        <f>ППД5[[#This Row],[Наценка 06.11 13%]]+ППД5[[#This Row],[Фикс 01.11.24]]</f>
        <v>88606.707269172315</v>
      </c>
      <c r="CK313" s="93"/>
      <c r="CL313" s="93">
        <f>ППД5[[#This Row],[Фикс 06.11.24]]+ППД5[[#This Row],[Наценка 18.12.24 распределение КВ]]</f>
        <v>88606.707269172315</v>
      </c>
      <c r="CM313" s="93"/>
      <c r="CN313" s="93">
        <f>ППД5[[#This Row],[Фикс 18.12.24]]+ППД5[[#This Row],[Наценка 10.02.25 +1%
1К: А3
2К: Б3, В3]]</f>
        <v>88606.707269172315</v>
      </c>
      <c r="CO313" s="93">
        <f>ROUND(ППД5[[#This Row],[Фикс 10.02.25]],2)</f>
        <v>88606.71</v>
      </c>
      <c r="CP31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7174500</v>
      </c>
      <c r="CQ313" s="93">
        <f>ROUNDUP(ППД5[[#This Row],[Стоимость до скидки]]+ППД5[[#This Row],[Сумма доплаты]],-2)</f>
        <v>7137300</v>
      </c>
      <c r="CR313" s="68"/>
      <c r="CS313" s="90"/>
      <c r="CT313" s="68">
        <f>ППД5[[#This Row],[Стоимость до скидки]]*ППД5[[#This Row],[Скидка %]]+ППД5[[#This Row],[Скидка фиксированная]]</f>
        <v>0</v>
      </c>
      <c r="CU313" s="3">
        <f>ППД5[[#This Row],[Стоимость ОН без отделки со скидкой]]/ППД5[[#This Row],[Расчетная проектная площадь]]</f>
        <v>88606.891441274551</v>
      </c>
      <c r="CV313" s="3">
        <f>ROUND(ППД5[[#This Row],[Стоимость до скидки]]-ППД5[[#This Row],[Итоговая сумма скидки]],2)</f>
        <v>7174500</v>
      </c>
      <c r="CW31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13" s="197"/>
      <c r="CY313" s="332">
        <f>ППД5[[#This Row],[Расхождение]]/ППД5[[#This Row],[Расчетная проектная площадь]]</f>
        <v>-5.1871063356799026E-3</v>
      </c>
      <c r="CZ31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-0.25000000000000178</v>
      </c>
      <c r="DA313" s="3">
        <f>ППД5[[#This Row],[Цена м2 без отделки со скидкой]]+ППД5[[#This Row],[Стоимость отделки]]</f>
        <v>88606.891441274551</v>
      </c>
      <c r="DB313" s="3">
        <f>ППД5[[#This Row],[Стоимость квартиры с отделкой]]-ППД5[[#This Row],[Стоимость ОН без отделки со скидкой]]</f>
        <v>0</v>
      </c>
      <c r="DC313" s="3">
        <f>ППД5[[#This Row],[Цена м2 с отделкой]]*ППД5[[#This Row],[Расчетная проектная площадь]]</f>
        <v>7174500</v>
      </c>
      <c r="DD313" s="3"/>
      <c r="DF313" s="199" t="s">
        <v>172</v>
      </c>
      <c r="DG313" s="245" t="s">
        <v>172</v>
      </c>
      <c r="DH313" s="100" t="b">
        <f>EXACT(ППД5[[#This Row],[Статусы CRM]],ППД5[[#This Row],[Статус]])</f>
        <v>1</v>
      </c>
      <c r="DI313" s="213" t="s">
        <v>485</v>
      </c>
      <c r="DJ313" s="204"/>
      <c r="DK313" s="111" t="s">
        <v>763</v>
      </c>
      <c r="DL313" s="216" t="s">
        <v>12</v>
      </c>
      <c r="DM313" s="201" t="b">
        <f>ППД5[[#This Row],[Отделка CRM]]=ППД5[[#This Row],[Отделка]]</f>
        <v>1</v>
      </c>
      <c r="DN313" s="203">
        <v>7174500</v>
      </c>
      <c r="DO31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13" s="207" t="b">
        <f>IF(AND(ППД5[[#This Row],[Статус]]="свободно",ППД5[[#This Row],[Итоговая сумма скидки]]&lt;&gt;0),FALSE,TRUE)</f>
        <v>1</v>
      </c>
      <c r="DQ313" s="240">
        <f>_xlfn.XLOOKUP(ППД5[[#This Row],[№]],Юрист[№ кв],Юрист[Дата подачи на регистрацию]," ",0,-1)</f>
        <v>45448</v>
      </c>
      <c r="DR313" s="115" t="str">
        <f>_xlfn.XLOOKUP(ППД5[[#This Row],[№]],Юрист[№ кв],Юрист[МОП],"",0,-1)</f>
        <v>Никишов</v>
      </c>
      <c r="DS313" s="333" t="s">
        <v>2918</v>
      </c>
      <c r="DT313" s="333" t="s">
        <v>2919</v>
      </c>
      <c r="DU313" s="333">
        <v>77.8</v>
      </c>
      <c r="DV313" s="111"/>
    </row>
    <row r="314" spans="1:126" hidden="1" x14ac:dyDescent="0.25">
      <c r="A314" s="112">
        <v>312</v>
      </c>
      <c r="B314" s="111" t="s">
        <v>3</v>
      </c>
      <c r="C314" s="111">
        <v>13</v>
      </c>
      <c r="D314" s="111">
        <v>7</v>
      </c>
      <c r="E314" s="111">
        <v>1</v>
      </c>
      <c r="F314" s="105">
        <v>14.3</v>
      </c>
      <c r="G314" s="105"/>
      <c r="H314" s="105"/>
      <c r="I314" s="94">
        <f>SUM(ППД5[[#This Row],[Комната 1]:[Комната 3]])</f>
        <v>14.3</v>
      </c>
      <c r="J314" s="105">
        <v>9.2799999999999994</v>
      </c>
      <c r="K314" s="105">
        <v>3.79</v>
      </c>
      <c r="L314" s="105"/>
      <c r="M314" s="105"/>
      <c r="N314" s="105">
        <v>6.08</v>
      </c>
      <c r="O314" s="105">
        <v>2.71</v>
      </c>
      <c r="P314" s="105"/>
      <c r="Q314" s="105"/>
      <c r="R314" s="105">
        <f>SUM(ППД5[[#This Row],[Лоджия 1]:[Лоджия 3]])</f>
        <v>2.71</v>
      </c>
      <c r="S314" s="8">
        <f>ROUND(SUM(ППД5[[#This Row],[Площадь по проекту жилая]:[Лоджия 3]]),2)</f>
        <v>36.159999999999997</v>
      </c>
      <c r="T314" s="8">
        <f>ROUND(ППД5[[#This Row],[Площадь по проекту(общая)]]-ППД5[[#This Row],[Летние]],2)</f>
        <v>33.450000000000003</v>
      </c>
      <c r="U314" s="91">
        <f>ROUND(ППД5[[#This Row],[Площадь по проекту(общая)]]-(SUM(ППД5[[#This Row],[Лоджия 1]:[Лоджия 3]])/2),2)</f>
        <v>34.81</v>
      </c>
      <c r="V314" s="91">
        <f>IF(ППД5[[#This Row],[Статус]]="продажа",ППД5[[#This Row],[Расчетная проектная площадь]],ППД5[[#This Row],[Расчетная ТП площадь]])</f>
        <v>34.81</v>
      </c>
      <c r="W314" s="91">
        <v>14.3</v>
      </c>
      <c r="X314" s="91"/>
      <c r="Y314" s="91"/>
      <c r="Z314" s="91">
        <f>SUM(ППД5[[#This Row],[ТП Комната 1]:[ТП Комната 3]])</f>
        <v>14.3</v>
      </c>
      <c r="AA314" s="91">
        <v>9.3000000000000007</v>
      </c>
      <c r="AB314" s="91">
        <v>3.8</v>
      </c>
      <c r="AC314" s="91"/>
      <c r="AD314" s="91"/>
      <c r="AE314" s="91">
        <v>6.1</v>
      </c>
      <c r="AF314" s="91">
        <v>1.3</v>
      </c>
      <c r="AG314" s="91"/>
      <c r="AH314" s="91"/>
      <c r="AI314" s="91">
        <f>SUM(ППД5[[#This Row],[ТП Лоджия 1]:[ТП Лоджия 3]])</f>
        <v>1.3</v>
      </c>
      <c r="AJ314" s="95">
        <v>2.6</v>
      </c>
      <c r="AK314" s="91">
        <f>SUM(ППД5[[#This Row],[Площадь по ТП жилая]:[ТП Лоджия 3]])-ППД5[[#This Row],[ТП Летние]]+ППД5[[#This Row],[кроме того прочая
(без коэффициента)]]</f>
        <v>36.1</v>
      </c>
      <c r="AL314" s="95">
        <f>ППД5[[#This Row],[ТП Площадь без летних]]+(ППД5[[#This Row],[ТП Летние]])</f>
        <v>34.799999999999997</v>
      </c>
      <c r="AM314" s="91">
        <f>ППД5[[#This Row],[ТП общая S]]-ППД5[[#This Row],[кроме того прочая
(без коэффициента)]]</f>
        <v>33.5</v>
      </c>
      <c r="AN314" s="95">
        <f>SUM(ППД5[[#This Row],[ТП Кухня]:[ТП Коридор]])</f>
        <v>19.200000000000003</v>
      </c>
      <c r="AO314" s="91">
        <f>ППД5[[#This Row],[Расчетная ТП площадь]]-ППД5[[#This Row],[Расчетная проектная площадь]]</f>
        <v>-1.0000000000005116E-2</v>
      </c>
      <c r="AP314" s="335">
        <f>ППД5[[#This Row],[Расчетная ТП площадь]]/ППД5[[#This Row],[Расчетная проектная площадь]]-1</f>
        <v>-2.8727377190473913E-4</v>
      </c>
      <c r="AQ314" s="91">
        <f>ППД5[[#This Row],[% расхождения]]*ППД5[[#This Row],[Стоимость до скидки]]</f>
        <v>-962.54249928219758</v>
      </c>
      <c r="AR314" s="91">
        <f>VLOOKUP(ППД5[[#This Row],[№]],наценкад5[],COLUMN(наценкад5[[#This Row],[Цена м2 с учетом всех K]]),0)</f>
        <v>84762.5625</v>
      </c>
      <c r="AS314" s="8">
        <f>ППД5[[#This Row],[м2 после К]]*5%</f>
        <v>4238.1281250000002</v>
      </c>
      <c r="AT314" s="8">
        <f>ППД5[[#This Row],[м2 после К]]+ППД5[[#This Row],[Повышение 16.08.23 - 5%]]</f>
        <v>89000.690625000003</v>
      </c>
      <c r="AU314" s="93">
        <f>ППД5[[#This Row],[Фикс 16.08.23]]*3%</f>
        <v>2670.02071875</v>
      </c>
      <c r="AV314" s="93">
        <f>ППД5[[#This Row],[Фикс 16.08.23]]+ППД5[[#This Row],[Повышение 29.08.23 - 3%]]</f>
        <v>91670.711343750008</v>
      </c>
      <c r="AW314" s="93">
        <f>ППД5[[#This Row],[Фикс 29.08.23]]*5%</f>
        <v>4583.5355671875004</v>
      </c>
      <c r="AX314" s="93">
        <f>ППД5[[#This Row],[Фикс 29.08.23]]+ППД5[[#This Row],[Повышение 06.09.23 СТ и 1К]]</f>
        <v>96254.246910937509</v>
      </c>
      <c r="AY314" s="93"/>
      <c r="AZ314" s="93">
        <f>ППД5[[#This Row],[Повышение 23.10.23  В4 ]]+ППД5[[#This Row],[Фикс 06.09.23]]</f>
        <v>96254.246910937509</v>
      </c>
      <c r="BA314" s="93"/>
      <c r="BB314" s="93">
        <f>ППД5[[#This Row],[Повышение 8.11.23 1К 5%]]+ППД5[[#This Row],[Фикс 23.10.23]]</f>
        <v>96254.246910937509</v>
      </c>
      <c r="BC314" s="93"/>
      <c r="BD314" s="93">
        <f>ППД5[[#This Row],[Корректировка 24.11.23 - 1К В5, 2К А2, №233]]+ППД5[[#This Row],[Фикс 8.11.23]]</f>
        <v>96254.246910937509</v>
      </c>
      <c r="BE314" s="93"/>
      <c r="BF314" s="93">
        <f>ППД5[[#This Row],[Наценка за отделку 29.12.23 1%]]+ППД5[[#This Row],[Фикс 8.11.24]]</f>
        <v>96254.246910937509</v>
      </c>
      <c r="BG314" s="93"/>
      <c r="BH314" s="93">
        <f>ППД5[[#This Row],[Фикс 29.12.23]]+ППД5[[#This Row],[Наценка 10.01.24 5%]]</f>
        <v>96254.246910937509</v>
      </c>
      <c r="BI314" s="93"/>
      <c r="BJ314" s="93">
        <f>ППД5[[#This Row],[Наценка 26.02.24 1 Этаж]]+ППД5[[#This Row],[Фикс 10.01.24]]</f>
        <v>96254.246910937509</v>
      </c>
      <c r="BK314" s="93"/>
      <c r="BL314" s="93">
        <f>ППД5[[#This Row],[Фикс 26.02.24]]+ППД5[[#This Row],[Наценка 06.03.24
СТ, 1К - 3%
2К, 3К - 2%]]</f>
        <v>96254.246910937509</v>
      </c>
      <c r="BM314" s="93"/>
      <c r="BN314" s="93">
        <f>ППД5[[#This Row],[Фикс 06.03.24]]+ППД5[[#This Row],[Наценка Г2+500]]</f>
        <v>96254.246910937509</v>
      </c>
      <c r="BO314" s="93"/>
      <c r="BP314" s="93">
        <f>ППД5[[#This Row],[Фикс 13.03.25]]+ППД5[[#This Row],[Наценка 20.03.24
2К, 3К - 2%]]</f>
        <v>96254.246910937509</v>
      </c>
      <c r="BQ314" s="93"/>
      <c r="BR314" s="93">
        <f>ППД5[[#This Row],[Фикс 20.03.24]]+ППД5[[#This Row],[Наценка 08.04.24 
2К: В3 - 150
3К: Г7 +1000]]</f>
        <v>96254.246910937509</v>
      </c>
      <c r="BS314" s="93"/>
      <c r="BT314" s="93">
        <f>ППД5[[#This Row],[Фикс 08.04.24]]+ППД5[[#This Row],[Наценка 16.05.24 1%
А4,А6,Б3,Б6,Б7,В2,В3,В5,В6,Г1,Г3-Г5]]</f>
        <v>96254.246910937509</v>
      </c>
      <c r="BU314" s="93"/>
      <c r="BV314" s="93">
        <f>ППД5[[#This Row],[Фикс 16.05.24]]+ППД5[[#This Row],[Наценка 24.05.24
1% - Б4, Б5,Г2,Г6
2% - А1,А3,А5,Б2,Г7]]</f>
        <v>96254.246910937509</v>
      </c>
      <c r="BW314" s="93"/>
      <c r="BX314" s="93">
        <f>ППД5[[#This Row],[Наценка 06.06.24
0К: В2,Г3 +0,5%
1К: А7, Б5/4, Г6 +0,5%
3К: В6 +0,5%
1К: А3 +1%]]+ППД5[[#This Row],[Фикс 24.05.24]]</f>
        <v>96254.246910937509</v>
      </c>
      <c r="BY314" s="93"/>
      <c r="BZ314" s="93">
        <f>ППД5[[#This Row],[Фикс 06.06.24]]+ППД5[[#This Row],[13.06.2024
3К - 2%]]</f>
        <v>96254.246910937509</v>
      </c>
      <c r="CA314" s="93"/>
      <c r="CB314" s="93">
        <f>ППД5[[#This Row],[02.07.2024: Г3 А1 А3 Б5 Б7 Г2 Г6 Б3 Б4 В3 Г7 2,5% ост 0,5-1,5%]]+ППД5[[#This Row],[Фикс 13.06.24]]</f>
        <v>96254.246910937509</v>
      </c>
      <c r="CC314" s="93"/>
      <c r="CD314" s="93">
        <f>ППД5[[#This Row],[Фикс 02.07.24]]+ППД5[[#This Row],[04.09.2024 +500
0К - Б2; 1К - А3;
2К - А6, Б4, В3, Г5]]</f>
        <v>96254.246910937509</v>
      </c>
      <c r="CE314" s="93"/>
      <c r="CF314" s="93">
        <f>ППД5[[#This Row],[Наценка 16.09.2024
1К: А1,В7,Г6/7,Г8 - 2%
2К: А4,А5,А6,Б1,Б6,Б3/4,В3,В4,Г4,Г5 - 4%
3К: 4%]]+ППД5[[#This Row],[Фикс 04.09.24]]</f>
        <v>96254.246910937509</v>
      </c>
      <c r="CG314" s="93"/>
      <c r="CH314" s="93">
        <f>ППД5[[#This Row],[Фикс 16.09.2024]]+ППД5[[#This Row],[Наценка 01.11.24
СТ: 4%
1К: 34-40м 5%; 40м+ 8%; МГН 1%
2К: 55-70м 6%; 70-73м 7%; 73-76м 8% 
3К: 5%]]</f>
        <v>96254.246910937509</v>
      </c>
      <c r="CI314" s="93"/>
      <c r="CJ314" s="93">
        <f>ППД5[[#This Row],[Наценка 06.11 13%]]+ППД5[[#This Row],[Фикс 01.11.24]]</f>
        <v>96254.246910937509</v>
      </c>
      <c r="CK314" s="93"/>
      <c r="CL314" s="93">
        <f>ППД5[[#This Row],[Фикс 06.11.24]]+ППД5[[#This Row],[Наценка 18.12.24 распределение КВ]]</f>
        <v>96254.246910937509</v>
      </c>
      <c r="CM314" s="93"/>
      <c r="CN314" s="93">
        <f>ППД5[[#This Row],[Фикс 18.12.24]]+ППД5[[#This Row],[Наценка 10.02.25 +1%
1К: А3
2К: Б3, В3]]</f>
        <v>96254.246910937509</v>
      </c>
      <c r="CO314" s="93">
        <f>ROUND(ППД5[[#This Row],[Фикс 10.02.25]],2)</f>
        <v>96254.25</v>
      </c>
      <c r="CP31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3350610.44</v>
      </c>
      <c r="CQ314" s="93">
        <f>ROUNDUP(ППД5[[#This Row],[Стоимость до скидки]]+ППД5[[#This Row],[Сумма доплаты]],-2)</f>
        <v>3349700</v>
      </c>
      <c r="CR314" s="68"/>
      <c r="CS314" s="90"/>
      <c r="CT314" s="68">
        <f>ППД5[[#This Row],[Стоимость до скидки]]*ППД5[[#This Row],[Скидка %]]+ППД5[[#This Row],[Скидка фиксированная]]</f>
        <v>0</v>
      </c>
      <c r="CU314" s="3">
        <f>ППД5[[#This Row],[Стоимость ОН без отделки со скидкой]]/ППД5[[#This Row],[Расчетная проектная площадь]]</f>
        <v>96254.249928181554</v>
      </c>
      <c r="CV314" s="3">
        <f>ROUND(ППД5[[#This Row],[Стоимость до скидки]]-ППД5[[#This Row],[Итоговая сумма скидки]],2)</f>
        <v>3350610.44</v>
      </c>
      <c r="CW31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14" s="197"/>
      <c r="CY314" s="332">
        <f>ППД5[[#This Row],[Расхождение]]/ППД5[[#This Row],[Расчетная проектная площадь]]</f>
        <v>-2.8727377190477203E-4</v>
      </c>
      <c r="CZ31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5.0000000000002487E-2</v>
      </c>
      <c r="DA314" s="3">
        <f>ППД5[[#This Row],[Цена м2 без отделки со скидкой]]+ППД5[[#This Row],[Стоимость отделки]]</f>
        <v>96254.249928181554</v>
      </c>
      <c r="DB314" s="3">
        <f>ППД5[[#This Row],[Стоимость квартиры с отделкой]]-ППД5[[#This Row],[Стоимость ОН без отделки со скидкой]]</f>
        <v>0</v>
      </c>
      <c r="DC314" s="3">
        <f>ППД5[[#This Row],[Цена м2 с отделкой]]*ППД5[[#This Row],[Расчетная проектная площадь]]</f>
        <v>3350610.44</v>
      </c>
      <c r="DD314" s="3" t="s">
        <v>154</v>
      </c>
      <c r="DF314" s="199" t="s">
        <v>172</v>
      </c>
      <c r="DG314" s="245" t="s">
        <v>172</v>
      </c>
      <c r="DH314" s="100" t="b">
        <f>EXACT(ППД5[[#This Row],[Статусы CRM]],ППД5[[#This Row],[Статус]])</f>
        <v>1</v>
      </c>
      <c r="DI314" s="213" t="s">
        <v>486</v>
      </c>
      <c r="DJ314" s="204"/>
      <c r="DK314" s="111" t="s">
        <v>76</v>
      </c>
      <c r="DL314" s="216" t="s">
        <v>12</v>
      </c>
      <c r="DM314" s="201" t="b">
        <f>ППД5[[#This Row],[Отделка CRM]]=ППД5[[#This Row],[Отделка]]</f>
        <v>1</v>
      </c>
      <c r="DN314" s="203">
        <v>3350610.44</v>
      </c>
      <c r="DO31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14" s="207" t="b">
        <f>IF(AND(ППД5[[#This Row],[Статус]]="свободно",ППД5[[#This Row],[Итоговая сумма скидки]]&lt;&gt;0),FALSE,TRUE)</f>
        <v>1</v>
      </c>
      <c r="DQ314" s="240">
        <f>_xlfn.XLOOKUP(ППД5[[#This Row],[№]],Юрист[№ кв],Юрист[Дата подачи на регистрацию]," ",0,-1)</f>
        <v>45184</v>
      </c>
      <c r="DR314" s="115" t="str">
        <f>_xlfn.XLOOKUP(ППД5[[#This Row],[№]],Юрист[№ кв],Юрист[МОП],"",0,-1)</f>
        <v>Кофанова</v>
      </c>
      <c r="DS314" s="333" t="s">
        <v>2920</v>
      </c>
      <c r="DT314" s="333" t="s">
        <v>2921</v>
      </c>
      <c r="DU314" s="333">
        <v>33.5</v>
      </c>
      <c r="DV314" s="111"/>
    </row>
    <row r="315" spans="1:126" hidden="1" x14ac:dyDescent="0.25">
      <c r="A315" s="112">
        <v>313</v>
      </c>
      <c r="B315" s="111" t="s">
        <v>3</v>
      </c>
      <c r="C315" s="111">
        <v>14</v>
      </c>
      <c r="D315" s="338">
        <v>1</v>
      </c>
      <c r="E315" s="111">
        <v>2</v>
      </c>
      <c r="F315" s="105">
        <v>17.63</v>
      </c>
      <c r="G315" s="105">
        <v>13.69</v>
      </c>
      <c r="H315" s="105"/>
      <c r="I315" s="94">
        <f>SUM(ППД5[[#This Row],[Комната 1]:[Комната 3]])</f>
        <v>31.32</v>
      </c>
      <c r="J315" s="105">
        <v>20.05</v>
      </c>
      <c r="K315" s="105">
        <v>3.54</v>
      </c>
      <c r="L315" s="105">
        <v>2.93</v>
      </c>
      <c r="M315" s="105"/>
      <c r="N315" s="105">
        <v>12.19</v>
      </c>
      <c r="O315" s="105">
        <v>4.6500000000000004</v>
      </c>
      <c r="P315" s="105">
        <v>2.68</v>
      </c>
      <c r="Q315" s="105"/>
      <c r="R315" s="105">
        <f>SUM(ППД5[[#This Row],[Лоджия 1]:[Лоджия 3]])</f>
        <v>7.33</v>
      </c>
      <c r="S315" s="8">
        <f>ROUND(SUM(ППД5[[#This Row],[Площадь по проекту жилая]:[Лоджия 3]]),2)</f>
        <v>77.36</v>
      </c>
      <c r="T315" s="8">
        <f>ROUND(ППД5[[#This Row],[Площадь по проекту(общая)]]-ППД5[[#This Row],[Летние]],2)</f>
        <v>70.03</v>
      </c>
      <c r="U315" s="91">
        <f>ROUND(ППД5[[#This Row],[Площадь по проекту(общая)]]-(SUM(ППД5[[#This Row],[Лоджия 1]:[Лоджия 3]])/2),2)</f>
        <v>73.7</v>
      </c>
      <c r="V315" s="91">
        <f>IF(ППД5[[#This Row],[Статус]]="продажа",ППД5[[#This Row],[Расчетная проектная площадь]],ППД5[[#This Row],[Расчетная ТП площадь]])</f>
        <v>73.7</v>
      </c>
      <c r="W315" s="91">
        <v>17.600000000000001</v>
      </c>
      <c r="X315" s="91">
        <v>13.7</v>
      </c>
      <c r="Y315" s="91"/>
      <c r="Z315" s="91">
        <f>SUM(ППД5[[#This Row],[ТП Комната 1]:[ТП Комната 3]])</f>
        <v>31.3</v>
      </c>
      <c r="AA315" s="91">
        <v>20</v>
      </c>
      <c r="AB315" s="91">
        <v>3.5</v>
      </c>
      <c r="AC315" s="91">
        <v>2.9</v>
      </c>
      <c r="AD315" s="91"/>
      <c r="AE315" s="91">
        <v>12.3</v>
      </c>
      <c r="AF315" s="91">
        <v>1.35</v>
      </c>
      <c r="AG315" s="91">
        <v>2.35</v>
      </c>
      <c r="AH315" s="91"/>
      <c r="AI315" s="91">
        <f>SUM(ППД5[[#This Row],[ТП Лоджия 1]:[ТП Лоджия 3]])</f>
        <v>3.7</v>
      </c>
      <c r="AJ315" s="95">
        <v>7.4</v>
      </c>
      <c r="AK315" s="91">
        <f>SUM(ППД5[[#This Row],[Площадь по ТП жилая]:[ТП Лоджия 3]])-ППД5[[#This Row],[ТП Летние]]+ППД5[[#This Row],[кроме того прочая
(без коэффициента)]]</f>
        <v>77.399999999999991</v>
      </c>
      <c r="AL315" s="95">
        <f>ППД5[[#This Row],[ТП Площадь без летних]]+(ППД5[[#This Row],[ТП Летние]])</f>
        <v>73.699999999999989</v>
      </c>
      <c r="AM315" s="91">
        <f>ППД5[[#This Row],[ТП общая S]]-ППД5[[#This Row],[кроме того прочая
(без коэффициента)]]</f>
        <v>69.999999999999986</v>
      </c>
      <c r="AN315" s="95">
        <f>SUM(ППД5[[#This Row],[ТП Кухня]:[ТП Коридор]])</f>
        <v>38.700000000000003</v>
      </c>
      <c r="AO315" s="91">
        <f>ППД5[[#This Row],[Расчетная ТП площадь]]-ППД5[[#This Row],[Расчетная проектная площадь]]</f>
        <v>0</v>
      </c>
      <c r="AP315" s="335">
        <f>ППД5[[#This Row],[Расчетная ТП площадь]]/ППД5[[#This Row],[Расчетная проектная площадь]]-1</f>
        <v>0</v>
      </c>
      <c r="AQ315" s="91">
        <f>ППД5[[#This Row],[% расхождения]]*ППД5[[#This Row],[Стоимость до скидки]]</f>
        <v>0</v>
      </c>
      <c r="AR315" s="91">
        <f>VLOOKUP(ППД5[[#This Row],[№]],наценкад5[],COLUMN(наценкад5[[#This Row],[Цена м2 с учетом всех K]]),0)</f>
        <v>80307.864000000001</v>
      </c>
      <c r="AS315" s="8">
        <f>ППД5[[#This Row],[м2 после К]]*5%</f>
        <v>4015.3932000000004</v>
      </c>
      <c r="AT315" s="8">
        <f>ППД5[[#This Row],[м2 после К]]+ППД5[[#This Row],[Повышение 16.08.23 - 5%]]</f>
        <v>84323.257200000007</v>
      </c>
      <c r="AU315" s="93">
        <f>ППД5[[#This Row],[Фикс 16.08.23]]*3%</f>
        <v>2529.6977160000001</v>
      </c>
      <c r="AV315" s="93">
        <f>ППД5[[#This Row],[Фикс 16.08.23]]+ППД5[[#This Row],[Повышение 29.08.23 - 3%]]</f>
        <v>86852.954916000002</v>
      </c>
      <c r="AW315" s="93"/>
      <c r="AX315" s="93">
        <f>ППД5[[#This Row],[Фикс 29.08.23]]+ППД5[[#This Row],[Повышение 06.09.23 СТ и 1К]]</f>
        <v>86852.954916000002</v>
      </c>
      <c r="AY315" s="93"/>
      <c r="AZ315" s="93">
        <f>ППД5[[#This Row],[Повышение 23.10.23  В4 ]]+ППД5[[#This Row],[Фикс 06.09.23]]</f>
        <v>86852.954916000002</v>
      </c>
      <c r="BA315" s="93"/>
      <c r="BB315" s="93">
        <f>ППД5[[#This Row],[Повышение 8.11.23 1К 5%]]+ППД5[[#This Row],[Фикс 23.10.23]]</f>
        <v>86852.954916000002</v>
      </c>
      <c r="BC315" s="93"/>
      <c r="BD315" s="93">
        <f>ППД5[[#This Row],[Корректировка 24.11.23 - 1К В5, 2К А2, №233]]+ППД5[[#This Row],[Фикс 8.11.23]]</f>
        <v>86852.954916000002</v>
      </c>
      <c r="BE315" s="93">
        <f>ППД5[[#This Row],[Фикс 8.11.24]]*1%</f>
        <v>868.52954915999999</v>
      </c>
      <c r="BF315" s="93">
        <f>ППД5[[#This Row],[Наценка за отделку 29.12.23 1%]]+ППД5[[#This Row],[Фикс 8.11.24]]</f>
        <v>87721.48446516</v>
      </c>
      <c r="BG315" s="93">
        <f>ППД5[[#This Row],[Фикс 29.12.23]]*5%</f>
        <v>4386.0742232580005</v>
      </c>
      <c r="BH315" s="93">
        <f>ППД5[[#This Row],[Фикс 29.12.23]]+ППД5[[#This Row],[Наценка 10.01.24 5%]]</f>
        <v>92107.558688417994</v>
      </c>
      <c r="BI315" s="93"/>
      <c r="BJ315" s="93">
        <f>ППД5[[#This Row],[Наценка 26.02.24 1 Этаж]]+ППД5[[#This Row],[Фикс 10.01.24]]</f>
        <v>92107.558688417994</v>
      </c>
      <c r="BK315" s="93">
        <f>ППД5[[#This Row],[Фикс 26.02.24]]*2%</f>
        <v>1842.15117376836</v>
      </c>
      <c r="BL315" s="93">
        <f>ППД5[[#This Row],[Фикс 26.02.24]]+ППД5[[#This Row],[Наценка 06.03.24
СТ, 1К - 3%
2К, 3К - 2%]]</f>
        <v>93949.709862186355</v>
      </c>
      <c r="BM315" s="93"/>
      <c r="BN315" s="93">
        <f>ППД5[[#This Row],[Фикс 06.03.24]]+ППД5[[#This Row],[Наценка Г2+500]]</f>
        <v>93949.709862186355</v>
      </c>
      <c r="BO315" s="93">
        <f>ППД5[[#This Row],[Фикс 13.03.25]]*2%</f>
        <v>1878.9941972437271</v>
      </c>
      <c r="BP315" s="93">
        <f>ППД5[[#This Row],[Фикс 13.03.25]]+ППД5[[#This Row],[Наценка 20.03.24
2К, 3К - 2%]]</f>
        <v>95828.704059430078</v>
      </c>
      <c r="BQ315" s="93"/>
      <c r="BR315" s="93">
        <f>ППД5[[#This Row],[Фикс 20.03.24]]+ППД5[[#This Row],[Наценка 08.04.24 
2К: В3 - 150
3К: Г7 +1000]]</f>
        <v>95828.704059430078</v>
      </c>
      <c r="BS315" s="93"/>
      <c r="BT315" s="93">
        <f>ППД5[[#This Row],[Фикс 08.04.24]]+ППД5[[#This Row],[Наценка 16.05.24 1%
А4,А6,Б3,Б6,Б7,В2,В3,В5,В6,Г1,Г3-Г5]]</f>
        <v>95828.704059430078</v>
      </c>
      <c r="BU315" s="93"/>
      <c r="BV315" s="93">
        <f>ППД5[[#This Row],[Фикс 16.05.24]]+ППД5[[#This Row],[Наценка 24.05.24
1% - Б4, Б5,Г2,Г6
2% - А1,А3,А5,Б2,Г7]]</f>
        <v>95828.704059430078</v>
      </c>
      <c r="BW315" s="93"/>
      <c r="BX315" s="93">
        <f>ППД5[[#This Row],[Наценка 06.06.24
0К: В2,Г3 +0,5%
1К: А7, Б5/4, Г6 +0,5%
3К: В6 +0,5%
1К: А3 +1%]]+ППД5[[#This Row],[Фикс 24.05.24]]</f>
        <v>95828.704059430078</v>
      </c>
      <c r="BY315" s="93"/>
      <c r="BZ315" s="93">
        <f>ППД5[[#This Row],[Фикс 06.06.24]]+ППД5[[#This Row],[13.06.2024
3К - 2%]]</f>
        <v>95828.704059430078</v>
      </c>
      <c r="CA315" s="93">
        <f>0.5%*ППД5[[#This Row],[Фикс 13.06.24]]</f>
        <v>479.14352029715042</v>
      </c>
      <c r="CB315" s="93">
        <f>ППД5[[#This Row],[02.07.2024: Г3 А1 А3 Б5 Б7 Г2 Г6 Б3 Б4 В3 Г7 2,5% ост 0,5-1,5%]]+ППД5[[#This Row],[Фикс 13.06.24]]</f>
        <v>96307.847579727226</v>
      </c>
      <c r="CC315" s="93"/>
      <c r="CD315" s="93">
        <f>ППД5[[#This Row],[Фикс 02.07.24]]+ППД5[[#This Row],[04.09.2024 +500
0К - Б2; 1К - А3;
2К - А6, Б4, В3, Г5]]</f>
        <v>96307.847579727226</v>
      </c>
      <c r="CE315" s="93"/>
      <c r="CF315" s="93">
        <f>ППД5[[#This Row],[Наценка 16.09.2024
1К: А1,В7,Г6/7,Г8 - 2%
2К: А4,А5,А6,Б1,Б6,Б3/4,В3,В4,Г4,Г5 - 4%
3К: 4%]]+ППД5[[#This Row],[Фикс 04.09.24]]</f>
        <v>96307.847579727226</v>
      </c>
      <c r="CG315" s="93"/>
      <c r="CH315" s="93">
        <f>ППД5[[#This Row],[Фикс 16.09.2024]]+ППД5[[#This Row],[Наценка 01.11.24
СТ: 4%
1К: 34-40м 5%; 40м+ 8%; МГН 1%
2К: 55-70м 6%; 70-73м 7%; 73-76м 8% 
3К: 5%]]</f>
        <v>96307.847579727226</v>
      </c>
      <c r="CI315" s="93"/>
      <c r="CJ315" s="93">
        <f>ППД5[[#This Row],[Наценка 06.11 13%]]+ППД5[[#This Row],[Фикс 01.11.24]]</f>
        <v>96307.847579727226</v>
      </c>
      <c r="CK315" s="93"/>
      <c r="CL315" s="93">
        <f>ППД5[[#This Row],[Фикс 06.11.24]]+ППД5[[#This Row],[Наценка 18.12.24 распределение КВ]]</f>
        <v>96307.847579727226</v>
      </c>
      <c r="CM315" s="93"/>
      <c r="CN315" s="93">
        <f>ППД5[[#This Row],[Фикс 18.12.24]]+ППД5[[#This Row],[Наценка 10.02.25 +1%
1К: А3
2К: Б3, В3]]</f>
        <v>96307.847579727226</v>
      </c>
      <c r="CO315" s="93">
        <f>ROUND(ППД5[[#This Row],[Фикс 10.02.25]],2)</f>
        <v>96307.85</v>
      </c>
      <c r="CP31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7097900</v>
      </c>
      <c r="CQ315" s="93">
        <f>ROUNDUP(ППД5[[#This Row],[Стоимость до скидки]]+ППД5[[#This Row],[Сумма доплаты]],-2)</f>
        <v>7097900</v>
      </c>
      <c r="CR315" s="68"/>
      <c r="CS315" s="90"/>
      <c r="CT315" s="68">
        <f>ППД5[[#This Row],[Стоимость до скидки]]*ППД5[[#This Row],[Скидка %]]+ППД5[[#This Row],[Скидка фиксированная]]</f>
        <v>0</v>
      </c>
      <c r="CU315" s="3">
        <f>ППД5[[#This Row],[Стоимость ОН без отделки со скидкой]]/ППД5[[#This Row],[Расчетная проектная площадь]]</f>
        <v>96308.00542740841</v>
      </c>
      <c r="CV315" s="3">
        <f>ROUND(ППД5[[#This Row],[Стоимость до скидки]]-ППД5[[#This Row],[Итоговая сумма скидки]],2)</f>
        <v>7097900</v>
      </c>
      <c r="CW31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315" s="197">
        <v>8000</v>
      </c>
      <c r="CY315" s="332">
        <f>ППД5[[#This Row],[Расхождение]]/ППД5[[#This Row],[Расчетная проектная площадь]]</f>
        <v>0</v>
      </c>
      <c r="CZ31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-9.9999999999944578E-3</v>
      </c>
      <c r="DA315" s="3">
        <f>ППД5[[#This Row],[Цена м2 без отделки со скидкой]]+ППД5[[#This Row],[Стоимость отделки]]</f>
        <v>104308.00542740841</v>
      </c>
      <c r="DB315" s="3">
        <f>ППД5[[#This Row],[Стоимость квартиры с отделкой]]-ППД5[[#This Row],[Стоимость ОН без отделки со скидкой]]</f>
        <v>589600</v>
      </c>
      <c r="DC315" s="3">
        <f>ППД5[[#This Row],[Цена м2 с отделкой]]*ППД5[[#This Row],[Расчетная проектная площадь]]</f>
        <v>7687500</v>
      </c>
      <c r="DD315" s="3" t="s">
        <v>158</v>
      </c>
      <c r="DF315" s="199" t="s">
        <v>172</v>
      </c>
      <c r="DG315" s="245" t="s">
        <v>172</v>
      </c>
      <c r="DH315" s="100" t="b">
        <f>EXACT(ППД5[[#This Row],[Статусы CRM]],ППД5[[#This Row],[Статус]])</f>
        <v>1</v>
      </c>
      <c r="DI315" s="213" t="s">
        <v>487</v>
      </c>
      <c r="DJ315" s="204"/>
      <c r="DK315" s="111" t="s">
        <v>763</v>
      </c>
      <c r="DL315" s="216" t="s">
        <v>780</v>
      </c>
      <c r="DM315" s="201" t="b">
        <f>ППД5[[#This Row],[Отделка CRM]]=ППД5[[#This Row],[Отделка]]</f>
        <v>1</v>
      </c>
      <c r="DN315" s="203">
        <v>7687500</v>
      </c>
      <c r="DO31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15" s="207" t="b">
        <f>IF(AND(ППД5[[#This Row],[Статус]]="свободно",ППД5[[#This Row],[Итоговая сумма скидки]]&lt;&gt;0),FALSE,TRUE)</f>
        <v>1</v>
      </c>
      <c r="DQ315" s="240">
        <f>_xlfn.XLOOKUP(ППД5[[#This Row],[№]],Юрист[№ кв],Юрист[Дата подачи на регистрацию]," ",0,-1)</f>
        <v>45589</v>
      </c>
      <c r="DR315" s="115" t="str">
        <f>_xlfn.XLOOKUP(ППД5[[#This Row],[№]],Юрист[№ кв],Юрист[МОП],"",0,-1)</f>
        <v>Дик</v>
      </c>
      <c r="DS315" s="333" t="s">
        <v>2922</v>
      </c>
      <c r="DT315" s="333" t="s">
        <v>2923</v>
      </c>
      <c r="DU315" s="333">
        <v>70</v>
      </c>
      <c r="DV315" s="111"/>
    </row>
    <row r="316" spans="1:126" hidden="1" x14ac:dyDescent="0.25">
      <c r="A316" s="112">
        <v>314</v>
      </c>
      <c r="B316" s="111" t="s">
        <v>3</v>
      </c>
      <c r="C316" s="111">
        <v>14</v>
      </c>
      <c r="D316" s="111">
        <v>2</v>
      </c>
      <c r="E316" s="111">
        <v>0</v>
      </c>
      <c r="F316" s="105">
        <v>7.18</v>
      </c>
      <c r="G316" s="105"/>
      <c r="H316" s="105"/>
      <c r="I316" s="94">
        <f>SUM(ППД5[[#This Row],[Комната 1]:[Комната 3]])</f>
        <v>7.18</v>
      </c>
      <c r="J316" s="105">
        <v>5.17</v>
      </c>
      <c r="K316" s="105">
        <v>3.72</v>
      </c>
      <c r="L316" s="105"/>
      <c r="M316" s="105"/>
      <c r="N316" s="105">
        <v>6.97</v>
      </c>
      <c r="O316" s="105">
        <v>2.97</v>
      </c>
      <c r="P316" s="105"/>
      <c r="Q316" s="105"/>
      <c r="R316" s="105">
        <f>SUM(ППД5[[#This Row],[Лоджия 1]:[Лоджия 3]])</f>
        <v>2.97</v>
      </c>
      <c r="S316" s="8">
        <f>ROUND(SUM(ППД5[[#This Row],[Площадь по проекту жилая]:[Лоджия 3]]),2)</f>
        <v>26.01</v>
      </c>
      <c r="T316" s="8">
        <f>ROUND(ППД5[[#This Row],[Площадь по проекту(общая)]]-ППД5[[#This Row],[Летние]],2)</f>
        <v>23.04</v>
      </c>
      <c r="U316" s="91">
        <f>ROUND(ППД5[[#This Row],[Площадь по проекту(общая)]]-(SUM(ППД5[[#This Row],[Лоджия 1]:[Лоджия 3]])/2),2)</f>
        <v>24.53</v>
      </c>
      <c r="V316" s="91">
        <f>IF(ППД5[[#This Row],[Статус]]="продажа",ППД5[[#This Row],[Расчетная проектная площадь]],ППД5[[#This Row],[Расчетная ТП площадь]])</f>
        <v>24.55</v>
      </c>
      <c r="W316" s="91">
        <v>7.2</v>
      </c>
      <c r="X316" s="91"/>
      <c r="Y316" s="91"/>
      <c r="Z316" s="91">
        <f>SUM(ППД5[[#This Row],[ТП Комната 1]:[ТП Комната 3]])</f>
        <v>7.2</v>
      </c>
      <c r="AA316" s="91">
        <v>5.2</v>
      </c>
      <c r="AB316" s="91">
        <v>3.7</v>
      </c>
      <c r="AC316" s="91"/>
      <c r="AD316" s="91"/>
      <c r="AE316" s="91">
        <v>7</v>
      </c>
      <c r="AF316" s="91">
        <v>1.45</v>
      </c>
      <c r="AG316" s="91"/>
      <c r="AH316" s="91"/>
      <c r="AI316" s="91">
        <f>SUM(ППД5[[#This Row],[ТП Лоджия 1]:[ТП Лоджия 3]])</f>
        <v>1.45</v>
      </c>
      <c r="AJ316" s="95">
        <v>2.9</v>
      </c>
      <c r="AK316" s="91">
        <f>SUM(ППД5[[#This Row],[Площадь по ТП жилая]:[ТП Лоджия 3]])-ППД5[[#This Row],[ТП Летние]]+ППД5[[#This Row],[кроме того прочая
(без коэффициента)]]</f>
        <v>26</v>
      </c>
      <c r="AL316" s="95">
        <f>ППД5[[#This Row],[ТП Площадь без летних]]+(ППД5[[#This Row],[ТП Летние]])</f>
        <v>24.55</v>
      </c>
      <c r="AM316" s="91">
        <f>ППД5[[#This Row],[ТП общая S]]-ППД5[[#This Row],[кроме того прочая
(без коэффициента)]]</f>
        <v>23.1</v>
      </c>
      <c r="AN316" s="95">
        <f>SUM(ППД5[[#This Row],[ТП Кухня]:[ТП Коридор]])</f>
        <v>15.9</v>
      </c>
      <c r="AO316" s="91">
        <f>ППД5[[#This Row],[Расчетная ТП площадь]]-ППД5[[#This Row],[Расчетная проектная площадь]]</f>
        <v>1.9999999999999574E-2</v>
      </c>
      <c r="AP316" s="335">
        <f>ППД5[[#This Row],[Расчетная ТП площадь]]/ППД5[[#This Row],[Расчетная проектная площадь]]-1</f>
        <v>8.1532816958818088E-4</v>
      </c>
      <c r="AQ316" s="91">
        <f>ППД5[[#This Row],[% расхождения]]*ППД5[[#This Row],[Стоимость до скидки]]</f>
        <v>3092.4582144310111</v>
      </c>
      <c r="AR316" s="91">
        <f>VLOOKUP(ППД5[[#This Row],[№]],наценкад5[],COLUMN(наценкад5[[#This Row],[Цена м2 с учетом всех K]]),0)</f>
        <v>92857.59</v>
      </c>
      <c r="AS316" s="8">
        <f>ППД5[[#This Row],[м2 после К]]*5%</f>
        <v>4642.8795</v>
      </c>
      <c r="AT316" s="8">
        <f>ППД5[[#This Row],[м2 после К]]+ППД5[[#This Row],[Повышение 16.08.23 - 5%]]</f>
        <v>97500.469499999992</v>
      </c>
      <c r="AU316" s="93">
        <f>ППД5[[#This Row],[Фикс 16.08.23]]*3%</f>
        <v>2925.0140849999998</v>
      </c>
      <c r="AV316" s="93">
        <f>ППД5[[#This Row],[Фикс 16.08.23]]+ППД5[[#This Row],[Повышение 29.08.23 - 3%]]</f>
        <v>100425.48358499999</v>
      </c>
      <c r="AW316" s="93">
        <f>ППД5[[#This Row],[Фикс 29.08.23]]*13%</f>
        <v>13055.312866050001</v>
      </c>
      <c r="AX316" s="93">
        <f>ППД5[[#This Row],[Фикс 29.08.23]]+ППД5[[#This Row],[Повышение 06.09.23 СТ и 1К]]</f>
        <v>113480.79645105</v>
      </c>
      <c r="AY316" s="93">
        <f>ППД5[[#This Row],[Фикс 06.09.23]]*3%</f>
        <v>3404.4238935314997</v>
      </c>
      <c r="AZ316" s="93">
        <f>ППД5[[#This Row],[Повышение 23.10.23  В4 ]]+ППД5[[#This Row],[Фикс 06.09.23]]</f>
        <v>116885.2203445815</v>
      </c>
      <c r="BA316" s="93"/>
      <c r="BB316" s="93">
        <f>ППД5[[#This Row],[Повышение 8.11.23 1К 5%]]+ППД5[[#This Row],[Фикс 23.10.23]]</f>
        <v>116885.2203445815</v>
      </c>
      <c r="BC316" s="93"/>
      <c r="BD316" s="93">
        <f>ППД5[[#This Row],[Корректировка 24.11.23 - 1К В5, 2К А2, №233]]+ППД5[[#This Row],[Фикс 8.11.23]]</f>
        <v>116885.2203445815</v>
      </c>
      <c r="BE316" s="93">
        <f>ППД5[[#This Row],[Фикс 8.11.24]]*1%</f>
        <v>1168.8522034458149</v>
      </c>
      <c r="BF316" s="93">
        <f>ППД5[[#This Row],[Наценка за отделку 29.12.23 1%]]+ППД5[[#This Row],[Фикс 8.11.24]]</f>
        <v>118054.07254802731</v>
      </c>
      <c r="BG316" s="93">
        <f>ППД5[[#This Row],[Фикс 29.12.23]]*5%</f>
        <v>5902.7036274013662</v>
      </c>
      <c r="BH316" s="93">
        <f>ППД5[[#This Row],[Фикс 29.12.23]]+ППД5[[#This Row],[Наценка 10.01.24 5%]]</f>
        <v>123956.77617542868</v>
      </c>
      <c r="BI316" s="93"/>
      <c r="BJ316" s="93">
        <f>ППД5[[#This Row],[Наценка 26.02.24 1 Этаж]]+ППД5[[#This Row],[Фикс 10.01.24]]</f>
        <v>123956.77617542868</v>
      </c>
      <c r="BK316" s="93">
        <f>ППД5[[#This Row],[Фикс 26.02.24]]*3%</f>
        <v>3718.7032852628599</v>
      </c>
      <c r="BL316" s="93">
        <f>ППД5[[#This Row],[Фикс 26.02.24]]+ППД5[[#This Row],[Наценка 06.03.24
СТ, 1К - 3%
2К, 3К - 2%]]</f>
        <v>127675.47946069154</v>
      </c>
      <c r="BM316" s="93"/>
      <c r="BN316" s="93">
        <f>ППД5[[#This Row],[Фикс 06.03.24]]+ППД5[[#This Row],[Наценка Г2+500]]</f>
        <v>127675.47946069154</v>
      </c>
      <c r="BO316" s="93"/>
      <c r="BP316" s="93">
        <f>ППД5[[#This Row],[Фикс 13.03.25]]+ППД5[[#This Row],[Наценка 20.03.24
2К, 3К - 2%]]</f>
        <v>127675.47946069154</v>
      </c>
      <c r="BQ316" s="93"/>
      <c r="BR316" s="93">
        <f>ППД5[[#This Row],[Фикс 20.03.24]]+ППД5[[#This Row],[Наценка 08.04.24 
2К: В3 - 150
3К: Г7 +1000]]</f>
        <v>127675.47946069154</v>
      </c>
      <c r="BS316" s="93">
        <f>ППД5[[#This Row],[Фикс 08.04.24]]*1%</f>
        <v>1276.7547946069153</v>
      </c>
      <c r="BT316" s="93">
        <f>ППД5[[#This Row],[Фикс 08.04.24]]+ППД5[[#This Row],[Наценка 16.05.24 1%
А4,А6,Б3,Б6,Б7,В2,В3,В5,В6,Г1,Г3-Г5]]</f>
        <v>128952.23425529845</v>
      </c>
      <c r="BU316" s="93"/>
      <c r="BV316" s="93">
        <f>ППД5[[#This Row],[Фикс 16.05.24]]+ППД5[[#This Row],[Наценка 24.05.24
1% - Б4, Б5,Г2,Г6
2% - А1,А3,А5,Б2,Г7]]</f>
        <v>128952.23425529845</v>
      </c>
      <c r="BW316" s="93">
        <f>ППД5[[#This Row],[Фикс 24.05.24]]*0.5%</f>
        <v>644.76117127649229</v>
      </c>
      <c r="BX316" s="93">
        <f>ППД5[[#This Row],[Наценка 06.06.24
0К: В2,Г3 +0,5%
1К: А7, Б5/4, Г6 +0,5%
3К: В6 +0,5%
1К: А3 +1%]]+ППД5[[#This Row],[Фикс 24.05.24]]</f>
        <v>129596.99542657494</v>
      </c>
      <c r="BY316" s="93"/>
      <c r="BZ316" s="93">
        <f>ППД5[[#This Row],[Фикс 06.06.24]]+ППД5[[#This Row],[13.06.2024
3К - 2%]]</f>
        <v>129596.99542657494</v>
      </c>
      <c r="CA316" s="93">
        <f>1.5%*ППД5[[#This Row],[Фикс 13.06.24]]</f>
        <v>1943.954931398624</v>
      </c>
      <c r="CB316" s="93">
        <f>ППД5[[#This Row],[02.07.2024: Г3 А1 А3 Б5 Б7 Г2 Г6 Б3 Б4 В3 Г7 2,5% ост 0,5-1,5%]]+ППД5[[#This Row],[Фикс 13.06.24]]</f>
        <v>131540.95035797358</v>
      </c>
      <c r="CC316" s="93"/>
      <c r="CD316" s="93">
        <f>ППД5[[#This Row],[Фикс 02.07.24]]+ППД5[[#This Row],[04.09.2024 +500
0К - Б2; 1К - А3;
2К - А6, Б4, В3, Г5]]</f>
        <v>131540.95035797358</v>
      </c>
      <c r="CE316" s="93"/>
      <c r="CF316" s="93">
        <f>ППД5[[#This Row],[Наценка 16.09.2024
1К: А1,В7,Г6/7,Г8 - 2%
2К: А4,А5,А6,Б1,Б6,Б3/4,В3,В4,Г4,Г5 - 4%
3К: 4%]]+ППД5[[#This Row],[Фикс 04.09.24]]</f>
        <v>131540.95035797358</v>
      </c>
      <c r="CG316" s="93">
        <f>ППД5[[#This Row],[Фикс 16.09.2024]]*4%</f>
        <v>5261.6380143189435</v>
      </c>
      <c r="CH316" s="93">
        <f>ППД5[[#This Row],[Фикс 16.09.2024]]+ППД5[[#This Row],[Наценка 01.11.24
СТ: 4%
1К: 34-40м 5%; 40м+ 8%; МГН 1%
2К: 55-70м 6%; 70-73м 7%; 73-76м 8% 
3К: 5%]]</f>
        <v>136802.58837229252</v>
      </c>
      <c r="CI316" s="93">
        <f>ППД5[[#This Row],[Фикс 01.11.24]]*13%</f>
        <v>17784.336488398028</v>
      </c>
      <c r="CJ316" s="93">
        <f>ППД5[[#This Row],[Наценка 06.11 13%]]+ППД5[[#This Row],[Фикс 01.11.24]]</f>
        <v>154586.92486069055</v>
      </c>
      <c r="CK316" s="93">
        <v>35</v>
      </c>
      <c r="CL316" s="93">
        <f>ППД5[[#This Row],[Фикс 06.11.24]]+ППД5[[#This Row],[Наценка 18.12.24 распределение КВ]]</f>
        <v>154621.92486069055</v>
      </c>
      <c r="CM316" s="93"/>
      <c r="CN316" s="93">
        <f>ППД5[[#This Row],[Фикс 18.12.24]]+ППД5[[#This Row],[Наценка 10.02.25 +1%
1К: А3
2К: Б3, В3]]</f>
        <v>154621.92486069055</v>
      </c>
      <c r="CO316" s="93">
        <f>ROUND(ППД5[[#This Row],[Фикс 10.02.25]],2)</f>
        <v>154621.92000000001</v>
      </c>
      <c r="CP31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3792900</v>
      </c>
      <c r="CQ316" s="93">
        <f>ROUNDUP(ППД5[[#This Row],[Стоимость до скидки]]+ППД5[[#This Row],[Сумма доплаты]],-2)</f>
        <v>3796000</v>
      </c>
      <c r="CR316" s="68"/>
      <c r="CS316" s="90"/>
      <c r="CT316" s="68">
        <f>ППД5[[#This Row],[Стоимость до скидки]]*ППД5[[#This Row],[Скидка %]]+ППД5[[#This Row],[Скидка фиксированная]]</f>
        <v>0</v>
      </c>
      <c r="CU316" s="3">
        <f>ППД5[[#This Row],[Стоимость ОН без отделки со скидкой]]/ППД5[[#This Row],[Расчетная проектная площадь]]</f>
        <v>154622.91072156542</v>
      </c>
      <c r="CV316" s="3">
        <f>ROUND(ППД5[[#This Row],[Стоимость до скидки]]-ППД5[[#This Row],[Итоговая сумма скидки]],2)</f>
        <v>3792900</v>
      </c>
      <c r="CW31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316" s="218">
        <v>10000</v>
      </c>
      <c r="CY316" s="332">
        <f>ППД5[[#This Row],[Расхождение]]/ППД5[[#This Row],[Расчетная проектная площадь]]</f>
        <v>8.1532816958824182E-4</v>
      </c>
      <c r="CZ316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3.9999999999999147E-2</v>
      </c>
      <c r="DA316" s="3">
        <f>ППД5[[#This Row],[Цена м2 без отделки со скидкой]]+ППД5[[#This Row],[Стоимость отделки]]</f>
        <v>164622.91072156542</v>
      </c>
      <c r="DB316" s="3">
        <f>ППД5[[#This Row],[Стоимость квартиры с отделкой]]-ППД5[[#This Row],[Стоимость ОН без отделки со скидкой]]</f>
        <v>245300</v>
      </c>
      <c r="DC316" s="3">
        <f>ППД5[[#This Row],[Цена м2 с отделкой]]*ППД5[[#This Row],[Расчетная проектная площадь]]</f>
        <v>4038200</v>
      </c>
      <c r="DD316" s="3"/>
      <c r="DF316" s="199" t="s">
        <v>157</v>
      </c>
      <c r="DG316" s="245" t="s">
        <v>157</v>
      </c>
      <c r="DH316" s="100" t="b">
        <f>EXACT(ППД5[[#This Row],[Статусы CRM]],ППД5[[#This Row],[Статус]])</f>
        <v>1</v>
      </c>
      <c r="DI316" s="213" t="s">
        <v>488</v>
      </c>
      <c r="DJ316" s="204"/>
      <c r="DK316" s="111" t="s">
        <v>763</v>
      </c>
      <c r="DL316" s="216" t="s">
        <v>780</v>
      </c>
      <c r="DM316" s="201" t="b">
        <f>ППД5[[#This Row],[Отделка CRM]]=ППД5[[#This Row],[Отделка]]</f>
        <v>1</v>
      </c>
      <c r="DN316" s="203">
        <v>4038200</v>
      </c>
      <c r="DO31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16" s="207" t="b">
        <f>IF(AND(ППД5[[#This Row],[Статус]]="свободно",ППД5[[#This Row],[Итоговая сумма скидки]]&lt;&gt;0),FALSE,TRUE)</f>
        <v>1</v>
      </c>
      <c r="DQ316" s="240" t="str">
        <f>_xlfn.XLOOKUP(ППД5[[#This Row],[№]],Юрист[№ кв],Юрист[Дата подачи на регистрацию]," ",0,-1)</f>
        <v xml:space="preserve"> </v>
      </c>
      <c r="DR316" s="115" t="str">
        <f>_xlfn.XLOOKUP(ППД5[[#This Row],[№]],Юрист[№ кв],Юрист[МОП],"",0,-1)</f>
        <v/>
      </c>
      <c r="DS316" s="333" t="s">
        <v>2924</v>
      </c>
      <c r="DT316" s="333" t="s">
        <v>2925</v>
      </c>
      <c r="DU316" s="333">
        <v>23.1</v>
      </c>
      <c r="DV316" s="111"/>
    </row>
    <row r="317" spans="1:126" hidden="1" x14ac:dyDescent="0.25">
      <c r="A317" s="112">
        <v>315</v>
      </c>
      <c r="B317" s="111" t="s">
        <v>3</v>
      </c>
      <c r="C317" s="111">
        <v>14</v>
      </c>
      <c r="D317" s="111">
        <v>3</v>
      </c>
      <c r="E317" s="111">
        <v>2</v>
      </c>
      <c r="F317" s="105">
        <v>13.69</v>
      </c>
      <c r="G317" s="105">
        <v>10.16</v>
      </c>
      <c r="H317" s="105"/>
      <c r="I317" s="94">
        <f>SUM(ППД5[[#This Row],[Комната 1]:[Комната 3]])</f>
        <v>23.85</v>
      </c>
      <c r="J317" s="105">
        <v>18.71</v>
      </c>
      <c r="K317" s="105">
        <v>3.49</v>
      </c>
      <c r="L317" s="105">
        <v>2.11</v>
      </c>
      <c r="M317" s="105"/>
      <c r="N317" s="105">
        <v>7.09</v>
      </c>
      <c r="O317" s="105">
        <v>2.65</v>
      </c>
      <c r="P317" s="105"/>
      <c r="Q317" s="105"/>
      <c r="R317" s="105">
        <f>SUM(ППД5[[#This Row],[Лоджия 1]:[Лоджия 3]])</f>
        <v>2.65</v>
      </c>
      <c r="S317" s="8">
        <f>ROUND(SUM(ППД5[[#This Row],[Площадь по проекту жилая]:[Лоджия 3]]),2)</f>
        <v>57.9</v>
      </c>
      <c r="T317" s="8">
        <f>ROUND(ППД5[[#This Row],[Площадь по проекту(общая)]]-ППД5[[#This Row],[Летние]],2)</f>
        <v>55.25</v>
      </c>
      <c r="U317" s="91">
        <f>ROUND(ППД5[[#This Row],[Площадь по проекту(общая)]]-(SUM(ППД5[[#This Row],[Лоджия 1]:[Лоджия 3]])/2),2)</f>
        <v>56.58</v>
      </c>
      <c r="V317" s="91">
        <f>IF(ППД5[[#This Row],[Статус]]="продажа",ППД5[[#This Row],[Расчетная проектная площадь]],ППД5[[#This Row],[Расчетная ТП площадь]])</f>
        <v>56.58</v>
      </c>
      <c r="W317" s="91">
        <v>13.6</v>
      </c>
      <c r="X317" s="91">
        <v>10</v>
      </c>
      <c r="Y317" s="91"/>
      <c r="Z317" s="91">
        <f>SUM(ППД5[[#This Row],[ТП Комната 1]:[ТП Комната 3]])</f>
        <v>23.6</v>
      </c>
      <c r="AA317" s="91">
        <v>18.7</v>
      </c>
      <c r="AB317" s="91">
        <v>3.6</v>
      </c>
      <c r="AC317" s="91">
        <v>2.1</v>
      </c>
      <c r="AD317" s="91"/>
      <c r="AE317" s="91">
        <v>7</v>
      </c>
      <c r="AF317" s="91">
        <v>1.3</v>
      </c>
      <c r="AG317" s="91"/>
      <c r="AH317" s="91"/>
      <c r="AI317" s="91">
        <f>SUM(ППД5[[#This Row],[ТП Лоджия 1]:[ТП Лоджия 3]])</f>
        <v>1.3</v>
      </c>
      <c r="AJ317" s="95">
        <v>2.6</v>
      </c>
      <c r="AK317" s="91">
        <f>SUM(ППД5[[#This Row],[Площадь по ТП жилая]:[ТП Лоджия 3]])-ППД5[[#This Row],[ТП Летние]]+ППД5[[#This Row],[кроме того прочая
(без коэффициента)]]</f>
        <v>57.6</v>
      </c>
      <c r="AL317" s="95">
        <f>ППД5[[#This Row],[ТП Площадь без летних]]+(ППД5[[#This Row],[ТП Летние]])</f>
        <v>56.3</v>
      </c>
      <c r="AM317" s="91">
        <f>ППД5[[#This Row],[ТП общая S]]-ППД5[[#This Row],[кроме того прочая
(без коэффициента)]]</f>
        <v>55</v>
      </c>
      <c r="AN317" s="95">
        <f>SUM(ППД5[[#This Row],[ТП Кухня]:[ТП Коридор]])</f>
        <v>31.400000000000002</v>
      </c>
      <c r="AO317" s="91">
        <f>ППД5[[#This Row],[Расчетная ТП площадь]]-ППД5[[#This Row],[Расчетная проектная площадь]]</f>
        <v>-0.28000000000000114</v>
      </c>
      <c r="AP317" s="335">
        <f>ППД5[[#This Row],[Расчетная ТП площадь]]/ППД5[[#This Row],[Расчетная проектная площадь]]-1</f>
        <v>-4.9487451396252879E-3</v>
      </c>
      <c r="AQ317" s="91">
        <f>ППД5[[#This Row],[% расхождения]]*ППД5[[#This Row],[Стоимость до скидки]]</f>
        <v>-27403.676210675032</v>
      </c>
      <c r="AR317" s="91">
        <f>VLOOKUP(ППД5[[#This Row],[№]],наценкад5[],COLUMN(наценкад5[[#This Row],[Цена м2 с учетом всех K]]),0)</f>
        <v>81080.055000000008</v>
      </c>
      <c r="AS317" s="8">
        <f>ППД5[[#This Row],[м2 после К]]*5%</f>
        <v>4054.0027500000006</v>
      </c>
      <c r="AT317" s="8">
        <f>ППД5[[#This Row],[м2 после К]]+ППД5[[#This Row],[Повышение 16.08.23 - 5%]]</f>
        <v>85134.057750000007</v>
      </c>
      <c r="AU317" s="93">
        <f>ППД5[[#This Row],[Фикс 16.08.23]]*3%</f>
        <v>2554.0217325000003</v>
      </c>
      <c r="AV317" s="93">
        <f>ППД5[[#This Row],[Фикс 16.08.23]]+ППД5[[#This Row],[Повышение 29.08.23 - 3%]]</f>
        <v>87688.079482500005</v>
      </c>
      <c r="AW317" s="93"/>
      <c r="AX317" s="93">
        <f>ППД5[[#This Row],[Фикс 29.08.23]]+ППД5[[#This Row],[Повышение 06.09.23 СТ и 1К]]</f>
        <v>87688.079482500005</v>
      </c>
      <c r="AY317" s="93"/>
      <c r="AZ317" s="93">
        <f>ППД5[[#This Row],[Повышение 23.10.23  В4 ]]+ППД5[[#This Row],[Фикс 06.09.23]]</f>
        <v>87688.079482500005</v>
      </c>
      <c r="BA317" s="93"/>
      <c r="BB317" s="93">
        <f>ППД5[[#This Row],[Повышение 8.11.23 1К 5%]]+ППД5[[#This Row],[Фикс 23.10.23]]</f>
        <v>87688.079482500005</v>
      </c>
      <c r="BC317" s="93"/>
      <c r="BD317" s="93">
        <f>ППД5[[#This Row],[Корректировка 24.11.23 - 1К В5, 2К А2, №233]]+ППД5[[#This Row],[Фикс 8.11.23]]</f>
        <v>87688.079482500005</v>
      </c>
      <c r="BE317" s="93">
        <f>ППД5[[#This Row],[Фикс 8.11.24]]*1%</f>
        <v>876.88079482500007</v>
      </c>
      <c r="BF317" s="93">
        <f>ППД5[[#This Row],[Наценка за отделку 29.12.23 1%]]+ППД5[[#This Row],[Фикс 8.11.24]]</f>
        <v>88564.960277325008</v>
      </c>
      <c r="BG317" s="93">
        <f>ППД5[[#This Row],[Фикс 29.12.23]]*5%</f>
        <v>4428.2480138662504</v>
      </c>
      <c r="BH317" s="93">
        <f>ППД5[[#This Row],[Фикс 29.12.23]]+ППД5[[#This Row],[Наценка 10.01.24 5%]]</f>
        <v>92993.208291191258</v>
      </c>
      <c r="BI317" s="93"/>
      <c r="BJ317" s="93">
        <f>ППД5[[#This Row],[Наценка 26.02.24 1 Этаж]]+ППД5[[#This Row],[Фикс 10.01.24]]</f>
        <v>92993.208291191258</v>
      </c>
      <c r="BK317" s="93">
        <f>ППД5[[#This Row],[Фикс 26.02.24]]*2%</f>
        <v>1859.8641658238253</v>
      </c>
      <c r="BL317" s="93">
        <f>ППД5[[#This Row],[Фикс 26.02.24]]+ППД5[[#This Row],[Наценка 06.03.24
СТ, 1К - 3%
2К, 3К - 2%]]</f>
        <v>94853.072457015078</v>
      </c>
      <c r="BM317" s="93"/>
      <c r="BN317" s="93">
        <f>ППД5[[#This Row],[Фикс 06.03.24]]+ППД5[[#This Row],[Наценка Г2+500]]</f>
        <v>94853.072457015078</v>
      </c>
      <c r="BO317" s="93">
        <f>ППД5[[#This Row],[Фикс 13.03.25]]*2%</f>
        <v>1897.0614491403016</v>
      </c>
      <c r="BP317" s="93">
        <f>ППД5[[#This Row],[Фикс 13.03.25]]+ППД5[[#This Row],[Наценка 20.03.24
2К, 3К - 2%]]</f>
        <v>96750.133906155374</v>
      </c>
      <c r="BQ317" s="93">
        <v>150</v>
      </c>
      <c r="BR317" s="93">
        <f>ППД5[[#This Row],[Фикс 20.03.24]]+ППД5[[#This Row],[Наценка 08.04.24 
2К: В3 - 150
3К: Г7 +1000]]</f>
        <v>96900.133906155374</v>
      </c>
      <c r="BS317" s="93">
        <f>ППД5[[#This Row],[Фикс 08.04.24]]*1%</f>
        <v>969.00133906155372</v>
      </c>
      <c r="BT317" s="93">
        <f>ППД5[[#This Row],[Фикс 08.04.24]]+ППД5[[#This Row],[Наценка 16.05.24 1%
А4,А6,Б3,Б6,Б7,В2,В3,В5,В6,Г1,Г3-Г5]]</f>
        <v>97869.135245216923</v>
      </c>
      <c r="BU317" s="93"/>
      <c r="BV317" s="93">
        <f>ППД5[[#This Row],[Фикс 16.05.24]]+ППД5[[#This Row],[Наценка 24.05.24
1% - Б4, Б5,Г2,Г6
2% - А1,А3,А5,Б2,Г7]]</f>
        <v>97869.135245216923</v>
      </c>
      <c r="BW317" s="93"/>
      <c r="BX317" s="93">
        <f>ППД5[[#This Row],[Наценка 06.06.24
0К: В2,Г3 +0,5%
1К: А7, Б5/4, Г6 +0,5%
3К: В6 +0,5%
1К: А3 +1%]]+ППД5[[#This Row],[Фикс 24.05.24]]</f>
        <v>97869.135245216923</v>
      </c>
      <c r="BY317" s="93"/>
      <c r="BZ317" s="93">
        <f>ППД5[[#This Row],[Фикс 06.06.24]]+ППД5[[#This Row],[13.06.2024
3К - 2%]]</f>
        <v>97869.135245216923</v>
      </c>
      <c r="CA317" s="93"/>
      <c r="CB317" s="93">
        <f>ППД5[[#This Row],[02.07.2024: Г3 А1 А3 Б5 Б7 Г2 Г6 Б3 Б4 В3 Г7 2,5% ост 0,5-1,5%]]+ППД5[[#This Row],[Фикс 13.06.24]]</f>
        <v>97869.135245216923</v>
      </c>
      <c r="CC317" s="93"/>
      <c r="CD317" s="93">
        <f>ППД5[[#This Row],[Фикс 02.07.24]]+ППД5[[#This Row],[04.09.2024 +500
0К - Б2; 1К - А3;
2К - А6, Б4, В3, Г5]]</f>
        <v>97869.135245216923</v>
      </c>
      <c r="CE317" s="93"/>
      <c r="CF317" s="93">
        <f>ППД5[[#This Row],[Наценка 16.09.2024
1К: А1,В7,Г6/7,Г8 - 2%
2К: А4,А5,А6,Б1,Б6,Б3/4,В3,В4,Г4,Г5 - 4%
3К: 4%]]+ППД5[[#This Row],[Фикс 04.09.24]]</f>
        <v>97869.135245216923</v>
      </c>
      <c r="CG317" s="93"/>
      <c r="CH317" s="93">
        <f>ППД5[[#This Row],[Фикс 16.09.2024]]+ППД5[[#This Row],[Наценка 01.11.24
СТ: 4%
1К: 34-40м 5%; 40м+ 8%; МГН 1%
2К: 55-70м 6%; 70-73м 7%; 73-76м 8% 
3К: 5%]]</f>
        <v>97869.135245216923</v>
      </c>
      <c r="CI317" s="93"/>
      <c r="CJ317" s="93">
        <f>ППД5[[#This Row],[Наценка 06.11 13%]]+ППД5[[#This Row],[Фикс 01.11.24]]</f>
        <v>97869.135245216923</v>
      </c>
      <c r="CK317" s="93"/>
      <c r="CL317" s="93">
        <f>ППД5[[#This Row],[Фикс 06.11.24]]+ППД5[[#This Row],[Наценка 18.12.24 распределение КВ]]</f>
        <v>97869.135245216923</v>
      </c>
      <c r="CM317" s="93"/>
      <c r="CN317" s="93">
        <f>ППД5[[#This Row],[Фикс 18.12.24]]+ППД5[[#This Row],[Наценка 10.02.25 +1%
1К: А3
2К: Б3, В3]]</f>
        <v>97869.135245216923</v>
      </c>
      <c r="CO317" s="93">
        <f>ROUND(ППД5[[#This Row],[Фикс 10.02.25]],2)</f>
        <v>97869.14</v>
      </c>
      <c r="CP31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5537500</v>
      </c>
      <c r="CQ317" s="93">
        <f>ROUNDUP(ППД5[[#This Row],[Стоимость до скидки]]+ППД5[[#This Row],[Сумма доплаты]],-2)</f>
        <v>5510100</v>
      </c>
      <c r="CR317" s="68"/>
      <c r="CS317" s="90"/>
      <c r="CT317" s="68">
        <f>ППД5[[#This Row],[Стоимость до скидки]]*ППД5[[#This Row],[Скидка %]]+ППД5[[#This Row],[Скидка фиксированная]]</f>
        <v>0</v>
      </c>
      <c r="CU317" s="3">
        <f>ППД5[[#This Row],[Стоимость ОН без отделки со скидкой]]/ППД5[[#This Row],[Расчетная проектная площадь]]</f>
        <v>97870.272180982676</v>
      </c>
      <c r="CV317" s="3">
        <f>ROUND(ППД5[[#This Row],[Стоимость до скидки]]-ППД5[[#This Row],[Итоговая сумма скидки]],2)</f>
        <v>5537500</v>
      </c>
      <c r="CW31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17" s="197">
        <v>20000</v>
      </c>
      <c r="CY317" s="332">
        <f>ППД5[[#This Row],[Расхождение]]/ППД5[[#This Row],[Расчетная проектная площадь]]</f>
        <v>-4.9487451396253296E-3</v>
      </c>
      <c r="CZ31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</v>
      </c>
      <c r="DA317" s="3">
        <f>ППД5[[#This Row],[Цена м2 без отделки со скидкой]]+ППД5[[#This Row],[Стоимость отделки]]</f>
        <v>117870.27218098268</v>
      </c>
      <c r="DB317" s="3">
        <f>ППД5[[#This Row],[Стоимость квартиры с отделкой]]-ППД5[[#This Row],[Стоимость ОН без отделки со скидкой]]</f>
        <v>1131600</v>
      </c>
      <c r="DC317" s="3">
        <f>ППД5[[#This Row],[Цена м2 с отделкой]]*ППД5[[#This Row],[Расчетная проектная площадь]]</f>
        <v>6669100</v>
      </c>
      <c r="DD317" s="3" t="s">
        <v>154</v>
      </c>
      <c r="DF317" s="199" t="s">
        <v>172</v>
      </c>
      <c r="DG317" s="245" t="s">
        <v>172</v>
      </c>
      <c r="DH317" s="100" t="b">
        <f>EXACT(ППД5[[#This Row],[Статусы CRM]],ППД5[[#This Row],[Статус]])</f>
        <v>1</v>
      </c>
      <c r="DI317" s="213" t="s">
        <v>489</v>
      </c>
      <c r="DJ317" s="204"/>
      <c r="DK317" s="111" t="s">
        <v>763</v>
      </c>
      <c r="DL317" s="216" t="s">
        <v>14</v>
      </c>
      <c r="DM317" s="201" t="b">
        <f>ППД5[[#This Row],[Отделка CRM]]=ППД5[[#This Row],[Отделка]]</f>
        <v>1</v>
      </c>
      <c r="DN317" s="203">
        <v>6669100</v>
      </c>
      <c r="DO31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17" s="207" t="b">
        <f>IF(AND(ППД5[[#This Row],[Статус]]="свободно",ППД5[[#This Row],[Итоговая сумма скидки]]&lt;&gt;0),FALSE,TRUE)</f>
        <v>1</v>
      </c>
      <c r="DQ317" s="240">
        <f>_xlfn.XLOOKUP(ППД5[[#This Row],[№]],Юрист[№ кв],Юрист[Дата подачи на регистрацию]," ",0,-1)</f>
        <v>45469</v>
      </c>
      <c r="DR317" s="115" t="str">
        <f>_xlfn.XLOOKUP(ППД5[[#This Row],[№]],Юрист[№ кв],Юрист[МОП],"",0,-1)</f>
        <v>Дик</v>
      </c>
      <c r="DS317" s="333" t="s">
        <v>2926</v>
      </c>
      <c r="DT317" s="333" t="s">
        <v>2927</v>
      </c>
      <c r="DU317" s="333">
        <v>55</v>
      </c>
      <c r="DV317" s="111"/>
    </row>
    <row r="318" spans="1:126" hidden="1" x14ac:dyDescent="0.25">
      <c r="A318" s="112">
        <v>316</v>
      </c>
      <c r="B318" s="111" t="s">
        <v>3</v>
      </c>
      <c r="C318" s="111">
        <v>14</v>
      </c>
      <c r="D318" s="111">
        <v>4</v>
      </c>
      <c r="E318" s="111">
        <v>2</v>
      </c>
      <c r="F318" s="105">
        <v>15.45</v>
      </c>
      <c r="G318" s="105">
        <v>10.34</v>
      </c>
      <c r="H318" s="105"/>
      <c r="I318" s="94">
        <f>SUM(ППД5[[#This Row],[Комната 1]:[Комната 3]])</f>
        <v>25.79</v>
      </c>
      <c r="J318" s="105">
        <v>15.44</v>
      </c>
      <c r="K318" s="105">
        <v>4.59</v>
      </c>
      <c r="L318" s="105">
        <v>2.21</v>
      </c>
      <c r="M318" s="105"/>
      <c r="N318" s="105">
        <v>10.79</v>
      </c>
      <c r="O318" s="105">
        <v>2.84</v>
      </c>
      <c r="P318" s="105"/>
      <c r="Q318" s="105"/>
      <c r="R318" s="105">
        <f>SUM(ППД5[[#This Row],[Лоджия 1]:[Лоджия 3]])</f>
        <v>2.84</v>
      </c>
      <c r="S318" s="8">
        <f>ROUND(SUM(ППД5[[#This Row],[Площадь по проекту жилая]:[Лоджия 3]]),2)</f>
        <v>61.66</v>
      </c>
      <c r="T318" s="8">
        <f>ROUND(ППД5[[#This Row],[Площадь по проекту(общая)]]-ППД5[[#This Row],[Летние]],2)</f>
        <v>58.82</v>
      </c>
      <c r="U318" s="91">
        <f>ROUND(ППД5[[#This Row],[Площадь по проекту(общая)]]-(SUM(ППД5[[#This Row],[Лоджия 1]:[Лоджия 3]])/2),2)</f>
        <v>60.24</v>
      </c>
      <c r="V318" s="91">
        <f>IF(ППД5[[#This Row],[Статус]]="продажа",ППД5[[#This Row],[Расчетная проектная площадь]],ППД5[[#This Row],[Расчетная ТП площадь]])</f>
        <v>60.24</v>
      </c>
      <c r="W318" s="91">
        <v>15.4</v>
      </c>
      <c r="X318" s="91">
        <v>10.4</v>
      </c>
      <c r="Y318" s="91"/>
      <c r="Z318" s="91">
        <f>SUM(ППД5[[#This Row],[ТП Комната 1]:[ТП Комната 3]])</f>
        <v>25.8</v>
      </c>
      <c r="AA318" s="91">
        <v>15.4</v>
      </c>
      <c r="AB318" s="91">
        <v>4.5</v>
      </c>
      <c r="AC318" s="91">
        <v>2.2000000000000002</v>
      </c>
      <c r="AD318" s="91"/>
      <c r="AE318" s="91">
        <v>10.8</v>
      </c>
      <c r="AF318" s="91">
        <v>1.45</v>
      </c>
      <c r="AG318" s="91"/>
      <c r="AH318" s="91"/>
      <c r="AI318" s="91">
        <f>SUM(ППД5[[#This Row],[ТП Лоджия 1]:[ТП Лоджия 3]])</f>
        <v>1.45</v>
      </c>
      <c r="AJ318" s="95">
        <v>2.9</v>
      </c>
      <c r="AK318" s="91">
        <f>SUM(ППД5[[#This Row],[Площадь по ТП жилая]:[ТП Лоджия 3]])-ППД5[[#This Row],[ТП Летние]]+ППД5[[#This Row],[кроме того прочая
(без коэффициента)]]</f>
        <v>61.6</v>
      </c>
      <c r="AL318" s="95">
        <f>ППД5[[#This Row],[ТП Площадь без летних]]+(ППД5[[#This Row],[ТП Летние]])</f>
        <v>60.150000000000006</v>
      </c>
      <c r="AM318" s="91">
        <f>ППД5[[#This Row],[ТП общая S]]-ППД5[[#This Row],[кроме того прочая
(без коэффициента)]]</f>
        <v>58.7</v>
      </c>
      <c r="AN318" s="95">
        <f>SUM(ППД5[[#This Row],[ТП Кухня]:[ТП Коридор]])</f>
        <v>32.9</v>
      </c>
      <c r="AO318" s="91">
        <f>ППД5[[#This Row],[Расчетная ТП площадь]]-ППД5[[#This Row],[Расчетная проектная площадь]]</f>
        <v>-8.9999999999996305E-2</v>
      </c>
      <c r="AP318" s="335">
        <f>ППД5[[#This Row],[Расчетная ТП площадь]]/ППД5[[#This Row],[Расчетная проектная площадь]]-1</f>
        <v>-1.4940239043823578E-3</v>
      </c>
      <c r="AQ318" s="91">
        <f>ППД5[[#This Row],[% расхождения]]*ППД5[[#This Row],[Стоимость до скидки]]</f>
        <v>-8959.5119521905617</v>
      </c>
      <c r="AR318" s="91">
        <f>VLOOKUP(ППД5[[#This Row],[№]],наценкад5[],COLUMN(наценкад5[[#This Row],[Цена м2 с учетом всех K]]),0)</f>
        <v>83010.532500000001</v>
      </c>
      <c r="AS318" s="8">
        <f>ППД5[[#This Row],[м2 после К]]*5%</f>
        <v>4150.5266250000004</v>
      </c>
      <c r="AT318" s="8">
        <f>ППД5[[#This Row],[м2 после К]]+ППД5[[#This Row],[Повышение 16.08.23 - 5%]]</f>
        <v>87161.059125</v>
      </c>
      <c r="AU318" s="93">
        <f>ППД5[[#This Row],[Фикс 16.08.23]]*3%</f>
        <v>2614.8317737499997</v>
      </c>
      <c r="AV318" s="93">
        <f>ППД5[[#This Row],[Фикс 16.08.23]]+ППД5[[#This Row],[Повышение 29.08.23 - 3%]]</f>
        <v>89775.890898750004</v>
      </c>
      <c r="AW318" s="93"/>
      <c r="AX318" s="93">
        <f>ППД5[[#This Row],[Фикс 29.08.23]]+ППД5[[#This Row],[Повышение 06.09.23 СТ и 1К]]</f>
        <v>89775.890898750004</v>
      </c>
      <c r="AY318" s="93"/>
      <c r="AZ318" s="93">
        <f>ППД5[[#This Row],[Повышение 23.10.23  В4 ]]+ППД5[[#This Row],[Фикс 06.09.23]]</f>
        <v>89775.890898750004</v>
      </c>
      <c r="BA318" s="93"/>
      <c r="BB318" s="93">
        <f>ППД5[[#This Row],[Повышение 8.11.23 1К 5%]]+ППД5[[#This Row],[Фикс 23.10.23]]</f>
        <v>89775.890898750004</v>
      </c>
      <c r="BC318" s="93"/>
      <c r="BD318" s="93">
        <f>ППД5[[#This Row],[Корректировка 24.11.23 - 1К В5, 2К А2, №233]]+ППД5[[#This Row],[Фикс 8.11.23]]</f>
        <v>89775.890898750004</v>
      </c>
      <c r="BE318" s="93">
        <f>ППД5[[#This Row],[Фикс 8.11.24]]*1%</f>
        <v>897.75890898750004</v>
      </c>
      <c r="BF318" s="93">
        <f>ППД5[[#This Row],[Наценка за отделку 29.12.23 1%]]+ППД5[[#This Row],[Фикс 8.11.24]]</f>
        <v>90673.6498077375</v>
      </c>
      <c r="BG318" s="93">
        <f>ППД5[[#This Row],[Фикс 29.12.23]]*5%</f>
        <v>4533.6824903868755</v>
      </c>
      <c r="BH318" s="93">
        <f>ППД5[[#This Row],[Фикс 29.12.23]]+ППД5[[#This Row],[Наценка 10.01.24 5%]]</f>
        <v>95207.332298124369</v>
      </c>
      <c r="BI318" s="93"/>
      <c r="BJ318" s="93">
        <f>ППД5[[#This Row],[Наценка 26.02.24 1 Этаж]]+ППД5[[#This Row],[Фикс 10.01.24]]</f>
        <v>95207.332298124369</v>
      </c>
      <c r="BK318" s="93">
        <f>ППД5[[#This Row],[Фикс 26.02.24]]*2%</f>
        <v>1904.1466459624874</v>
      </c>
      <c r="BL318" s="93">
        <f>ППД5[[#This Row],[Фикс 26.02.24]]+ППД5[[#This Row],[Наценка 06.03.24
СТ, 1К - 3%
2К, 3К - 2%]]</f>
        <v>97111.478944086863</v>
      </c>
      <c r="BM318" s="93"/>
      <c r="BN318" s="93">
        <f>ППД5[[#This Row],[Фикс 06.03.24]]+ППД5[[#This Row],[Наценка Г2+500]]</f>
        <v>97111.478944086863</v>
      </c>
      <c r="BO318" s="93">
        <f>ППД5[[#This Row],[Фикс 13.03.25]]*2%</f>
        <v>1942.2295788817373</v>
      </c>
      <c r="BP318" s="93">
        <f>ППД5[[#This Row],[Фикс 13.03.25]]+ППД5[[#This Row],[Наценка 20.03.24
2К, 3К - 2%]]</f>
        <v>99053.708522968605</v>
      </c>
      <c r="BQ318" s="93"/>
      <c r="BR318" s="93">
        <f>ППД5[[#This Row],[Фикс 20.03.24]]+ППД5[[#This Row],[Наценка 08.04.24 
2К: В3 - 150
3К: Г7 +1000]]</f>
        <v>99053.708522968605</v>
      </c>
      <c r="BS318" s="93"/>
      <c r="BT318" s="93">
        <f>ППД5[[#This Row],[Фикс 08.04.24]]+ППД5[[#This Row],[Наценка 16.05.24 1%
А4,А6,Б3,Б6,Б7,В2,В3,В5,В6,Г1,Г3-Г5]]</f>
        <v>99053.708522968605</v>
      </c>
      <c r="BU318" s="93"/>
      <c r="BV318" s="93">
        <f>ППД5[[#This Row],[Фикс 16.05.24]]+ППД5[[#This Row],[Наценка 24.05.24
1% - Б4, Б5,Г2,Г6
2% - А1,А3,А5,Б2,Г7]]</f>
        <v>99053.708522968605</v>
      </c>
      <c r="BW318" s="93"/>
      <c r="BX318" s="93">
        <f>ППД5[[#This Row],[Наценка 06.06.24
0К: В2,Г3 +0,5%
1К: А7, Б5/4, Г6 +0,5%
3К: В6 +0,5%
1К: А3 +1%]]+ППД5[[#This Row],[Фикс 24.05.24]]</f>
        <v>99053.708522968605</v>
      </c>
      <c r="BY318" s="93"/>
      <c r="BZ318" s="93">
        <f>ППД5[[#This Row],[Фикс 06.06.24]]+ППД5[[#This Row],[13.06.2024
3К - 2%]]</f>
        <v>99053.708522968605</v>
      </c>
      <c r="CA318" s="93">
        <f>0.5%*ППД5[[#This Row],[Фикс 13.06.24]]</f>
        <v>495.26854261484306</v>
      </c>
      <c r="CB318" s="93">
        <f>ППД5[[#This Row],[02.07.2024: Г3 А1 А3 Б5 Б7 Г2 Г6 Б3 Б4 В3 Г7 2,5% ост 0,5-1,5%]]+ППД5[[#This Row],[Фикс 13.06.24]]</f>
        <v>99548.977065583444</v>
      </c>
      <c r="CC318" s="93"/>
      <c r="CD318" s="93">
        <f>ППД5[[#This Row],[Фикс 02.07.24]]+ППД5[[#This Row],[04.09.2024 +500
0К - Б2; 1К - А3;
2К - А6, Б4, В3, Г5]]</f>
        <v>99548.977065583444</v>
      </c>
      <c r="CE318" s="93"/>
      <c r="CF318" s="93">
        <f>ППД5[[#This Row],[Наценка 16.09.2024
1К: А1,В7,Г6/7,Г8 - 2%
2К: А4,А5,А6,Б1,Б6,Б3/4,В3,В4,Г4,Г5 - 4%
3К: 4%]]+ППД5[[#This Row],[Фикс 04.09.24]]</f>
        <v>99548.977065583444</v>
      </c>
      <c r="CG318" s="93"/>
      <c r="CH318" s="93">
        <f>ППД5[[#This Row],[Фикс 16.09.2024]]+ППД5[[#This Row],[Наценка 01.11.24
СТ: 4%
1К: 34-40м 5%; 40м+ 8%; МГН 1%
2К: 55-70м 6%; 70-73м 7%; 73-76м 8% 
3К: 5%]]</f>
        <v>99548.977065583444</v>
      </c>
      <c r="CI318" s="93"/>
      <c r="CJ318" s="93">
        <f>ППД5[[#This Row],[Наценка 06.11 13%]]+ППД5[[#This Row],[Фикс 01.11.24]]</f>
        <v>99548.977065583444</v>
      </c>
      <c r="CK318" s="93"/>
      <c r="CL318" s="93">
        <f>ППД5[[#This Row],[Фикс 06.11.24]]+ППД5[[#This Row],[Наценка 18.12.24 распределение КВ]]</f>
        <v>99548.977065583444</v>
      </c>
      <c r="CM318" s="93"/>
      <c r="CN318" s="93">
        <f>ППД5[[#This Row],[Фикс 18.12.24]]+ППД5[[#This Row],[Наценка 10.02.25 +1%
1К: А3
2К: Б3, В3]]</f>
        <v>99548.977065583444</v>
      </c>
      <c r="CO318" s="93">
        <f>ROUND(ППД5[[#This Row],[Фикс 10.02.25]],2)</f>
        <v>99548.98</v>
      </c>
      <c r="CP31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5996900</v>
      </c>
      <c r="CQ318" s="93">
        <f>ROUNDUP(ППД5[[#This Row],[Стоимость до скидки]]+ППД5[[#This Row],[Сумма доплаты]],-2)</f>
        <v>5988000</v>
      </c>
      <c r="CR318" s="68"/>
      <c r="CS318" s="90"/>
      <c r="CT318" s="68">
        <f>ППД5[[#This Row],[Стоимость до скидки]]*ППД5[[#This Row],[Скидка %]]+ППД5[[#This Row],[Скидка фиксированная]]</f>
        <v>0</v>
      </c>
      <c r="CU318" s="3">
        <f>ППД5[[#This Row],[Стоимость ОН без отделки со скидкой]]/ППД5[[#This Row],[Расчетная проектная площадь]]</f>
        <v>99550.132802124834</v>
      </c>
      <c r="CV318" s="3">
        <f>ROUND(ППД5[[#This Row],[Стоимость до скидки]]-ППД5[[#This Row],[Итоговая сумма скидки]],2)</f>
        <v>5996900</v>
      </c>
      <c r="CW31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18" s="197">
        <v>20000</v>
      </c>
      <c r="CY318" s="332">
        <f>ППД5[[#This Row],[Расхождение]]/ППД5[[#This Row],[Расчетная проектная площадь]]</f>
        <v>-1.4940239043824087E-3</v>
      </c>
      <c r="CZ31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-0.13000000000000078</v>
      </c>
      <c r="DA318" s="3">
        <f>ППД5[[#This Row],[Цена м2 без отделки со скидкой]]+ППД5[[#This Row],[Стоимость отделки]]</f>
        <v>119550.13280212483</v>
      </c>
      <c r="DB318" s="3">
        <f>ППД5[[#This Row],[Стоимость квартиры с отделкой]]-ППД5[[#This Row],[Стоимость ОН без отделки со скидкой]]</f>
        <v>1204800</v>
      </c>
      <c r="DC318" s="3">
        <f>ППД5[[#This Row],[Цена м2 с отделкой]]*ППД5[[#This Row],[Расчетная проектная площадь]]</f>
        <v>7201700</v>
      </c>
      <c r="DD318" s="3"/>
      <c r="DF318" s="155" t="s">
        <v>172</v>
      </c>
      <c r="DG318" s="245" t="s">
        <v>172</v>
      </c>
      <c r="DH318" s="100" t="b">
        <f>EXACT(ППД5[[#This Row],[Статусы CRM]],ППД5[[#This Row],[Статус]])</f>
        <v>1</v>
      </c>
      <c r="DI318" s="213" t="s">
        <v>490</v>
      </c>
      <c r="DJ318" s="204"/>
      <c r="DK318" s="111" t="s">
        <v>763</v>
      </c>
      <c r="DL318" s="216" t="s">
        <v>14</v>
      </c>
      <c r="DM318" s="201" t="b">
        <f>ППД5[[#This Row],[Отделка CRM]]=ППД5[[#This Row],[Отделка]]</f>
        <v>1</v>
      </c>
      <c r="DN318" s="203">
        <v>7201700</v>
      </c>
      <c r="DO31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18" s="207" t="b">
        <f>IF(AND(ППД5[[#This Row],[Статус]]="свободно",ППД5[[#This Row],[Итоговая сумма скидки]]&lt;&gt;0),FALSE,TRUE)</f>
        <v>1</v>
      </c>
      <c r="DQ318" s="240">
        <f>_xlfn.XLOOKUP(ППД5[[#This Row],[№]],Юрист[№ кв],Юрист[Дата подачи на регистрацию]," ",0,-1)</f>
        <v>45587</v>
      </c>
      <c r="DR318" s="115" t="str">
        <f>_xlfn.XLOOKUP(ППД5[[#This Row],[№]],Юрист[№ кв],Юрист[МОП],"",0,-1)</f>
        <v>Полехович</v>
      </c>
      <c r="DS318" s="333" t="s">
        <v>2928</v>
      </c>
      <c r="DT318" s="333" t="s">
        <v>2929</v>
      </c>
      <c r="DU318" s="333">
        <v>58.7</v>
      </c>
      <c r="DV318" s="111"/>
    </row>
    <row r="319" spans="1:126" hidden="1" x14ac:dyDescent="0.25">
      <c r="A319" s="112">
        <v>317</v>
      </c>
      <c r="B319" s="111" t="s">
        <v>3</v>
      </c>
      <c r="C319" s="111">
        <v>14</v>
      </c>
      <c r="D319" s="111">
        <v>5</v>
      </c>
      <c r="E319" s="111">
        <v>1</v>
      </c>
      <c r="F319" s="105">
        <v>12.54</v>
      </c>
      <c r="G319" s="105"/>
      <c r="H319" s="105"/>
      <c r="I319" s="94">
        <f>SUM(ППД5[[#This Row],[Комната 1]:[Комната 3]])</f>
        <v>12.54</v>
      </c>
      <c r="J319" s="105">
        <v>12.74</v>
      </c>
      <c r="K319" s="105">
        <v>4.0199999999999996</v>
      </c>
      <c r="L319" s="105"/>
      <c r="M319" s="105"/>
      <c r="N319" s="105">
        <v>7.09</v>
      </c>
      <c r="O319" s="105">
        <v>2.84</v>
      </c>
      <c r="P319" s="105"/>
      <c r="Q319" s="105"/>
      <c r="R319" s="105">
        <f>SUM(ППД5[[#This Row],[Лоджия 1]:[Лоджия 3]])</f>
        <v>2.84</v>
      </c>
      <c r="S319" s="8">
        <f>ROUND(SUM(ППД5[[#This Row],[Площадь по проекту жилая]:[Лоджия 3]]),2)</f>
        <v>39.229999999999997</v>
      </c>
      <c r="T319" s="8">
        <f>ROUND(ППД5[[#This Row],[Площадь по проекту(общая)]]-ППД5[[#This Row],[Летние]],2)</f>
        <v>36.39</v>
      </c>
      <c r="U319" s="91">
        <f>ROUND(ППД5[[#This Row],[Площадь по проекту(общая)]]-(SUM(ППД5[[#This Row],[Лоджия 1]:[Лоджия 3]])/2),2)</f>
        <v>37.81</v>
      </c>
      <c r="V319" s="91">
        <f>IF(ППД5[[#This Row],[Статус]]="продажа",ППД5[[#This Row],[Расчетная проектная площадь]],ППД5[[#This Row],[Расчетная ТП площадь]])</f>
        <v>37.81</v>
      </c>
      <c r="W319" s="91">
        <v>12.5</v>
      </c>
      <c r="X319" s="91"/>
      <c r="Y319" s="91"/>
      <c r="Z319" s="91">
        <f>SUM(ППД5[[#This Row],[ТП Комната 1]:[ТП Комната 3]])</f>
        <v>12.5</v>
      </c>
      <c r="AA319" s="91">
        <v>12.6</v>
      </c>
      <c r="AB319" s="91">
        <v>4.0999999999999996</v>
      </c>
      <c r="AC319" s="91"/>
      <c r="AD319" s="91"/>
      <c r="AE319" s="91">
        <v>6.9</v>
      </c>
      <c r="AF319" s="91">
        <v>1.45</v>
      </c>
      <c r="AG319" s="91"/>
      <c r="AH319" s="91"/>
      <c r="AI319" s="91">
        <f>SUM(ППД5[[#This Row],[ТП Лоджия 1]:[ТП Лоджия 3]])</f>
        <v>1.45</v>
      </c>
      <c r="AJ319" s="95">
        <v>2.9</v>
      </c>
      <c r="AK319" s="91">
        <f>SUM(ППД5[[#This Row],[Площадь по ТП жилая]:[ТП Лоджия 3]])-ППД5[[#This Row],[ТП Летние]]+ППД5[[#This Row],[кроме того прочая
(без коэффициента)]]</f>
        <v>39</v>
      </c>
      <c r="AL319" s="95">
        <f>ППД5[[#This Row],[ТП Площадь без летних]]+(ППД5[[#This Row],[ТП Летние]])</f>
        <v>37.550000000000004</v>
      </c>
      <c r="AM319" s="91">
        <f>ППД5[[#This Row],[ТП общая S]]-ППД5[[#This Row],[кроме того прочая
(без коэффициента)]]</f>
        <v>36.1</v>
      </c>
      <c r="AN319" s="95">
        <f>SUM(ППД5[[#This Row],[ТП Кухня]:[ТП Коридор]])</f>
        <v>23.6</v>
      </c>
      <c r="AO319" s="91">
        <f>ППД5[[#This Row],[Расчетная ТП площадь]]-ППД5[[#This Row],[Расчетная проектная площадь]]</f>
        <v>-0.25999999999999801</v>
      </c>
      <c r="AP319" s="335">
        <f>ППД5[[#This Row],[Расчетная ТП площадь]]/ППД5[[#This Row],[Расчетная проектная площадь]]-1</f>
        <v>-6.8764877016661563E-3</v>
      </c>
      <c r="AQ319" s="91">
        <f>ППД5[[#This Row],[% расхождения]]*ППД5[[#This Row],[Стоимость до скидки]]</f>
        <v>-30167.839195979595</v>
      </c>
      <c r="AR319" s="91">
        <f>VLOOKUP(ППД5[[#This Row],[№]],наценкад5[],COLUMN(наценкад5[[#This Row],[Цена м2 с учетом всех K]]),0)</f>
        <v>90034.875</v>
      </c>
      <c r="AS319" s="8">
        <f>ППД5[[#This Row],[м2 после К]]*5%</f>
        <v>4501.7437500000005</v>
      </c>
      <c r="AT319" s="8">
        <f>ППД5[[#This Row],[м2 после К]]+ППД5[[#This Row],[Повышение 16.08.23 - 5%]]</f>
        <v>94536.618749999994</v>
      </c>
      <c r="AU319" s="93">
        <f>ППД5[[#This Row],[Фикс 16.08.23]]*3%</f>
        <v>2836.0985624999998</v>
      </c>
      <c r="AV319" s="93">
        <f>ППД5[[#This Row],[Фикс 16.08.23]]+ППД5[[#This Row],[Повышение 29.08.23 - 3%]]</f>
        <v>97372.717312499997</v>
      </c>
      <c r="AW319" s="93">
        <f>ППД5[[#This Row],[Фикс 29.08.23]]*4.5%</f>
        <v>4381.7722790624994</v>
      </c>
      <c r="AX319" s="93">
        <f>ППД5[[#This Row],[Фикс 29.08.23]]+ППД5[[#This Row],[Повышение 06.09.23 СТ и 1К]]</f>
        <v>101754.48959156249</v>
      </c>
      <c r="AY319" s="93"/>
      <c r="AZ319" s="93">
        <f>ППД5[[#This Row],[Повышение 23.10.23  В4 ]]+ППД5[[#This Row],[Фикс 06.09.23]]</f>
        <v>101754.48959156249</v>
      </c>
      <c r="BA319" s="93">
        <f>ППД5[[#This Row],[Фикс 23.10.23]]*5%</f>
        <v>5087.7244795781253</v>
      </c>
      <c r="BB319" s="93">
        <f>ППД5[[#This Row],[Повышение 8.11.23 1К 5%]]+ППД5[[#This Row],[Фикс 23.10.23]]</f>
        <v>106842.21407114062</v>
      </c>
      <c r="BC319" s="93">
        <v>-620</v>
      </c>
      <c r="BD319" s="93">
        <f>ППД5[[#This Row],[Корректировка 24.11.23 - 1К В5, 2К А2, №233]]+ППД5[[#This Row],[Фикс 8.11.23]]</f>
        <v>106222.21407114062</v>
      </c>
      <c r="BE319" s="93">
        <f>ППД5[[#This Row],[Фикс 8.11.24]]*1%</f>
        <v>1062.2221407114062</v>
      </c>
      <c r="BF319" s="93">
        <f>ППД5[[#This Row],[Наценка за отделку 29.12.23 1%]]+ППД5[[#This Row],[Фикс 8.11.24]]</f>
        <v>107284.43621185204</v>
      </c>
      <c r="BG319" s="93">
        <f>ППД5[[#This Row],[Фикс 29.12.23]]*5%</f>
        <v>5364.2218105926022</v>
      </c>
      <c r="BH319" s="93">
        <f>ППД5[[#This Row],[Фикс 29.12.23]]+ППД5[[#This Row],[Наценка 10.01.24 5%]]</f>
        <v>112648.65802244464</v>
      </c>
      <c r="BI319" s="93"/>
      <c r="BJ319" s="93">
        <f>ППД5[[#This Row],[Наценка 26.02.24 1 Этаж]]+ППД5[[#This Row],[Фикс 10.01.24]]</f>
        <v>112648.65802244464</v>
      </c>
      <c r="BK319" s="93">
        <f>ППД5[[#This Row],[Фикс 26.02.24]]*3%</f>
        <v>3379.4597406733392</v>
      </c>
      <c r="BL319" s="93">
        <f>ППД5[[#This Row],[Фикс 26.02.24]]+ППД5[[#This Row],[Наценка 06.03.24
СТ, 1К - 3%
2К, 3К - 2%]]</f>
        <v>116028.11776311797</v>
      </c>
      <c r="BM319" s="93"/>
      <c r="BN319" s="93">
        <f>ППД5[[#This Row],[Фикс 06.03.24]]+ППД5[[#This Row],[Наценка Г2+500]]</f>
        <v>116028.11776311797</v>
      </c>
      <c r="BO319" s="93"/>
      <c r="BP319" s="93">
        <f>ППД5[[#This Row],[Фикс 13.03.25]]+ППД5[[#This Row],[Наценка 20.03.24
2К, 3К - 2%]]</f>
        <v>116028.11776311797</v>
      </c>
      <c r="BQ319" s="93"/>
      <c r="BR319" s="93">
        <f>ППД5[[#This Row],[Фикс 20.03.24]]+ППД5[[#This Row],[Наценка 08.04.24 
2К: В3 - 150
3К: Г7 +1000]]</f>
        <v>116028.11776311797</v>
      </c>
      <c r="BS319" s="93"/>
      <c r="BT319" s="93">
        <f>ППД5[[#This Row],[Фикс 08.04.24]]+ППД5[[#This Row],[Наценка 16.05.24 1%
А4,А6,Б3,Б6,Б7,В2,В3,В5,В6,Г1,Г3-Г5]]</f>
        <v>116028.11776311797</v>
      </c>
      <c r="BU319" s="93"/>
      <c r="BV319" s="93">
        <f>ППД5[[#This Row],[Фикс 16.05.24]]+ППД5[[#This Row],[Наценка 24.05.24
1% - Б4, Б5,Г2,Г6
2% - А1,А3,А5,Б2,Г7]]</f>
        <v>116028.11776311797</v>
      </c>
      <c r="BW319" s="93"/>
      <c r="BX319" s="93">
        <f>ППД5[[#This Row],[Наценка 06.06.24
0К: В2,Г3 +0,5%
1К: А7, Б5/4, Г6 +0,5%
3К: В6 +0,5%
1К: А3 +1%]]+ППД5[[#This Row],[Фикс 24.05.24]]</f>
        <v>116028.11776311797</v>
      </c>
      <c r="BY319" s="93"/>
      <c r="BZ319" s="93">
        <f>ППД5[[#This Row],[Фикс 06.06.24]]+ППД5[[#This Row],[13.06.2024
3К - 2%]]</f>
        <v>116028.11776311797</v>
      </c>
      <c r="CA319" s="93"/>
      <c r="CB319" s="93">
        <f>ППД5[[#This Row],[02.07.2024: Г3 А1 А3 Б5 Б7 Г2 Г6 Б3 Б4 В3 Г7 2,5% ост 0,5-1,5%]]+ППД5[[#This Row],[Фикс 13.06.24]]</f>
        <v>116028.11776311797</v>
      </c>
      <c r="CC319" s="93"/>
      <c r="CD319" s="93">
        <f>ППД5[[#This Row],[Фикс 02.07.24]]+ППД5[[#This Row],[04.09.2024 +500
0К - Б2; 1К - А3;
2К - А6, Б4, В3, Г5]]</f>
        <v>116028.11776311797</v>
      </c>
      <c r="CE319" s="93"/>
      <c r="CF319" s="93">
        <f>ППД5[[#This Row],[Наценка 16.09.2024
1К: А1,В7,Г6/7,Г8 - 2%
2К: А4,А5,А6,Б1,Б6,Б3/4,В3,В4,Г4,Г5 - 4%
3К: 4%]]+ППД5[[#This Row],[Фикс 04.09.24]]</f>
        <v>116028.11776311797</v>
      </c>
      <c r="CG319" s="93"/>
      <c r="CH319" s="93">
        <f>ППД5[[#This Row],[Фикс 16.09.2024]]+ППД5[[#This Row],[Наценка 01.11.24
СТ: 4%
1К: 34-40м 5%; 40м+ 8%; МГН 1%
2К: 55-70м 6%; 70-73м 7%; 73-76м 8% 
3К: 5%]]</f>
        <v>116028.11776311797</v>
      </c>
      <c r="CI319" s="93"/>
      <c r="CJ319" s="93">
        <f>ППД5[[#This Row],[Наценка 06.11 13%]]+ППД5[[#This Row],[Фикс 01.11.24]]</f>
        <v>116028.11776311797</v>
      </c>
      <c r="CK319" s="93"/>
      <c r="CL319" s="93">
        <f>ППД5[[#This Row],[Фикс 06.11.24]]+ППД5[[#This Row],[Наценка 18.12.24 распределение КВ]]</f>
        <v>116028.11776311797</v>
      </c>
      <c r="CM319" s="93"/>
      <c r="CN319" s="93">
        <f>ППД5[[#This Row],[Фикс 18.12.24]]+ППД5[[#This Row],[Наценка 10.02.25 +1%
1К: А3
2К: Б3, В3]]</f>
        <v>116028.11776311797</v>
      </c>
      <c r="CO319" s="93">
        <f>ROUND(ППД5[[#This Row],[Фикс 10.02.25]],2)</f>
        <v>116028.12</v>
      </c>
      <c r="CP31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4387100</v>
      </c>
      <c r="CQ319" s="93">
        <f>ROUNDUP(ППД5[[#This Row],[Стоимость до скидки]]+ППД5[[#This Row],[Сумма доплаты]],-2)</f>
        <v>4357000</v>
      </c>
      <c r="CR319" s="68">
        <v>88888</v>
      </c>
      <c r="CS319" s="90"/>
      <c r="CT319" s="68">
        <f>ППД5[[#This Row],[Стоимость до скидки]]*ППД5[[#This Row],[Скидка %]]+ППД5[[#This Row],[Скидка фиксированная]]</f>
        <v>88888</v>
      </c>
      <c r="CU319" s="3">
        <f>ППД5[[#This Row],[Стоимость ОН без отделки со скидкой]]/ППД5[[#This Row],[Расчетная проектная площадь]]</f>
        <v>113679.23829674689</v>
      </c>
      <c r="CV319" s="3">
        <f>ROUND(ППД5[[#This Row],[Стоимость до скидки]]-ППД5[[#This Row],[Итоговая сумма скидки]],2)</f>
        <v>4298212</v>
      </c>
      <c r="CW31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19" s="197"/>
      <c r="CY319" s="332">
        <f>ППД5[[#This Row],[Расхождение]]/ППД5[[#This Row],[Расчетная проектная площадь]]</f>
        <v>-6.8764877016661728E-3</v>
      </c>
      <c r="CZ31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-0.24999999999999822</v>
      </c>
      <c r="DA319" s="3">
        <f>ППД5[[#This Row],[Цена м2 без отделки со скидкой]]+ППД5[[#This Row],[Стоимость отделки]]</f>
        <v>113679.23829674689</v>
      </c>
      <c r="DB319" s="3">
        <f>ППД5[[#This Row],[Стоимость квартиры с отделкой]]-ППД5[[#This Row],[Стоимость ОН без отделки со скидкой]]</f>
        <v>0</v>
      </c>
      <c r="DC319" s="3">
        <f>ППД5[[#This Row],[Цена м2 с отделкой]]*ППД5[[#This Row],[Расчетная проектная площадь]]</f>
        <v>4298212</v>
      </c>
      <c r="DD319" s="3"/>
      <c r="DE319" s="111" t="s">
        <v>781</v>
      </c>
      <c r="DF319" s="199" t="s">
        <v>172</v>
      </c>
      <c r="DG319" s="245" t="s">
        <v>172</v>
      </c>
      <c r="DH319" s="100" t="b">
        <f>EXACT(ППД5[[#This Row],[Статусы CRM]],ППД5[[#This Row],[Статус]])</f>
        <v>1</v>
      </c>
      <c r="DI319" s="213" t="s">
        <v>491</v>
      </c>
      <c r="DJ319" s="204"/>
      <c r="DK319" s="111" t="s">
        <v>763</v>
      </c>
      <c r="DL319" s="216" t="s">
        <v>12</v>
      </c>
      <c r="DM319" s="201" t="b">
        <f>ППД5[[#This Row],[Отделка CRM]]=ППД5[[#This Row],[Отделка]]</f>
        <v>1</v>
      </c>
      <c r="DN319" s="203">
        <v>4298212</v>
      </c>
      <c r="DO31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19" s="207" t="b">
        <f>IF(AND(ППД5[[#This Row],[Статус]]="свободно",ППД5[[#This Row],[Итоговая сумма скидки]]&lt;&gt;0),FALSE,TRUE)</f>
        <v>1</v>
      </c>
      <c r="DQ319" s="240">
        <f>_xlfn.XLOOKUP(ППД5[[#This Row],[№]],Юрист[№ кв],Юрист[Дата подачи на регистрацию]," ",0,-1)</f>
        <v>45372</v>
      </c>
      <c r="DR319" s="115" t="str">
        <f>_xlfn.XLOOKUP(ППД5[[#This Row],[№]],Юрист[№ кв],Юрист[МОП],"",0,-1)</f>
        <v>Полехович</v>
      </c>
      <c r="DS319" s="333" t="s">
        <v>2930</v>
      </c>
      <c r="DT319" s="333" t="s">
        <v>2931</v>
      </c>
      <c r="DU319" s="333">
        <v>36.1</v>
      </c>
      <c r="DV319" s="111"/>
    </row>
    <row r="320" spans="1:126" hidden="1" x14ac:dyDescent="0.25">
      <c r="A320" s="112">
        <v>318</v>
      </c>
      <c r="B320" s="111" t="s">
        <v>3</v>
      </c>
      <c r="C320" s="111">
        <v>14</v>
      </c>
      <c r="D320" s="111">
        <v>6</v>
      </c>
      <c r="E320" s="111">
        <v>3</v>
      </c>
      <c r="F320" s="105">
        <v>17.2</v>
      </c>
      <c r="G320" s="105">
        <v>14.64</v>
      </c>
      <c r="H320" s="105">
        <v>14.34</v>
      </c>
      <c r="I320" s="94">
        <f>SUM(ППД5[[#This Row],[Комната 1]:[Комната 3]])</f>
        <v>46.18</v>
      </c>
      <c r="J320" s="105">
        <v>13.15</v>
      </c>
      <c r="K320" s="105">
        <v>4.03</v>
      </c>
      <c r="L320" s="105">
        <v>1.76</v>
      </c>
      <c r="M320" s="105"/>
      <c r="N320" s="105">
        <v>13.11</v>
      </c>
      <c r="O320" s="105">
        <v>2.79</v>
      </c>
      <c r="P320" s="105">
        <v>2.68</v>
      </c>
      <c r="Q320" s="105"/>
      <c r="R320" s="105">
        <f>SUM(ППД5[[#This Row],[Лоджия 1]:[Лоджия 3]])</f>
        <v>5.4700000000000006</v>
      </c>
      <c r="S320" s="8">
        <f>ROUND(SUM(ППД5[[#This Row],[Площадь по проекту жилая]:[Лоджия 3]]),2)</f>
        <v>83.7</v>
      </c>
      <c r="T320" s="8">
        <f>ROUND(ППД5[[#This Row],[Площадь по проекту(общая)]]-ППД5[[#This Row],[Летние]],2)</f>
        <v>78.23</v>
      </c>
      <c r="U320" s="91">
        <f>ROUND(ППД5[[#This Row],[Площадь по проекту(общая)]]-(SUM(ППД5[[#This Row],[Лоджия 1]:[Лоджия 3]])/2),2)</f>
        <v>80.97</v>
      </c>
      <c r="V320" s="91">
        <f>IF(ППД5[[#This Row],[Статус]]="продажа",ППД5[[#This Row],[Расчетная проектная площадь]],ППД5[[#This Row],[Расчетная ТП площадь]])</f>
        <v>80.650000000000006</v>
      </c>
      <c r="W320" s="91">
        <v>17.100000000000001</v>
      </c>
      <c r="X320" s="91">
        <v>14.6</v>
      </c>
      <c r="Y320" s="91">
        <v>14.3</v>
      </c>
      <c r="Z320" s="91">
        <f>SUM(ППД5[[#This Row],[ТП Комната 1]:[ТП Комната 3]])</f>
        <v>46</v>
      </c>
      <c r="AA320" s="91">
        <v>13.1</v>
      </c>
      <c r="AB320" s="91">
        <v>4</v>
      </c>
      <c r="AC320" s="91">
        <v>1.8</v>
      </c>
      <c r="AD320" s="91"/>
      <c r="AE320" s="91">
        <v>13</v>
      </c>
      <c r="AF320" s="91">
        <v>1.4</v>
      </c>
      <c r="AG320" s="92">
        <v>1.35</v>
      </c>
      <c r="AH320" s="91"/>
      <c r="AI320" s="91">
        <f>SUM(ППД5[[#This Row],[ТП Лоджия 1]:[ТП Лоджия 3]])</f>
        <v>2.75</v>
      </c>
      <c r="AJ320" s="95">
        <v>5.5</v>
      </c>
      <c r="AK320" s="91">
        <f>SUM(ППД5[[#This Row],[Площадь по ТП жилая]:[ТП Лоджия 3]])-ППД5[[#This Row],[ТП Летние]]+ППД5[[#This Row],[кроме того прочая
(без коэффициента)]]</f>
        <v>83.4</v>
      </c>
      <c r="AL320" s="95">
        <f>ППД5[[#This Row],[ТП Площадь без летних]]+(ППД5[[#This Row],[ТП Летние]])</f>
        <v>80.650000000000006</v>
      </c>
      <c r="AM320" s="91">
        <f>ППД5[[#This Row],[ТП общая S]]-ППД5[[#This Row],[кроме того прочая
(без коэффициента)]]</f>
        <v>77.900000000000006</v>
      </c>
      <c r="AN320" s="95">
        <f>SUM(ППД5[[#This Row],[ТП Кухня]:[ТП Коридор]])</f>
        <v>31.900000000000002</v>
      </c>
      <c r="AO320" s="91">
        <f>ППД5[[#This Row],[Расчетная ТП площадь]]-ППД5[[#This Row],[Расчетная проектная площадь]]</f>
        <v>-0.31999999999999318</v>
      </c>
      <c r="AP320" s="335">
        <f>ППД5[[#This Row],[Расчетная ТП площадь]]/ППД5[[#This Row],[Расчетная проектная площадь]]-1</f>
        <v>-3.9520810176607579E-3</v>
      </c>
      <c r="AQ320" s="91">
        <f>ППД5[[#This Row],[% расхождения]]*ППД5[[#This Row],[Стоимость до скидки]]</f>
        <v>-36768.976164010397</v>
      </c>
      <c r="AR320" s="91">
        <f>VLOOKUP(ППД5[[#This Row],[№]],наценкад5[],COLUMN(наценкад5[[#This Row],[Цена м2 с учетом всех K]]),0)</f>
        <v>74234.160000000018</v>
      </c>
      <c r="AS320" s="8">
        <f>ППД5[[#This Row],[м2 после К]]*5%</f>
        <v>3711.708000000001</v>
      </c>
      <c r="AT320" s="8">
        <f>ППД5[[#This Row],[м2 после К]]+ППД5[[#This Row],[Повышение 16.08.23 - 5%]]</f>
        <v>77945.868000000017</v>
      </c>
      <c r="AU320" s="93">
        <f>ППД5[[#This Row],[Фикс 16.08.23]]*3%</f>
        <v>2338.3760400000006</v>
      </c>
      <c r="AV320" s="93">
        <f>ППД5[[#This Row],[Фикс 16.08.23]]+ППД5[[#This Row],[Повышение 29.08.23 - 3%]]</f>
        <v>80284.24404000002</v>
      </c>
      <c r="AW320" s="93"/>
      <c r="AX320" s="93">
        <f>ППД5[[#This Row],[Фикс 29.08.23]]+ППД5[[#This Row],[Повышение 06.09.23 СТ и 1К]]</f>
        <v>80284.24404000002</v>
      </c>
      <c r="AY320" s="93"/>
      <c r="AZ320" s="93">
        <f>ППД5[[#This Row],[Повышение 23.10.23  В4 ]]+ППД5[[#This Row],[Фикс 06.09.23]]</f>
        <v>80284.24404000002</v>
      </c>
      <c r="BA320" s="93"/>
      <c r="BB320" s="93">
        <f>ППД5[[#This Row],[Повышение 8.11.23 1К 5%]]+ППД5[[#This Row],[Фикс 23.10.23]]</f>
        <v>80284.24404000002</v>
      </c>
      <c r="BC320" s="93"/>
      <c r="BD320" s="93">
        <f>ППД5[[#This Row],[Корректировка 24.11.23 - 1К В5, 2К А2, №233]]+ППД5[[#This Row],[Фикс 8.11.23]]</f>
        <v>80284.24404000002</v>
      </c>
      <c r="BE320" s="93">
        <f>ППД5[[#This Row],[Фикс 8.11.24]]*1%</f>
        <v>802.84244040000021</v>
      </c>
      <c r="BF320" s="93">
        <f>ППД5[[#This Row],[Наценка за отделку 29.12.23 1%]]+ППД5[[#This Row],[Фикс 8.11.24]]</f>
        <v>81087.086480400016</v>
      </c>
      <c r="BG320" s="93">
        <f>ППД5[[#This Row],[Фикс 29.12.23]]*5%</f>
        <v>4054.3543240200011</v>
      </c>
      <c r="BH320" s="93">
        <f>ППД5[[#This Row],[Фикс 29.12.23]]+ППД5[[#This Row],[Наценка 10.01.24 5%]]</f>
        <v>85141.44080442001</v>
      </c>
      <c r="BI320" s="93"/>
      <c r="BJ320" s="93">
        <f>ППД5[[#This Row],[Наценка 26.02.24 1 Этаж]]+ППД5[[#This Row],[Фикс 10.01.24]]</f>
        <v>85141.44080442001</v>
      </c>
      <c r="BK320" s="93">
        <f>ППД5[[#This Row],[Фикс 26.02.24]]*2%</f>
        <v>1702.8288160884003</v>
      </c>
      <c r="BL320" s="93">
        <f>ППД5[[#This Row],[Фикс 26.02.24]]+ППД5[[#This Row],[Наценка 06.03.24
СТ, 1К - 3%
2К, 3К - 2%]]</f>
        <v>86844.269620508407</v>
      </c>
      <c r="BM320" s="93"/>
      <c r="BN320" s="93">
        <f>ППД5[[#This Row],[Фикс 06.03.24]]+ППД5[[#This Row],[Наценка Г2+500]]</f>
        <v>86844.269620508407</v>
      </c>
      <c r="BO320" s="93">
        <f>ППД5[[#This Row],[Фикс 13.03.25]]*2%</f>
        <v>1736.8853924101682</v>
      </c>
      <c r="BP320" s="93">
        <f>ППД5[[#This Row],[Фикс 13.03.25]]+ППД5[[#This Row],[Наценка 20.03.24
2К, 3К - 2%]]</f>
        <v>88581.155012918578</v>
      </c>
      <c r="BQ320" s="93"/>
      <c r="BR320" s="93">
        <f>ППД5[[#This Row],[Фикс 20.03.24]]+ППД5[[#This Row],[Наценка 08.04.24 
2К: В3 - 150
3К: Г7 +1000]]</f>
        <v>88581.155012918578</v>
      </c>
      <c r="BS320" s="93">
        <f>ППД5[[#This Row],[Фикс 08.04.24]]*1%</f>
        <v>885.81155012918578</v>
      </c>
      <c r="BT320" s="93">
        <f>ППД5[[#This Row],[Фикс 08.04.24]]+ППД5[[#This Row],[Наценка 16.05.24 1%
А4,А6,Б3,Б6,Б7,В2,В3,В5,В6,Г1,Г3-Г5]]</f>
        <v>89466.966563047768</v>
      </c>
      <c r="BU320" s="93"/>
      <c r="BV320" s="93">
        <f>ППД5[[#This Row],[Фикс 16.05.24]]+ППД5[[#This Row],[Наценка 24.05.24
1% - Б4, Б5,Г2,Г6
2% - А1,А3,А5,Б2,Г7]]</f>
        <v>89466.966563047768</v>
      </c>
      <c r="BW320" s="93">
        <f>ППД5[[#This Row],[Фикс 24.05.24]]*0.5%</f>
        <v>447.33483281523883</v>
      </c>
      <c r="BX320" s="93">
        <f>ППД5[[#This Row],[Наценка 06.06.24
0К: В2,Г3 +0,5%
1К: А7, Б5/4, Г6 +0,5%
3К: В6 +0,5%
1К: А3 +1%]]+ППД5[[#This Row],[Фикс 24.05.24]]</f>
        <v>89914.301395863004</v>
      </c>
      <c r="BY320" s="93">
        <f>ППД5[[#This Row],[Фикс 06.06.24]]*2%</f>
        <v>1798.2860279172601</v>
      </c>
      <c r="BZ320" s="93">
        <f>ППД5[[#This Row],[Фикс 06.06.24]]+ППД5[[#This Row],[13.06.2024
3К - 2%]]</f>
        <v>91712.587423780264</v>
      </c>
      <c r="CA320" s="93">
        <f>1.5%*ППД5[[#This Row],[Фикс 13.06.24]]</f>
        <v>1375.6888113567038</v>
      </c>
      <c r="CB320" s="93">
        <f>ППД5[[#This Row],[02.07.2024: Г3 А1 А3 Б5 Б7 Г2 Г6 Б3 Б4 В3 Г7 2,5% ост 0,5-1,5%]]+ППД5[[#This Row],[Фикс 13.06.24]]</f>
        <v>93088.27623513696</v>
      </c>
      <c r="CC320" s="93"/>
      <c r="CD320" s="93">
        <f>ППД5[[#This Row],[Фикс 02.07.24]]+ППД5[[#This Row],[04.09.2024 +500
0К - Б2; 1К - А3;
2К - А6, Б4, В3, Г5]]</f>
        <v>93088.27623513696</v>
      </c>
      <c r="CE320" s="93">
        <f>ППД5[[#This Row],[Фикс 04.09.24]]*4%</f>
        <v>3723.5310494054784</v>
      </c>
      <c r="CF320" s="93">
        <f>ППД5[[#This Row],[Наценка 16.09.2024
1К: А1,В7,Г6/7,Г8 - 2%
2К: А4,А5,А6,Б1,Б6,Б3/4,В3,В4,Г4,Г5 - 4%
3К: 4%]]+ППД5[[#This Row],[Фикс 04.09.24]]</f>
        <v>96811.807284542432</v>
      </c>
      <c r="CG320" s="93">
        <f>ППД5[[#This Row],[Фикс 16.09.2024]]*5%</f>
        <v>4840.5903642271214</v>
      </c>
      <c r="CH320" s="93">
        <f>ППД5[[#This Row],[Фикс 16.09.2024]]+ППД5[[#This Row],[Наценка 01.11.24
СТ: 4%
1К: 34-40м 5%; 40м+ 8%; МГН 1%
2К: 55-70м 6%; 70-73м 7%; 73-76м 8% 
3К: 5%]]</f>
        <v>101652.39764876955</v>
      </c>
      <c r="CI320" s="93">
        <f>ППД5[[#This Row],[Фикс 01.11.24]]*13%</f>
        <v>13214.811694340042</v>
      </c>
      <c r="CJ320" s="93">
        <f>ППД5[[#This Row],[Наценка 06.11 13%]]+ППД5[[#This Row],[Фикс 01.11.24]]</f>
        <v>114867.20934310959</v>
      </c>
      <c r="CK320" s="93">
        <v>35</v>
      </c>
      <c r="CL320" s="93">
        <f>ППД5[[#This Row],[Фикс 06.11.24]]+ППД5[[#This Row],[Наценка 18.12.24 распределение КВ]]</f>
        <v>114902.20934310959</v>
      </c>
      <c r="CM320" s="93"/>
      <c r="CN320" s="93">
        <f>ППД5[[#This Row],[Фикс 18.12.24]]+ППД5[[#This Row],[Наценка 10.02.25 +1%
1К: А3
2К: Б3, В3]]</f>
        <v>114902.20934310959</v>
      </c>
      <c r="CO320" s="93">
        <f>ROUND(ППД5[[#This Row],[Фикс 10.02.25]],2)</f>
        <v>114902.21</v>
      </c>
      <c r="CP32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9303700</v>
      </c>
      <c r="CQ320" s="93">
        <f>ROUNDUP(ППД5[[#This Row],[Стоимость до скидки]]+ППД5[[#This Row],[Сумма доплаты]],-2)</f>
        <v>9267000</v>
      </c>
      <c r="CR320" s="68"/>
      <c r="CS320" s="90"/>
      <c r="CT320" s="68">
        <f>ППД5[[#This Row],[Стоимость до скидки]]*ППД5[[#This Row],[Скидка %]]+ППД5[[#This Row],[Скидка фиксированная]]</f>
        <v>0</v>
      </c>
      <c r="CU320" s="3">
        <f>ППД5[[#This Row],[Стоимость ОН без отделки со скидкой]]/ППД5[[#This Row],[Расчетная проектная площадь]]</f>
        <v>114903.05051253551</v>
      </c>
      <c r="CV320" s="3">
        <f>ROUND(ППД5[[#This Row],[Стоимость до скидки]]-ППД5[[#This Row],[Итоговая сумма скидки]],2)</f>
        <v>9303700</v>
      </c>
      <c r="CW32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20" s="197"/>
      <c r="CY320" s="332">
        <f>ППД5[[#This Row],[Расхождение]]/ППД5[[#This Row],[Расчетная проектная площадь]]</f>
        <v>-3.9520810176607779E-3</v>
      </c>
      <c r="CZ32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-0.15000000000000036</v>
      </c>
      <c r="DA320" s="3">
        <f>ППД5[[#This Row],[Цена м2 без отделки со скидкой]]+ППД5[[#This Row],[Стоимость отделки]]</f>
        <v>114903.05051253551</v>
      </c>
      <c r="DB320" s="3">
        <f>ППД5[[#This Row],[Стоимость квартиры с отделкой]]-ППД5[[#This Row],[Стоимость ОН без отделки со скидкой]]</f>
        <v>0</v>
      </c>
      <c r="DC320" s="3">
        <f>ППД5[[#This Row],[Цена м2 с отделкой]]*ППД5[[#This Row],[Расчетная проектная площадь]]</f>
        <v>9303700</v>
      </c>
      <c r="DD320" s="3"/>
      <c r="DF320" s="155" t="s">
        <v>157</v>
      </c>
      <c r="DG320" s="221" t="s">
        <v>157</v>
      </c>
      <c r="DH320" s="100" t="b">
        <f>EXACT(ППД5[[#This Row],[Статусы CRM]],ППД5[[#This Row],[Статус]])</f>
        <v>1</v>
      </c>
      <c r="DI320" s="213" t="s">
        <v>492</v>
      </c>
      <c r="DJ320" s="204"/>
      <c r="DK320" s="111" t="s">
        <v>763</v>
      </c>
      <c r="DL320" s="216" t="s">
        <v>12</v>
      </c>
      <c r="DM320" s="201" t="b">
        <f>ППД5[[#This Row],[Отделка CRM]]=ППД5[[#This Row],[Отделка]]</f>
        <v>1</v>
      </c>
      <c r="DN320" s="203">
        <v>9303700</v>
      </c>
      <c r="DO32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20" s="207" t="b">
        <f>IF(AND(ППД5[[#This Row],[Статус]]="свободно",ППД5[[#This Row],[Итоговая сумма скидки]]&lt;&gt;0),FALSE,TRUE)</f>
        <v>1</v>
      </c>
      <c r="DQ320" s="240" t="str">
        <f>_xlfn.XLOOKUP(ППД5[[#This Row],[№]],Юрист[№ кв],Юрист[Дата подачи на регистрацию]," ",0,-1)</f>
        <v xml:space="preserve"> </v>
      </c>
      <c r="DR320" s="115" t="str">
        <f>_xlfn.XLOOKUP(ППД5[[#This Row],[№]],Юрист[№ кв],Юрист[МОП],"",0,-1)</f>
        <v/>
      </c>
      <c r="DS320" s="333" t="s">
        <v>2932</v>
      </c>
      <c r="DT320" s="333" t="s">
        <v>2933</v>
      </c>
      <c r="DU320" s="333">
        <v>77.900000000000006</v>
      </c>
      <c r="DV320" s="111"/>
    </row>
    <row r="321" spans="1:126" hidden="1" x14ac:dyDescent="0.25">
      <c r="A321" s="112">
        <v>319</v>
      </c>
      <c r="B321" s="111" t="s">
        <v>3</v>
      </c>
      <c r="C321" s="111">
        <v>14</v>
      </c>
      <c r="D321" s="111">
        <v>7</v>
      </c>
      <c r="E321" s="111">
        <v>1</v>
      </c>
      <c r="F321" s="105">
        <v>14.3</v>
      </c>
      <c r="G321" s="105"/>
      <c r="H321" s="105"/>
      <c r="I321" s="94">
        <f>SUM(ППД5[[#This Row],[Комната 1]:[Комната 3]])</f>
        <v>14.3</v>
      </c>
      <c r="J321" s="105">
        <v>9.2799999999999994</v>
      </c>
      <c r="K321" s="105">
        <v>3.79</v>
      </c>
      <c r="L321" s="105"/>
      <c r="M321" s="105"/>
      <c r="N321" s="105">
        <v>6.08</v>
      </c>
      <c r="O321" s="105">
        <v>2.71</v>
      </c>
      <c r="P321" s="105"/>
      <c r="Q321" s="105"/>
      <c r="R321" s="105">
        <f>SUM(ППД5[[#This Row],[Лоджия 1]:[Лоджия 3]])</f>
        <v>2.71</v>
      </c>
      <c r="S321" s="8">
        <f>ROUND(SUM(ППД5[[#This Row],[Площадь по проекту жилая]:[Лоджия 3]]),2)</f>
        <v>36.159999999999997</v>
      </c>
      <c r="T321" s="8">
        <f>ROUND(ППД5[[#This Row],[Площадь по проекту(общая)]]-ППД5[[#This Row],[Летние]],2)</f>
        <v>33.450000000000003</v>
      </c>
      <c r="U321" s="91">
        <f>ROUND(ППД5[[#This Row],[Площадь по проекту(общая)]]-(SUM(ППД5[[#This Row],[Лоджия 1]:[Лоджия 3]])/2),2)</f>
        <v>34.81</v>
      </c>
      <c r="V321" s="91">
        <f>IF(ППД5[[#This Row],[Статус]]="продажа",ППД5[[#This Row],[Расчетная проектная площадь]],ППД5[[#This Row],[Расчетная ТП площадь]])</f>
        <v>34.81</v>
      </c>
      <c r="W321" s="91">
        <v>14.4</v>
      </c>
      <c r="X321" s="91"/>
      <c r="Y321" s="91"/>
      <c r="Z321" s="91">
        <f>SUM(ППД5[[#This Row],[ТП Комната 1]:[ТП Комната 3]])</f>
        <v>14.4</v>
      </c>
      <c r="AA321" s="91">
        <v>9.1999999999999993</v>
      </c>
      <c r="AB321" s="91">
        <v>3.8</v>
      </c>
      <c r="AC321" s="91"/>
      <c r="AD321" s="91"/>
      <c r="AE321" s="91">
        <v>6.1</v>
      </c>
      <c r="AF321" s="91">
        <v>1.35</v>
      </c>
      <c r="AG321" s="91"/>
      <c r="AH321" s="91"/>
      <c r="AI321" s="91">
        <f>SUM(ППД5[[#This Row],[ТП Лоджия 1]:[ТП Лоджия 3]])</f>
        <v>1.35</v>
      </c>
      <c r="AJ321" s="95">
        <v>2.7</v>
      </c>
      <c r="AK321" s="91">
        <f>SUM(ППД5[[#This Row],[Площадь по ТП жилая]:[ТП Лоджия 3]])-ППД5[[#This Row],[ТП Летние]]+ППД5[[#This Row],[кроме того прочая
(без коэффициента)]]</f>
        <v>36.200000000000003</v>
      </c>
      <c r="AL321" s="95">
        <f>ППД5[[#This Row],[ТП Площадь без летних]]+(ППД5[[#This Row],[ТП Летние]])</f>
        <v>34.85</v>
      </c>
      <c r="AM321" s="91">
        <f>ППД5[[#This Row],[ТП общая S]]-ППД5[[#This Row],[кроме того прочая
(без коэффициента)]]</f>
        <v>33.5</v>
      </c>
      <c r="AN321" s="95">
        <f>SUM(ППД5[[#This Row],[ТП Кухня]:[ТП Коридор]])</f>
        <v>19.100000000000001</v>
      </c>
      <c r="AO321" s="91">
        <f>ППД5[[#This Row],[Расчетная ТП площадь]]-ППД5[[#This Row],[Расчетная проектная площадь]]</f>
        <v>3.9999999999999147E-2</v>
      </c>
      <c r="AP321" s="335">
        <f>ППД5[[#This Row],[Расчетная ТП площадь]]/ППД5[[#This Row],[Расчетная проектная площадь]]-1</f>
        <v>1.1490950876185124E-3</v>
      </c>
      <c r="AQ321" s="91">
        <f>ППД5[[#This Row],[% расхождения]]*ППД5[[#This Row],[Стоимость до скидки]]</f>
        <v>4840.3332375754599</v>
      </c>
      <c r="AR321" s="91">
        <f>VLOOKUP(ППД5[[#This Row],[№]],наценкад5[],COLUMN(наценкад5[[#This Row],[Цена м2 с учетом всех K]]),0)</f>
        <v>85573.6875</v>
      </c>
      <c r="AS321" s="8">
        <f>ППД5[[#This Row],[м2 после К]]*5%</f>
        <v>4278.6843749999998</v>
      </c>
      <c r="AT321" s="8">
        <f>ППД5[[#This Row],[м2 после К]]+ППД5[[#This Row],[Повышение 16.08.23 - 5%]]</f>
        <v>89852.371874999997</v>
      </c>
      <c r="AU321" s="93">
        <f>ППД5[[#This Row],[Фикс 16.08.23]]*3%</f>
        <v>2695.5711562499996</v>
      </c>
      <c r="AV321" s="93">
        <f>ППД5[[#This Row],[Фикс 16.08.23]]+ППД5[[#This Row],[Повышение 29.08.23 - 3%]]</f>
        <v>92547.94303124999</v>
      </c>
      <c r="AW321" s="93">
        <f>ППД5[[#This Row],[Фикс 29.08.23]]*14%</f>
        <v>12956.712024375</v>
      </c>
      <c r="AX321" s="93">
        <f>ППД5[[#This Row],[Фикс 29.08.23]]+ППД5[[#This Row],[Повышение 06.09.23 СТ и 1К]]</f>
        <v>105504.65505562499</v>
      </c>
      <c r="AY321" s="93"/>
      <c r="AZ321" s="93">
        <f>ППД5[[#This Row],[Повышение 23.10.23  В4 ]]+ППД5[[#This Row],[Фикс 06.09.23]]</f>
        <v>105504.65505562499</v>
      </c>
      <c r="BA321" s="93">
        <f>ППД5[[#This Row],[Фикс 23.10.23]]*5%</f>
        <v>5275.2327527812495</v>
      </c>
      <c r="BB321" s="93">
        <f>ППД5[[#This Row],[Повышение 8.11.23 1К 5%]]+ППД5[[#This Row],[Фикс 23.10.23]]</f>
        <v>110779.88780840623</v>
      </c>
      <c r="BC321" s="93"/>
      <c r="BD321" s="93">
        <f>ППД5[[#This Row],[Корректировка 24.11.23 - 1К В5, 2К А2, №233]]+ППД5[[#This Row],[Фикс 8.11.23]]</f>
        <v>110779.88780840623</v>
      </c>
      <c r="BE321" s="93">
        <f>ППД5[[#This Row],[Фикс 8.11.24]]*1%</f>
        <v>1107.7988780840624</v>
      </c>
      <c r="BF321" s="93">
        <f>ППД5[[#This Row],[Наценка за отделку 29.12.23 1%]]+ППД5[[#This Row],[Фикс 8.11.24]]</f>
        <v>111887.6866864903</v>
      </c>
      <c r="BG321" s="93">
        <f>ППД5[[#This Row],[Фикс 29.12.23]]*5%</f>
        <v>5594.3843343245153</v>
      </c>
      <c r="BH321" s="93">
        <f>ППД5[[#This Row],[Фикс 29.12.23]]+ППД5[[#This Row],[Наценка 10.01.24 5%]]</f>
        <v>117482.07102081481</v>
      </c>
      <c r="BI321" s="93"/>
      <c r="BJ321" s="93">
        <f>ППД5[[#This Row],[Наценка 26.02.24 1 Этаж]]+ППД5[[#This Row],[Фикс 10.01.24]]</f>
        <v>117482.07102081481</v>
      </c>
      <c r="BK321" s="93">
        <f>ППД5[[#This Row],[Фикс 26.02.24]]*3%</f>
        <v>3524.4621306244439</v>
      </c>
      <c r="BL321" s="93">
        <f>ППД5[[#This Row],[Фикс 26.02.24]]+ППД5[[#This Row],[Наценка 06.03.24
СТ, 1К - 3%
2К, 3К - 2%]]</f>
        <v>121006.53315143925</v>
      </c>
      <c r="BM321" s="93"/>
      <c r="BN321" s="93">
        <f>ППД5[[#This Row],[Фикс 06.03.24]]+ППД5[[#This Row],[Наценка Г2+500]]</f>
        <v>121006.53315143925</v>
      </c>
      <c r="BO321" s="93"/>
      <c r="BP321" s="93">
        <f>ППД5[[#This Row],[Фикс 13.03.25]]+ППД5[[#This Row],[Наценка 20.03.24
2К, 3К - 2%]]</f>
        <v>121006.53315143925</v>
      </c>
      <c r="BQ321" s="93"/>
      <c r="BR321" s="93">
        <f>ППД5[[#This Row],[Фикс 20.03.24]]+ППД5[[#This Row],[Наценка 08.04.24 
2К: В3 - 150
3К: Г7 +1000]]</f>
        <v>121006.53315143925</v>
      </c>
      <c r="BS321" s="93"/>
      <c r="BT321" s="93">
        <f>ППД5[[#This Row],[Фикс 08.04.24]]+ППД5[[#This Row],[Наценка 16.05.24 1%
А4,А6,Б3,Б6,Б7,В2,В3,В5,В6,Г1,Г3-Г5]]</f>
        <v>121006.53315143925</v>
      </c>
      <c r="BU321" s="93"/>
      <c r="BV321" s="93">
        <f>ППД5[[#This Row],[Фикс 16.05.24]]+ППД5[[#This Row],[Наценка 24.05.24
1% - Б4, Б5,Г2,Г6
2% - А1,А3,А5,Б2,Г7]]</f>
        <v>121006.53315143925</v>
      </c>
      <c r="BW321" s="93"/>
      <c r="BX321" s="93">
        <f>ППД5[[#This Row],[Наценка 06.06.24
0К: В2,Г3 +0,5%
1К: А7, Б5/4, Г6 +0,5%
3К: В6 +0,5%
1К: А3 +1%]]+ППД5[[#This Row],[Фикс 24.05.24]]</f>
        <v>121006.53315143925</v>
      </c>
      <c r="BY321" s="93"/>
      <c r="BZ321" s="93">
        <f>ППД5[[#This Row],[Фикс 06.06.24]]+ППД5[[#This Row],[13.06.2024
3К - 2%]]</f>
        <v>121006.53315143925</v>
      </c>
      <c r="CA321" s="93"/>
      <c r="CB321" s="93">
        <f>ППД5[[#This Row],[02.07.2024: Г3 А1 А3 Б5 Б7 Г2 Г6 Б3 Б4 В3 Г7 2,5% ост 0,5-1,5%]]+ППД5[[#This Row],[Фикс 13.06.24]]</f>
        <v>121006.53315143925</v>
      </c>
      <c r="CC321" s="93"/>
      <c r="CD321" s="93">
        <f>ППД5[[#This Row],[Фикс 02.07.24]]+ППД5[[#This Row],[04.09.2024 +500
0К - Б2; 1К - А3;
2К - А6, Б4, В3, Г5]]</f>
        <v>121006.53315143925</v>
      </c>
      <c r="CE321" s="93"/>
      <c r="CF321" s="93">
        <f>ППД5[[#This Row],[Наценка 16.09.2024
1К: А1,В7,Г6/7,Г8 - 2%
2К: А4,А5,А6,Б1,Б6,Б3/4,В3,В4,Г4,Г5 - 4%
3К: 4%]]+ППД5[[#This Row],[Фикс 04.09.24]]</f>
        <v>121006.53315143925</v>
      </c>
      <c r="CG321" s="93"/>
      <c r="CH321" s="93">
        <f>ППД5[[#This Row],[Фикс 16.09.2024]]+ППД5[[#This Row],[Наценка 01.11.24
СТ: 4%
1К: 34-40м 5%; 40м+ 8%; МГН 1%
2К: 55-70м 6%; 70-73м 7%; 73-76м 8% 
3К: 5%]]</f>
        <v>121006.53315143925</v>
      </c>
      <c r="CI321" s="93"/>
      <c r="CJ321" s="93">
        <f>ППД5[[#This Row],[Наценка 06.11 13%]]+ППД5[[#This Row],[Фикс 01.11.24]]</f>
        <v>121006.53315143925</v>
      </c>
      <c r="CK321" s="93"/>
      <c r="CL321" s="93">
        <f>ППД5[[#This Row],[Фикс 06.11.24]]+ППД5[[#This Row],[Наценка 18.12.24 распределение КВ]]</f>
        <v>121006.53315143925</v>
      </c>
      <c r="CM321" s="93"/>
      <c r="CN321" s="93">
        <f>ППД5[[#This Row],[Фикс 18.12.24]]+ППД5[[#This Row],[Наценка 10.02.25 +1%
1К: А3
2К: Б3, В3]]</f>
        <v>121006.53315143925</v>
      </c>
      <c r="CO321" s="93">
        <f>ROUND(ППД5[[#This Row],[Фикс 10.02.25]],2)</f>
        <v>121006.53</v>
      </c>
      <c r="CP32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4212300</v>
      </c>
      <c r="CQ321" s="93">
        <f>ROUNDUP(ППД5[[#This Row],[Стоимость до скидки]]+ППД5[[#This Row],[Сумма доплаты]],-2)</f>
        <v>4217200</v>
      </c>
      <c r="CR321" s="68"/>
      <c r="CS321" s="90"/>
      <c r="CT321" s="68">
        <f>ППД5[[#This Row],[Стоимость до скидки]]*ППД5[[#This Row],[Скидка %]]+ППД5[[#This Row],[Скидка фиксированная]]</f>
        <v>0</v>
      </c>
      <c r="CU321" s="3">
        <f>ППД5[[#This Row],[Стоимость ОН без отделки со скидкой]]/ППД5[[#This Row],[Расчетная проектная площадь]]</f>
        <v>121008.33093938523</v>
      </c>
      <c r="CV321" s="3">
        <f>ROUND(ППД5[[#This Row],[Стоимость до скидки]]-ППД5[[#This Row],[Итоговая сумма скидки]],2)</f>
        <v>4212300</v>
      </c>
      <c r="CW32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21" s="197">
        <v>20000</v>
      </c>
      <c r="CY321" s="332">
        <f>ППД5[[#This Row],[Расхождение]]/ППД5[[#This Row],[Расчетная проектная площадь]]</f>
        <v>1.1490950876184758E-3</v>
      </c>
      <c r="CZ32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-4.9999999999998934E-2</v>
      </c>
      <c r="DA321" s="3">
        <f>ППД5[[#This Row],[Цена м2 без отделки со скидкой]]+ППД5[[#This Row],[Стоимость отделки]]</f>
        <v>141008.33093938523</v>
      </c>
      <c r="DB321" s="3">
        <f>ППД5[[#This Row],[Стоимость квартиры с отделкой]]-ППД5[[#This Row],[Стоимость ОН без отделки со скидкой]]</f>
        <v>696200</v>
      </c>
      <c r="DC321" s="3">
        <f>ППД5[[#This Row],[Цена м2 с отделкой]]*ППД5[[#This Row],[Расчетная проектная площадь]]</f>
        <v>4908500</v>
      </c>
      <c r="DD321" s="3" t="s">
        <v>154</v>
      </c>
      <c r="DF321" s="199" t="s">
        <v>172</v>
      </c>
      <c r="DG321" s="245" t="s">
        <v>172</v>
      </c>
      <c r="DH321" s="100" t="b">
        <f>EXACT(ППД5[[#This Row],[Статусы CRM]],ППД5[[#This Row],[Статус]])</f>
        <v>1</v>
      </c>
      <c r="DI321" s="213" t="s">
        <v>493</v>
      </c>
      <c r="DJ321" s="204"/>
      <c r="DK321" s="111" t="s">
        <v>763</v>
      </c>
      <c r="DL321" s="216" t="s">
        <v>14</v>
      </c>
      <c r="DM321" s="201" t="b">
        <f>ППД5[[#This Row],[Отделка CRM]]=ППД5[[#This Row],[Отделка]]</f>
        <v>1</v>
      </c>
      <c r="DN321" s="203">
        <v>4908500</v>
      </c>
      <c r="DO32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21" s="207" t="b">
        <f>IF(AND(ППД5[[#This Row],[Статус]]="свободно",ППД5[[#This Row],[Итоговая сумма скидки]]&lt;&gt;0),FALSE,TRUE)</f>
        <v>1</v>
      </c>
      <c r="DQ321" s="240">
        <f>_xlfn.XLOOKUP(ППД5[[#This Row],[№]],Юрист[№ кв],Юрист[Дата подачи на регистрацию]," ",0,-1)</f>
        <v>45419</v>
      </c>
      <c r="DR321" s="115" t="str">
        <f>_xlfn.XLOOKUP(ППД5[[#This Row],[№]],Юрист[№ кв],Юрист[МОП],"",0,-1)</f>
        <v>Никишов</v>
      </c>
      <c r="DS321" s="333" t="s">
        <v>2934</v>
      </c>
      <c r="DT321" s="333" t="s">
        <v>2935</v>
      </c>
      <c r="DU321" s="333">
        <v>33.5</v>
      </c>
      <c r="DV321" s="111"/>
    </row>
    <row r="322" spans="1:126" hidden="1" x14ac:dyDescent="0.25">
      <c r="A322" s="112">
        <v>320</v>
      </c>
      <c r="B322" s="111" t="s">
        <v>3</v>
      </c>
      <c r="C322" s="111">
        <v>15</v>
      </c>
      <c r="D322" s="338">
        <v>1</v>
      </c>
      <c r="E322" s="111">
        <v>2</v>
      </c>
      <c r="F322" s="105">
        <v>17.63</v>
      </c>
      <c r="G322" s="105">
        <v>13.69</v>
      </c>
      <c r="H322" s="105"/>
      <c r="I322" s="94">
        <f>SUM(ППД5[[#This Row],[Комната 1]:[Комната 3]])</f>
        <v>31.32</v>
      </c>
      <c r="J322" s="105">
        <v>20.05</v>
      </c>
      <c r="K322" s="105">
        <v>3.54</v>
      </c>
      <c r="L322" s="105">
        <v>2.93</v>
      </c>
      <c r="M322" s="105"/>
      <c r="N322" s="105">
        <v>12.19</v>
      </c>
      <c r="O322" s="105">
        <v>4.6500000000000004</v>
      </c>
      <c r="P322" s="105">
        <v>2.68</v>
      </c>
      <c r="Q322" s="105"/>
      <c r="R322" s="105">
        <f>SUM(ППД5[[#This Row],[Лоджия 1]:[Лоджия 3]])</f>
        <v>7.33</v>
      </c>
      <c r="S322" s="8">
        <f>ROUND(SUM(ППД5[[#This Row],[Площадь по проекту жилая]:[Лоджия 3]]),2)</f>
        <v>77.36</v>
      </c>
      <c r="T322" s="8">
        <f>ROUND(ППД5[[#This Row],[Площадь по проекту(общая)]]-ППД5[[#This Row],[Летние]],2)</f>
        <v>70.03</v>
      </c>
      <c r="U322" s="91">
        <f>ROUND(ППД5[[#This Row],[Площадь по проекту(общая)]]-(SUM(ППД5[[#This Row],[Лоджия 1]:[Лоджия 3]])/2),2)</f>
        <v>73.7</v>
      </c>
      <c r="V322" s="91">
        <f>IF(ППД5[[#This Row],[Статус]]="продажа",ППД5[[#This Row],[Расчетная проектная площадь]],ППД5[[#This Row],[Расчетная ТП площадь]])</f>
        <v>73.499999999999986</v>
      </c>
      <c r="W322" s="91">
        <v>17.600000000000001</v>
      </c>
      <c r="X322" s="91">
        <v>13.7</v>
      </c>
      <c r="Y322" s="91"/>
      <c r="Z322" s="91">
        <f>SUM(ППД5[[#This Row],[ТП Комната 1]:[ТП Комната 3]])</f>
        <v>31.3</v>
      </c>
      <c r="AA322" s="91">
        <v>20</v>
      </c>
      <c r="AB322" s="91">
        <v>3.5</v>
      </c>
      <c r="AC322" s="91">
        <v>2.9</v>
      </c>
      <c r="AD322" s="91"/>
      <c r="AE322" s="91">
        <v>12.1</v>
      </c>
      <c r="AF322" s="91">
        <v>1.35</v>
      </c>
      <c r="AG322" s="91">
        <v>2.35</v>
      </c>
      <c r="AH322" s="91"/>
      <c r="AI322" s="91">
        <f>SUM(ППД5[[#This Row],[ТП Лоджия 1]:[ТП Лоджия 3]])</f>
        <v>3.7</v>
      </c>
      <c r="AJ322" s="95">
        <v>7.4</v>
      </c>
      <c r="AK322" s="91">
        <f>SUM(ППД5[[#This Row],[Площадь по ТП жилая]:[ТП Лоджия 3]])-ППД5[[#This Row],[ТП Летние]]+ППД5[[#This Row],[кроме того прочая
(без коэффициента)]]</f>
        <v>77.199999999999989</v>
      </c>
      <c r="AL322" s="95">
        <f>ППД5[[#This Row],[ТП Площадь без летних]]+(ППД5[[#This Row],[ТП Летние]])</f>
        <v>73.499999999999986</v>
      </c>
      <c r="AM322" s="91">
        <f>ППД5[[#This Row],[ТП общая S]]-ППД5[[#This Row],[кроме того прочая
(без коэффициента)]]</f>
        <v>69.799999999999983</v>
      </c>
      <c r="AN322" s="95">
        <f>SUM(ППД5[[#This Row],[ТП Кухня]:[ТП Коридор]])</f>
        <v>38.5</v>
      </c>
      <c r="AO322" s="91">
        <f>ППД5[[#This Row],[Расчетная ТП площадь]]-ППД5[[#This Row],[Расчетная проектная площадь]]</f>
        <v>-0.20000000000001705</v>
      </c>
      <c r="AP322" s="335">
        <f>ППД5[[#This Row],[Расчетная ТП площадь]]/ППД5[[#This Row],[Расчетная проектная площадь]]-1</f>
        <v>-2.7137042062417294E-3</v>
      </c>
      <c r="AQ322" s="91">
        <f>ППД5[[#This Row],[% расхождения]]*ППД5[[#This Row],[Стоимость до скидки]]</f>
        <v>-23061.872455904089</v>
      </c>
      <c r="AR322" s="91">
        <f>VLOOKUP(ППД5[[#This Row],[№]],наценкад5[],COLUMN(наценкад5[[#This Row],[Цена м2 с учетом всех K]]),0)</f>
        <v>78763.482000000004</v>
      </c>
      <c r="AS322" s="8">
        <f>ППД5[[#This Row],[м2 после К]]*5%</f>
        <v>3938.1741000000002</v>
      </c>
      <c r="AT322" s="8">
        <f>ППД5[[#This Row],[м2 после К]]+ППД5[[#This Row],[Повышение 16.08.23 - 5%]]</f>
        <v>82701.656100000007</v>
      </c>
      <c r="AU322" s="93">
        <f>ППД5[[#This Row],[Фикс 16.08.23]]*3%</f>
        <v>2481.0496830000002</v>
      </c>
      <c r="AV322" s="93">
        <f>ППД5[[#This Row],[Фикс 16.08.23]]+ППД5[[#This Row],[Повышение 29.08.23 - 3%]]</f>
        <v>85182.705783000012</v>
      </c>
      <c r="AW322" s="93"/>
      <c r="AX322" s="93">
        <f>ППД5[[#This Row],[Фикс 29.08.23]]+ППД5[[#This Row],[Повышение 06.09.23 СТ и 1К]]</f>
        <v>85182.705783000012</v>
      </c>
      <c r="AY322" s="93"/>
      <c r="AZ322" s="93">
        <f>ППД5[[#This Row],[Повышение 23.10.23  В4 ]]+ППД5[[#This Row],[Фикс 06.09.23]]</f>
        <v>85182.705783000012</v>
      </c>
      <c r="BA322" s="93"/>
      <c r="BB322" s="93">
        <f>ППД5[[#This Row],[Повышение 8.11.23 1К 5%]]+ППД5[[#This Row],[Фикс 23.10.23]]</f>
        <v>85182.705783000012</v>
      </c>
      <c r="BC322" s="93"/>
      <c r="BD322" s="93">
        <f>ППД5[[#This Row],[Корректировка 24.11.23 - 1К В5, 2К А2, №233]]+ППД5[[#This Row],[Фикс 8.11.23]]</f>
        <v>85182.705783000012</v>
      </c>
      <c r="BE322" s="93">
        <f>ППД5[[#This Row],[Фикс 8.11.24]]*1%</f>
        <v>851.82705783000017</v>
      </c>
      <c r="BF322" s="93">
        <f>ППД5[[#This Row],[Наценка за отделку 29.12.23 1%]]+ППД5[[#This Row],[Фикс 8.11.24]]</f>
        <v>86034.532840830012</v>
      </c>
      <c r="BG322" s="93">
        <f>ППД5[[#This Row],[Фикс 29.12.23]]*5%</f>
        <v>4301.7266420415008</v>
      </c>
      <c r="BH322" s="93">
        <f>ППД5[[#This Row],[Фикс 29.12.23]]+ППД5[[#This Row],[Наценка 10.01.24 5%]]</f>
        <v>90336.259482871508</v>
      </c>
      <c r="BI322" s="93"/>
      <c r="BJ322" s="93">
        <f>ППД5[[#This Row],[Наценка 26.02.24 1 Этаж]]+ППД5[[#This Row],[Фикс 10.01.24]]</f>
        <v>90336.259482871508</v>
      </c>
      <c r="BK322" s="93">
        <f>ППД5[[#This Row],[Фикс 26.02.24]]*2%</f>
        <v>1806.7251896574303</v>
      </c>
      <c r="BL322" s="93">
        <f>ППД5[[#This Row],[Фикс 26.02.24]]+ППД5[[#This Row],[Наценка 06.03.24
СТ, 1К - 3%
2К, 3К - 2%]]</f>
        <v>92142.984672528939</v>
      </c>
      <c r="BM322" s="93"/>
      <c r="BN322" s="93">
        <f>ППД5[[#This Row],[Фикс 06.03.24]]+ППД5[[#This Row],[Наценка Г2+500]]</f>
        <v>92142.984672528939</v>
      </c>
      <c r="BO322" s="93">
        <f>ППД5[[#This Row],[Фикс 13.03.25]]*2%</f>
        <v>1842.8596934505788</v>
      </c>
      <c r="BP322" s="93">
        <f>ППД5[[#This Row],[Фикс 13.03.25]]+ППД5[[#This Row],[Наценка 20.03.24
2К, 3К - 2%]]</f>
        <v>93985.844365979516</v>
      </c>
      <c r="BQ322" s="93"/>
      <c r="BR322" s="93">
        <f>ППД5[[#This Row],[Фикс 20.03.24]]+ППД5[[#This Row],[Наценка 08.04.24 
2К: В3 - 150
3К: Г7 +1000]]</f>
        <v>93985.844365979516</v>
      </c>
      <c r="BS322" s="93"/>
      <c r="BT322" s="93">
        <f>ППД5[[#This Row],[Фикс 08.04.24]]+ППД5[[#This Row],[Наценка 16.05.24 1%
А4,А6,Б3,Б6,Б7,В2,В3,В5,В6,Г1,Г3-Г5]]</f>
        <v>93985.844365979516</v>
      </c>
      <c r="BU322" s="93"/>
      <c r="BV322" s="93">
        <f>ППД5[[#This Row],[Фикс 16.05.24]]+ППД5[[#This Row],[Наценка 24.05.24
1% - Б4, Б5,Г2,Г6
2% - А1,А3,А5,Б2,Г7]]</f>
        <v>93985.844365979516</v>
      </c>
      <c r="BW322" s="93"/>
      <c r="BX322" s="93">
        <f>ППД5[[#This Row],[Наценка 06.06.24
0К: В2,Г3 +0,5%
1К: А7, Б5/4, Г6 +0,5%
3К: В6 +0,5%
1К: А3 +1%]]+ППД5[[#This Row],[Фикс 24.05.24]]</f>
        <v>93985.844365979516</v>
      </c>
      <c r="BY322" s="93"/>
      <c r="BZ322" s="93">
        <f>ППД5[[#This Row],[Фикс 06.06.24]]+ППД5[[#This Row],[13.06.2024
3К - 2%]]</f>
        <v>93985.844365979516</v>
      </c>
      <c r="CA322" s="93">
        <f>0.5%*ППД5[[#This Row],[Фикс 13.06.24]]</f>
        <v>469.92922182989759</v>
      </c>
      <c r="CB322" s="93">
        <f>ППД5[[#This Row],[02.07.2024: Г3 А1 А3 Б5 Б7 Г2 Г6 Б3 Б4 В3 Г7 2,5% ост 0,5-1,5%]]+ППД5[[#This Row],[Фикс 13.06.24]]</f>
        <v>94455.77358780941</v>
      </c>
      <c r="CC322" s="93"/>
      <c r="CD322" s="93">
        <f>ППД5[[#This Row],[Фикс 02.07.24]]+ППД5[[#This Row],[04.09.2024 +500
0К - Б2; 1К - А3;
2К - А6, Б4, В3, Г5]]</f>
        <v>94455.77358780941</v>
      </c>
      <c r="CE322" s="93"/>
      <c r="CF322" s="93">
        <f>ППД5[[#This Row],[Наценка 16.09.2024
1К: А1,В7,Г6/7,Г8 - 2%
2К: А4,А5,А6,Б1,Б6,Б3/4,В3,В4,Г4,Г5 - 4%
3К: 4%]]+ППД5[[#This Row],[Фикс 04.09.24]]</f>
        <v>94455.77358780941</v>
      </c>
      <c r="CG322" s="93">
        <f>ППД5[[#This Row],[Фикс 16.09.2024]]*8%</f>
        <v>7556.4618870247532</v>
      </c>
      <c r="CH322" s="93">
        <f>ППД5[[#This Row],[Фикс 16.09.2024]]+ППД5[[#This Row],[Наценка 01.11.24
СТ: 4%
1К: 34-40м 5%; 40м+ 8%; МГН 1%
2К: 55-70м 6%; 70-73м 7%; 73-76м 8% 
3К: 5%]]</f>
        <v>102012.23547483416</v>
      </c>
      <c r="CI322" s="93">
        <f>ППД5[[#This Row],[Фикс 01.11.24]]*13%</f>
        <v>13261.590611728441</v>
      </c>
      <c r="CJ322" s="93">
        <f>ППД5[[#This Row],[Наценка 06.11 13%]]+ППД5[[#This Row],[Фикс 01.11.24]]</f>
        <v>115273.82608656261</v>
      </c>
      <c r="CK322" s="93">
        <v>35</v>
      </c>
      <c r="CL322" s="93">
        <f>ППД5[[#This Row],[Фикс 06.11.24]]+ППД5[[#This Row],[Наценка 18.12.24 распределение КВ]]</f>
        <v>115308.82608656261</v>
      </c>
      <c r="CM322" s="93"/>
      <c r="CN322" s="93">
        <f>ППД5[[#This Row],[Фикс 18.12.24]]+ППД5[[#This Row],[Наценка 10.02.25 +1%
1К: А3
2К: Б3, В3]]</f>
        <v>115308.82608656261</v>
      </c>
      <c r="CO322" s="93">
        <f>ROUND(ППД5[[#This Row],[Фикс 10.02.25]],2)</f>
        <v>115308.83</v>
      </c>
      <c r="CP32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8498300</v>
      </c>
      <c r="CQ322" s="93">
        <f>ROUNDUP(ППД5[[#This Row],[Стоимость до скидки]]+ППД5[[#This Row],[Сумма доплаты]],-2)</f>
        <v>8475300</v>
      </c>
      <c r="CR322" s="68"/>
      <c r="CS322" s="90"/>
      <c r="CT322" s="68">
        <f>ППД5[[#This Row],[Стоимость до скидки]]*ППД5[[#This Row],[Скидка %]]+ППД5[[#This Row],[Скидка фиксированная]]</f>
        <v>0</v>
      </c>
      <c r="CU322" s="3">
        <f>ППД5[[#This Row],[Стоимость ОН без отделки со скидкой]]/ППД5[[#This Row],[Расчетная проектная площадь]]</f>
        <v>115309.36227951152</v>
      </c>
      <c r="CV322" s="3">
        <f>ROUND(ППД5[[#This Row],[Стоимость до скидки]]-ППД5[[#This Row],[Итоговая сумма скидки]],2)</f>
        <v>8498300</v>
      </c>
      <c r="CW32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22" s="197"/>
      <c r="CY322" s="332">
        <f>ППД5[[#This Row],[Расхождение]]/ППД5[[#This Row],[Расчетная проектная площадь]]</f>
        <v>-2.7137042062417511E-3</v>
      </c>
      <c r="CZ32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-0.2099999999999973</v>
      </c>
      <c r="DA322" s="3">
        <f>ППД5[[#This Row],[Цена м2 без отделки со скидкой]]+ППД5[[#This Row],[Стоимость отделки]]</f>
        <v>115309.36227951152</v>
      </c>
      <c r="DB322" s="3">
        <f>ППД5[[#This Row],[Стоимость квартиры с отделкой]]-ППД5[[#This Row],[Стоимость ОН без отделки со скидкой]]</f>
        <v>0</v>
      </c>
      <c r="DC322" s="3">
        <f>ППД5[[#This Row],[Цена м2 с отделкой]]*ППД5[[#This Row],[Расчетная проектная площадь]]</f>
        <v>8498300</v>
      </c>
      <c r="DD322" s="3" t="s">
        <v>158</v>
      </c>
      <c r="DF322" s="199" t="s">
        <v>157</v>
      </c>
      <c r="DG322" s="245" t="s">
        <v>157</v>
      </c>
      <c r="DH322" s="100" t="b">
        <f>EXACT(ППД5[[#This Row],[Статусы CRM]],ППД5[[#This Row],[Статус]])</f>
        <v>1</v>
      </c>
      <c r="DI322" s="213" t="s">
        <v>494</v>
      </c>
      <c r="DJ322" s="204"/>
      <c r="DK322" s="111" t="s">
        <v>763</v>
      </c>
      <c r="DL322" s="216" t="s">
        <v>12</v>
      </c>
      <c r="DM322" s="201" t="b">
        <f>ППД5[[#This Row],[Отделка CRM]]=ППД5[[#This Row],[Отделка]]</f>
        <v>1</v>
      </c>
      <c r="DN322" s="203">
        <v>8498300</v>
      </c>
      <c r="DO32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22" s="207" t="b">
        <f>IF(AND(ППД5[[#This Row],[Статус]]="свободно",ППД5[[#This Row],[Итоговая сумма скидки]]&lt;&gt;0),FALSE,TRUE)</f>
        <v>1</v>
      </c>
      <c r="DQ322" s="240" t="str">
        <f>_xlfn.XLOOKUP(ППД5[[#This Row],[№]],Юрист[№ кв],Юрист[Дата подачи на регистрацию]," ",0,-1)</f>
        <v xml:space="preserve"> </v>
      </c>
      <c r="DR322" s="115" t="str">
        <f>_xlfn.XLOOKUP(ППД5[[#This Row],[№]],Юрист[№ кв],Юрист[МОП],"",0,-1)</f>
        <v/>
      </c>
      <c r="DS322" s="333" t="s">
        <v>2936</v>
      </c>
      <c r="DT322" s="333" t="s">
        <v>2937</v>
      </c>
      <c r="DU322" s="333">
        <v>69.8</v>
      </c>
      <c r="DV322" s="111"/>
    </row>
    <row r="323" spans="1:126" hidden="1" x14ac:dyDescent="0.25">
      <c r="A323" s="112">
        <v>321</v>
      </c>
      <c r="B323" s="111" t="s">
        <v>3</v>
      </c>
      <c r="C323" s="111">
        <v>15</v>
      </c>
      <c r="D323" s="111">
        <v>2</v>
      </c>
      <c r="E323" s="111">
        <v>0</v>
      </c>
      <c r="F323" s="105">
        <v>7.18</v>
      </c>
      <c r="G323" s="105"/>
      <c r="H323" s="105"/>
      <c r="I323" s="94">
        <f>SUM(ППД5[[#This Row],[Комната 1]:[Комната 3]])</f>
        <v>7.18</v>
      </c>
      <c r="J323" s="105">
        <v>5.17</v>
      </c>
      <c r="K323" s="105">
        <v>3.72</v>
      </c>
      <c r="L323" s="105"/>
      <c r="M323" s="105"/>
      <c r="N323" s="105">
        <v>6.97</v>
      </c>
      <c r="O323" s="105">
        <v>2.97</v>
      </c>
      <c r="P323" s="105"/>
      <c r="Q323" s="105"/>
      <c r="R323" s="105">
        <f>SUM(ППД5[[#This Row],[Лоджия 1]:[Лоджия 3]])</f>
        <v>2.97</v>
      </c>
      <c r="S323" s="8">
        <f>ROUND(SUM(ППД5[[#This Row],[Площадь по проекту жилая]:[Лоджия 3]]),2)</f>
        <v>26.01</v>
      </c>
      <c r="T323" s="8">
        <f>ROUND(ППД5[[#This Row],[Площадь по проекту(общая)]]-ППД5[[#This Row],[Летние]],2)</f>
        <v>23.04</v>
      </c>
      <c r="U323" s="91">
        <f>ROUND(ППД5[[#This Row],[Площадь по проекту(общая)]]-(SUM(ППД5[[#This Row],[Лоджия 1]:[Лоджия 3]])/2),2)</f>
        <v>24.53</v>
      </c>
      <c r="V323" s="91">
        <f>IF(ППД5[[#This Row],[Статус]]="продажа",ППД5[[#This Row],[Расчетная проектная площадь]],ППД5[[#This Row],[Расчетная ТП площадь]])</f>
        <v>24.53</v>
      </c>
      <c r="W323" s="91">
        <v>7.2</v>
      </c>
      <c r="X323" s="91"/>
      <c r="Y323" s="91"/>
      <c r="Z323" s="91">
        <f>SUM(ППД5[[#This Row],[ТП Комната 1]:[ТП Комната 3]])</f>
        <v>7.2</v>
      </c>
      <c r="AA323" s="91">
        <v>5.2</v>
      </c>
      <c r="AB323" s="91">
        <v>3.6</v>
      </c>
      <c r="AC323" s="91"/>
      <c r="AD323" s="91"/>
      <c r="AE323" s="91">
        <v>6.9</v>
      </c>
      <c r="AF323" s="91">
        <v>1.45</v>
      </c>
      <c r="AG323" s="91"/>
      <c r="AH323" s="91"/>
      <c r="AI323" s="91">
        <f>SUM(ППД5[[#This Row],[ТП Лоджия 1]:[ТП Лоджия 3]])</f>
        <v>1.45</v>
      </c>
      <c r="AJ323" s="95">
        <v>2.9</v>
      </c>
      <c r="AK323" s="91">
        <f>SUM(ППД5[[#This Row],[Площадь по ТП жилая]:[ТП Лоджия 3]])-ППД5[[#This Row],[ТП Летние]]+ППД5[[#This Row],[кроме того прочая
(без коэффициента)]]</f>
        <v>25.799999999999997</v>
      </c>
      <c r="AL323" s="95">
        <f>ППД5[[#This Row],[ТП Площадь без летних]]+(ППД5[[#This Row],[ТП Летние]])</f>
        <v>24.349999999999998</v>
      </c>
      <c r="AM323" s="91">
        <f>ППД5[[#This Row],[ТП общая S]]-ППД5[[#This Row],[кроме того прочая
(без коэффициента)]]</f>
        <v>22.9</v>
      </c>
      <c r="AN323" s="95">
        <f>SUM(ППД5[[#This Row],[ТП Кухня]:[ТП Коридор]])</f>
        <v>15.700000000000001</v>
      </c>
      <c r="AO323" s="91">
        <f>ППД5[[#This Row],[Расчетная ТП площадь]]-ППД5[[#This Row],[Расчетная проектная площадь]]</f>
        <v>-0.18000000000000327</v>
      </c>
      <c r="AP323" s="335">
        <f>ППД5[[#This Row],[Расчетная ТП площадь]]/ППД5[[#This Row],[Расчетная проектная площадь]]-1</f>
        <v>-7.3379535262945161E-3</v>
      </c>
      <c r="AQ323" s="91">
        <f>ППД5[[#This Row],[% расхождения]]*ППД5[[#This Row],[Стоимость до скидки]]</f>
        <v>-23454.30085609516</v>
      </c>
      <c r="AR323" s="91">
        <f>VLOOKUP(ППД5[[#This Row],[№]],наценкад5[],COLUMN(наценкад5[[#This Row],[Цена м2 с учетом всех K]]),0)</f>
        <v>91981.574999999997</v>
      </c>
      <c r="AS323" s="8">
        <f>ППД5[[#This Row],[м2 после К]]*5%</f>
        <v>4599.0787499999997</v>
      </c>
      <c r="AT323" s="8">
        <f>ППД5[[#This Row],[м2 после К]]+ППД5[[#This Row],[Повышение 16.08.23 - 5%]]</f>
        <v>96580.653749999998</v>
      </c>
      <c r="AU323" s="93">
        <f>ППД5[[#This Row],[Фикс 16.08.23]]*3%</f>
        <v>2897.4196124999999</v>
      </c>
      <c r="AV323" s="93">
        <f>ППД5[[#This Row],[Фикс 16.08.23]]+ППД5[[#This Row],[Повышение 29.08.23 - 3%]]</f>
        <v>99478.073362499999</v>
      </c>
      <c r="AW323" s="93">
        <f>ППД5[[#This Row],[Фикс 29.08.23]]*13%</f>
        <v>12932.149537125</v>
      </c>
      <c r="AX323" s="93">
        <f>ППД5[[#This Row],[Фикс 29.08.23]]+ППД5[[#This Row],[Повышение 06.09.23 СТ и 1К]]</f>
        <v>112410.22289962501</v>
      </c>
      <c r="AY323" s="93">
        <f>ППД5[[#This Row],[Фикс 06.09.23]]*3%</f>
        <v>3372.3066869887502</v>
      </c>
      <c r="AZ323" s="93">
        <f>ППД5[[#This Row],[Повышение 23.10.23  В4 ]]+ППД5[[#This Row],[Фикс 06.09.23]]</f>
        <v>115782.52958661376</v>
      </c>
      <c r="BA323" s="93"/>
      <c r="BB323" s="93">
        <f>ППД5[[#This Row],[Повышение 8.11.23 1К 5%]]+ППД5[[#This Row],[Фикс 23.10.23]]</f>
        <v>115782.52958661376</v>
      </c>
      <c r="BC323" s="93"/>
      <c r="BD323" s="93">
        <f>ППД5[[#This Row],[Корректировка 24.11.23 - 1К В5, 2К А2, №233]]+ППД5[[#This Row],[Фикс 8.11.23]]</f>
        <v>115782.52958661376</v>
      </c>
      <c r="BE323" s="93">
        <f>ППД5[[#This Row],[Фикс 8.11.24]]*1%</f>
        <v>1157.8252958661376</v>
      </c>
      <c r="BF323" s="93">
        <f>ППД5[[#This Row],[Наценка за отделку 29.12.23 1%]]+ППД5[[#This Row],[Фикс 8.11.24]]</f>
        <v>116940.35488247989</v>
      </c>
      <c r="BG323" s="93">
        <f>ППД5[[#This Row],[Фикс 29.12.23]]*5%</f>
        <v>5847.0177441239948</v>
      </c>
      <c r="BH323" s="93">
        <f>ППД5[[#This Row],[Фикс 29.12.23]]+ППД5[[#This Row],[Наценка 10.01.24 5%]]</f>
        <v>122787.37262660389</v>
      </c>
      <c r="BI323" s="93"/>
      <c r="BJ323" s="93">
        <f>ППД5[[#This Row],[Наценка 26.02.24 1 Этаж]]+ППД5[[#This Row],[Фикс 10.01.24]]</f>
        <v>122787.37262660389</v>
      </c>
      <c r="BK323" s="93">
        <f>ППД5[[#This Row],[Фикс 26.02.24]]*3%</f>
        <v>3683.6211787981165</v>
      </c>
      <c r="BL323" s="93">
        <f>ППД5[[#This Row],[Фикс 26.02.24]]+ППД5[[#This Row],[Наценка 06.03.24
СТ, 1К - 3%
2К, 3К - 2%]]</f>
        <v>126470.993805402</v>
      </c>
      <c r="BM323" s="93"/>
      <c r="BN323" s="93">
        <f>ППД5[[#This Row],[Фикс 06.03.24]]+ППД5[[#This Row],[Наценка Г2+500]]</f>
        <v>126470.993805402</v>
      </c>
      <c r="BO323" s="93"/>
      <c r="BP323" s="93">
        <f>ППД5[[#This Row],[Фикс 13.03.25]]+ППД5[[#This Row],[Наценка 20.03.24
2К, 3К - 2%]]</f>
        <v>126470.993805402</v>
      </c>
      <c r="BQ323" s="93"/>
      <c r="BR323" s="93">
        <f>ППД5[[#This Row],[Фикс 20.03.24]]+ППД5[[#This Row],[Наценка 08.04.24 
2К: В3 - 150
3К: Г7 +1000]]</f>
        <v>126470.993805402</v>
      </c>
      <c r="BS323" s="93">
        <f>ППД5[[#This Row],[Фикс 08.04.24]]*1%</f>
        <v>1264.7099380540201</v>
      </c>
      <c r="BT323" s="93">
        <f>ППД5[[#This Row],[Фикс 08.04.24]]+ППД5[[#This Row],[Наценка 16.05.24 1%
А4,А6,Б3,Б6,Б7,В2,В3,В5,В6,Г1,Г3-Г5]]</f>
        <v>127735.70374345602</v>
      </c>
      <c r="BU323" s="93"/>
      <c r="BV323" s="93">
        <f>ППД5[[#This Row],[Фикс 16.05.24]]+ППД5[[#This Row],[Наценка 24.05.24
1% - Б4, Б5,Г2,Г6
2% - А1,А3,А5,Б2,Г7]]</f>
        <v>127735.70374345602</v>
      </c>
      <c r="BW323" s="93">
        <f>ППД5[[#This Row],[Фикс 24.05.24]]*0.5%</f>
        <v>638.6785187172801</v>
      </c>
      <c r="BX323" s="93">
        <f>ППД5[[#This Row],[Наценка 06.06.24
0К: В2,Г3 +0,5%
1К: А7, Б5/4, Г6 +0,5%
3К: В6 +0,5%
1К: А3 +1%]]+ППД5[[#This Row],[Фикс 24.05.24]]</f>
        <v>128374.3822621733</v>
      </c>
      <c r="BY323" s="93"/>
      <c r="BZ323" s="93">
        <f>ППД5[[#This Row],[Фикс 06.06.24]]+ППД5[[#This Row],[13.06.2024
3К - 2%]]</f>
        <v>128374.3822621733</v>
      </c>
      <c r="CA323" s="93">
        <f>1.5%*ППД5[[#This Row],[Фикс 13.06.24]]</f>
        <v>1925.6157339325994</v>
      </c>
      <c r="CB323" s="93">
        <f>ППД5[[#This Row],[02.07.2024: Г3 А1 А3 Б5 Б7 Г2 Г6 Б3 Б4 В3 Г7 2,5% ост 0,5-1,5%]]+ППД5[[#This Row],[Фикс 13.06.24]]</f>
        <v>130299.9979961059</v>
      </c>
      <c r="CC323" s="93"/>
      <c r="CD323" s="93">
        <f>ППД5[[#This Row],[Фикс 02.07.24]]+ППД5[[#This Row],[04.09.2024 +500
0К - Б2; 1К - А3;
2К - А6, Б4, В3, Г5]]</f>
        <v>130299.9979961059</v>
      </c>
      <c r="CE323" s="93"/>
      <c r="CF323" s="93">
        <f>ППД5[[#This Row],[Наценка 16.09.2024
1К: А1,В7,Г6/7,Г8 - 2%
2К: А4,А5,А6,Б1,Б6,Б3/4,В3,В4,Г4,Г5 - 4%
3К: 4%]]+ППД5[[#This Row],[Фикс 04.09.24]]</f>
        <v>130299.9979961059</v>
      </c>
      <c r="CG323" s="93"/>
      <c r="CH323" s="93">
        <f>ППД5[[#This Row],[Фикс 16.09.2024]]+ППД5[[#This Row],[Наценка 01.11.24
СТ: 4%
1К: 34-40м 5%; 40м+ 8%; МГН 1%
2К: 55-70м 6%; 70-73м 7%; 73-76м 8% 
3К: 5%]]</f>
        <v>130299.9979961059</v>
      </c>
      <c r="CI323" s="93"/>
      <c r="CJ323" s="93">
        <f>ППД5[[#This Row],[Наценка 06.11 13%]]+ППД5[[#This Row],[Фикс 01.11.24]]</f>
        <v>130299.9979961059</v>
      </c>
      <c r="CK323" s="93"/>
      <c r="CL323" s="93">
        <f>ППД5[[#This Row],[Фикс 06.11.24]]+ППД5[[#This Row],[Наценка 18.12.24 распределение КВ]]</f>
        <v>130299.9979961059</v>
      </c>
      <c r="CM323" s="93"/>
      <c r="CN323" s="93">
        <f>ППД5[[#This Row],[Фикс 18.12.24]]+ППД5[[#This Row],[Наценка 10.02.25 +1%
1К: А3
2К: Б3, В3]]</f>
        <v>130299.9979961059</v>
      </c>
      <c r="CO323" s="93">
        <f>ROUND(ППД5[[#This Row],[Фикс 10.02.25]],2)</f>
        <v>130300</v>
      </c>
      <c r="CP32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3196300</v>
      </c>
      <c r="CQ323" s="93">
        <f>ROUNDUP(ППД5[[#This Row],[Стоимость до скидки]]+ППД5[[#This Row],[Сумма доплаты]],-2)</f>
        <v>3172900</v>
      </c>
      <c r="CR323" s="68"/>
      <c r="CS323" s="90"/>
      <c r="CT323" s="68">
        <f>ППД5[[#This Row],[Стоимость до скидки]]*ППД5[[#This Row],[Скидка %]]+ППД5[[#This Row],[Скидка фиксированная]]</f>
        <v>0</v>
      </c>
      <c r="CU323" s="3">
        <f>ППД5[[#This Row],[Стоимость ОН без отделки со скидкой]]/ППД5[[#This Row],[Расчетная проектная площадь]]</f>
        <v>130301.67142274765</v>
      </c>
      <c r="CV323" s="3">
        <f>ROUND(ППД5[[#This Row],[Стоимость до скидки]]-ППД5[[#This Row],[Итоговая сумма скидки]],2)</f>
        <v>3196300</v>
      </c>
      <c r="CW32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23" s="197">
        <v>20000</v>
      </c>
      <c r="CY323" s="332">
        <f>ППД5[[#This Row],[Расхождение]]/ППД5[[#This Row],[Расчетная проектная площадь]]</f>
        <v>-7.3379535262944667E-3</v>
      </c>
      <c r="CZ32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-0.16000000000000014</v>
      </c>
      <c r="DA323" s="3">
        <f>ППД5[[#This Row],[Цена м2 без отделки со скидкой]]+ППД5[[#This Row],[Стоимость отделки]]</f>
        <v>150301.67142274766</v>
      </c>
      <c r="DB323" s="3">
        <f>ППД5[[#This Row],[Стоимость квартиры с отделкой]]-ППД5[[#This Row],[Стоимость ОН без отделки со скидкой]]</f>
        <v>490600.00000000047</v>
      </c>
      <c r="DC323" s="3">
        <f>ППД5[[#This Row],[Цена м2 с отделкой]]*ППД5[[#This Row],[Расчетная проектная площадь]]</f>
        <v>3686900.0000000005</v>
      </c>
      <c r="DD323" s="3"/>
      <c r="DE323" s="212"/>
      <c r="DF323" s="199" t="s">
        <v>172</v>
      </c>
      <c r="DG323" s="245" t="s">
        <v>172</v>
      </c>
      <c r="DH323" s="100" t="b">
        <f>EXACT(ППД5[[#This Row],[Статусы CRM]],ППД5[[#This Row],[Статус]])</f>
        <v>1</v>
      </c>
      <c r="DI323" s="213" t="s">
        <v>495</v>
      </c>
      <c r="DJ323" s="204"/>
      <c r="DK323" s="111" t="s">
        <v>763</v>
      </c>
      <c r="DL323" s="216" t="s">
        <v>14</v>
      </c>
      <c r="DM323" s="201" t="b">
        <f>ППД5[[#This Row],[Отделка CRM]]=ППД5[[#This Row],[Отделка]]</f>
        <v>1</v>
      </c>
      <c r="DN323" s="203">
        <v>3686900</v>
      </c>
      <c r="DO32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-4.6566128730773926E-10</v>
      </c>
      <c r="DP323" s="207" t="b">
        <f>IF(AND(ППД5[[#This Row],[Статус]]="свободно",ППД5[[#This Row],[Итоговая сумма скидки]]&lt;&gt;0),FALSE,TRUE)</f>
        <v>1</v>
      </c>
      <c r="DQ323" s="240">
        <f>_xlfn.XLOOKUP(ППД5[[#This Row],[№]],Юрист[№ кв],Юрист[Дата подачи на регистрацию]," ",0,-1)</f>
        <v>45533</v>
      </c>
      <c r="DR323" s="115" t="str">
        <f>_xlfn.XLOOKUP(ППД5[[#This Row],[№]],Юрист[№ кв],Юрист[МОП],"",0,-1)</f>
        <v>Дик</v>
      </c>
      <c r="DS323" s="333" t="s">
        <v>2938</v>
      </c>
      <c r="DT323" s="333" t="s">
        <v>2939</v>
      </c>
      <c r="DU323" s="333">
        <v>22.9</v>
      </c>
      <c r="DV323" s="111"/>
    </row>
    <row r="324" spans="1:126" hidden="1" x14ac:dyDescent="0.25">
      <c r="A324" s="112">
        <v>322</v>
      </c>
      <c r="B324" s="111" t="s">
        <v>3</v>
      </c>
      <c r="C324" s="111">
        <v>15</v>
      </c>
      <c r="D324" s="111">
        <v>3</v>
      </c>
      <c r="E324" s="111">
        <v>2</v>
      </c>
      <c r="F324" s="105">
        <v>13.69</v>
      </c>
      <c r="G324" s="105">
        <v>10.16</v>
      </c>
      <c r="H324" s="105"/>
      <c r="I324" s="94">
        <f>SUM(ППД5[[#This Row],[Комната 1]:[Комната 3]])</f>
        <v>23.85</v>
      </c>
      <c r="J324" s="105">
        <v>18.71</v>
      </c>
      <c r="K324" s="105">
        <v>3.49</v>
      </c>
      <c r="L324" s="105">
        <v>2.11</v>
      </c>
      <c r="M324" s="105"/>
      <c r="N324" s="105">
        <v>7.09</v>
      </c>
      <c r="O324" s="105">
        <v>2.65</v>
      </c>
      <c r="P324" s="105"/>
      <c r="Q324" s="105"/>
      <c r="R324" s="105">
        <f>SUM(ППД5[[#This Row],[Лоджия 1]:[Лоджия 3]])</f>
        <v>2.65</v>
      </c>
      <c r="S324" s="8">
        <f>ROUND(SUM(ППД5[[#This Row],[Площадь по проекту жилая]:[Лоджия 3]]),2)</f>
        <v>57.9</v>
      </c>
      <c r="T324" s="8">
        <f>ROUND(ППД5[[#This Row],[Площадь по проекту(общая)]]-ППД5[[#This Row],[Летние]],2)</f>
        <v>55.25</v>
      </c>
      <c r="U324" s="91">
        <f>ROUND(ППД5[[#This Row],[Площадь по проекту(общая)]]-(SUM(ППД5[[#This Row],[Лоджия 1]:[Лоджия 3]])/2),2)</f>
        <v>56.58</v>
      </c>
      <c r="V324" s="91">
        <f>IF(ППД5[[#This Row],[Статус]]="продажа",ППД5[[#This Row],[Расчетная проектная площадь]],ППД5[[#This Row],[Расчетная ТП площадь]])</f>
        <v>56.58</v>
      </c>
      <c r="W324" s="91">
        <v>13.6</v>
      </c>
      <c r="X324" s="91">
        <v>10</v>
      </c>
      <c r="Y324" s="91"/>
      <c r="Z324" s="91">
        <f>SUM(ППД5[[#This Row],[ТП Комната 1]:[ТП Комната 3]])</f>
        <v>23.6</v>
      </c>
      <c r="AA324" s="91">
        <v>18.8</v>
      </c>
      <c r="AB324" s="91">
        <v>3.6</v>
      </c>
      <c r="AC324" s="91">
        <v>2.1</v>
      </c>
      <c r="AD324" s="91"/>
      <c r="AE324" s="91">
        <v>7</v>
      </c>
      <c r="AF324" s="91">
        <v>1.3</v>
      </c>
      <c r="AG324" s="91"/>
      <c r="AH324" s="91"/>
      <c r="AI324" s="91">
        <f>SUM(ППД5[[#This Row],[ТП Лоджия 1]:[ТП Лоджия 3]])</f>
        <v>1.3</v>
      </c>
      <c r="AJ324" s="95">
        <v>2.6</v>
      </c>
      <c r="AK324" s="91">
        <f>SUM(ППД5[[#This Row],[Площадь по ТП жилая]:[ТП Лоджия 3]])-ППД5[[#This Row],[ТП Летние]]+ППД5[[#This Row],[кроме того прочая
(без коэффициента)]]</f>
        <v>57.70000000000001</v>
      </c>
      <c r="AL324" s="95">
        <f>ППД5[[#This Row],[ТП Площадь без летних]]+(ППД5[[#This Row],[ТП Летние]])</f>
        <v>56.400000000000006</v>
      </c>
      <c r="AM324" s="91">
        <f>ППД5[[#This Row],[ТП общая S]]-ППД5[[#This Row],[кроме того прочая
(без коэффициента)]]</f>
        <v>55.100000000000009</v>
      </c>
      <c r="AN324" s="95">
        <f>SUM(ППД5[[#This Row],[ТП Кухня]:[ТП Коридор]])</f>
        <v>31.500000000000004</v>
      </c>
      <c r="AO324" s="91">
        <f>ППД5[[#This Row],[Расчетная ТП площадь]]-ППД5[[#This Row],[Расчетная проектная площадь]]</f>
        <v>-0.17999999999999261</v>
      </c>
      <c r="AP324" s="335">
        <f>ППД5[[#This Row],[Расчетная ТП площадь]]/ППД5[[#This Row],[Расчетная проектная площадь]]-1</f>
        <v>-3.1813361611875424E-3</v>
      </c>
      <c r="AQ324" s="91">
        <f>ППД5[[#This Row],[% расхождения]]*ППД5[[#This Row],[Стоимость до скидки]]</f>
        <v>-17249.204665958856</v>
      </c>
      <c r="AR324" s="91">
        <f>VLOOKUP(ППД5[[#This Row],[№]],наценкад5[],COLUMN(наценкад5[[#This Row],[Цена м2 с учетом всех K]]),0)</f>
        <v>80307.864000000001</v>
      </c>
      <c r="AS324" s="8">
        <f>ППД5[[#This Row],[м2 после К]]*5%</f>
        <v>4015.3932000000004</v>
      </c>
      <c r="AT324" s="8">
        <f>ППД5[[#This Row],[м2 после К]]+ППД5[[#This Row],[Повышение 16.08.23 - 5%]]</f>
        <v>84323.257200000007</v>
      </c>
      <c r="AU324" s="93">
        <f>ППД5[[#This Row],[Фикс 16.08.23]]*3%</f>
        <v>2529.6977160000001</v>
      </c>
      <c r="AV324" s="93">
        <f>ППД5[[#This Row],[Фикс 16.08.23]]+ППД5[[#This Row],[Повышение 29.08.23 - 3%]]</f>
        <v>86852.954916000002</v>
      </c>
      <c r="AW324" s="93"/>
      <c r="AX324" s="93">
        <f>ППД5[[#This Row],[Фикс 29.08.23]]+ППД5[[#This Row],[Повышение 06.09.23 СТ и 1К]]</f>
        <v>86852.954916000002</v>
      </c>
      <c r="AY324" s="93"/>
      <c r="AZ324" s="93">
        <f>ППД5[[#This Row],[Повышение 23.10.23  В4 ]]+ППД5[[#This Row],[Фикс 06.09.23]]</f>
        <v>86852.954916000002</v>
      </c>
      <c r="BA324" s="93"/>
      <c r="BB324" s="93">
        <f>ППД5[[#This Row],[Повышение 8.11.23 1К 5%]]+ППД5[[#This Row],[Фикс 23.10.23]]</f>
        <v>86852.954916000002</v>
      </c>
      <c r="BC324" s="93"/>
      <c r="BD324" s="93">
        <f>ППД5[[#This Row],[Корректировка 24.11.23 - 1К В5, 2К А2, №233]]+ППД5[[#This Row],[Фикс 8.11.23]]</f>
        <v>86852.954916000002</v>
      </c>
      <c r="BE324" s="93">
        <f>ППД5[[#This Row],[Фикс 8.11.24]]*1%</f>
        <v>868.52954915999999</v>
      </c>
      <c r="BF324" s="93">
        <f>ППД5[[#This Row],[Наценка за отделку 29.12.23 1%]]+ППД5[[#This Row],[Фикс 8.11.24]]</f>
        <v>87721.48446516</v>
      </c>
      <c r="BG324" s="93">
        <f>ППД5[[#This Row],[Фикс 29.12.23]]*5%</f>
        <v>4386.0742232580005</v>
      </c>
      <c r="BH324" s="93">
        <f>ППД5[[#This Row],[Фикс 29.12.23]]+ППД5[[#This Row],[Наценка 10.01.24 5%]]</f>
        <v>92107.558688417994</v>
      </c>
      <c r="BI324" s="93"/>
      <c r="BJ324" s="93">
        <f>ППД5[[#This Row],[Наценка 26.02.24 1 Этаж]]+ППД5[[#This Row],[Фикс 10.01.24]]</f>
        <v>92107.558688417994</v>
      </c>
      <c r="BK324" s="93">
        <f>ППД5[[#This Row],[Фикс 26.02.24]]*2%</f>
        <v>1842.15117376836</v>
      </c>
      <c r="BL324" s="93">
        <f>ППД5[[#This Row],[Фикс 26.02.24]]+ППД5[[#This Row],[Наценка 06.03.24
СТ, 1К - 3%
2К, 3К - 2%]]</f>
        <v>93949.709862186355</v>
      </c>
      <c r="BM324" s="93"/>
      <c r="BN324" s="93">
        <f>ППД5[[#This Row],[Фикс 06.03.24]]+ППД5[[#This Row],[Наценка Г2+500]]</f>
        <v>93949.709862186355</v>
      </c>
      <c r="BO324" s="93">
        <f>ППД5[[#This Row],[Фикс 13.03.25]]*2%</f>
        <v>1878.9941972437271</v>
      </c>
      <c r="BP324" s="93">
        <f>ППД5[[#This Row],[Фикс 13.03.25]]+ППД5[[#This Row],[Наценка 20.03.24
2К, 3К - 2%]]</f>
        <v>95828.704059430078</v>
      </c>
      <c r="BQ324" s="93"/>
      <c r="BR324" s="93">
        <f>ППД5[[#This Row],[Фикс 20.03.24]]+ППД5[[#This Row],[Наценка 08.04.24 
2К: В3 - 150
3К: Г7 +1000]]</f>
        <v>95828.704059430078</v>
      </c>
      <c r="BS324" s="93"/>
      <c r="BT324" s="93">
        <f>ППД5[[#This Row],[Фикс 08.04.24]]+ППД5[[#This Row],[Наценка 16.05.24 1%
А4,А6,Б3,Б6,Б7,В2,В3,В5,В6,Г1,Г3-Г5]]</f>
        <v>95828.704059430078</v>
      </c>
      <c r="BU324" s="93"/>
      <c r="BV324" s="93">
        <f>ППД5[[#This Row],[Фикс 16.05.24]]+ППД5[[#This Row],[Наценка 24.05.24
1% - Б4, Б5,Г2,Г6
2% - А1,А3,А5,Б2,Г7]]</f>
        <v>95828.704059430078</v>
      </c>
      <c r="BW324" s="93"/>
      <c r="BX324" s="93">
        <f>ППД5[[#This Row],[Наценка 06.06.24
0К: В2,Г3 +0,5%
1К: А7, Б5/4, Г6 +0,5%
3К: В6 +0,5%
1К: А3 +1%]]+ППД5[[#This Row],[Фикс 24.05.24]]</f>
        <v>95828.704059430078</v>
      </c>
      <c r="BY324" s="93"/>
      <c r="BZ324" s="93">
        <f>ППД5[[#This Row],[Фикс 06.06.24]]+ППД5[[#This Row],[13.06.2024
3К - 2%]]</f>
        <v>95828.704059430078</v>
      </c>
      <c r="CA324" s="93"/>
      <c r="CB324" s="93">
        <f>ППД5[[#This Row],[02.07.2024: Г3 А1 А3 Б5 Б7 Г2 Г6 Б3 Б4 В3 Г7 2,5% ост 0,5-1,5%]]+ППД5[[#This Row],[Фикс 13.06.24]]</f>
        <v>95828.704059430078</v>
      </c>
      <c r="CC324" s="93"/>
      <c r="CD324" s="93">
        <f>ППД5[[#This Row],[Фикс 02.07.24]]+ППД5[[#This Row],[04.09.2024 +500
0К - Б2; 1К - А3;
2К - А6, Б4, В3, Г5]]</f>
        <v>95828.704059430078</v>
      </c>
      <c r="CE324" s="93"/>
      <c r="CF324" s="93">
        <f>ППД5[[#This Row],[Наценка 16.09.2024
1К: А1,В7,Г6/7,Г8 - 2%
2К: А4,А5,А6,Б1,Б6,Б3/4,В3,В4,Г4,Г5 - 4%
3К: 4%]]+ППД5[[#This Row],[Фикс 04.09.24]]</f>
        <v>95828.704059430078</v>
      </c>
      <c r="CG324" s="93"/>
      <c r="CH324" s="93">
        <f>ППД5[[#This Row],[Фикс 16.09.2024]]+ППД5[[#This Row],[Наценка 01.11.24
СТ: 4%
1К: 34-40м 5%; 40м+ 8%; МГН 1%
2К: 55-70м 6%; 70-73м 7%; 73-76м 8% 
3К: 5%]]</f>
        <v>95828.704059430078</v>
      </c>
      <c r="CI324" s="93"/>
      <c r="CJ324" s="93">
        <f>ППД5[[#This Row],[Наценка 06.11 13%]]+ППД5[[#This Row],[Фикс 01.11.24]]</f>
        <v>95828.704059430078</v>
      </c>
      <c r="CK324" s="93"/>
      <c r="CL324" s="93">
        <f>ППД5[[#This Row],[Фикс 06.11.24]]+ППД5[[#This Row],[Наценка 18.12.24 распределение КВ]]</f>
        <v>95828.704059430078</v>
      </c>
      <c r="CM324" s="93"/>
      <c r="CN324" s="93">
        <f>ППД5[[#This Row],[Фикс 18.12.24]]+ППД5[[#This Row],[Наценка 10.02.25 +1%
1К: А3
2К: Б3, В3]]</f>
        <v>95828.704059430078</v>
      </c>
      <c r="CO324" s="93">
        <f>ROUND(ППД5[[#This Row],[Фикс 10.02.25]],2)</f>
        <v>95828.7</v>
      </c>
      <c r="CP32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5422000</v>
      </c>
      <c r="CQ324" s="93">
        <f>ROUNDUP(ППД5[[#This Row],[Стоимость до скидки]]+ППД5[[#This Row],[Сумма доплаты]],-2)</f>
        <v>5404800</v>
      </c>
      <c r="CR324" s="68">
        <v>90000</v>
      </c>
      <c r="CS324" s="90"/>
      <c r="CT324" s="68">
        <f>ППД5[[#This Row],[Стоимость до скидки]]*ППД5[[#This Row],[Скидка %]]+ППД5[[#This Row],[Скидка фиксированная]]</f>
        <v>90000</v>
      </c>
      <c r="CU324" s="3">
        <f>ППД5[[#This Row],[Стоимость ОН без отделки со скидкой]]/ППД5[[#This Row],[Расчетная проектная площадь]]</f>
        <v>94238.246730293395</v>
      </c>
      <c r="CV324" s="3">
        <f>ROUND(ППД5[[#This Row],[Стоимость до скидки]]-ППД5[[#This Row],[Итоговая сумма скидки]],2)</f>
        <v>5332000</v>
      </c>
      <c r="CW32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24" s="197">
        <v>20000</v>
      </c>
      <c r="CY324" s="332">
        <f>ППД5[[#This Row],[Расхождение]]/ППД5[[#This Row],[Расчетная проектная площадь]]</f>
        <v>-3.1813361611875684E-3</v>
      </c>
      <c r="CZ32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0.10000000000000142</v>
      </c>
      <c r="DA324" s="3">
        <f>ППД5[[#This Row],[Цена м2 без отделки со скидкой]]+ППД5[[#This Row],[Стоимость отделки]]</f>
        <v>114238.24673029339</v>
      </c>
      <c r="DB324" s="3">
        <f>ППД5[[#This Row],[Стоимость квартиры с отделкой]]-ППД5[[#This Row],[Стоимость ОН без отделки со скидкой]]</f>
        <v>1131600</v>
      </c>
      <c r="DC324" s="3">
        <f>ППД5[[#This Row],[Цена м2 с отделкой]]*ППД5[[#This Row],[Расчетная проектная площадь]]</f>
        <v>6463600</v>
      </c>
      <c r="DD324" s="3" t="s">
        <v>154</v>
      </c>
      <c r="DE324" s="111" t="s">
        <v>791</v>
      </c>
      <c r="DF324" s="199" t="s">
        <v>172</v>
      </c>
      <c r="DG324" s="245" t="s">
        <v>172</v>
      </c>
      <c r="DH324" s="100" t="b">
        <f>EXACT(ППД5[[#This Row],[Статусы CRM]],ППД5[[#This Row],[Статус]])</f>
        <v>1</v>
      </c>
      <c r="DI324" s="213" t="s">
        <v>496</v>
      </c>
      <c r="DJ324" s="204"/>
      <c r="DK324" s="111" t="s">
        <v>763</v>
      </c>
      <c r="DL324" s="216" t="s">
        <v>14</v>
      </c>
      <c r="DM324" s="201" t="b">
        <f>ППД5[[#This Row],[Отделка CRM]]=ППД5[[#This Row],[Отделка]]</f>
        <v>1</v>
      </c>
      <c r="DN324" s="203">
        <v>6463600</v>
      </c>
      <c r="DO32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24" s="207" t="b">
        <f>IF(AND(ППД5[[#This Row],[Статус]]="свободно",ППД5[[#This Row],[Итоговая сумма скидки]]&lt;&gt;0),FALSE,TRUE)</f>
        <v>1</v>
      </c>
      <c r="DQ324" s="240">
        <f>_xlfn.XLOOKUP(ППД5[[#This Row],[№]],Юрист[№ кв],Юрист[Дата подачи на регистрацию]," ",0,-1)</f>
        <v>45394</v>
      </c>
      <c r="DR324" s="115" t="str">
        <f>_xlfn.XLOOKUP(ППД5[[#This Row],[№]],Юрист[№ кв],Юрист[МОП],"",0,-1)</f>
        <v>Никишов</v>
      </c>
      <c r="DS324" s="333" t="s">
        <v>2940</v>
      </c>
      <c r="DT324" s="333" t="s">
        <v>2941</v>
      </c>
      <c r="DU324" s="333">
        <v>55.1</v>
      </c>
      <c r="DV324" s="111"/>
    </row>
    <row r="325" spans="1:126" hidden="1" x14ac:dyDescent="0.25">
      <c r="A325" s="112">
        <v>323</v>
      </c>
      <c r="B325" s="111" t="s">
        <v>3</v>
      </c>
      <c r="C325" s="111">
        <v>15</v>
      </c>
      <c r="D325" s="111">
        <v>4</v>
      </c>
      <c r="E325" s="111">
        <v>2</v>
      </c>
      <c r="F325" s="105">
        <v>15.45</v>
      </c>
      <c r="G325" s="105">
        <v>10.34</v>
      </c>
      <c r="H325" s="105"/>
      <c r="I325" s="94">
        <f>SUM(ППД5[[#This Row],[Комната 1]:[Комната 3]])</f>
        <v>25.79</v>
      </c>
      <c r="J325" s="105">
        <v>15.44</v>
      </c>
      <c r="K325" s="105">
        <v>4.59</v>
      </c>
      <c r="L325" s="105">
        <v>2.21</v>
      </c>
      <c r="M325" s="105"/>
      <c r="N325" s="105">
        <v>10.79</v>
      </c>
      <c r="O325" s="105">
        <v>2.84</v>
      </c>
      <c r="P325" s="105"/>
      <c r="Q325" s="105"/>
      <c r="R325" s="105">
        <f>SUM(ППД5[[#This Row],[Лоджия 1]:[Лоджия 3]])</f>
        <v>2.84</v>
      </c>
      <c r="S325" s="8">
        <f>ROUND(SUM(ППД5[[#This Row],[Площадь по проекту жилая]:[Лоджия 3]]),2)</f>
        <v>61.66</v>
      </c>
      <c r="T325" s="8">
        <f>ROUND(ППД5[[#This Row],[Площадь по проекту(общая)]]-ППД5[[#This Row],[Летние]],2)</f>
        <v>58.82</v>
      </c>
      <c r="U325" s="91">
        <f>ROUND(ППД5[[#This Row],[Площадь по проекту(общая)]]-(SUM(ППД5[[#This Row],[Лоджия 1]:[Лоджия 3]])/2),2)</f>
        <v>60.24</v>
      </c>
      <c r="V325" s="91">
        <f>IF(ППД5[[#This Row],[Статус]]="продажа",ППД5[[#This Row],[Расчетная проектная площадь]],ППД5[[#This Row],[Расчетная ТП площадь]])</f>
        <v>60.24</v>
      </c>
      <c r="W325" s="91">
        <v>15.5</v>
      </c>
      <c r="X325" s="91">
        <v>10.3</v>
      </c>
      <c r="Y325" s="91"/>
      <c r="Z325" s="91">
        <f>SUM(ППД5[[#This Row],[ТП Комната 1]:[ТП Комната 3]])</f>
        <v>25.8</v>
      </c>
      <c r="AA325" s="91">
        <v>15.3</v>
      </c>
      <c r="AB325" s="91">
        <v>4.5999999999999996</v>
      </c>
      <c r="AC325" s="91">
        <v>2.2000000000000002</v>
      </c>
      <c r="AD325" s="91"/>
      <c r="AE325" s="91">
        <v>10.8</v>
      </c>
      <c r="AF325" s="91">
        <v>1.45</v>
      </c>
      <c r="AG325" s="91"/>
      <c r="AH325" s="91"/>
      <c r="AI325" s="91">
        <f>SUM(ППД5[[#This Row],[ТП Лоджия 1]:[ТП Лоджия 3]])</f>
        <v>1.45</v>
      </c>
      <c r="AJ325" s="95">
        <v>2.9</v>
      </c>
      <c r="AK325" s="91">
        <f>SUM(ППД5[[#This Row],[Площадь по ТП жилая]:[ТП Лоджия 3]])-ППД5[[#This Row],[ТП Летние]]+ППД5[[#This Row],[кроме того прочая
(без коэффициента)]]</f>
        <v>61.6</v>
      </c>
      <c r="AL325" s="95">
        <f>ППД5[[#This Row],[ТП Площадь без летних]]+(ППД5[[#This Row],[ТП Летние]])</f>
        <v>60.150000000000006</v>
      </c>
      <c r="AM325" s="91">
        <f>ППД5[[#This Row],[ТП общая S]]-ППД5[[#This Row],[кроме того прочая
(без коэффициента)]]</f>
        <v>58.7</v>
      </c>
      <c r="AN325" s="95">
        <f>SUM(ППД5[[#This Row],[ТП Кухня]:[ТП Коридор]])</f>
        <v>32.9</v>
      </c>
      <c r="AO325" s="91">
        <f>ППД5[[#This Row],[Расчетная ТП площадь]]-ППД5[[#This Row],[Расчетная проектная площадь]]</f>
        <v>-8.9999999999996305E-2</v>
      </c>
      <c r="AP325" s="335">
        <f>ППД5[[#This Row],[Расчетная ТП площадь]]/ППД5[[#This Row],[Расчетная проектная площадь]]-1</f>
        <v>-1.4940239043823578E-3</v>
      </c>
      <c r="AQ325" s="91">
        <f>ППД5[[#This Row],[% расхождения]]*ППД5[[#This Row],[Стоимость до скидки]]</f>
        <v>-11060.258964142595</v>
      </c>
      <c r="AR325" s="91">
        <f>VLOOKUP(ППД5[[#This Row],[№]],наценкад5[],COLUMN(наценкад5[[#This Row],[Цена м2 с учетом всех K]]),0)</f>
        <v>82238.34150000001</v>
      </c>
      <c r="AS325" s="8">
        <f>ППД5[[#This Row],[м2 после К]]*5%</f>
        <v>4111.9170750000003</v>
      </c>
      <c r="AT325" s="8">
        <f>ППД5[[#This Row],[м2 после К]]+ППД5[[#This Row],[Повышение 16.08.23 - 5%]]</f>
        <v>86350.258575000014</v>
      </c>
      <c r="AU325" s="93">
        <f>ППД5[[#This Row],[Фикс 16.08.23]]*3%</f>
        <v>2590.5077572500004</v>
      </c>
      <c r="AV325" s="93">
        <f>ППД5[[#This Row],[Фикс 16.08.23]]+ППД5[[#This Row],[Повышение 29.08.23 - 3%]]</f>
        <v>88940.766332250016</v>
      </c>
      <c r="AW325" s="93"/>
      <c r="AX325" s="93">
        <f>ППД5[[#This Row],[Фикс 29.08.23]]+ППД5[[#This Row],[Повышение 06.09.23 СТ и 1К]]</f>
        <v>88940.766332250016</v>
      </c>
      <c r="AY325" s="93"/>
      <c r="AZ325" s="93">
        <f>ППД5[[#This Row],[Повышение 23.10.23  В4 ]]+ППД5[[#This Row],[Фикс 06.09.23]]</f>
        <v>88940.766332250016</v>
      </c>
      <c r="BA325" s="93"/>
      <c r="BB325" s="93">
        <f>ППД5[[#This Row],[Повышение 8.11.23 1К 5%]]+ППД5[[#This Row],[Фикс 23.10.23]]</f>
        <v>88940.766332250016</v>
      </c>
      <c r="BC325" s="93"/>
      <c r="BD325" s="93">
        <f>ППД5[[#This Row],[Корректировка 24.11.23 - 1К В5, 2К А2, №233]]+ППД5[[#This Row],[Фикс 8.11.23]]</f>
        <v>88940.766332250016</v>
      </c>
      <c r="BE325" s="93">
        <f>ППД5[[#This Row],[Фикс 8.11.24]]*1%</f>
        <v>889.40766332250018</v>
      </c>
      <c r="BF325" s="93">
        <f>ППД5[[#This Row],[Наценка за отделку 29.12.23 1%]]+ППД5[[#This Row],[Фикс 8.11.24]]</f>
        <v>89830.173995572521</v>
      </c>
      <c r="BG325" s="93">
        <f>ППД5[[#This Row],[Фикс 29.12.23]]*5%</f>
        <v>4491.5086997786266</v>
      </c>
      <c r="BH325" s="93">
        <f>ППД5[[#This Row],[Фикс 29.12.23]]+ППД5[[#This Row],[Наценка 10.01.24 5%]]</f>
        <v>94321.682695351148</v>
      </c>
      <c r="BI325" s="93"/>
      <c r="BJ325" s="93">
        <f>ППД5[[#This Row],[Наценка 26.02.24 1 Этаж]]+ППД5[[#This Row],[Фикс 10.01.24]]</f>
        <v>94321.682695351148</v>
      </c>
      <c r="BK325" s="93">
        <f>ППД5[[#This Row],[Фикс 26.02.24]]*2%</f>
        <v>1886.433653907023</v>
      </c>
      <c r="BL325" s="93">
        <f>ППД5[[#This Row],[Фикс 26.02.24]]+ППД5[[#This Row],[Наценка 06.03.24
СТ, 1К - 3%
2К, 3К - 2%]]</f>
        <v>96208.116349258169</v>
      </c>
      <c r="BM325" s="93"/>
      <c r="BN325" s="93">
        <f>ППД5[[#This Row],[Фикс 06.03.24]]+ППД5[[#This Row],[Наценка Г2+500]]</f>
        <v>96208.116349258169</v>
      </c>
      <c r="BO325" s="93">
        <f>ППД5[[#This Row],[Фикс 13.03.25]]*2%</f>
        <v>1924.1623269851634</v>
      </c>
      <c r="BP325" s="93">
        <f>ППД5[[#This Row],[Фикс 13.03.25]]+ППД5[[#This Row],[Наценка 20.03.24
2К, 3К - 2%]]</f>
        <v>98132.278676243339</v>
      </c>
      <c r="BQ325" s="93"/>
      <c r="BR325" s="93">
        <f>ППД5[[#This Row],[Фикс 20.03.24]]+ППД5[[#This Row],[Наценка 08.04.24 
2К: В3 - 150
3К: Г7 +1000]]</f>
        <v>98132.278676243339</v>
      </c>
      <c r="BS325" s="93"/>
      <c r="BT325" s="93">
        <f>ППД5[[#This Row],[Фикс 08.04.24]]+ППД5[[#This Row],[Наценка 16.05.24 1%
А4,А6,Б3,Б6,Б7,В2,В3,В5,В6,Г1,Г3-Г5]]</f>
        <v>98132.278676243339</v>
      </c>
      <c r="BU325" s="93"/>
      <c r="BV325" s="93">
        <f>ППД5[[#This Row],[Фикс 16.05.24]]+ППД5[[#This Row],[Наценка 24.05.24
1% - Б4, Б5,Г2,Г6
2% - А1,А3,А5,Б2,Г7]]</f>
        <v>98132.278676243339</v>
      </c>
      <c r="BW325" s="93"/>
      <c r="BX325" s="93">
        <f>ППД5[[#This Row],[Наценка 06.06.24
0К: В2,Г3 +0,5%
1К: А7, Б5/4, Г6 +0,5%
3К: В6 +0,5%
1К: А3 +1%]]+ППД5[[#This Row],[Фикс 24.05.24]]</f>
        <v>98132.278676243339</v>
      </c>
      <c r="BY325" s="93"/>
      <c r="BZ325" s="93">
        <f>ППД5[[#This Row],[Фикс 06.06.24]]+ППД5[[#This Row],[13.06.2024
3К - 2%]]</f>
        <v>98132.278676243339</v>
      </c>
      <c r="CA325" s="93">
        <f>0.5%*ППД5[[#This Row],[Фикс 13.06.24]]</f>
        <v>490.66139338121673</v>
      </c>
      <c r="CB325" s="93">
        <f>ППД5[[#This Row],[02.07.2024: Г3 А1 А3 Б5 Б7 Г2 Г6 Б3 Б4 В3 Г7 2,5% ост 0,5-1,5%]]+ППД5[[#This Row],[Фикс 13.06.24]]</f>
        <v>98622.940069624558</v>
      </c>
      <c r="CC325" s="93"/>
      <c r="CD325" s="93">
        <f>ППД5[[#This Row],[Фикс 02.07.24]]+ППД5[[#This Row],[04.09.2024 +500
0К - Б2; 1К - А3;
2К - А6, Б4, В3, Г5]]</f>
        <v>98622.940069624558</v>
      </c>
      <c r="CE325" s="93">
        <f>ППД5[[#This Row],[Фикс 04.09.24]]*4%</f>
        <v>3944.9176027849826</v>
      </c>
      <c r="CF325" s="93">
        <f>ППД5[[#This Row],[Наценка 16.09.2024
1К: А1,В7,Г6/7,Г8 - 2%
2К: А4,А5,А6,Б1,Б6,Б3/4,В3,В4,Г4,Г5 - 4%
3К: 4%]]+ППД5[[#This Row],[Фикс 04.09.24]]</f>
        <v>102567.85767240953</v>
      </c>
      <c r="CG325" s="93">
        <f>ППД5[[#This Row],[Фикс 16.09.2024]]*6%</f>
        <v>6154.0714603445722</v>
      </c>
      <c r="CH325" s="93">
        <f>ППД5[[#This Row],[Фикс 16.09.2024]]+ППД5[[#This Row],[Наценка 01.11.24
СТ: 4%
1К: 34-40м 5%; 40м+ 8%; МГН 1%
2К: 55-70м 6%; 70-73м 7%; 73-76м 8% 
3К: 5%]]</f>
        <v>108721.9291327541</v>
      </c>
      <c r="CI325" s="93">
        <f>ППД5[[#This Row],[Фикс 01.11.24]]*13%</f>
        <v>14133.850787258034</v>
      </c>
      <c r="CJ325" s="93">
        <f>ППД5[[#This Row],[Наценка 06.11 13%]]+ППД5[[#This Row],[Фикс 01.11.24]]</f>
        <v>122855.77992001214</v>
      </c>
      <c r="CK325" s="93">
        <v>35</v>
      </c>
      <c r="CL325" s="93">
        <f>ППД5[[#This Row],[Фикс 06.11.24]]+ППД5[[#This Row],[Наценка 18.12.24 распределение КВ]]</f>
        <v>122890.77992001214</v>
      </c>
      <c r="CM325" s="93"/>
      <c r="CN325" s="93">
        <f>ППД5[[#This Row],[Фикс 18.12.24]]+ППД5[[#This Row],[Наценка 10.02.25 +1%
1К: А3
2К: Б3, В3]]</f>
        <v>122890.77992001214</v>
      </c>
      <c r="CO325" s="93">
        <f>ROUND(ППД5[[#This Row],[Фикс 10.02.25]],2)</f>
        <v>122890.78</v>
      </c>
      <c r="CP32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7403000</v>
      </c>
      <c r="CQ325" s="93">
        <f>ROUNDUP(ППД5[[#This Row],[Стоимость до скидки]]+ППД5[[#This Row],[Сумма доплаты]],-2)</f>
        <v>7392000</v>
      </c>
      <c r="CR325" s="68">
        <v>300000</v>
      </c>
      <c r="CS325" s="90"/>
      <c r="CT325" s="68">
        <f>ППД5[[#This Row],[Стоимость до скидки]]*ППД5[[#This Row],[Скидка %]]+ППД5[[#This Row],[Скидка фиксированная]]</f>
        <v>300000</v>
      </c>
      <c r="CU325" s="3">
        <f>ППД5[[#This Row],[Стоимость ОН без отделки со скидкой]]/ППД5[[#This Row],[Расчетная проектная площадь]]</f>
        <v>117911.68658698539</v>
      </c>
      <c r="CV325" s="3">
        <f>ROUND(ППД5[[#This Row],[Стоимость до скидки]]-ППД5[[#This Row],[Итоговая сумма скидки]],2)</f>
        <v>7103000</v>
      </c>
      <c r="CW32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325" s="197">
        <v>10000</v>
      </c>
      <c r="CY325" s="332">
        <f>ППД5[[#This Row],[Расхождение]]/ППД5[[#This Row],[Расчетная проектная площадь]]</f>
        <v>-1.4940239043824087E-3</v>
      </c>
      <c r="CZ32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-0.13000000000000078</v>
      </c>
      <c r="DA325" s="3">
        <f>ППД5[[#This Row],[Цена м2 без отделки со скидкой]]+ППД5[[#This Row],[Стоимость отделки]]</f>
        <v>127911.68658698539</v>
      </c>
      <c r="DB325" s="3">
        <f>ППД5[[#This Row],[Стоимость квартиры с отделкой]]-ППД5[[#This Row],[Стоимость ОН без отделки со скидкой]]</f>
        <v>602400</v>
      </c>
      <c r="DC325" s="3">
        <f>ППД5[[#This Row],[Цена м2 с отделкой]]*ППД5[[#This Row],[Расчетная проектная площадь]]</f>
        <v>7705400</v>
      </c>
      <c r="DD325" s="3"/>
      <c r="DE325" s="111" t="s">
        <v>2114</v>
      </c>
      <c r="DF325" s="155" t="s">
        <v>172</v>
      </c>
      <c r="DG325" s="221" t="s">
        <v>172</v>
      </c>
      <c r="DH325" s="100" t="b">
        <f>EXACT(ППД5[[#This Row],[Статусы CRM]],ППД5[[#This Row],[Статус]])</f>
        <v>1</v>
      </c>
      <c r="DI325" s="213" t="s">
        <v>497</v>
      </c>
      <c r="DJ325" s="204"/>
      <c r="DK325" s="111" t="s">
        <v>763</v>
      </c>
      <c r="DL325" s="216" t="s">
        <v>780</v>
      </c>
      <c r="DM325" s="201" t="b">
        <f>ППД5[[#This Row],[Отделка CRM]]=ППД5[[#This Row],[Отделка]]</f>
        <v>1</v>
      </c>
      <c r="DN325" s="203">
        <v>7705400</v>
      </c>
      <c r="DO32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25" s="207" t="b">
        <f>IF(AND(ППД5[[#This Row],[Статус]]="свободно",ППД5[[#This Row],[Итоговая сумма скидки]]&lt;&gt;0),FALSE,TRUE)</f>
        <v>1</v>
      </c>
      <c r="DQ325" s="240">
        <f>_xlfn.XLOOKUP(ППД5[[#This Row],[№]],Юрист[№ кв],Юрист[Дата подачи на регистрацию]," ",0,-1)</f>
        <v>45772</v>
      </c>
      <c r="DR325" s="115" t="str">
        <f>_xlfn.XLOOKUP(ППД5[[#This Row],[№]],Юрист[№ кв],Юрист[МОП],"",0,-1)</f>
        <v>Полехович</v>
      </c>
      <c r="DS325" s="333" t="s">
        <v>2942</v>
      </c>
      <c r="DT325" s="333" t="s">
        <v>2943</v>
      </c>
      <c r="DU325" s="333">
        <v>58.7</v>
      </c>
      <c r="DV325" s="111"/>
    </row>
    <row r="326" spans="1:126" hidden="1" x14ac:dyDescent="0.25">
      <c r="A326" s="112">
        <v>324</v>
      </c>
      <c r="B326" s="111" t="s">
        <v>3</v>
      </c>
      <c r="C326" s="111">
        <v>15</v>
      </c>
      <c r="D326" s="111">
        <v>5</v>
      </c>
      <c r="E326" s="111">
        <v>1</v>
      </c>
      <c r="F326" s="105">
        <v>12.54</v>
      </c>
      <c r="G326" s="105"/>
      <c r="H326" s="105"/>
      <c r="I326" s="94">
        <f>SUM(ППД5[[#This Row],[Комната 1]:[Комната 3]])</f>
        <v>12.54</v>
      </c>
      <c r="J326" s="105">
        <v>12.74</v>
      </c>
      <c r="K326" s="105">
        <v>4.0199999999999996</v>
      </c>
      <c r="L326" s="105"/>
      <c r="M326" s="105"/>
      <c r="N326" s="105">
        <v>7.09</v>
      </c>
      <c r="O326" s="105">
        <v>2.84</v>
      </c>
      <c r="P326" s="105"/>
      <c r="Q326" s="105"/>
      <c r="R326" s="105">
        <f>SUM(ППД5[[#This Row],[Лоджия 1]:[Лоджия 3]])</f>
        <v>2.84</v>
      </c>
      <c r="S326" s="8">
        <f>ROUND(SUM(ППД5[[#This Row],[Площадь по проекту жилая]:[Лоджия 3]]),2)</f>
        <v>39.229999999999997</v>
      </c>
      <c r="T326" s="8">
        <f>ROUND(ППД5[[#This Row],[Площадь по проекту(общая)]]-ППД5[[#This Row],[Летние]],2)</f>
        <v>36.39</v>
      </c>
      <c r="U326" s="91">
        <f>ROUND(ППД5[[#This Row],[Площадь по проекту(общая)]]-(SUM(ППД5[[#This Row],[Лоджия 1]:[Лоджия 3]])/2),2)</f>
        <v>37.81</v>
      </c>
      <c r="V326" s="91">
        <f>IF(ППД5[[#This Row],[Статус]]="продажа",ППД5[[#This Row],[Расчетная проектная площадь]],ППД5[[#This Row],[Расчетная ТП площадь]])</f>
        <v>37.81</v>
      </c>
      <c r="W326" s="91">
        <v>12.5</v>
      </c>
      <c r="X326" s="91"/>
      <c r="Y326" s="91"/>
      <c r="Z326" s="91">
        <f>SUM(ППД5[[#This Row],[ТП Комната 1]:[ТП Комната 3]])</f>
        <v>12.5</v>
      </c>
      <c r="AA326" s="91">
        <v>12.6</v>
      </c>
      <c r="AB326" s="91">
        <v>4</v>
      </c>
      <c r="AC326" s="91"/>
      <c r="AD326" s="91"/>
      <c r="AE326" s="91">
        <v>6.9</v>
      </c>
      <c r="AF326" s="91">
        <v>1.45</v>
      </c>
      <c r="AG326" s="91"/>
      <c r="AH326" s="91"/>
      <c r="AI326" s="91">
        <f>SUM(ППД5[[#This Row],[ТП Лоджия 1]:[ТП Лоджия 3]])</f>
        <v>1.45</v>
      </c>
      <c r="AJ326" s="95">
        <v>2.9</v>
      </c>
      <c r="AK326" s="91">
        <f>SUM(ППД5[[#This Row],[Площадь по ТП жилая]:[ТП Лоджия 3]])-ППД5[[#This Row],[ТП Летние]]+ППД5[[#This Row],[кроме того прочая
(без коэффициента)]]</f>
        <v>38.9</v>
      </c>
      <c r="AL326" s="95">
        <f>ППД5[[#This Row],[ТП Площадь без летних]]+(ППД5[[#This Row],[ТП Летние]])</f>
        <v>37.450000000000003</v>
      </c>
      <c r="AM326" s="91">
        <f>ППД5[[#This Row],[ТП общая S]]-ППД5[[#This Row],[кроме того прочая
(без коэффициента)]]</f>
        <v>36</v>
      </c>
      <c r="AN326" s="95">
        <f>SUM(ППД5[[#This Row],[ТП Кухня]:[ТП Коридор]])</f>
        <v>23.5</v>
      </c>
      <c r="AO326" s="91">
        <f>ППД5[[#This Row],[Расчетная ТП площадь]]-ППД5[[#This Row],[Расчетная проектная площадь]]</f>
        <v>-0.35999999999999943</v>
      </c>
      <c r="AP326" s="335">
        <f>ППД5[[#This Row],[Расчетная ТП площадь]]/ППД5[[#This Row],[Расчетная проектная площадь]]-1</f>
        <v>-9.5212906638455497E-3</v>
      </c>
      <c r="AQ326" s="91">
        <f>ППД5[[#This Row],[% расхождения]]*ППД5[[#This Row],[Стоимость до скидки]]</f>
        <v>-42014.59931235126</v>
      </c>
      <c r="AR326" s="91">
        <f>VLOOKUP(ППД5[[#This Row],[№]],наценкад5[],COLUMN(наценкад5[[#This Row],[Цена м2 с учетом всех K]]),0)</f>
        <v>89223.75</v>
      </c>
      <c r="AS326" s="8">
        <f>ППД5[[#This Row],[м2 после К]]*5%</f>
        <v>4461.1875</v>
      </c>
      <c r="AT326" s="8">
        <f>ППД5[[#This Row],[м2 после К]]+ППД5[[#This Row],[Повышение 16.08.23 - 5%]]</f>
        <v>93684.9375</v>
      </c>
      <c r="AU326" s="93">
        <f>ППД5[[#This Row],[Фикс 16.08.23]]*3%</f>
        <v>2810.5481249999998</v>
      </c>
      <c r="AV326" s="93">
        <f>ППД5[[#This Row],[Фикс 16.08.23]]+ППД5[[#This Row],[Повышение 29.08.23 - 3%]]</f>
        <v>96495.485625000001</v>
      </c>
      <c r="AW326" s="93">
        <f>ППД5[[#This Row],[Фикс 29.08.23]]*4.5%</f>
        <v>4342.2968531249999</v>
      </c>
      <c r="AX326" s="93">
        <f>ППД5[[#This Row],[Фикс 29.08.23]]+ППД5[[#This Row],[Повышение 06.09.23 СТ и 1К]]</f>
        <v>100837.78247812499</v>
      </c>
      <c r="AY326" s="93"/>
      <c r="AZ326" s="93">
        <f>ППД5[[#This Row],[Повышение 23.10.23  В4 ]]+ППД5[[#This Row],[Фикс 06.09.23]]</f>
        <v>100837.78247812499</v>
      </c>
      <c r="BA326" s="93">
        <f>ППД5[[#This Row],[Фикс 23.10.23]]*5%</f>
        <v>5041.8891239062505</v>
      </c>
      <c r="BB326" s="93">
        <f>ППД5[[#This Row],[Повышение 8.11.23 1К 5%]]+ППД5[[#This Row],[Фикс 23.10.23]]</f>
        <v>105879.67160203125</v>
      </c>
      <c r="BC326" s="93">
        <v>-620</v>
      </c>
      <c r="BD326" s="93">
        <f>ППД5[[#This Row],[Корректировка 24.11.23 - 1К В5, 2К А2, №233]]+ППД5[[#This Row],[Фикс 8.11.23]]</f>
        <v>105259.67160203125</v>
      </c>
      <c r="BE326" s="93">
        <f>ППД5[[#This Row],[Фикс 8.11.24]]*1%</f>
        <v>1052.5967160203124</v>
      </c>
      <c r="BF326" s="93">
        <f>ППД5[[#This Row],[Наценка за отделку 29.12.23 1%]]+ППД5[[#This Row],[Фикс 8.11.24]]</f>
        <v>106312.26831805156</v>
      </c>
      <c r="BG326" s="93">
        <f>ППД5[[#This Row],[Фикс 29.12.23]]*5%</f>
        <v>5315.6134159025787</v>
      </c>
      <c r="BH326" s="93">
        <f>ППД5[[#This Row],[Фикс 29.12.23]]+ППД5[[#This Row],[Наценка 10.01.24 5%]]</f>
        <v>111627.88173395414</v>
      </c>
      <c r="BI326" s="93"/>
      <c r="BJ326" s="93">
        <f>ППД5[[#This Row],[Наценка 26.02.24 1 Этаж]]+ППД5[[#This Row],[Фикс 10.01.24]]</f>
        <v>111627.88173395414</v>
      </c>
      <c r="BK326" s="93">
        <f>ППД5[[#This Row],[Фикс 26.02.24]]*3%</f>
        <v>3348.8364520186242</v>
      </c>
      <c r="BL326" s="93">
        <f>ППД5[[#This Row],[Фикс 26.02.24]]+ППД5[[#This Row],[Наценка 06.03.24
СТ, 1К - 3%
2К, 3К - 2%]]</f>
        <v>114976.71818597277</v>
      </c>
      <c r="BM326" s="93"/>
      <c r="BN326" s="93">
        <f>ППД5[[#This Row],[Фикс 06.03.24]]+ППД5[[#This Row],[Наценка Г2+500]]</f>
        <v>114976.71818597277</v>
      </c>
      <c r="BO326" s="93"/>
      <c r="BP326" s="93">
        <f>ППД5[[#This Row],[Фикс 13.03.25]]+ППД5[[#This Row],[Наценка 20.03.24
2К, 3К - 2%]]</f>
        <v>114976.71818597277</v>
      </c>
      <c r="BQ326" s="93"/>
      <c r="BR326" s="93">
        <f>ППД5[[#This Row],[Фикс 20.03.24]]+ППД5[[#This Row],[Наценка 08.04.24 
2К: В3 - 150
3К: Г7 +1000]]</f>
        <v>114976.71818597277</v>
      </c>
      <c r="BS326" s="93">
        <f>ППД5[[#This Row],[Фикс 08.04.24]]*1%</f>
        <v>1149.7671818597278</v>
      </c>
      <c r="BT326" s="93">
        <f>ППД5[[#This Row],[Фикс 08.04.24]]+ППД5[[#This Row],[Наценка 16.05.24 1%
А4,А6,Б3,Б6,Б7,В2,В3,В5,В6,Г1,Г3-Г5]]</f>
        <v>116126.4853678325</v>
      </c>
      <c r="BU326" s="93"/>
      <c r="BV326" s="93">
        <f>ППД5[[#This Row],[Фикс 16.05.24]]+ППД5[[#This Row],[Наценка 24.05.24
1% - Б4, Б5,Г2,Г6
2% - А1,А3,А5,Б2,Г7]]</f>
        <v>116126.4853678325</v>
      </c>
      <c r="BW326" s="93"/>
      <c r="BX326" s="93">
        <f>ППД5[[#This Row],[Наценка 06.06.24
0К: В2,Г3 +0,5%
1К: А7, Б5/4, Г6 +0,5%
3К: В6 +0,5%
1К: А3 +1%]]+ППД5[[#This Row],[Фикс 24.05.24]]</f>
        <v>116126.4853678325</v>
      </c>
      <c r="BY326" s="93"/>
      <c r="BZ326" s="93">
        <f>ППД5[[#This Row],[Фикс 06.06.24]]+ППД5[[#This Row],[13.06.2024
3К - 2%]]</f>
        <v>116126.4853678325</v>
      </c>
      <c r="CA326" s="93">
        <f>0.5%*ППД5[[#This Row],[Фикс 13.06.24]]</f>
        <v>580.63242683916258</v>
      </c>
      <c r="CB326" s="93">
        <f>ППД5[[#This Row],[02.07.2024: Г3 А1 А3 Б5 Б7 Г2 Г6 Б3 Б4 В3 Г7 2,5% ост 0,5-1,5%]]+ППД5[[#This Row],[Фикс 13.06.24]]</f>
        <v>116707.11779467166</v>
      </c>
      <c r="CC326" s="93"/>
      <c r="CD326" s="93">
        <f>ППД5[[#This Row],[Фикс 02.07.24]]+ППД5[[#This Row],[04.09.2024 +500
0К - Б2; 1К - А3;
2К - А6, Б4, В3, Г5]]</f>
        <v>116707.11779467166</v>
      </c>
      <c r="CE326" s="93"/>
      <c r="CF326" s="93">
        <f>ППД5[[#This Row],[Наценка 16.09.2024
1К: А1,В7,Г6/7,Г8 - 2%
2К: А4,А5,А6,Б1,Б6,Б3/4,В3,В4,Г4,Г5 - 4%
3К: 4%]]+ППД5[[#This Row],[Фикс 04.09.24]]</f>
        <v>116707.11779467166</v>
      </c>
      <c r="CG326" s="93"/>
      <c r="CH326" s="93">
        <f>ППД5[[#This Row],[Фикс 16.09.2024]]+ППД5[[#This Row],[Наценка 01.11.24
СТ: 4%
1К: 34-40м 5%; 40м+ 8%; МГН 1%
2К: 55-70м 6%; 70-73м 7%; 73-76м 8% 
3К: 5%]]</f>
        <v>116707.11779467166</v>
      </c>
      <c r="CI326" s="93"/>
      <c r="CJ326" s="93">
        <f>ППД5[[#This Row],[Наценка 06.11 13%]]+ППД5[[#This Row],[Фикс 01.11.24]]</f>
        <v>116707.11779467166</v>
      </c>
      <c r="CK326" s="93"/>
      <c r="CL326" s="93">
        <f>ППД5[[#This Row],[Фикс 06.11.24]]+ППД5[[#This Row],[Наценка 18.12.24 распределение КВ]]</f>
        <v>116707.11779467166</v>
      </c>
      <c r="CM326" s="93"/>
      <c r="CN326" s="93">
        <f>ППД5[[#This Row],[Фикс 18.12.24]]+ППД5[[#This Row],[Наценка 10.02.25 +1%
1К: А3
2К: Б3, В3]]</f>
        <v>116707.11779467166</v>
      </c>
      <c r="CO326" s="93">
        <f>ROUND(ППД5[[#This Row],[Фикс 10.02.25]],2)</f>
        <v>116707.12</v>
      </c>
      <c r="CP32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4412700</v>
      </c>
      <c r="CQ326" s="93">
        <f>ROUNDUP(ППД5[[#This Row],[Стоимость до скидки]]+ППД5[[#This Row],[Сумма доплаты]],-2)</f>
        <v>4370700</v>
      </c>
      <c r="CR326" s="68"/>
      <c r="CS326" s="90"/>
      <c r="CT326" s="68">
        <f>ППД5[[#This Row],[Стоимость до скидки]]*ППД5[[#This Row],[Скидка %]]+ППД5[[#This Row],[Скидка фиксированная]]</f>
        <v>0</v>
      </c>
      <c r="CU326" s="3">
        <f>ППД5[[#This Row],[Стоимость ОН без отделки со скидкой]]/ППД5[[#This Row],[Расчетная проектная площадь]]</f>
        <v>116707.22031208675</v>
      </c>
      <c r="CV326" s="3">
        <f>ROUND(ППД5[[#This Row],[Стоимость до скидки]]-ППД5[[#This Row],[Итоговая сумма скидки]],2)</f>
        <v>4412700</v>
      </c>
      <c r="CW32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26" s="197"/>
      <c r="CY326" s="332">
        <f>ППД5[[#This Row],[Расхождение]]/ППД5[[#This Row],[Расчетная проектная площадь]]</f>
        <v>-9.5212906638455271E-3</v>
      </c>
      <c r="CZ32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-0.34999999999999964</v>
      </c>
      <c r="DA326" s="3">
        <f>ППД5[[#This Row],[Цена м2 без отделки со скидкой]]+ППД5[[#This Row],[Стоимость отделки]]</f>
        <v>116707.22031208675</v>
      </c>
      <c r="DB326" s="3">
        <f>ППД5[[#This Row],[Стоимость квартиры с отделкой]]-ППД5[[#This Row],[Стоимость ОН без отделки со скидкой]]</f>
        <v>0</v>
      </c>
      <c r="DC326" s="3">
        <f>ППД5[[#This Row],[Цена м2 с отделкой]]*ППД5[[#This Row],[Расчетная проектная площадь]]</f>
        <v>4412700</v>
      </c>
      <c r="DD326" s="3"/>
      <c r="DF326" s="199" t="s">
        <v>172</v>
      </c>
      <c r="DG326" s="245" t="s">
        <v>172</v>
      </c>
      <c r="DH326" s="100" t="b">
        <f>EXACT(ППД5[[#This Row],[Статусы CRM]],ППД5[[#This Row],[Статус]])</f>
        <v>1</v>
      </c>
      <c r="DI326" s="213" t="s">
        <v>498</v>
      </c>
      <c r="DJ326" s="204"/>
      <c r="DK326" s="111" t="s">
        <v>763</v>
      </c>
      <c r="DL326" s="216" t="s">
        <v>12</v>
      </c>
      <c r="DM326" s="201" t="b">
        <f>ППД5[[#This Row],[Отделка CRM]]=ППД5[[#This Row],[Отделка]]</f>
        <v>1</v>
      </c>
      <c r="DN326" s="203">
        <v>4412700</v>
      </c>
      <c r="DO32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26" s="207" t="b">
        <f>IF(AND(ППД5[[#This Row],[Статус]]="свободно",ППД5[[#This Row],[Итоговая сумма скидки]]&lt;&gt;0),FALSE,TRUE)</f>
        <v>1</v>
      </c>
      <c r="DQ326" s="240">
        <f>_xlfn.XLOOKUP(ППД5[[#This Row],[№]],Юрист[№ кв],Юрист[Дата подачи на регистрацию]," ",0,-1)</f>
        <v>45561</v>
      </c>
      <c r="DR326" s="115" t="str">
        <f>_xlfn.XLOOKUP(ППД5[[#This Row],[№]],Юрист[№ кв],Юрист[МОП],"",0,-1)</f>
        <v>Никишов</v>
      </c>
      <c r="DS326" s="333" t="s">
        <v>2944</v>
      </c>
      <c r="DT326" s="333" t="s">
        <v>2945</v>
      </c>
      <c r="DU326" s="333">
        <v>36</v>
      </c>
      <c r="DV326" s="111"/>
    </row>
    <row r="327" spans="1:126" hidden="1" x14ac:dyDescent="0.25">
      <c r="A327" s="112">
        <v>325</v>
      </c>
      <c r="B327" s="111" t="s">
        <v>3</v>
      </c>
      <c r="C327" s="111">
        <v>15</v>
      </c>
      <c r="D327" s="111">
        <v>6</v>
      </c>
      <c r="E327" s="111">
        <v>3</v>
      </c>
      <c r="F327" s="105">
        <v>17.2</v>
      </c>
      <c r="G327" s="105">
        <v>14.64</v>
      </c>
      <c r="H327" s="105">
        <v>14.34</v>
      </c>
      <c r="I327" s="94">
        <f>SUM(ППД5[[#This Row],[Комната 1]:[Комната 3]])</f>
        <v>46.18</v>
      </c>
      <c r="J327" s="105">
        <v>13.15</v>
      </c>
      <c r="K327" s="105">
        <v>4.03</v>
      </c>
      <c r="L327" s="105">
        <v>1.76</v>
      </c>
      <c r="M327" s="105"/>
      <c r="N327" s="105">
        <v>13.11</v>
      </c>
      <c r="O327" s="105">
        <v>2.79</v>
      </c>
      <c r="P327" s="105">
        <v>2.68</v>
      </c>
      <c r="Q327" s="105"/>
      <c r="R327" s="105">
        <f>SUM(ППД5[[#This Row],[Лоджия 1]:[Лоджия 3]])</f>
        <v>5.4700000000000006</v>
      </c>
      <c r="S327" s="8">
        <f>ROUND(SUM(ППД5[[#This Row],[Площадь по проекту жилая]:[Лоджия 3]]),2)</f>
        <v>83.7</v>
      </c>
      <c r="T327" s="8">
        <f>ROUND(ППД5[[#This Row],[Площадь по проекту(общая)]]-ППД5[[#This Row],[Летние]],2)</f>
        <v>78.23</v>
      </c>
      <c r="U327" s="91">
        <f>ROUND(ППД5[[#This Row],[Площадь по проекту(общая)]]-(SUM(ППД5[[#This Row],[Лоджия 1]:[Лоджия 3]])/2),2)</f>
        <v>80.97</v>
      </c>
      <c r="V327" s="91">
        <f>IF(ППД5[[#This Row],[Статус]]="продажа",ППД5[[#This Row],[Расчетная проектная площадь]],ППД5[[#This Row],[Расчетная ТП площадь]])</f>
        <v>80.97</v>
      </c>
      <c r="W327" s="91">
        <v>17.100000000000001</v>
      </c>
      <c r="X327" s="91">
        <v>14.6</v>
      </c>
      <c r="Y327" s="91">
        <v>14.4</v>
      </c>
      <c r="Z327" s="91">
        <f>SUM(ППД5[[#This Row],[ТП Комната 1]:[ТП Комната 3]])</f>
        <v>46.1</v>
      </c>
      <c r="AA327" s="91">
        <v>12.9</v>
      </c>
      <c r="AB327" s="91">
        <v>4.0999999999999996</v>
      </c>
      <c r="AC327" s="91">
        <v>1.7</v>
      </c>
      <c r="AD327" s="91"/>
      <c r="AE327" s="91">
        <v>13</v>
      </c>
      <c r="AF327" s="91">
        <v>1.4</v>
      </c>
      <c r="AG327" s="91">
        <v>1.4</v>
      </c>
      <c r="AH327" s="91"/>
      <c r="AI327" s="91">
        <f>SUM(ППД5[[#This Row],[ТП Лоджия 1]:[ТП Лоджия 3]])</f>
        <v>2.8</v>
      </c>
      <c r="AJ327" s="95">
        <v>5.6</v>
      </c>
      <c r="AK327" s="91">
        <f>SUM(ППД5[[#This Row],[Площадь по ТП жилая]:[ТП Лоджия 3]])-ППД5[[#This Row],[ТП Летние]]+ППД5[[#This Row],[кроме того прочая
(без коэффициента)]]</f>
        <v>83.4</v>
      </c>
      <c r="AL327" s="95">
        <f>ППД5[[#This Row],[ТП Площадь без летних]]+(ППД5[[#This Row],[ТП Летние]])</f>
        <v>80.600000000000009</v>
      </c>
      <c r="AM327" s="91">
        <f>ППД5[[#This Row],[ТП общая S]]-ППД5[[#This Row],[кроме того прочая
(без коэффициента)]]</f>
        <v>77.800000000000011</v>
      </c>
      <c r="AN327" s="95">
        <f>SUM(ППД5[[#This Row],[ТП Кухня]:[ТП Коридор]])</f>
        <v>31.7</v>
      </c>
      <c r="AO327" s="91">
        <f>ППД5[[#This Row],[Расчетная ТП площадь]]-ППД5[[#This Row],[Расчетная проектная площадь]]</f>
        <v>-0.36999999999999034</v>
      </c>
      <c r="AP327" s="335">
        <f>ППД5[[#This Row],[Расчетная ТП площадь]]/ППД5[[#This Row],[Расчетная проектная площадь]]-1</f>
        <v>-4.5695936766702028E-3</v>
      </c>
      <c r="AQ327" s="91">
        <f>ППД5[[#This Row],[% расхождения]]*ППД5[[#This Row],[Стоимость до скидки]]</f>
        <v>-32460.108682226786</v>
      </c>
      <c r="AR327" s="91">
        <f>VLOOKUP(ППД5[[#This Row],[№]],наценкад5[],COLUMN(наценкад5[[#This Row],[Цена м2 с учетом всех K]]),0)</f>
        <v>73520.37000000001</v>
      </c>
      <c r="AS327" s="8">
        <f>ППД5[[#This Row],[м2 после К]]*5%</f>
        <v>3676.0185000000006</v>
      </c>
      <c r="AT327" s="8">
        <f>ППД5[[#This Row],[м2 после К]]+ППД5[[#This Row],[Повышение 16.08.23 - 5%]]</f>
        <v>77196.388500000015</v>
      </c>
      <c r="AU327" s="93">
        <f>ППД5[[#This Row],[Фикс 16.08.23]]*3%</f>
        <v>2315.8916550000004</v>
      </c>
      <c r="AV327" s="93">
        <f>ППД5[[#This Row],[Фикс 16.08.23]]+ППД5[[#This Row],[Повышение 29.08.23 - 3%]]</f>
        <v>79512.280155000015</v>
      </c>
      <c r="AW327" s="93"/>
      <c r="AX327" s="93">
        <f>ППД5[[#This Row],[Фикс 29.08.23]]+ППД5[[#This Row],[Повышение 06.09.23 СТ и 1К]]</f>
        <v>79512.280155000015</v>
      </c>
      <c r="AY327" s="93"/>
      <c r="AZ327" s="93">
        <f>ППД5[[#This Row],[Повышение 23.10.23  В4 ]]+ППД5[[#This Row],[Фикс 06.09.23]]</f>
        <v>79512.280155000015</v>
      </c>
      <c r="BA327" s="93"/>
      <c r="BB327" s="93">
        <f>ППД5[[#This Row],[Повышение 8.11.23 1К 5%]]+ППД5[[#This Row],[Фикс 23.10.23]]</f>
        <v>79512.280155000015</v>
      </c>
      <c r="BC327" s="93"/>
      <c r="BD327" s="93">
        <f>ППД5[[#This Row],[Корректировка 24.11.23 - 1К В5, 2К А2, №233]]+ППД5[[#This Row],[Фикс 8.11.23]]</f>
        <v>79512.280155000015</v>
      </c>
      <c r="BE327" s="93">
        <f>ППД5[[#This Row],[Фикс 8.11.24]]*1%</f>
        <v>795.12280155000019</v>
      </c>
      <c r="BF327" s="93">
        <f>ППД5[[#This Row],[Наценка за отделку 29.12.23 1%]]+ППД5[[#This Row],[Фикс 8.11.24]]</f>
        <v>80307.40295655001</v>
      </c>
      <c r="BG327" s="93">
        <f>ППД5[[#This Row],[Фикс 29.12.23]]*5%</f>
        <v>4015.3701478275007</v>
      </c>
      <c r="BH327" s="93">
        <f>ППД5[[#This Row],[Фикс 29.12.23]]+ППД5[[#This Row],[Наценка 10.01.24 5%]]</f>
        <v>84322.773104377513</v>
      </c>
      <c r="BI327" s="93"/>
      <c r="BJ327" s="93">
        <f>ППД5[[#This Row],[Наценка 26.02.24 1 Этаж]]+ППД5[[#This Row],[Фикс 10.01.24]]</f>
        <v>84322.773104377513</v>
      </c>
      <c r="BK327" s="93">
        <f>ППД5[[#This Row],[Фикс 26.02.24]]*2%</f>
        <v>1686.4554620875504</v>
      </c>
      <c r="BL327" s="93">
        <f>ППД5[[#This Row],[Фикс 26.02.24]]+ППД5[[#This Row],[Наценка 06.03.24
СТ, 1К - 3%
2К, 3К - 2%]]</f>
        <v>86009.22856646507</v>
      </c>
      <c r="BM327" s="93"/>
      <c r="BN327" s="93">
        <f>ППД5[[#This Row],[Фикс 06.03.24]]+ППД5[[#This Row],[Наценка Г2+500]]</f>
        <v>86009.22856646507</v>
      </c>
      <c r="BO327" s="93">
        <f>ППД5[[#This Row],[Фикс 13.03.25]]*2%</f>
        <v>1720.1845713293014</v>
      </c>
      <c r="BP327" s="93">
        <f>ППД5[[#This Row],[Фикс 13.03.25]]+ППД5[[#This Row],[Наценка 20.03.24
2К, 3К - 2%]]</f>
        <v>87729.41313779437</v>
      </c>
      <c r="BQ327" s="93"/>
      <c r="BR327" s="93">
        <f>ППД5[[#This Row],[Фикс 20.03.24]]+ППД5[[#This Row],[Наценка 08.04.24 
2К: В3 - 150
3К: Г7 +1000]]</f>
        <v>87729.41313779437</v>
      </c>
      <c r="BS327" s="93"/>
      <c r="BT327" s="93">
        <f>ППД5[[#This Row],[Фикс 08.04.24]]+ППД5[[#This Row],[Наценка 16.05.24 1%
А4,А6,Б3,Б6,Б7,В2,В3,В5,В6,Г1,Г3-Г5]]</f>
        <v>87729.41313779437</v>
      </c>
      <c r="BU327" s="93"/>
      <c r="BV327" s="93">
        <f>ППД5[[#This Row],[Фикс 16.05.24]]+ППД5[[#This Row],[Наценка 24.05.24
1% - Б4, Б5,Г2,Г6
2% - А1,А3,А5,Б2,Г7]]</f>
        <v>87729.41313779437</v>
      </c>
      <c r="BW327" s="93"/>
      <c r="BX327" s="93">
        <f>ППД5[[#This Row],[Наценка 06.06.24
0К: В2,Г3 +0,5%
1К: А7, Б5/4, Г6 +0,5%
3К: В6 +0,5%
1К: А3 +1%]]+ППД5[[#This Row],[Фикс 24.05.24]]</f>
        <v>87729.41313779437</v>
      </c>
      <c r="BY327" s="93"/>
      <c r="BZ327" s="93">
        <f>ППД5[[#This Row],[Фикс 06.06.24]]+ППД5[[#This Row],[13.06.2024
3К - 2%]]</f>
        <v>87729.41313779437</v>
      </c>
      <c r="CA327" s="93"/>
      <c r="CB327" s="93">
        <f>ППД5[[#This Row],[02.07.2024: Г3 А1 А3 Б5 Б7 Г2 Г6 Б3 Б4 В3 Г7 2,5% ост 0,5-1,5%]]+ППД5[[#This Row],[Фикс 13.06.24]]</f>
        <v>87729.41313779437</v>
      </c>
      <c r="CC327" s="93"/>
      <c r="CD327" s="93">
        <f>ППД5[[#This Row],[Фикс 02.07.24]]+ППД5[[#This Row],[04.09.2024 +500
0К - Б2; 1К - А3;
2К - А6, Б4, В3, Г5]]</f>
        <v>87729.41313779437</v>
      </c>
      <c r="CE327" s="93"/>
      <c r="CF327" s="93">
        <f>ППД5[[#This Row],[Наценка 16.09.2024
1К: А1,В7,Г6/7,Г8 - 2%
2К: А4,А5,А6,Б1,Б6,Б3/4,В3,В4,Г4,Г5 - 4%
3К: 4%]]+ППД5[[#This Row],[Фикс 04.09.24]]</f>
        <v>87729.41313779437</v>
      </c>
      <c r="CG327" s="93"/>
      <c r="CH327" s="93">
        <f>ППД5[[#This Row],[Фикс 16.09.2024]]+ППД5[[#This Row],[Наценка 01.11.24
СТ: 4%
1К: 34-40м 5%; 40м+ 8%; МГН 1%
2К: 55-70м 6%; 70-73м 7%; 73-76м 8% 
3К: 5%]]</f>
        <v>87729.41313779437</v>
      </c>
      <c r="CI327" s="93"/>
      <c r="CJ327" s="93">
        <f>ППД5[[#This Row],[Наценка 06.11 13%]]+ППД5[[#This Row],[Фикс 01.11.24]]</f>
        <v>87729.41313779437</v>
      </c>
      <c r="CK327" s="93"/>
      <c r="CL327" s="93">
        <f>ППД5[[#This Row],[Фикс 06.11.24]]+ППД5[[#This Row],[Наценка 18.12.24 распределение КВ]]</f>
        <v>87729.41313779437</v>
      </c>
      <c r="CM327" s="93"/>
      <c r="CN327" s="93">
        <f>ППД5[[#This Row],[Фикс 18.12.24]]+ППД5[[#This Row],[Наценка 10.02.25 +1%
1К: А3
2К: Б3, В3]]</f>
        <v>87729.41313779437</v>
      </c>
      <c r="CO327" s="93">
        <f>ROUND(ППД5[[#This Row],[Фикс 10.02.25]],2)</f>
        <v>87729.41</v>
      </c>
      <c r="CP32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7103500</v>
      </c>
      <c r="CQ327" s="93">
        <f>ROUNDUP(ППД5[[#This Row],[Стоимость до скидки]]+ППД5[[#This Row],[Сумма доплаты]],-2)</f>
        <v>7071100</v>
      </c>
      <c r="CR327" s="68"/>
      <c r="CS327" s="90">
        <v>0.03</v>
      </c>
      <c r="CT327" s="68">
        <f>ППД5[[#This Row],[Стоимость до скидки]]*ППД5[[#This Row],[Скидка %]]+ППД5[[#This Row],[Скидка фиксированная]]</f>
        <v>213105</v>
      </c>
      <c r="CU327" s="3">
        <f>ППД5[[#This Row],[Стоимость ОН без отделки со скидкой]]/ППД5[[#This Row],[Расчетная проектная площадь]]</f>
        <v>85098.122761516614</v>
      </c>
      <c r="CV327" s="3">
        <f>ROUND(ППД5[[#This Row],[Стоимость до скидки]]-ППД5[[#This Row],[Итоговая сумма скидки]],2)</f>
        <v>6890395</v>
      </c>
      <c r="CW32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327" s="197">
        <v>7000</v>
      </c>
      <c r="CY327" s="332">
        <f>ППД5[[#This Row],[Расхождение]]/ППД5[[#This Row],[Расчетная проектная площадь]]</f>
        <v>-4.5695936766702522E-3</v>
      </c>
      <c r="CZ32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-0.3500000000000032</v>
      </c>
      <c r="DA327" s="3">
        <f>ППД5[[#This Row],[Цена м2 без отделки со скидкой]]+ППД5[[#This Row],[Стоимость отделки]]</f>
        <v>92098.122761516614</v>
      </c>
      <c r="DB327" s="3">
        <f>ППД5[[#This Row],[Стоимость квартиры с отделкой]]-ППД5[[#This Row],[Стоимость ОН без отделки со скидкой]]</f>
        <v>566790</v>
      </c>
      <c r="DC327" s="3">
        <f>ППД5[[#This Row],[Цена м2 с отделкой]]*ППД5[[#This Row],[Расчетная проектная площадь]]</f>
        <v>7457185</v>
      </c>
      <c r="DD327" s="3"/>
      <c r="DE327" s="111" t="s">
        <v>167</v>
      </c>
      <c r="DF327" s="199" t="s">
        <v>172</v>
      </c>
      <c r="DG327" s="245" t="s">
        <v>172</v>
      </c>
      <c r="DH327" s="100" t="b">
        <f>EXACT(ППД5[[#This Row],[Статусы CRM]],ППД5[[#This Row],[Статус]])</f>
        <v>1</v>
      </c>
      <c r="DI327" s="213" t="s">
        <v>499</v>
      </c>
      <c r="DJ327" s="204"/>
      <c r="DK327" s="111" t="s">
        <v>763</v>
      </c>
      <c r="DL327" s="216" t="s">
        <v>780</v>
      </c>
      <c r="DM327" s="201" t="b">
        <f>ППД5[[#This Row],[Отделка CRM]]=ППД5[[#This Row],[Отделка]]</f>
        <v>1</v>
      </c>
      <c r="DN327" s="203">
        <v>7457185</v>
      </c>
      <c r="DO32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27" s="207" t="b">
        <f>IF(AND(ППД5[[#This Row],[Статус]]="свободно",ППД5[[#This Row],[Итоговая сумма скидки]]&lt;&gt;0),FALSE,TRUE)</f>
        <v>1</v>
      </c>
      <c r="DQ327" s="240">
        <f>_xlfn.XLOOKUP(ППД5[[#This Row],[№]],Юрист[№ кв],Юрист[Дата подачи на регистрацию]," ",0,-1)</f>
        <v>45419</v>
      </c>
      <c r="DR327" s="115" t="str">
        <f>_xlfn.XLOOKUP(ППД5[[#This Row],[№]],Юрист[№ кв],Юрист[МОП],"",0,-1)</f>
        <v>Дик</v>
      </c>
      <c r="DS327" s="333" t="s">
        <v>2946</v>
      </c>
      <c r="DT327" s="333" t="s">
        <v>2947</v>
      </c>
      <c r="DU327" s="333">
        <v>77.8</v>
      </c>
      <c r="DV327" s="111"/>
    </row>
    <row r="328" spans="1:126" hidden="1" x14ac:dyDescent="0.25">
      <c r="A328" s="112">
        <v>326</v>
      </c>
      <c r="B328" s="111" t="s">
        <v>3</v>
      </c>
      <c r="C328" s="111">
        <v>15</v>
      </c>
      <c r="D328" s="111">
        <v>7</v>
      </c>
      <c r="E328" s="111">
        <v>1</v>
      </c>
      <c r="F328" s="105">
        <v>14.3</v>
      </c>
      <c r="G328" s="105"/>
      <c r="H328" s="105"/>
      <c r="I328" s="94">
        <f>SUM(ППД5[[#This Row],[Комната 1]:[Комната 3]])</f>
        <v>14.3</v>
      </c>
      <c r="J328" s="105">
        <v>9.2799999999999994</v>
      </c>
      <c r="K328" s="105">
        <v>3.79</v>
      </c>
      <c r="L328" s="105"/>
      <c r="M328" s="105"/>
      <c r="N328" s="105">
        <v>6.08</v>
      </c>
      <c r="O328" s="105">
        <v>2.71</v>
      </c>
      <c r="P328" s="105"/>
      <c r="Q328" s="105"/>
      <c r="R328" s="105">
        <f>SUM(ППД5[[#This Row],[Лоджия 1]:[Лоджия 3]])</f>
        <v>2.71</v>
      </c>
      <c r="S328" s="8">
        <f>ROUND(SUM(ППД5[[#This Row],[Площадь по проекту жилая]:[Лоджия 3]]),2)</f>
        <v>36.159999999999997</v>
      </c>
      <c r="T328" s="8">
        <f>ROUND(ППД5[[#This Row],[Площадь по проекту(общая)]]-ППД5[[#This Row],[Летние]],2)</f>
        <v>33.450000000000003</v>
      </c>
      <c r="U328" s="91">
        <f>ROUND(ППД5[[#This Row],[Площадь по проекту(общая)]]-(SUM(ППД5[[#This Row],[Лоджия 1]:[Лоджия 3]])/2),2)</f>
        <v>34.81</v>
      </c>
      <c r="V328" s="91">
        <f>IF(ППД5[[#This Row],[Статус]]="продажа",ППД5[[#This Row],[Расчетная проектная площадь]],ППД5[[#This Row],[Расчетная ТП площадь]])</f>
        <v>34.81</v>
      </c>
      <c r="W328" s="91">
        <v>14.4</v>
      </c>
      <c r="X328" s="91"/>
      <c r="Y328" s="91"/>
      <c r="Z328" s="91">
        <f>SUM(ППД5[[#This Row],[ТП Комната 1]:[ТП Комната 3]])</f>
        <v>14.4</v>
      </c>
      <c r="AA328" s="91">
        <v>9</v>
      </c>
      <c r="AB328" s="91">
        <v>3.8</v>
      </c>
      <c r="AC328" s="91"/>
      <c r="AD328" s="91"/>
      <c r="AE328" s="91">
        <v>6.4</v>
      </c>
      <c r="AF328" s="91">
        <v>1.35</v>
      </c>
      <c r="AG328" s="91"/>
      <c r="AH328" s="91"/>
      <c r="AI328" s="91">
        <f>SUM(ППД5[[#This Row],[ТП Лоджия 1]:[ТП Лоджия 3]])</f>
        <v>1.35</v>
      </c>
      <c r="AJ328" s="95">
        <v>2.7</v>
      </c>
      <c r="AK328" s="91">
        <f>SUM(ППД5[[#This Row],[Площадь по ТП жилая]:[ТП Лоджия 3]])-ППД5[[#This Row],[ТП Летние]]+ППД5[[#This Row],[кроме того прочая
(без коэффициента)]]</f>
        <v>36.300000000000004</v>
      </c>
      <c r="AL328" s="95">
        <f>ППД5[[#This Row],[ТП Площадь без летних]]+(ППД5[[#This Row],[ТП Летние]])</f>
        <v>34.950000000000003</v>
      </c>
      <c r="AM328" s="91">
        <f>ППД5[[#This Row],[ТП общая S]]-ППД5[[#This Row],[кроме того прочая
(без коэффициента)]]</f>
        <v>33.6</v>
      </c>
      <c r="AN328" s="95">
        <f>SUM(ППД5[[#This Row],[ТП Кухня]:[ТП Коридор]])</f>
        <v>19.200000000000003</v>
      </c>
      <c r="AO328" s="91">
        <f>ППД5[[#This Row],[Расчетная ТП площадь]]-ППД5[[#This Row],[Расчетная проектная площадь]]</f>
        <v>0.14000000000000057</v>
      </c>
      <c r="AP328" s="335">
        <f>ППД5[[#This Row],[Расчетная ТП площадь]]/ППД5[[#This Row],[Расчетная проектная площадь]]-1</f>
        <v>4.0218328066647935E-3</v>
      </c>
      <c r="AQ328" s="91">
        <f>ППД5[[#This Row],[% расхождения]]*ППД5[[#This Row],[Стоимость до скидки]]</f>
        <v>17201.781097385989</v>
      </c>
      <c r="AR328" s="91">
        <f>VLOOKUP(ППД5[[#This Row],[№]],наценкад5[],COLUMN(наценкад5[[#This Row],[Цена м2 с учетом всех K]]),0)</f>
        <v>84762.5625</v>
      </c>
      <c r="AS328" s="8">
        <f>ППД5[[#This Row],[м2 после К]]*5%</f>
        <v>4238.1281250000002</v>
      </c>
      <c r="AT328" s="8">
        <f>ППД5[[#This Row],[м2 после К]]+ППД5[[#This Row],[Повышение 16.08.23 - 5%]]</f>
        <v>89000.690625000003</v>
      </c>
      <c r="AU328" s="93">
        <f>ППД5[[#This Row],[Фикс 16.08.23]]*3%</f>
        <v>2670.02071875</v>
      </c>
      <c r="AV328" s="93">
        <f>ППД5[[#This Row],[Фикс 16.08.23]]+ППД5[[#This Row],[Повышение 29.08.23 - 3%]]</f>
        <v>91670.711343750008</v>
      </c>
      <c r="AW328" s="93">
        <f>ППД5[[#This Row],[Фикс 29.08.23]]*14%</f>
        <v>12833.899588125003</v>
      </c>
      <c r="AX328" s="93">
        <f>ППД5[[#This Row],[Фикс 29.08.23]]+ППД5[[#This Row],[Повышение 06.09.23 СТ и 1К]]</f>
        <v>104504.61093187501</v>
      </c>
      <c r="AY328" s="93"/>
      <c r="AZ328" s="93">
        <f>ППД5[[#This Row],[Повышение 23.10.23  В4 ]]+ППД5[[#This Row],[Фикс 06.09.23]]</f>
        <v>104504.61093187501</v>
      </c>
      <c r="BA328" s="93">
        <f>ППД5[[#This Row],[Фикс 23.10.23]]*5%</f>
        <v>5225.2305465937507</v>
      </c>
      <c r="BB328" s="93">
        <f>ППД5[[#This Row],[Повышение 8.11.23 1К 5%]]+ППД5[[#This Row],[Фикс 23.10.23]]</f>
        <v>109729.84147846876</v>
      </c>
      <c r="BC328" s="93"/>
      <c r="BD328" s="93">
        <f>ППД5[[#This Row],[Корректировка 24.11.23 - 1К В5, 2К А2, №233]]+ППД5[[#This Row],[Фикс 8.11.23]]</f>
        <v>109729.84147846876</v>
      </c>
      <c r="BE328" s="93">
        <f>ППД5[[#This Row],[Фикс 8.11.24]]*1%</f>
        <v>1097.2984147846876</v>
      </c>
      <c r="BF328" s="93">
        <f>ППД5[[#This Row],[Наценка за отделку 29.12.23 1%]]+ППД5[[#This Row],[Фикс 8.11.24]]</f>
        <v>110827.13989325345</v>
      </c>
      <c r="BG328" s="93">
        <f>ППД5[[#This Row],[Фикс 29.12.23]]*5%</f>
        <v>5541.3569946626731</v>
      </c>
      <c r="BH328" s="93">
        <f>ППД5[[#This Row],[Фикс 29.12.23]]+ППД5[[#This Row],[Наценка 10.01.24 5%]]</f>
        <v>116368.49688791612</v>
      </c>
      <c r="BI328" s="93"/>
      <c r="BJ328" s="93">
        <f>ППД5[[#This Row],[Наценка 26.02.24 1 Этаж]]+ППД5[[#This Row],[Фикс 10.01.24]]</f>
        <v>116368.49688791612</v>
      </c>
      <c r="BK328" s="93">
        <f>ППД5[[#This Row],[Фикс 26.02.24]]*3%</f>
        <v>3491.0549066374833</v>
      </c>
      <c r="BL328" s="93">
        <f>ППД5[[#This Row],[Фикс 26.02.24]]+ППД5[[#This Row],[Наценка 06.03.24
СТ, 1К - 3%
2К, 3К - 2%]]</f>
        <v>119859.5517945536</v>
      </c>
      <c r="BM328" s="93"/>
      <c r="BN328" s="93">
        <f>ППД5[[#This Row],[Фикс 06.03.24]]+ППД5[[#This Row],[Наценка Г2+500]]</f>
        <v>119859.5517945536</v>
      </c>
      <c r="BO328" s="93"/>
      <c r="BP328" s="93">
        <f>ППД5[[#This Row],[Фикс 13.03.25]]+ППД5[[#This Row],[Наценка 20.03.24
2К, 3К - 2%]]</f>
        <v>119859.5517945536</v>
      </c>
      <c r="BQ328" s="93"/>
      <c r="BR328" s="93">
        <f>ППД5[[#This Row],[Фикс 20.03.24]]+ППД5[[#This Row],[Наценка 08.04.24 
2К: В3 - 150
3К: Г7 +1000]]</f>
        <v>119859.5517945536</v>
      </c>
      <c r="BS328" s="93"/>
      <c r="BT328" s="93">
        <f>ППД5[[#This Row],[Фикс 08.04.24]]+ППД5[[#This Row],[Наценка 16.05.24 1%
А4,А6,Б3,Б6,Б7,В2,В3,В5,В6,Г1,Г3-Г5]]</f>
        <v>119859.5517945536</v>
      </c>
      <c r="BU328" s="93"/>
      <c r="BV328" s="93">
        <f>ППД5[[#This Row],[Фикс 16.05.24]]+ППД5[[#This Row],[Наценка 24.05.24
1% - Б4, Б5,Г2,Г6
2% - А1,А3,А5,Б2,Г7]]</f>
        <v>119859.5517945536</v>
      </c>
      <c r="BW328" s="93"/>
      <c r="BX328" s="93">
        <f>ППД5[[#This Row],[Наценка 06.06.24
0К: В2,Г3 +0,5%
1К: А7, Б5/4, Г6 +0,5%
3К: В6 +0,5%
1К: А3 +1%]]+ППД5[[#This Row],[Фикс 24.05.24]]</f>
        <v>119859.5517945536</v>
      </c>
      <c r="BY328" s="93"/>
      <c r="BZ328" s="93">
        <f>ППД5[[#This Row],[Фикс 06.06.24]]+ППД5[[#This Row],[13.06.2024
3К - 2%]]</f>
        <v>119859.5517945536</v>
      </c>
      <c r="CA328" s="93">
        <f>0.5%*ППД5[[#This Row],[Фикс 13.06.24]]</f>
        <v>599.29775897276795</v>
      </c>
      <c r="CB328" s="93">
        <f>ППД5[[#This Row],[02.07.2024: Г3 А1 А3 Б5 Б7 Г2 Г6 Б3 Б4 В3 Г7 2,5% ост 0,5-1,5%]]+ППД5[[#This Row],[Фикс 13.06.24]]</f>
        <v>120458.84955352636</v>
      </c>
      <c r="CC328" s="93"/>
      <c r="CD328" s="93">
        <f>ППД5[[#This Row],[Фикс 02.07.24]]+ППД5[[#This Row],[04.09.2024 +500
0К - Б2; 1К - А3;
2К - А6, Б4, В3, Г5]]</f>
        <v>120458.84955352636</v>
      </c>
      <c r="CE328" s="93">
        <f>ППД5[[#This Row],[Фикс 04.09.24]]*2%</f>
        <v>2409.1769910705275</v>
      </c>
      <c r="CF328" s="93">
        <f>ППД5[[#This Row],[Наценка 16.09.2024
1К: А1,В7,Г6/7,Г8 - 2%
2К: А4,А5,А6,Б1,Б6,Б3/4,В3,В4,Г4,Г5 - 4%
3К: 4%]]+ППД5[[#This Row],[Фикс 04.09.24]]</f>
        <v>122868.0265445969</v>
      </c>
      <c r="CG328" s="93"/>
      <c r="CH328" s="93">
        <f>ППД5[[#This Row],[Фикс 16.09.2024]]+ППД5[[#This Row],[Наценка 01.11.24
СТ: 4%
1К: 34-40м 5%; 40м+ 8%; МГН 1%
2К: 55-70м 6%; 70-73м 7%; 73-76м 8% 
3К: 5%]]</f>
        <v>122868.0265445969</v>
      </c>
      <c r="CI328" s="93"/>
      <c r="CJ328" s="93">
        <f>ППД5[[#This Row],[Наценка 06.11 13%]]+ППД5[[#This Row],[Фикс 01.11.24]]</f>
        <v>122868.0265445969</v>
      </c>
      <c r="CK328" s="93"/>
      <c r="CL328" s="93">
        <f>ППД5[[#This Row],[Фикс 06.11.24]]+ППД5[[#This Row],[Наценка 18.12.24 распределение КВ]]</f>
        <v>122868.0265445969</v>
      </c>
      <c r="CM328" s="93"/>
      <c r="CN328" s="93">
        <f>ППД5[[#This Row],[Фикс 18.12.24]]+ППД5[[#This Row],[Наценка 10.02.25 +1%
1К: А3
2К: Б3, В3]]</f>
        <v>122868.0265445969</v>
      </c>
      <c r="CO328" s="93">
        <f>ROUND(ППД5[[#This Row],[Фикс 10.02.25]],2)</f>
        <v>122868.03</v>
      </c>
      <c r="CP32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4277100</v>
      </c>
      <c r="CQ328" s="93">
        <f>ROUNDUP(ППД5[[#This Row],[Стоимость до скидки]]+ППД5[[#This Row],[Сумма доплаты]],-2)</f>
        <v>4294400</v>
      </c>
      <c r="CR328" s="68"/>
      <c r="CS328" s="90">
        <v>0.02</v>
      </c>
      <c r="CT328" s="68">
        <f>ППД5[[#This Row],[Стоимость до скидки]]*ППД5[[#This Row],[Скидка %]]+ППД5[[#This Row],[Скидка фиксированная]]</f>
        <v>85542</v>
      </c>
      <c r="CU328" s="3">
        <f>ППД5[[#This Row],[Стоимость ОН без отделки со скидкой]]/ППД5[[#This Row],[Расчетная проектная площадь]]</f>
        <v>120412.46768170065</v>
      </c>
      <c r="CV328" s="3">
        <f>ROUND(ППД5[[#This Row],[Стоимость до скидки]]-ППД5[[#This Row],[Итоговая сумма скидки]],2)</f>
        <v>4191558</v>
      </c>
      <c r="CW32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28" s="197">
        <v>24000</v>
      </c>
      <c r="CY328" s="332">
        <f>ППД5[[#This Row],[Расхождение]]/ППД5[[#This Row],[Расчетная проектная площадь]]</f>
        <v>4.0218328066647675E-3</v>
      </c>
      <c r="CZ32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5.0000000000002487E-2</v>
      </c>
      <c r="DA328" s="3">
        <f>ППД5[[#This Row],[Цена м2 без отделки со скидкой]]+ППД5[[#This Row],[Стоимость отделки]]</f>
        <v>144412.46768170065</v>
      </c>
      <c r="DB328" s="3">
        <f>ППД5[[#This Row],[Стоимость квартиры с отделкой]]-ППД5[[#This Row],[Стоимость ОН без отделки со скидкой]]</f>
        <v>835440</v>
      </c>
      <c r="DC328" s="3">
        <f>ППД5[[#This Row],[Цена м2 с отделкой]]*ППД5[[#This Row],[Расчетная проектная площадь]]</f>
        <v>5026998</v>
      </c>
      <c r="DD328" s="3" t="s">
        <v>154</v>
      </c>
      <c r="DE328" s="111" t="s">
        <v>757</v>
      </c>
      <c r="DF328" s="215" t="s">
        <v>172</v>
      </c>
      <c r="DG328" s="245" t="s">
        <v>172</v>
      </c>
      <c r="DH328" s="100" t="b">
        <f>EXACT(ППД5[[#This Row],[Статусы CRM]],ППД5[[#This Row],[Статус]])</f>
        <v>1</v>
      </c>
      <c r="DI328" s="213" t="s">
        <v>500</v>
      </c>
      <c r="DJ328" s="204"/>
      <c r="DK328" s="111" t="s">
        <v>763</v>
      </c>
      <c r="DL328" s="216" t="s">
        <v>14</v>
      </c>
      <c r="DM328" s="201" t="b">
        <f>ППД5[[#This Row],[Отделка CRM]]=ППД5[[#This Row],[Отделка]]</f>
        <v>1</v>
      </c>
      <c r="DN328" s="203">
        <v>5026998</v>
      </c>
      <c r="DO32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28" s="207" t="b">
        <f>IF(AND(ППД5[[#This Row],[Статус]]="свободно",ППД5[[#This Row],[Итоговая сумма скидки]]&lt;&gt;0),FALSE,TRUE)</f>
        <v>1</v>
      </c>
      <c r="DQ328" s="240">
        <f>_xlfn.XLOOKUP(ППД5[[#This Row],[№]],Юрист[№ кв],Юрист[Дата подачи на регистрацию]," ",0,-1)</f>
        <v>45625</v>
      </c>
      <c r="DR328" s="115" t="str">
        <f>_xlfn.XLOOKUP(ППД5[[#This Row],[№]],Юрист[№ кв],Юрист[МОП],"",0,-1)</f>
        <v>Никишов</v>
      </c>
      <c r="DS328" s="333" t="s">
        <v>2948</v>
      </c>
      <c r="DT328" s="333" t="s">
        <v>2949</v>
      </c>
      <c r="DU328" s="333">
        <v>33.6</v>
      </c>
      <c r="DV328" s="111"/>
    </row>
    <row r="329" spans="1:126" hidden="1" x14ac:dyDescent="0.25">
      <c r="A329" s="112">
        <v>327</v>
      </c>
      <c r="B329" s="111" t="s">
        <v>3</v>
      </c>
      <c r="C329" s="111">
        <v>16</v>
      </c>
      <c r="D329" s="338">
        <v>1</v>
      </c>
      <c r="E329" s="111">
        <v>2</v>
      </c>
      <c r="F329" s="105">
        <v>17.63</v>
      </c>
      <c r="G329" s="105">
        <v>13.69</v>
      </c>
      <c r="H329" s="105"/>
      <c r="I329" s="94">
        <f>SUM(ППД5[[#This Row],[Комната 1]:[Комната 3]])</f>
        <v>31.32</v>
      </c>
      <c r="J329" s="105">
        <v>20.05</v>
      </c>
      <c r="K329" s="105">
        <v>3.54</v>
      </c>
      <c r="L329" s="105">
        <v>2.93</v>
      </c>
      <c r="M329" s="105"/>
      <c r="N329" s="105">
        <v>12.19</v>
      </c>
      <c r="O329" s="105">
        <v>4.6500000000000004</v>
      </c>
      <c r="P329" s="105">
        <v>2.68</v>
      </c>
      <c r="Q329" s="105"/>
      <c r="R329" s="105">
        <f>SUM(ППД5[[#This Row],[Лоджия 1]:[Лоджия 3]])</f>
        <v>7.33</v>
      </c>
      <c r="S329" s="8">
        <f>ROUND(SUM(ППД5[[#This Row],[Площадь по проекту жилая]:[Лоджия 3]]),2)</f>
        <v>77.36</v>
      </c>
      <c r="T329" s="8">
        <f>ROUND(ППД5[[#This Row],[Площадь по проекту(общая)]]-ППД5[[#This Row],[Летние]],2)</f>
        <v>70.03</v>
      </c>
      <c r="U329" s="91">
        <f>ROUND(ППД5[[#This Row],[Площадь по проекту(общая)]]-(SUM(ППД5[[#This Row],[Лоджия 1]:[Лоджия 3]])/2),2)</f>
        <v>73.7</v>
      </c>
      <c r="V329" s="91">
        <f>IF(ППД5[[#This Row],[Статус]]="продажа",ППД5[[#This Row],[Расчетная проектная площадь]],ППД5[[#This Row],[Расчетная ТП площадь]])</f>
        <v>73.7</v>
      </c>
      <c r="W329" s="91">
        <v>17.600000000000001</v>
      </c>
      <c r="X329" s="91">
        <v>13.6</v>
      </c>
      <c r="Y329" s="91"/>
      <c r="Z329" s="91">
        <f>SUM(ППД5[[#This Row],[ТП Комната 1]:[ТП Комната 3]])</f>
        <v>31.200000000000003</v>
      </c>
      <c r="AA329" s="91">
        <v>19.899999999999999</v>
      </c>
      <c r="AB329" s="91">
        <v>3.5</v>
      </c>
      <c r="AC329" s="91">
        <v>2.9</v>
      </c>
      <c r="AD329" s="91"/>
      <c r="AE329" s="91">
        <v>12</v>
      </c>
      <c r="AF329" s="91">
        <v>1.35</v>
      </c>
      <c r="AG329" s="91">
        <v>2.2999999999999998</v>
      </c>
      <c r="AH329" s="91"/>
      <c r="AI329" s="91">
        <f>SUM(ППД5[[#This Row],[ТП Лоджия 1]:[ТП Лоджия 3]])</f>
        <v>3.65</v>
      </c>
      <c r="AJ329" s="95">
        <v>7.3</v>
      </c>
      <c r="AK329" s="91">
        <f>SUM(ППД5[[#This Row],[Площадь по ТП жилая]:[ТП Лоджия 3]])-ППД5[[#This Row],[ТП Летние]]+ППД5[[#This Row],[кроме того прочая
(без коэффициента)]]</f>
        <v>76.799999999999983</v>
      </c>
      <c r="AL329" s="95">
        <f>ППД5[[#This Row],[ТП Площадь без летних]]+(ППД5[[#This Row],[ТП Летние]])</f>
        <v>73.149999999999991</v>
      </c>
      <c r="AM329" s="91">
        <f>ППД5[[#This Row],[ТП общая S]]-ППД5[[#This Row],[кроме того прочая
(без коэффициента)]]</f>
        <v>69.499999999999986</v>
      </c>
      <c r="AN329" s="95">
        <f>SUM(ППД5[[#This Row],[ТП Кухня]:[ТП Коридор]])</f>
        <v>38.299999999999997</v>
      </c>
      <c r="AO329" s="91">
        <f>ППД5[[#This Row],[Расчетная ТП площадь]]-ППД5[[#This Row],[Расчетная проектная площадь]]</f>
        <v>-0.55000000000001137</v>
      </c>
      <c r="AP329" s="335">
        <f>ППД5[[#This Row],[Расчетная ТП площадь]]/ППД5[[#This Row],[Расчетная проектная площадь]]-1</f>
        <v>-7.4626865671643117E-3</v>
      </c>
      <c r="AQ329" s="91">
        <f>ППД5[[#This Row],[% расхождения]]*ППД5[[#This Row],[Стоимость до скидки]]</f>
        <v>-47769.402985075474</v>
      </c>
      <c r="AR329" s="91">
        <f>VLOOKUP(ППД5[[#This Row],[№]],наценкад5[],COLUMN(наценкад5[[#This Row],[Цена м2 с учетом всех K]]),0)</f>
        <v>80307.864000000001</v>
      </c>
      <c r="AS329" s="8">
        <f>ППД5[[#This Row],[м2 после К]]*5%</f>
        <v>4015.3932000000004</v>
      </c>
      <c r="AT329" s="8">
        <f>ППД5[[#This Row],[м2 после К]]+ППД5[[#This Row],[Повышение 16.08.23 - 5%]]</f>
        <v>84323.257200000007</v>
      </c>
      <c r="AU329" s="93">
        <f>ППД5[[#This Row],[Фикс 16.08.23]]*3%</f>
        <v>2529.6977160000001</v>
      </c>
      <c r="AV329" s="93">
        <f>ППД5[[#This Row],[Фикс 16.08.23]]+ППД5[[#This Row],[Повышение 29.08.23 - 3%]]</f>
        <v>86852.954916000002</v>
      </c>
      <c r="AW329" s="93"/>
      <c r="AX329" s="93">
        <f>ППД5[[#This Row],[Фикс 29.08.23]]+ППД5[[#This Row],[Повышение 06.09.23 СТ и 1К]]</f>
        <v>86852.954916000002</v>
      </c>
      <c r="AY329" s="93"/>
      <c r="AZ329" s="93">
        <f>ППД5[[#This Row],[Повышение 23.10.23  В4 ]]+ППД5[[#This Row],[Фикс 06.09.23]]</f>
        <v>86852.954916000002</v>
      </c>
      <c r="BA329" s="93"/>
      <c r="BB329" s="93">
        <f>ППД5[[#This Row],[Повышение 8.11.23 1К 5%]]+ППД5[[#This Row],[Фикс 23.10.23]]</f>
        <v>86852.954916000002</v>
      </c>
      <c r="BC329" s="93"/>
      <c r="BD329" s="93">
        <f>ППД5[[#This Row],[Корректировка 24.11.23 - 1К В5, 2К А2, №233]]+ППД5[[#This Row],[Фикс 8.11.23]]</f>
        <v>86852.954916000002</v>
      </c>
      <c r="BE329" s="93"/>
      <c r="BF329" s="93">
        <f>ППД5[[#This Row],[Наценка за отделку 29.12.23 1%]]+ППД5[[#This Row],[Фикс 8.11.24]]</f>
        <v>86852.954916000002</v>
      </c>
      <c r="BG329" s="93"/>
      <c r="BH329" s="93">
        <f>ППД5[[#This Row],[Фикс 29.12.23]]+ППД5[[#This Row],[Наценка 10.01.24 5%]]</f>
        <v>86852.954916000002</v>
      </c>
      <c r="BI329" s="93"/>
      <c r="BJ329" s="93">
        <f>ППД5[[#This Row],[Наценка 26.02.24 1 Этаж]]+ППД5[[#This Row],[Фикс 10.01.24]]</f>
        <v>86852.954916000002</v>
      </c>
      <c r="BK329" s="93"/>
      <c r="BL329" s="93">
        <f>ППД5[[#This Row],[Фикс 26.02.24]]+ППД5[[#This Row],[Наценка 06.03.24
СТ, 1К - 3%
2К, 3К - 2%]]</f>
        <v>86852.954916000002</v>
      </c>
      <c r="BM329" s="93"/>
      <c r="BN329" s="93">
        <f>ППД5[[#This Row],[Фикс 06.03.24]]+ППД5[[#This Row],[Наценка Г2+500]]</f>
        <v>86852.954916000002</v>
      </c>
      <c r="BO329" s="93"/>
      <c r="BP329" s="93">
        <f>ППД5[[#This Row],[Фикс 13.03.25]]+ППД5[[#This Row],[Наценка 20.03.24
2К, 3К - 2%]]</f>
        <v>86852.954916000002</v>
      </c>
      <c r="BQ329" s="93"/>
      <c r="BR329" s="93">
        <f>ППД5[[#This Row],[Фикс 20.03.24]]+ППД5[[#This Row],[Наценка 08.04.24 
2К: В3 - 150
3К: Г7 +1000]]</f>
        <v>86852.954916000002</v>
      </c>
      <c r="BS329" s="93"/>
      <c r="BT329" s="93">
        <f>ППД5[[#This Row],[Фикс 08.04.24]]+ППД5[[#This Row],[Наценка 16.05.24 1%
А4,А6,Б3,Б6,Б7,В2,В3,В5,В6,Г1,Г3-Г5]]</f>
        <v>86852.954916000002</v>
      </c>
      <c r="BU329" s="93"/>
      <c r="BV329" s="93">
        <f>ППД5[[#This Row],[Фикс 16.05.24]]+ППД5[[#This Row],[Наценка 24.05.24
1% - Б4, Б5,Г2,Г6
2% - А1,А3,А5,Б2,Г7]]</f>
        <v>86852.954916000002</v>
      </c>
      <c r="BW329" s="93"/>
      <c r="BX329" s="93">
        <f>ППД5[[#This Row],[Наценка 06.06.24
0К: В2,Г3 +0,5%
1К: А7, Б5/4, Г6 +0,5%
3К: В6 +0,5%
1К: А3 +1%]]+ППД5[[#This Row],[Фикс 24.05.24]]</f>
        <v>86852.954916000002</v>
      </c>
      <c r="BY329" s="93"/>
      <c r="BZ329" s="93">
        <f>ППД5[[#This Row],[Фикс 06.06.24]]+ППД5[[#This Row],[13.06.2024
3К - 2%]]</f>
        <v>86852.954916000002</v>
      </c>
      <c r="CA329" s="93"/>
      <c r="CB329" s="93">
        <f>ППД5[[#This Row],[02.07.2024: Г3 А1 А3 Б5 Б7 Г2 Г6 Б3 Б4 В3 Г7 2,5% ост 0,5-1,5%]]+ППД5[[#This Row],[Фикс 13.06.24]]</f>
        <v>86852.954916000002</v>
      </c>
      <c r="CC329" s="93"/>
      <c r="CD329" s="93">
        <f>ППД5[[#This Row],[Фикс 02.07.24]]+ППД5[[#This Row],[04.09.2024 +500
0К - Б2; 1К - А3;
2К - А6, Б4, В3, Г5]]</f>
        <v>86852.954916000002</v>
      </c>
      <c r="CE329" s="93"/>
      <c r="CF329" s="93">
        <f>ППД5[[#This Row],[Наценка 16.09.2024
1К: А1,В7,Г6/7,Г8 - 2%
2К: А4,А5,А6,Б1,Б6,Б3/4,В3,В4,Г4,Г5 - 4%
3К: 4%]]+ППД5[[#This Row],[Фикс 04.09.24]]</f>
        <v>86852.954916000002</v>
      </c>
      <c r="CG329" s="93"/>
      <c r="CH329" s="93">
        <f>ППД5[[#This Row],[Фикс 16.09.2024]]+ППД5[[#This Row],[Наценка 01.11.24
СТ: 4%
1К: 34-40м 5%; 40м+ 8%; МГН 1%
2К: 55-70м 6%; 70-73м 7%; 73-76м 8% 
3К: 5%]]</f>
        <v>86852.954916000002</v>
      </c>
      <c r="CI329" s="93"/>
      <c r="CJ329" s="93">
        <f>ППД5[[#This Row],[Наценка 06.11 13%]]+ППД5[[#This Row],[Фикс 01.11.24]]</f>
        <v>86852.954916000002</v>
      </c>
      <c r="CK329" s="93"/>
      <c r="CL329" s="93">
        <f>ППД5[[#This Row],[Фикс 06.11.24]]+ППД5[[#This Row],[Наценка 18.12.24 распределение КВ]]</f>
        <v>86852.954916000002</v>
      </c>
      <c r="CM329" s="93"/>
      <c r="CN329" s="93">
        <f>ППД5[[#This Row],[Фикс 18.12.24]]+ППД5[[#This Row],[Наценка 10.02.25 +1%
1К: А3
2К: Б3, В3]]</f>
        <v>86852.954916000002</v>
      </c>
      <c r="CO329" s="93">
        <f>ROUND(ППД5[[#This Row],[Фикс 10.02.25]],2)</f>
        <v>86852.95</v>
      </c>
      <c r="CP32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6401100</v>
      </c>
      <c r="CQ329" s="93">
        <f>ROUNDUP(ППД5[[#This Row],[Стоимость до скидки]]+ППД5[[#This Row],[Сумма доплаты]],-2)</f>
        <v>6353400</v>
      </c>
      <c r="CR329" s="68"/>
      <c r="CS329" s="90">
        <v>0.02</v>
      </c>
      <c r="CT329" s="68">
        <f>ППД5[[#This Row],[Стоимость до скидки]]*ППД5[[#This Row],[Скидка %]]+ППД5[[#This Row],[Скидка фиксированная]]</f>
        <v>128022</v>
      </c>
      <c r="CU329" s="3">
        <f>ППД5[[#This Row],[Стоимость ОН без отделки со скидкой]]/ППД5[[#This Row],[Расчетная проектная площадь]]</f>
        <v>85116.390773405699</v>
      </c>
      <c r="CV329" s="3">
        <f>ROUND(ППД5[[#This Row],[Стоимость до скидки]]-ППД5[[#This Row],[Итоговая сумма скидки]],2)</f>
        <v>6273078</v>
      </c>
      <c r="CW32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29" s="197"/>
      <c r="CY329" s="332">
        <f>ППД5[[#This Row],[Расхождение]]/ППД5[[#This Row],[Расчетная проектная площадь]]</f>
        <v>-7.4626865671643334E-3</v>
      </c>
      <c r="CZ32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-0.41000000000000014</v>
      </c>
      <c r="DA329" s="3">
        <f>ППД5[[#This Row],[Цена м2 без отделки со скидкой]]+ППД5[[#This Row],[Стоимость отделки]]</f>
        <v>85116.390773405699</v>
      </c>
      <c r="DB329" s="3">
        <f>ППД5[[#This Row],[Стоимость квартиры с отделкой]]-ППД5[[#This Row],[Стоимость ОН без отделки со скидкой]]</f>
        <v>0</v>
      </c>
      <c r="DC329" s="3">
        <f>ППД5[[#This Row],[Цена м2 с отделкой]]*ППД5[[#This Row],[Расчетная проектная площадь]]</f>
        <v>6273078</v>
      </c>
      <c r="DD329" s="3" t="s">
        <v>158</v>
      </c>
      <c r="DE329" s="111" t="s">
        <v>757</v>
      </c>
      <c r="DF329" s="199" t="s">
        <v>172</v>
      </c>
      <c r="DG329" s="245" t="s">
        <v>172</v>
      </c>
      <c r="DH329" s="100" t="b">
        <f>EXACT(ППД5[[#This Row],[Статусы CRM]],ППД5[[#This Row],[Статус]])</f>
        <v>1</v>
      </c>
      <c r="DI329" s="213" t="s">
        <v>501</v>
      </c>
      <c r="DJ329" s="204"/>
      <c r="DK329" s="111" t="s">
        <v>763</v>
      </c>
      <c r="DL329" s="216" t="s">
        <v>12</v>
      </c>
      <c r="DM329" s="201" t="b">
        <f>ППД5[[#This Row],[Отделка CRM]]=ППД5[[#This Row],[Отделка]]</f>
        <v>1</v>
      </c>
      <c r="DN329" s="203">
        <v>6273078</v>
      </c>
      <c r="DO32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29" s="207" t="b">
        <f>IF(AND(ППД5[[#This Row],[Статус]]="свободно",ППД5[[#This Row],[Итоговая сумма скидки]]&lt;&gt;0),FALSE,TRUE)</f>
        <v>1</v>
      </c>
      <c r="DQ329" s="240">
        <f>_xlfn.XLOOKUP(ППД5[[#This Row],[№]],Юрист[№ кв],Юрист[Дата подачи на регистрацию]," ",0,-1)</f>
        <v>45275</v>
      </c>
      <c r="DR329" s="115" t="str">
        <f>_xlfn.XLOOKUP(ППД5[[#This Row],[№]],Юрист[№ кв],Юрист[МОП],"",0,-1)</f>
        <v>Полехович</v>
      </c>
      <c r="DS329" s="333" t="s">
        <v>2950</v>
      </c>
      <c r="DT329" s="333" t="s">
        <v>2951</v>
      </c>
      <c r="DU329" s="333">
        <v>69.5</v>
      </c>
      <c r="DV329" s="111"/>
    </row>
    <row r="330" spans="1:126" hidden="1" x14ac:dyDescent="0.25">
      <c r="A330" s="112">
        <v>328</v>
      </c>
      <c r="B330" s="111" t="s">
        <v>3</v>
      </c>
      <c r="C330" s="111">
        <v>16</v>
      </c>
      <c r="D330" s="111">
        <v>2</v>
      </c>
      <c r="E330" s="111">
        <v>0</v>
      </c>
      <c r="F330" s="105">
        <v>7.18</v>
      </c>
      <c r="G330" s="105"/>
      <c r="H330" s="105"/>
      <c r="I330" s="94">
        <f>SUM(ППД5[[#This Row],[Комната 1]:[Комната 3]])</f>
        <v>7.18</v>
      </c>
      <c r="J330" s="105">
        <v>5.17</v>
      </c>
      <c r="K330" s="105">
        <v>3.72</v>
      </c>
      <c r="L330" s="105"/>
      <c r="M330" s="105"/>
      <c r="N330" s="105">
        <v>6.97</v>
      </c>
      <c r="O330" s="105">
        <v>2.97</v>
      </c>
      <c r="P330" s="105"/>
      <c r="Q330" s="105"/>
      <c r="R330" s="105">
        <f>SUM(ППД5[[#This Row],[Лоджия 1]:[Лоджия 3]])</f>
        <v>2.97</v>
      </c>
      <c r="S330" s="8">
        <f>ROUND(SUM(ППД5[[#This Row],[Площадь по проекту жилая]:[Лоджия 3]]),2)</f>
        <v>26.01</v>
      </c>
      <c r="T330" s="8">
        <f>ROUND(ППД5[[#This Row],[Площадь по проекту(общая)]]-ППД5[[#This Row],[Летние]],2)</f>
        <v>23.04</v>
      </c>
      <c r="U330" s="91">
        <f>ROUND(ППД5[[#This Row],[Площадь по проекту(общая)]]-(SUM(ППД5[[#This Row],[Лоджия 1]:[Лоджия 3]])/2),2)</f>
        <v>24.53</v>
      </c>
      <c r="V330" s="91">
        <f>IF(ППД5[[#This Row],[Статус]]="продажа",ППД5[[#This Row],[Расчетная проектная площадь]],ППД5[[#This Row],[Расчетная ТП площадь]])</f>
        <v>24.53</v>
      </c>
      <c r="W330" s="91">
        <v>7.2</v>
      </c>
      <c r="X330" s="91"/>
      <c r="Y330" s="91"/>
      <c r="Z330" s="91">
        <f>SUM(ППД5[[#This Row],[ТП Комната 1]:[ТП Комната 3]])</f>
        <v>7.2</v>
      </c>
      <c r="AA330" s="91">
        <v>5.0999999999999996</v>
      </c>
      <c r="AB330" s="91">
        <v>3.7</v>
      </c>
      <c r="AC330" s="91"/>
      <c r="AD330" s="91"/>
      <c r="AE330" s="91">
        <v>7</v>
      </c>
      <c r="AF330" s="91">
        <v>1.45</v>
      </c>
      <c r="AG330" s="91"/>
      <c r="AH330" s="91"/>
      <c r="AI330" s="91">
        <f>SUM(ППД5[[#This Row],[ТП Лоджия 1]:[ТП Лоджия 3]])</f>
        <v>1.45</v>
      </c>
      <c r="AJ330" s="95">
        <v>2.9</v>
      </c>
      <c r="AK330" s="91">
        <f>SUM(ППД5[[#This Row],[Площадь по ТП жилая]:[ТП Лоджия 3]])-ППД5[[#This Row],[ТП Летние]]+ППД5[[#This Row],[кроме того прочая
(без коэффициента)]]</f>
        <v>25.9</v>
      </c>
      <c r="AL330" s="95">
        <f>ППД5[[#This Row],[ТП Площадь без летних]]+(ППД5[[#This Row],[ТП Летние]])</f>
        <v>24.45</v>
      </c>
      <c r="AM330" s="91">
        <f>ППД5[[#This Row],[ТП общая S]]-ППД5[[#This Row],[кроме того прочая
(без коэффициента)]]</f>
        <v>23</v>
      </c>
      <c r="AN330" s="95">
        <f>SUM(ППД5[[#This Row],[ТП Кухня]:[ТП Коридор]])</f>
        <v>15.8</v>
      </c>
      <c r="AO330" s="91">
        <f>ППД5[[#This Row],[Расчетная ТП площадь]]-ППД5[[#This Row],[Расчетная проектная площадь]]</f>
        <v>-8.0000000000001847E-2</v>
      </c>
      <c r="AP330" s="335">
        <f>ППД5[[#This Row],[Расчетная ТП площадь]]/ППД5[[#This Row],[Расчетная проектная площадь]]-1</f>
        <v>-3.2613126783531676E-3</v>
      </c>
      <c r="AQ330" s="91">
        <f>ППД5[[#This Row],[% расхождения]]*ППД5[[#This Row],[Стоимость до скидки]]</f>
        <v>-9916.6734610684762</v>
      </c>
      <c r="AR330" s="91">
        <f>VLOOKUP(ППД5[[#This Row],[№]],наценкад5[],COLUMN(наценкад5[[#This Row],[Цена м2 с учетом всех K]]),0)</f>
        <v>92857.59</v>
      </c>
      <c r="AS330" s="8">
        <f>ППД5[[#This Row],[м2 после К]]*5%</f>
        <v>4642.8795</v>
      </c>
      <c r="AT330" s="8">
        <f>ППД5[[#This Row],[м2 после К]]+ППД5[[#This Row],[Повышение 16.08.23 - 5%]]</f>
        <v>97500.469499999992</v>
      </c>
      <c r="AU330" s="93">
        <f>ППД5[[#This Row],[Фикс 16.08.23]]*3%</f>
        <v>2925.0140849999998</v>
      </c>
      <c r="AV330" s="93">
        <f>ППД5[[#This Row],[Фикс 16.08.23]]+ППД5[[#This Row],[Повышение 29.08.23 - 3%]]</f>
        <v>100425.48358499999</v>
      </c>
      <c r="AW330" s="93">
        <f>ППД5[[#This Row],[Фикс 29.08.23]]*13%</f>
        <v>13055.312866050001</v>
      </c>
      <c r="AX330" s="93">
        <f>ППД5[[#This Row],[Фикс 29.08.23]]+ППД5[[#This Row],[Повышение 06.09.23 СТ и 1К]]</f>
        <v>113480.79645105</v>
      </c>
      <c r="AY330" s="93">
        <f>ППД5[[#This Row],[Фикс 06.09.23]]*3%</f>
        <v>3404.4238935314997</v>
      </c>
      <c r="AZ330" s="93">
        <f>ППД5[[#This Row],[Повышение 23.10.23  В4 ]]+ППД5[[#This Row],[Фикс 06.09.23]]</f>
        <v>116885.2203445815</v>
      </c>
      <c r="BA330" s="93"/>
      <c r="BB330" s="93">
        <f>ППД5[[#This Row],[Повышение 8.11.23 1К 5%]]+ППД5[[#This Row],[Фикс 23.10.23]]</f>
        <v>116885.2203445815</v>
      </c>
      <c r="BC330" s="93"/>
      <c r="BD330" s="93">
        <f>ППД5[[#This Row],[Корректировка 24.11.23 - 1К В5, 2К А2, №233]]+ППД5[[#This Row],[Фикс 8.11.23]]</f>
        <v>116885.2203445815</v>
      </c>
      <c r="BE330" s="93">
        <f>ППД5[[#This Row],[Фикс 8.11.24]]*1%</f>
        <v>1168.8522034458149</v>
      </c>
      <c r="BF330" s="93">
        <f>ППД5[[#This Row],[Наценка за отделку 29.12.23 1%]]+ППД5[[#This Row],[Фикс 8.11.24]]</f>
        <v>118054.07254802731</v>
      </c>
      <c r="BG330" s="93">
        <f>ППД5[[#This Row],[Фикс 29.12.23]]*5%</f>
        <v>5902.7036274013662</v>
      </c>
      <c r="BH330" s="93">
        <f>ППД5[[#This Row],[Фикс 29.12.23]]+ППД5[[#This Row],[Наценка 10.01.24 5%]]</f>
        <v>123956.77617542868</v>
      </c>
      <c r="BI330" s="93"/>
      <c r="BJ330" s="93">
        <f>ППД5[[#This Row],[Наценка 26.02.24 1 Этаж]]+ППД5[[#This Row],[Фикс 10.01.24]]</f>
        <v>123956.77617542868</v>
      </c>
      <c r="BK330" s="93"/>
      <c r="BL330" s="93">
        <f>ППД5[[#This Row],[Фикс 26.02.24]]+ППД5[[#This Row],[Наценка 06.03.24
СТ, 1К - 3%
2К, 3К - 2%]]</f>
        <v>123956.77617542868</v>
      </c>
      <c r="BM330" s="93"/>
      <c r="BN330" s="93">
        <f>ППД5[[#This Row],[Фикс 06.03.24]]+ППД5[[#This Row],[Наценка Г2+500]]</f>
        <v>123956.77617542868</v>
      </c>
      <c r="BO330" s="93"/>
      <c r="BP330" s="93">
        <f>ППД5[[#This Row],[Фикс 13.03.25]]+ППД5[[#This Row],[Наценка 20.03.24
2К, 3К - 2%]]</f>
        <v>123956.77617542868</v>
      </c>
      <c r="BQ330" s="93"/>
      <c r="BR330" s="93">
        <f>ППД5[[#This Row],[Фикс 20.03.24]]+ППД5[[#This Row],[Наценка 08.04.24 
2К: В3 - 150
3К: Г7 +1000]]</f>
        <v>123956.77617542868</v>
      </c>
      <c r="BS330" s="93"/>
      <c r="BT330" s="93">
        <f>ППД5[[#This Row],[Фикс 08.04.24]]+ППД5[[#This Row],[Наценка 16.05.24 1%
А4,А6,Б3,Б6,Б7,В2,В3,В5,В6,Г1,Г3-Г5]]</f>
        <v>123956.77617542868</v>
      </c>
      <c r="BU330" s="93"/>
      <c r="BV330" s="93">
        <f>ППД5[[#This Row],[Фикс 16.05.24]]+ППД5[[#This Row],[Наценка 24.05.24
1% - Б4, Б5,Г2,Г6
2% - А1,А3,А5,Б2,Г7]]</f>
        <v>123956.77617542868</v>
      </c>
      <c r="BW330" s="93"/>
      <c r="BX330" s="93">
        <f>ППД5[[#This Row],[Наценка 06.06.24
0К: В2,Г3 +0,5%
1К: А7, Б5/4, Г6 +0,5%
3К: В6 +0,5%
1К: А3 +1%]]+ППД5[[#This Row],[Фикс 24.05.24]]</f>
        <v>123956.77617542868</v>
      </c>
      <c r="BY330" s="93"/>
      <c r="BZ330" s="93">
        <f>ППД5[[#This Row],[Фикс 06.06.24]]+ППД5[[#This Row],[13.06.2024
3К - 2%]]</f>
        <v>123956.77617542868</v>
      </c>
      <c r="CA330" s="93"/>
      <c r="CB330" s="93">
        <f>ППД5[[#This Row],[02.07.2024: Г3 А1 А3 Б5 Б7 Г2 Г6 Б3 Б4 В3 Г7 2,5% ост 0,5-1,5%]]+ППД5[[#This Row],[Фикс 13.06.24]]</f>
        <v>123956.77617542868</v>
      </c>
      <c r="CC330" s="93"/>
      <c r="CD330" s="93">
        <f>ППД5[[#This Row],[Фикс 02.07.24]]+ППД5[[#This Row],[04.09.2024 +500
0К - Б2; 1К - А3;
2К - А6, Б4, В3, Г5]]</f>
        <v>123956.77617542868</v>
      </c>
      <c r="CE330" s="93"/>
      <c r="CF330" s="93">
        <f>ППД5[[#This Row],[Наценка 16.09.2024
1К: А1,В7,Г6/7,Г8 - 2%
2К: А4,А5,А6,Б1,Б6,Б3/4,В3,В4,Г4,Г5 - 4%
3К: 4%]]+ППД5[[#This Row],[Фикс 04.09.24]]</f>
        <v>123956.77617542868</v>
      </c>
      <c r="CG330" s="93"/>
      <c r="CH330" s="93">
        <f>ППД5[[#This Row],[Фикс 16.09.2024]]+ППД5[[#This Row],[Наценка 01.11.24
СТ: 4%
1К: 34-40м 5%; 40м+ 8%; МГН 1%
2К: 55-70м 6%; 70-73м 7%; 73-76м 8% 
3К: 5%]]</f>
        <v>123956.77617542868</v>
      </c>
      <c r="CI330" s="93"/>
      <c r="CJ330" s="93">
        <f>ППД5[[#This Row],[Наценка 06.11 13%]]+ППД5[[#This Row],[Фикс 01.11.24]]</f>
        <v>123956.77617542868</v>
      </c>
      <c r="CK330" s="93"/>
      <c r="CL330" s="93">
        <f>ППД5[[#This Row],[Фикс 06.11.24]]+ППД5[[#This Row],[Наценка 18.12.24 распределение КВ]]</f>
        <v>123956.77617542868</v>
      </c>
      <c r="CM330" s="93"/>
      <c r="CN330" s="93">
        <f>ППД5[[#This Row],[Фикс 18.12.24]]+ППД5[[#This Row],[Наценка 10.02.25 +1%
1К: А3
2К: Б3, В3]]</f>
        <v>123956.77617542868</v>
      </c>
      <c r="CO330" s="93">
        <f>ROUND(ППД5[[#This Row],[Фикс 10.02.25]],2)</f>
        <v>123956.78</v>
      </c>
      <c r="CP33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3040700</v>
      </c>
      <c r="CQ330" s="93">
        <f>ROUNDUP(ППД5[[#This Row],[Стоимость до скидки]]+ППД5[[#This Row],[Сумма доплаты]],-2)</f>
        <v>3030800</v>
      </c>
      <c r="CR330" s="68"/>
      <c r="CS330" s="90">
        <v>0.04</v>
      </c>
      <c r="CT330" s="68">
        <f>ППД5[[#This Row],[Стоимость до скидки]]*ППД5[[#This Row],[Скидка %]]+ППД5[[#This Row],[Скидка фиксированная]]</f>
        <v>121628</v>
      </c>
      <c r="CU330" s="3">
        <f>ППД5[[#This Row],[Стоимость ОН без отделки со скидкой]]/ППД5[[#This Row],[Расчетная проектная площадь]]</f>
        <v>119000.08153281696</v>
      </c>
      <c r="CV330" s="3">
        <f>ROUND(ППД5[[#This Row],[Стоимость до скидки]]-ППД5[[#This Row],[Итоговая сумма скидки]],2)</f>
        <v>2919072</v>
      </c>
      <c r="CW33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30" s="197">
        <v>20000</v>
      </c>
      <c r="CY330" s="332">
        <f>ППД5[[#This Row],[Расхождение]]/ППД5[[#This Row],[Расчетная проектная площадь]]</f>
        <v>-3.2613126783531121E-3</v>
      </c>
      <c r="CZ33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-5.9999999999998721E-2</v>
      </c>
      <c r="DA330" s="3">
        <f>ППД5[[#This Row],[Цена м2 без отделки со скидкой]]+ППД5[[#This Row],[Стоимость отделки]]</f>
        <v>139000.08153281696</v>
      </c>
      <c r="DB330" s="3">
        <f>ППД5[[#This Row],[Стоимость квартиры с отделкой]]-ППД5[[#This Row],[Стоимость ОН без отделки со скидкой]]</f>
        <v>490600</v>
      </c>
      <c r="DC330" s="3">
        <f>ППД5[[#This Row],[Цена м2 с отделкой]]*ППД5[[#This Row],[Расчетная проектная площадь]]</f>
        <v>3409672</v>
      </c>
      <c r="DD330" s="3"/>
      <c r="DE330" s="111" t="s">
        <v>162</v>
      </c>
      <c r="DF330" s="199" t="s">
        <v>172</v>
      </c>
      <c r="DG330" s="245" t="s">
        <v>172</v>
      </c>
      <c r="DH330" s="100" t="b">
        <f>EXACT(ППД5[[#This Row],[Статусы CRM]],ППД5[[#This Row],[Статус]])</f>
        <v>1</v>
      </c>
      <c r="DI330" s="213" t="s">
        <v>502</v>
      </c>
      <c r="DJ330" s="204"/>
      <c r="DK330" s="111" t="s">
        <v>763</v>
      </c>
      <c r="DL330" s="216" t="s">
        <v>14</v>
      </c>
      <c r="DM330" s="201" t="b">
        <f>ППД5[[#This Row],[Отделка CRM]]=ППД5[[#This Row],[Отделка]]</f>
        <v>1</v>
      </c>
      <c r="DN330" s="203">
        <v>3409672</v>
      </c>
      <c r="DO33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30" s="207" t="b">
        <f>IF(AND(ППД5[[#This Row],[Статус]]="свободно",ППД5[[#This Row],[Итоговая сумма скидки]]&lt;&gt;0),FALSE,TRUE)</f>
        <v>1</v>
      </c>
      <c r="DQ330" s="240">
        <f>_xlfn.XLOOKUP(ППД5[[#This Row],[№]],Юрист[№ кв],Юрист[Дата подачи на регистрацию]," ",0,-1)</f>
        <v>45321</v>
      </c>
      <c r="DR330" s="115" t="str">
        <f>_xlfn.XLOOKUP(ППД5[[#This Row],[№]],Юрист[№ кв],Юрист[МОП],"",0,-1)</f>
        <v>Полехович</v>
      </c>
      <c r="DS330" s="333" t="s">
        <v>2952</v>
      </c>
      <c r="DT330" s="333" t="s">
        <v>2953</v>
      </c>
      <c r="DU330" s="333">
        <v>23</v>
      </c>
      <c r="DV330" s="111"/>
    </row>
    <row r="331" spans="1:126" hidden="1" x14ac:dyDescent="0.25">
      <c r="A331" s="112">
        <v>329</v>
      </c>
      <c r="B331" s="111" t="s">
        <v>3</v>
      </c>
      <c r="C331" s="111">
        <v>16</v>
      </c>
      <c r="D331" s="111">
        <v>3</v>
      </c>
      <c r="E331" s="111">
        <v>2</v>
      </c>
      <c r="F331" s="105">
        <v>13.69</v>
      </c>
      <c r="G331" s="105">
        <v>10.16</v>
      </c>
      <c r="H331" s="105"/>
      <c r="I331" s="94">
        <f>SUM(ППД5[[#This Row],[Комната 1]:[Комната 3]])</f>
        <v>23.85</v>
      </c>
      <c r="J331" s="105">
        <v>18.71</v>
      </c>
      <c r="K331" s="105">
        <v>3.49</v>
      </c>
      <c r="L331" s="105">
        <v>2.11</v>
      </c>
      <c r="M331" s="105"/>
      <c r="N331" s="105">
        <v>7.09</v>
      </c>
      <c r="O331" s="105">
        <v>2.65</v>
      </c>
      <c r="P331" s="105"/>
      <c r="Q331" s="105"/>
      <c r="R331" s="105">
        <f>SUM(ППД5[[#This Row],[Лоджия 1]:[Лоджия 3]])</f>
        <v>2.65</v>
      </c>
      <c r="S331" s="8">
        <f>ROUND(SUM(ППД5[[#This Row],[Площадь по проекту жилая]:[Лоджия 3]]),2)</f>
        <v>57.9</v>
      </c>
      <c r="T331" s="8">
        <f>ROUND(ППД5[[#This Row],[Площадь по проекту(общая)]]-ППД5[[#This Row],[Летние]],2)</f>
        <v>55.25</v>
      </c>
      <c r="U331" s="91">
        <f>ROUND(ППД5[[#This Row],[Площадь по проекту(общая)]]-(SUM(ППД5[[#This Row],[Лоджия 1]:[Лоджия 3]])/2),2)</f>
        <v>56.58</v>
      </c>
      <c r="V331" s="91">
        <f>IF(ППД5[[#This Row],[Статус]]="продажа",ППД5[[#This Row],[Расчетная проектная площадь]],ППД5[[#This Row],[Расчетная ТП площадь]])</f>
        <v>56.58</v>
      </c>
      <c r="W331" s="91">
        <v>13.7</v>
      </c>
      <c r="X331" s="91">
        <v>10</v>
      </c>
      <c r="Y331" s="91"/>
      <c r="Z331" s="91">
        <f>SUM(ППД5[[#This Row],[ТП Комната 1]:[ТП Комната 3]])</f>
        <v>23.7</v>
      </c>
      <c r="AA331" s="91">
        <v>18.7</v>
      </c>
      <c r="AB331" s="91">
        <v>3.4</v>
      </c>
      <c r="AC331" s="91">
        <v>2.2000000000000002</v>
      </c>
      <c r="AD331" s="91"/>
      <c r="AE331" s="91">
        <v>7.1</v>
      </c>
      <c r="AF331" s="91">
        <v>1.3</v>
      </c>
      <c r="AG331" s="91"/>
      <c r="AH331" s="91"/>
      <c r="AI331" s="91">
        <f>SUM(ППД5[[#This Row],[ТП Лоджия 1]:[ТП Лоджия 3]])</f>
        <v>1.3</v>
      </c>
      <c r="AJ331" s="95">
        <v>2.6</v>
      </c>
      <c r="AK331" s="91">
        <f>SUM(ППД5[[#This Row],[Площадь по ТП жилая]:[ТП Лоджия 3]])-ППД5[[#This Row],[ТП Летние]]+ППД5[[#This Row],[кроме того прочая
(без коэффициента)]]</f>
        <v>57.7</v>
      </c>
      <c r="AL331" s="95">
        <f>ППД5[[#This Row],[ТП Площадь без летних]]+(ППД5[[#This Row],[ТП Летние]])</f>
        <v>56.4</v>
      </c>
      <c r="AM331" s="91">
        <f>ППД5[[#This Row],[ТП общая S]]-ППД5[[#This Row],[кроме того прочая
(без коэффициента)]]</f>
        <v>55.1</v>
      </c>
      <c r="AN331" s="95">
        <f>SUM(ППД5[[#This Row],[ТП Кухня]:[ТП Коридор]])</f>
        <v>31.4</v>
      </c>
      <c r="AO331" s="91">
        <f>ППД5[[#This Row],[Расчетная ТП площадь]]-ППД5[[#This Row],[Расчетная проектная площадь]]</f>
        <v>-0.17999999999999972</v>
      </c>
      <c r="AP331" s="335">
        <f>ППД5[[#This Row],[Расчетная ТП площадь]]/ППД5[[#This Row],[Расчетная проектная площадь]]-1</f>
        <v>-3.1813361611876534E-3</v>
      </c>
      <c r="AQ331" s="91">
        <f>ППД5[[#This Row],[% расхождения]]*ППД5[[#This Row],[Стоимость до скидки]]</f>
        <v>-22838.494167550045</v>
      </c>
      <c r="AR331" s="91">
        <f>VLOOKUP(ППД5[[#This Row],[№]],наценкад5[],COLUMN(наценкад5[[#This Row],[Цена м2 с учетом всех K]]),0)</f>
        <v>81080.055000000008</v>
      </c>
      <c r="AS331" s="8">
        <f>ППД5[[#This Row],[м2 после К]]*5%</f>
        <v>4054.0027500000006</v>
      </c>
      <c r="AT331" s="8">
        <f>ППД5[[#This Row],[м2 после К]]+ППД5[[#This Row],[Повышение 16.08.23 - 5%]]</f>
        <v>85134.057750000007</v>
      </c>
      <c r="AU331" s="93">
        <f>ППД5[[#This Row],[Фикс 16.08.23]]*3%</f>
        <v>2554.0217325000003</v>
      </c>
      <c r="AV331" s="93">
        <f>ППД5[[#This Row],[Фикс 16.08.23]]+ППД5[[#This Row],[Повышение 29.08.23 - 3%]]</f>
        <v>87688.079482500005</v>
      </c>
      <c r="AW331" s="93"/>
      <c r="AX331" s="93">
        <f>ППД5[[#This Row],[Фикс 29.08.23]]+ППД5[[#This Row],[Повышение 06.09.23 СТ и 1К]]</f>
        <v>87688.079482500005</v>
      </c>
      <c r="AY331" s="93"/>
      <c r="AZ331" s="93">
        <f>ППД5[[#This Row],[Повышение 23.10.23  В4 ]]+ППД5[[#This Row],[Фикс 06.09.23]]</f>
        <v>87688.079482500005</v>
      </c>
      <c r="BA331" s="93"/>
      <c r="BB331" s="93">
        <f>ППД5[[#This Row],[Повышение 8.11.23 1К 5%]]+ППД5[[#This Row],[Фикс 23.10.23]]</f>
        <v>87688.079482500005</v>
      </c>
      <c r="BC331" s="93"/>
      <c r="BD331" s="93">
        <f>ППД5[[#This Row],[Корректировка 24.11.23 - 1К В5, 2К А2, №233]]+ППД5[[#This Row],[Фикс 8.11.23]]</f>
        <v>87688.079482500005</v>
      </c>
      <c r="BE331" s="93">
        <f>ППД5[[#This Row],[Фикс 8.11.24]]*1%</f>
        <v>876.88079482500007</v>
      </c>
      <c r="BF331" s="93">
        <f>ППД5[[#This Row],[Наценка за отделку 29.12.23 1%]]+ППД5[[#This Row],[Фикс 8.11.24]]</f>
        <v>88564.960277325008</v>
      </c>
      <c r="BG331" s="93">
        <f>ППД5[[#This Row],[Фикс 29.12.23]]*5%</f>
        <v>4428.2480138662504</v>
      </c>
      <c r="BH331" s="93">
        <f>ППД5[[#This Row],[Фикс 29.12.23]]+ППД5[[#This Row],[Наценка 10.01.24 5%]]</f>
        <v>92993.208291191258</v>
      </c>
      <c r="BI331" s="93"/>
      <c r="BJ331" s="93">
        <f>ППД5[[#This Row],[Наценка 26.02.24 1 Этаж]]+ППД5[[#This Row],[Фикс 10.01.24]]</f>
        <v>92993.208291191258</v>
      </c>
      <c r="BK331" s="93">
        <f>ППД5[[#This Row],[Фикс 26.02.24]]*2%</f>
        <v>1859.8641658238253</v>
      </c>
      <c r="BL331" s="93">
        <f>ППД5[[#This Row],[Фикс 26.02.24]]+ППД5[[#This Row],[Наценка 06.03.24
СТ, 1К - 3%
2К, 3К - 2%]]</f>
        <v>94853.072457015078</v>
      </c>
      <c r="BM331" s="93"/>
      <c r="BN331" s="93">
        <f>ППД5[[#This Row],[Фикс 06.03.24]]+ППД5[[#This Row],[Наценка Г2+500]]</f>
        <v>94853.072457015078</v>
      </c>
      <c r="BO331" s="93">
        <f>ППД5[[#This Row],[Фикс 13.03.25]]*2%</f>
        <v>1897.0614491403016</v>
      </c>
      <c r="BP331" s="93">
        <f>ППД5[[#This Row],[Фикс 13.03.25]]+ППД5[[#This Row],[Наценка 20.03.24
2К, 3К - 2%]]</f>
        <v>96750.133906155374</v>
      </c>
      <c r="BQ331" s="93">
        <v>150</v>
      </c>
      <c r="BR331" s="93">
        <f>ППД5[[#This Row],[Фикс 20.03.24]]+ППД5[[#This Row],[Наценка 08.04.24 
2К: В3 - 150
3К: Г7 +1000]]</f>
        <v>96900.133906155374</v>
      </c>
      <c r="BS331" s="93">
        <f>ППД5[[#This Row],[Фикс 08.04.24]]*1%</f>
        <v>969.00133906155372</v>
      </c>
      <c r="BT331" s="93">
        <f>ППД5[[#This Row],[Фикс 08.04.24]]+ППД5[[#This Row],[Наценка 16.05.24 1%
А4,А6,Б3,Б6,Б7,В2,В3,В5,В6,Г1,Г3-Г5]]</f>
        <v>97869.135245216923</v>
      </c>
      <c r="BU331" s="93"/>
      <c r="BV331" s="93">
        <f>ППД5[[#This Row],[Фикс 16.05.24]]+ППД5[[#This Row],[Наценка 24.05.24
1% - Б4, Б5,Г2,Г6
2% - А1,А3,А5,Б2,Г7]]</f>
        <v>97869.135245216923</v>
      </c>
      <c r="BW331" s="93"/>
      <c r="BX331" s="93">
        <f>ППД5[[#This Row],[Наценка 06.06.24
0К: В2,Г3 +0,5%
1К: А7, Б5/4, Г6 +0,5%
3К: В6 +0,5%
1К: А3 +1%]]+ППД5[[#This Row],[Фикс 24.05.24]]</f>
        <v>97869.135245216923</v>
      </c>
      <c r="BY331" s="93"/>
      <c r="BZ331" s="93">
        <f>ППД5[[#This Row],[Фикс 06.06.24]]+ППД5[[#This Row],[13.06.2024
3К - 2%]]</f>
        <v>97869.135245216923</v>
      </c>
      <c r="CA331" s="93">
        <f>2.5%*ППД5[[#This Row],[Фикс 13.06.24]]</f>
        <v>2446.7283811304233</v>
      </c>
      <c r="CB331" s="93">
        <f>ППД5[[#This Row],[02.07.2024: Г3 А1 А3 Б5 Б7 Г2 Г6 Б3 Б4 В3 Г7 2,5% ост 0,5-1,5%]]+ППД5[[#This Row],[Фикс 13.06.24]]</f>
        <v>100315.86362634735</v>
      </c>
      <c r="CC331" s="93">
        <v>500</v>
      </c>
      <c r="CD331" s="93">
        <f>ППД5[[#This Row],[Фикс 02.07.24]]+ППД5[[#This Row],[04.09.2024 +500
0К - Б2; 1К - А3;
2К - А6, Б4, В3, Г5]]</f>
        <v>100815.86362634735</v>
      </c>
      <c r="CE331" s="93">
        <f>ППД5[[#This Row],[Фикс 04.09.24]]*4%</f>
        <v>4032.6345450538938</v>
      </c>
      <c r="CF331" s="93">
        <f>ППД5[[#This Row],[Наценка 16.09.2024
1К: А1,В7,Г6/7,Г8 - 2%
2К: А4,А5,А6,Б1,Б6,Б3/4,В3,В4,Г4,Г5 - 4%
3К: 4%]]+ППД5[[#This Row],[Фикс 04.09.24]]</f>
        <v>104848.49817140124</v>
      </c>
      <c r="CG331" s="93">
        <f>ППД5[[#This Row],[Фикс 16.09.2024]]*6%</f>
        <v>6290.9098902840742</v>
      </c>
      <c r="CH331" s="93">
        <f>ППД5[[#This Row],[Фикс 16.09.2024]]+ППД5[[#This Row],[Наценка 01.11.24
СТ: 4%
1К: 34-40м 5%; 40м+ 8%; МГН 1%
2К: 55-70м 6%; 70-73м 7%; 73-76м 8% 
3К: 5%]]</f>
        <v>111139.40806168532</v>
      </c>
      <c r="CI331" s="93">
        <f>ППД5[[#This Row],[Фикс 01.11.24]]*13%</f>
        <v>14448.123048019092</v>
      </c>
      <c r="CJ331" s="93">
        <f>ППД5[[#This Row],[Наценка 06.11 13%]]+ППД5[[#This Row],[Фикс 01.11.24]]</f>
        <v>125587.5311097044</v>
      </c>
      <c r="CK331" s="93">
        <v>35</v>
      </c>
      <c r="CL331" s="93">
        <f>ППД5[[#This Row],[Фикс 06.11.24]]+ППД5[[#This Row],[Наценка 18.12.24 распределение КВ]]</f>
        <v>125622.5311097044</v>
      </c>
      <c r="CM331" s="93">
        <f>ППД5[[#This Row],[Фикс 18.12.24]]*1%</f>
        <v>1256.2253110970441</v>
      </c>
      <c r="CN331" s="93">
        <f>ППД5[[#This Row],[Фикс 18.12.24]]+ППД5[[#This Row],[Наценка 10.02.25 +1%
1К: А3
2К: Б3, В3]]</f>
        <v>126878.75642080145</v>
      </c>
      <c r="CO331" s="93">
        <f>ROUND(ППД5[[#This Row],[Фикс 10.02.25]],2)</f>
        <v>126878.76</v>
      </c>
      <c r="CP33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7178900</v>
      </c>
      <c r="CQ331" s="93">
        <f>ROUNDUP(ППД5[[#This Row],[Стоимость до скидки]]+ППД5[[#This Row],[Сумма доплаты]],-2)</f>
        <v>7156100</v>
      </c>
      <c r="CR331" s="68">
        <v>300000</v>
      </c>
      <c r="CS331" s="90">
        <v>0.03</v>
      </c>
      <c r="CT331" s="68">
        <f>ППД5[[#This Row],[Стоимость до скидки]]*ППД5[[#This Row],[Скидка %]]+ППД5[[#This Row],[Скидка фиксированная]]</f>
        <v>515367</v>
      </c>
      <c r="CU331" s="3">
        <f>ППД5[[#This Row],[Стоимость ОН без отделки со скидкой]]/ППД5[[#This Row],[Расчетная проектная площадь]]</f>
        <v>117771.88052315306</v>
      </c>
      <c r="CV331" s="3">
        <f>ROUND(ППД5[[#This Row],[Стоимость до скидки]]-ППД5[[#This Row],[Итоговая сумма скидки]],2)</f>
        <v>6663533</v>
      </c>
      <c r="CW33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31" s="218"/>
      <c r="CY331" s="332">
        <f>ППД5[[#This Row],[Расхождение]]/ППД5[[#This Row],[Расчетная проектная площадь]]</f>
        <v>-3.1813361611876937E-3</v>
      </c>
      <c r="CZ331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</v>
      </c>
      <c r="DA331" s="3">
        <f>ППД5[[#This Row],[Цена м2 без отделки со скидкой]]+ППД5[[#This Row],[Стоимость отделки]]</f>
        <v>117771.88052315306</v>
      </c>
      <c r="DB331" s="3">
        <f>ППД5[[#This Row],[Стоимость квартиры с отделкой]]-ППД5[[#This Row],[Стоимость ОН без отделки со скидкой]]</f>
        <v>0</v>
      </c>
      <c r="DC331" s="3">
        <f>ППД5[[#This Row],[Цена м2 с отделкой]]*ППД5[[#This Row],[Расчетная проектная площадь]]</f>
        <v>6663533</v>
      </c>
      <c r="DD331" s="3" t="s">
        <v>154</v>
      </c>
      <c r="DE331" s="111" t="s">
        <v>2113</v>
      </c>
      <c r="DF331" s="155" t="s">
        <v>172</v>
      </c>
      <c r="DG331" s="221" t="s">
        <v>172</v>
      </c>
      <c r="DH331" s="100" t="b">
        <f>EXACT(ППД5[[#This Row],[Статусы CRM]],ППД5[[#This Row],[Статус]])</f>
        <v>1</v>
      </c>
      <c r="DI331" s="213" t="s">
        <v>503</v>
      </c>
      <c r="DJ331" s="204"/>
      <c r="DK331" s="111" t="s">
        <v>763</v>
      </c>
      <c r="DL331" s="216" t="s">
        <v>12</v>
      </c>
      <c r="DM331" s="201" t="b">
        <f>ППД5[[#This Row],[Отделка CRM]]=ППД5[[#This Row],[Отделка]]</f>
        <v>1</v>
      </c>
      <c r="DN331" s="203">
        <v>6663533</v>
      </c>
      <c r="DO33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31" s="207" t="b">
        <f>IF(AND(ППД5[[#This Row],[Статус]]="свободно",ППД5[[#This Row],[Итоговая сумма скидки]]&lt;&gt;0),FALSE,TRUE)</f>
        <v>1</v>
      </c>
      <c r="DQ331" s="240">
        <f>_xlfn.XLOOKUP(ППД5[[#This Row],[№]],Юрист[№ кв],Юрист[Дата подачи на регистрацию]," ",0,-1)</f>
        <v>45763</v>
      </c>
      <c r="DR331" s="115" t="str">
        <f>_xlfn.XLOOKUP(ППД5[[#This Row],[№]],Юрист[№ кв],Юрист[МОП],"",0,-1)</f>
        <v>Полехович</v>
      </c>
      <c r="DS331" s="333" t="s">
        <v>2954</v>
      </c>
      <c r="DT331" s="333" t="s">
        <v>2955</v>
      </c>
      <c r="DU331" s="333">
        <v>55.1</v>
      </c>
      <c r="DV331" s="111"/>
    </row>
    <row r="332" spans="1:126" hidden="1" x14ac:dyDescent="0.25">
      <c r="A332" s="112">
        <v>330</v>
      </c>
      <c r="B332" s="111" t="s">
        <v>3</v>
      </c>
      <c r="C332" s="111">
        <v>16</v>
      </c>
      <c r="D332" s="111">
        <v>4</v>
      </c>
      <c r="E332" s="111">
        <v>2</v>
      </c>
      <c r="F332" s="105">
        <v>15.45</v>
      </c>
      <c r="G332" s="105">
        <v>10.34</v>
      </c>
      <c r="H332" s="105"/>
      <c r="I332" s="94">
        <f>SUM(ППД5[[#This Row],[Комната 1]:[Комната 3]])</f>
        <v>25.79</v>
      </c>
      <c r="J332" s="105">
        <v>15.44</v>
      </c>
      <c r="K332" s="105">
        <v>4.59</v>
      </c>
      <c r="L332" s="105">
        <v>2.21</v>
      </c>
      <c r="M332" s="105"/>
      <c r="N332" s="105">
        <v>10.79</v>
      </c>
      <c r="O332" s="105">
        <v>2.84</v>
      </c>
      <c r="P332" s="105"/>
      <c r="Q332" s="105"/>
      <c r="R332" s="105">
        <f>SUM(ППД5[[#This Row],[Лоджия 1]:[Лоджия 3]])</f>
        <v>2.84</v>
      </c>
      <c r="S332" s="8">
        <f>ROUND(SUM(ППД5[[#This Row],[Площадь по проекту жилая]:[Лоджия 3]]),2)</f>
        <v>61.66</v>
      </c>
      <c r="T332" s="8">
        <f>ROUND(ППД5[[#This Row],[Площадь по проекту(общая)]]-ППД5[[#This Row],[Летние]],2)</f>
        <v>58.82</v>
      </c>
      <c r="U332" s="91">
        <f>ROUND(ППД5[[#This Row],[Площадь по проекту(общая)]]-(SUM(ППД5[[#This Row],[Лоджия 1]:[Лоджия 3]])/2),2)</f>
        <v>60.24</v>
      </c>
      <c r="V332" s="91">
        <f>IF(ППД5[[#This Row],[Статус]]="продажа",ППД5[[#This Row],[Расчетная проектная площадь]],ППД5[[#This Row],[Расчетная ТП площадь]])</f>
        <v>60.24</v>
      </c>
      <c r="W332" s="91">
        <v>15.3</v>
      </c>
      <c r="X332" s="91">
        <v>10.3</v>
      </c>
      <c r="Y332" s="91"/>
      <c r="Z332" s="91">
        <f>SUM(ППД5[[#This Row],[ТП Комната 1]:[ТП Комната 3]])</f>
        <v>25.6</v>
      </c>
      <c r="AA332" s="91">
        <v>15.4</v>
      </c>
      <c r="AB332" s="91">
        <v>4.5999999999999996</v>
      </c>
      <c r="AC332" s="91">
        <v>2.1</v>
      </c>
      <c r="AD332" s="91"/>
      <c r="AE332" s="91">
        <v>10.7</v>
      </c>
      <c r="AF332" s="91">
        <v>1.45</v>
      </c>
      <c r="AG332" s="91"/>
      <c r="AH332" s="91"/>
      <c r="AI332" s="91">
        <f>SUM(ППД5[[#This Row],[ТП Лоджия 1]:[ТП Лоджия 3]])</f>
        <v>1.45</v>
      </c>
      <c r="AJ332" s="95">
        <v>2.9</v>
      </c>
      <c r="AK332" s="91">
        <f>SUM(ППД5[[#This Row],[Площадь по ТП жилая]:[ТП Лоджия 3]])-ППД5[[#This Row],[ТП Летние]]+ППД5[[#This Row],[кроме того прочая
(без коэффициента)]]</f>
        <v>61.300000000000004</v>
      </c>
      <c r="AL332" s="95">
        <f>ППД5[[#This Row],[ТП Площадь без летних]]+(ППД5[[#This Row],[ТП Летние]])</f>
        <v>59.850000000000009</v>
      </c>
      <c r="AM332" s="91">
        <f>ППД5[[#This Row],[ТП общая S]]-ППД5[[#This Row],[кроме того прочая
(без коэффициента)]]</f>
        <v>58.400000000000006</v>
      </c>
      <c r="AN332" s="95">
        <f>SUM(ППД5[[#This Row],[ТП Кухня]:[ТП Коридор]])</f>
        <v>32.799999999999997</v>
      </c>
      <c r="AO332" s="91">
        <f>ППД5[[#This Row],[Расчетная ТП площадь]]-ППД5[[#This Row],[Расчетная проектная площадь]]</f>
        <v>-0.38999999999999346</v>
      </c>
      <c r="AP332" s="335">
        <f>ППД5[[#This Row],[Расчетная ТП площадь]]/ППД5[[#This Row],[Расчетная проектная площадь]]-1</f>
        <v>-6.4741035856572537E-3</v>
      </c>
      <c r="AQ332" s="91">
        <f>ППД5[[#This Row],[% расхождения]]*ППД5[[#This Row],[Стоимость до скидки]]</f>
        <v>-40377.689243027162</v>
      </c>
      <c r="AR332" s="91">
        <f>VLOOKUP(ППД5[[#This Row],[№]],наценкад5[],COLUMN(наценкад5[[#This Row],[Цена м2 с учетом всех K]]),0)</f>
        <v>83010.532500000001</v>
      </c>
      <c r="AS332" s="8">
        <f>ППД5[[#This Row],[м2 после К]]*5%</f>
        <v>4150.5266250000004</v>
      </c>
      <c r="AT332" s="8">
        <f>ППД5[[#This Row],[м2 после К]]+ППД5[[#This Row],[Повышение 16.08.23 - 5%]]</f>
        <v>87161.059125</v>
      </c>
      <c r="AU332" s="93">
        <f>ППД5[[#This Row],[Фикс 16.08.23]]*3%</f>
        <v>2614.8317737499997</v>
      </c>
      <c r="AV332" s="93">
        <f>ППД5[[#This Row],[Фикс 16.08.23]]+ППД5[[#This Row],[Повышение 29.08.23 - 3%]]</f>
        <v>89775.890898750004</v>
      </c>
      <c r="AW332" s="93"/>
      <c r="AX332" s="93">
        <f>ППД5[[#This Row],[Фикс 29.08.23]]+ППД5[[#This Row],[Повышение 06.09.23 СТ и 1К]]</f>
        <v>89775.890898750004</v>
      </c>
      <c r="AY332" s="93"/>
      <c r="AZ332" s="93">
        <f>ППД5[[#This Row],[Повышение 23.10.23  В4 ]]+ППД5[[#This Row],[Фикс 06.09.23]]</f>
        <v>89775.890898750004</v>
      </c>
      <c r="BA332" s="93"/>
      <c r="BB332" s="93">
        <f>ППД5[[#This Row],[Повышение 8.11.23 1К 5%]]+ППД5[[#This Row],[Фикс 23.10.23]]</f>
        <v>89775.890898750004</v>
      </c>
      <c r="BC332" s="93"/>
      <c r="BD332" s="93">
        <f>ППД5[[#This Row],[Корректировка 24.11.23 - 1К В5, 2К А2, №233]]+ППД5[[#This Row],[Фикс 8.11.23]]</f>
        <v>89775.890898750004</v>
      </c>
      <c r="BE332" s="93">
        <f>ППД5[[#This Row],[Фикс 8.11.24]]*1%</f>
        <v>897.75890898750004</v>
      </c>
      <c r="BF332" s="93">
        <f>ППД5[[#This Row],[Наценка за отделку 29.12.23 1%]]+ППД5[[#This Row],[Фикс 8.11.24]]</f>
        <v>90673.6498077375</v>
      </c>
      <c r="BG332" s="93">
        <f>ППД5[[#This Row],[Фикс 29.12.23]]*5%</f>
        <v>4533.6824903868755</v>
      </c>
      <c r="BH332" s="93">
        <f>ППД5[[#This Row],[Фикс 29.12.23]]+ППД5[[#This Row],[Наценка 10.01.24 5%]]</f>
        <v>95207.332298124369</v>
      </c>
      <c r="BI332" s="93"/>
      <c r="BJ332" s="93">
        <f>ППД5[[#This Row],[Наценка 26.02.24 1 Этаж]]+ППД5[[#This Row],[Фикс 10.01.24]]</f>
        <v>95207.332298124369</v>
      </c>
      <c r="BK332" s="93">
        <f>ППД5[[#This Row],[Фикс 26.02.24]]*2%</f>
        <v>1904.1466459624874</v>
      </c>
      <c r="BL332" s="93">
        <f>ППД5[[#This Row],[Фикс 26.02.24]]+ППД5[[#This Row],[Наценка 06.03.24
СТ, 1К - 3%
2К, 3К - 2%]]</f>
        <v>97111.478944086863</v>
      </c>
      <c r="BM332" s="93"/>
      <c r="BN332" s="93">
        <f>ППД5[[#This Row],[Фикс 06.03.24]]+ППД5[[#This Row],[Наценка Г2+500]]</f>
        <v>97111.478944086863</v>
      </c>
      <c r="BO332" s="93">
        <f>ППД5[[#This Row],[Фикс 13.03.25]]*2%</f>
        <v>1942.2295788817373</v>
      </c>
      <c r="BP332" s="93">
        <f>ППД5[[#This Row],[Фикс 13.03.25]]+ППД5[[#This Row],[Наценка 20.03.24
2К, 3К - 2%]]</f>
        <v>99053.708522968605</v>
      </c>
      <c r="BQ332" s="93"/>
      <c r="BR332" s="93">
        <f>ППД5[[#This Row],[Фикс 20.03.24]]+ППД5[[#This Row],[Наценка 08.04.24 
2К: В3 - 150
3К: Г7 +1000]]</f>
        <v>99053.708522968605</v>
      </c>
      <c r="BS332" s="93"/>
      <c r="BT332" s="93">
        <f>ППД5[[#This Row],[Фикс 08.04.24]]+ППД5[[#This Row],[Наценка 16.05.24 1%
А4,А6,Б3,Б6,Б7,В2,В3,В5,В6,Г1,Г3-Г5]]</f>
        <v>99053.708522968605</v>
      </c>
      <c r="BU332" s="93"/>
      <c r="BV332" s="93">
        <f>ППД5[[#This Row],[Фикс 16.05.24]]+ППД5[[#This Row],[Наценка 24.05.24
1% - Б4, Б5,Г2,Г6
2% - А1,А3,А5,Б2,Г7]]</f>
        <v>99053.708522968605</v>
      </c>
      <c r="BW332" s="93"/>
      <c r="BX332" s="93">
        <f>ППД5[[#This Row],[Наценка 06.06.24
0К: В2,Г3 +0,5%
1К: А7, Б5/4, Г6 +0,5%
3К: В6 +0,5%
1К: А3 +1%]]+ППД5[[#This Row],[Фикс 24.05.24]]</f>
        <v>99053.708522968605</v>
      </c>
      <c r="BY332" s="93"/>
      <c r="BZ332" s="93">
        <f>ППД5[[#This Row],[Фикс 06.06.24]]+ППД5[[#This Row],[13.06.2024
3К - 2%]]</f>
        <v>99053.708522968605</v>
      </c>
      <c r="CA332" s="93">
        <f>0.5%*ППД5[[#This Row],[Фикс 13.06.24]]</f>
        <v>495.26854261484306</v>
      </c>
      <c r="CB332" s="93">
        <f>ППД5[[#This Row],[02.07.2024: Г3 А1 А3 Б5 Б7 Г2 Г6 Б3 Б4 В3 Г7 2,5% ост 0,5-1,5%]]+ППД5[[#This Row],[Фикс 13.06.24]]</f>
        <v>99548.977065583444</v>
      </c>
      <c r="CC332" s="93"/>
      <c r="CD332" s="93">
        <f>ППД5[[#This Row],[Фикс 02.07.24]]+ППД5[[#This Row],[04.09.2024 +500
0К - Б2; 1К - А3;
2К - А6, Б4, В3, Г5]]</f>
        <v>99548.977065583444</v>
      </c>
      <c r="CE332" s="93">
        <f>ППД5[[#This Row],[Фикс 04.09.24]]*4%</f>
        <v>3981.959082623338</v>
      </c>
      <c r="CF332" s="93">
        <f>ППД5[[#This Row],[Наценка 16.09.2024
1К: А1,В7,Г6/7,Г8 - 2%
2К: А4,А5,А6,Б1,Б6,Б3/4,В3,В4,Г4,Г5 - 4%
3К: 4%]]+ППД5[[#This Row],[Фикс 04.09.24]]</f>
        <v>103530.93614820678</v>
      </c>
      <c r="CG332" s="93"/>
      <c r="CH332" s="93">
        <f>ППД5[[#This Row],[Фикс 16.09.2024]]+ППД5[[#This Row],[Наценка 01.11.24
СТ: 4%
1К: 34-40м 5%; 40м+ 8%; МГН 1%
2К: 55-70м 6%; 70-73м 7%; 73-76м 8% 
3К: 5%]]</f>
        <v>103530.93614820678</v>
      </c>
      <c r="CI332" s="93"/>
      <c r="CJ332" s="93">
        <f>ППД5[[#This Row],[Наценка 06.11 13%]]+ППД5[[#This Row],[Фикс 01.11.24]]</f>
        <v>103530.93614820678</v>
      </c>
      <c r="CK332" s="93"/>
      <c r="CL332" s="93">
        <f>ППД5[[#This Row],[Фикс 06.11.24]]+ППД5[[#This Row],[Наценка 18.12.24 распределение КВ]]</f>
        <v>103530.93614820678</v>
      </c>
      <c r="CM332" s="93"/>
      <c r="CN332" s="93">
        <f>ППД5[[#This Row],[Фикс 18.12.24]]+ППД5[[#This Row],[Наценка 10.02.25 +1%
1К: А3
2К: Б3, В3]]</f>
        <v>103530.93614820678</v>
      </c>
      <c r="CO332" s="93">
        <f>ROUND(ППД5[[#This Row],[Фикс 10.02.25]],2)</f>
        <v>103530.94</v>
      </c>
      <c r="CP33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6236800</v>
      </c>
      <c r="CQ332" s="93">
        <f>ROUNDUP(ППД5[[#This Row],[Стоимость до скидки]]+ППД5[[#This Row],[Сумма доплаты]],-2)</f>
        <v>6196500</v>
      </c>
      <c r="CR332" s="68"/>
      <c r="CS332" s="90">
        <v>0.02</v>
      </c>
      <c r="CT332" s="68">
        <f>ППД5[[#This Row],[Стоимость до скидки]]*ППД5[[#This Row],[Скидка %]]+ППД5[[#This Row],[Скидка фиксированная]]</f>
        <v>124736</v>
      </c>
      <c r="CU332" s="3">
        <f>ППД5[[#This Row],[Стоимость ОН без отделки со скидкой]]/ППД5[[#This Row],[Расчетная проектная площадь]]</f>
        <v>101461.88579017264</v>
      </c>
      <c r="CV332" s="3">
        <f>ROUND(ППД5[[#This Row],[Стоимость до скидки]]-ППД5[[#This Row],[Итоговая сумма скидки]],2)</f>
        <v>6112064</v>
      </c>
      <c r="CW33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32" s="197">
        <v>24000</v>
      </c>
      <c r="CY332" s="332">
        <f>ППД5[[#This Row],[Расхождение]]/ППД5[[#This Row],[Расчетная проектная площадь]]</f>
        <v>-6.4741035856572616E-3</v>
      </c>
      <c r="CZ33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-0.2300000000000022</v>
      </c>
      <c r="DA332" s="3">
        <f>ППД5[[#This Row],[Цена м2 без отделки со скидкой]]+ППД5[[#This Row],[Стоимость отделки]]</f>
        <v>125461.88579017264</v>
      </c>
      <c r="DB332" s="3">
        <f>ППД5[[#This Row],[Стоимость квартиры с отделкой]]-ППД5[[#This Row],[Стоимость ОН без отделки со скидкой]]</f>
        <v>1445760</v>
      </c>
      <c r="DC332" s="3">
        <f>ППД5[[#This Row],[Цена м2 с отделкой]]*ППД5[[#This Row],[Расчетная проектная площадь]]</f>
        <v>7557824</v>
      </c>
      <c r="DD332" s="3"/>
      <c r="DE332" s="111" t="s">
        <v>757</v>
      </c>
      <c r="DF332" s="199" t="s">
        <v>172</v>
      </c>
      <c r="DG332" s="245" t="s">
        <v>172</v>
      </c>
      <c r="DH332" s="100" t="b">
        <f>EXACT(ППД5[[#This Row],[Статусы CRM]],ППД5[[#This Row],[Статус]])</f>
        <v>1</v>
      </c>
      <c r="DI332" s="213" t="s">
        <v>504</v>
      </c>
      <c r="DJ332" s="204"/>
      <c r="DK332" s="111" t="s">
        <v>763</v>
      </c>
      <c r="DL332" s="216" t="s">
        <v>14</v>
      </c>
      <c r="DM332" s="201" t="b">
        <f>ППД5[[#This Row],[Отделка CRM]]=ППД5[[#This Row],[Отделка]]</f>
        <v>1</v>
      </c>
      <c r="DN332" s="203">
        <v>7557824</v>
      </c>
      <c r="DO33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32" s="207" t="b">
        <f>IF(AND(ППД5[[#This Row],[Статус]]="свободно",ППД5[[#This Row],[Итоговая сумма скидки]]&lt;&gt;0),FALSE,TRUE)</f>
        <v>1</v>
      </c>
      <c r="DQ332" s="240">
        <f>_xlfn.XLOOKUP(ППД5[[#This Row],[№]],Юрист[№ кв],Юрист[Дата подачи на регистрацию]," ",0,-1)</f>
        <v>45594</v>
      </c>
      <c r="DR332" s="115" t="str">
        <f>_xlfn.XLOOKUP(ППД5[[#This Row],[№]],Юрист[№ кв],Юрист[МОП],"",0,-1)</f>
        <v>Дик</v>
      </c>
      <c r="DS332" s="333" t="s">
        <v>2956</v>
      </c>
      <c r="DT332" s="333" t="s">
        <v>2957</v>
      </c>
      <c r="DU332" s="333">
        <v>58.4</v>
      </c>
      <c r="DV332" s="111"/>
    </row>
    <row r="333" spans="1:126" hidden="1" x14ac:dyDescent="0.25">
      <c r="A333" s="112">
        <v>331</v>
      </c>
      <c r="B333" s="111" t="s">
        <v>3</v>
      </c>
      <c r="C333" s="111">
        <v>16</v>
      </c>
      <c r="D333" s="111">
        <v>5</v>
      </c>
      <c r="E333" s="111">
        <v>1</v>
      </c>
      <c r="F333" s="105">
        <v>12.54</v>
      </c>
      <c r="G333" s="105"/>
      <c r="H333" s="105"/>
      <c r="I333" s="94">
        <f>SUM(ППД5[[#This Row],[Комната 1]:[Комната 3]])</f>
        <v>12.54</v>
      </c>
      <c r="J333" s="105">
        <v>12.74</v>
      </c>
      <c r="K333" s="105">
        <v>4.0199999999999996</v>
      </c>
      <c r="L333" s="105"/>
      <c r="M333" s="105"/>
      <c r="N333" s="105">
        <v>7.09</v>
      </c>
      <c r="O333" s="105">
        <v>2.84</v>
      </c>
      <c r="P333" s="105"/>
      <c r="Q333" s="105"/>
      <c r="R333" s="105">
        <f>SUM(ППД5[[#This Row],[Лоджия 1]:[Лоджия 3]])</f>
        <v>2.84</v>
      </c>
      <c r="S333" s="8">
        <f>ROUND(SUM(ППД5[[#This Row],[Площадь по проекту жилая]:[Лоджия 3]]),2)</f>
        <v>39.229999999999997</v>
      </c>
      <c r="T333" s="8">
        <f>ROUND(ППД5[[#This Row],[Площадь по проекту(общая)]]-ППД5[[#This Row],[Летние]],2)</f>
        <v>36.39</v>
      </c>
      <c r="U333" s="91">
        <f>ROUND(ППД5[[#This Row],[Площадь по проекту(общая)]]-(SUM(ППД5[[#This Row],[Лоджия 1]:[Лоджия 3]])/2),2)</f>
        <v>37.81</v>
      </c>
      <c r="V333" s="91">
        <f>IF(ППД5[[#This Row],[Статус]]="продажа",ППД5[[#This Row],[Расчетная проектная площадь]],ППД5[[#This Row],[Расчетная ТП площадь]])</f>
        <v>37.81</v>
      </c>
      <c r="W333" s="91">
        <v>12.6</v>
      </c>
      <c r="X333" s="91"/>
      <c r="Y333" s="91"/>
      <c r="Z333" s="91">
        <f>SUM(ППД5[[#This Row],[ТП Комната 1]:[ТП Комната 3]])</f>
        <v>12.6</v>
      </c>
      <c r="AA333" s="91">
        <v>12.6</v>
      </c>
      <c r="AB333" s="91">
        <v>4</v>
      </c>
      <c r="AC333" s="91"/>
      <c r="AD333" s="91"/>
      <c r="AE333" s="91">
        <v>6.8</v>
      </c>
      <c r="AF333" s="91">
        <v>1.45</v>
      </c>
      <c r="AG333" s="91"/>
      <c r="AH333" s="91"/>
      <c r="AI333" s="91">
        <f>SUM(ППД5[[#This Row],[ТП Лоджия 1]:[ТП Лоджия 3]])</f>
        <v>1.45</v>
      </c>
      <c r="AJ333" s="95">
        <v>2.9</v>
      </c>
      <c r="AK333" s="91">
        <f>SUM(ППД5[[#This Row],[Площадь по ТП жилая]:[ТП Лоджия 3]])-ППД5[[#This Row],[ТП Летние]]+ППД5[[#This Row],[кроме того прочая
(без коэффициента)]]</f>
        <v>38.9</v>
      </c>
      <c r="AL333" s="95">
        <f>ППД5[[#This Row],[ТП Площадь без летних]]+(ППД5[[#This Row],[ТП Летние]])</f>
        <v>37.450000000000003</v>
      </c>
      <c r="AM333" s="91">
        <f>ППД5[[#This Row],[ТП общая S]]-ППД5[[#This Row],[кроме того прочая
(без коэффициента)]]</f>
        <v>36</v>
      </c>
      <c r="AN333" s="95">
        <f>SUM(ППД5[[#This Row],[ТП Кухня]:[ТП Коридор]])</f>
        <v>23.400000000000002</v>
      </c>
      <c r="AO333" s="91">
        <f>ППД5[[#This Row],[Расчетная ТП площадь]]-ППД5[[#This Row],[Расчетная проектная площадь]]</f>
        <v>-0.35999999999999943</v>
      </c>
      <c r="AP333" s="335">
        <f>ППД5[[#This Row],[Расчетная ТП площадь]]/ППД5[[#This Row],[Расчетная проектная площадь]]-1</f>
        <v>-9.5212906638455497E-3</v>
      </c>
      <c r="AQ333" s="91">
        <f>ППД5[[#This Row],[% расхождения]]*ППД5[[#This Row],[Стоимость до скидки]]</f>
        <v>-50319.069029357343</v>
      </c>
      <c r="AR333" s="91">
        <f>VLOOKUP(ППД5[[#This Row],[№]],наценкад5[],COLUMN(наценкад5[[#This Row],[Цена м2 с учетом всех K]]),0)</f>
        <v>90034.875</v>
      </c>
      <c r="AS333" s="8">
        <f>ППД5[[#This Row],[м2 после К]]*5%</f>
        <v>4501.7437500000005</v>
      </c>
      <c r="AT333" s="8">
        <f>ППД5[[#This Row],[м2 после К]]+ППД5[[#This Row],[Повышение 16.08.23 - 5%]]</f>
        <v>94536.618749999994</v>
      </c>
      <c r="AU333" s="93">
        <f>ППД5[[#This Row],[Фикс 16.08.23]]*3%</f>
        <v>2836.0985624999998</v>
      </c>
      <c r="AV333" s="93">
        <f>ППД5[[#This Row],[Фикс 16.08.23]]+ППД5[[#This Row],[Повышение 29.08.23 - 3%]]</f>
        <v>97372.717312499997</v>
      </c>
      <c r="AW333" s="93">
        <f>ППД5[[#This Row],[Фикс 29.08.23]]*4.5%</f>
        <v>4381.7722790624994</v>
      </c>
      <c r="AX333" s="93">
        <f>ППД5[[#This Row],[Фикс 29.08.23]]+ППД5[[#This Row],[Повышение 06.09.23 СТ и 1К]]</f>
        <v>101754.48959156249</v>
      </c>
      <c r="AY333" s="93"/>
      <c r="AZ333" s="93">
        <f>ППД5[[#This Row],[Повышение 23.10.23  В4 ]]+ППД5[[#This Row],[Фикс 06.09.23]]</f>
        <v>101754.48959156249</v>
      </c>
      <c r="BA333" s="93">
        <f>ППД5[[#This Row],[Фикс 23.10.23]]*5%</f>
        <v>5087.7244795781253</v>
      </c>
      <c r="BB333" s="93">
        <f>ППД5[[#This Row],[Повышение 8.11.23 1К 5%]]+ППД5[[#This Row],[Фикс 23.10.23]]</f>
        <v>106842.21407114062</v>
      </c>
      <c r="BC333" s="93">
        <v>-620</v>
      </c>
      <c r="BD333" s="93">
        <f>ППД5[[#This Row],[Корректировка 24.11.23 - 1К В5, 2К А2, №233]]+ППД5[[#This Row],[Фикс 8.11.23]]</f>
        <v>106222.21407114062</v>
      </c>
      <c r="BE333" s="93">
        <f>ППД5[[#This Row],[Фикс 8.11.24]]*1%</f>
        <v>1062.2221407114062</v>
      </c>
      <c r="BF333" s="93">
        <f>ППД5[[#This Row],[Наценка за отделку 29.12.23 1%]]+ППД5[[#This Row],[Фикс 8.11.24]]</f>
        <v>107284.43621185204</v>
      </c>
      <c r="BG333" s="93">
        <f>ППД5[[#This Row],[Фикс 29.12.23]]*5%</f>
        <v>5364.2218105926022</v>
      </c>
      <c r="BH333" s="93">
        <f>ППД5[[#This Row],[Фикс 29.12.23]]+ППД5[[#This Row],[Наценка 10.01.24 5%]]</f>
        <v>112648.65802244464</v>
      </c>
      <c r="BI333" s="93"/>
      <c r="BJ333" s="93">
        <f>ППД5[[#This Row],[Наценка 26.02.24 1 Этаж]]+ППД5[[#This Row],[Фикс 10.01.24]]</f>
        <v>112648.65802244464</v>
      </c>
      <c r="BK333" s="93">
        <f>ППД5[[#This Row],[Фикс 26.02.24]]*3%</f>
        <v>3379.4597406733392</v>
      </c>
      <c r="BL333" s="93">
        <f>ППД5[[#This Row],[Фикс 26.02.24]]+ППД5[[#This Row],[Наценка 06.03.24
СТ, 1К - 3%
2К, 3К - 2%]]</f>
        <v>116028.11776311797</v>
      </c>
      <c r="BM333" s="93"/>
      <c r="BN333" s="93">
        <f>ППД5[[#This Row],[Фикс 06.03.24]]+ППД5[[#This Row],[Наценка Г2+500]]</f>
        <v>116028.11776311797</v>
      </c>
      <c r="BO333" s="93"/>
      <c r="BP333" s="93">
        <f>ППД5[[#This Row],[Фикс 13.03.25]]+ППД5[[#This Row],[Наценка 20.03.24
2К, 3К - 2%]]</f>
        <v>116028.11776311797</v>
      </c>
      <c r="BQ333" s="93"/>
      <c r="BR333" s="93">
        <f>ППД5[[#This Row],[Фикс 20.03.24]]+ППД5[[#This Row],[Наценка 08.04.24 
2К: В3 - 150
3К: Г7 +1000]]</f>
        <v>116028.11776311797</v>
      </c>
      <c r="BS333" s="93">
        <f>ППД5[[#This Row],[Фикс 08.04.24]]*1%</f>
        <v>1160.2811776311798</v>
      </c>
      <c r="BT333" s="93">
        <f>ППД5[[#This Row],[Фикс 08.04.24]]+ППД5[[#This Row],[Наценка 16.05.24 1%
А4,А6,Б3,Б6,Б7,В2,В3,В5,В6,Г1,Г3-Г5]]</f>
        <v>117188.39894074916</v>
      </c>
      <c r="BU333" s="93"/>
      <c r="BV333" s="93">
        <f>ППД5[[#This Row],[Фикс 16.05.24]]+ППД5[[#This Row],[Наценка 24.05.24
1% - Б4, Б5,Г2,Г6
2% - А1,А3,А5,Б2,Г7]]</f>
        <v>117188.39894074916</v>
      </c>
      <c r="BW333" s="93"/>
      <c r="BX333" s="93">
        <f>ППД5[[#This Row],[Наценка 06.06.24
0К: В2,Г3 +0,5%
1К: А7, Б5/4, Г6 +0,5%
3К: В6 +0,5%
1К: А3 +1%]]+ППД5[[#This Row],[Фикс 24.05.24]]</f>
        <v>117188.39894074916</v>
      </c>
      <c r="BY333" s="93"/>
      <c r="BZ333" s="93">
        <f>ППД5[[#This Row],[Фикс 06.06.24]]+ППД5[[#This Row],[13.06.2024
3К - 2%]]</f>
        <v>117188.39894074916</v>
      </c>
      <c r="CA333" s="93">
        <f>0.5%*ППД5[[#This Row],[Фикс 13.06.24]]</f>
        <v>585.94199470374576</v>
      </c>
      <c r="CB333" s="93">
        <f>ППД5[[#This Row],[02.07.2024: Г3 А1 А3 Б5 Б7 Г2 Г6 Б3 Б4 В3 Г7 2,5% ост 0,5-1,5%]]+ППД5[[#This Row],[Фикс 13.06.24]]</f>
        <v>117774.3409354529</v>
      </c>
      <c r="CC333" s="93"/>
      <c r="CD333" s="93">
        <f>ППД5[[#This Row],[Фикс 02.07.24]]+ППД5[[#This Row],[04.09.2024 +500
0К - Б2; 1К - А3;
2К - А6, Б4, В3, Г5]]</f>
        <v>117774.3409354529</v>
      </c>
      <c r="CE333" s="93"/>
      <c r="CF333" s="93">
        <f>ППД5[[#This Row],[Наценка 16.09.2024
1К: А1,В7,Г6/7,Г8 - 2%
2К: А4,А5,А6,Б1,Б6,Б3/4,В3,В4,Г4,Г5 - 4%
3К: 4%]]+ППД5[[#This Row],[Фикс 04.09.24]]</f>
        <v>117774.3409354529</v>
      </c>
      <c r="CG333" s="93">
        <f>ППД5[[#This Row],[Фикс 16.09.2024]]*5%</f>
        <v>5888.7170467726455</v>
      </c>
      <c r="CH333" s="93">
        <f>ППД5[[#This Row],[Фикс 16.09.2024]]+ППД5[[#This Row],[Наценка 01.11.24
СТ: 4%
1К: 34-40м 5%; 40м+ 8%; МГН 1%
2К: 55-70м 6%; 70-73м 7%; 73-76м 8% 
3К: 5%]]</f>
        <v>123663.05798222554</v>
      </c>
      <c r="CI333" s="93">
        <f>ППД5[[#This Row],[Фикс 01.11.24]]*13%</f>
        <v>16076.197537689321</v>
      </c>
      <c r="CJ333" s="93">
        <f>ППД5[[#This Row],[Наценка 06.11 13%]]+ППД5[[#This Row],[Фикс 01.11.24]]</f>
        <v>139739.25551991485</v>
      </c>
      <c r="CK333" s="93">
        <v>35</v>
      </c>
      <c r="CL333" s="93">
        <f>ППД5[[#This Row],[Фикс 06.11.24]]+ППД5[[#This Row],[Наценка 18.12.24 распределение КВ]]</f>
        <v>139774.25551991485</v>
      </c>
      <c r="CM333" s="93"/>
      <c r="CN333" s="93">
        <f>ППД5[[#This Row],[Фикс 18.12.24]]+ППД5[[#This Row],[Наценка 10.02.25 +1%
1К: А3
2К: Б3, В3]]</f>
        <v>139774.25551991485</v>
      </c>
      <c r="CO333" s="93">
        <f>ROUND(ППД5[[#This Row],[Фикс 10.02.25]],2)</f>
        <v>139774.26</v>
      </c>
      <c r="CP33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5284900</v>
      </c>
      <c r="CQ333" s="93">
        <f>ROUNDUP(ППД5[[#This Row],[Стоимость до скидки]]+ППД5[[#This Row],[Сумма доплаты]],-2)</f>
        <v>5234600</v>
      </c>
      <c r="CR333" s="68">
        <f>ППД5[[#This Row],[Расчетная проектная площадь]]*8000</f>
        <v>302480</v>
      </c>
      <c r="CS333" s="90"/>
      <c r="CT333" s="68">
        <f>ППД5[[#This Row],[Стоимость до скидки]]*ППД5[[#This Row],[Скидка %]]+ППД5[[#This Row],[Скидка фиксированная]]</f>
        <v>302480</v>
      </c>
      <c r="CU333" s="3">
        <f>ППД5[[#This Row],[Стоимость ОН без отделки со скидкой]]/ППД5[[#This Row],[Расчетная проектная площадь]]</f>
        <v>131775.19174821474</v>
      </c>
      <c r="CV333" s="3">
        <f>ROUND(ППД5[[#This Row],[Стоимость до скидки]]-ППД5[[#This Row],[Итоговая сумма скидки]],2)</f>
        <v>4982420</v>
      </c>
      <c r="CW33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33" s="197">
        <v>25000</v>
      </c>
      <c r="CY333" s="332">
        <f>ППД5[[#This Row],[Расхождение]]/ППД5[[#This Row],[Расчетная проектная площадь]]</f>
        <v>-9.5212906638455271E-3</v>
      </c>
      <c r="CZ33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-0.44999999999999751</v>
      </c>
      <c r="DA333" s="3">
        <f>ППД5[[#This Row],[Цена м2 без отделки со скидкой]]+ППД5[[#This Row],[Стоимость отделки]]</f>
        <v>156775.19174821474</v>
      </c>
      <c r="DB333" s="3">
        <f>ППД5[[#This Row],[Стоимость квартиры с отделкой]]-ППД5[[#This Row],[Стоимость ОН без отделки со скидкой]]</f>
        <v>945250</v>
      </c>
      <c r="DC333" s="3">
        <f>ППД5[[#This Row],[Цена м2 с отделкой]]*ППД5[[#This Row],[Расчетная проектная площадь]]</f>
        <v>5927670</v>
      </c>
      <c r="DD333" s="3"/>
      <c r="DE333" s="111" t="s">
        <v>2122</v>
      </c>
      <c r="DF333" s="199" t="s">
        <v>172</v>
      </c>
      <c r="DG333" s="245" t="s">
        <v>172</v>
      </c>
      <c r="DH333" s="100" t="b">
        <f>EXACT(ППД5[[#This Row],[Статусы CRM]],ППД5[[#This Row],[Статус]])</f>
        <v>1</v>
      </c>
      <c r="DI333" s="213" t="s">
        <v>505</v>
      </c>
      <c r="DJ333" s="204"/>
      <c r="DK333" s="111" t="s">
        <v>763</v>
      </c>
      <c r="DL333" s="216" t="s">
        <v>14</v>
      </c>
      <c r="DM333" s="201" t="b">
        <f>ППД5[[#This Row],[Отделка CRM]]=ППД5[[#This Row],[Отделка]]</f>
        <v>1</v>
      </c>
      <c r="DN333" s="203">
        <v>5927670</v>
      </c>
      <c r="DO33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33" s="207" t="b">
        <f>IF(AND(ППД5[[#This Row],[Статус]]="свободно",ППД5[[#This Row],[Итоговая сумма скидки]]&lt;&gt;0),FALSE,TRUE)</f>
        <v>1</v>
      </c>
      <c r="DQ333" s="240">
        <f>_xlfn.XLOOKUP(ППД5[[#This Row],[№]],Юрист[№ кв],Юрист[Дата подачи на регистрацию]," ",0,-1)</f>
        <v>45760</v>
      </c>
      <c r="DR333" s="115" t="str">
        <f>_xlfn.XLOOKUP(ППД5[[#This Row],[№]],Юрист[№ кв],Юрист[МОП],"",0,-1)</f>
        <v>Дик</v>
      </c>
      <c r="DS333" s="333" t="s">
        <v>2958</v>
      </c>
      <c r="DT333" s="333" t="s">
        <v>2959</v>
      </c>
      <c r="DU333" s="333">
        <v>36</v>
      </c>
      <c r="DV333" s="111"/>
    </row>
    <row r="334" spans="1:126" hidden="1" x14ac:dyDescent="0.25">
      <c r="A334" s="112">
        <v>332</v>
      </c>
      <c r="B334" s="111" t="s">
        <v>3</v>
      </c>
      <c r="C334" s="111">
        <v>16</v>
      </c>
      <c r="D334" s="111">
        <v>6</v>
      </c>
      <c r="E334" s="111">
        <v>3</v>
      </c>
      <c r="F334" s="105">
        <v>17.2</v>
      </c>
      <c r="G334" s="105">
        <v>14.64</v>
      </c>
      <c r="H334" s="105">
        <v>14.34</v>
      </c>
      <c r="I334" s="94">
        <f>SUM(ППД5[[#This Row],[Комната 1]:[Комната 3]])</f>
        <v>46.18</v>
      </c>
      <c r="J334" s="105">
        <v>13.15</v>
      </c>
      <c r="K334" s="105">
        <v>4.03</v>
      </c>
      <c r="L334" s="105">
        <v>1.76</v>
      </c>
      <c r="M334" s="105"/>
      <c r="N334" s="105">
        <v>13.11</v>
      </c>
      <c r="O334" s="105">
        <v>2.79</v>
      </c>
      <c r="P334" s="105">
        <v>2.68</v>
      </c>
      <c r="Q334" s="105"/>
      <c r="R334" s="105">
        <f>SUM(ППД5[[#This Row],[Лоджия 1]:[Лоджия 3]])</f>
        <v>5.4700000000000006</v>
      </c>
      <c r="S334" s="8">
        <f>ROUND(SUM(ППД5[[#This Row],[Площадь по проекту жилая]:[Лоджия 3]]),2)</f>
        <v>83.7</v>
      </c>
      <c r="T334" s="8">
        <f>ROUND(ППД5[[#This Row],[Площадь по проекту(общая)]]-ППД5[[#This Row],[Летние]],2)</f>
        <v>78.23</v>
      </c>
      <c r="U334" s="91">
        <f>ROUND(ППД5[[#This Row],[Площадь по проекту(общая)]]-(SUM(ППД5[[#This Row],[Лоджия 1]:[Лоджия 3]])/2),2)</f>
        <v>80.97</v>
      </c>
      <c r="V334" s="91">
        <f>IF(ППД5[[#This Row],[Статус]]="продажа",ППД5[[#This Row],[Расчетная проектная площадь]],ППД5[[#This Row],[Расчетная ТП площадь]])</f>
        <v>80.97</v>
      </c>
      <c r="W334" s="91">
        <v>16.899999999999999</v>
      </c>
      <c r="X334" s="91">
        <v>14.6</v>
      </c>
      <c r="Y334" s="91">
        <v>14.3</v>
      </c>
      <c r="Z334" s="91">
        <f>SUM(ППД5[[#This Row],[ТП Комната 1]:[ТП Комната 3]])</f>
        <v>45.8</v>
      </c>
      <c r="AA334" s="91">
        <v>13.1</v>
      </c>
      <c r="AB334" s="91">
        <v>4</v>
      </c>
      <c r="AC334" s="91">
        <v>1.7</v>
      </c>
      <c r="AD334" s="91"/>
      <c r="AE334" s="91">
        <v>13.1</v>
      </c>
      <c r="AF334" s="91">
        <v>1.4</v>
      </c>
      <c r="AG334" s="91">
        <v>1.4</v>
      </c>
      <c r="AH334" s="91"/>
      <c r="AI334" s="91">
        <f>SUM(ППД5[[#This Row],[ТП Лоджия 1]:[ТП Лоджия 3]])</f>
        <v>2.8</v>
      </c>
      <c r="AJ334" s="95">
        <v>5.6</v>
      </c>
      <c r="AK334" s="91">
        <f>SUM(ППД5[[#This Row],[Площадь по ТП жилая]:[ТП Лоджия 3]])-ППД5[[#This Row],[ТП Летние]]+ППД5[[#This Row],[кроме того прочая
(без коэффициента)]]</f>
        <v>83.3</v>
      </c>
      <c r="AL334" s="95">
        <f>ППД5[[#This Row],[ТП Площадь без летних]]+(ППД5[[#This Row],[ТП Летние]])</f>
        <v>80.5</v>
      </c>
      <c r="AM334" s="91">
        <f>ППД5[[#This Row],[ТП общая S]]-ППД5[[#This Row],[кроме того прочая
(без коэффициента)]]</f>
        <v>77.7</v>
      </c>
      <c r="AN334" s="95">
        <f>SUM(ППД5[[#This Row],[ТП Кухня]:[ТП Коридор]])</f>
        <v>31.9</v>
      </c>
      <c r="AO334" s="91">
        <f>ППД5[[#This Row],[Расчетная ТП площадь]]-ППД5[[#This Row],[Расчетная проектная площадь]]</f>
        <v>-0.46999999999999886</v>
      </c>
      <c r="AP334" s="335">
        <f>ППД5[[#This Row],[Расчетная ТП площадь]]/ППД5[[#This Row],[Расчетная проектная площадь]]-1</f>
        <v>-5.8046189946894255E-3</v>
      </c>
      <c r="AQ334" s="91">
        <f>ППД5[[#This Row],[% расхождения]]*ППД5[[#This Row],[Стоимость до скидки]]</f>
        <v>-36634.5588773622</v>
      </c>
      <c r="AR334" s="91">
        <f>VLOOKUP(ППД5[[#This Row],[№]],наценкад5[],COLUMN(наценкад5[[#This Row],[Цена м2 с учетом всех K]]),0)</f>
        <v>74234.160000000018</v>
      </c>
      <c r="AS334" s="8">
        <f>ППД5[[#This Row],[м2 после К]]*5%</f>
        <v>3711.708000000001</v>
      </c>
      <c r="AT334" s="8">
        <f>ППД5[[#This Row],[м2 после К]]+ППД5[[#This Row],[Повышение 16.08.23 - 5%]]</f>
        <v>77945.868000000017</v>
      </c>
      <c r="AU334" s="93"/>
      <c r="AV334" s="93">
        <f>ППД5[[#This Row],[Фикс 16.08.23]]+ППД5[[#This Row],[Повышение 29.08.23 - 3%]]</f>
        <v>77945.868000000017</v>
      </c>
      <c r="AW334" s="93"/>
      <c r="AX334" s="93">
        <f>ППД5[[#This Row],[Фикс 29.08.23]]+ППД5[[#This Row],[Повышение 06.09.23 СТ и 1К]]</f>
        <v>77945.868000000017</v>
      </c>
      <c r="AY334" s="93"/>
      <c r="AZ334" s="93">
        <f>ППД5[[#This Row],[Повышение 23.10.23  В4 ]]+ППД5[[#This Row],[Фикс 06.09.23]]</f>
        <v>77945.868000000017</v>
      </c>
      <c r="BA334" s="93"/>
      <c r="BB334" s="93">
        <f>ППД5[[#This Row],[Повышение 8.11.23 1К 5%]]+ППД5[[#This Row],[Фикс 23.10.23]]</f>
        <v>77945.868000000017</v>
      </c>
      <c r="BC334" s="93"/>
      <c r="BD334" s="93">
        <f>ППД5[[#This Row],[Корректировка 24.11.23 - 1К В5, 2К А2, №233]]+ППД5[[#This Row],[Фикс 8.11.23]]</f>
        <v>77945.868000000017</v>
      </c>
      <c r="BE334" s="93"/>
      <c r="BF334" s="93">
        <f>ППД5[[#This Row],[Наценка за отделку 29.12.23 1%]]+ППД5[[#This Row],[Фикс 8.11.24]]</f>
        <v>77945.868000000017</v>
      </c>
      <c r="BG334" s="93"/>
      <c r="BH334" s="93">
        <f>ППД5[[#This Row],[Фикс 29.12.23]]+ППД5[[#This Row],[Наценка 10.01.24 5%]]</f>
        <v>77945.868000000017</v>
      </c>
      <c r="BI334" s="93"/>
      <c r="BJ334" s="93">
        <f>ППД5[[#This Row],[Наценка 26.02.24 1 Этаж]]+ППД5[[#This Row],[Фикс 10.01.24]]</f>
        <v>77945.868000000017</v>
      </c>
      <c r="BK334" s="93"/>
      <c r="BL334" s="93">
        <f>ППД5[[#This Row],[Фикс 26.02.24]]+ППД5[[#This Row],[Наценка 06.03.24
СТ, 1К - 3%
2К, 3К - 2%]]</f>
        <v>77945.868000000017</v>
      </c>
      <c r="BM334" s="93"/>
      <c r="BN334" s="93">
        <f>ППД5[[#This Row],[Фикс 06.03.24]]+ППД5[[#This Row],[Наценка Г2+500]]</f>
        <v>77945.868000000017</v>
      </c>
      <c r="BO334" s="93"/>
      <c r="BP334" s="93">
        <f>ППД5[[#This Row],[Фикс 13.03.25]]+ППД5[[#This Row],[Наценка 20.03.24
2К, 3К - 2%]]</f>
        <v>77945.868000000017</v>
      </c>
      <c r="BQ334" s="93"/>
      <c r="BR334" s="93">
        <f>ППД5[[#This Row],[Фикс 20.03.24]]+ППД5[[#This Row],[Наценка 08.04.24 
2К: В3 - 150
3К: Г7 +1000]]</f>
        <v>77945.868000000017</v>
      </c>
      <c r="BS334" s="93"/>
      <c r="BT334" s="93">
        <f>ППД5[[#This Row],[Фикс 08.04.24]]+ППД5[[#This Row],[Наценка 16.05.24 1%
А4,А6,Б3,Б6,Б7,В2,В3,В5,В6,Г1,Г3-Г5]]</f>
        <v>77945.868000000017</v>
      </c>
      <c r="BU334" s="93"/>
      <c r="BV334" s="93">
        <f>ППД5[[#This Row],[Фикс 16.05.24]]+ППД5[[#This Row],[Наценка 24.05.24
1% - Б4, Б5,Г2,Г6
2% - А1,А3,А5,Б2,Г7]]</f>
        <v>77945.868000000017</v>
      </c>
      <c r="BW334" s="93"/>
      <c r="BX334" s="93">
        <f>ППД5[[#This Row],[Наценка 06.06.24
0К: В2,Г3 +0,5%
1К: А7, Б5/4, Г6 +0,5%
3К: В6 +0,5%
1К: А3 +1%]]+ППД5[[#This Row],[Фикс 24.05.24]]</f>
        <v>77945.868000000017</v>
      </c>
      <c r="BY334" s="93"/>
      <c r="BZ334" s="93">
        <f>ППД5[[#This Row],[Фикс 06.06.24]]+ППД5[[#This Row],[13.06.2024
3К - 2%]]</f>
        <v>77945.868000000017</v>
      </c>
      <c r="CA334" s="93"/>
      <c r="CB334" s="93">
        <f>ППД5[[#This Row],[02.07.2024: Г3 А1 А3 Б5 Б7 Г2 Г6 Б3 Б4 В3 Г7 2,5% ост 0,5-1,5%]]+ППД5[[#This Row],[Фикс 13.06.24]]</f>
        <v>77945.868000000017</v>
      </c>
      <c r="CC334" s="93"/>
      <c r="CD334" s="93">
        <f>ППД5[[#This Row],[Фикс 02.07.24]]+ППД5[[#This Row],[04.09.2024 +500
0К - Б2; 1К - А3;
2К - А6, Б4, В3, Г5]]</f>
        <v>77945.868000000017</v>
      </c>
      <c r="CE334" s="93"/>
      <c r="CF334" s="93">
        <f>ППД5[[#This Row],[Наценка 16.09.2024
1К: А1,В7,Г6/7,Г8 - 2%
2К: А4,А5,А6,Б1,Б6,Б3/4,В3,В4,Г4,Г5 - 4%
3К: 4%]]+ППД5[[#This Row],[Фикс 04.09.24]]</f>
        <v>77945.868000000017</v>
      </c>
      <c r="CG334" s="93"/>
      <c r="CH334" s="93">
        <f>ППД5[[#This Row],[Фикс 16.09.2024]]+ППД5[[#This Row],[Наценка 01.11.24
СТ: 4%
1К: 34-40м 5%; 40м+ 8%; МГН 1%
2К: 55-70м 6%; 70-73м 7%; 73-76м 8% 
3К: 5%]]</f>
        <v>77945.868000000017</v>
      </c>
      <c r="CI334" s="93"/>
      <c r="CJ334" s="93">
        <f>ППД5[[#This Row],[Наценка 06.11 13%]]+ППД5[[#This Row],[Фикс 01.11.24]]</f>
        <v>77945.868000000017</v>
      </c>
      <c r="CK334" s="93"/>
      <c r="CL334" s="93">
        <f>ППД5[[#This Row],[Фикс 06.11.24]]+ППД5[[#This Row],[Наценка 18.12.24 распределение КВ]]</f>
        <v>77945.868000000017</v>
      </c>
      <c r="CM334" s="93"/>
      <c r="CN334" s="93">
        <f>ППД5[[#This Row],[Фикс 18.12.24]]+ППД5[[#This Row],[Наценка 10.02.25 +1%
1К: А3
2К: Б3, В3]]</f>
        <v>77945.868000000017</v>
      </c>
      <c r="CO334" s="93">
        <f>ROUND(ППД5[[#This Row],[Фикс 10.02.25]],2)</f>
        <v>77945.87</v>
      </c>
      <c r="CP33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6311277.0899999999</v>
      </c>
      <c r="CQ334" s="93">
        <f>ROUNDUP(ППД5[[#This Row],[Стоимость до скидки]]+ППД5[[#This Row],[Сумма доплаты]],-2)</f>
        <v>6274700</v>
      </c>
      <c r="CR334" s="68"/>
      <c r="CS334" s="90">
        <v>0.03</v>
      </c>
      <c r="CT334" s="68">
        <f>ППД5[[#This Row],[Стоимость до скидки]]*ППД5[[#This Row],[Скидка %]]+ППД5[[#This Row],[Скидка фиксированная]]</f>
        <v>189338.31269999998</v>
      </c>
      <c r="CU334" s="3">
        <f>ППД5[[#This Row],[Стоимость ОН без отделки со скидкой]]/ППД5[[#This Row],[Расчетная проектная площадь]]</f>
        <v>75607.493886624681</v>
      </c>
      <c r="CV334" s="3">
        <f>ROUND(ППД5[[#This Row],[Стоимость до скидки]]-ППД5[[#This Row],[Итоговая сумма скидки]],2)</f>
        <v>6121938.7800000003</v>
      </c>
      <c r="CW33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34" s="197"/>
      <c r="CY334" s="332">
        <f>ППД5[[#This Row],[Расхождение]]/ППД5[[#This Row],[Расчетная проектная площадь]]</f>
        <v>-5.804618994689377E-3</v>
      </c>
      <c r="CZ33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-0.15000000000000391</v>
      </c>
      <c r="DA334" s="3">
        <f>ППД5[[#This Row],[Цена м2 без отделки со скидкой]]+ППД5[[#This Row],[Стоимость отделки]]</f>
        <v>75607.493886624681</v>
      </c>
      <c r="DB334" s="3">
        <f>ППД5[[#This Row],[Стоимость квартиры с отделкой]]-ППД5[[#This Row],[Стоимость ОН без отделки со скидкой]]</f>
        <v>0</v>
      </c>
      <c r="DC334" s="3">
        <f>ППД5[[#This Row],[Цена м2 с отделкой]]*ППД5[[#This Row],[Расчетная проектная площадь]]</f>
        <v>6121938.7800000003</v>
      </c>
      <c r="DD334" s="3"/>
      <c r="DE334" s="111" t="s">
        <v>167</v>
      </c>
      <c r="DF334" s="199" t="s">
        <v>172</v>
      </c>
      <c r="DG334" s="245" t="s">
        <v>172</v>
      </c>
      <c r="DH334" s="100" t="b">
        <f>EXACT(ППД5[[#This Row],[Статусы CRM]],ППД5[[#This Row],[Статус]])</f>
        <v>1</v>
      </c>
      <c r="DI334" s="213" t="s">
        <v>506</v>
      </c>
      <c r="DJ334" s="204"/>
      <c r="DK334" s="111" t="s">
        <v>76</v>
      </c>
      <c r="DL334" s="216" t="s">
        <v>12</v>
      </c>
      <c r="DM334" s="201" t="b">
        <f>ППД5[[#This Row],[Отделка CRM]]=ППД5[[#This Row],[Отделка]]</f>
        <v>1</v>
      </c>
      <c r="DN334" s="203">
        <v>6121938.7800000003</v>
      </c>
      <c r="DO33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34" s="207" t="b">
        <f>IF(AND(ППД5[[#This Row],[Статус]]="свободно",ППД5[[#This Row],[Итоговая сумма скидки]]&lt;&gt;0),FALSE,TRUE)</f>
        <v>1</v>
      </c>
      <c r="DQ334" s="240">
        <f>_xlfn.XLOOKUP(ППД5[[#This Row],[№]],Юрист[№ кв],Юрист[Дата подачи на регистрацию]," ",0,-1)</f>
        <v>45190</v>
      </c>
      <c r="DR334" s="115" t="str">
        <f>_xlfn.XLOOKUP(ППД5[[#This Row],[№]],Юрист[№ кв],Юрист[МОП],"",0,-1)</f>
        <v>Кофанова</v>
      </c>
      <c r="DS334" s="333" t="s">
        <v>2960</v>
      </c>
      <c r="DT334" s="333" t="s">
        <v>2961</v>
      </c>
      <c r="DU334" s="333">
        <v>77.7</v>
      </c>
      <c r="DV334" s="111"/>
    </row>
    <row r="335" spans="1:126" hidden="1" x14ac:dyDescent="0.25">
      <c r="A335" s="112">
        <v>333</v>
      </c>
      <c r="B335" s="111" t="s">
        <v>3</v>
      </c>
      <c r="C335" s="111">
        <v>16</v>
      </c>
      <c r="D335" s="111">
        <v>7</v>
      </c>
      <c r="E335" s="111">
        <v>1</v>
      </c>
      <c r="F335" s="105">
        <v>14.3</v>
      </c>
      <c r="G335" s="105"/>
      <c r="H335" s="105"/>
      <c r="I335" s="94">
        <f>SUM(ППД5[[#This Row],[Комната 1]:[Комната 3]])</f>
        <v>14.3</v>
      </c>
      <c r="J335" s="105">
        <v>9.2799999999999994</v>
      </c>
      <c r="K335" s="105">
        <v>3.79</v>
      </c>
      <c r="L335" s="105"/>
      <c r="M335" s="105"/>
      <c r="N335" s="105">
        <v>6.08</v>
      </c>
      <c r="O335" s="105">
        <v>2.71</v>
      </c>
      <c r="P335" s="105"/>
      <c r="Q335" s="105"/>
      <c r="R335" s="105">
        <f>SUM(ППД5[[#This Row],[Лоджия 1]:[Лоджия 3]])</f>
        <v>2.71</v>
      </c>
      <c r="S335" s="8">
        <f>ROUND(SUM(ППД5[[#This Row],[Площадь по проекту жилая]:[Лоджия 3]]),2)</f>
        <v>36.159999999999997</v>
      </c>
      <c r="T335" s="8">
        <f>ROUND(ППД5[[#This Row],[Площадь по проекту(общая)]]-ППД5[[#This Row],[Летние]],2)</f>
        <v>33.450000000000003</v>
      </c>
      <c r="U335" s="91">
        <f>ROUND(ППД5[[#This Row],[Площадь по проекту(общая)]]-(SUM(ППД5[[#This Row],[Лоджия 1]:[Лоджия 3]])/2),2)</f>
        <v>34.81</v>
      </c>
      <c r="V335" s="91">
        <f>IF(ППД5[[#This Row],[Статус]]="продажа",ППД5[[#This Row],[Расчетная проектная площадь]],ППД5[[#This Row],[Расчетная ТП площадь]])</f>
        <v>34.81</v>
      </c>
      <c r="W335" s="91">
        <v>14.2</v>
      </c>
      <c r="X335" s="91"/>
      <c r="Y335" s="91"/>
      <c r="Z335" s="91">
        <f>SUM(ППД5[[#This Row],[ТП Комната 1]:[ТП Комната 3]])</f>
        <v>14.2</v>
      </c>
      <c r="AA335" s="91">
        <v>9.1999999999999993</v>
      </c>
      <c r="AB335" s="91">
        <v>3.7</v>
      </c>
      <c r="AC335" s="91"/>
      <c r="AD335" s="91"/>
      <c r="AE335" s="91">
        <v>6.1</v>
      </c>
      <c r="AF335" s="91">
        <v>1.35</v>
      </c>
      <c r="AG335" s="91"/>
      <c r="AH335" s="91"/>
      <c r="AI335" s="91">
        <f>SUM(ППД5[[#This Row],[ТП Лоджия 1]:[ТП Лоджия 3]])</f>
        <v>1.35</v>
      </c>
      <c r="AJ335" s="95">
        <v>2.7</v>
      </c>
      <c r="AK335" s="91">
        <f>SUM(ППД5[[#This Row],[Площадь по ТП жилая]:[ТП Лоджия 3]])-ППД5[[#This Row],[ТП Летние]]+ППД5[[#This Row],[кроме того прочая
(без коэффициента)]]</f>
        <v>35.9</v>
      </c>
      <c r="AL335" s="95">
        <f>ППД5[[#This Row],[ТП Площадь без летних]]+(ППД5[[#This Row],[ТП Летние]])</f>
        <v>34.549999999999997</v>
      </c>
      <c r="AM335" s="91">
        <f>ППД5[[#This Row],[ТП общая S]]-ППД5[[#This Row],[кроме того прочая
(без коэффициента)]]</f>
        <v>33.199999999999996</v>
      </c>
      <c r="AN335" s="95">
        <f>SUM(ППД5[[#This Row],[ТП Кухня]:[ТП Коридор]])</f>
        <v>19</v>
      </c>
      <c r="AO335" s="91">
        <f>ППД5[[#This Row],[Расчетная ТП площадь]]-ППД5[[#This Row],[Расчетная проектная площадь]]</f>
        <v>-0.26000000000000512</v>
      </c>
      <c r="AP335" s="335">
        <f>ППД5[[#This Row],[Расчетная ТП площадь]]/ППД5[[#This Row],[Расчетная проектная площадь]]-1</f>
        <v>-7.4691180695204418E-3</v>
      </c>
      <c r="AQ335" s="91">
        <f>ППД5[[#This Row],[% расхождения]]*ППД5[[#This Row],[Стоимость до скидки]]</f>
        <v>-31619.017523700884</v>
      </c>
      <c r="AR335" s="91">
        <f>VLOOKUP(ППД5[[#This Row],[№]],наценкад5[],COLUMN(наценкад5[[#This Row],[Цена м2 с учетом всех K]]),0)</f>
        <v>85573.6875</v>
      </c>
      <c r="AS335" s="8">
        <f>ППД5[[#This Row],[м2 после К]]*5%</f>
        <v>4278.6843749999998</v>
      </c>
      <c r="AT335" s="8">
        <f>ППД5[[#This Row],[м2 после К]]+ППД5[[#This Row],[Повышение 16.08.23 - 5%]]</f>
        <v>89852.371874999997</v>
      </c>
      <c r="AU335" s="93">
        <f>ППД5[[#This Row],[Фикс 16.08.23]]*3%</f>
        <v>2695.5711562499996</v>
      </c>
      <c r="AV335" s="93">
        <f>ППД5[[#This Row],[Фикс 16.08.23]]+ППД5[[#This Row],[Повышение 29.08.23 - 3%]]</f>
        <v>92547.94303124999</v>
      </c>
      <c r="AW335" s="93">
        <f>ППД5[[#This Row],[Фикс 29.08.23]]*14%</f>
        <v>12956.712024375</v>
      </c>
      <c r="AX335" s="93">
        <f>ППД5[[#This Row],[Фикс 29.08.23]]+ППД5[[#This Row],[Повышение 06.09.23 СТ и 1К]]</f>
        <v>105504.65505562499</v>
      </c>
      <c r="AY335" s="93"/>
      <c r="AZ335" s="93">
        <f>ППД5[[#This Row],[Повышение 23.10.23  В4 ]]+ППД5[[#This Row],[Фикс 06.09.23]]</f>
        <v>105504.65505562499</v>
      </c>
      <c r="BA335" s="93">
        <f>ППД5[[#This Row],[Фикс 23.10.23]]*5%</f>
        <v>5275.2327527812495</v>
      </c>
      <c r="BB335" s="93">
        <f>ППД5[[#This Row],[Повышение 8.11.23 1К 5%]]+ППД5[[#This Row],[Фикс 23.10.23]]</f>
        <v>110779.88780840623</v>
      </c>
      <c r="BC335" s="93"/>
      <c r="BD335" s="93">
        <f>ППД5[[#This Row],[Корректировка 24.11.23 - 1К В5, 2К А2, №233]]+ППД5[[#This Row],[Фикс 8.11.23]]</f>
        <v>110779.88780840623</v>
      </c>
      <c r="BE335" s="93">
        <f>ППД5[[#This Row],[Фикс 8.11.24]]*1%</f>
        <v>1107.7988780840624</v>
      </c>
      <c r="BF335" s="93">
        <f>ППД5[[#This Row],[Наценка за отделку 29.12.23 1%]]+ППД5[[#This Row],[Фикс 8.11.24]]</f>
        <v>111887.6866864903</v>
      </c>
      <c r="BG335" s="93">
        <f>ППД5[[#This Row],[Фикс 29.12.23]]*5%</f>
        <v>5594.3843343245153</v>
      </c>
      <c r="BH335" s="93">
        <f>ППД5[[#This Row],[Фикс 29.12.23]]+ППД5[[#This Row],[Наценка 10.01.24 5%]]</f>
        <v>117482.07102081481</v>
      </c>
      <c r="BI335" s="93"/>
      <c r="BJ335" s="93">
        <f>ППД5[[#This Row],[Наценка 26.02.24 1 Этаж]]+ППД5[[#This Row],[Фикс 10.01.24]]</f>
        <v>117482.07102081481</v>
      </c>
      <c r="BK335" s="93">
        <f>ППД5[[#This Row],[Фикс 26.02.24]]*3%</f>
        <v>3524.4621306244439</v>
      </c>
      <c r="BL335" s="93">
        <f>ППД5[[#This Row],[Фикс 26.02.24]]+ППД5[[#This Row],[Наценка 06.03.24
СТ, 1К - 3%
2К, 3К - 2%]]</f>
        <v>121006.53315143925</v>
      </c>
      <c r="BM335" s="93"/>
      <c r="BN335" s="93">
        <f>ППД5[[#This Row],[Фикс 06.03.24]]+ППД5[[#This Row],[Наценка Г2+500]]</f>
        <v>121006.53315143925</v>
      </c>
      <c r="BO335" s="93"/>
      <c r="BP335" s="93">
        <f>ППД5[[#This Row],[Фикс 13.03.25]]+ППД5[[#This Row],[Наценка 20.03.24
2К, 3К - 2%]]</f>
        <v>121006.53315143925</v>
      </c>
      <c r="BQ335" s="93"/>
      <c r="BR335" s="93">
        <f>ППД5[[#This Row],[Фикс 20.03.24]]+ППД5[[#This Row],[Наценка 08.04.24 
2К: В3 - 150
3К: Г7 +1000]]</f>
        <v>121006.53315143925</v>
      </c>
      <c r="BS335" s="93"/>
      <c r="BT335" s="93">
        <f>ППД5[[#This Row],[Фикс 08.04.24]]+ППД5[[#This Row],[Наценка 16.05.24 1%
А4,А6,Б3,Б6,Б7,В2,В3,В5,В6,Г1,Г3-Г5]]</f>
        <v>121006.53315143925</v>
      </c>
      <c r="BU335" s="93"/>
      <c r="BV335" s="93">
        <f>ППД5[[#This Row],[Фикс 16.05.24]]+ППД5[[#This Row],[Наценка 24.05.24
1% - Б4, Б5,Г2,Г6
2% - А1,А3,А5,Б2,Г7]]</f>
        <v>121006.53315143925</v>
      </c>
      <c r="BW335" s="93"/>
      <c r="BX335" s="93">
        <f>ППД5[[#This Row],[Наценка 06.06.24
0К: В2,Г3 +0,5%
1К: А7, Б5/4, Г6 +0,5%
3К: В6 +0,5%
1К: А3 +1%]]+ППД5[[#This Row],[Фикс 24.05.24]]</f>
        <v>121006.53315143925</v>
      </c>
      <c r="BY335" s="93"/>
      <c r="BZ335" s="93">
        <f>ППД5[[#This Row],[Фикс 06.06.24]]+ППД5[[#This Row],[13.06.2024
3К - 2%]]</f>
        <v>121006.53315143925</v>
      </c>
      <c r="CA335" s="93">
        <f>0.5%*ППД5[[#This Row],[Фикс 13.06.24]]</f>
        <v>605.03266575719624</v>
      </c>
      <c r="CB335" s="93">
        <f>ППД5[[#This Row],[02.07.2024: Г3 А1 А3 Б5 Б7 Г2 Г6 Б3 Б4 В3 Г7 2,5% ост 0,5-1,5%]]+ППД5[[#This Row],[Фикс 13.06.24]]</f>
        <v>121611.56581719645</v>
      </c>
      <c r="CC335" s="93"/>
      <c r="CD335" s="93">
        <f>ППД5[[#This Row],[Фикс 02.07.24]]+ППД5[[#This Row],[04.09.2024 +500
0К - Б2; 1К - А3;
2К - А6, Б4, В3, Г5]]</f>
        <v>121611.56581719645</v>
      </c>
      <c r="CE335" s="93"/>
      <c r="CF335" s="93">
        <f>ППД5[[#This Row],[Наценка 16.09.2024
1К: А1,В7,Г6/7,Г8 - 2%
2К: А4,А5,А6,Б1,Б6,Б3/4,В3,В4,Г4,Г5 - 4%
3К: 4%]]+ППД5[[#This Row],[Фикс 04.09.24]]</f>
        <v>121611.56581719645</v>
      </c>
      <c r="CG335" s="93"/>
      <c r="CH335" s="93">
        <f>ППД5[[#This Row],[Фикс 16.09.2024]]+ППД5[[#This Row],[Наценка 01.11.24
СТ: 4%
1К: 34-40м 5%; 40м+ 8%; МГН 1%
2К: 55-70м 6%; 70-73м 7%; 73-76м 8% 
3К: 5%]]</f>
        <v>121611.56581719645</v>
      </c>
      <c r="CI335" s="93"/>
      <c r="CJ335" s="93">
        <f>ППД5[[#This Row],[Наценка 06.11 13%]]+ППД5[[#This Row],[Фикс 01.11.24]]</f>
        <v>121611.56581719645</v>
      </c>
      <c r="CK335" s="93"/>
      <c r="CL335" s="93">
        <f>ППД5[[#This Row],[Фикс 06.11.24]]+ППД5[[#This Row],[Наценка 18.12.24 распределение КВ]]</f>
        <v>121611.56581719645</v>
      </c>
      <c r="CM335" s="93"/>
      <c r="CN335" s="93">
        <f>ППД5[[#This Row],[Фикс 18.12.24]]+ППД5[[#This Row],[Наценка 10.02.25 +1%
1К: А3
2К: Б3, В3]]</f>
        <v>121611.56581719645</v>
      </c>
      <c r="CO335" s="93">
        <f>ROUND(ППД5[[#This Row],[Фикс 10.02.25]],2)</f>
        <v>121611.57</v>
      </c>
      <c r="CP33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4233300</v>
      </c>
      <c r="CQ335" s="93">
        <f>ROUNDUP(ППД5[[#This Row],[Стоимость до скидки]]+ППД5[[#This Row],[Сумма доплаты]],-2)</f>
        <v>4201700</v>
      </c>
      <c r="CR335" s="68"/>
      <c r="CS335" s="90"/>
      <c r="CT335" s="68">
        <f>ППД5[[#This Row],[Стоимость до скидки]]*ППД5[[#This Row],[Скидка %]]+ППД5[[#This Row],[Скидка фиксированная]]</f>
        <v>0</v>
      </c>
      <c r="CU335" s="3">
        <f>ППД5[[#This Row],[Стоимость ОН без отделки со скидкой]]/ППД5[[#This Row],[Расчетная проектная площадь]]</f>
        <v>121611.60586038494</v>
      </c>
      <c r="CV335" s="3">
        <f>ROUND(ППД5[[#This Row],[Стоимость до скидки]]-ППД5[[#This Row],[Итоговая сумма скидки]],2)</f>
        <v>4233300</v>
      </c>
      <c r="CW33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35" s="197">
        <v>20000</v>
      </c>
      <c r="CY335" s="332">
        <f>ППД5[[#This Row],[Расхождение]]/ППД5[[#This Row],[Расчетная проектная площадь]]</f>
        <v>-7.4691180695203993E-3</v>
      </c>
      <c r="CZ33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-0.15000000000000036</v>
      </c>
      <c r="DA335" s="3">
        <f>ППД5[[#This Row],[Цена м2 без отделки со скидкой]]+ППД5[[#This Row],[Стоимость отделки]]</f>
        <v>141611.60586038494</v>
      </c>
      <c r="DB335" s="3">
        <f>ППД5[[#This Row],[Стоимость квартиры с отделкой]]-ППД5[[#This Row],[Стоимость ОН без отделки со скидкой]]</f>
        <v>696200</v>
      </c>
      <c r="DC335" s="3">
        <f>ППД5[[#This Row],[Цена м2 с отделкой]]*ППД5[[#This Row],[Расчетная проектная площадь]]</f>
        <v>4929500</v>
      </c>
      <c r="DD335" s="3" t="s">
        <v>154</v>
      </c>
      <c r="DF335" s="199" t="s">
        <v>172</v>
      </c>
      <c r="DG335" s="245" t="s">
        <v>172</v>
      </c>
      <c r="DH335" s="100" t="b">
        <f>EXACT(ППД5[[#This Row],[Статусы CRM]],ППД5[[#This Row],[Статус]])</f>
        <v>1</v>
      </c>
      <c r="DI335" s="213" t="s">
        <v>507</v>
      </c>
      <c r="DJ335" s="204"/>
      <c r="DK335" s="111" t="s">
        <v>763</v>
      </c>
      <c r="DL335" s="216" t="s">
        <v>14</v>
      </c>
      <c r="DM335" s="201" t="b">
        <f>ППД5[[#This Row],[Отделка CRM]]=ППД5[[#This Row],[Отделка]]</f>
        <v>1</v>
      </c>
      <c r="DN335" s="203">
        <v>4929500</v>
      </c>
      <c r="DO33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35" s="207" t="b">
        <f>IF(AND(ППД5[[#This Row],[Статус]]="свободно",ППД5[[#This Row],[Итоговая сумма скидки]]&lt;&gt;0),FALSE,TRUE)</f>
        <v>1</v>
      </c>
      <c r="DQ335" s="240">
        <f>_xlfn.XLOOKUP(ППД5[[#This Row],[№]],Юрист[№ кв],Юрист[Дата подачи на регистрацию]," ",0,-1)</f>
        <v>45533</v>
      </c>
      <c r="DR335" s="115" t="str">
        <f>_xlfn.XLOOKUP(ППД5[[#This Row],[№]],Юрист[№ кв],Юрист[МОП],"",0,-1)</f>
        <v>Дик</v>
      </c>
      <c r="DS335" s="333" t="s">
        <v>2962</v>
      </c>
      <c r="DT335" s="333" t="s">
        <v>2963</v>
      </c>
      <c r="DU335" s="333">
        <v>33.200000000000003</v>
      </c>
      <c r="DV335" s="111"/>
    </row>
    <row r="336" spans="1:126" hidden="1" x14ac:dyDescent="0.25">
      <c r="A336" s="112">
        <v>334</v>
      </c>
      <c r="B336" s="111" t="s">
        <v>3</v>
      </c>
      <c r="C336" s="111">
        <v>17</v>
      </c>
      <c r="D336" s="338">
        <v>1</v>
      </c>
      <c r="E336" s="111">
        <v>2</v>
      </c>
      <c r="F336" s="105">
        <v>17.63</v>
      </c>
      <c r="G336" s="105">
        <v>13.69</v>
      </c>
      <c r="H336" s="105"/>
      <c r="I336" s="94">
        <f>SUM(ППД5[[#This Row],[Комната 1]:[Комната 3]])</f>
        <v>31.32</v>
      </c>
      <c r="J336" s="105">
        <v>20.05</v>
      </c>
      <c r="K336" s="105">
        <v>3.54</v>
      </c>
      <c r="L336" s="105">
        <v>2.93</v>
      </c>
      <c r="M336" s="105"/>
      <c r="N336" s="105">
        <v>12.19</v>
      </c>
      <c r="O336" s="105">
        <v>4.6500000000000004</v>
      </c>
      <c r="P336" s="105">
        <v>2.68</v>
      </c>
      <c r="Q336" s="105"/>
      <c r="R336" s="105">
        <f>SUM(ППД5[[#This Row],[Лоджия 1]:[Лоджия 3]])</f>
        <v>7.33</v>
      </c>
      <c r="S336" s="8">
        <f>ROUND(SUM(ППД5[[#This Row],[Площадь по проекту жилая]:[Лоджия 3]]),2)</f>
        <v>77.36</v>
      </c>
      <c r="T336" s="8">
        <f>ROUND(ППД5[[#This Row],[Площадь по проекту(общая)]]-ППД5[[#This Row],[Летние]],2)</f>
        <v>70.03</v>
      </c>
      <c r="U336" s="91">
        <f>ROUND(ППД5[[#This Row],[Площадь по проекту(общая)]]-(SUM(ППД5[[#This Row],[Лоджия 1]:[Лоджия 3]])/2),2)</f>
        <v>73.7</v>
      </c>
      <c r="V336" s="91">
        <f>IF(ППД5[[#This Row],[Статус]]="продажа",ППД5[[#This Row],[Расчетная проектная площадь]],ППД5[[#This Row],[Расчетная ТП площадь]])</f>
        <v>73.649999999999991</v>
      </c>
      <c r="W336" s="91">
        <v>17.7</v>
      </c>
      <c r="X336" s="91">
        <v>13.6</v>
      </c>
      <c r="Y336" s="91"/>
      <c r="Z336" s="91">
        <f>SUM(ППД5[[#This Row],[ТП Комната 1]:[ТП Комната 3]])</f>
        <v>31.299999999999997</v>
      </c>
      <c r="AA336" s="91">
        <v>20.2</v>
      </c>
      <c r="AB336" s="91">
        <v>3.5</v>
      </c>
      <c r="AC336" s="91">
        <v>3</v>
      </c>
      <c r="AD336" s="91"/>
      <c r="AE336" s="91">
        <v>12</v>
      </c>
      <c r="AF336" s="91">
        <v>1.35</v>
      </c>
      <c r="AG336" s="91">
        <v>2.2999999999999998</v>
      </c>
      <c r="AH336" s="91"/>
      <c r="AI336" s="91">
        <f>SUM(ППД5[[#This Row],[ТП Лоджия 1]:[ТП Лоджия 3]])</f>
        <v>3.65</v>
      </c>
      <c r="AJ336" s="95">
        <v>7.3</v>
      </c>
      <c r="AK336" s="91">
        <f>SUM(ППД5[[#This Row],[Площадь по ТП жилая]:[ТП Лоджия 3]])-ППД5[[#This Row],[ТП Летние]]+ППД5[[#This Row],[кроме того прочая
(без коэффициента)]]</f>
        <v>77.299999999999983</v>
      </c>
      <c r="AL336" s="95">
        <f>ППД5[[#This Row],[ТП Площадь без летних]]+(ППД5[[#This Row],[ТП Летние]])</f>
        <v>73.649999999999991</v>
      </c>
      <c r="AM336" s="91">
        <f>ППД5[[#This Row],[ТП общая S]]-ППД5[[#This Row],[кроме того прочая
(без коэффициента)]]</f>
        <v>69.999999999999986</v>
      </c>
      <c r="AN336" s="95">
        <f>SUM(ППД5[[#This Row],[ТП Кухня]:[ТП Коридор]])</f>
        <v>38.700000000000003</v>
      </c>
      <c r="AO336" s="91">
        <f>ППД5[[#This Row],[Расчетная ТП площадь]]-ППД5[[#This Row],[Расчетная проектная площадь]]</f>
        <v>-5.0000000000011369E-2</v>
      </c>
      <c r="AP336" s="335">
        <f>ППД5[[#This Row],[Расчетная ТП площадь]]/ППД5[[#This Row],[Расчетная проектная площадь]]-1</f>
        <v>-6.7842605156054336E-4</v>
      </c>
      <c r="AQ336" s="91">
        <f>ППД5[[#This Row],[% расхождения]]*ППД5[[#This Row],[Стоимость до скидки]]</f>
        <v>-5765.4681139769655</v>
      </c>
      <c r="AR336" s="91">
        <f>VLOOKUP(ППД5[[#This Row],[№]],наценкад5[],COLUMN(наценкад5[[#This Row],[Цена м2 с учетом всех K]]),0)</f>
        <v>78763.482000000004</v>
      </c>
      <c r="AS336" s="8">
        <f>ППД5[[#This Row],[м2 после К]]*5%</f>
        <v>3938.1741000000002</v>
      </c>
      <c r="AT336" s="8">
        <f>ППД5[[#This Row],[м2 после К]]+ППД5[[#This Row],[Повышение 16.08.23 - 5%]]</f>
        <v>82701.656100000007</v>
      </c>
      <c r="AU336" s="93">
        <f>ППД5[[#This Row],[Фикс 16.08.23]]*3%</f>
        <v>2481.0496830000002</v>
      </c>
      <c r="AV336" s="93">
        <f>ППД5[[#This Row],[Фикс 16.08.23]]+ППД5[[#This Row],[Повышение 29.08.23 - 3%]]</f>
        <v>85182.705783000012</v>
      </c>
      <c r="AW336" s="93"/>
      <c r="AX336" s="93">
        <f>ППД5[[#This Row],[Фикс 29.08.23]]+ППД5[[#This Row],[Повышение 06.09.23 СТ и 1К]]</f>
        <v>85182.705783000012</v>
      </c>
      <c r="AY336" s="93"/>
      <c r="AZ336" s="93">
        <f>ППД5[[#This Row],[Повышение 23.10.23  В4 ]]+ППД5[[#This Row],[Фикс 06.09.23]]</f>
        <v>85182.705783000012</v>
      </c>
      <c r="BA336" s="93"/>
      <c r="BB336" s="93">
        <f>ППД5[[#This Row],[Повышение 8.11.23 1К 5%]]+ППД5[[#This Row],[Фикс 23.10.23]]</f>
        <v>85182.705783000012</v>
      </c>
      <c r="BC336" s="93"/>
      <c r="BD336" s="93">
        <f>ППД5[[#This Row],[Корректировка 24.11.23 - 1К В5, 2К А2, №233]]+ППД5[[#This Row],[Фикс 8.11.23]]</f>
        <v>85182.705783000012</v>
      </c>
      <c r="BE336" s="93">
        <f>ППД5[[#This Row],[Фикс 8.11.24]]*1%</f>
        <v>851.82705783000017</v>
      </c>
      <c r="BF336" s="93">
        <f>ППД5[[#This Row],[Наценка за отделку 29.12.23 1%]]+ППД5[[#This Row],[Фикс 8.11.24]]</f>
        <v>86034.532840830012</v>
      </c>
      <c r="BG336" s="93">
        <f>ППД5[[#This Row],[Фикс 29.12.23]]*5%</f>
        <v>4301.7266420415008</v>
      </c>
      <c r="BH336" s="93">
        <f>ППД5[[#This Row],[Фикс 29.12.23]]+ППД5[[#This Row],[Наценка 10.01.24 5%]]</f>
        <v>90336.259482871508</v>
      </c>
      <c r="BI336" s="93"/>
      <c r="BJ336" s="93">
        <f>ППД5[[#This Row],[Наценка 26.02.24 1 Этаж]]+ППД5[[#This Row],[Фикс 10.01.24]]</f>
        <v>90336.259482871508</v>
      </c>
      <c r="BK336" s="93">
        <f>ППД5[[#This Row],[Фикс 26.02.24]]*2%</f>
        <v>1806.7251896574303</v>
      </c>
      <c r="BL336" s="93">
        <f>ППД5[[#This Row],[Фикс 26.02.24]]+ППД5[[#This Row],[Наценка 06.03.24
СТ, 1К - 3%
2К, 3К - 2%]]</f>
        <v>92142.984672528939</v>
      </c>
      <c r="BM336" s="93"/>
      <c r="BN336" s="93">
        <f>ППД5[[#This Row],[Фикс 06.03.24]]+ППД5[[#This Row],[Наценка Г2+500]]</f>
        <v>92142.984672528939</v>
      </c>
      <c r="BO336" s="93">
        <f>ППД5[[#This Row],[Фикс 13.03.25]]*2%</f>
        <v>1842.8596934505788</v>
      </c>
      <c r="BP336" s="93">
        <f>ППД5[[#This Row],[Фикс 13.03.25]]+ППД5[[#This Row],[Наценка 20.03.24
2К, 3К - 2%]]</f>
        <v>93985.844365979516</v>
      </c>
      <c r="BQ336" s="93"/>
      <c r="BR336" s="93">
        <f>ППД5[[#This Row],[Фикс 20.03.24]]+ППД5[[#This Row],[Наценка 08.04.24 
2К: В3 - 150
3К: Г7 +1000]]</f>
        <v>93985.844365979516</v>
      </c>
      <c r="BS336" s="93"/>
      <c r="BT336" s="93">
        <f>ППД5[[#This Row],[Фикс 08.04.24]]+ППД5[[#This Row],[Наценка 16.05.24 1%
А4,А6,Б3,Б6,Б7,В2,В3,В5,В6,Г1,Г3-Г5]]</f>
        <v>93985.844365979516</v>
      </c>
      <c r="BU336" s="93"/>
      <c r="BV336" s="93">
        <f>ППД5[[#This Row],[Фикс 16.05.24]]+ППД5[[#This Row],[Наценка 24.05.24
1% - Б4, Б5,Г2,Г6
2% - А1,А3,А5,Б2,Г7]]</f>
        <v>93985.844365979516</v>
      </c>
      <c r="BW336" s="93"/>
      <c r="BX336" s="93">
        <f>ППД5[[#This Row],[Наценка 06.06.24
0К: В2,Г3 +0,5%
1К: А7, Б5/4, Г6 +0,5%
3К: В6 +0,5%
1К: А3 +1%]]+ППД5[[#This Row],[Фикс 24.05.24]]</f>
        <v>93985.844365979516</v>
      </c>
      <c r="BY336" s="93"/>
      <c r="BZ336" s="93">
        <f>ППД5[[#This Row],[Фикс 06.06.24]]+ППД5[[#This Row],[13.06.2024
3К - 2%]]</f>
        <v>93985.844365979516</v>
      </c>
      <c r="CA336" s="93">
        <f>0.5%*ППД5[[#This Row],[Фикс 13.06.24]]</f>
        <v>469.92922182989759</v>
      </c>
      <c r="CB336" s="93">
        <f>ППД5[[#This Row],[02.07.2024: Г3 А1 А3 Б5 Б7 Г2 Г6 Б3 Б4 В3 Г7 2,5% ост 0,5-1,5%]]+ППД5[[#This Row],[Фикс 13.06.24]]</f>
        <v>94455.77358780941</v>
      </c>
      <c r="CC336" s="93"/>
      <c r="CD336" s="93">
        <f>ППД5[[#This Row],[Фикс 02.07.24]]+ППД5[[#This Row],[04.09.2024 +500
0К - Б2; 1К - А3;
2К - А6, Б4, В3, Г5]]</f>
        <v>94455.77358780941</v>
      </c>
      <c r="CE336" s="93"/>
      <c r="CF336" s="93">
        <f>ППД5[[#This Row],[Наценка 16.09.2024
1К: А1,В7,Г6/7,Г8 - 2%
2К: А4,А5,А6,Б1,Б6,Б3/4,В3,В4,Г4,Г5 - 4%
3К: 4%]]+ППД5[[#This Row],[Фикс 04.09.24]]</f>
        <v>94455.77358780941</v>
      </c>
      <c r="CG336" s="93">
        <f>ППД5[[#This Row],[Фикс 16.09.2024]]*8%</f>
        <v>7556.4618870247532</v>
      </c>
      <c r="CH336" s="93">
        <f>ППД5[[#This Row],[Фикс 16.09.2024]]+ППД5[[#This Row],[Наценка 01.11.24
СТ: 4%
1К: 34-40м 5%; 40м+ 8%; МГН 1%
2К: 55-70м 6%; 70-73м 7%; 73-76м 8% 
3К: 5%]]</f>
        <v>102012.23547483416</v>
      </c>
      <c r="CI336" s="93">
        <f>ППД5[[#This Row],[Фикс 01.11.24]]*13%</f>
        <v>13261.590611728441</v>
      </c>
      <c r="CJ336" s="93">
        <f>ППД5[[#This Row],[Наценка 06.11 13%]]+ППД5[[#This Row],[Фикс 01.11.24]]</f>
        <v>115273.82608656261</v>
      </c>
      <c r="CK336" s="93">
        <v>35</v>
      </c>
      <c r="CL336" s="93">
        <f>ППД5[[#This Row],[Фикс 06.11.24]]+ППД5[[#This Row],[Наценка 18.12.24 распределение КВ]]</f>
        <v>115308.82608656261</v>
      </c>
      <c r="CM336" s="93"/>
      <c r="CN336" s="93">
        <f>ППД5[[#This Row],[Фикс 18.12.24]]+ППД5[[#This Row],[Наценка 10.02.25 +1%
1К: А3
2К: Б3, В3]]</f>
        <v>115308.82608656261</v>
      </c>
      <c r="CO336" s="93">
        <f>ROUND(ППД5[[#This Row],[Фикс 10.02.25]],2)</f>
        <v>115308.83</v>
      </c>
      <c r="CP33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8498300</v>
      </c>
      <c r="CQ336" s="93">
        <f>ROUNDUP(ППД5[[#This Row],[Стоимость до скидки]]+ППД5[[#This Row],[Сумма доплаты]],-2)</f>
        <v>8492600</v>
      </c>
      <c r="CR336" s="68"/>
      <c r="CS336" s="90"/>
      <c r="CT336" s="68">
        <f>ППД5[[#This Row],[Стоимость до скидки]]*ППД5[[#This Row],[Скидка %]]+ППД5[[#This Row],[Скидка фиксированная]]</f>
        <v>0</v>
      </c>
      <c r="CU336" s="3">
        <f>ППД5[[#This Row],[Стоимость ОН без отделки со скидкой]]/ППД5[[#This Row],[Расчетная проектная площадь]]</f>
        <v>115309.36227951152</v>
      </c>
      <c r="CV336" s="3">
        <f>ROUND(ППД5[[#This Row],[Стоимость до скидки]]-ППД5[[#This Row],[Итоговая сумма скидки]],2)</f>
        <v>8498300</v>
      </c>
      <c r="CW33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36" s="218"/>
      <c r="CY336" s="332">
        <f>ППД5[[#This Row],[Расхождение]]/ППД5[[#This Row],[Расчетная проектная площадь]]</f>
        <v>-6.7842605156053415E-4</v>
      </c>
      <c r="CZ336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-9.9999999999944578E-3</v>
      </c>
      <c r="DA336" s="3">
        <f>ППД5[[#This Row],[Цена м2 без отделки со скидкой]]+ППД5[[#This Row],[Стоимость отделки]]</f>
        <v>115309.36227951152</v>
      </c>
      <c r="DB336" s="3">
        <f>ППД5[[#This Row],[Стоимость квартиры с отделкой]]-ППД5[[#This Row],[Стоимость ОН без отделки со скидкой]]</f>
        <v>0</v>
      </c>
      <c r="DC336" s="3">
        <f>ППД5[[#This Row],[Цена м2 с отделкой]]*ППД5[[#This Row],[Расчетная проектная площадь]]</f>
        <v>8498300</v>
      </c>
      <c r="DD336" s="3" t="s">
        <v>158</v>
      </c>
      <c r="DF336" s="155" t="s">
        <v>157</v>
      </c>
      <c r="DG336" s="221" t="s">
        <v>157</v>
      </c>
      <c r="DH336" s="100" t="b">
        <f>EXACT(ППД5[[#This Row],[Статусы CRM]],ППД5[[#This Row],[Статус]])</f>
        <v>1</v>
      </c>
      <c r="DI336" s="213" t="s">
        <v>508</v>
      </c>
      <c r="DJ336" s="204"/>
      <c r="DK336" s="111" t="s">
        <v>763</v>
      </c>
      <c r="DL336" s="216" t="s">
        <v>12</v>
      </c>
      <c r="DM336" s="201" t="b">
        <f>ППД5[[#This Row],[Отделка CRM]]=ППД5[[#This Row],[Отделка]]</f>
        <v>1</v>
      </c>
      <c r="DN336" s="203">
        <v>8498300</v>
      </c>
      <c r="DO33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36" s="207" t="b">
        <f>IF(AND(ППД5[[#This Row],[Статус]]="свободно",ППД5[[#This Row],[Итоговая сумма скидки]]&lt;&gt;0),FALSE,TRUE)</f>
        <v>1</v>
      </c>
      <c r="DQ336" s="240" t="str">
        <f>_xlfn.XLOOKUP(ППД5[[#This Row],[№]],Юрист[№ кв],Юрист[Дата подачи на регистрацию]," ",0,-1)</f>
        <v xml:space="preserve"> </v>
      </c>
      <c r="DR336" s="115" t="str">
        <f>_xlfn.XLOOKUP(ППД5[[#This Row],[№]],Юрист[№ кв],Юрист[МОП],"",0,-1)</f>
        <v/>
      </c>
      <c r="DS336" s="333" t="s">
        <v>2964</v>
      </c>
      <c r="DT336" s="333" t="s">
        <v>2965</v>
      </c>
      <c r="DU336" s="333">
        <v>70</v>
      </c>
      <c r="DV336" s="111"/>
    </row>
    <row r="337" spans="1:126" hidden="1" x14ac:dyDescent="0.25">
      <c r="A337" s="112">
        <v>335</v>
      </c>
      <c r="B337" s="111" t="s">
        <v>3</v>
      </c>
      <c r="C337" s="111">
        <v>17</v>
      </c>
      <c r="D337" s="111">
        <v>2</v>
      </c>
      <c r="E337" s="111">
        <v>0</v>
      </c>
      <c r="F337" s="105">
        <v>7.18</v>
      </c>
      <c r="G337" s="105"/>
      <c r="H337" s="105"/>
      <c r="I337" s="94">
        <f>SUM(ППД5[[#This Row],[Комната 1]:[Комната 3]])</f>
        <v>7.18</v>
      </c>
      <c r="J337" s="105">
        <v>5.17</v>
      </c>
      <c r="K337" s="105">
        <v>3.72</v>
      </c>
      <c r="L337" s="105"/>
      <c r="M337" s="105"/>
      <c r="N337" s="105">
        <v>6.97</v>
      </c>
      <c r="O337" s="105">
        <v>2.97</v>
      </c>
      <c r="P337" s="105"/>
      <c r="Q337" s="105"/>
      <c r="R337" s="105">
        <f>SUM(ППД5[[#This Row],[Лоджия 1]:[Лоджия 3]])</f>
        <v>2.97</v>
      </c>
      <c r="S337" s="8">
        <f>ROUND(SUM(ППД5[[#This Row],[Площадь по проекту жилая]:[Лоджия 3]]),2)</f>
        <v>26.01</v>
      </c>
      <c r="T337" s="8">
        <f>ROUND(ППД5[[#This Row],[Площадь по проекту(общая)]]-ППД5[[#This Row],[Летние]],2)</f>
        <v>23.04</v>
      </c>
      <c r="U337" s="91">
        <f>ROUND(ППД5[[#This Row],[Площадь по проекту(общая)]]-(SUM(ППД5[[#This Row],[Лоджия 1]:[Лоджия 3]])/2),2)</f>
        <v>24.53</v>
      </c>
      <c r="V337" s="91">
        <f>IF(ППД5[[#This Row],[Статус]]="продажа",ППД5[[#This Row],[Расчетная проектная площадь]],ППД5[[#This Row],[Расчетная ТП площадь]])</f>
        <v>24.53</v>
      </c>
      <c r="W337" s="91">
        <v>7.2</v>
      </c>
      <c r="X337" s="91"/>
      <c r="Y337" s="91"/>
      <c r="Z337" s="91">
        <f>SUM(ППД5[[#This Row],[ТП Комната 1]:[ТП Комната 3]])</f>
        <v>7.2</v>
      </c>
      <c r="AA337" s="91">
        <v>5</v>
      </c>
      <c r="AB337" s="91">
        <v>3.7</v>
      </c>
      <c r="AC337" s="91"/>
      <c r="AD337" s="91"/>
      <c r="AE337" s="91">
        <v>6.9</v>
      </c>
      <c r="AF337" s="91">
        <v>1.5</v>
      </c>
      <c r="AG337" s="91"/>
      <c r="AH337" s="91"/>
      <c r="AI337" s="91">
        <f>SUM(ППД5[[#This Row],[ТП Лоджия 1]:[ТП Лоджия 3]])</f>
        <v>1.5</v>
      </c>
      <c r="AJ337" s="95">
        <v>3</v>
      </c>
      <c r="AK337" s="91">
        <f>SUM(ППД5[[#This Row],[Площадь по ТП жилая]:[ТП Лоджия 3]])-ППД5[[#This Row],[ТП Летние]]+ППД5[[#This Row],[кроме того прочая
(без коэффициента)]]</f>
        <v>25.799999999999997</v>
      </c>
      <c r="AL337" s="95">
        <f>ППД5[[#This Row],[ТП Площадь без летних]]+(ППД5[[#This Row],[ТП Летние]])</f>
        <v>24.299999999999997</v>
      </c>
      <c r="AM337" s="91">
        <f>ППД5[[#This Row],[ТП общая S]]-ППД5[[#This Row],[кроме того прочая
(без коэффициента)]]</f>
        <v>22.799999999999997</v>
      </c>
      <c r="AN337" s="95">
        <f>SUM(ППД5[[#This Row],[ТП Кухня]:[ТП Коридор]])</f>
        <v>15.6</v>
      </c>
      <c r="AO337" s="91">
        <f>ППД5[[#This Row],[Расчетная ТП площадь]]-ППД5[[#This Row],[Расчетная проектная площадь]]</f>
        <v>-0.23000000000000398</v>
      </c>
      <c r="AP337" s="335">
        <f>ППД5[[#This Row],[Расчетная ТП площадь]]/ППД5[[#This Row],[Расчетная проектная площадь]]-1</f>
        <v>-9.3762739502651904E-3</v>
      </c>
      <c r="AQ337" s="91">
        <f>ППД5[[#This Row],[% расхождения]]*ППД5[[#This Row],[Стоимость до скидки]]</f>
        <v>-35220.097839381131</v>
      </c>
      <c r="AR337" s="91">
        <f>VLOOKUP(ППД5[[#This Row],[№]],наценкад5[],COLUMN(наценкад5[[#This Row],[Цена м2 с учетом всех K]]),0)</f>
        <v>91981.574999999997</v>
      </c>
      <c r="AS337" s="8">
        <f>ППД5[[#This Row],[м2 после К]]*5%</f>
        <v>4599.0787499999997</v>
      </c>
      <c r="AT337" s="8">
        <f>ППД5[[#This Row],[м2 после К]]+ППД5[[#This Row],[Повышение 16.08.23 - 5%]]</f>
        <v>96580.653749999998</v>
      </c>
      <c r="AU337" s="93">
        <f>ППД5[[#This Row],[Фикс 16.08.23]]*3%</f>
        <v>2897.4196124999999</v>
      </c>
      <c r="AV337" s="93">
        <f>ППД5[[#This Row],[Фикс 16.08.23]]+ППД5[[#This Row],[Повышение 29.08.23 - 3%]]</f>
        <v>99478.073362499999</v>
      </c>
      <c r="AW337" s="93">
        <f>ППД5[[#This Row],[Фикс 29.08.23]]*13%</f>
        <v>12932.149537125</v>
      </c>
      <c r="AX337" s="93">
        <f>ППД5[[#This Row],[Фикс 29.08.23]]+ППД5[[#This Row],[Повышение 06.09.23 СТ и 1К]]</f>
        <v>112410.22289962501</v>
      </c>
      <c r="AY337" s="93">
        <f>ППД5[[#This Row],[Фикс 06.09.23]]*3%</f>
        <v>3372.3066869887502</v>
      </c>
      <c r="AZ337" s="93">
        <f>ППД5[[#This Row],[Повышение 23.10.23  В4 ]]+ППД5[[#This Row],[Фикс 06.09.23]]</f>
        <v>115782.52958661376</v>
      </c>
      <c r="BA337" s="93"/>
      <c r="BB337" s="93">
        <f>ППД5[[#This Row],[Повышение 8.11.23 1К 5%]]+ППД5[[#This Row],[Фикс 23.10.23]]</f>
        <v>115782.52958661376</v>
      </c>
      <c r="BC337" s="93"/>
      <c r="BD337" s="93">
        <f>ППД5[[#This Row],[Корректировка 24.11.23 - 1К В5, 2К А2, №233]]+ППД5[[#This Row],[Фикс 8.11.23]]</f>
        <v>115782.52958661376</v>
      </c>
      <c r="BE337" s="93">
        <f>ППД5[[#This Row],[Фикс 8.11.24]]*1%</f>
        <v>1157.8252958661376</v>
      </c>
      <c r="BF337" s="93">
        <f>ППД5[[#This Row],[Наценка за отделку 29.12.23 1%]]+ППД5[[#This Row],[Фикс 8.11.24]]</f>
        <v>116940.35488247989</v>
      </c>
      <c r="BG337" s="93">
        <f>ППД5[[#This Row],[Фикс 29.12.23]]*5%</f>
        <v>5847.0177441239948</v>
      </c>
      <c r="BH337" s="93">
        <f>ППД5[[#This Row],[Фикс 29.12.23]]+ППД5[[#This Row],[Наценка 10.01.24 5%]]</f>
        <v>122787.37262660389</v>
      </c>
      <c r="BI337" s="93"/>
      <c r="BJ337" s="93">
        <f>ППД5[[#This Row],[Наценка 26.02.24 1 Этаж]]+ППД5[[#This Row],[Фикс 10.01.24]]</f>
        <v>122787.37262660389</v>
      </c>
      <c r="BK337" s="93">
        <f>ППД5[[#This Row],[Фикс 26.02.24]]*3%</f>
        <v>3683.6211787981165</v>
      </c>
      <c r="BL337" s="93">
        <f>ППД5[[#This Row],[Фикс 26.02.24]]+ППД5[[#This Row],[Наценка 06.03.24
СТ, 1К - 3%
2К, 3К - 2%]]</f>
        <v>126470.993805402</v>
      </c>
      <c r="BM337" s="93"/>
      <c r="BN337" s="93">
        <f>ППД5[[#This Row],[Фикс 06.03.24]]+ППД5[[#This Row],[Наценка Г2+500]]</f>
        <v>126470.993805402</v>
      </c>
      <c r="BO337" s="93"/>
      <c r="BP337" s="93">
        <f>ППД5[[#This Row],[Фикс 13.03.25]]+ППД5[[#This Row],[Наценка 20.03.24
2К, 3К - 2%]]</f>
        <v>126470.993805402</v>
      </c>
      <c r="BQ337" s="93"/>
      <c r="BR337" s="93">
        <f>ППД5[[#This Row],[Фикс 20.03.24]]+ППД5[[#This Row],[Наценка 08.04.24 
2К: В3 - 150
3К: Г7 +1000]]</f>
        <v>126470.993805402</v>
      </c>
      <c r="BS337" s="93">
        <f>ППД5[[#This Row],[Фикс 08.04.24]]*1%</f>
        <v>1264.7099380540201</v>
      </c>
      <c r="BT337" s="93">
        <f>ППД5[[#This Row],[Фикс 08.04.24]]+ППД5[[#This Row],[Наценка 16.05.24 1%
А4,А6,Б3,Б6,Б7,В2,В3,В5,В6,Г1,Г3-Г5]]</f>
        <v>127735.70374345602</v>
      </c>
      <c r="BU337" s="93"/>
      <c r="BV337" s="93">
        <f>ППД5[[#This Row],[Фикс 16.05.24]]+ППД5[[#This Row],[Наценка 24.05.24
1% - Б4, Б5,Г2,Г6
2% - А1,А3,А5,Б2,Г7]]</f>
        <v>127735.70374345602</v>
      </c>
      <c r="BW337" s="93">
        <f>ППД5[[#This Row],[Фикс 24.05.24]]*0.5%</f>
        <v>638.6785187172801</v>
      </c>
      <c r="BX337" s="93">
        <f>ППД5[[#This Row],[Наценка 06.06.24
0К: В2,Г3 +0,5%
1К: А7, Б5/4, Г6 +0,5%
3К: В6 +0,5%
1К: А3 +1%]]+ППД5[[#This Row],[Фикс 24.05.24]]</f>
        <v>128374.3822621733</v>
      </c>
      <c r="BY337" s="93"/>
      <c r="BZ337" s="93">
        <f>ППД5[[#This Row],[Фикс 06.06.24]]+ППД5[[#This Row],[13.06.2024
3К - 2%]]</f>
        <v>128374.3822621733</v>
      </c>
      <c r="CA337" s="93">
        <f>1.5%*ППД5[[#This Row],[Фикс 13.06.24]]</f>
        <v>1925.6157339325994</v>
      </c>
      <c r="CB337" s="93">
        <f>ППД5[[#This Row],[02.07.2024: Г3 А1 А3 Б5 Б7 Г2 Г6 Б3 Б4 В3 Г7 2,5% ост 0,5-1,5%]]+ППД5[[#This Row],[Фикс 13.06.24]]</f>
        <v>130299.9979961059</v>
      </c>
      <c r="CC337" s="93"/>
      <c r="CD337" s="93">
        <f>ППД5[[#This Row],[Фикс 02.07.24]]+ППД5[[#This Row],[04.09.2024 +500
0К - Б2; 1К - А3;
2К - А6, Б4, В3, Г5]]</f>
        <v>130299.9979961059</v>
      </c>
      <c r="CE337" s="93"/>
      <c r="CF337" s="93">
        <f>ППД5[[#This Row],[Наценка 16.09.2024
1К: А1,В7,Г6/7,Г8 - 2%
2К: А4,А5,А6,Б1,Б6,Б3/4,В3,В4,Г4,Г5 - 4%
3К: 4%]]+ППД5[[#This Row],[Фикс 04.09.24]]</f>
        <v>130299.9979961059</v>
      </c>
      <c r="CG337" s="93">
        <f>ППД5[[#This Row],[Фикс 16.09.2024]]*4%</f>
        <v>5211.9999198442365</v>
      </c>
      <c r="CH337" s="93">
        <f>ППД5[[#This Row],[Фикс 16.09.2024]]+ППД5[[#This Row],[Наценка 01.11.24
СТ: 4%
1К: 34-40м 5%; 40м+ 8%; МГН 1%
2К: 55-70м 6%; 70-73м 7%; 73-76м 8% 
3К: 5%]]</f>
        <v>135511.99791595014</v>
      </c>
      <c r="CI337" s="93">
        <f>ППД5[[#This Row],[Фикс 01.11.24]]*13%</f>
        <v>17616.559729073517</v>
      </c>
      <c r="CJ337" s="93">
        <f>ППД5[[#This Row],[Наценка 06.11 13%]]+ППД5[[#This Row],[Фикс 01.11.24]]</f>
        <v>153128.55764502365</v>
      </c>
      <c r="CK337" s="93"/>
      <c r="CL337" s="93">
        <f>ППД5[[#This Row],[Фикс 06.11.24]]+ППД5[[#This Row],[Наценка 18.12.24 распределение КВ]]</f>
        <v>153128.55764502365</v>
      </c>
      <c r="CM337" s="93"/>
      <c r="CN337" s="93">
        <f>ППД5[[#This Row],[Фикс 18.12.24]]+ППД5[[#This Row],[Наценка 10.02.25 +1%
1К: А3
2К: Б3, В3]]</f>
        <v>153128.55764502365</v>
      </c>
      <c r="CO337" s="93">
        <f>ROUND(ППД5[[#This Row],[Фикс 10.02.25]],2)</f>
        <v>153128.56</v>
      </c>
      <c r="CP33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3756300</v>
      </c>
      <c r="CQ337" s="93">
        <f>ROUNDUP(ППД5[[#This Row],[Стоимость до скидки]]+ППД5[[#This Row],[Сумма доплаты]],-2)</f>
        <v>3721100</v>
      </c>
      <c r="CR337" s="68"/>
      <c r="CS337" s="90">
        <v>0.02</v>
      </c>
      <c r="CT337" s="68">
        <f>ППД5[[#This Row],[Стоимость до скидки]]*ППД5[[#This Row],[Скидка %]]+ППД5[[#This Row],[Скидка фиксированная]]</f>
        <v>75126</v>
      </c>
      <c r="CU337" s="3">
        <f>ППД5[[#This Row],[Стоимость ОН без отделки со скидкой]]/ППД5[[#This Row],[Расчетная проектная площадь]]</f>
        <v>150068.24296779453</v>
      </c>
      <c r="CV337" s="3">
        <f>ROUND(ППД5[[#This Row],[Стоимость до скидки]]-ППД5[[#This Row],[Итоговая сумма скидки]],2)</f>
        <v>3681174</v>
      </c>
      <c r="CW33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37" s="218">
        <v>25000</v>
      </c>
      <c r="CY337" s="332">
        <f>ППД5[[#This Row],[Расхождение]]/ППД5[[#This Row],[Расчетная проектная площадь]]</f>
        <v>-9.3762739502651436E-3</v>
      </c>
      <c r="CZ337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-0.26000000000000156</v>
      </c>
      <c r="DA337" s="3">
        <f>ППД5[[#This Row],[Цена м2 без отделки со скидкой]]+ППД5[[#This Row],[Стоимость отделки]]</f>
        <v>175068.24296779453</v>
      </c>
      <c r="DB337" s="3">
        <f>ППД5[[#This Row],[Стоимость квартиры с отделкой]]-ППД5[[#This Row],[Стоимость ОН без отделки со скидкой]]</f>
        <v>613250</v>
      </c>
      <c r="DC337" s="3">
        <f>ППД5[[#This Row],[Цена м2 с отделкой]]*ППД5[[#This Row],[Расчетная проектная площадь]]</f>
        <v>4294424</v>
      </c>
      <c r="DD337" s="3"/>
      <c r="DE337" s="111" t="s">
        <v>757</v>
      </c>
      <c r="DF337" s="199" t="s">
        <v>172</v>
      </c>
      <c r="DG337" s="245" t="s">
        <v>172</v>
      </c>
      <c r="DH337" s="100" t="b">
        <f>EXACT(ППД5[[#This Row],[Статусы CRM]],ППД5[[#This Row],[Статус]])</f>
        <v>1</v>
      </c>
      <c r="DI337" s="213" t="s">
        <v>509</v>
      </c>
      <c r="DJ337" s="204"/>
      <c r="DK337" s="111" t="s">
        <v>763</v>
      </c>
      <c r="DL337" s="216" t="s">
        <v>14</v>
      </c>
      <c r="DM337" s="201" t="b">
        <f>ППД5[[#This Row],[Отделка CRM]]=ППД5[[#This Row],[Отделка]]</f>
        <v>1</v>
      </c>
      <c r="DN337" s="203">
        <v>4294424</v>
      </c>
      <c r="DO33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37" s="207" t="b">
        <f>IF(AND(ППД5[[#This Row],[Статус]]="свободно",ППД5[[#This Row],[Итоговая сумма скидки]]&lt;&gt;0),FALSE,TRUE)</f>
        <v>1</v>
      </c>
      <c r="DQ337" s="240">
        <f>_xlfn.XLOOKUP(ППД5[[#This Row],[№]],Юрист[№ кв],Юрист[Дата подачи на регистрацию]," ",0,-1)</f>
        <v>45625</v>
      </c>
      <c r="DR337" s="115" t="str">
        <f>_xlfn.XLOOKUP(ППД5[[#This Row],[№]],Юрист[№ кв],Юрист[МОП],"",0,-1)</f>
        <v>Полехович</v>
      </c>
      <c r="DS337" s="333" t="s">
        <v>2966</v>
      </c>
      <c r="DT337" s="333" t="s">
        <v>2967</v>
      </c>
      <c r="DU337" s="333">
        <v>22.8</v>
      </c>
      <c r="DV337" s="111"/>
    </row>
    <row r="338" spans="1:126" hidden="1" x14ac:dyDescent="0.25">
      <c r="A338" s="112">
        <v>336</v>
      </c>
      <c r="B338" s="111" t="s">
        <v>3</v>
      </c>
      <c r="C338" s="111">
        <v>17</v>
      </c>
      <c r="D338" s="111">
        <v>3</v>
      </c>
      <c r="E338" s="111">
        <v>2</v>
      </c>
      <c r="F338" s="105">
        <v>13.69</v>
      </c>
      <c r="G338" s="105">
        <v>10.16</v>
      </c>
      <c r="H338" s="105"/>
      <c r="I338" s="94">
        <f>SUM(ППД5[[#This Row],[Комната 1]:[Комната 3]])</f>
        <v>23.85</v>
      </c>
      <c r="J338" s="105">
        <v>18.71</v>
      </c>
      <c r="K338" s="105">
        <v>3.49</v>
      </c>
      <c r="L338" s="105">
        <v>2.11</v>
      </c>
      <c r="M338" s="105"/>
      <c r="N338" s="105">
        <v>7.09</v>
      </c>
      <c r="O338" s="105">
        <v>2.65</v>
      </c>
      <c r="P338" s="105"/>
      <c r="Q338" s="105"/>
      <c r="R338" s="105">
        <f>SUM(ППД5[[#This Row],[Лоджия 1]:[Лоджия 3]])</f>
        <v>2.65</v>
      </c>
      <c r="S338" s="8">
        <f>ROUND(SUM(ППД5[[#This Row],[Площадь по проекту жилая]:[Лоджия 3]]),2)</f>
        <v>57.9</v>
      </c>
      <c r="T338" s="8">
        <f>ROUND(ППД5[[#This Row],[Площадь по проекту(общая)]]-ППД5[[#This Row],[Летние]],2)</f>
        <v>55.25</v>
      </c>
      <c r="U338" s="91">
        <f>ROUND(ППД5[[#This Row],[Площадь по проекту(общая)]]-(SUM(ППД5[[#This Row],[Лоджия 1]:[Лоджия 3]])/2),2)</f>
        <v>56.58</v>
      </c>
      <c r="V338" s="91">
        <f>IF(ППД5[[#This Row],[Статус]]="продажа",ППД5[[#This Row],[Расчетная проектная площадь]],ППД5[[#This Row],[Расчетная ТП площадь]])</f>
        <v>56.58</v>
      </c>
      <c r="W338" s="91">
        <v>13.5</v>
      </c>
      <c r="X338" s="91">
        <v>9.9</v>
      </c>
      <c r="Y338" s="91"/>
      <c r="Z338" s="91">
        <f>SUM(ППД5[[#This Row],[ТП Комната 1]:[ТП Комната 3]])</f>
        <v>23.4</v>
      </c>
      <c r="AA338" s="91">
        <v>18.8</v>
      </c>
      <c r="AB338" s="91">
        <v>3.7</v>
      </c>
      <c r="AC338" s="91">
        <v>2.1</v>
      </c>
      <c r="AD338" s="91"/>
      <c r="AE338" s="91">
        <v>7.1</v>
      </c>
      <c r="AF338" s="91">
        <v>1.35</v>
      </c>
      <c r="AG338" s="91"/>
      <c r="AH338" s="91"/>
      <c r="AI338" s="91">
        <f>SUM(ППД5[[#This Row],[ТП Лоджия 1]:[ТП Лоджия 3]])</f>
        <v>1.35</v>
      </c>
      <c r="AJ338" s="95">
        <v>2.7</v>
      </c>
      <c r="AK338" s="91">
        <f>SUM(ППД5[[#This Row],[Площадь по ТП жилая]:[ТП Лоджия 3]])-ППД5[[#This Row],[ТП Летние]]+ППД5[[#This Row],[кроме того прочая
(без коэффициента)]]</f>
        <v>57.800000000000011</v>
      </c>
      <c r="AL338" s="95">
        <f>ППД5[[#This Row],[ТП Площадь без летних]]+(ППД5[[#This Row],[ТП Летние]])</f>
        <v>56.45000000000001</v>
      </c>
      <c r="AM338" s="91">
        <f>ППД5[[#This Row],[ТП общая S]]-ППД5[[#This Row],[кроме того прочая
(без коэффициента)]]</f>
        <v>55.100000000000009</v>
      </c>
      <c r="AN338" s="95">
        <f>SUM(ППД5[[#This Row],[ТП Кухня]:[ТП Коридор]])</f>
        <v>31.700000000000003</v>
      </c>
      <c r="AO338" s="91">
        <f>ППД5[[#This Row],[Расчетная ТП площадь]]-ППД5[[#This Row],[Расчетная проектная площадь]]</f>
        <v>-0.12999999999998835</v>
      </c>
      <c r="AP338" s="335">
        <f>ППД5[[#This Row],[Расчетная ТП площадь]]/ППД5[[#This Row],[Расчетная проектная площадь]]-1</f>
        <v>-2.2976316719687251E-3</v>
      </c>
      <c r="AQ338" s="91">
        <f>ППД5[[#This Row],[% расхождения]]*ППД5[[#This Row],[Стоимость до скидки]]</f>
        <v>-12602.050194414063</v>
      </c>
      <c r="AR338" s="91">
        <f>VLOOKUP(ППД5[[#This Row],[№]],наценкад5[],COLUMN(наценкад5[[#This Row],[Цена м2 с учетом всех K]]),0)</f>
        <v>80307.864000000001</v>
      </c>
      <c r="AS338" s="8">
        <f>ППД5[[#This Row],[м2 после К]]*5%</f>
        <v>4015.3932000000004</v>
      </c>
      <c r="AT338" s="8">
        <f>ППД5[[#This Row],[м2 после К]]+ППД5[[#This Row],[Повышение 16.08.23 - 5%]]</f>
        <v>84323.257200000007</v>
      </c>
      <c r="AU338" s="93">
        <f>ППД5[[#This Row],[Фикс 16.08.23]]*3%</f>
        <v>2529.6977160000001</v>
      </c>
      <c r="AV338" s="93">
        <f>ППД5[[#This Row],[Фикс 16.08.23]]+ППД5[[#This Row],[Повышение 29.08.23 - 3%]]</f>
        <v>86852.954916000002</v>
      </c>
      <c r="AW338" s="93"/>
      <c r="AX338" s="93">
        <f>ППД5[[#This Row],[Фикс 29.08.23]]+ППД5[[#This Row],[Повышение 06.09.23 СТ и 1К]]</f>
        <v>86852.954916000002</v>
      </c>
      <c r="AY338" s="93"/>
      <c r="AZ338" s="93">
        <f>ППД5[[#This Row],[Повышение 23.10.23  В4 ]]+ППД5[[#This Row],[Фикс 06.09.23]]</f>
        <v>86852.954916000002</v>
      </c>
      <c r="BA338" s="93"/>
      <c r="BB338" s="93">
        <f>ППД5[[#This Row],[Повышение 8.11.23 1К 5%]]+ППД5[[#This Row],[Фикс 23.10.23]]</f>
        <v>86852.954916000002</v>
      </c>
      <c r="BC338" s="93"/>
      <c r="BD338" s="93">
        <f>ППД5[[#This Row],[Корректировка 24.11.23 - 1К В5, 2К А2, №233]]+ППД5[[#This Row],[Фикс 8.11.23]]</f>
        <v>86852.954916000002</v>
      </c>
      <c r="BE338" s="93">
        <f>ППД5[[#This Row],[Фикс 8.11.24]]*1%</f>
        <v>868.52954915999999</v>
      </c>
      <c r="BF338" s="93">
        <f>ППД5[[#This Row],[Наценка за отделку 29.12.23 1%]]+ППД5[[#This Row],[Фикс 8.11.24]]</f>
        <v>87721.48446516</v>
      </c>
      <c r="BG338" s="93">
        <f>ППД5[[#This Row],[Фикс 29.12.23]]*5%</f>
        <v>4386.0742232580005</v>
      </c>
      <c r="BH338" s="93">
        <f>ППД5[[#This Row],[Фикс 29.12.23]]+ППД5[[#This Row],[Наценка 10.01.24 5%]]</f>
        <v>92107.558688417994</v>
      </c>
      <c r="BI338" s="93"/>
      <c r="BJ338" s="93">
        <f>ППД5[[#This Row],[Наценка 26.02.24 1 Этаж]]+ППД5[[#This Row],[Фикс 10.01.24]]</f>
        <v>92107.558688417994</v>
      </c>
      <c r="BK338" s="93">
        <f>ППД5[[#This Row],[Фикс 26.02.24]]*2%</f>
        <v>1842.15117376836</v>
      </c>
      <c r="BL338" s="93">
        <f>ППД5[[#This Row],[Фикс 26.02.24]]+ППД5[[#This Row],[Наценка 06.03.24
СТ, 1К - 3%
2К, 3К - 2%]]</f>
        <v>93949.709862186355</v>
      </c>
      <c r="BM338" s="93"/>
      <c r="BN338" s="93">
        <f>ППД5[[#This Row],[Фикс 06.03.24]]+ППД5[[#This Row],[Наценка Г2+500]]</f>
        <v>93949.709862186355</v>
      </c>
      <c r="BO338" s="93">
        <f>ППД5[[#This Row],[Фикс 13.03.25]]*2%</f>
        <v>1878.9941972437271</v>
      </c>
      <c r="BP338" s="93">
        <f>ППД5[[#This Row],[Фикс 13.03.25]]+ППД5[[#This Row],[Наценка 20.03.24
2К, 3К - 2%]]</f>
        <v>95828.704059430078</v>
      </c>
      <c r="BQ338" s="93">
        <v>150</v>
      </c>
      <c r="BR338" s="93">
        <f>ППД5[[#This Row],[Фикс 20.03.24]]+ППД5[[#This Row],[Наценка 08.04.24 
2К: В3 - 150
3К: Г7 +1000]]</f>
        <v>95978.704059430078</v>
      </c>
      <c r="BS338" s="93">
        <f>ППД5[[#This Row],[Фикс 08.04.24]]*1%</f>
        <v>959.78704059430083</v>
      </c>
      <c r="BT338" s="93">
        <f>ППД5[[#This Row],[Фикс 08.04.24]]+ППД5[[#This Row],[Наценка 16.05.24 1%
А4,А6,Б3,Б6,Б7,В2,В3,В5,В6,Г1,Г3-Г5]]</f>
        <v>96938.491100024374</v>
      </c>
      <c r="BU338" s="93"/>
      <c r="BV338" s="93">
        <f>ППД5[[#This Row],[Фикс 16.05.24]]+ППД5[[#This Row],[Наценка 24.05.24
1% - Б4, Б5,Г2,Г6
2% - А1,А3,А5,Б2,Г7]]</f>
        <v>96938.491100024374</v>
      </c>
      <c r="BW338" s="93"/>
      <c r="BX338" s="93">
        <f>ППД5[[#This Row],[Наценка 06.06.24
0К: В2,Г3 +0,5%
1К: А7, Б5/4, Г6 +0,5%
3К: В6 +0,5%
1К: А3 +1%]]+ППД5[[#This Row],[Фикс 24.05.24]]</f>
        <v>96938.491100024374</v>
      </c>
      <c r="BY338" s="93"/>
      <c r="BZ338" s="93">
        <f>ППД5[[#This Row],[Фикс 06.06.24]]+ППД5[[#This Row],[13.06.2024
3К - 2%]]</f>
        <v>96938.491100024374</v>
      </c>
      <c r="CA338" s="93"/>
      <c r="CB338" s="93">
        <f>ППД5[[#This Row],[02.07.2024: Г3 А1 А3 Б5 Б7 Г2 Г6 Б3 Б4 В3 Г7 2,5% ост 0,5-1,5%]]+ППД5[[#This Row],[Фикс 13.06.24]]</f>
        <v>96938.491100024374</v>
      </c>
      <c r="CC338" s="93"/>
      <c r="CD338" s="93">
        <f>ППД5[[#This Row],[Фикс 02.07.24]]+ППД5[[#This Row],[04.09.2024 +500
0К - Б2; 1К - А3;
2К - А6, Б4, В3, Г5]]</f>
        <v>96938.491100024374</v>
      </c>
      <c r="CE338" s="93"/>
      <c r="CF338" s="93">
        <f>ППД5[[#This Row],[Наценка 16.09.2024
1К: А1,В7,Г6/7,Г8 - 2%
2К: А4,А5,А6,Б1,Б6,Б3/4,В3,В4,Г4,Г5 - 4%
3К: 4%]]+ППД5[[#This Row],[Фикс 04.09.24]]</f>
        <v>96938.491100024374</v>
      </c>
      <c r="CG338" s="93"/>
      <c r="CH338" s="93">
        <f>ППД5[[#This Row],[Фикс 16.09.2024]]+ППД5[[#This Row],[Наценка 01.11.24
СТ: 4%
1К: 34-40м 5%; 40м+ 8%; МГН 1%
2К: 55-70м 6%; 70-73м 7%; 73-76м 8% 
3К: 5%]]</f>
        <v>96938.491100024374</v>
      </c>
      <c r="CI338" s="93"/>
      <c r="CJ338" s="93">
        <f>ППД5[[#This Row],[Наценка 06.11 13%]]+ППД5[[#This Row],[Фикс 01.11.24]]</f>
        <v>96938.491100024374</v>
      </c>
      <c r="CK338" s="93"/>
      <c r="CL338" s="93">
        <f>ППД5[[#This Row],[Фикс 06.11.24]]+ППД5[[#This Row],[Наценка 18.12.24 распределение КВ]]</f>
        <v>96938.491100024374</v>
      </c>
      <c r="CM338" s="93"/>
      <c r="CN338" s="93">
        <f>ППД5[[#This Row],[Фикс 18.12.24]]+ППД5[[#This Row],[Наценка 10.02.25 +1%
1К: А3
2К: Б3, В3]]</f>
        <v>96938.491100024374</v>
      </c>
      <c r="CO338" s="93">
        <f>ROUND(ППД5[[#This Row],[Фикс 10.02.25]],2)</f>
        <v>96938.49</v>
      </c>
      <c r="CP33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5484800</v>
      </c>
      <c r="CQ338" s="93">
        <f>ROUNDUP(ППД5[[#This Row],[Стоимость до скидки]]+ППД5[[#This Row],[Сумма доплаты]],-2)</f>
        <v>5472200</v>
      </c>
      <c r="CR338" s="68"/>
      <c r="CS338" s="90">
        <v>0.03</v>
      </c>
      <c r="CT338" s="68">
        <f>ППД5[[#This Row],[Стоимость до скидки]]*ППД5[[#This Row],[Скидка %]]+ППД5[[#This Row],[Скидка фиксированная]]</f>
        <v>164544</v>
      </c>
      <c r="CU338" s="3">
        <f>ППД5[[#This Row],[Стоимость ОН без отделки со скидкой]]/ППД5[[#This Row],[Расчетная проектная площадь]]</f>
        <v>94030.682219865674</v>
      </c>
      <c r="CV338" s="3">
        <f>ROUND(ППД5[[#This Row],[Стоимость до скидки]]-ППД5[[#This Row],[Итоговая сумма скидки]],2)</f>
        <v>5320256</v>
      </c>
      <c r="CW33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38" s="197">
        <v>20000</v>
      </c>
      <c r="CY338" s="332">
        <f>ППД5[[#This Row],[Расхождение]]/ППД5[[#This Row],[Расчетная проектная площадь]]</f>
        <v>-2.2976316719686878E-3</v>
      </c>
      <c r="CZ33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0.30000000000000426</v>
      </c>
      <c r="DA338" s="3">
        <f>ППД5[[#This Row],[Цена м2 без отделки со скидкой]]+ППД5[[#This Row],[Стоимость отделки]]</f>
        <v>114030.68221986567</v>
      </c>
      <c r="DB338" s="3">
        <f>ППД5[[#This Row],[Стоимость квартиры с отделкой]]-ППД5[[#This Row],[Стоимость ОН без отделки со скидкой]]</f>
        <v>1131600</v>
      </c>
      <c r="DC338" s="3">
        <f>ППД5[[#This Row],[Цена м2 с отделкой]]*ППД5[[#This Row],[Расчетная проектная площадь]]</f>
        <v>6451856</v>
      </c>
      <c r="DD338" s="3" t="s">
        <v>154</v>
      </c>
      <c r="DE338" s="111" t="s">
        <v>788</v>
      </c>
      <c r="DF338" s="199" t="s">
        <v>172</v>
      </c>
      <c r="DG338" s="245" t="s">
        <v>172</v>
      </c>
      <c r="DH338" s="100" t="b">
        <f>EXACT(ППД5[[#This Row],[Статусы CRM]],ППД5[[#This Row],[Статус]])</f>
        <v>1</v>
      </c>
      <c r="DI338" s="213" t="s">
        <v>510</v>
      </c>
      <c r="DJ338" s="204"/>
      <c r="DK338" s="111" t="s">
        <v>763</v>
      </c>
      <c r="DL338" s="216" t="s">
        <v>14</v>
      </c>
      <c r="DM338" s="201" t="b">
        <f>ППД5[[#This Row],[Отделка CRM]]=ППД5[[#This Row],[Отделка]]</f>
        <v>1</v>
      </c>
      <c r="DN338" s="203">
        <v>6451856</v>
      </c>
      <c r="DO33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38" s="207" t="b">
        <f>IF(AND(ППД5[[#This Row],[Статус]]="свободно",ППД5[[#This Row],[Итоговая сумма скидки]]&lt;&gt;0),FALSE,TRUE)</f>
        <v>1</v>
      </c>
      <c r="DQ338" s="240">
        <f>_xlfn.XLOOKUP(ППД5[[#This Row],[№]],Юрист[№ кв],Юрист[Дата подачи на регистрацию]," ",0,-1)</f>
        <v>45468</v>
      </c>
      <c r="DR338" s="115" t="str">
        <f>_xlfn.XLOOKUP(ППД5[[#This Row],[№]],Юрист[№ кв],Юрист[МОП],"",0,-1)</f>
        <v>Дик</v>
      </c>
      <c r="DS338" s="333" t="s">
        <v>2968</v>
      </c>
      <c r="DT338" s="333" t="s">
        <v>2969</v>
      </c>
      <c r="DU338" s="333">
        <v>55.1</v>
      </c>
      <c r="DV338" s="111"/>
    </row>
    <row r="339" spans="1:126" hidden="1" x14ac:dyDescent="0.25">
      <c r="A339" s="112">
        <v>337</v>
      </c>
      <c r="B339" s="111" t="s">
        <v>3</v>
      </c>
      <c r="C339" s="111">
        <v>17</v>
      </c>
      <c r="D339" s="111">
        <v>4</v>
      </c>
      <c r="E339" s="111">
        <v>2</v>
      </c>
      <c r="F339" s="105">
        <v>15.45</v>
      </c>
      <c r="G339" s="105">
        <v>10.34</v>
      </c>
      <c r="H339" s="105"/>
      <c r="I339" s="94">
        <f>SUM(ППД5[[#This Row],[Комната 1]:[Комната 3]])</f>
        <v>25.79</v>
      </c>
      <c r="J339" s="105">
        <v>15.44</v>
      </c>
      <c r="K339" s="105">
        <v>4.59</v>
      </c>
      <c r="L339" s="105">
        <v>2.21</v>
      </c>
      <c r="M339" s="105"/>
      <c r="N339" s="105">
        <v>10.79</v>
      </c>
      <c r="O339" s="105">
        <v>2.84</v>
      </c>
      <c r="P339" s="105"/>
      <c r="Q339" s="105"/>
      <c r="R339" s="105">
        <f>SUM(ППД5[[#This Row],[Лоджия 1]:[Лоджия 3]])</f>
        <v>2.84</v>
      </c>
      <c r="S339" s="8">
        <f>ROUND(SUM(ППД5[[#This Row],[Площадь по проекту жилая]:[Лоджия 3]]),2)</f>
        <v>61.66</v>
      </c>
      <c r="T339" s="8">
        <f>ROUND(ППД5[[#This Row],[Площадь по проекту(общая)]]-ППД5[[#This Row],[Летние]],2)</f>
        <v>58.82</v>
      </c>
      <c r="U339" s="91">
        <f>ROUND(ППД5[[#This Row],[Площадь по проекту(общая)]]-(SUM(ППД5[[#This Row],[Лоджия 1]:[Лоджия 3]])/2),2)</f>
        <v>60.24</v>
      </c>
      <c r="V339" s="91">
        <f>IF(ППД5[[#This Row],[Статус]]="продажа",ППД5[[#This Row],[Расчетная проектная площадь]],ППД5[[#This Row],[Расчетная ТП площадь]])</f>
        <v>60.24</v>
      </c>
      <c r="W339" s="91">
        <v>15.4</v>
      </c>
      <c r="X339" s="91">
        <v>10.3</v>
      </c>
      <c r="Y339" s="91"/>
      <c r="Z339" s="91">
        <f>SUM(ППД5[[#This Row],[ТП Комната 1]:[ТП Комната 3]])</f>
        <v>25.700000000000003</v>
      </c>
      <c r="AA339" s="91">
        <v>15.4</v>
      </c>
      <c r="AB339" s="91">
        <v>4.5</v>
      </c>
      <c r="AC339" s="91">
        <v>2.2000000000000002</v>
      </c>
      <c r="AD339" s="91"/>
      <c r="AE339" s="91">
        <v>10.8</v>
      </c>
      <c r="AF339" s="91">
        <v>1.45</v>
      </c>
      <c r="AG339" s="91"/>
      <c r="AH339" s="91"/>
      <c r="AI339" s="91">
        <f>SUM(ППД5[[#This Row],[ТП Лоджия 1]:[ТП Лоджия 3]])</f>
        <v>1.45</v>
      </c>
      <c r="AJ339" s="95">
        <v>2.9</v>
      </c>
      <c r="AK339" s="91">
        <f>SUM(ППД5[[#This Row],[Площадь по ТП жилая]:[ТП Лоджия 3]])-ППД5[[#This Row],[ТП Летние]]+ППД5[[#This Row],[кроме того прочая
(без коэффициента)]]</f>
        <v>61.500000000000007</v>
      </c>
      <c r="AL339" s="95">
        <f>ППД5[[#This Row],[ТП Площадь без летних]]+(ППД5[[#This Row],[ТП Летние]])</f>
        <v>60.050000000000011</v>
      </c>
      <c r="AM339" s="91">
        <f>ППД5[[#This Row],[ТП общая S]]-ППД5[[#This Row],[кроме того прочая
(без коэффициента)]]</f>
        <v>58.600000000000009</v>
      </c>
      <c r="AN339" s="95">
        <f>SUM(ППД5[[#This Row],[ТП Кухня]:[ТП Коридор]])</f>
        <v>32.9</v>
      </c>
      <c r="AO339" s="91">
        <f>ППД5[[#This Row],[Расчетная ТП площадь]]-ППД5[[#This Row],[Расчетная проектная площадь]]</f>
        <v>-0.18999999999999062</v>
      </c>
      <c r="AP339" s="335">
        <f>ППД5[[#This Row],[Расчетная ТП площадь]]/ППД5[[#This Row],[Расчетная проектная площадь]]-1</f>
        <v>-3.1540504648073231E-3</v>
      </c>
      <c r="AQ339" s="91">
        <f>ППД5[[#This Row],[% расхождения]]*ППД5[[#This Row],[Стоимость до скидки]]</f>
        <v>-16898.74628485995</v>
      </c>
      <c r="AR339" s="91">
        <f>VLOOKUP(ППД5[[#This Row],[№]],наценкад5[],COLUMN(наценкад5[[#This Row],[Цена м2 с учетом всех K]]),0)</f>
        <v>82238.34150000001</v>
      </c>
      <c r="AS339" s="8">
        <f>ППД5[[#This Row],[м2 после К]]*5%</f>
        <v>4111.9170750000003</v>
      </c>
      <c r="AT339" s="8">
        <f>ППД5[[#This Row],[м2 после К]]+ППД5[[#This Row],[Повышение 16.08.23 - 5%]]</f>
        <v>86350.258575000014</v>
      </c>
      <c r="AU339" s="93">
        <f>ППД5[[#This Row],[Фикс 16.08.23]]*3%</f>
        <v>2590.5077572500004</v>
      </c>
      <c r="AV339" s="93">
        <f>ППД5[[#This Row],[Фикс 16.08.23]]+ППД5[[#This Row],[Повышение 29.08.23 - 3%]]</f>
        <v>88940.766332250016</v>
      </c>
      <c r="AW339" s="93"/>
      <c r="AX339" s="93">
        <f>ППД5[[#This Row],[Фикс 29.08.23]]+ППД5[[#This Row],[Повышение 06.09.23 СТ и 1К]]</f>
        <v>88940.766332250016</v>
      </c>
      <c r="AY339" s="93"/>
      <c r="AZ339" s="93">
        <f>ППД5[[#This Row],[Повышение 23.10.23  В4 ]]+ППД5[[#This Row],[Фикс 06.09.23]]</f>
        <v>88940.766332250016</v>
      </c>
      <c r="BA339" s="93"/>
      <c r="BB339" s="93">
        <f>ППД5[[#This Row],[Повышение 8.11.23 1К 5%]]+ППД5[[#This Row],[Фикс 23.10.23]]</f>
        <v>88940.766332250016</v>
      </c>
      <c r="BC339" s="93"/>
      <c r="BD339" s="93">
        <f>ППД5[[#This Row],[Корректировка 24.11.23 - 1К В5, 2К А2, №233]]+ППД5[[#This Row],[Фикс 8.11.23]]</f>
        <v>88940.766332250016</v>
      </c>
      <c r="BE339" s="93"/>
      <c r="BF339" s="93">
        <f>ППД5[[#This Row],[Наценка за отделку 29.12.23 1%]]+ППД5[[#This Row],[Фикс 8.11.24]]</f>
        <v>88940.766332250016</v>
      </c>
      <c r="BG339" s="93"/>
      <c r="BH339" s="93">
        <f>ППД5[[#This Row],[Фикс 29.12.23]]+ППД5[[#This Row],[Наценка 10.01.24 5%]]</f>
        <v>88940.766332250016</v>
      </c>
      <c r="BI339" s="93"/>
      <c r="BJ339" s="93">
        <f>ППД5[[#This Row],[Наценка 26.02.24 1 Этаж]]+ППД5[[#This Row],[Фикс 10.01.24]]</f>
        <v>88940.766332250016</v>
      </c>
      <c r="BK339" s="93"/>
      <c r="BL339" s="93">
        <f>ППД5[[#This Row],[Фикс 26.02.24]]+ППД5[[#This Row],[Наценка 06.03.24
СТ, 1К - 3%
2К, 3К - 2%]]</f>
        <v>88940.766332250016</v>
      </c>
      <c r="BM339" s="93"/>
      <c r="BN339" s="93">
        <f>ППД5[[#This Row],[Фикс 06.03.24]]+ППД5[[#This Row],[Наценка Г2+500]]</f>
        <v>88940.766332250016</v>
      </c>
      <c r="BO339" s="93"/>
      <c r="BP339" s="93">
        <f>ППД5[[#This Row],[Фикс 13.03.25]]+ППД5[[#This Row],[Наценка 20.03.24
2К, 3К - 2%]]</f>
        <v>88940.766332250016</v>
      </c>
      <c r="BQ339" s="93"/>
      <c r="BR339" s="93">
        <f>ППД5[[#This Row],[Фикс 20.03.24]]+ППД5[[#This Row],[Наценка 08.04.24 
2К: В3 - 150
3К: Г7 +1000]]</f>
        <v>88940.766332250016</v>
      </c>
      <c r="BS339" s="93"/>
      <c r="BT339" s="93">
        <f>ППД5[[#This Row],[Фикс 08.04.24]]+ППД5[[#This Row],[Наценка 16.05.24 1%
А4,А6,Б3,Б6,Б7,В2,В3,В5,В6,Г1,Г3-Г5]]</f>
        <v>88940.766332250016</v>
      </c>
      <c r="BU339" s="93"/>
      <c r="BV339" s="93">
        <f>ППД5[[#This Row],[Фикс 16.05.24]]+ППД5[[#This Row],[Наценка 24.05.24
1% - Б4, Б5,Г2,Г6
2% - А1,А3,А5,Б2,Г7]]</f>
        <v>88940.766332250016</v>
      </c>
      <c r="BW339" s="93"/>
      <c r="BX339" s="93">
        <f>ППД5[[#This Row],[Наценка 06.06.24
0К: В2,Г3 +0,5%
1К: А7, Б5/4, Г6 +0,5%
3К: В6 +0,5%
1К: А3 +1%]]+ППД5[[#This Row],[Фикс 24.05.24]]</f>
        <v>88940.766332250016</v>
      </c>
      <c r="BY339" s="93"/>
      <c r="BZ339" s="93">
        <f>ППД5[[#This Row],[Фикс 06.06.24]]+ППД5[[#This Row],[13.06.2024
3К - 2%]]</f>
        <v>88940.766332250016</v>
      </c>
      <c r="CA339" s="93"/>
      <c r="CB339" s="93">
        <f>ППД5[[#This Row],[02.07.2024: Г3 А1 А3 Б5 Б7 Г2 Г6 Б3 Б4 В3 Г7 2,5% ост 0,5-1,5%]]+ППД5[[#This Row],[Фикс 13.06.24]]</f>
        <v>88940.766332250016</v>
      </c>
      <c r="CC339" s="93"/>
      <c r="CD339" s="93">
        <f>ППД5[[#This Row],[Фикс 02.07.24]]+ППД5[[#This Row],[04.09.2024 +500
0К - Б2; 1К - А3;
2К - А6, Б4, В3, Г5]]</f>
        <v>88940.766332250016</v>
      </c>
      <c r="CE339" s="93"/>
      <c r="CF339" s="93">
        <f>ППД5[[#This Row],[Наценка 16.09.2024
1К: А1,В7,Г6/7,Г8 - 2%
2К: А4,А5,А6,Б1,Б6,Б3/4,В3,В4,Г4,Г5 - 4%
3К: 4%]]+ППД5[[#This Row],[Фикс 04.09.24]]</f>
        <v>88940.766332250016</v>
      </c>
      <c r="CG339" s="93"/>
      <c r="CH339" s="93">
        <f>ППД5[[#This Row],[Фикс 16.09.2024]]+ППД5[[#This Row],[Наценка 01.11.24
СТ: 4%
1К: 34-40м 5%; 40м+ 8%; МГН 1%
2К: 55-70м 6%; 70-73м 7%; 73-76м 8% 
3К: 5%]]</f>
        <v>88940.766332250016</v>
      </c>
      <c r="CI339" s="93"/>
      <c r="CJ339" s="93">
        <f>ППД5[[#This Row],[Наценка 06.11 13%]]+ППД5[[#This Row],[Фикс 01.11.24]]</f>
        <v>88940.766332250016</v>
      </c>
      <c r="CK339" s="93"/>
      <c r="CL339" s="93">
        <f>ППД5[[#This Row],[Фикс 06.11.24]]+ППД5[[#This Row],[Наценка 18.12.24 распределение КВ]]</f>
        <v>88940.766332250016</v>
      </c>
      <c r="CM339" s="93"/>
      <c r="CN339" s="93">
        <f>ППД5[[#This Row],[Фикс 18.12.24]]+ППД5[[#This Row],[Наценка 10.02.25 +1%
1К: А3
2К: Б3, В3]]</f>
        <v>88940.766332250016</v>
      </c>
      <c r="CO339" s="93">
        <f>ROUND(ППД5[[#This Row],[Фикс 10.02.25]],2)</f>
        <v>88940.77</v>
      </c>
      <c r="CP33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5357791.9800000004</v>
      </c>
      <c r="CQ339" s="93">
        <f>ROUNDUP(ППД5[[#This Row],[Стоимость до скидки]]+ППД5[[#This Row],[Сумма доплаты]],-2)</f>
        <v>5340900</v>
      </c>
      <c r="CR339" s="68"/>
      <c r="CS339" s="90">
        <v>0.05</v>
      </c>
      <c r="CT339" s="68">
        <f>ППД5[[#This Row],[Стоимость до скидки]]*ППД5[[#This Row],[Скидка %]]+ППД5[[#This Row],[Скидка фиксированная]]</f>
        <v>267889.59900000005</v>
      </c>
      <c r="CU339" s="3">
        <f>ППД5[[#This Row],[Стоимость ОН без отделки со скидкой]]/ППД5[[#This Row],[Расчетная проектная площадь]]</f>
        <v>84493.731407702522</v>
      </c>
      <c r="CV339" s="3">
        <f>ROUND(ППД5[[#This Row],[Стоимость до скидки]]-ППД5[[#This Row],[Итоговая сумма скидки]],2)</f>
        <v>5089902.38</v>
      </c>
      <c r="CW33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339" s="197">
        <v>7500</v>
      </c>
      <c r="CY339" s="332">
        <f>ППД5[[#This Row],[Расхождение]]/ППД5[[#This Row],[Расчетная проектная площадь]]</f>
        <v>-3.154050464807281E-3</v>
      </c>
      <c r="CZ33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-0.13000000000000078</v>
      </c>
      <c r="DA339" s="3">
        <f>ППД5[[#This Row],[Цена м2 без отделки со скидкой]]+ППД5[[#This Row],[Стоимость отделки]]</f>
        <v>91993.731407702522</v>
      </c>
      <c r="DB339" s="3">
        <f>ППД5[[#This Row],[Стоимость квартиры с отделкой]]-ППД5[[#This Row],[Стоимость ОН без отделки со скидкой]]</f>
        <v>451800</v>
      </c>
      <c r="DC339" s="3">
        <f>ППД5[[#This Row],[Цена м2 с отделкой]]*ППД5[[#This Row],[Расчетная проектная площадь]]</f>
        <v>5541702.3799999999</v>
      </c>
      <c r="DD339" s="3"/>
      <c r="DE339" s="111" t="s">
        <v>162</v>
      </c>
      <c r="DF339" s="199" t="s">
        <v>172</v>
      </c>
      <c r="DG339" s="245" t="s">
        <v>172</v>
      </c>
      <c r="DH339" s="100" t="b">
        <f>EXACT(ППД5[[#This Row],[Статусы CRM]],ППД5[[#This Row],[Статус]])</f>
        <v>1</v>
      </c>
      <c r="DI339" s="213" t="s">
        <v>511</v>
      </c>
      <c r="DJ339" s="204"/>
      <c r="DK339" s="111" t="s">
        <v>76</v>
      </c>
      <c r="DL339" s="216" t="s">
        <v>13</v>
      </c>
      <c r="DM339" s="201" t="b">
        <f>ППД5[[#This Row],[Отделка CRM]]=ППД5[[#This Row],[Отделка]]</f>
        <v>1</v>
      </c>
      <c r="DN339" s="203">
        <v>5541702.3799999999</v>
      </c>
      <c r="DO33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39" s="207" t="b">
        <f>IF(AND(ППД5[[#This Row],[Статус]]="свободно",ППД5[[#This Row],[Итоговая сумма скидки]]&lt;&gt;0),FALSE,TRUE)</f>
        <v>1</v>
      </c>
      <c r="DQ339" s="240">
        <f>_xlfn.XLOOKUP(ППД5[[#This Row],[№]],Юрист[№ кв],Юрист[Дата подачи на регистрацию]," ",0,-1)</f>
        <v>45222</v>
      </c>
      <c r="DR339" s="115" t="str">
        <f>_xlfn.XLOOKUP(ППД5[[#This Row],[№]],Юрист[№ кв],Юрист[МОП],"",0,-1)</f>
        <v>Дик</v>
      </c>
      <c r="DS339" s="333" t="s">
        <v>2970</v>
      </c>
      <c r="DT339" s="333" t="s">
        <v>2971</v>
      </c>
      <c r="DU339" s="333">
        <v>58.6</v>
      </c>
      <c r="DV339" s="111"/>
    </row>
    <row r="340" spans="1:126" hidden="1" x14ac:dyDescent="0.25">
      <c r="A340" s="112">
        <v>338</v>
      </c>
      <c r="B340" s="111" t="s">
        <v>3</v>
      </c>
      <c r="C340" s="111">
        <v>17</v>
      </c>
      <c r="D340" s="111">
        <v>5</v>
      </c>
      <c r="E340" s="111">
        <v>1</v>
      </c>
      <c r="F340" s="105">
        <v>12.54</v>
      </c>
      <c r="G340" s="105"/>
      <c r="H340" s="105"/>
      <c r="I340" s="94">
        <f>SUM(ППД5[[#This Row],[Комната 1]:[Комната 3]])</f>
        <v>12.54</v>
      </c>
      <c r="J340" s="105">
        <v>12.74</v>
      </c>
      <c r="K340" s="105">
        <v>4.0199999999999996</v>
      </c>
      <c r="L340" s="105"/>
      <c r="M340" s="105"/>
      <c r="N340" s="105">
        <v>7.09</v>
      </c>
      <c r="O340" s="105">
        <v>2.84</v>
      </c>
      <c r="P340" s="105"/>
      <c r="Q340" s="105"/>
      <c r="R340" s="105">
        <f>SUM(ППД5[[#This Row],[Лоджия 1]:[Лоджия 3]])</f>
        <v>2.84</v>
      </c>
      <c r="S340" s="8">
        <f>ROUND(SUM(ППД5[[#This Row],[Площадь по проекту жилая]:[Лоджия 3]]),2)</f>
        <v>39.229999999999997</v>
      </c>
      <c r="T340" s="8">
        <f>ROUND(ППД5[[#This Row],[Площадь по проекту(общая)]]-ППД5[[#This Row],[Летние]],2)</f>
        <v>36.39</v>
      </c>
      <c r="U340" s="91">
        <f>ROUND(ППД5[[#This Row],[Площадь по проекту(общая)]]-(SUM(ППД5[[#This Row],[Лоджия 1]:[Лоджия 3]])/2),2)</f>
        <v>37.81</v>
      </c>
      <c r="V340" s="91">
        <f>IF(ППД5[[#This Row],[Статус]]="продажа",ППД5[[#This Row],[Расчетная проектная площадь]],ППД5[[#This Row],[Расчетная ТП площадь]])</f>
        <v>37.81</v>
      </c>
      <c r="W340" s="91">
        <v>12.5</v>
      </c>
      <c r="X340" s="91"/>
      <c r="Y340" s="91"/>
      <c r="Z340" s="91">
        <f>SUM(ППД5[[#This Row],[ТП Комната 1]:[ТП Комната 3]])</f>
        <v>12.5</v>
      </c>
      <c r="AA340" s="91">
        <v>12.6</v>
      </c>
      <c r="AB340" s="91">
        <v>4.0999999999999996</v>
      </c>
      <c r="AC340" s="91"/>
      <c r="AD340" s="91"/>
      <c r="AE340" s="91">
        <v>6.8</v>
      </c>
      <c r="AF340" s="91">
        <v>1.4</v>
      </c>
      <c r="AG340" s="91"/>
      <c r="AH340" s="91"/>
      <c r="AI340" s="91">
        <f>SUM(ППД5[[#This Row],[ТП Лоджия 1]:[ТП Лоджия 3]])</f>
        <v>1.4</v>
      </c>
      <c r="AJ340" s="95">
        <v>2.8</v>
      </c>
      <c r="AK340" s="91">
        <f>SUM(ППД5[[#This Row],[Площадь по ТП жилая]:[ТП Лоджия 3]])-ППД5[[#This Row],[ТП Летние]]+ППД5[[#This Row],[кроме того прочая
(без коэффициента)]]</f>
        <v>38.799999999999997</v>
      </c>
      <c r="AL340" s="95">
        <f>ППД5[[#This Row],[ТП Площадь без летних]]+(ППД5[[#This Row],[ТП Летние]])</f>
        <v>37.4</v>
      </c>
      <c r="AM340" s="91">
        <f>ППД5[[#This Row],[ТП общая S]]-ППД5[[#This Row],[кроме того прочая
(без коэффициента)]]</f>
        <v>36</v>
      </c>
      <c r="AN340" s="95">
        <f>SUM(ППД5[[#This Row],[ТП Кухня]:[ТП Коридор]])</f>
        <v>23.5</v>
      </c>
      <c r="AO340" s="91">
        <f>ППД5[[#This Row],[Расчетная ТП площадь]]-ППД5[[#This Row],[Расчетная проектная площадь]]</f>
        <v>-0.41000000000000369</v>
      </c>
      <c r="AP340" s="335">
        <f>ППД5[[#This Row],[Расчетная ТП площадь]]/ППД5[[#This Row],[Расчетная проектная площадь]]-1</f>
        <v>-1.0843692144935302E-2</v>
      </c>
      <c r="AQ340" s="91">
        <f>ППД5[[#This Row],[% расхождения]]*ППД5[[#This Row],[Стоимость до скидки]]</f>
        <v>-47849.960327956003</v>
      </c>
      <c r="AR340" s="91">
        <f>VLOOKUP(ППД5[[#This Row],[№]],наценкад5[],COLUMN(наценкад5[[#This Row],[Цена м2 с учетом всех K]]),0)</f>
        <v>89223.75</v>
      </c>
      <c r="AS340" s="8">
        <f>ППД5[[#This Row],[м2 после К]]*5%</f>
        <v>4461.1875</v>
      </c>
      <c r="AT340" s="8">
        <f>ППД5[[#This Row],[м2 после К]]+ППД5[[#This Row],[Повышение 16.08.23 - 5%]]</f>
        <v>93684.9375</v>
      </c>
      <c r="AU340" s="93">
        <f>ППД5[[#This Row],[Фикс 16.08.23]]*3%</f>
        <v>2810.5481249999998</v>
      </c>
      <c r="AV340" s="93">
        <f>ППД5[[#This Row],[Фикс 16.08.23]]+ППД5[[#This Row],[Повышение 29.08.23 - 3%]]</f>
        <v>96495.485625000001</v>
      </c>
      <c r="AW340" s="93">
        <f>ППД5[[#This Row],[Фикс 29.08.23]]*4.5%</f>
        <v>4342.2968531249999</v>
      </c>
      <c r="AX340" s="93">
        <f>ППД5[[#This Row],[Фикс 29.08.23]]+ППД5[[#This Row],[Повышение 06.09.23 СТ и 1К]]</f>
        <v>100837.78247812499</v>
      </c>
      <c r="AY340" s="93"/>
      <c r="AZ340" s="93">
        <f>ППД5[[#This Row],[Повышение 23.10.23  В4 ]]+ППД5[[#This Row],[Фикс 06.09.23]]</f>
        <v>100837.78247812499</v>
      </c>
      <c r="BA340" s="93">
        <f>ППД5[[#This Row],[Фикс 23.10.23]]*5%</f>
        <v>5041.8891239062505</v>
      </c>
      <c r="BB340" s="93">
        <f>ППД5[[#This Row],[Повышение 8.11.23 1К 5%]]+ППД5[[#This Row],[Фикс 23.10.23]]</f>
        <v>105879.67160203125</v>
      </c>
      <c r="BC340" s="93">
        <v>-620</v>
      </c>
      <c r="BD340" s="93">
        <f>ППД5[[#This Row],[Корректировка 24.11.23 - 1К В5, 2К А2, №233]]+ППД5[[#This Row],[Фикс 8.11.23]]</f>
        <v>105259.67160203125</v>
      </c>
      <c r="BE340" s="93">
        <f>ППД5[[#This Row],[Фикс 8.11.24]]*1%</f>
        <v>1052.5967160203124</v>
      </c>
      <c r="BF340" s="93">
        <f>ППД5[[#This Row],[Наценка за отделку 29.12.23 1%]]+ППД5[[#This Row],[Фикс 8.11.24]]</f>
        <v>106312.26831805156</v>
      </c>
      <c r="BG340" s="93">
        <f>ППД5[[#This Row],[Фикс 29.12.23]]*5%</f>
        <v>5315.6134159025787</v>
      </c>
      <c r="BH340" s="93">
        <f>ППД5[[#This Row],[Фикс 29.12.23]]+ППД5[[#This Row],[Наценка 10.01.24 5%]]</f>
        <v>111627.88173395414</v>
      </c>
      <c r="BI340" s="93"/>
      <c r="BJ340" s="93">
        <f>ППД5[[#This Row],[Наценка 26.02.24 1 Этаж]]+ППД5[[#This Row],[Фикс 10.01.24]]</f>
        <v>111627.88173395414</v>
      </c>
      <c r="BK340" s="93">
        <f>ППД5[[#This Row],[Фикс 26.02.24]]*3%</f>
        <v>3348.8364520186242</v>
      </c>
      <c r="BL340" s="93">
        <f>ППД5[[#This Row],[Фикс 26.02.24]]+ППД5[[#This Row],[Наценка 06.03.24
СТ, 1К - 3%
2К, 3К - 2%]]</f>
        <v>114976.71818597277</v>
      </c>
      <c r="BM340" s="93"/>
      <c r="BN340" s="93">
        <f>ППД5[[#This Row],[Фикс 06.03.24]]+ППД5[[#This Row],[Наценка Г2+500]]</f>
        <v>114976.71818597277</v>
      </c>
      <c r="BO340" s="93"/>
      <c r="BP340" s="93">
        <f>ППД5[[#This Row],[Фикс 13.03.25]]+ППД5[[#This Row],[Наценка 20.03.24
2К, 3К - 2%]]</f>
        <v>114976.71818597277</v>
      </c>
      <c r="BQ340" s="93"/>
      <c r="BR340" s="93">
        <f>ППД5[[#This Row],[Фикс 20.03.24]]+ППД5[[#This Row],[Наценка 08.04.24 
2К: В3 - 150
3К: Г7 +1000]]</f>
        <v>114976.71818597277</v>
      </c>
      <c r="BS340" s="93">
        <f>ППД5[[#This Row],[Фикс 08.04.24]]*1%</f>
        <v>1149.7671818597278</v>
      </c>
      <c r="BT340" s="93">
        <f>ППД5[[#This Row],[Фикс 08.04.24]]+ППД5[[#This Row],[Наценка 16.05.24 1%
А4,А6,Б3,Б6,Б7,В2,В3,В5,В6,Г1,Г3-Г5]]</f>
        <v>116126.4853678325</v>
      </c>
      <c r="BU340" s="93"/>
      <c r="BV340" s="93">
        <f>ППД5[[#This Row],[Фикс 16.05.24]]+ППД5[[#This Row],[Наценка 24.05.24
1% - Б4, Б5,Г2,Г6
2% - А1,А3,А5,Б2,Г7]]</f>
        <v>116126.4853678325</v>
      </c>
      <c r="BW340" s="93"/>
      <c r="BX340" s="93">
        <f>ППД5[[#This Row],[Наценка 06.06.24
0К: В2,Г3 +0,5%
1К: А7, Б5/4, Г6 +0,5%
3К: В6 +0,5%
1К: А3 +1%]]+ППД5[[#This Row],[Фикс 24.05.24]]</f>
        <v>116126.4853678325</v>
      </c>
      <c r="BY340" s="93"/>
      <c r="BZ340" s="93">
        <f>ППД5[[#This Row],[Фикс 06.06.24]]+ППД5[[#This Row],[13.06.2024
3К - 2%]]</f>
        <v>116126.4853678325</v>
      </c>
      <c r="CA340" s="93">
        <f>0.5%*ППД5[[#This Row],[Фикс 13.06.24]]</f>
        <v>580.63242683916258</v>
      </c>
      <c r="CB340" s="93">
        <f>ППД5[[#This Row],[02.07.2024: Г3 А1 А3 Б5 Б7 Г2 Г6 Б3 Б4 В3 Г7 2,5% ост 0,5-1,5%]]+ППД5[[#This Row],[Фикс 13.06.24]]</f>
        <v>116707.11779467166</v>
      </c>
      <c r="CC340" s="93"/>
      <c r="CD340" s="93">
        <f>ППД5[[#This Row],[Фикс 02.07.24]]+ППД5[[#This Row],[04.09.2024 +500
0К - Б2; 1К - А3;
2К - А6, Б4, В3, Г5]]</f>
        <v>116707.11779467166</v>
      </c>
      <c r="CE340" s="93"/>
      <c r="CF340" s="93">
        <f>ППД5[[#This Row],[Наценка 16.09.2024
1К: А1,В7,Г6/7,Г8 - 2%
2К: А4,А5,А6,Б1,Б6,Б3/4,В3,В4,Г4,Г5 - 4%
3К: 4%]]+ППД5[[#This Row],[Фикс 04.09.24]]</f>
        <v>116707.11779467166</v>
      </c>
      <c r="CG340" s="93"/>
      <c r="CH340" s="93">
        <f>ППД5[[#This Row],[Фикс 16.09.2024]]+ППД5[[#This Row],[Наценка 01.11.24
СТ: 4%
1К: 34-40м 5%; 40м+ 8%; МГН 1%
2К: 55-70м 6%; 70-73м 7%; 73-76м 8% 
3К: 5%]]</f>
        <v>116707.11779467166</v>
      </c>
      <c r="CI340" s="93"/>
      <c r="CJ340" s="93">
        <f>ППД5[[#This Row],[Наценка 06.11 13%]]+ППД5[[#This Row],[Фикс 01.11.24]]</f>
        <v>116707.11779467166</v>
      </c>
      <c r="CK340" s="93"/>
      <c r="CL340" s="93">
        <f>ППД5[[#This Row],[Фикс 06.11.24]]+ППД5[[#This Row],[Наценка 18.12.24 распределение КВ]]</f>
        <v>116707.11779467166</v>
      </c>
      <c r="CM340" s="93"/>
      <c r="CN340" s="93">
        <f>ППД5[[#This Row],[Фикс 18.12.24]]+ППД5[[#This Row],[Наценка 10.02.25 +1%
1К: А3
2К: Б3, В3]]</f>
        <v>116707.11779467166</v>
      </c>
      <c r="CO340" s="93">
        <f>ROUND(ППД5[[#This Row],[Фикс 10.02.25]],2)</f>
        <v>116707.12</v>
      </c>
      <c r="CP34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4412700</v>
      </c>
      <c r="CQ340" s="93">
        <f>ROUNDUP(ППД5[[#This Row],[Стоимость до скидки]]+ППД5[[#This Row],[Сумма доплаты]],-2)</f>
        <v>4364900</v>
      </c>
      <c r="CR340" s="68"/>
      <c r="CS340" s="90">
        <v>0.02</v>
      </c>
      <c r="CT340" s="68">
        <f>ППД5[[#This Row],[Стоимость до скидки]]*ППД5[[#This Row],[Скидка %]]+ППД5[[#This Row],[Скидка фиксированная]]</f>
        <v>88254</v>
      </c>
      <c r="CU340" s="3">
        <f>ППД5[[#This Row],[Стоимость ОН без отделки со скидкой]]/ППД5[[#This Row],[Расчетная проектная площадь]]</f>
        <v>114373.07590584501</v>
      </c>
      <c r="CV340" s="3">
        <f>ROUND(ППД5[[#This Row],[Стоимость до скидки]]-ППД5[[#This Row],[Итоговая сумма скидки]],2)</f>
        <v>4324446</v>
      </c>
      <c r="CW34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340" s="197">
        <v>8000</v>
      </c>
      <c r="CY340" s="332">
        <f>ППД5[[#This Row],[Расхождение]]/ППД5[[#This Row],[Расчетная проектная площадь]]</f>
        <v>-1.08436921449353E-2</v>
      </c>
      <c r="CZ34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-0.34999999999999964</v>
      </c>
      <c r="DA340" s="3">
        <f>ППД5[[#This Row],[Цена м2 без отделки со скидкой]]+ППД5[[#This Row],[Стоимость отделки]]</f>
        <v>122373.07590584501</v>
      </c>
      <c r="DB340" s="3">
        <f>ППД5[[#This Row],[Стоимость квартиры с отделкой]]-ППД5[[#This Row],[Стоимость ОН без отделки со скидкой]]</f>
        <v>302480</v>
      </c>
      <c r="DC340" s="3">
        <f>ППД5[[#This Row],[Цена м2 с отделкой]]*ППД5[[#This Row],[Расчетная проектная площадь]]</f>
        <v>4626926</v>
      </c>
      <c r="DD340" s="3"/>
      <c r="DE340" s="111" t="s">
        <v>757</v>
      </c>
      <c r="DF340" s="199" t="s">
        <v>172</v>
      </c>
      <c r="DG340" s="245" t="s">
        <v>172</v>
      </c>
      <c r="DH340" s="100" t="b">
        <f>EXACT(ППД5[[#This Row],[Статусы CRM]],ППД5[[#This Row],[Статус]])</f>
        <v>1</v>
      </c>
      <c r="DI340" s="213" t="s">
        <v>512</v>
      </c>
      <c r="DJ340" s="204"/>
      <c r="DK340" s="111" t="s">
        <v>763</v>
      </c>
      <c r="DL340" s="216" t="s">
        <v>780</v>
      </c>
      <c r="DM340" s="201" t="b">
        <f>ППД5[[#This Row],[Отделка CRM]]=ППД5[[#This Row],[Отделка]]</f>
        <v>1</v>
      </c>
      <c r="DN340" s="203">
        <v>4626926</v>
      </c>
      <c r="DO34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40" s="207" t="b">
        <f>IF(AND(ППД5[[#This Row],[Статус]]="свободно",ППД5[[#This Row],[Итоговая сумма скидки]]&lt;&gt;0),FALSE,TRUE)</f>
        <v>1</v>
      </c>
      <c r="DQ340" s="240">
        <f>_xlfn.XLOOKUP(ППД5[[#This Row],[№]],Юрист[№ кв],Юрист[Дата подачи на регистрацию]," ",0,-1)</f>
        <v>45589</v>
      </c>
      <c r="DR340" s="115" t="str">
        <f>_xlfn.XLOOKUP(ППД5[[#This Row],[№]],Юрист[№ кв],Юрист[МОП],"",0,-1)</f>
        <v>Никишов</v>
      </c>
      <c r="DS340" s="333" t="s">
        <v>2972</v>
      </c>
      <c r="DT340" s="333" t="s">
        <v>2973</v>
      </c>
      <c r="DU340" s="333">
        <v>36</v>
      </c>
      <c r="DV340" s="111"/>
    </row>
    <row r="341" spans="1:126" hidden="1" x14ac:dyDescent="0.25">
      <c r="A341" s="112">
        <v>339</v>
      </c>
      <c r="B341" s="111" t="s">
        <v>3</v>
      </c>
      <c r="C341" s="111">
        <v>17</v>
      </c>
      <c r="D341" s="111">
        <v>6</v>
      </c>
      <c r="E341" s="111">
        <v>3</v>
      </c>
      <c r="F341" s="105">
        <v>17.2</v>
      </c>
      <c r="G341" s="105">
        <v>14.64</v>
      </c>
      <c r="H341" s="105">
        <v>14.34</v>
      </c>
      <c r="I341" s="94">
        <f>SUM(ППД5[[#This Row],[Комната 1]:[Комната 3]])</f>
        <v>46.18</v>
      </c>
      <c r="J341" s="105">
        <v>13.15</v>
      </c>
      <c r="K341" s="105">
        <v>4.03</v>
      </c>
      <c r="L341" s="105">
        <v>1.76</v>
      </c>
      <c r="M341" s="105"/>
      <c r="N341" s="105">
        <v>13.11</v>
      </c>
      <c r="O341" s="105">
        <v>2.79</v>
      </c>
      <c r="P341" s="105">
        <v>2.68</v>
      </c>
      <c r="Q341" s="105"/>
      <c r="R341" s="105">
        <f>SUM(ППД5[[#This Row],[Лоджия 1]:[Лоджия 3]])</f>
        <v>5.4700000000000006</v>
      </c>
      <c r="S341" s="8">
        <f>ROUND(SUM(ППД5[[#This Row],[Площадь по проекту жилая]:[Лоджия 3]]),2)</f>
        <v>83.7</v>
      </c>
      <c r="T341" s="8">
        <f>ROUND(ППД5[[#This Row],[Площадь по проекту(общая)]]-ППД5[[#This Row],[Летние]],2)</f>
        <v>78.23</v>
      </c>
      <c r="U341" s="91">
        <f>ROUND(ППД5[[#This Row],[Площадь по проекту(общая)]]-(SUM(ППД5[[#This Row],[Лоджия 1]:[Лоджия 3]])/2),2)</f>
        <v>80.97</v>
      </c>
      <c r="V341" s="91">
        <f>IF(ППД5[[#This Row],[Статус]]="продажа",ППД5[[#This Row],[Расчетная проектная площадь]],ППД5[[#This Row],[Расчетная ТП площадь]])</f>
        <v>80.249999999999986</v>
      </c>
      <c r="W341" s="91">
        <v>17</v>
      </c>
      <c r="X341" s="91">
        <v>14.7</v>
      </c>
      <c r="Y341" s="91">
        <v>14.3</v>
      </c>
      <c r="Z341" s="91">
        <f>SUM(ППД5[[#This Row],[ТП Комната 1]:[ТП Комната 3]])</f>
        <v>46</v>
      </c>
      <c r="AA341" s="91">
        <v>13</v>
      </c>
      <c r="AB341" s="91">
        <v>3.9</v>
      </c>
      <c r="AC341" s="91">
        <v>1.7</v>
      </c>
      <c r="AD341" s="91"/>
      <c r="AE341" s="91">
        <v>13</v>
      </c>
      <c r="AF341" s="91">
        <v>1.3</v>
      </c>
      <c r="AG341" s="91">
        <v>1.35</v>
      </c>
      <c r="AH341" s="91"/>
      <c r="AI341" s="91">
        <f>SUM(ППД5[[#This Row],[ТП Лоджия 1]:[ТП Лоджия 3]])</f>
        <v>2.6500000000000004</v>
      </c>
      <c r="AJ341" s="95">
        <v>5.3000000000000007</v>
      </c>
      <c r="AK341" s="91">
        <f>SUM(ППД5[[#This Row],[Площадь по ТП жилая]:[ТП Лоджия 3]])-ППД5[[#This Row],[ТП Летние]]+ППД5[[#This Row],[кроме того прочая
(без коэффициента)]]</f>
        <v>82.899999999999977</v>
      </c>
      <c r="AL341" s="95">
        <f>ППД5[[#This Row],[ТП Площадь без летних]]+(ППД5[[#This Row],[ТП Летние]])</f>
        <v>80.249999999999986</v>
      </c>
      <c r="AM341" s="91">
        <f>ППД5[[#This Row],[ТП общая S]]-ППД5[[#This Row],[кроме того прочая
(без коэффициента)]]</f>
        <v>77.59999999999998</v>
      </c>
      <c r="AN341" s="95">
        <f>SUM(ППД5[[#This Row],[ТП Кухня]:[ТП Коридор]])</f>
        <v>31.599999999999998</v>
      </c>
      <c r="AO341" s="91">
        <f>ППД5[[#This Row],[Расчетная ТП площадь]]-ППД5[[#This Row],[Расчетная проектная площадь]]</f>
        <v>-0.72000000000001307</v>
      </c>
      <c r="AP341" s="335">
        <f>ППД5[[#This Row],[Расчетная ТП площадь]]/ППД5[[#This Row],[Расчетная проектная площадь]]-1</f>
        <v>-8.8921822897370939E-3</v>
      </c>
      <c r="AQ341" s="91">
        <f>ППД5[[#This Row],[% расхождения]]*ППД5[[#This Row],[Стоимость до скидки]]</f>
        <v>-81935.235272324499</v>
      </c>
      <c r="AR341" s="91">
        <f>VLOOKUP(ППД5[[#This Row],[№]],наценкад5[],COLUMN(наценкад5[[#This Row],[Цена м2 с учетом всех K]]),0)</f>
        <v>73520.37000000001</v>
      </c>
      <c r="AS341" s="8">
        <f>ППД5[[#This Row],[м2 после К]]*5%</f>
        <v>3676.0185000000006</v>
      </c>
      <c r="AT341" s="8">
        <f>ППД5[[#This Row],[м2 после К]]+ППД5[[#This Row],[Повышение 16.08.23 - 5%]]</f>
        <v>77196.388500000015</v>
      </c>
      <c r="AU341" s="93">
        <f>ППД5[[#This Row],[Фикс 16.08.23]]*3%</f>
        <v>2315.8916550000004</v>
      </c>
      <c r="AV341" s="93">
        <f>ППД5[[#This Row],[Фикс 16.08.23]]+ППД5[[#This Row],[Повышение 29.08.23 - 3%]]</f>
        <v>79512.280155000015</v>
      </c>
      <c r="AW341" s="93"/>
      <c r="AX341" s="93">
        <f>ППД5[[#This Row],[Фикс 29.08.23]]+ППД5[[#This Row],[Повышение 06.09.23 СТ и 1К]]</f>
        <v>79512.280155000015</v>
      </c>
      <c r="AY341" s="93"/>
      <c r="AZ341" s="93">
        <f>ППД5[[#This Row],[Повышение 23.10.23  В4 ]]+ППД5[[#This Row],[Фикс 06.09.23]]</f>
        <v>79512.280155000015</v>
      </c>
      <c r="BA341" s="93"/>
      <c r="BB341" s="93">
        <f>ППД5[[#This Row],[Повышение 8.11.23 1К 5%]]+ППД5[[#This Row],[Фикс 23.10.23]]</f>
        <v>79512.280155000015</v>
      </c>
      <c r="BC341" s="93"/>
      <c r="BD341" s="93">
        <f>ППД5[[#This Row],[Корректировка 24.11.23 - 1К В5, 2К А2, №233]]+ППД5[[#This Row],[Фикс 8.11.23]]</f>
        <v>79512.280155000015</v>
      </c>
      <c r="BE341" s="93">
        <f>ППД5[[#This Row],[Фикс 8.11.24]]*1%</f>
        <v>795.12280155000019</v>
      </c>
      <c r="BF341" s="93">
        <f>ППД5[[#This Row],[Наценка за отделку 29.12.23 1%]]+ППД5[[#This Row],[Фикс 8.11.24]]</f>
        <v>80307.40295655001</v>
      </c>
      <c r="BG341" s="93">
        <f>ППД5[[#This Row],[Фикс 29.12.23]]*5%</f>
        <v>4015.3701478275007</v>
      </c>
      <c r="BH341" s="93">
        <f>ППД5[[#This Row],[Фикс 29.12.23]]+ППД5[[#This Row],[Наценка 10.01.24 5%]]</f>
        <v>84322.773104377513</v>
      </c>
      <c r="BI341" s="93"/>
      <c r="BJ341" s="93">
        <f>ППД5[[#This Row],[Наценка 26.02.24 1 Этаж]]+ППД5[[#This Row],[Фикс 10.01.24]]</f>
        <v>84322.773104377513</v>
      </c>
      <c r="BK341" s="93">
        <f>ППД5[[#This Row],[Фикс 26.02.24]]*2%</f>
        <v>1686.4554620875504</v>
      </c>
      <c r="BL341" s="93">
        <f>ППД5[[#This Row],[Фикс 26.02.24]]+ППД5[[#This Row],[Наценка 06.03.24
СТ, 1К - 3%
2К, 3К - 2%]]</f>
        <v>86009.22856646507</v>
      </c>
      <c r="BM341" s="93"/>
      <c r="BN341" s="93">
        <f>ППД5[[#This Row],[Фикс 06.03.24]]+ППД5[[#This Row],[Наценка Г2+500]]</f>
        <v>86009.22856646507</v>
      </c>
      <c r="BO341" s="93">
        <f>ППД5[[#This Row],[Фикс 13.03.25]]*2%</f>
        <v>1720.1845713293014</v>
      </c>
      <c r="BP341" s="93">
        <f>ППД5[[#This Row],[Фикс 13.03.25]]+ППД5[[#This Row],[Наценка 20.03.24
2К, 3К - 2%]]</f>
        <v>87729.41313779437</v>
      </c>
      <c r="BQ341" s="93"/>
      <c r="BR341" s="93">
        <f>ППД5[[#This Row],[Фикс 20.03.24]]+ППД5[[#This Row],[Наценка 08.04.24 
2К: В3 - 150
3К: Г7 +1000]]</f>
        <v>87729.41313779437</v>
      </c>
      <c r="BS341" s="93">
        <f>ППД5[[#This Row],[Фикс 08.04.24]]*1%</f>
        <v>877.2941313779437</v>
      </c>
      <c r="BT341" s="93">
        <f>ППД5[[#This Row],[Фикс 08.04.24]]+ППД5[[#This Row],[Наценка 16.05.24 1%
А4,А6,Б3,Б6,Б7,В2,В3,В5,В6,Г1,Г3-Г5]]</f>
        <v>88606.707269172315</v>
      </c>
      <c r="BU341" s="93"/>
      <c r="BV341" s="93">
        <f>ППД5[[#This Row],[Фикс 16.05.24]]+ППД5[[#This Row],[Наценка 24.05.24
1% - Б4, Б5,Г2,Г6
2% - А1,А3,А5,Б2,Г7]]</f>
        <v>88606.707269172315</v>
      </c>
      <c r="BW341" s="93">
        <f>ППД5[[#This Row],[Фикс 24.05.24]]*0.5%</f>
        <v>443.03353634586159</v>
      </c>
      <c r="BX341" s="93">
        <f>ППД5[[#This Row],[Наценка 06.06.24
0К: В2,Г3 +0,5%
1К: А7, Б5/4, Г6 +0,5%
3К: В6 +0,5%
1К: А3 +1%]]+ППД5[[#This Row],[Фикс 24.05.24]]</f>
        <v>89049.740805518173</v>
      </c>
      <c r="BY341" s="93">
        <f>ППД5[[#This Row],[Фикс 06.06.24]]*2%</f>
        <v>1780.9948161103634</v>
      </c>
      <c r="BZ341" s="93">
        <f>ППД5[[#This Row],[Фикс 06.06.24]]+ППД5[[#This Row],[13.06.2024
3К - 2%]]</f>
        <v>90830.735621628541</v>
      </c>
      <c r="CA341" s="93">
        <f>1.5%*ППД5[[#This Row],[Фикс 13.06.24]]</f>
        <v>1362.4610343244281</v>
      </c>
      <c r="CB341" s="93">
        <f>ППД5[[#This Row],[02.07.2024: Г3 А1 А3 Б5 Б7 Г2 Г6 Б3 Б4 В3 Г7 2,5% ост 0,5-1,5%]]+ППД5[[#This Row],[Фикс 13.06.24]]</f>
        <v>92193.196655952968</v>
      </c>
      <c r="CC341" s="93"/>
      <c r="CD341" s="93">
        <f>ППД5[[#This Row],[Фикс 02.07.24]]+ППД5[[#This Row],[04.09.2024 +500
0К - Б2; 1К - А3;
2К - А6, Б4, В3, Г5]]</f>
        <v>92193.196655952968</v>
      </c>
      <c r="CE341" s="93">
        <f>ППД5[[#This Row],[Фикс 04.09.24]]*4%</f>
        <v>3687.7278662381186</v>
      </c>
      <c r="CF341" s="93">
        <f>ППД5[[#This Row],[Наценка 16.09.2024
1К: А1,В7,Г6/7,Г8 - 2%
2К: А4,А5,А6,Б1,Б6,Б3/4,В3,В4,Г4,Г5 - 4%
3К: 4%]]+ППД5[[#This Row],[Фикс 04.09.24]]</f>
        <v>95880.924522191082</v>
      </c>
      <c r="CG341" s="93">
        <f>ППД5[[#This Row],[Фикс 16.09.2024]]*5%</f>
        <v>4794.0462261095545</v>
      </c>
      <c r="CH341" s="93">
        <f>ППД5[[#This Row],[Фикс 16.09.2024]]+ППД5[[#This Row],[Наценка 01.11.24
СТ: 4%
1К: 34-40м 5%; 40м+ 8%; МГН 1%
2К: 55-70м 6%; 70-73м 7%; 73-76м 8% 
3К: 5%]]</f>
        <v>100674.97074830064</v>
      </c>
      <c r="CI341" s="93">
        <f>ППД5[[#This Row],[Фикс 01.11.24]]*13%</f>
        <v>13087.746197279082</v>
      </c>
      <c r="CJ341" s="93">
        <f>ППД5[[#This Row],[Наценка 06.11 13%]]+ППД5[[#This Row],[Фикс 01.11.24]]</f>
        <v>113762.71694557971</v>
      </c>
      <c r="CK341" s="93">
        <v>35</v>
      </c>
      <c r="CL341" s="93">
        <f>ППД5[[#This Row],[Фикс 06.11.24]]+ППД5[[#This Row],[Наценка 18.12.24 распределение КВ]]</f>
        <v>113797.71694557971</v>
      </c>
      <c r="CM341" s="93"/>
      <c r="CN341" s="93">
        <f>ППД5[[#This Row],[Фикс 18.12.24]]+ППД5[[#This Row],[Наценка 10.02.25 +1%
1К: А3
2К: Б3, В3]]</f>
        <v>113797.71694557971</v>
      </c>
      <c r="CO341" s="93">
        <f>ROUND(ППД5[[#This Row],[Фикс 10.02.25]],2)</f>
        <v>113797.72</v>
      </c>
      <c r="CP34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9214300</v>
      </c>
      <c r="CQ341" s="93">
        <f>ROUNDUP(ППД5[[#This Row],[Стоимость до скидки]]+ППД5[[#This Row],[Сумма доплаты]],-2)</f>
        <v>9132400</v>
      </c>
      <c r="CR341" s="68"/>
      <c r="CS341" s="90"/>
      <c r="CT341" s="68">
        <f>ППД5[[#This Row],[Стоимость до скидки]]*ППД5[[#This Row],[Скидка %]]+ППД5[[#This Row],[Скидка фиксированная]]</f>
        <v>0</v>
      </c>
      <c r="CU341" s="3">
        <f>ППД5[[#This Row],[Стоимость ОН без отделки со скидкой]]/ППД5[[#This Row],[Расчетная проектная площадь]]</f>
        <v>113798.93787822651</v>
      </c>
      <c r="CV341" s="3">
        <f>ROUND(ППД5[[#This Row],[Стоимость до скидки]]-ППД5[[#This Row],[Итоговая сумма скидки]],2)</f>
        <v>9214300</v>
      </c>
      <c r="CW34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341" s="218">
        <v>10000</v>
      </c>
      <c r="CY341" s="332">
        <f>ППД5[[#This Row],[Расхождение]]/ППД5[[#This Row],[Расчетная проектная площадь]]</f>
        <v>-8.8921822897371008E-3</v>
      </c>
      <c r="CZ341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-0.45000000000000462</v>
      </c>
      <c r="DA341" s="3">
        <f>ППД5[[#This Row],[Цена м2 без отделки со скидкой]]+ППД5[[#This Row],[Стоимость отделки]]</f>
        <v>123798.93787822651</v>
      </c>
      <c r="DB341" s="3">
        <f>ППД5[[#This Row],[Стоимость квартиры с отделкой]]-ППД5[[#This Row],[Стоимость ОН без отделки со скидкой]]</f>
        <v>809700</v>
      </c>
      <c r="DC341" s="3">
        <f>ППД5[[#This Row],[Цена м2 с отделкой]]*ППД5[[#This Row],[Расчетная проектная площадь]]</f>
        <v>10024000</v>
      </c>
      <c r="DD341" s="3"/>
      <c r="DF341" s="155" t="s">
        <v>157</v>
      </c>
      <c r="DG341" s="221" t="s">
        <v>157</v>
      </c>
      <c r="DH341" s="100" t="b">
        <f>EXACT(ППД5[[#This Row],[Статусы CRM]],ППД5[[#This Row],[Статус]])</f>
        <v>1</v>
      </c>
      <c r="DI341" s="213" t="s">
        <v>513</v>
      </c>
      <c r="DJ341" s="204"/>
      <c r="DK341" s="111" t="s">
        <v>763</v>
      </c>
      <c r="DL341" s="216" t="s">
        <v>780</v>
      </c>
      <c r="DM341" s="201" t="b">
        <f>ППД5[[#This Row],[Отделка CRM]]=ППД5[[#This Row],[Отделка]]</f>
        <v>1</v>
      </c>
      <c r="DN341" s="203">
        <v>10024000</v>
      </c>
      <c r="DO34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41" s="207" t="b">
        <f>IF(AND(ППД5[[#This Row],[Статус]]="свободно",ППД5[[#This Row],[Итоговая сумма скидки]]&lt;&gt;0),FALSE,TRUE)</f>
        <v>1</v>
      </c>
      <c r="DQ341" s="240" t="str">
        <f>_xlfn.XLOOKUP(ППД5[[#This Row],[№]],Юрист[№ кв],Юрист[Дата подачи на регистрацию]," ",0,-1)</f>
        <v xml:space="preserve"> </v>
      </c>
      <c r="DR341" s="115" t="str">
        <f>_xlfn.XLOOKUP(ППД5[[#This Row],[№]],Юрист[№ кв],Юрист[МОП],"",0,-1)</f>
        <v/>
      </c>
      <c r="DS341" s="333" t="s">
        <v>2974</v>
      </c>
      <c r="DT341" s="333" t="s">
        <v>2975</v>
      </c>
      <c r="DU341" s="333">
        <v>77.599999999999994</v>
      </c>
      <c r="DV341" s="111"/>
    </row>
    <row r="342" spans="1:126" hidden="1" x14ac:dyDescent="0.25">
      <c r="A342" s="112">
        <v>340</v>
      </c>
      <c r="B342" s="111" t="s">
        <v>3</v>
      </c>
      <c r="C342" s="111">
        <v>17</v>
      </c>
      <c r="D342" s="111">
        <v>7</v>
      </c>
      <c r="E342" s="111">
        <v>1</v>
      </c>
      <c r="F342" s="105">
        <v>14.3</v>
      </c>
      <c r="G342" s="105"/>
      <c r="H342" s="105"/>
      <c r="I342" s="94">
        <f>SUM(ППД5[[#This Row],[Комната 1]:[Комната 3]])</f>
        <v>14.3</v>
      </c>
      <c r="J342" s="105">
        <v>9.2799999999999994</v>
      </c>
      <c r="K342" s="105">
        <v>3.79</v>
      </c>
      <c r="L342" s="105"/>
      <c r="M342" s="105"/>
      <c r="N342" s="105">
        <v>6.08</v>
      </c>
      <c r="O342" s="105">
        <v>2.71</v>
      </c>
      <c r="P342" s="105"/>
      <c r="Q342" s="105"/>
      <c r="R342" s="105">
        <f>SUM(ППД5[[#This Row],[Лоджия 1]:[Лоджия 3]])</f>
        <v>2.71</v>
      </c>
      <c r="S342" s="8">
        <f>ROUND(SUM(ППД5[[#This Row],[Площадь по проекту жилая]:[Лоджия 3]]),2)</f>
        <v>36.159999999999997</v>
      </c>
      <c r="T342" s="8">
        <f>ROUND(ППД5[[#This Row],[Площадь по проекту(общая)]]-ППД5[[#This Row],[Летние]],2)</f>
        <v>33.450000000000003</v>
      </c>
      <c r="U342" s="91">
        <f>ROUND(ППД5[[#This Row],[Площадь по проекту(общая)]]-(SUM(ППД5[[#This Row],[Лоджия 1]:[Лоджия 3]])/2),2)</f>
        <v>34.81</v>
      </c>
      <c r="V342" s="91">
        <f>IF(ППД5[[#This Row],[Статус]]="продажа",ППД5[[#This Row],[Расчетная проектная площадь]],ППД5[[#This Row],[Расчетная ТП площадь]])</f>
        <v>34.81</v>
      </c>
      <c r="W342" s="91">
        <v>14.2</v>
      </c>
      <c r="X342" s="91"/>
      <c r="Y342" s="91"/>
      <c r="Z342" s="91">
        <f>SUM(ППД5[[#This Row],[ТП Комната 1]:[ТП Комната 3]])</f>
        <v>14.2</v>
      </c>
      <c r="AA342" s="91">
        <v>9.1999999999999993</v>
      </c>
      <c r="AB342" s="91">
        <v>3.8</v>
      </c>
      <c r="AC342" s="91"/>
      <c r="AD342" s="91"/>
      <c r="AE342" s="91">
        <v>6.2</v>
      </c>
      <c r="AF342" s="91">
        <v>1.3</v>
      </c>
      <c r="AG342" s="91"/>
      <c r="AH342" s="91"/>
      <c r="AI342" s="91">
        <f>SUM(ППД5[[#This Row],[ТП Лоджия 1]:[ТП Лоджия 3]])</f>
        <v>1.3</v>
      </c>
      <c r="AJ342" s="95">
        <v>2.6</v>
      </c>
      <c r="AK342" s="91">
        <f>SUM(ППД5[[#This Row],[Площадь по ТП жилая]:[ТП Лоджия 3]])-ППД5[[#This Row],[ТП Летние]]+ППД5[[#This Row],[кроме того прочая
(без коэффициента)]]</f>
        <v>36</v>
      </c>
      <c r="AL342" s="95">
        <f>ППД5[[#This Row],[ТП Площадь без летних]]+(ППД5[[#This Row],[ТП Летние]])</f>
        <v>34.699999999999996</v>
      </c>
      <c r="AM342" s="91">
        <f>ППД5[[#This Row],[ТП общая S]]-ППД5[[#This Row],[кроме того прочая
(без коэффициента)]]</f>
        <v>33.4</v>
      </c>
      <c r="AN342" s="95">
        <f>SUM(ППД5[[#This Row],[ТП Кухня]:[ТП Коридор]])</f>
        <v>19.2</v>
      </c>
      <c r="AO342" s="91">
        <f>ППД5[[#This Row],[Расчетная ТП площадь]]-ППД5[[#This Row],[Расчетная проектная площадь]]</f>
        <v>-0.11000000000000654</v>
      </c>
      <c r="AP342" s="335">
        <f>ППД5[[#This Row],[Расчетная ТП площадь]]/ППД5[[#This Row],[Расчетная проектная площадь]]-1</f>
        <v>-3.1600114909510202E-3</v>
      </c>
      <c r="AQ342" s="91">
        <f>ППД5[[#This Row],[% расхождения]]*ППД5[[#This Row],[Стоимость до скидки]]</f>
        <v>-16040.218328067378</v>
      </c>
      <c r="AR342" s="91">
        <f>VLOOKUP(ППД5[[#This Row],[№]],наценкад5[],COLUMN(наценкад5[[#This Row],[Цена м2 с учетом всех K]]),0)</f>
        <v>84762.5625</v>
      </c>
      <c r="AS342" s="8">
        <f>ППД5[[#This Row],[м2 после К]]*5%</f>
        <v>4238.1281250000002</v>
      </c>
      <c r="AT342" s="8">
        <f>ППД5[[#This Row],[м2 после К]]+ППД5[[#This Row],[Повышение 16.08.23 - 5%]]</f>
        <v>89000.690625000003</v>
      </c>
      <c r="AU342" s="93">
        <f>ППД5[[#This Row],[Фикс 16.08.23]]*3%</f>
        <v>2670.02071875</v>
      </c>
      <c r="AV342" s="93">
        <f>ППД5[[#This Row],[Фикс 16.08.23]]+ППД5[[#This Row],[Повышение 29.08.23 - 3%]]</f>
        <v>91670.711343750008</v>
      </c>
      <c r="AW342" s="93">
        <f>ППД5[[#This Row],[Фикс 29.08.23]]*14%</f>
        <v>12833.899588125003</v>
      </c>
      <c r="AX342" s="93">
        <f>ППД5[[#This Row],[Фикс 29.08.23]]+ППД5[[#This Row],[Повышение 06.09.23 СТ и 1К]]</f>
        <v>104504.61093187501</v>
      </c>
      <c r="AY342" s="93"/>
      <c r="AZ342" s="93">
        <f>ППД5[[#This Row],[Повышение 23.10.23  В4 ]]+ППД5[[#This Row],[Фикс 06.09.23]]</f>
        <v>104504.61093187501</v>
      </c>
      <c r="BA342" s="93">
        <f>ППД5[[#This Row],[Фикс 23.10.23]]*5%</f>
        <v>5225.2305465937507</v>
      </c>
      <c r="BB342" s="93">
        <f>ППД5[[#This Row],[Повышение 8.11.23 1К 5%]]+ППД5[[#This Row],[Фикс 23.10.23]]</f>
        <v>109729.84147846876</v>
      </c>
      <c r="BC342" s="93"/>
      <c r="BD342" s="93">
        <f>ППД5[[#This Row],[Корректировка 24.11.23 - 1К В5, 2К А2, №233]]+ППД5[[#This Row],[Фикс 8.11.23]]</f>
        <v>109729.84147846876</v>
      </c>
      <c r="BE342" s="93">
        <f>ППД5[[#This Row],[Фикс 8.11.24]]*1%</f>
        <v>1097.2984147846876</v>
      </c>
      <c r="BF342" s="93">
        <f>ППД5[[#This Row],[Наценка за отделку 29.12.23 1%]]+ППД5[[#This Row],[Фикс 8.11.24]]</f>
        <v>110827.13989325345</v>
      </c>
      <c r="BG342" s="93">
        <f>ППД5[[#This Row],[Фикс 29.12.23]]*5%</f>
        <v>5541.3569946626731</v>
      </c>
      <c r="BH342" s="93">
        <f>ППД5[[#This Row],[Фикс 29.12.23]]+ППД5[[#This Row],[Наценка 10.01.24 5%]]</f>
        <v>116368.49688791612</v>
      </c>
      <c r="BI342" s="93"/>
      <c r="BJ342" s="93">
        <f>ППД5[[#This Row],[Наценка 26.02.24 1 Этаж]]+ППД5[[#This Row],[Фикс 10.01.24]]</f>
        <v>116368.49688791612</v>
      </c>
      <c r="BK342" s="93">
        <f>ППД5[[#This Row],[Фикс 26.02.24]]*3%</f>
        <v>3491.0549066374833</v>
      </c>
      <c r="BL342" s="93">
        <f>ППД5[[#This Row],[Фикс 26.02.24]]+ППД5[[#This Row],[Наценка 06.03.24
СТ, 1К - 3%
2К, 3К - 2%]]</f>
        <v>119859.5517945536</v>
      </c>
      <c r="BM342" s="93"/>
      <c r="BN342" s="93">
        <f>ППД5[[#This Row],[Фикс 06.03.24]]+ППД5[[#This Row],[Наценка Г2+500]]</f>
        <v>119859.5517945536</v>
      </c>
      <c r="BO342" s="93"/>
      <c r="BP342" s="93">
        <f>ППД5[[#This Row],[Фикс 13.03.25]]+ППД5[[#This Row],[Наценка 20.03.24
2К, 3К - 2%]]</f>
        <v>119859.5517945536</v>
      </c>
      <c r="BQ342" s="93"/>
      <c r="BR342" s="93">
        <f>ППД5[[#This Row],[Фикс 20.03.24]]+ППД5[[#This Row],[Наценка 08.04.24 
2К: В3 - 150
3К: Г7 +1000]]</f>
        <v>119859.5517945536</v>
      </c>
      <c r="BS342" s="93"/>
      <c r="BT342" s="93">
        <f>ППД5[[#This Row],[Фикс 08.04.24]]+ППД5[[#This Row],[Наценка 16.05.24 1%
А4,А6,Б3,Б6,Б7,В2,В3,В5,В6,Г1,Г3-Г5]]</f>
        <v>119859.5517945536</v>
      </c>
      <c r="BU342" s="93"/>
      <c r="BV342" s="93">
        <f>ППД5[[#This Row],[Фикс 16.05.24]]+ППД5[[#This Row],[Наценка 24.05.24
1% - Б4, Б5,Г2,Г6
2% - А1,А3,А5,Б2,Г7]]</f>
        <v>119859.5517945536</v>
      </c>
      <c r="BW342" s="93"/>
      <c r="BX342" s="93">
        <f>ППД5[[#This Row],[Наценка 06.06.24
0К: В2,Г3 +0,5%
1К: А7, Б5/4, Г6 +0,5%
3К: В6 +0,5%
1К: А3 +1%]]+ППД5[[#This Row],[Фикс 24.05.24]]</f>
        <v>119859.5517945536</v>
      </c>
      <c r="BY342" s="93"/>
      <c r="BZ342" s="93">
        <f>ППД5[[#This Row],[Фикс 06.06.24]]+ППД5[[#This Row],[13.06.2024
3К - 2%]]</f>
        <v>119859.5517945536</v>
      </c>
      <c r="CA342" s="93">
        <f>0.5%*ППД5[[#This Row],[Фикс 13.06.24]]</f>
        <v>599.29775897276795</v>
      </c>
      <c r="CB342" s="93">
        <f>ППД5[[#This Row],[02.07.2024: Г3 А1 А3 Б5 Б7 Г2 Г6 Б3 Б4 В3 Г7 2,5% ост 0,5-1,5%]]+ППД5[[#This Row],[Фикс 13.06.24]]</f>
        <v>120458.84955352636</v>
      </c>
      <c r="CC342" s="93"/>
      <c r="CD342" s="93">
        <f>ППД5[[#This Row],[Фикс 02.07.24]]+ППД5[[#This Row],[04.09.2024 +500
0К - Б2; 1К - А3;
2К - А6, Б4, В3, Г5]]</f>
        <v>120458.84955352636</v>
      </c>
      <c r="CE342" s="93">
        <f>ППД5[[#This Row],[Фикс 04.09.24]]*2%</f>
        <v>2409.1769910705275</v>
      </c>
      <c r="CF342" s="93">
        <f>ППД5[[#This Row],[Наценка 16.09.2024
1К: А1,В7,Г6/7,Г8 - 2%
2К: А4,А5,А6,Б1,Б6,Б3/4,В3,В4,Г4,Г5 - 4%
3К: 4%]]+ППД5[[#This Row],[Фикс 04.09.24]]</f>
        <v>122868.0265445969</v>
      </c>
      <c r="CG342" s="93">
        <f>ППД5[[#This Row],[Фикс 16.09.2024]]*5%</f>
        <v>6143.4013272298453</v>
      </c>
      <c r="CH342" s="93">
        <f>ППД5[[#This Row],[Фикс 16.09.2024]]+ППД5[[#This Row],[Наценка 01.11.24
СТ: 4%
1К: 34-40м 5%; 40м+ 8%; МГН 1%
2К: 55-70м 6%; 70-73м 7%; 73-76м 8% 
3К: 5%]]</f>
        <v>129011.42787182675</v>
      </c>
      <c r="CI342" s="93">
        <f>ППД5[[#This Row],[Фикс 01.11.24]]*13%</f>
        <v>16771.485623337478</v>
      </c>
      <c r="CJ342" s="93">
        <f>ППД5[[#This Row],[Наценка 06.11 13%]]+ППД5[[#This Row],[Фикс 01.11.24]]</f>
        <v>145782.91349516422</v>
      </c>
      <c r="CK342" s="93">
        <v>35</v>
      </c>
      <c r="CL342" s="93">
        <f>ППД5[[#This Row],[Фикс 06.11.24]]+ППД5[[#This Row],[Наценка 18.12.24 распределение КВ]]</f>
        <v>145817.91349516422</v>
      </c>
      <c r="CM342" s="93"/>
      <c r="CN342" s="93">
        <f>ППД5[[#This Row],[Фикс 18.12.24]]+ППД5[[#This Row],[Наценка 10.02.25 +1%
1К: А3
2К: Б3, В3]]</f>
        <v>145817.91349516422</v>
      </c>
      <c r="CO342" s="93">
        <f>ROUND(ППД5[[#This Row],[Фикс 10.02.25]],2)</f>
        <v>145817.91</v>
      </c>
      <c r="CP34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5076000</v>
      </c>
      <c r="CQ342" s="93">
        <f>ROUNDUP(ППД5[[#This Row],[Стоимость до скидки]]+ППД5[[#This Row],[Сумма доплаты]],-2)</f>
        <v>5060000</v>
      </c>
      <c r="CR342" s="68">
        <f>ППД5[[#This Row],[Расчетная проектная площадь]]*8000</f>
        <v>278480</v>
      </c>
      <c r="CS342" s="90"/>
      <c r="CT342" s="68">
        <f>ППД5[[#This Row],[Стоимость до скидки]]*ППД5[[#This Row],[Скидка %]]+ППД5[[#This Row],[Скидка фиксированная]]</f>
        <v>278480</v>
      </c>
      <c r="CU342" s="3">
        <f>ППД5[[#This Row],[Стоимость ОН без отделки со скидкой]]/ППД5[[#This Row],[Расчетная проектная площадь]]</f>
        <v>137820.16661878768</v>
      </c>
      <c r="CV342" s="3">
        <f>ROUND(ППД5[[#This Row],[Стоимость до скидки]]-ППД5[[#This Row],[Итоговая сумма скидки]],2)</f>
        <v>4797520</v>
      </c>
      <c r="CW34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42" s="218">
        <v>25000</v>
      </c>
      <c r="CY342" s="332">
        <f>ППД5[[#This Row],[Расхождение]]/ППД5[[#This Row],[Расчетная проектная площадь]]</f>
        <v>-3.1600114909510636E-3</v>
      </c>
      <c r="CZ342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4.9999999999998934E-2</v>
      </c>
      <c r="DA342" s="3">
        <f>ППД5[[#This Row],[Цена м2 без отделки со скидкой]]+ППД5[[#This Row],[Стоимость отделки]]</f>
        <v>162820.16661878768</v>
      </c>
      <c r="DB342" s="3">
        <f>ППД5[[#This Row],[Стоимость квартиры с отделкой]]-ППД5[[#This Row],[Стоимость ОН без отделки со скидкой]]</f>
        <v>870250</v>
      </c>
      <c r="DC342" s="3">
        <f>ППД5[[#This Row],[Цена м2 с отделкой]]*ППД5[[#This Row],[Расчетная проектная площадь]]</f>
        <v>5667770</v>
      </c>
      <c r="DD342" s="3" t="s">
        <v>154</v>
      </c>
      <c r="DE342" s="111" t="s">
        <v>2122</v>
      </c>
      <c r="DF342" s="155" t="s">
        <v>172</v>
      </c>
      <c r="DG342" s="221" t="s">
        <v>172</v>
      </c>
      <c r="DH342" s="100" t="b">
        <f>EXACT(ППД5[[#This Row],[Статусы CRM]],ППД5[[#This Row],[Статус]])</f>
        <v>1</v>
      </c>
      <c r="DI342" s="213" t="s">
        <v>514</v>
      </c>
      <c r="DJ342" s="204"/>
      <c r="DK342" s="111" t="s">
        <v>763</v>
      </c>
      <c r="DL342" s="216" t="s">
        <v>14</v>
      </c>
      <c r="DM342" s="201" t="b">
        <f>ППД5[[#This Row],[Отделка CRM]]=ППД5[[#This Row],[Отделка]]</f>
        <v>1</v>
      </c>
      <c r="DN342" s="203">
        <v>5667770</v>
      </c>
      <c r="DO34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42" s="207" t="b">
        <f>IF(AND(ППД5[[#This Row],[Статус]]="свободно",ППД5[[#This Row],[Итоговая сумма скидки]]&lt;&gt;0),FALSE,TRUE)</f>
        <v>1</v>
      </c>
      <c r="DQ342" s="240">
        <f>_xlfn.XLOOKUP(ППД5[[#This Row],[№]],Юрист[№ кв],Юрист[Дата подачи на регистрацию]," ",0,-1)</f>
        <v>45828</v>
      </c>
      <c r="DR342" s="115" t="str">
        <f>_xlfn.XLOOKUP(ППД5[[#This Row],[№]],Юрист[№ кв],Юрист[МОП],"",0,-1)</f>
        <v>Полехович</v>
      </c>
      <c r="DS342" s="333" t="s">
        <v>2976</v>
      </c>
      <c r="DT342" s="333" t="s">
        <v>2977</v>
      </c>
      <c r="DU342" s="333">
        <v>33.4</v>
      </c>
      <c r="DV342" s="111"/>
    </row>
    <row r="343" spans="1:126" hidden="1" x14ac:dyDescent="0.25">
      <c r="A343" s="112">
        <v>341</v>
      </c>
      <c r="B343" s="111" t="s">
        <v>3</v>
      </c>
      <c r="C343" s="111">
        <v>18</v>
      </c>
      <c r="D343" s="338">
        <v>1</v>
      </c>
      <c r="E343" s="111">
        <v>2</v>
      </c>
      <c r="F343" s="105">
        <v>17.63</v>
      </c>
      <c r="G343" s="105">
        <v>13.69</v>
      </c>
      <c r="H343" s="105"/>
      <c r="I343" s="94">
        <f>SUM(ППД5[[#This Row],[Комната 1]:[Комната 3]])</f>
        <v>31.32</v>
      </c>
      <c r="J343" s="105">
        <v>20.05</v>
      </c>
      <c r="K343" s="105">
        <v>3.54</v>
      </c>
      <c r="L343" s="105">
        <v>2.93</v>
      </c>
      <c r="M343" s="105"/>
      <c r="N343" s="105">
        <v>12.19</v>
      </c>
      <c r="O343" s="105">
        <v>4.6500000000000004</v>
      </c>
      <c r="P343" s="105">
        <v>2.68</v>
      </c>
      <c r="Q343" s="105"/>
      <c r="R343" s="105">
        <f>SUM(ППД5[[#This Row],[Лоджия 1]:[Лоджия 3]])</f>
        <v>7.33</v>
      </c>
      <c r="S343" s="8">
        <f>ROUND(SUM(ППД5[[#This Row],[Площадь по проекту жилая]:[Лоджия 3]]),2)</f>
        <v>77.36</v>
      </c>
      <c r="T343" s="8">
        <f>ROUND(ППД5[[#This Row],[Площадь по проекту(общая)]]-ППД5[[#This Row],[Летние]],2)</f>
        <v>70.03</v>
      </c>
      <c r="U343" s="91">
        <f>ROUND(ППД5[[#This Row],[Площадь по проекту(общая)]]-(SUM(ППД5[[#This Row],[Лоджия 1]:[Лоджия 3]])/2),2)</f>
        <v>73.7</v>
      </c>
      <c r="V343" s="91">
        <f>IF(ППД5[[#This Row],[Статус]]="продажа",ППД5[[#This Row],[Расчетная проектная площадь]],ППД5[[#This Row],[Расчетная ТП площадь]])</f>
        <v>73.7</v>
      </c>
      <c r="W343" s="91">
        <v>17.5</v>
      </c>
      <c r="X343" s="91">
        <v>13.6</v>
      </c>
      <c r="Y343" s="91"/>
      <c r="Z343" s="91">
        <f>SUM(ППД5[[#This Row],[ТП Комната 1]:[ТП Комната 3]])</f>
        <v>31.1</v>
      </c>
      <c r="AA343" s="91">
        <v>19.899999999999999</v>
      </c>
      <c r="AB343" s="91">
        <v>3.4</v>
      </c>
      <c r="AC343" s="91">
        <v>2.9</v>
      </c>
      <c r="AD343" s="91"/>
      <c r="AE343" s="91">
        <v>12</v>
      </c>
      <c r="AF343" s="91">
        <v>1.35</v>
      </c>
      <c r="AG343" s="91">
        <v>2.2999999999999998</v>
      </c>
      <c r="AH343" s="91"/>
      <c r="AI343" s="91">
        <f>SUM(ППД5[[#This Row],[ТП Лоджия 1]:[ТП Лоджия 3]])</f>
        <v>3.65</v>
      </c>
      <c r="AJ343" s="95">
        <v>7.3</v>
      </c>
      <c r="AK343" s="91">
        <f>SUM(ППД5[[#This Row],[Площадь по ТП жилая]:[ТП Лоджия 3]])-ППД5[[#This Row],[ТП Летние]]+ППД5[[#This Row],[кроме того прочая
(без коэффициента)]]</f>
        <v>76.59999999999998</v>
      </c>
      <c r="AL343" s="95">
        <f>ППД5[[#This Row],[ТП Площадь без летних]]+(ППД5[[#This Row],[ТП Летние]])</f>
        <v>72.949999999999989</v>
      </c>
      <c r="AM343" s="91">
        <f>ППД5[[#This Row],[ТП общая S]]-ППД5[[#This Row],[кроме того прочая
(без коэффициента)]]</f>
        <v>69.299999999999983</v>
      </c>
      <c r="AN343" s="95">
        <f>SUM(ППД5[[#This Row],[ТП Кухня]:[ТП Коридор]])</f>
        <v>38.199999999999996</v>
      </c>
      <c r="AO343" s="91">
        <f>ППД5[[#This Row],[Расчетная ТП площадь]]-ППД5[[#This Row],[Расчетная проектная площадь]]</f>
        <v>-0.75000000000001421</v>
      </c>
      <c r="AP343" s="335">
        <f>ППД5[[#This Row],[Расчетная ТП площадь]]/ППД5[[#This Row],[Расчетная проектная площадь]]-1</f>
        <v>-1.017639077340593E-2</v>
      </c>
      <c r="AQ343" s="91">
        <f>ППД5[[#This Row],[% расхождения]]*ППД5[[#This Row],[Стоимость до скидки]]</f>
        <v>-72231.004070557945</v>
      </c>
      <c r="AR343" s="91">
        <f>VLOOKUP(ППД5[[#This Row],[№]],наценкад5[],COLUMN(наценкад5[[#This Row],[Цена м2 с учетом всех K]]),0)</f>
        <v>80307.864000000001</v>
      </c>
      <c r="AS343" s="8">
        <f>ППД5[[#This Row],[м2 после К]]*5%</f>
        <v>4015.3932000000004</v>
      </c>
      <c r="AT343" s="8">
        <f>ППД5[[#This Row],[м2 после К]]+ППД5[[#This Row],[Повышение 16.08.23 - 5%]]</f>
        <v>84323.257200000007</v>
      </c>
      <c r="AU343" s="93">
        <f>ППД5[[#This Row],[Фикс 16.08.23]]*3%</f>
        <v>2529.6977160000001</v>
      </c>
      <c r="AV343" s="93">
        <f>ППД5[[#This Row],[Фикс 16.08.23]]+ППД5[[#This Row],[Повышение 29.08.23 - 3%]]</f>
        <v>86852.954916000002</v>
      </c>
      <c r="AW343" s="93"/>
      <c r="AX343" s="93">
        <f>ППД5[[#This Row],[Фикс 29.08.23]]+ППД5[[#This Row],[Повышение 06.09.23 СТ и 1К]]</f>
        <v>86852.954916000002</v>
      </c>
      <c r="AY343" s="93"/>
      <c r="AZ343" s="93">
        <f>ППД5[[#This Row],[Повышение 23.10.23  В4 ]]+ППД5[[#This Row],[Фикс 06.09.23]]</f>
        <v>86852.954916000002</v>
      </c>
      <c r="BA343" s="93"/>
      <c r="BB343" s="93">
        <f>ППД5[[#This Row],[Повышение 8.11.23 1К 5%]]+ППД5[[#This Row],[Фикс 23.10.23]]</f>
        <v>86852.954916000002</v>
      </c>
      <c r="BC343" s="93"/>
      <c r="BD343" s="93">
        <f>ППД5[[#This Row],[Корректировка 24.11.23 - 1К В5, 2К А2, №233]]+ППД5[[#This Row],[Фикс 8.11.23]]</f>
        <v>86852.954916000002</v>
      </c>
      <c r="BE343" s="93">
        <f>ППД5[[#This Row],[Фикс 8.11.24]]*1%</f>
        <v>868.52954915999999</v>
      </c>
      <c r="BF343" s="93">
        <f>ППД5[[#This Row],[Наценка за отделку 29.12.23 1%]]+ППД5[[#This Row],[Фикс 8.11.24]]</f>
        <v>87721.48446516</v>
      </c>
      <c r="BG343" s="93">
        <f>ППД5[[#This Row],[Фикс 29.12.23]]*5%</f>
        <v>4386.0742232580005</v>
      </c>
      <c r="BH343" s="93">
        <f>ППД5[[#This Row],[Фикс 29.12.23]]+ППД5[[#This Row],[Наценка 10.01.24 5%]]</f>
        <v>92107.558688417994</v>
      </c>
      <c r="BI343" s="93"/>
      <c r="BJ343" s="93">
        <f>ППД5[[#This Row],[Наценка 26.02.24 1 Этаж]]+ППД5[[#This Row],[Фикс 10.01.24]]</f>
        <v>92107.558688417994</v>
      </c>
      <c r="BK343" s="93">
        <f>ППД5[[#This Row],[Фикс 26.02.24]]*2%</f>
        <v>1842.15117376836</v>
      </c>
      <c r="BL343" s="93">
        <f>ППД5[[#This Row],[Фикс 26.02.24]]+ППД5[[#This Row],[Наценка 06.03.24
СТ, 1К - 3%
2К, 3К - 2%]]</f>
        <v>93949.709862186355</v>
      </c>
      <c r="BM343" s="93"/>
      <c r="BN343" s="93">
        <f>ППД5[[#This Row],[Фикс 06.03.24]]+ППД5[[#This Row],[Наценка Г2+500]]</f>
        <v>93949.709862186355</v>
      </c>
      <c r="BO343" s="93">
        <f>ППД5[[#This Row],[Фикс 13.03.25]]*2%</f>
        <v>1878.9941972437271</v>
      </c>
      <c r="BP343" s="93">
        <f>ППД5[[#This Row],[Фикс 13.03.25]]+ППД5[[#This Row],[Наценка 20.03.24
2К, 3К - 2%]]</f>
        <v>95828.704059430078</v>
      </c>
      <c r="BQ343" s="93"/>
      <c r="BR343" s="93">
        <f>ППД5[[#This Row],[Фикс 20.03.24]]+ППД5[[#This Row],[Наценка 08.04.24 
2К: В3 - 150
3К: Г7 +1000]]</f>
        <v>95828.704059430078</v>
      </c>
      <c r="BS343" s="93"/>
      <c r="BT343" s="93">
        <f>ППД5[[#This Row],[Фикс 08.04.24]]+ППД5[[#This Row],[Наценка 16.05.24 1%
А4,А6,Б3,Б6,Б7,В2,В3,В5,В6,Г1,Г3-Г5]]</f>
        <v>95828.704059430078</v>
      </c>
      <c r="BU343" s="93"/>
      <c r="BV343" s="93">
        <f>ППД5[[#This Row],[Фикс 16.05.24]]+ППД5[[#This Row],[Наценка 24.05.24
1% - Б4, Б5,Г2,Г6
2% - А1,А3,А5,Б2,Г7]]</f>
        <v>95828.704059430078</v>
      </c>
      <c r="BW343" s="93"/>
      <c r="BX343" s="93">
        <f>ППД5[[#This Row],[Наценка 06.06.24
0К: В2,Г3 +0,5%
1К: А7, Б5/4, Г6 +0,5%
3К: В6 +0,5%
1К: А3 +1%]]+ППД5[[#This Row],[Фикс 24.05.24]]</f>
        <v>95828.704059430078</v>
      </c>
      <c r="BY343" s="93"/>
      <c r="BZ343" s="93">
        <f>ППД5[[#This Row],[Фикс 06.06.24]]+ППД5[[#This Row],[13.06.2024
3К - 2%]]</f>
        <v>95828.704059430078</v>
      </c>
      <c r="CA343" s="93">
        <f>0.5%*ППД5[[#This Row],[Фикс 13.06.24]]</f>
        <v>479.14352029715042</v>
      </c>
      <c r="CB343" s="93">
        <f>ППД5[[#This Row],[02.07.2024: Г3 А1 А3 Б5 Б7 Г2 Г6 Б3 Б4 В3 Г7 2,5% ост 0,5-1,5%]]+ППД5[[#This Row],[Фикс 13.06.24]]</f>
        <v>96307.847579727226</v>
      </c>
      <c r="CC343" s="93"/>
      <c r="CD343" s="93">
        <f>ППД5[[#This Row],[Фикс 02.07.24]]+ППД5[[#This Row],[04.09.2024 +500
0К - Б2; 1К - А3;
2К - А6, Б4, В3, Г5]]</f>
        <v>96307.847579727226</v>
      </c>
      <c r="CE343" s="93"/>
      <c r="CF343" s="93">
        <f>ППД5[[#This Row],[Наценка 16.09.2024
1К: А1,В7,Г6/7,Г8 - 2%
2К: А4,А5,А6,Б1,Б6,Б3/4,В3,В4,Г4,Г5 - 4%
3К: 4%]]+ППД5[[#This Row],[Фикс 04.09.24]]</f>
        <v>96307.847579727226</v>
      </c>
      <c r="CG343" s="93"/>
      <c r="CH343" s="93">
        <f>ППД5[[#This Row],[Фикс 16.09.2024]]+ППД5[[#This Row],[Наценка 01.11.24
СТ: 4%
1К: 34-40м 5%; 40м+ 8%; МГН 1%
2К: 55-70м 6%; 70-73м 7%; 73-76м 8% 
3К: 5%]]</f>
        <v>96307.847579727226</v>
      </c>
      <c r="CI343" s="93"/>
      <c r="CJ343" s="93">
        <f>ППД5[[#This Row],[Наценка 06.11 13%]]+ППД5[[#This Row],[Фикс 01.11.24]]</f>
        <v>96307.847579727226</v>
      </c>
      <c r="CK343" s="93"/>
      <c r="CL343" s="93">
        <f>ППД5[[#This Row],[Фикс 06.11.24]]+ППД5[[#This Row],[Наценка 18.12.24 распределение КВ]]</f>
        <v>96307.847579727226</v>
      </c>
      <c r="CM343" s="93"/>
      <c r="CN343" s="93">
        <f>ППД5[[#This Row],[Фикс 18.12.24]]+ППД5[[#This Row],[Наценка 10.02.25 +1%
1К: А3
2К: Б3, В3]]</f>
        <v>96307.847579727226</v>
      </c>
      <c r="CO343" s="93">
        <f>ROUND(ППД5[[#This Row],[Фикс 10.02.25]],2)</f>
        <v>96307.85</v>
      </c>
      <c r="CP34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7097900</v>
      </c>
      <c r="CQ343" s="93">
        <f>ROUNDUP(ППД5[[#This Row],[Стоимость до скидки]]+ППД5[[#This Row],[Сумма доплаты]],-2)</f>
        <v>7025700</v>
      </c>
      <c r="CR343" s="68"/>
      <c r="CS343" s="90">
        <v>0.03</v>
      </c>
      <c r="CT343" s="68">
        <f>ППД5[[#This Row],[Стоимость до скидки]]*ППД5[[#This Row],[Скидка %]]+ППД5[[#This Row],[Скидка фиксированная]]</f>
        <v>212937</v>
      </c>
      <c r="CU343" s="3">
        <f>ППД5[[#This Row],[Стоимость ОН без отделки со скидкой]]/ППД5[[#This Row],[Расчетная проектная площадь]]</f>
        <v>93418.765264586153</v>
      </c>
      <c r="CV343" s="3">
        <f>ROUND(ППД5[[#This Row],[Стоимость до скидки]]-ППД5[[#This Row],[Итоговая сумма скидки]],2)</f>
        <v>6884963</v>
      </c>
      <c r="CW34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43" s="197"/>
      <c r="CY343" s="332">
        <f>ППД5[[#This Row],[Расхождение]]/ППД5[[#This Row],[Расчетная проектная площадь]]</f>
        <v>-1.0176390773405892E-2</v>
      </c>
      <c r="CZ34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-0.51000000000000156</v>
      </c>
      <c r="DA343" s="3">
        <f>ППД5[[#This Row],[Цена м2 без отделки со скидкой]]+ППД5[[#This Row],[Стоимость отделки]]</f>
        <v>93418.765264586153</v>
      </c>
      <c r="DB343" s="3">
        <f>ППД5[[#This Row],[Стоимость квартиры с отделкой]]-ППД5[[#This Row],[Стоимость ОН без отделки со скидкой]]</f>
        <v>0</v>
      </c>
      <c r="DC343" s="3">
        <f>ППД5[[#This Row],[Цена м2 с отделкой]]*ППД5[[#This Row],[Расчетная проектная площадь]]</f>
        <v>6884963</v>
      </c>
      <c r="DD343" s="3" t="s">
        <v>158</v>
      </c>
      <c r="DE343" s="111" t="s">
        <v>167</v>
      </c>
      <c r="DF343" s="155" t="s">
        <v>172</v>
      </c>
      <c r="DG343" s="245" t="s">
        <v>172</v>
      </c>
      <c r="DH343" s="100" t="b">
        <f>EXACT(ППД5[[#This Row],[Статусы CRM]],ППД5[[#This Row],[Статус]])</f>
        <v>1</v>
      </c>
      <c r="DI343" s="213" t="s">
        <v>515</v>
      </c>
      <c r="DJ343" s="204"/>
      <c r="DK343" s="111" t="s">
        <v>763</v>
      </c>
      <c r="DL343" s="216" t="s">
        <v>12</v>
      </c>
      <c r="DM343" s="201" t="b">
        <f>ППД5[[#This Row],[Отделка CRM]]=ППД5[[#This Row],[Отделка]]</f>
        <v>1</v>
      </c>
      <c r="DN343" s="203">
        <v>6884963</v>
      </c>
      <c r="DO34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43" s="207" t="b">
        <f>IF(AND(ППД5[[#This Row],[Статус]]="свободно",ППД5[[#This Row],[Итоговая сумма скидки]]&lt;&gt;0),FALSE,TRUE)</f>
        <v>1</v>
      </c>
      <c r="DQ343" s="240">
        <f>_xlfn.XLOOKUP(ППД5[[#This Row],[№]],Юрист[№ кв],Юрист[Дата подачи на регистрацию]," ",0,-1)</f>
        <v>45597</v>
      </c>
      <c r="DR343" s="115" t="str">
        <f>_xlfn.XLOOKUP(ППД5[[#This Row],[№]],Юрист[№ кв],Юрист[МОП],"",0,-1)</f>
        <v>Дик</v>
      </c>
      <c r="DS343" s="333" t="s">
        <v>2978</v>
      </c>
      <c r="DT343" s="333" t="s">
        <v>2979</v>
      </c>
      <c r="DU343" s="333">
        <v>69.3</v>
      </c>
      <c r="DV343" s="111"/>
    </row>
    <row r="344" spans="1:126" hidden="1" x14ac:dyDescent="0.25">
      <c r="A344" s="112">
        <v>342</v>
      </c>
      <c r="B344" s="111" t="s">
        <v>3</v>
      </c>
      <c r="C344" s="111">
        <v>18</v>
      </c>
      <c r="D344" s="111">
        <v>2</v>
      </c>
      <c r="E344" s="111">
        <v>0</v>
      </c>
      <c r="F344" s="105">
        <v>7.18</v>
      </c>
      <c r="G344" s="105"/>
      <c r="H344" s="105"/>
      <c r="I344" s="94">
        <f>SUM(ППД5[[#This Row],[Комната 1]:[Комната 3]])</f>
        <v>7.18</v>
      </c>
      <c r="J344" s="105">
        <v>5.17</v>
      </c>
      <c r="K344" s="105">
        <v>3.72</v>
      </c>
      <c r="L344" s="105"/>
      <c r="M344" s="105"/>
      <c r="N344" s="105">
        <v>6.97</v>
      </c>
      <c r="O344" s="105">
        <v>2.97</v>
      </c>
      <c r="P344" s="105"/>
      <c r="Q344" s="105"/>
      <c r="R344" s="105">
        <f>SUM(ППД5[[#This Row],[Лоджия 1]:[Лоджия 3]])</f>
        <v>2.97</v>
      </c>
      <c r="S344" s="8">
        <f>ROUND(SUM(ППД5[[#This Row],[Площадь по проекту жилая]:[Лоджия 3]]),2)</f>
        <v>26.01</v>
      </c>
      <c r="T344" s="8">
        <f>ROUND(ППД5[[#This Row],[Площадь по проекту(общая)]]-ППД5[[#This Row],[Летние]],2)</f>
        <v>23.04</v>
      </c>
      <c r="U344" s="91">
        <f>ROUND(ППД5[[#This Row],[Площадь по проекту(общая)]]-(SUM(ППД5[[#This Row],[Лоджия 1]:[Лоджия 3]])/2),2)</f>
        <v>24.53</v>
      </c>
      <c r="V344" s="91">
        <f>IF(ППД5[[#This Row],[Статус]]="продажа",ППД5[[#This Row],[Расчетная проектная площадь]],ППД5[[#This Row],[Расчетная ТП площадь]])</f>
        <v>24.4</v>
      </c>
      <c r="W344" s="91">
        <v>7.2</v>
      </c>
      <c r="X344" s="91"/>
      <c r="Y344" s="91"/>
      <c r="Z344" s="91">
        <f>SUM(ППД5[[#This Row],[ТП Комната 1]:[ТП Комната 3]])</f>
        <v>7.2</v>
      </c>
      <c r="AA344" s="91">
        <v>5</v>
      </c>
      <c r="AB344" s="91">
        <v>3.7</v>
      </c>
      <c r="AC344" s="91"/>
      <c r="AD344" s="91"/>
      <c r="AE344" s="91">
        <v>7</v>
      </c>
      <c r="AF344" s="91">
        <v>1.5</v>
      </c>
      <c r="AG344" s="91"/>
      <c r="AH344" s="91"/>
      <c r="AI344" s="91">
        <f>SUM(ППД5[[#This Row],[ТП Лоджия 1]:[ТП Лоджия 3]])</f>
        <v>1.5</v>
      </c>
      <c r="AJ344" s="95">
        <v>3</v>
      </c>
      <c r="AK344" s="91">
        <f>SUM(ППД5[[#This Row],[Площадь по ТП жилая]:[ТП Лоджия 3]])-ППД5[[#This Row],[ТП Летние]]+ППД5[[#This Row],[кроме того прочая
(без коэффициента)]]</f>
        <v>25.9</v>
      </c>
      <c r="AL344" s="95">
        <f>ППД5[[#This Row],[ТП Площадь без летних]]+(ППД5[[#This Row],[ТП Летние]])</f>
        <v>24.4</v>
      </c>
      <c r="AM344" s="91">
        <f>ППД5[[#This Row],[ТП общая S]]-ППД5[[#This Row],[кроме того прочая
(без коэффициента)]]</f>
        <v>22.9</v>
      </c>
      <c r="AN344" s="95">
        <f>SUM(ППД5[[#This Row],[ТП Кухня]:[ТП Коридор]])</f>
        <v>15.7</v>
      </c>
      <c r="AO344" s="91">
        <f>ППД5[[#This Row],[Расчетная ТП площадь]]-ППД5[[#This Row],[Расчетная проектная площадь]]</f>
        <v>-0.13000000000000256</v>
      </c>
      <c r="AP344" s="335">
        <f>ППД5[[#This Row],[Расчетная ТП площадь]]/ППД5[[#This Row],[Расчетная проектная площадь]]-1</f>
        <v>-5.2996331023238419E-3</v>
      </c>
      <c r="AQ344" s="91">
        <f>ППД5[[#This Row],[% расхождения]]*ППД5[[#This Row],[Стоимость до скидки]]</f>
        <v>-20100.9783938041</v>
      </c>
      <c r="AR344" s="91">
        <f>VLOOKUP(ППД5[[#This Row],[№]],наценкад5[],COLUMN(наценкад5[[#This Row],[Цена м2 с учетом всех K]]),0)</f>
        <v>92857.59</v>
      </c>
      <c r="AS344" s="8">
        <f>ППД5[[#This Row],[м2 после К]]*5%</f>
        <v>4642.8795</v>
      </c>
      <c r="AT344" s="8">
        <f>ППД5[[#This Row],[м2 после К]]+ППД5[[#This Row],[Повышение 16.08.23 - 5%]]</f>
        <v>97500.469499999992</v>
      </c>
      <c r="AU344" s="93">
        <f>ППД5[[#This Row],[Фикс 16.08.23]]*3%</f>
        <v>2925.0140849999998</v>
      </c>
      <c r="AV344" s="93">
        <f>ППД5[[#This Row],[Фикс 16.08.23]]+ППД5[[#This Row],[Повышение 29.08.23 - 3%]]</f>
        <v>100425.48358499999</v>
      </c>
      <c r="AW344" s="93">
        <f>ППД5[[#This Row],[Фикс 29.08.23]]*13%</f>
        <v>13055.312866050001</v>
      </c>
      <c r="AX344" s="93">
        <f>ППД5[[#This Row],[Фикс 29.08.23]]+ППД5[[#This Row],[Повышение 06.09.23 СТ и 1К]]</f>
        <v>113480.79645105</v>
      </c>
      <c r="AY344" s="93">
        <f>ППД5[[#This Row],[Фикс 06.09.23]]*3%</f>
        <v>3404.4238935314997</v>
      </c>
      <c r="AZ344" s="93">
        <f>ППД5[[#This Row],[Повышение 23.10.23  В4 ]]+ППД5[[#This Row],[Фикс 06.09.23]]</f>
        <v>116885.2203445815</v>
      </c>
      <c r="BA344" s="93"/>
      <c r="BB344" s="93">
        <f>ППД5[[#This Row],[Повышение 8.11.23 1К 5%]]+ППД5[[#This Row],[Фикс 23.10.23]]</f>
        <v>116885.2203445815</v>
      </c>
      <c r="BC344" s="93"/>
      <c r="BD344" s="93">
        <f>ППД5[[#This Row],[Корректировка 24.11.23 - 1К В5, 2К А2, №233]]+ППД5[[#This Row],[Фикс 8.11.23]]</f>
        <v>116885.2203445815</v>
      </c>
      <c r="BE344" s="93">
        <f>ППД5[[#This Row],[Фикс 8.11.24]]*1%</f>
        <v>1168.8522034458149</v>
      </c>
      <c r="BF344" s="93">
        <f>ППД5[[#This Row],[Наценка за отделку 29.12.23 1%]]+ППД5[[#This Row],[Фикс 8.11.24]]</f>
        <v>118054.07254802731</v>
      </c>
      <c r="BG344" s="93">
        <f>ППД5[[#This Row],[Фикс 29.12.23]]*5%</f>
        <v>5902.7036274013662</v>
      </c>
      <c r="BH344" s="93">
        <f>ППД5[[#This Row],[Фикс 29.12.23]]+ППД5[[#This Row],[Наценка 10.01.24 5%]]</f>
        <v>123956.77617542868</v>
      </c>
      <c r="BI344" s="93"/>
      <c r="BJ344" s="93">
        <f>ППД5[[#This Row],[Наценка 26.02.24 1 Этаж]]+ППД5[[#This Row],[Фикс 10.01.24]]</f>
        <v>123956.77617542868</v>
      </c>
      <c r="BK344" s="93">
        <f>ППД5[[#This Row],[Фикс 26.02.24]]*3%</f>
        <v>3718.7032852628599</v>
      </c>
      <c r="BL344" s="93">
        <f>ППД5[[#This Row],[Фикс 26.02.24]]+ППД5[[#This Row],[Наценка 06.03.24
СТ, 1К - 3%
2К, 3К - 2%]]</f>
        <v>127675.47946069154</v>
      </c>
      <c r="BM344" s="93"/>
      <c r="BN344" s="93">
        <f>ППД5[[#This Row],[Фикс 06.03.24]]+ППД5[[#This Row],[Наценка Г2+500]]</f>
        <v>127675.47946069154</v>
      </c>
      <c r="BO344" s="93"/>
      <c r="BP344" s="93">
        <f>ППД5[[#This Row],[Фикс 13.03.25]]+ППД5[[#This Row],[Наценка 20.03.24
2К, 3К - 2%]]</f>
        <v>127675.47946069154</v>
      </c>
      <c r="BQ344" s="93"/>
      <c r="BR344" s="93">
        <f>ППД5[[#This Row],[Фикс 20.03.24]]+ППД5[[#This Row],[Наценка 08.04.24 
2К: В3 - 150
3К: Г7 +1000]]</f>
        <v>127675.47946069154</v>
      </c>
      <c r="BS344" s="93">
        <f>ППД5[[#This Row],[Фикс 08.04.24]]*1%</f>
        <v>1276.7547946069153</v>
      </c>
      <c r="BT344" s="93">
        <f>ППД5[[#This Row],[Фикс 08.04.24]]+ППД5[[#This Row],[Наценка 16.05.24 1%
А4,А6,Б3,Б6,Б7,В2,В3,В5,В6,Г1,Г3-Г5]]</f>
        <v>128952.23425529845</v>
      </c>
      <c r="BU344" s="93"/>
      <c r="BV344" s="93">
        <f>ППД5[[#This Row],[Фикс 16.05.24]]+ППД5[[#This Row],[Наценка 24.05.24
1% - Б4, Б5,Г2,Г6
2% - А1,А3,А5,Б2,Г7]]</f>
        <v>128952.23425529845</v>
      </c>
      <c r="BW344" s="93">
        <f>ППД5[[#This Row],[Фикс 24.05.24]]*0.5%</f>
        <v>644.76117127649229</v>
      </c>
      <c r="BX344" s="93">
        <f>ППД5[[#This Row],[Наценка 06.06.24
0К: В2,Г3 +0,5%
1К: А7, Б5/4, Г6 +0,5%
3К: В6 +0,5%
1К: А3 +1%]]+ППД5[[#This Row],[Фикс 24.05.24]]</f>
        <v>129596.99542657494</v>
      </c>
      <c r="BY344" s="93"/>
      <c r="BZ344" s="93">
        <f>ППД5[[#This Row],[Фикс 06.06.24]]+ППД5[[#This Row],[13.06.2024
3К - 2%]]</f>
        <v>129596.99542657494</v>
      </c>
      <c r="CA344" s="93">
        <f>1.5%*ППД5[[#This Row],[Фикс 13.06.24]]</f>
        <v>1943.954931398624</v>
      </c>
      <c r="CB344" s="93">
        <f>ППД5[[#This Row],[02.07.2024: Г3 А1 А3 Б5 Б7 Г2 Г6 Б3 Б4 В3 Г7 2,5% ост 0,5-1,5%]]+ППД5[[#This Row],[Фикс 13.06.24]]</f>
        <v>131540.95035797358</v>
      </c>
      <c r="CC344" s="93"/>
      <c r="CD344" s="93">
        <f>ППД5[[#This Row],[Фикс 02.07.24]]+ППД5[[#This Row],[04.09.2024 +500
0К - Б2; 1К - А3;
2К - А6, Б4, В3, Г5]]</f>
        <v>131540.95035797358</v>
      </c>
      <c r="CE344" s="93"/>
      <c r="CF344" s="93">
        <f>ППД5[[#This Row],[Наценка 16.09.2024
1К: А1,В7,Г6/7,Г8 - 2%
2К: А4,А5,А6,Б1,Б6,Б3/4,В3,В4,Г4,Г5 - 4%
3К: 4%]]+ППД5[[#This Row],[Фикс 04.09.24]]</f>
        <v>131540.95035797358</v>
      </c>
      <c r="CG344" s="93">
        <f>ППД5[[#This Row],[Фикс 16.09.2024]]*4%</f>
        <v>5261.6380143189435</v>
      </c>
      <c r="CH344" s="93">
        <f>ППД5[[#This Row],[Фикс 16.09.2024]]+ППД5[[#This Row],[Наценка 01.11.24
СТ: 4%
1К: 34-40м 5%; 40м+ 8%; МГН 1%
2К: 55-70м 6%; 70-73м 7%; 73-76м 8% 
3К: 5%]]</f>
        <v>136802.58837229252</v>
      </c>
      <c r="CI344" s="93">
        <f>ППД5[[#This Row],[Фикс 01.11.24]]*13%</f>
        <v>17784.336488398028</v>
      </c>
      <c r="CJ344" s="93">
        <f>ППД5[[#This Row],[Наценка 06.11 13%]]+ППД5[[#This Row],[Фикс 01.11.24]]</f>
        <v>154586.92486069055</v>
      </c>
      <c r="CK344" s="93">
        <v>35</v>
      </c>
      <c r="CL344" s="93">
        <f>ППД5[[#This Row],[Фикс 06.11.24]]+ППД5[[#This Row],[Наценка 18.12.24 распределение КВ]]</f>
        <v>154621.92486069055</v>
      </c>
      <c r="CM344" s="93"/>
      <c r="CN344" s="93">
        <f>ППД5[[#This Row],[Фикс 18.12.24]]+ППД5[[#This Row],[Наценка 10.02.25 +1%
1К: А3
2К: Б3, В3]]</f>
        <v>154621.92486069055</v>
      </c>
      <c r="CO344" s="93">
        <f>ROUND(ППД5[[#This Row],[Фикс 10.02.25]],2)</f>
        <v>154621.92000000001</v>
      </c>
      <c r="CP34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3792900</v>
      </c>
      <c r="CQ344" s="93">
        <f>ROUNDUP(ППД5[[#This Row],[Стоимость до скидки]]+ППД5[[#This Row],[Сумма доплаты]],-2)</f>
        <v>3772800</v>
      </c>
      <c r="CR344" s="68"/>
      <c r="CS344" s="90"/>
      <c r="CT344" s="68">
        <f>ППД5[[#This Row],[Стоимость до скидки]]*ППД5[[#This Row],[Скидка %]]+ППД5[[#This Row],[Скидка фиксированная]]</f>
        <v>0</v>
      </c>
      <c r="CU344" s="3">
        <f>ППД5[[#This Row],[Стоимость ОН без отделки со скидкой]]/ППД5[[#This Row],[Расчетная проектная площадь]]</f>
        <v>154622.91072156542</v>
      </c>
      <c r="CV344" s="3">
        <f>ROUND(ППД5[[#This Row],[Стоимость до скидки]]-ППД5[[#This Row],[Итоговая сумма скидки]],2)</f>
        <v>3792900</v>
      </c>
      <c r="CW34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44" s="197"/>
      <c r="CY344" s="332">
        <f>ППД5[[#This Row],[Расхождение]]/ППД5[[#This Row],[Расчетная проектная площадь]]</f>
        <v>-5.299633102323789E-3</v>
      </c>
      <c r="CZ34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-0.16000000000000014</v>
      </c>
      <c r="DA344" s="3">
        <f>ППД5[[#This Row],[Цена м2 без отделки со скидкой]]+ППД5[[#This Row],[Стоимость отделки]]</f>
        <v>154622.91072156542</v>
      </c>
      <c r="DB344" s="3">
        <f>ППД5[[#This Row],[Стоимость квартиры с отделкой]]-ППД5[[#This Row],[Стоимость ОН без отделки со скидкой]]</f>
        <v>0</v>
      </c>
      <c r="DC344" s="3">
        <f>ППД5[[#This Row],[Цена м2 с отделкой]]*ППД5[[#This Row],[Расчетная проектная площадь]]</f>
        <v>3792900</v>
      </c>
      <c r="DD344" s="3"/>
      <c r="DF344" s="155" t="s">
        <v>157</v>
      </c>
      <c r="DG344" s="221" t="s">
        <v>157</v>
      </c>
      <c r="DH344" s="100" t="b">
        <f>EXACT(ППД5[[#This Row],[Статусы CRM]],ППД5[[#This Row],[Статус]])</f>
        <v>1</v>
      </c>
      <c r="DI344" s="213" t="s">
        <v>516</v>
      </c>
      <c r="DJ344" s="204"/>
      <c r="DK344" s="111" t="s">
        <v>763</v>
      </c>
      <c r="DL344" s="216" t="s">
        <v>12</v>
      </c>
      <c r="DM344" s="201" t="b">
        <f>ППД5[[#This Row],[Отделка CRM]]=ППД5[[#This Row],[Отделка]]</f>
        <v>1</v>
      </c>
      <c r="DN344" s="203">
        <v>3792900</v>
      </c>
      <c r="DO34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44" s="207" t="b">
        <f>IF(AND(ППД5[[#This Row],[Статус]]="свободно",ППД5[[#This Row],[Итоговая сумма скидки]]&lt;&gt;0),FALSE,TRUE)</f>
        <v>1</v>
      </c>
      <c r="DQ344" s="240" t="str">
        <f>_xlfn.XLOOKUP(ППД5[[#This Row],[№]],Юрист[№ кв],Юрист[Дата подачи на регистрацию]," ",0,-1)</f>
        <v xml:space="preserve"> </v>
      </c>
      <c r="DR344" s="115" t="str">
        <f>_xlfn.XLOOKUP(ППД5[[#This Row],[№]],Юрист[№ кв],Юрист[МОП],"",0,-1)</f>
        <v/>
      </c>
      <c r="DS344" s="333" t="s">
        <v>2980</v>
      </c>
      <c r="DT344" s="333" t="s">
        <v>2981</v>
      </c>
      <c r="DU344" s="333">
        <v>22.9</v>
      </c>
      <c r="DV344" s="111"/>
    </row>
    <row r="345" spans="1:126" hidden="1" x14ac:dyDescent="0.25">
      <c r="A345" s="112">
        <v>343</v>
      </c>
      <c r="B345" s="111" t="s">
        <v>3</v>
      </c>
      <c r="C345" s="111">
        <v>18</v>
      </c>
      <c r="D345" s="111">
        <v>3</v>
      </c>
      <c r="E345" s="111">
        <v>2</v>
      </c>
      <c r="F345" s="105">
        <v>13.69</v>
      </c>
      <c r="G345" s="105">
        <v>10.16</v>
      </c>
      <c r="H345" s="105"/>
      <c r="I345" s="94">
        <f>SUM(ППД5[[#This Row],[Комната 1]:[Комната 3]])</f>
        <v>23.85</v>
      </c>
      <c r="J345" s="105">
        <v>18.71</v>
      </c>
      <c r="K345" s="105">
        <v>3.49</v>
      </c>
      <c r="L345" s="105">
        <v>2.11</v>
      </c>
      <c r="M345" s="105"/>
      <c r="N345" s="105">
        <v>7.09</v>
      </c>
      <c r="O345" s="105">
        <v>2.65</v>
      </c>
      <c r="P345" s="105"/>
      <c r="Q345" s="105"/>
      <c r="R345" s="105">
        <f>SUM(ППД5[[#This Row],[Лоджия 1]:[Лоджия 3]])</f>
        <v>2.65</v>
      </c>
      <c r="S345" s="8">
        <f>ROUND(SUM(ППД5[[#This Row],[Площадь по проекту жилая]:[Лоджия 3]]),2)</f>
        <v>57.9</v>
      </c>
      <c r="T345" s="8">
        <f>ROUND(ППД5[[#This Row],[Площадь по проекту(общая)]]-ППД5[[#This Row],[Летние]],2)</f>
        <v>55.25</v>
      </c>
      <c r="U345" s="91">
        <f>ROUND(ППД5[[#This Row],[Площадь по проекту(общая)]]-(SUM(ППД5[[#This Row],[Лоджия 1]:[Лоджия 3]])/2),2)</f>
        <v>56.58</v>
      </c>
      <c r="V345" s="91">
        <f>IF(ППД5[[#This Row],[Статус]]="продажа",ППД5[[#This Row],[Расчетная проектная площадь]],ППД5[[#This Row],[Расчетная ТП площадь]])</f>
        <v>56.58</v>
      </c>
      <c r="W345" s="91">
        <v>13.6</v>
      </c>
      <c r="X345" s="91">
        <v>10</v>
      </c>
      <c r="Y345" s="91"/>
      <c r="Z345" s="91">
        <f>SUM(ППД5[[#This Row],[ТП Комната 1]:[ТП Комната 3]])</f>
        <v>23.6</v>
      </c>
      <c r="AA345" s="91">
        <v>18.7</v>
      </c>
      <c r="AB345" s="91">
        <v>3.6</v>
      </c>
      <c r="AC345" s="91">
        <v>2.1</v>
      </c>
      <c r="AD345" s="91"/>
      <c r="AE345" s="91">
        <v>7.1</v>
      </c>
      <c r="AF345" s="91">
        <v>1.35</v>
      </c>
      <c r="AG345" s="91"/>
      <c r="AH345" s="91"/>
      <c r="AI345" s="91">
        <f>SUM(ППД5[[#This Row],[ТП Лоджия 1]:[ТП Лоджия 3]])</f>
        <v>1.35</v>
      </c>
      <c r="AJ345" s="95">
        <v>2.7</v>
      </c>
      <c r="AK345" s="91">
        <f>SUM(ППД5[[#This Row],[Площадь по ТП жилая]:[ТП Лоджия 3]])-ППД5[[#This Row],[ТП Летние]]+ППД5[[#This Row],[кроме того прочая
(без коэффициента)]]</f>
        <v>57.800000000000004</v>
      </c>
      <c r="AL345" s="95">
        <f>ППД5[[#This Row],[ТП Площадь без летних]]+(ППД5[[#This Row],[ТП Летние]])</f>
        <v>56.45</v>
      </c>
      <c r="AM345" s="91">
        <f>ППД5[[#This Row],[ТП общая S]]-ППД5[[#This Row],[кроме того прочая
(без коэффициента)]]</f>
        <v>55.1</v>
      </c>
      <c r="AN345" s="95">
        <f>SUM(ППД5[[#This Row],[ТП Кухня]:[ТП Коридор]])</f>
        <v>31.5</v>
      </c>
      <c r="AO345" s="91">
        <f>ППД5[[#This Row],[Расчетная ТП площадь]]-ППД5[[#This Row],[Расчетная проектная площадь]]</f>
        <v>-0.12999999999999545</v>
      </c>
      <c r="AP345" s="335">
        <f>ППД5[[#This Row],[Расчетная ТП площадь]]/ППД5[[#This Row],[Расчетная проектная площадь]]-1</f>
        <v>-2.2976316719688361E-3</v>
      </c>
      <c r="AQ345" s="91">
        <f>ППД5[[#This Row],[% расхождения]]*ППД5[[#This Row],[Стоимость до скидки]]</f>
        <v>-16331.106398020092</v>
      </c>
      <c r="AR345" s="91">
        <f>VLOOKUP(ППД5[[#This Row],[№]],наценкад5[],COLUMN(наценкад5[[#This Row],[Цена м2 с учетом всех K]]),0)</f>
        <v>81080.055000000008</v>
      </c>
      <c r="AS345" s="8">
        <f>ППД5[[#This Row],[м2 после К]]*5%</f>
        <v>4054.0027500000006</v>
      </c>
      <c r="AT345" s="8">
        <f>ППД5[[#This Row],[м2 после К]]+ППД5[[#This Row],[Повышение 16.08.23 - 5%]]</f>
        <v>85134.057750000007</v>
      </c>
      <c r="AU345" s="93">
        <f>ППД5[[#This Row],[Фикс 16.08.23]]*3%</f>
        <v>2554.0217325000003</v>
      </c>
      <c r="AV345" s="93">
        <f>ППД5[[#This Row],[Фикс 16.08.23]]+ППД5[[#This Row],[Повышение 29.08.23 - 3%]]</f>
        <v>87688.079482500005</v>
      </c>
      <c r="AW345" s="93"/>
      <c r="AX345" s="93">
        <f>ППД5[[#This Row],[Фикс 29.08.23]]+ППД5[[#This Row],[Повышение 06.09.23 СТ и 1К]]</f>
        <v>87688.079482500005</v>
      </c>
      <c r="AY345" s="93"/>
      <c r="AZ345" s="93">
        <f>ППД5[[#This Row],[Повышение 23.10.23  В4 ]]+ППД5[[#This Row],[Фикс 06.09.23]]</f>
        <v>87688.079482500005</v>
      </c>
      <c r="BA345" s="93"/>
      <c r="BB345" s="93">
        <f>ППД5[[#This Row],[Повышение 8.11.23 1К 5%]]+ППД5[[#This Row],[Фикс 23.10.23]]</f>
        <v>87688.079482500005</v>
      </c>
      <c r="BC345" s="93"/>
      <c r="BD345" s="93">
        <f>ППД5[[#This Row],[Корректировка 24.11.23 - 1К В5, 2К А2, №233]]+ППД5[[#This Row],[Фикс 8.11.23]]</f>
        <v>87688.079482500005</v>
      </c>
      <c r="BE345" s="93">
        <f>ППД5[[#This Row],[Фикс 8.11.24]]*1%</f>
        <v>876.88079482500007</v>
      </c>
      <c r="BF345" s="93">
        <f>ППД5[[#This Row],[Наценка за отделку 29.12.23 1%]]+ППД5[[#This Row],[Фикс 8.11.24]]</f>
        <v>88564.960277325008</v>
      </c>
      <c r="BG345" s="93">
        <f>ППД5[[#This Row],[Фикс 29.12.23]]*5%</f>
        <v>4428.2480138662504</v>
      </c>
      <c r="BH345" s="93">
        <f>ППД5[[#This Row],[Фикс 29.12.23]]+ППД5[[#This Row],[Наценка 10.01.24 5%]]</f>
        <v>92993.208291191258</v>
      </c>
      <c r="BI345" s="93"/>
      <c r="BJ345" s="93">
        <f>ППД5[[#This Row],[Наценка 26.02.24 1 Этаж]]+ППД5[[#This Row],[Фикс 10.01.24]]</f>
        <v>92993.208291191258</v>
      </c>
      <c r="BK345" s="93">
        <f>ППД5[[#This Row],[Фикс 26.02.24]]*2%</f>
        <v>1859.8641658238253</v>
      </c>
      <c r="BL345" s="93">
        <f>ППД5[[#This Row],[Фикс 26.02.24]]+ППД5[[#This Row],[Наценка 06.03.24
СТ, 1К - 3%
2К, 3К - 2%]]</f>
        <v>94853.072457015078</v>
      </c>
      <c r="BM345" s="93"/>
      <c r="BN345" s="93">
        <f>ППД5[[#This Row],[Фикс 06.03.24]]+ППД5[[#This Row],[Наценка Г2+500]]</f>
        <v>94853.072457015078</v>
      </c>
      <c r="BO345" s="93">
        <f>ППД5[[#This Row],[Фикс 13.03.25]]*2%</f>
        <v>1897.0614491403016</v>
      </c>
      <c r="BP345" s="93">
        <f>ППД5[[#This Row],[Фикс 13.03.25]]+ППД5[[#This Row],[Наценка 20.03.24
2К, 3К - 2%]]</f>
        <v>96750.133906155374</v>
      </c>
      <c r="BQ345" s="93">
        <v>150</v>
      </c>
      <c r="BR345" s="93">
        <f>ППД5[[#This Row],[Фикс 20.03.24]]+ППД5[[#This Row],[Наценка 08.04.24 
2К: В3 - 150
3К: Г7 +1000]]</f>
        <v>96900.133906155374</v>
      </c>
      <c r="BS345" s="93">
        <f>ППД5[[#This Row],[Фикс 08.04.24]]*1%</f>
        <v>969.00133906155372</v>
      </c>
      <c r="BT345" s="93">
        <f>ППД5[[#This Row],[Фикс 08.04.24]]+ППД5[[#This Row],[Наценка 16.05.24 1%
А4,А6,Б3,Б6,Б7,В2,В3,В5,В6,Г1,Г3-Г5]]</f>
        <v>97869.135245216923</v>
      </c>
      <c r="BU345" s="93"/>
      <c r="BV345" s="93">
        <f>ППД5[[#This Row],[Фикс 16.05.24]]+ППД5[[#This Row],[Наценка 24.05.24
1% - Б4, Б5,Г2,Г6
2% - А1,А3,А5,Б2,Г7]]</f>
        <v>97869.135245216923</v>
      </c>
      <c r="BW345" s="93"/>
      <c r="BX345" s="93">
        <f>ППД5[[#This Row],[Наценка 06.06.24
0К: В2,Г3 +0,5%
1К: А7, Б5/4, Г6 +0,5%
3К: В6 +0,5%
1К: А3 +1%]]+ППД5[[#This Row],[Фикс 24.05.24]]</f>
        <v>97869.135245216923</v>
      </c>
      <c r="BY345" s="93"/>
      <c r="BZ345" s="93">
        <f>ППД5[[#This Row],[Фикс 06.06.24]]+ППД5[[#This Row],[13.06.2024
3К - 2%]]</f>
        <v>97869.135245216923</v>
      </c>
      <c r="CA345" s="93">
        <f>2.5%*ППД5[[#This Row],[Фикс 13.06.24]]</f>
        <v>2446.7283811304233</v>
      </c>
      <c r="CB345" s="93">
        <f>ППД5[[#This Row],[02.07.2024: Г3 А1 А3 Б5 Б7 Г2 Г6 Б3 Б4 В3 Г7 2,5% ост 0,5-1,5%]]+ППД5[[#This Row],[Фикс 13.06.24]]</f>
        <v>100315.86362634735</v>
      </c>
      <c r="CC345" s="93">
        <v>500</v>
      </c>
      <c r="CD345" s="93">
        <f>ППД5[[#This Row],[Фикс 02.07.24]]+ППД5[[#This Row],[04.09.2024 +500
0К - Б2; 1К - А3;
2К - А6, Б4, В3, Г5]]</f>
        <v>100815.86362634735</v>
      </c>
      <c r="CE345" s="93">
        <f>ППД5[[#This Row],[Фикс 04.09.24]]*4%</f>
        <v>4032.6345450538938</v>
      </c>
      <c r="CF345" s="93">
        <f>ППД5[[#This Row],[Наценка 16.09.2024
1К: А1,В7,Г6/7,Г8 - 2%
2К: А4,А5,А6,Б1,Б6,Б3/4,В3,В4,Г4,Г5 - 4%
3К: 4%]]+ППД5[[#This Row],[Фикс 04.09.24]]</f>
        <v>104848.49817140124</v>
      </c>
      <c r="CG345" s="93">
        <f>ППД5[[#This Row],[Фикс 16.09.2024]]*6%</f>
        <v>6290.9098902840742</v>
      </c>
      <c r="CH345" s="93">
        <f>ППД5[[#This Row],[Фикс 16.09.2024]]+ППД5[[#This Row],[Наценка 01.11.24
СТ: 4%
1К: 34-40м 5%; 40м+ 8%; МГН 1%
2К: 55-70м 6%; 70-73м 7%; 73-76м 8% 
3К: 5%]]</f>
        <v>111139.40806168532</v>
      </c>
      <c r="CI345" s="93">
        <f>ППД5[[#This Row],[Фикс 01.11.24]]*13%</f>
        <v>14448.123048019092</v>
      </c>
      <c r="CJ345" s="93">
        <f>ППД5[[#This Row],[Наценка 06.11 13%]]+ППД5[[#This Row],[Фикс 01.11.24]]</f>
        <v>125587.5311097044</v>
      </c>
      <c r="CK345" s="93">
        <v>35</v>
      </c>
      <c r="CL345" s="93">
        <f>ППД5[[#This Row],[Фикс 06.11.24]]+ППД5[[#This Row],[Наценка 18.12.24 распределение КВ]]</f>
        <v>125622.5311097044</v>
      </c>
      <c r="CM345" s="93"/>
      <c r="CN345" s="93">
        <f>ППД5[[#This Row],[Фикс 18.12.24]]+ППД5[[#This Row],[Наценка 10.02.25 +1%
1К: А3
2К: Б3, В3]]</f>
        <v>125622.5311097044</v>
      </c>
      <c r="CO345" s="93">
        <f>ROUND(ППД5[[#This Row],[Фикс 10.02.25]],2)</f>
        <v>125622.53</v>
      </c>
      <c r="CP34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7107800</v>
      </c>
      <c r="CQ345" s="93">
        <f>ROUNDUP(ППД5[[#This Row],[Стоимость до скидки]]+ППД5[[#This Row],[Сумма доплаты]],-2)</f>
        <v>7091500</v>
      </c>
      <c r="CR345" s="68"/>
      <c r="CS345" s="90">
        <v>0.02</v>
      </c>
      <c r="CT345" s="68">
        <f>ППД5[[#This Row],[Стоимость до скидки]]*ППД5[[#This Row],[Скидка %]]+ППД5[[#This Row],[Скидка фиксированная]]</f>
        <v>142156</v>
      </c>
      <c r="CU345" s="3">
        <f>ППД5[[#This Row],[Стоимость ОН без отделки со скидкой]]/ППД5[[#This Row],[Расчетная проектная площадь]]</f>
        <v>123111.41746200071</v>
      </c>
      <c r="CV345" s="3">
        <f>ROUND(ППД5[[#This Row],[Стоимость до скидки]]-ППД5[[#This Row],[Итоговая сумма скидки]],2)</f>
        <v>6965644</v>
      </c>
      <c r="CW34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345" s="218">
        <v>10000</v>
      </c>
      <c r="CY345" s="332">
        <f>ППД5[[#This Row],[Расхождение]]/ППД5[[#This Row],[Расчетная проектная площадь]]</f>
        <v>-2.2976316719688131E-3</v>
      </c>
      <c r="CZ345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0.10000000000000142</v>
      </c>
      <c r="DA345" s="3">
        <f>ППД5[[#This Row],[Цена м2 без отделки со скидкой]]+ППД5[[#This Row],[Стоимость отделки]]</f>
        <v>133111.41746200071</v>
      </c>
      <c r="DB345" s="3">
        <f>ППД5[[#This Row],[Стоимость квартиры с отделкой]]-ППД5[[#This Row],[Стоимость ОН без отделки со скидкой]]</f>
        <v>565800</v>
      </c>
      <c r="DC345" s="3">
        <f>ППД5[[#This Row],[Цена м2 с отделкой]]*ППД5[[#This Row],[Расчетная проектная площадь]]</f>
        <v>7531444</v>
      </c>
      <c r="DD345" s="3" t="s">
        <v>154</v>
      </c>
      <c r="DE345" s="111" t="s">
        <v>767</v>
      </c>
      <c r="DF345" s="215" t="s">
        <v>172</v>
      </c>
      <c r="DG345" s="245" t="s">
        <v>172</v>
      </c>
      <c r="DH345" s="100" t="b">
        <f>EXACT(ППД5[[#This Row],[Статусы CRM]],ППД5[[#This Row],[Статус]])</f>
        <v>1</v>
      </c>
      <c r="DI345" s="213" t="s">
        <v>517</v>
      </c>
      <c r="DJ345" s="204"/>
      <c r="DK345" s="111" t="s">
        <v>763</v>
      </c>
      <c r="DL345" s="216" t="s">
        <v>780</v>
      </c>
      <c r="DM345" s="201" t="b">
        <f>ППД5[[#This Row],[Отделка CRM]]=ППД5[[#This Row],[Отделка]]</f>
        <v>1</v>
      </c>
      <c r="DN345" s="203">
        <v>7531444</v>
      </c>
      <c r="DO34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45" s="207" t="b">
        <f>IF(AND(ППД5[[#This Row],[Статус]]="свободно",ППД5[[#This Row],[Итоговая сумма скидки]]&lt;&gt;0),FALSE,TRUE)</f>
        <v>1</v>
      </c>
      <c r="DQ345" s="240">
        <f>_xlfn.XLOOKUP(ППД5[[#This Row],[№]],Юрист[№ кв],Юрист[Дата подачи на регистрацию]," ",0,-1)</f>
        <v>45705</v>
      </c>
      <c r="DR345" s="115" t="str">
        <f>_xlfn.XLOOKUP(ППД5[[#This Row],[№]],Юрист[№ кв],Юрист[МОП],"",0,-1)</f>
        <v>Нуждина</v>
      </c>
      <c r="DS345" s="333" t="s">
        <v>2982</v>
      </c>
      <c r="DT345" s="333" t="s">
        <v>2983</v>
      </c>
      <c r="DU345" s="333">
        <v>55.1</v>
      </c>
      <c r="DV345" s="111"/>
    </row>
    <row r="346" spans="1:126" hidden="1" x14ac:dyDescent="0.25">
      <c r="A346" s="112">
        <v>344</v>
      </c>
      <c r="B346" s="111" t="s">
        <v>3</v>
      </c>
      <c r="C346" s="111">
        <v>18</v>
      </c>
      <c r="D346" s="111">
        <v>4</v>
      </c>
      <c r="E346" s="111">
        <v>2</v>
      </c>
      <c r="F346" s="105">
        <v>15.45</v>
      </c>
      <c r="G346" s="105">
        <v>10.34</v>
      </c>
      <c r="H346" s="105"/>
      <c r="I346" s="94">
        <f>SUM(ППД5[[#This Row],[Комната 1]:[Комната 3]])</f>
        <v>25.79</v>
      </c>
      <c r="J346" s="105">
        <v>15.44</v>
      </c>
      <c r="K346" s="105">
        <v>4.59</v>
      </c>
      <c r="L346" s="105">
        <v>2.21</v>
      </c>
      <c r="M346" s="105"/>
      <c r="N346" s="105">
        <v>10.79</v>
      </c>
      <c r="O346" s="105">
        <v>2.84</v>
      </c>
      <c r="P346" s="105"/>
      <c r="Q346" s="105"/>
      <c r="R346" s="105">
        <f>SUM(ППД5[[#This Row],[Лоджия 1]:[Лоджия 3]])</f>
        <v>2.84</v>
      </c>
      <c r="S346" s="8">
        <f>ROUND(SUM(ППД5[[#This Row],[Площадь по проекту жилая]:[Лоджия 3]]),2)</f>
        <v>61.66</v>
      </c>
      <c r="T346" s="8">
        <f>ROUND(ППД5[[#This Row],[Площадь по проекту(общая)]]-ППД5[[#This Row],[Летние]],2)</f>
        <v>58.82</v>
      </c>
      <c r="U346" s="91">
        <f>ROUND(ППД5[[#This Row],[Площадь по проекту(общая)]]-(SUM(ППД5[[#This Row],[Лоджия 1]:[Лоджия 3]])/2),2)</f>
        <v>60.24</v>
      </c>
      <c r="V346" s="91">
        <f>IF(ППД5[[#This Row],[Статус]]="продажа",ППД5[[#This Row],[Расчетная проектная площадь]],ППД5[[#This Row],[Расчетная ТП площадь]])</f>
        <v>60.150000000000006</v>
      </c>
      <c r="W346" s="91">
        <v>15.4</v>
      </c>
      <c r="X346" s="91">
        <v>10.4</v>
      </c>
      <c r="Y346" s="91"/>
      <c r="Z346" s="91">
        <f>SUM(ППД5[[#This Row],[ТП Комната 1]:[ТП Комната 3]])</f>
        <v>25.8</v>
      </c>
      <c r="AA346" s="91">
        <v>15.3</v>
      </c>
      <c r="AB346" s="91">
        <v>4.5999999999999996</v>
      </c>
      <c r="AC346" s="91">
        <v>2.2000000000000002</v>
      </c>
      <c r="AD346" s="91"/>
      <c r="AE346" s="91">
        <v>10.8</v>
      </c>
      <c r="AF346" s="91">
        <v>1.45</v>
      </c>
      <c r="AG346" s="91"/>
      <c r="AH346" s="91"/>
      <c r="AI346" s="91">
        <f>SUM(ППД5[[#This Row],[ТП Лоджия 1]:[ТП Лоджия 3]])</f>
        <v>1.45</v>
      </c>
      <c r="AJ346" s="95">
        <v>2.9</v>
      </c>
      <c r="AK346" s="91">
        <f>SUM(ППД5[[#This Row],[Площадь по ТП жилая]:[ТП Лоджия 3]])-ППД5[[#This Row],[ТП Летние]]+ППД5[[#This Row],[кроме того прочая
(без коэффициента)]]</f>
        <v>61.6</v>
      </c>
      <c r="AL346" s="95">
        <f>ППД5[[#This Row],[ТП Площадь без летних]]+(ППД5[[#This Row],[ТП Летние]])</f>
        <v>60.150000000000006</v>
      </c>
      <c r="AM346" s="91">
        <f>ППД5[[#This Row],[ТП общая S]]-ППД5[[#This Row],[кроме того прочая
(без коэффициента)]]</f>
        <v>58.7</v>
      </c>
      <c r="AN346" s="95">
        <f>SUM(ППД5[[#This Row],[ТП Кухня]:[ТП Коридор]])</f>
        <v>32.9</v>
      </c>
      <c r="AO346" s="91">
        <f>ППД5[[#This Row],[Расчетная ТП площадь]]-ППД5[[#This Row],[Расчетная проектная площадь]]</f>
        <v>-8.9999999999996305E-2</v>
      </c>
      <c r="AP346" s="335">
        <f>ППД5[[#This Row],[Расчетная ТП площадь]]/ППД5[[#This Row],[Расчетная проектная площадь]]-1</f>
        <v>-1.4940239043823578E-3</v>
      </c>
      <c r="AQ346" s="91">
        <f>ППД5[[#This Row],[% расхождения]]*ППД5[[#This Row],[Стоимость до скидки]]</f>
        <v>-11164.093625497169</v>
      </c>
      <c r="AR346" s="91">
        <f>VLOOKUP(ППД5[[#This Row],[№]],наценкад5[],COLUMN(наценкад5[[#This Row],[Цена м2 с учетом всех K]]),0)</f>
        <v>83010.532500000001</v>
      </c>
      <c r="AS346" s="8">
        <f>ППД5[[#This Row],[м2 после К]]*5%</f>
        <v>4150.5266250000004</v>
      </c>
      <c r="AT346" s="8">
        <f>ППД5[[#This Row],[м2 после К]]+ППД5[[#This Row],[Повышение 16.08.23 - 5%]]</f>
        <v>87161.059125</v>
      </c>
      <c r="AU346" s="93">
        <f>ППД5[[#This Row],[Фикс 16.08.23]]*3%</f>
        <v>2614.8317737499997</v>
      </c>
      <c r="AV346" s="93">
        <f>ППД5[[#This Row],[Фикс 16.08.23]]+ППД5[[#This Row],[Повышение 29.08.23 - 3%]]</f>
        <v>89775.890898750004</v>
      </c>
      <c r="AW346" s="93"/>
      <c r="AX346" s="93">
        <f>ППД5[[#This Row],[Фикс 29.08.23]]+ППД5[[#This Row],[Повышение 06.09.23 СТ и 1К]]</f>
        <v>89775.890898750004</v>
      </c>
      <c r="AY346" s="93"/>
      <c r="AZ346" s="93">
        <f>ППД5[[#This Row],[Повышение 23.10.23  В4 ]]+ППД5[[#This Row],[Фикс 06.09.23]]</f>
        <v>89775.890898750004</v>
      </c>
      <c r="BA346" s="93"/>
      <c r="BB346" s="93">
        <f>ППД5[[#This Row],[Повышение 8.11.23 1К 5%]]+ППД5[[#This Row],[Фикс 23.10.23]]</f>
        <v>89775.890898750004</v>
      </c>
      <c r="BC346" s="93"/>
      <c r="BD346" s="93">
        <f>ППД5[[#This Row],[Корректировка 24.11.23 - 1К В5, 2К А2, №233]]+ППД5[[#This Row],[Фикс 8.11.23]]</f>
        <v>89775.890898750004</v>
      </c>
      <c r="BE346" s="93">
        <f>ППД5[[#This Row],[Фикс 8.11.24]]*1%</f>
        <v>897.75890898750004</v>
      </c>
      <c r="BF346" s="93">
        <f>ППД5[[#This Row],[Наценка за отделку 29.12.23 1%]]+ППД5[[#This Row],[Фикс 8.11.24]]</f>
        <v>90673.6498077375</v>
      </c>
      <c r="BG346" s="93">
        <f>ППД5[[#This Row],[Фикс 29.12.23]]*5%</f>
        <v>4533.6824903868755</v>
      </c>
      <c r="BH346" s="93">
        <f>ППД5[[#This Row],[Фикс 29.12.23]]+ППД5[[#This Row],[Наценка 10.01.24 5%]]</f>
        <v>95207.332298124369</v>
      </c>
      <c r="BI346" s="93"/>
      <c r="BJ346" s="93">
        <f>ППД5[[#This Row],[Наценка 26.02.24 1 Этаж]]+ППД5[[#This Row],[Фикс 10.01.24]]</f>
        <v>95207.332298124369</v>
      </c>
      <c r="BK346" s="93">
        <f>ППД5[[#This Row],[Фикс 26.02.24]]*2%</f>
        <v>1904.1466459624874</v>
      </c>
      <c r="BL346" s="93">
        <f>ППД5[[#This Row],[Фикс 26.02.24]]+ППД5[[#This Row],[Наценка 06.03.24
СТ, 1К - 3%
2К, 3К - 2%]]</f>
        <v>97111.478944086863</v>
      </c>
      <c r="BM346" s="93"/>
      <c r="BN346" s="93">
        <f>ППД5[[#This Row],[Фикс 06.03.24]]+ППД5[[#This Row],[Наценка Г2+500]]</f>
        <v>97111.478944086863</v>
      </c>
      <c r="BO346" s="93">
        <f>ППД5[[#This Row],[Фикс 13.03.25]]*2%</f>
        <v>1942.2295788817373</v>
      </c>
      <c r="BP346" s="93">
        <f>ППД5[[#This Row],[Фикс 13.03.25]]+ППД5[[#This Row],[Наценка 20.03.24
2К, 3К - 2%]]</f>
        <v>99053.708522968605</v>
      </c>
      <c r="BQ346" s="93"/>
      <c r="BR346" s="93">
        <f>ППД5[[#This Row],[Фикс 20.03.24]]+ППД5[[#This Row],[Наценка 08.04.24 
2К: В3 - 150
3К: Г7 +1000]]</f>
        <v>99053.708522968605</v>
      </c>
      <c r="BS346" s="93"/>
      <c r="BT346" s="93">
        <f>ППД5[[#This Row],[Фикс 08.04.24]]+ППД5[[#This Row],[Наценка 16.05.24 1%
А4,А6,Б3,Б6,Б7,В2,В3,В5,В6,Г1,Г3-Г5]]</f>
        <v>99053.708522968605</v>
      </c>
      <c r="BU346" s="93"/>
      <c r="BV346" s="93">
        <f>ППД5[[#This Row],[Фикс 16.05.24]]+ППД5[[#This Row],[Наценка 24.05.24
1% - Б4, Б5,Г2,Г6
2% - А1,А3,А5,Б2,Г7]]</f>
        <v>99053.708522968605</v>
      </c>
      <c r="BW346" s="93"/>
      <c r="BX346" s="93">
        <f>ППД5[[#This Row],[Наценка 06.06.24
0К: В2,Г3 +0,5%
1К: А7, Б5/4, Г6 +0,5%
3К: В6 +0,5%
1К: А3 +1%]]+ППД5[[#This Row],[Фикс 24.05.24]]</f>
        <v>99053.708522968605</v>
      </c>
      <c r="BY346" s="93"/>
      <c r="BZ346" s="93">
        <f>ППД5[[#This Row],[Фикс 06.06.24]]+ППД5[[#This Row],[13.06.2024
3К - 2%]]</f>
        <v>99053.708522968605</v>
      </c>
      <c r="CA346" s="93">
        <f>0.5%*ППД5[[#This Row],[Фикс 13.06.24]]</f>
        <v>495.26854261484306</v>
      </c>
      <c r="CB346" s="93">
        <f>ППД5[[#This Row],[02.07.2024: Г3 А1 А3 Б5 Б7 Г2 Г6 Б3 Б4 В3 Г7 2,5% ост 0,5-1,5%]]+ППД5[[#This Row],[Фикс 13.06.24]]</f>
        <v>99548.977065583444</v>
      </c>
      <c r="CC346" s="93"/>
      <c r="CD346" s="93">
        <f>ППД5[[#This Row],[Фикс 02.07.24]]+ППД5[[#This Row],[04.09.2024 +500
0К - Б2; 1К - А3;
2К - А6, Б4, В3, Г5]]</f>
        <v>99548.977065583444</v>
      </c>
      <c r="CE346" s="93">
        <f>ППД5[[#This Row],[Фикс 04.09.24]]*4%</f>
        <v>3981.959082623338</v>
      </c>
      <c r="CF346" s="93">
        <f>ППД5[[#This Row],[Наценка 16.09.2024
1К: А1,В7,Г6/7,Г8 - 2%
2К: А4,А5,А6,Б1,Б6,Б3/4,В3,В4,Г4,Г5 - 4%
3К: 4%]]+ППД5[[#This Row],[Фикс 04.09.24]]</f>
        <v>103530.93614820678</v>
      </c>
      <c r="CG346" s="93">
        <f>ППД5[[#This Row],[Фикс 16.09.2024]]*6%</f>
        <v>6211.8561688924065</v>
      </c>
      <c r="CH346" s="93">
        <f>ППД5[[#This Row],[Фикс 16.09.2024]]+ППД5[[#This Row],[Наценка 01.11.24
СТ: 4%
1К: 34-40м 5%; 40м+ 8%; МГН 1%
2К: 55-70м 6%; 70-73м 7%; 73-76м 8% 
3К: 5%]]</f>
        <v>109742.79231709919</v>
      </c>
      <c r="CI346" s="93">
        <f>ППД5[[#This Row],[Фикс 01.11.24]]*13%</f>
        <v>14266.563001222894</v>
      </c>
      <c r="CJ346" s="93">
        <f>ППД5[[#This Row],[Наценка 06.11 13%]]+ППД5[[#This Row],[Фикс 01.11.24]]</f>
        <v>124009.35531832208</v>
      </c>
      <c r="CK346" s="93">
        <v>35</v>
      </c>
      <c r="CL346" s="93">
        <f>ППД5[[#This Row],[Фикс 06.11.24]]+ППД5[[#This Row],[Наценка 18.12.24 распределение КВ]]</f>
        <v>124044.35531832208</v>
      </c>
      <c r="CM346" s="93"/>
      <c r="CN346" s="93">
        <f>ППД5[[#This Row],[Фикс 18.12.24]]+ППД5[[#This Row],[Наценка 10.02.25 +1%
1К: А3
2К: Б3, В3]]</f>
        <v>124044.35531832208</v>
      </c>
      <c r="CO346" s="93">
        <f>ROUND(ППД5[[#This Row],[Фикс 10.02.25]],2)</f>
        <v>124044.36</v>
      </c>
      <c r="CP34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7472500</v>
      </c>
      <c r="CQ346" s="93">
        <f>ROUNDUP(ППД5[[#This Row],[Стоимость до скидки]]+ППД5[[#This Row],[Сумма доплаты]],-2)</f>
        <v>7461400</v>
      </c>
      <c r="CR346" s="68"/>
      <c r="CS346" s="90"/>
      <c r="CT346" s="68">
        <f>ППД5[[#This Row],[Стоимость до скидки]]*ППД5[[#This Row],[Скидка %]]+ППД5[[#This Row],[Скидка фиксированная]]</f>
        <v>0</v>
      </c>
      <c r="CU346" s="3">
        <f>ППД5[[#This Row],[Стоимость ОН без отделки со скидкой]]/ППД5[[#This Row],[Расчетная проектная площадь]]</f>
        <v>124045.48472775564</v>
      </c>
      <c r="CV346" s="3">
        <f>ROUND(ППД5[[#This Row],[Стоимость до скидки]]-ППД5[[#This Row],[Итоговая сумма скидки]],2)</f>
        <v>7472500</v>
      </c>
      <c r="CW34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346" s="218">
        <v>10000</v>
      </c>
      <c r="CY346" s="332">
        <f>ППД5[[#This Row],[Расхождение]]/ППД5[[#This Row],[Расчетная проектная площадь]]</f>
        <v>-1.4940239043824087E-3</v>
      </c>
      <c r="CZ346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-0.13000000000000078</v>
      </c>
      <c r="DA346" s="3">
        <f>ППД5[[#This Row],[Цена м2 без отделки со скидкой]]+ППД5[[#This Row],[Стоимость отделки]]</f>
        <v>134045.48472775565</v>
      </c>
      <c r="DB346" s="3">
        <f>ППД5[[#This Row],[Стоимость квартиры с отделкой]]-ППД5[[#This Row],[Стоимость ОН без отделки со скидкой]]</f>
        <v>602400.00000000093</v>
      </c>
      <c r="DC346" s="3">
        <f>ППД5[[#This Row],[Цена м2 с отделкой]]*ППД5[[#This Row],[Расчетная проектная площадь]]</f>
        <v>8074900.0000000009</v>
      </c>
      <c r="DD346" s="3"/>
      <c r="DF346" s="155" t="s">
        <v>157</v>
      </c>
      <c r="DG346" s="245" t="s">
        <v>157</v>
      </c>
      <c r="DH346" s="100" t="b">
        <f>EXACT(ППД5[[#This Row],[Статусы CRM]],ППД5[[#This Row],[Статус]])</f>
        <v>1</v>
      </c>
      <c r="DI346" s="213" t="s">
        <v>518</v>
      </c>
      <c r="DJ346" s="204"/>
      <c r="DK346" s="111" t="s">
        <v>763</v>
      </c>
      <c r="DL346" s="216" t="s">
        <v>780</v>
      </c>
      <c r="DM346" s="201" t="b">
        <f>ППД5[[#This Row],[Отделка CRM]]=ППД5[[#This Row],[Отделка]]</f>
        <v>1</v>
      </c>
      <c r="DN346" s="203">
        <v>8074900</v>
      </c>
      <c r="DO34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-9.3132257461547852E-10</v>
      </c>
      <c r="DP346" s="207" t="b">
        <f>IF(AND(ППД5[[#This Row],[Статус]]="свободно",ППД5[[#This Row],[Итоговая сумма скидки]]&lt;&gt;0),FALSE,TRUE)</f>
        <v>1</v>
      </c>
      <c r="DQ346" s="240" t="str">
        <f>_xlfn.XLOOKUP(ППД5[[#This Row],[№]],Юрист[№ кв],Юрист[Дата подачи на регистрацию]," ",0,-1)</f>
        <v xml:space="preserve"> </v>
      </c>
      <c r="DR346" s="115" t="str">
        <f>_xlfn.XLOOKUP(ППД5[[#This Row],[№]],Юрист[№ кв],Юрист[МОП],"",0,-1)</f>
        <v/>
      </c>
      <c r="DS346" s="333" t="s">
        <v>2984</v>
      </c>
      <c r="DT346" s="333" t="s">
        <v>2985</v>
      </c>
      <c r="DU346" s="333">
        <v>58.7</v>
      </c>
      <c r="DV346" s="111"/>
    </row>
    <row r="347" spans="1:126" hidden="1" x14ac:dyDescent="0.25">
      <c r="A347" s="112">
        <v>345</v>
      </c>
      <c r="B347" s="111" t="s">
        <v>3</v>
      </c>
      <c r="C347" s="111">
        <v>18</v>
      </c>
      <c r="D347" s="111">
        <v>5</v>
      </c>
      <c r="E347" s="111">
        <v>1</v>
      </c>
      <c r="F347" s="105">
        <v>12.54</v>
      </c>
      <c r="G347" s="105"/>
      <c r="H347" s="105"/>
      <c r="I347" s="94">
        <f>SUM(ППД5[[#This Row],[Комната 1]:[Комната 3]])</f>
        <v>12.54</v>
      </c>
      <c r="J347" s="105">
        <v>12.74</v>
      </c>
      <c r="K347" s="105">
        <v>4.0199999999999996</v>
      </c>
      <c r="L347" s="105"/>
      <c r="M347" s="105"/>
      <c r="N347" s="105">
        <v>7.09</v>
      </c>
      <c r="O347" s="105">
        <v>2.84</v>
      </c>
      <c r="P347" s="105"/>
      <c r="Q347" s="105"/>
      <c r="R347" s="105">
        <f>SUM(ППД5[[#This Row],[Лоджия 1]:[Лоджия 3]])</f>
        <v>2.84</v>
      </c>
      <c r="S347" s="8">
        <f>ROUND(SUM(ППД5[[#This Row],[Площадь по проекту жилая]:[Лоджия 3]]),2)</f>
        <v>39.229999999999997</v>
      </c>
      <c r="T347" s="8">
        <f>ROUND(ППД5[[#This Row],[Площадь по проекту(общая)]]-ППД5[[#This Row],[Летние]],2)</f>
        <v>36.39</v>
      </c>
      <c r="U347" s="91">
        <f>ROUND(ППД5[[#This Row],[Площадь по проекту(общая)]]-(SUM(ППД5[[#This Row],[Лоджия 1]:[Лоджия 3]])/2),2)</f>
        <v>37.81</v>
      </c>
      <c r="V347" s="91">
        <f>IF(ППД5[[#This Row],[Статус]]="продажа",ППД5[[#This Row],[Расчетная проектная площадь]],ППД5[[#This Row],[Расчетная ТП площадь]])</f>
        <v>37.81</v>
      </c>
      <c r="W347" s="91">
        <v>12.5</v>
      </c>
      <c r="X347" s="91"/>
      <c r="Y347" s="91"/>
      <c r="Z347" s="91">
        <f>SUM(ППД5[[#This Row],[ТП Комната 1]:[ТП Комната 3]])</f>
        <v>12.5</v>
      </c>
      <c r="AA347" s="91">
        <v>12.7</v>
      </c>
      <c r="AB347" s="91">
        <v>4.0999999999999996</v>
      </c>
      <c r="AC347" s="91"/>
      <c r="AD347" s="91"/>
      <c r="AE347" s="91">
        <v>6.8</v>
      </c>
      <c r="AF347" s="91">
        <v>1.45</v>
      </c>
      <c r="AG347" s="91"/>
      <c r="AH347" s="91"/>
      <c r="AI347" s="91">
        <f>SUM(ППД5[[#This Row],[ТП Лоджия 1]:[ТП Лоджия 3]])</f>
        <v>1.45</v>
      </c>
      <c r="AJ347" s="95">
        <v>2.9</v>
      </c>
      <c r="AK347" s="91">
        <f>SUM(ППД5[[#This Row],[Площадь по ТП жилая]:[ТП Лоджия 3]])-ППД5[[#This Row],[ТП Летние]]+ППД5[[#This Row],[кроме того прочая
(без коэффициента)]]</f>
        <v>38.999999999999993</v>
      </c>
      <c r="AL347" s="95">
        <f>ППД5[[#This Row],[ТП Площадь без летних]]+(ППД5[[#This Row],[ТП Летние]])</f>
        <v>37.549999999999997</v>
      </c>
      <c r="AM347" s="91">
        <f>ППД5[[#This Row],[ТП общая S]]-ППД5[[#This Row],[кроме того прочая
(без коэффициента)]]</f>
        <v>36.099999999999994</v>
      </c>
      <c r="AN347" s="95">
        <f>SUM(ППД5[[#This Row],[ТП Кухня]:[ТП Коридор]])</f>
        <v>23.599999999999998</v>
      </c>
      <c r="AO347" s="91">
        <f>ППД5[[#This Row],[Расчетная ТП площадь]]-ППД5[[#This Row],[Расчетная проектная площадь]]</f>
        <v>-0.26000000000000512</v>
      </c>
      <c r="AP347" s="335">
        <f>ППД5[[#This Row],[Расчетная ТП площадь]]/ППД5[[#This Row],[Расчетная проектная площадь]]-1</f>
        <v>-6.8764877016663783E-3</v>
      </c>
      <c r="AQ347" s="91">
        <f>ППД5[[#This Row],[% расхождения]]*ППД5[[#This Row],[Стоимость до скидки]]</f>
        <v>-30469.029357313557</v>
      </c>
      <c r="AR347" s="91">
        <f>VLOOKUP(ППД5[[#This Row],[№]],наценкад5[],COLUMN(наценкад5[[#This Row],[Цена м2 с учетом всех K]]),0)</f>
        <v>90034.875</v>
      </c>
      <c r="AS347" s="8">
        <f>ППД5[[#This Row],[м2 после К]]*5%</f>
        <v>4501.7437500000005</v>
      </c>
      <c r="AT347" s="8">
        <f>ППД5[[#This Row],[м2 после К]]+ППД5[[#This Row],[Повышение 16.08.23 - 5%]]</f>
        <v>94536.618749999994</v>
      </c>
      <c r="AU347" s="93">
        <f>ППД5[[#This Row],[Фикс 16.08.23]]*3%</f>
        <v>2836.0985624999998</v>
      </c>
      <c r="AV347" s="93">
        <f>ППД5[[#This Row],[Фикс 16.08.23]]+ППД5[[#This Row],[Повышение 29.08.23 - 3%]]</f>
        <v>97372.717312499997</v>
      </c>
      <c r="AW347" s="93">
        <f>ППД5[[#This Row],[Фикс 29.08.23]]*4.5%</f>
        <v>4381.7722790624994</v>
      </c>
      <c r="AX347" s="93">
        <f>ППД5[[#This Row],[Фикс 29.08.23]]+ППД5[[#This Row],[Повышение 06.09.23 СТ и 1К]]</f>
        <v>101754.48959156249</v>
      </c>
      <c r="AY347" s="93"/>
      <c r="AZ347" s="93">
        <f>ППД5[[#This Row],[Повышение 23.10.23  В4 ]]+ППД5[[#This Row],[Фикс 06.09.23]]</f>
        <v>101754.48959156249</v>
      </c>
      <c r="BA347" s="93">
        <f>ППД5[[#This Row],[Фикс 23.10.23]]*5%</f>
        <v>5087.7244795781253</v>
      </c>
      <c r="BB347" s="93">
        <f>ППД5[[#This Row],[Повышение 8.11.23 1К 5%]]+ППД5[[#This Row],[Фикс 23.10.23]]</f>
        <v>106842.21407114062</v>
      </c>
      <c r="BC347" s="93">
        <v>-620</v>
      </c>
      <c r="BD347" s="93">
        <f>ППД5[[#This Row],[Корректировка 24.11.23 - 1К В5, 2К А2, №233]]+ППД5[[#This Row],[Фикс 8.11.23]]</f>
        <v>106222.21407114062</v>
      </c>
      <c r="BE347" s="93">
        <f>ППД5[[#This Row],[Фикс 8.11.24]]*1%</f>
        <v>1062.2221407114062</v>
      </c>
      <c r="BF347" s="93">
        <f>ППД5[[#This Row],[Наценка за отделку 29.12.23 1%]]+ППД5[[#This Row],[Фикс 8.11.24]]</f>
        <v>107284.43621185204</v>
      </c>
      <c r="BG347" s="93">
        <f>ППД5[[#This Row],[Фикс 29.12.23]]*5%</f>
        <v>5364.2218105926022</v>
      </c>
      <c r="BH347" s="93">
        <f>ППД5[[#This Row],[Фикс 29.12.23]]+ППД5[[#This Row],[Наценка 10.01.24 5%]]</f>
        <v>112648.65802244464</v>
      </c>
      <c r="BI347" s="93"/>
      <c r="BJ347" s="93">
        <f>ППД5[[#This Row],[Наценка 26.02.24 1 Этаж]]+ППД5[[#This Row],[Фикс 10.01.24]]</f>
        <v>112648.65802244464</v>
      </c>
      <c r="BK347" s="93">
        <f>ППД5[[#This Row],[Фикс 26.02.24]]*3%</f>
        <v>3379.4597406733392</v>
      </c>
      <c r="BL347" s="93">
        <f>ППД5[[#This Row],[Фикс 26.02.24]]+ППД5[[#This Row],[Наценка 06.03.24
СТ, 1К - 3%
2К, 3К - 2%]]</f>
        <v>116028.11776311797</v>
      </c>
      <c r="BM347" s="93"/>
      <c r="BN347" s="93">
        <f>ППД5[[#This Row],[Фикс 06.03.24]]+ППД5[[#This Row],[Наценка Г2+500]]</f>
        <v>116028.11776311797</v>
      </c>
      <c r="BO347" s="93"/>
      <c r="BP347" s="93">
        <f>ППД5[[#This Row],[Фикс 13.03.25]]+ППД5[[#This Row],[Наценка 20.03.24
2К, 3К - 2%]]</f>
        <v>116028.11776311797</v>
      </c>
      <c r="BQ347" s="93"/>
      <c r="BR347" s="93">
        <f>ППД5[[#This Row],[Фикс 20.03.24]]+ППД5[[#This Row],[Наценка 08.04.24 
2К: В3 - 150
3К: Г7 +1000]]</f>
        <v>116028.11776311797</v>
      </c>
      <c r="BS347" s="93">
        <f>ППД5[[#This Row],[Фикс 08.04.24]]*1%</f>
        <v>1160.2811776311798</v>
      </c>
      <c r="BT347" s="93">
        <f>ППД5[[#This Row],[Фикс 08.04.24]]+ППД5[[#This Row],[Наценка 16.05.24 1%
А4,А6,Б3,Б6,Б7,В2,В3,В5,В6,Г1,Г3-Г5]]</f>
        <v>117188.39894074916</v>
      </c>
      <c r="BU347" s="93"/>
      <c r="BV347" s="93">
        <f>ППД5[[#This Row],[Фикс 16.05.24]]+ППД5[[#This Row],[Наценка 24.05.24
1% - Б4, Б5,Г2,Г6
2% - А1,А3,А5,Б2,Г7]]</f>
        <v>117188.39894074916</v>
      </c>
      <c r="BW347" s="93"/>
      <c r="BX347" s="93">
        <f>ППД5[[#This Row],[Наценка 06.06.24
0К: В2,Г3 +0,5%
1К: А7, Б5/4, Г6 +0,5%
3К: В6 +0,5%
1К: А3 +1%]]+ППД5[[#This Row],[Фикс 24.05.24]]</f>
        <v>117188.39894074916</v>
      </c>
      <c r="BY347" s="93"/>
      <c r="BZ347" s="93">
        <f>ППД5[[#This Row],[Фикс 06.06.24]]+ППД5[[#This Row],[13.06.2024
3К - 2%]]</f>
        <v>117188.39894074916</v>
      </c>
      <c r="CA347" s="93"/>
      <c r="CB347" s="93">
        <f>ППД5[[#This Row],[02.07.2024: Г3 А1 А3 Б5 Б7 Г2 Г6 Б3 Б4 В3 Г7 2,5% ост 0,5-1,5%]]+ППД5[[#This Row],[Фикс 13.06.24]]</f>
        <v>117188.39894074916</v>
      </c>
      <c r="CC347" s="93"/>
      <c r="CD347" s="93">
        <f>ППД5[[#This Row],[Фикс 02.07.24]]+ППД5[[#This Row],[04.09.2024 +500
0К - Б2; 1К - А3;
2К - А6, Б4, В3, Г5]]</f>
        <v>117188.39894074916</v>
      </c>
      <c r="CE347" s="93"/>
      <c r="CF347" s="93">
        <f>ППД5[[#This Row],[Наценка 16.09.2024
1К: А1,В7,Г6/7,Г8 - 2%
2К: А4,А5,А6,Б1,Б6,Б3/4,В3,В4,Г4,Г5 - 4%
3К: 4%]]+ППД5[[#This Row],[Фикс 04.09.24]]</f>
        <v>117188.39894074916</v>
      </c>
      <c r="CG347" s="93"/>
      <c r="CH347" s="93">
        <f>ППД5[[#This Row],[Фикс 16.09.2024]]+ППД5[[#This Row],[Наценка 01.11.24
СТ: 4%
1К: 34-40м 5%; 40м+ 8%; МГН 1%
2К: 55-70м 6%; 70-73м 7%; 73-76м 8% 
3К: 5%]]</f>
        <v>117188.39894074916</v>
      </c>
      <c r="CI347" s="93"/>
      <c r="CJ347" s="93">
        <f>ППД5[[#This Row],[Наценка 06.11 13%]]+ППД5[[#This Row],[Фикс 01.11.24]]</f>
        <v>117188.39894074916</v>
      </c>
      <c r="CK347" s="93"/>
      <c r="CL347" s="93">
        <f>ППД5[[#This Row],[Фикс 06.11.24]]+ППД5[[#This Row],[Наценка 18.12.24 распределение КВ]]</f>
        <v>117188.39894074916</v>
      </c>
      <c r="CM347" s="93"/>
      <c r="CN347" s="93">
        <f>ППД5[[#This Row],[Фикс 18.12.24]]+ППД5[[#This Row],[Наценка 10.02.25 +1%
1К: А3
2К: Б3, В3]]</f>
        <v>117188.39894074916</v>
      </c>
      <c r="CO347" s="93">
        <f>ROUND(ППД5[[#This Row],[Фикс 10.02.25]],2)</f>
        <v>117188.4</v>
      </c>
      <c r="CP34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4430900</v>
      </c>
      <c r="CQ347" s="93">
        <f>ROUNDUP(ППД5[[#This Row],[Стоимость до скидки]]+ППД5[[#This Row],[Сумма доплаты]],-2)</f>
        <v>4400500</v>
      </c>
      <c r="CR347" s="68"/>
      <c r="CS347" s="90"/>
      <c r="CT347" s="68">
        <f>ППД5[[#This Row],[Стоимость до скидки]]*ППД5[[#This Row],[Скидка %]]+ППД5[[#This Row],[Скидка фиксированная]]</f>
        <v>0</v>
      </c>
      <c r="CU347" s="3">
        <f>ППД5[[#This Row],[Стоимость ОН без отделки со скидкой]]/ППД5[[#This Row],[Расчетная проектная площадь]]</f>
        <v>117188.57445120339</v>
      </c>
      <c r="CV347" s="3">
        <f>ROUND(ППД5[[#This Row],[Стоимость до скидки]]-ППД5[[#This Row],[Итоговая сумма скидки]],2)</f>
        <v>4430900</v>
      </c>
      <c r="CW34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47" s="197"/>
      <c r="CY347" s="332">
        <f>ППД5[[#This Row],[Расхождение]]/ППД5[[#This Row],[Расчетная проектная площадь]]</f>
        <v>-6.876487701666361E-3</v>
      </c>
      <c r="CZ34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-0.25000000000000178</v>
      </c>
      <c r="DA347" s="3">
        <f>ППД5[[#This Row],[Цена м2 без отделки со скидкой]]+ППД5[[#This Row],[Стоимость отделки]]</f>
        <v>117188.57445120339</v>
      </c>
      <c r="DB347" s="3">
        <f>ППД5[[#This Row],[Стоимость квартиры с отделкой]]-ППД5[[#This Row],[Стоимость ОН без отделки со скидкой]]</f>
        <v>0</v>
      </c>
      <c r="DC347" s="3">
        <f>ППД5[[#This Row],[Цена м2 с отделкой]]*ППД5[[#This Row],[Расчетная проектная площадь]]</f>
        <v>4430900</v>
      </c>
      <c r="DD347" s="3"/>
      <c r="DF347" s="199" t="s">
        <v>172</v>
      </c>
      <c r="DG347" s="245" t="s">
        <v>172</v>
      </c>
      <c r="DH347" s="100" t="b">
        <f>EXACT(ППД5[[#This Row],[Статусы CRM]],ППД5[[#This Row],[Статус]])</f>
        <v>1</v>
      </c>
      <c r="DI347" s="213" t="s">
        <v>519</v>
      </c>
      <c r="DJ347" s="204"/>
      <c r="DK347" s="111" t="s">
        <v>763</v>
      </c>
      <c r="DL347" s="216" t="s">
        <v>12</v>
      </c>
      <c r="DM347" s="201" t="b">
        <f>ППД5[[#This Row],[Отделка CRM]]=ППД5[[#This Row],[Отделка]]</f>
        <v>1</v>
      </c>
      <c r="DN347" s="203">
        <v>4430900</v>
      </c>
      <c r="DO34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47" s="207" t="b">
        <f>IF(AND(ППД5[[#This Row],[Статус]]="свободно",ППД5[[#This Row],[Итоговая сумма скидки]]&lt;&gt;0),FALSE,TRUE)</f>
        <v>1</v>
      </c>
      <c r="DQ347" s="240">
        <f>_xlfn.XLOOKUP(ППД5[[#This Row],[№]],Юрист[№ кв],Юрист[Дата подачи на регистрацию]," ",0,-1)</f>
        <v>45471</v>
      </c>
      <c r="DR347" s="115" t="str">
        <f>_xlfn.XLOOKUP(ППД5[[#This Row],[№]],Юрист[№ кв],Юрист[МОП],"",0,-1)</f>
        <v>Полехович</v>
      </c>
      <c r="DS347" s="333" t="s">
        <v>2986</v>
      </c>
      <c r="DT347" s="333" t="s">
        <v>2987</v>
      </c>
      <c r="DU347" s="333">
        <v>36.1</v>
      </c>
      <c r="DV347" s="111"/>
    </row>
    <row r="348" spans="1:126" hidden="1" x14ac:dyDescent="0.25">
      <c r="A348" s="112">
        <v>346</v>
      </c>
      <c r="B348" s="111" t="s">
        <v>3</v>
      </c>
      <c r="C348" s="111">
        <v>18</v>
      </c>
      <c r="D348" s="111">
        <v>6</v>
      </c>
      <c r="E348" s="111">
        <v>3</v>
      </c>
      <c r="F348" s="105">
        <v>17.2</v>
      </c>
      <c r="G348" s="105">
        <v>14.64</v>
      </c>
      <c r="H348" s="105">
        <v>14.34</v>
      </c>
      <c r="I348" s="94">
        <f>SUM(ППД5[[#This Row],[Комната 1]:[Комната 3]])</f>
        <v>46.18</v>
      </c>
      <c r="J348" s="105">
        <v>13.15</v>
      </c>
      <c r="K348" s="105">
        <v>4.03</v>
      </c>
      <c r="L348" s="105">
        <v>1.76</v>
      </c>
      <c r="M348" s="105"/>
      <c r="N348" s="105">
        <v>13.11</v>
      </c>
      <c r="O348" s="105">
        <v>2.79</v>
      </c>
      <c r="P348" s="105">
        <v>2.68</v>
      </c>
      <c r="Q348" s="105"/>
      <c r="R348" s="105">
        <f>SUM(ППД5[[#This Row],[Лоджия 1]:[Лоджия 3]])</f>
        <v>5.4700000000000006</v>
      </c>
      <c r="S348" s="8">
        <f>ROUND(SUM(ППД5[[#This Row],[Площадь по проекту жилая]:[Лоджия 3]]),2)</f>
        <v>83.7</v>
      </c>
      <c r="T348" s="8">
        <f>ROUND(ППД5[[#This Row],[Площадь по проекту(общая)]]-ППД5[[#This Row],[Летние]],2)</f>
        <v>78.23</v>
      </c>
      <c r="U348" s="91">
        <f>ROUND(ППД5[[#This Row],[Площадь по проекту(общая)]]-(SUM(ППД5[[#This Row],[Лоджия 1]:[Лоджия 3]])/2),2)</f>
        <v>80.97</v>
      </c>
      <c r="V348" s="91">
        <f>IF(ППД5[[#This Row],[Статус]]="продажа",ППД5[[#This Row],[Расчетная проектная площадь]],ППД5[[#This Row],[Расчетная ТП площадь]])</f>
        <v>80.97</v>
      </c>
      <c r="W348" s="91">
        <v>17.100000000000001</v>
      </c>
      <c r="X348" s="91">
        <v>14.5</v>
      </c>
      <c r="Y348" s="91">
        <v>14.3</v>
      </c>
      <c r="Z348" s="91">
        <f>SUM(ППД5[[#This Row],[ТП Комната 1]:[ТП Комната 3]])</f>
        <v>45.900000000000006</v>
      </c>
      <c r="AA348" s="91">
        <v>13</v>
      </c>
      <c r="AB348" s="91">
        <v>4</v>
      </c>
      <c r="AC348" s="91">
        <v>1.8</v>
      </c>
      <c r="AD348" s="91"/>
      <c r="AE348" s="91">
        <v>13</v>
      </c>
      <c r="AF348" s="91">
        <v>1.4</v>
      </c>
      <c r="AG348" s="92">
        <v>1.35</v>
      </c>
      <c r="AH348" s="91"/>
      <c r="AI348" s="91">
        <f>SUM(ППД5[[#This Row],[ТП Лоджия 1]:[ТП Лоджия 3]])</f>
        <v>2.75</v>
      </c>
      <c r="AJ348" s="95">
        <v>5.5</v>
      </c>
      <c r="AK348" s="91">
        <f>SUM(ППД5[[#This Row],[Площадь по ТП жилая]:[ТП Лоджия 3]])-ППД5[[#This Row],[ТП Летние]]+ППД5[[#This Row],[кроме того прочая
(без коэффициента)]]</f>
        <v>83.2</v>
      </c>
      <c r="AL348" s="95">
        <f>ППД5[[#This Row],[ТП Площадь без летних]]+(ППД5[[#This Row],[ТП Летние]])</f>
        <v>80.45</v>
      </c>
      <c r="AM348" s="91">
        <f>ППД5[[#This Row],[ТП общая S]]-ППД5[[#This Row],[кроме того прочая
(без коэффициента)]]</f>
        <v>77.7</v>
      </c>
      <c r="AN348" s="95">
        <f>SUM(ППД5[[#This Row],[ТП Кухня]:[ТП Коридор]])</f>
        <v>31.8</v>
      </c>
      <c r="AO348" s="91">
        <f>ППД5[[#This Row],[Расчетная ТП площадь]]-ППД5[[#This Row],[Расчетная проектная площадь]]</f>
        <v>-0.51999999999999602</v>
      </c>
      <c r="AP348" s="335">
        <f>ППД5[[#This Row],[Расчетная ТП площадь]]/ППД5[[#This Row],[Расчетная проектная площадь]]-1</f>
        <v>-6.4221316536988704E-3</v>
      </c>
      <c r="AQ348" s="91">
        <f>ППД5[[#This Row],[% расхождения]]*ППД5[[#This Row],[Стоимость до скидки]]</f>
        <v>-48406.175126589864</v>
      </c>
      <c r="AR348" s="91">
        <f>VLOOKUP(ППД5[[#This Row],[№]],наценкад5[],COLUMN(наценкад5[[#This Row],[Цена м2 с учетом всех K]]),0)</f>
        <v>74234.160000000018</v>
      </c>
      <c r="AS348" s="8">
        <f>ППД5[[#This Row],[м2 после К]]*5%</f>
        <v>3711.708000000001</v>
      </c>
      <c r="AT348" s="8">
        <f>ППД5[[#This Row],[м2 после К]]+ППД5[[#This Row],[Повышение 16.08.23 - 5%]]</f>
        <v>77945.868000000017</v>
      </c>
      <c r="AU348" s="93">
        <f>ППД5[[#This Row],[Фикс 16.08.23]]*3%</f>
        <v>2338.3760400000006</v>
      </c>
      <c r="AV348" s="93">
        <f>ППД5[[#This Row],[Фикс 16.08.23]]+ППД5[[#This Row],[Повышение 29.08.23 - 3%]]</f>
        <v>80284.24404000002</v>
      </c>
      <c r="AW348" s="93"/>
      <c r="AX348" s="93">
        <f>ППД5[[#This Row],[Фикс 29.08.23]]+ППД5[[#This Row],[Повышение 06.09.23 СТ и 1К]]</f>
        <v>80284.24404000002</v>
      </c>
      <c r="AY348" s="93"/>
      <c r="AZ348" s="93">
        <f>ППД5[[#This Row],[Повышение 23.10.23  В4 ]]+ППД5[[#This Row],[Фикс 06.09.23]]</f>
        <v>80284.24404000002</v>
      </c>
      <c r="BA348" s="93"/>
      <c r="BB348" s="93">
        <f>ППД5[[#This Row],[Повышение 8.11.23 1К 5%]]+ППД5[[#This Row],[Фикс 23.10.23]]</f>
        <v>80284.24404000002</v>
      </c>
      <c r="BC348" s="93"/>
      <c r="BD348" s="93">
        <f>ППД5[[#This Row],[Корректировка 24.11.23 - 1К В5, 2К А2, №233]]+ППД5[[#This Row],[Фикс 8.11.23]]</f>
        <v>80284.24404000002</v>
      </c>
      <c r="BE348" s="93">
        <f>ППД5[[#This Row],[Фикс 8.11.24]]*1%</f>
        <v>802.84244040000021</v>
      </c>
      <c r="BF348" s="93">
        <f>ППД5[[#This Row],[Наценка за отделку 29.12.23 1%]]+ППД5[[#This Row],[Фикс 8.11.24]]</f>
        <v>81087.086480400016</v>
      </c>
      <c r="BG348" s="93">
        <f>ППД5[[#This Row],[Фикс 29.12.23]]*5%</f>
        <v>4054.3543240200011</v>
      </c>
      <c r="BH348" s="93">
        <f>ППД5[[#This Row],[Фикс 29.12.23]]+ППД5[[#This Row],[Наценка 10.01.24 5%]]</f>
        <v>85141.44080442001</v>
      </c>
      <c r="BI348" s="93"/>
      <c r="BJ348" s="93">
        <f>ППД5[[#This Row],[Наценка 26.02.24 1 Этаж]]+ППД5[[#This Row],[Фикс 10.01.24]]</f>
        <v>85141.44080442001</v>
      </c>
      <c r="BK348" s="93">
        <f>ППД5[[#This Row],[Фикс 26.02.24]]*2%</f>
        <v>1702.8288160884003</v>
      </c>
      <c r="BL348" s="93">
        <f>ППД5[[#This Row],[Фикс 26.02.24]]+ППД5[[#This Row],[Наценка 06.03.24
СТ, 1К - 3%
2К, 3К - 2%]]</f>
        <v>86844.269620508407</v>
      </c>
      <c r="BM348" s="93"/>
      <c r="BN348" s="93">
        <f>ППД5[[#This Row],[Фикс 06.03.24]]+ППД5[[#This Row],[Наценка Г2+500]]</f>
        <v>86844.269620508407</v>
      </c>
      <c r="BO348" s="93">
        <f>ППД5[[#This Row],[Фикс 13.03.25]]*2%</f>
        <v>1736.8853924101682</v>
      </c>
      <c r="BP348" s="93">
        <f>ППД5[[#This Row],[Фикс 13.03.25]]+ППД5[[#This Row],[Наценка 20.03.24
2К, 3К - 2%]]</f>
        <v>88581.155012918578</v>
      </c>
      <c r="BQ348" s="93"/>
      <c r="BR348" s="93">
        <f>ППД5[[#This Row],[Фикс 20.03.24]]+ППД5[[#This Row],[Наценка 08.04.24 
2К: В3 - 150
3К: Г7 +1000]]</f>
        <v>88581.155012918578</v>
      </c>
      <c r="BS348" s="93">
        <f>ППД5[[#This Row],[Фикс 08.04.24]]*1%</f>
        <v>885.81155012918578</v>
      </c>
      <c r="BT348" s="93">
        <f>ППД5[[#This Row],[Фикс 08.04.24]]+ППД5[[#This Row],[Наценка 16.05.24 1%
А4,А6,Б3,Б6,Б7,В2,В3,В5,В6,Г1,Г3-Г5]]</f>
        <v>89466.966563047768</v>
      </c>
      <c r="BU348" s="93"/>
      <c r="BV348" s="93">
        <f>ППД5[[#This Row],[Фикс 16.05.24]]+ППД5[[#This Row],[Наценка 24.05.24
1% - Б4, Б5,Г2,Г6
2% - А1,А3,А5,Б2,Г7]]</f>
        <v>89466.966563047768</v>
      </c>
      <c r="BW348" s="93">
        <f>ППД5[[#This Row],[Фикс 24.05.24]]*0.5%</f>
        <v>447.33483281523883</v>
      </c>
      <c r="BX348" s="93">
        <f>ППД5[[#This Row],[Наценка 06.06.24
0К: В2,Г3 +0,5%
1К: А7, Б5/4, Г6 +0,5%
3К: В6 +0,5%
1К: А3 +1%]]+ППД5[[#This Row],[Фикс 24.05.24]]</f>
        <v>89914.301395863004</v>
      </c>
      <c r="BY348" s="93">
        <f>ППД5[[#This Row],[Фикс 06.06.24]]*2%</f>
        <v>1798.2860279172601</v>
      </c>
      <c r="BZ348" s="93">
        <f>ППД5[[#This Row],[Фикс 06.06.24]]+ППД5[[#This Row],[13.06.2024
3К - 2%]]</f>
        <v>91712.587423780264</v>
      </c>
      <c r="CA348" s="93">
        <f>1.5%*ППД5[[#This Row],[Фикс 13.06.24]]</f>
        <v>1375.6888113567038</v>
      </c>
      <c r="CB348" s="93">
        <f>ППД5[[#This Row],[02.07.2024: Г3 А1 А3 Б5 Б7 Г2 Г6 Б3 Б4 В3 Г7 2,5% ост 0,5-1,5%]]+ППД5[[#This Row],[Фикс 13.06.24]]</f>
        <v>93088.27623513696</v>
      </c>
      <c r="CC348" s="93"/>
      <c r="CD348" s="93">
        <f>ППД5[[#This Row],[Фикс 02.07.24]]+ППД5[[#This Row],[04.09.2024 +500
0К - Б2; 1К - А3;
2К - А6, Б4, В3, Г5]]</f>
        <v>93088.27623513696</v>
      </c>
      <c r="CE348" s="93"/>
      <c r="CF348" s="93">
        <f>ППД5[[#This Row],[Наценка 16.09.2024
1К: А1,В7,Г6/7,Г8 - 2%
2К: А4,А5,А6,Б1,Б6,Б3/4,В3,В4,Г4,Г5 - 4%
3К: 4%]]+ППД5[[#This Row],[Фикс 04.09.24]]</f>
        <v>93088.27623513696</v>
      </c>
      <c r="CG348" s="93"/>
      <c r="CH348" s="93">
        <f>ППД5[[#This Row],[Фикс 16.09.2024]]+ППД5[[#This Row],[Наценка 01.11.24
СТ: 4%
1К: 34-40м 5%; 40м+ 8%; МГН 1%
2К: 55-70м 6%; 70-73м 7%; 73-76м 8% 
3К: 5%]]</f>
        <v>93088.27623513696</v>
      </c>
      <c r="CI348" s="93"/>
      <c r="CJ348" s="93">
        <f>ППД5[[#This Row],[Наценка 06.11 13%]]+ППД5[[#This Row],[Фикс 01.11.24]]</f>
        <v>93088.27623513696</v>
      </c>
      <c r="CK348" s="93"/>
      <c r="CL348" s="93">
        <f>ППД5[[#This Row],[Фикс 06.11.24]]+ППД5[[#This Row],[Наценка 18.12.24 распределение КВ]]</f>
        <v>93088.27623513696</v>
      </c>
      <c r="CM348" s="93"/>
      <c r="CN348" s="93">
        <f>ППД5[[#This Row],[Фикс 18.12.24]]+ППД5[[#This Row],[Наценка 10.02.25 +1%
1К: А3
2К: Б3, В3]]</f>
        <v>93088.27623513696</v>
      </c>
      <c r="CO348" s="93">
        <f>ROUND(ППД5[[#This Row],[Фикс 10.02.25]],2)</f>
        <v>93088.28</v>
      </c>
      <c r="CP34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7537400</v>
      </c>
      <c r="CQ348" s="93">
        <f>ROUNDUP(ППД5[[#This Row],[Стоимость до скидки]]+ППД5[[#This Row],[Сумма доплаты]],-2)</f>
        <v>7489000</v>
      </c>
      <c r="CR348" s="68"/>
      <c r="CS348" s="90">
        <v>0.03</v>
      </c>
      <c r="CT348" s="68">
        <f>ППД5[[#This Row],[Стоимость до скидки]]*ППД5[[#This Row],[Скидка %]]+ППД5[[#This Row],[Скидка фиксированная]]</f>
        <v>226122</v>
      </c>
      <c r="CU348" s="3">
        <f>ППД5[[#This Row],[Стоимость ОН без отделки со скидкой]]/ППД5[[#This Row],[Расчетная проектная площадь]]</f>
        <v>90296.134370754604</v>
      </c>
      <c r="CV348" s="3">
        <f>ROUND(ППД5[[#This Row],[Стоимость до скидки]]-ППД5[[#This Row],[Итоговая сумма скидки]],2)</f>
        <v>7311278</v>
      </c>
      <c r="CW34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48" s="197"/>
      <c r="CY348" s="332">
        <f>ППД5[[#This Row],[Расхождение]]/ППД5[[#This Row],[Расчетная проектная площадь]]</f>
        <v>-6.4221316536988522E-3</v>
      </c>
      <c r="CZ34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-0.25000000000000178</v>
      </c>
      <c r="DA348" s="3">
        <f>ППД5[[#This Row],[Цена м2 без отделки со скидкой]]+ППД5[[#This Row],[Стоимость отделки]]</f>
        <v>90296.134370754604</v>
      </c>
      <c r="DB348" s="3">
        <f>ППД5[[#This Row],[Стоимость квартиры с отделкой]]-ППД5[[#This Row],[Стоимость ОН без отделки со скидкой]]</f>
        <v>0</v>
      </c>
      <c r="DC348" s="3">
        <f>ППД5[[#This Row],[Цена м2 с отделкой]]*ППД5[[#This Row],[Расчетная проектная площадь]]</f>
        <v>7311278</v>
      </c>
      <c r="DD348" s="3"/>
      <c r="DE348" s="111" t="s">
        <v>167</v>
      </c>
      <c r="DF348" s="199" t="s">
        <v>172</v>
      </c>
      <c r="DG348" s="245" t="s">
        <v>172</v>
      </c>
      <c r="DH348" s="100" t="b">
        <f>EXACT(ППД5[[#This Row],[Статусы CRM]],ППД5[[#This Row],[Статус]])</f>
        <v>1</v>
      </c>
      <c r="DI348" s="213" t="s">
        <v>520</v>
      </c>
      <c r="DJ348" s="204"/>
      <c r="DK348" s="111" t="s">
        <v>763</v>
      </c>
      <c r="DL348" s="216" t="s">
        <v>12</v>
      </c>
      <c r="DM348" s="201" t="b">
        <f>ППД5[[#This Row],[Отделка CRM]]=ППД5[[#This Row],[Отделка]]</f>
        <v>1</v>
      </c>
      <c r="DN348" s="203">
        <v>7311278</v>
      </c>
      <c r="DO34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48" s="207" t="b">
        <f>IF(AND(ППД5[[#This Row],[Статус]]="свободно",ППД5[[#This Row],[Итоговая сумма скидки]]&lt;&gt;0),FALSE,TRUE)</f>
        <v>1</v>
      </c>
      <c r="DQ348" s="240">
        <f>_xlfn.XLOOKUP(ППД5[[#This Row],[№]],Юрист[№ кв],Юрист[Дата подачи на регистрацию]," ",0,-1)</f>
        <v>45535</v>
      </c>
      <c r="DR348" s="115" t="str">
        <f>_xlfn.XLOOKUP(ППД5[[#This Row],[№]],Юрист[№ кв],Юрист[МОП],"",0,-1)</f>
        <v>Дик</v>
      </c>
      <c r="DS348" s="333" t="s">
        <v>2988</v>
      </c>
      <c r="DT348" s="333" t="s">
        <v>2989</v>
      </c>
      <c r="DU348" s="333">
        <v>77.7</v>
      </c>
      <c r="DV348" s="111"/>
    </row>
    <row r="349" spans="1:126" hidden="1" x14ac:dyDescent="0.25">
      <c r="A349" s="112">
        <v>347</v>
      </c>
      <c r="B349" s="111" t="s">
        <v>3</v>
      </c>
      <c r="C349" s="111">
        <v>18</v>
      </c>
      <c r="D349" s="111">
        <v>7</v>
      </c>
      <c r="E349" s="111">
        <v>1</v>
      </c>
      <c r="F349" s="105">
        <v>14.3</v>
      </c>
      <c r="G349" s="105"/>
      <c r="H349" s="105"/>
      <c r="I349" s="94">
        <f>SUM(ППД5[[#This Row],[Комната 1]:[Комната 3]])</f>
        <v>14.3</v>
      </c>
      <c r="J349" s="105">
        <v>9.2799999999999994</v>
      </c>
      <c r="K349" s="105">
        <v>3.79</v>
      </c>
      <c r="L349" s="105"/>
      <c r="M349" s="105"/>
      <c r="N349" s="105">
        <v>6.08</v>
      </c>
      <c r="O349" s="105">
        <v>2.71</v>
      </c>
      <c r="P349" s="105"/>
      <c r="Q349" s="105"/>
      <c r="R349" s="105">
        <f>SUM(ППД5[[#This Row],[Лоджия 1]:[Лоджия 3]])</f>
        <v>2.71</v>
      </c>
      <c r="S349" s="8">
        <f>ROUND(SUM(ППД5[[#This Row],[Площадь по проекту жилая]:[Лоджия 3]]),2)</f>
        <v>36.159999999999997</v>
      </c>
      <c r="T349" s="8">
        <f>ROUND(ППД5[[#This Row],[Площадь по проекту(общая)]]-ППД5[[#This Row],[Летние]],2)</f>
        <v>33.450000000000003</v>
      </c>
      <c r="U349" s="91">
        <f>ROUND(ППД5[[#This Row],[Площадь по проекту(общая)]]-(SUM(ППД5[[#This Row],[Лоджия 1]:[Лоджия 3]])/2),2)</f>
        <v>34.81</v>
      </c>
      <c r="V349" s="91">
        <f>IF(ППД5[[#This Row],[Статус]]="продажа",ППД5[[#This Row],[Расчетная проектная площадь]],ППД5[[#This Row],[Расчетная ТП площадь]])</f>
        <v>34.81</v>
      </c>
      <c r="W349" s="91">
        <v>14.2</v>
      </c>
      <c r="X349" s="91"/>
      <c r="Y349" s="91"/>
      <c r="Z349" s="91">
        <f>SUM(ППД5[[#This Row],[ТП Комната 1]:[ТП Комната 3]])</f>
        <v>14.2</v>
      </c>
      <c r="AA349" s="91">
        <v>9.1</v>
      </c>
      <c r="AB349" s="91">
        <v>3.8</v>
      </c>
      <c r="AC349" s="91"/>
      <c r="AD349" s="91"/>
      <c r="AE349" s="91">
        <v>6.2</v>
      </c>
      <c r="AF349" s="91">
        <v>1.35</v>
      </c>
      <c r="AG349" s="91"/>
      <c r="AH349" s="91"/>
      <c r="AI349" s="91">
        <f>SUM(ППД5[[#This Row],[ТП Лоджия 1]:[ТП Лоджия 3]])</f>
        <v>1.35</v>
      </c>
      <c r="AJ349" s="95">
        <v>2.7</v>
      </c>
      <c r="AK349" s="91">
        <f>SUM(ППД5[[#This Row],[Площадь по ТП жилая]:[ТП Лоджия 3]])-ППД5[[#This Row],[ТП Летние]]+ППД5[[#This Row],[кроме того прочая
(без коэффициента)]]</f>
        <v>36</v>
      </c>
      <c r="AL349" s="95">
        <f>ППД5[[#This Row],[ТП Площадь без летних]]+(ППД5[[#This Row],[ТП Летние]])</f>
        <v>34.65</v>
      </c>
      <c r="AM349" s="91">
        <f>ППД5[[#This Row],[ТП общая S]]-ППД5[[#This Row],[кроме того прочая
(без коэффициента)]]</f>
        <v>33.299999999999997</v>
      </c>
      <c r="AN349" s="95">
        <f>SUM(ППД5[[#This Row],[ТП Кухня]:[ТП Коридор]])</f>
        <v>19.099999999999998</v>
      </c>
      <c r="AO349" s="91">
        <f>ППД5[[#This Row],[Расчетная ТП площадь]]-ППД5[[#This Row],[Расчетная проектная площадь]]</f>
        <v>-0.16000000000000369</v>
      </c>
      <c r="AP349" s="335">
        <f>ППД5[[#This Row],[Расчетная ТП площадь]]/ППД5[[#This Row],[Расчетная проектная площадь]]-1</f>
        <v>-4.5963803504741607E-3</v>
      </c>
      <c r="AQ349" s="91">
        <f>ППД5[[#This Row],[% расхождения]]*ППД5[[#This Row],[Стоимость до скидки]]</f>
        <v>-19847.170353347425</v>
      </c>
      <c r="AR349" s="91">
        <f>VLOOKUP(ППД5[[#This Row],[№]],наценкад5[],COLUMN(наценкад5[[#This Row],[Цена м2 с учетом всех K]]),0)</f>
        <v>85573.6875</v>
      </c>
      <c r="AS349" s="8">
        <f>ППД5[[#This Row],[м2 после К]]*5%</f>
        <v>4278.6843749999998</v>
      </c>
      <c r="AT349" s="8">
        <f>ППД5[[#This Row],[м2 после К]]+ППД5[[#This Row],[Повышение 16.08.23 - 5%]]</f>
        <v>89852.371874999997</v>
      </c>
      <c r="AU349" s="93">
        <f>ППД5[[#This Row],[Фикс 16.08.23]]*3%</f>
        <v>2695.5711562499996</v>
      </c>
      <c r="AV349" s="93">
        <f>ППД5[[#This Row],[Фикс 16.08.23]]+ППД5[[#This Row],[Повышение 29.08.23 - 3%]]</f>
        <v>92547.94303124999</v>
      </c>
      <c r="AW349" s="93">
        <f>ППД5[[#This Row],[Фикс 29.08.23]]*14%</f>
        <v>12956.712024375</v>
      </c>
      <c r="AX349" s="93">
        <f>ППД5[[#This Row],[Фикс 29.08.23]]+ППД5[[#This Row],[Повышение 06.09.23 СТ и 1К]]</f>
        <v>105504.65505562499</v>
      </c>
      <c r="AY349" s="93"/>
      <c r="AZ349" s="93">
        <f>ППД5[[#This Row],[Повышение 23.10.23  В4 ]]+ППД5[[#This Row],[Фикс 06.09.23]]</f>
        <v>105504.65505562499</v>
      </c>
      <c r="BA349" s="93">
        <f>ППД5[[#This Row],[Фикс 23.10.23]]*5%</f>
        <v>5275.2327527812495</v>
      </c>
      <c r="BB349" s="93">
        <f>ППД5[[#This Row],[Повышение 8.11.23 1К 5%]]+ППД5[[#This Row],[Фикс 23.10.23]]</f>
        <v>110779.88780840623</v>
      </c>
      <c r="BC349" s="93"/>
      <c r="BD349" s="93">
        <f>ППД5[[#This Row],[Корректировка 24.11.23 - 1К В5, 2К А2, №233]]+ППД5[[#This Row],[Фикс 8.11.23]]</f>
        <v>110779.88780840623</v>
      </c>
      <c r="BE349" s="93">
        <f>ППД5[[#This Row],[Фикс 8.11.24]]*1%</f>
        <v>1107.7988780840624</v>
      </c>
      <c r="BF349" s="93">
        <f>ППД5[[#This Row],[Наценка за отделку 29.12.23 1%]]+ППД5[[#This Row],[Фикс 8.11.24]]</f>
        <v>111887.6866864903</v>
      </c>
      <c r="BG349" s="93">
        <f>ППД5[[#This Row],[Фикс 29.12.23]]*5%</f>
        <v>5594.3843343245153</v>
      </c>
      <c r="BH349" s="93">
        <f>ППД5[[#This Row],[Фикс 29.12.23]]+ППД5[[#This Row],[Наценка 10.01.24 5%]]</f>
        <v>117482.07102081481</v>
      </c>
      <c r="BI349" s="93"/>
      <c r="BJ349" s="93">
        <f>ППД5[[#This Row],[Наценка 26.02.24 1 Этаж]]+ППД5[[#This Row],[Фикс 10.01.24]]</f>
        <v>117482.07102081481</v>
      </c>
      <c r="BK349" s="93">
        <f>ППД5[[#This Row],[Фикс 26.02.24]]*3%</f>
        <v>3524.4621306244439</v>
      </c>
      <c r="BL349" s="93">
        <f>ППД5[[#This Row],[Фикс 26.02.24]]+ППД5[[#This Row],[Наценка 06.03.24
СТ, 1К - 3%
2К, 3К - 2%]]</f>
        <v>121006.53315143925</v>
      </c>
      <c r="BM349" s="93"/>
      <c r="BN349" s="93">
        <f>ППД5[[#This Row],[Фикс 06.03.24]]+ППД5[[#This Row],[Наценка Г2+500]]</f>
        <v>121006.53315143925</v>
      </c>
      <c r="BO349" s="93"/>
      <c r="BP349" s="93">
        <f>ППД5[[#This Row],[Фикс 13.03.25]]+ППД5[[#This Row],[Наценка 20.03.24
2К, 3К - 2%]]</f>
        <v>121006.53315143925</v>
      </c>
      <c r="BQ349" s="93"/>
      <c r="BR349" s="93">
        <f>ППД5[[#This Row],[Фикс 20.03.24]]+ППД5[[#This Row],[Наценка 08.04.24 
2К: В3 - 150
3К: Г7 +1000]]</f>
        <v>121006.53315143925</v>
      </c>
      <c r="BS349" s="93"/>
      <c r="BT349" s="93">
        <f>ППД5[[#This Row],[Фикс 08.04.24]]+ППД5[[#This Row],[Наценка 16.05.24 1%
А4,А6,Б3,Б6,Б7,В2,В3,В5,В6,Г1,Г3-Г5]]</f>
        <v>121006.53315143925</v>
      </c>
      <c r="BU349" s="93"/>
      <c r="BV349" s="93">
        <f>ППД5[[#This Row],[Фикс 16.05.24]]+ППД5[[#This Row],[Наценка 24.05.24
1% - Б4, Б5,Г2,Г6
2% - А1,А3,А5,Б2,Г7]]</f>
        <v>121006.53315143925</v>
      </c>
      <c r="BW349" s="93"/>
      <c r="BX349" s="93">
        <f>ППД5[[#This Row],[Наценка 06.06.24
0К: В2,Г3 +0,5%
1К: А7, Б5/4, Г6 +0,5%
3К: В6 +0,5%
1К: А3 +1%]]+ППД5[[#This Row],[Фикс 24.05.24]]</f>
        <v>121006.53315143925</v>
      </c>
      <c r="BY349" s="93"/>
      <c r="BZ349" s="93">
        <f>ППД5[[#This Row],[Фикс 06.06.24]]+ППД5[[#This Row],[13.06.2024
3К - 2%]]</f>
        <v>121006.53315143925</v>
      </c>
      <c r="CA349" s="93">
        <f>0.5%*ППД5[[#This Row],[Фикс 13.06.24]]</f>
        <v>605.03266575719624</v>
      </c>
      <c r="CB349" s="93">
        <f>ППД5[[#This Row],[02.07.2024: Г3 А1 А3 Б5 Б7 Г2 Г6 Б3 Б4 В3 Г7 2,5% ост 0,5-1,5%]]+ППД5[[#This Row],[Фикс 13.06.24]]</f>
        <v>121611.56581719645</v>
      </c>
      <c r="CC349" s="93"/>
      <c r="CD349" s="93">
        <f>ППД5[[#This Row],[Фикс 02.07.24]]+ППД5[[#This Row],[04.09.2024 +500
0К - Б2; 1К - А3;
2К - А6, Б4, В3, Г5]]</f>
        <v>121611.56581719645</v>
      </c>
      <c r="CE349" s="93">
        <f>ППД5[[#This Row],[Фикс 04.09.24]]*2%</f>
        <v>2432.2313163439289</v>
      </c>
      <c r="CF349" s="93">
        <f>ППД5[[#This Row],[Наценка 16.09.2024
1К: А1,В7,Г6/7,Г8 - 2%
2К: А4,А5,А6,Б1,Б6,Б3/4,В3,В4,Г4,Г5 - 4%
3К: 4%]]+ППД5[[#This Row],[Фикс 04.09.24]]</f>
        <v>124043.79713354037</v>
      </c>
      <c r="CG349" s="93"/>
      <c r="CH349" s="93">
        <f>ППД5[[#This Row],[Фикс 16.09.2024]]+ППД5[[#This Row],[Наценка 01.11.24
СТ: 4%
1К: 34-40м 5%; 40м+ 8%; МГН 1%
2К: 55-70м 6%; 70-73м 7%; 73-76м 8% 
3К: 5%]]</f>
        <v>124043.79713354037</v>
      </c>
      <c r="CI349" s="93"/>
      <c r="CJ349" s="93">
        <f>ППД5[[#This Row],[Наценка 06.11 13%]]+ППД5[[#This Row],[Фикс 01.11.24]]</f>
        <v>124043.79713354037</v>
      </c>
      <c r="CK349" s="93"/>
      <c r="CL349" s="93">
        <f>ППД5[[#This Row],[Фикс 06.11.24]]+ППД5[[#This Row],[Наценка 18.12.24 распределение КВ]]</f>
        <v>124043.79713354037</v>
      </c>
      <c r="CM349" s="93"/>
      <c r="CN349" s="93">
        <f>ППД5[[#This Row],[Фикс 18.12.24]]+ППД5[[#This Row],[Наценка 10.02.25 +1%
1К: А3
2К: Б3, В3]]</f>
        <v>124043.79713354037</v>
      </c>
      <c r="CO349" s="93">
        <f>ROUND(ППД5[[#This Row],[Фикс 10.02.25]],2)</f>
        <v>124043.8</v>
      </c>
      <c r="CP34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4318000</v>
      </c>
      <c r="CQ349" s="93">
        <f>ROUNDUP(ППД5[[#This Row],[Стоимость до скидки]]+ППД5[[#This Row],[Сумма доплаты]],-2)</f>
        <v>4298200</v>
      </c>
      <c r="CR349" s="68"/>
      <c r="CS349" s="90"/>
      <c r="CT349" s="68">
        <f>ППД5[[#This Row],[Стоимость до скидки]]*ППД5[[#This Row],[Скидка %]]+ППД5[[#This Row],[Скидка фиксированная]]</f>
        <v>0</v>
      </c>
      <c r="CU349" s="3">
        <f>ППД5[[#This Row],[Стоимость ОН без отделки со скидкой]]/ППД5[[#This Row],[Расчетная проектная площадь]]</f>
        <v>124044.81470841711</v>
      </c>
      <c r="CV349" s="3">
        <f>ROUND(ППД5[[#This Row],[Стоимость до скидки]]-ППД5[[#This Row],[Итоговая сумма скидки]],2)</f>
        <v>4318000</v>
      </c>
      <c r="CW34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349" s="197">
        <v>8000</v>
      </c>
      <c r="CY349" s="332">
        <f>ППД5[[#This Row],[Расхождение]]/ППД5[[#This Row],[Расчетная проектная площадь]]</f>
        <v>-4.5963803504741078E-3</v>
      </c>
      <c r="CZ34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-5.0000000000002487E-2</v>
      </c>
      <c r="DA349" s="3">
        <f>ППД5[[#This Row],[Цена м2 без отделки со скидкой]]+ППД5[[#This Row],[Стоимость отделки]]</f>
        <v>132044.81470841711</v>
      </c>
      <c r="DB349" s="3">
        <f>ППД5[[#This Row],[Стоимость квартиры с отделкой]]-ППД5[[#This Row],[Стоимость ОН без отделки со скидкой]]</f>
        <v>278480</v>
      </c>
      <c r="DC349" s="3">
        <f>ППД5[[#This Row],[Цена м2 с отделкой]]*ППД5[[#This Row],[Расчетная проектная площадь]]</f>
        <v>4596480</v>
      </c>
      <c r="DD349" s="3" t="s">
        <v>154</v>
      </c>
      <c r="DF349" s="211" t="s">
        <v>172</v>
      </c>
      <c r="DG349" s="245" t="s">
        <v>172</v>
      </c>
      <c r="DH349" s="100" t="b">
        <f>EXACT(ППД5[[#This Row],[Статусы CRM]],ППД5[[#This Row],[Статус]])</f>
        <v>1</v>
      </c>
      <c r="DI349" s="213" t="s">
        <v>521</v>
      </c>
      <c r="DJ349" s="204"/>
      <c r="DK349" s="111" t="s">
        <v>763</v>
      </c>
      <c r="DL349" s="216" t="s">
        <v>780</v>
      </c>
      <c r="DM349" s="201" t="b">
        <f>ППД5[[#This Row],[Отделка CRM]]=ППД5[[#This Row],[Отделка]]</f>
        <v>1</v>
      </c>
      <c r="DN349" s="203">
        <v>4596480</v>
      </c>
      <c r="DO34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49" s="207" t="b">
        <f>IF(AND(ППД5[[#This Row],[Статус]]="свободно",ППД5[[#This Row],[Итоговая сумма скидки]]&lt;&gt;0),FALSE,TRUE)</f>
        <v>1</v>
      </c>
      <c r="DQ349" s="240">
        <f>_xlfn.XLOOKUP(ППД5[[#This Row],[№]],Юрист[№ кв],Юрист[Дата подачи на регистрацию]," ",0,-1)</f>
        <v>45588</v>
      </c>
      <c r="DR349" s="115" t="str">
        <f>_xlfn.XLOOKUP(ППД5[[#This Row],[№]],Юрист[№ кв],Юрист[МОП],"",0,-1)</f>
        <v>Дик</v>
      </c>
      <c r="DS349" s="333" t="s">
        <v>2990</v>
      </c>
      <c r="DT349" s="333" t="s">
        <v>2991</v>
      </c>
      <c r="DU349" s="333">
        <v>33.299999999999997</v>
      </c>
      <c r="DV349" s="111"/>
    </row>
    <row r="350" spans="1:126" hidden="1" x14ac:dyDescent="0.25">
      <c r="A350" s="112">
        <v>348</v>
      </c>
      <c r="B350" s="111" t="s">
        <v>3</v>
      </c>
      <c r="C350" s="111">
        <v>19</v>
      </c>
      <c r="D350" s="338">
        <v>1</v>
      </c>
      <c r="E350" s="111">
        <v>2</v>
      </c>
      <c r="F350" s="105">
        <v>17.63</v>
      </c>
      <c r="G350" s="105">
        <v>13.69</v>
      </c>
      <c r="H350" s="105"/>
      <c r="I350" s="94">
        <f>SUM(ППД5[[#This Row],[Комната 1]:[Комната 3]])</f>
        <v>31.32</v>
      </c>
      <c r="J350" s="105">
        <v>20.05</v>
      </c>
      <c r="K350" s="105">
        <v>3.54</v>
      </c>
      <c r="L350" s="105">
        <v>2.93</v>
      </c>
      <c r="M350" s="105"/>
      <c r="N350" s="105">
        <v>12.19</v>
      </c>
      <c r="O350" s="105">
        <v>4.6500000000000004</v>
      </c>
      <c r="P350" s="105">
        <v>2.68</v>
      </c>
      <c r="Q350" s="105"/>
      <c r="R350" s="105">
        <f>SUM(ППД5[[#This Row],[Лоджия 1]:[Лоджия 3]])</f>
        <v>7.33</v>
      </c>
      <c r="S350" s="8">
        <f>ROUND(SUM(ППД5[[#This Row],[Площадь по проекту жилая]:[Лоджия 3]]),2)</f>
        <v>77.36</v>
      </c>
      <c r="T350" s="8">
        <f>ROUND(ППД5[[#This Row],[Площадь по проекту(общая)]]-ППД5[[#This Row],[Летние]],2)</f>
        <v>70.03</v>
      </c>
      <c r="U350" s="91">
        <f>ROUND(ППД5[[#This Row],[Площадь по проекту(общая)]]-(SUM(ППД5[[#This Row],[Лоджия 1]:[Лоджия 3]])/2),2)</f>
        <v>73.7</v>
      </c>
      <c r="V350" s="91">
        <f>IF(ППД5[[#This Row],[Статус]]="продажа",ППД5[[#This Row],[Расчетная проектная площадь]],ППД5[[#This Row],[Расчетная ТП площадь]])</f>
        <v>73.149999999999991</v>
      </c>
      <c r="W350" s="91">
        <v>17.5</v>
      </c>
      <c r="X350" s="91">
        <v>13.6</v>
      </c>
      <c r="Y350" s="91"/>
      <c r="Z350" s="91">
        <f>SUM(ППД5[[#This Row],[ТП Комната 1]:[ТП Комната 3]])</f>
        <v>31.1</v>
      </c>
      <c r="AA350" s="91">
        <v>20</v>
      </c>
      <c r="AB350" s="91">
        <v>3.6</v>
      </c>
      <c r="AC350" s="91">
        <v>2.9</v>
      </c>
      <c r="AD350" s="91"/>
      <c r="AE350" s="91">
        <v>11.9</v>
      </c>
      <c r="AF350" s="91">
        <v>1.35</v>
      </c>
      <c r="AG350" s="91">
        <v>2.2999999999999998</v>
      </c>
      <c r="AH350" s="91"/>
      <c r="AI350" s="91">
        <f>SUM(ППД5[[#This Row],[ТП Лоджия 1]:[ТП Лоджия 3]])</f>
        <v>3.65</v>
      </c>
      <c r="AJ350" s="95">
        <v>7.3</v>
      </c>
      <c r="AK350" s="91">
        <f>SUM(ППД5[[#This Row],[Площадь по ТП жилая]:[ТП Лоджия 3]])-ППД5[[#This Row],[ТП Летние]]+ППД5[[#This Row],[кроме того прочая
(без коэффициента)]]</f>
        <v>76.799999999999983</v>
      </c>
      <c r="AL350" s="95">
        <f>ППД5[[#This Row],[ТП Площадь без летних]]+(ППД5[[#This Row],[ТП Летние]])</f>
        <v>73.149999999999991</v>
      </c>
      <c r="AM350" s="91">
        <f>ППД5[[#This Row],[ТП общая S]]-ППД5[[#This Row],[кроме того прочая
(без коэффициента)]]</f>
        <v>69.499999999999986</v>
      </c>
      <c r="AN350" s="95">
        <f>SUM(ППД5[[#This Row],[ТП Кухня]:[ТП Коридор]])</f>
        <v>38.4</v>
      </c>
      <c r="AO350" s="91">
        <f>ППД5[[#This Row],[Расчетная ТП площадь]]-ППД5[[#This Row],[Расчетная проектная площадь]]</f>
        <v>-0.55000000000001137</v>
      </c>
      <c r="AP350" s="335">
        <f>ППД5[[#This Row],[Расчетная ТП площадь]]/ППД5[[#This Row],[Расчетная проектная площадь]]-1</f>
        <v>-7.4626865671643117E-3</v>
      </c>
      <c r="AQ350" s="91">
        <f>ППД5[[#This Row],[% расхождения]]*ППД5[[#This Row],[Стоимость до скидки]]</f>
        <v>-68392.537313434048</v>
      </c>
      <c r="AR350" s="91">
        <f>VLOOKUP(ППД5[[#This Row],[№]],наценкад5[],COLUMN(наценкад5[[#This Row],[Цена м2 с учетом всех K]]),0)</f>
        <v>84941.010000000009</v>
      </c>
      <c r="AS350" s="8">
        <f>ППД5[[#This Row],[м2 после К]]*5%</f>
        <v>4247.0505000000003</v>
      </c>
      <c r="AT350" s="8">
        <f>ППД5[[#This Row],[м2 после К]]+ППД5[[#This Row],[Повышение 16.08.23 - 5%]]</f>
        <v>89188.060500000007</v>
      </c>
      <c r="AU350" s="93">
        <f>ППД5[[#This Row],[Фикс 16.08.23]]*3%</f>
        <v>2675.641815</v>
      </c>
      <c r="AV350" s="93">
        <f>ППД5[[#This Row],[Фикс 16.08.23]]+ППД5[[#This Row],[Повышение 29.08.23 - 3%]]</f>
        <v>91863.702315000002</v>
      </c>
      <c r="AW350" s="93"/>
      <c r="AX350" s="93">
        <f>ППД5[[#This Row],[Фикс 29.08.23]]+ППД5[[#This Row],[Повышение 06.09.23 СТ и 1К]]</f>
        <v>91863.702315000002</v>
      </c>
      <c r="AY350" s="93"/>
      <c r="AZ350" s="93">
        <f>ППД5[[#This Row],[Повышение 23.10.23  В4 ]]+ППД5[[#This Row],[Фикс 06.09.23]]</f>
        <v>91863.702315000002</v>
      </c>
      <c r="BA350" s="93"/>
      <c r="BB350" s="93">
        <f>ППД5[[#This Row],[Повышение 8.11.23 1К 5%]]+ППД5[[#This Row],[Фикс 23.10.23]]</f>
        <v>91863.702315000002</v>
      </c>
      <c r="BC350" s="93"/>
      <c r="BD350" s="93">
        <f>ППД5[[#This Row],[Корректировка 24.11.23 - 1К В5, 2К А2, №233]]+ППД5[[#This Row],[Фикс 8.11.23]]</f>
        <v>91863.702315000002</v>
      </c>
      <c r="BE350" s="93">
        <f>ППД5[[#This Row],[Фикс 8.11.24]]*1%</f>
        <v>918.63702315</v>
      </c>
      <c r="BF350" s="93">
        <f>ППД5[[#This Row],[Наценка за отделку 29.12.23 1%]]+ППД5[[#This Row],[Фикс 8.11.24]]</f>
        <v>92782.339338150006</v>
      </c>
      <c r="BG350" s="93">
        <f>ППД5[[#This Row],[Фикс 29.12.23]]*5%</f>
        <v>4639.1169669075007</v>
      </c>
      <c r="BH350" s="93">
        <f>ППД5[[#This Row],[Фикс 29.12.23]]+ППД5[[#This Row],[Наценка 10.01.24 5%]]</f>
        <v>97421.456305057509</v>
      </c>
      <c r="BI350" s="93"/>
      <c r="BJ350" s="93">
        <f>ППД5[[#This Row],[Наценка 26.02.24 1 Этаж]]+ППД5[[#This Row],[Фикс 10.01.24]]</f>
        <v>97421.456305057509</v>
      </c>
      <c r="BK350" s="93">
        <f>ППД5[[#This Row],[Фикс 26.02.24]]*2%</f>
        <v>1948.4291261011501</v>
      </c>
      <c r="BL350" s="93">
        <f>ППД5[[#This Row],[Фикс 26.02.24]]+ППД5[[#This Row],[Наценка 06.03.24
СТ, 1К - 3%
2К, 3К - 2%]]</f>
        <v>99369.885431158662</v>
      </c>
      <c r="BM350" s="93"/>
      <c r="BN350" s="93">
        <f>ППД5[[#This Row],[Фикс 06.03.24]]+ППД5[[#This Row],[Наценка Г2+500]]</f>
        <v>99369.885431158662</v>
      </c>
      <c r="BO350" s="93">
        <f>ППД5[[#This Row],[Фикс 13.03.25]]*2%</f>
        <v>1987.3977086231732</v>
      </c>
      <c r="BP350" s="93">
        <f>ППД5[[#This Row],[Фикс 13.03.25]]+ППД5[[#This Row],[Наценка 20.03.24
2К, 3К - 2%]]</f>
        <v>101357.28313978184</v>
      </c>
      <c r="BQ350" s="93"/>
      <c r="BR350" s="93">
        <f>ППД5[[#This Row],[Фикс 20.03.24]]+ППД5[[#This Row],[Наценка 08.04.24 
2К: В3 - 150
3К: Г7 +1000]]</f>
        <v>101357.28313978184</v>
      </c>
      <c r="BS350" s="93"/>
      <c r="BT350" s="93">
        <f>ППД5[[#This Row],[Фикс 08.04.24]]+ППД5[[#This Row],[Наценка 16.05.24 1%
А4,А6,Б3,Б6,Б7,В2,В3,В5,В6,Г1,Г3-Г5]]</f>
        <v>101357.28313978184</v>
      </c>
      <c r="BU350" s="93"/>
      <c r="BV350" s="93">
        <f>ППД5[[#This Row],[Фикс 16.05.24]]+ППД5[[#This Row],[Наценка 24.05.24
1% - Б4, Б5,Г2,Г6
2% - А1,А3,А5,Б2,Г7]]</f>
        <v>101357.28313978184</v>
      </c>
      <c r="BW350" s="93"/>
      <c r="BX350" s="93">
        <f>ППД5[[#This Row],[Наценка 06.06.24
0К: В2,Г3 +0,5%
1К: А7, Б5/4, Г6 +0,5%
3К: В6 +0,5%
1К: А3 +1%]]+ППД5[[#This Row],[Фикс 24.05.24]]</f>
        <v>101357.28313978184</v>
      </c>
      <c r="BY350" s="93"/>
      <c r="BZ350" s="93">
        <f>ППД5[[#This Row],[Фикс 06.06.24]]+ППД5[[#This Row],[13.06.2024
3К - 2%]]</f>
        <v>101357.28313978184</v>
      </c>
      <c r="CA350" s="93">
        <f>0.5%*ППД5[[#This Row],[Фикс 13.06.24]]</f>
        <v>506.7864156989092</v>
      </c>
      <c r="CB350" s="93">
        <f>ППД5[[#This Row],[02.07.2024: Г3 А1 А3 Б5 Б7 Г2 Г6 Б3 Б4 В3 Г7 2,5% ост 0,5-1,5%]]+ППД5[[#This Row],[Фикс 13.06.24]]</f>
        <v>101864.06955548075</v>
      </c>
      <c r="CC350" s="93"/>
      <c r="CD350" s="93">
        <f>ППД5[[#This Row],[Фикс 02.07.24]]+ППД5[[#This Row],[04.09.2024 +500
0К - Б2; 1К - А3;
2К - А6, Б4, В3, Г5]]</f>
        <v>101864.06955548075</v>
      </c>
      <c r="CE350" s="93"/>
      <c r="CF350" s="93">
        <f>ППД5[[#This Row],[Наценка 16.09.2024
1К: А1,В7,Г6/7,Г8 - 2%
2К: А4,А5,А6,Б1,Б6,Б3/4,В3,В4,Г4,Г5 - 4%
3К: 4%]]+ППД5[[#This Row],[Фикс 04.09.24]]</f>
        <v>101864.06955548075</v>
      </c>
      <c r="CG350" s="93">
        <f>ППД5[[#This Row],[Фикс 16.09.2024]]*8%</f>
        <v>8149.1255644384601</v>
      </c>
      <c r="CH350" s="93">
        <f>ППД5[[#This Row],[Фикс 16.09.2024]]+ППД5[[#This Row],[Наценка 01.11.24
СТ: 4%
1К: 34-40м 5%; 40м+ 8%; МГН 1%
2К: 55-70м 6%; 70-73м 7%; 73-76м 8% 
3К: 5%]]</f>
        <v>110013.19511991921</v>
      </c>
      <c r="CI350" s="93">
        <f>ППД5[[#This Row],[Фикс 01.11.24]]*13%</f>
        <v>14301.715365589498</v>
      </c>
      <c r="CJ350" s="93">
        <f>ППД5[[#This Row],[Наценка 06.11 13%]]+ППД5[[#This Row],[Фикс 01.11.24]]</f>
        <v>124314.91048550871</v>
      </c>
      <c r="CK350" s="93">
        <v>35</v>
      </c>
      <c r="CL350" s="93">
        <f>ППД5[[#This Row],[Фикс 06.11.24]]+ППД5[[#This Row],[Наценка 18.12.24 распределение КВ]]</f>
        <v>124349.91048550871</v>
      </c>
      <c r="CM350" s="93"/>
      <c r="CN350" s="93">
        <f>ППД5[[#This Row],[Фикс 18.12.24]]+ППД5[[#This Row],[Наценка 10.02.25 +1%
1К: А3
2К: Б3, В3]]</f>
        <v>124349.91048550871</v>
      </c>
      <c r="CO350" s="93">
        <f>ROUND(ППД5[[#This Row],[Фикс 10.02.25]],2)</f>
        <v>124349.91</v>
      </c>
      <c r="CP35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9164600</v>
      </c>
      <c r="CQ350" s="93">
        <f>ROUNDUP(ППД5[[#This Row],[Стоимость до скидки]]+ППД5[[#This Row],[Сумма доплаты]],-2)</f>
        <v>9096300</v>
      </c>
      <c r="CR350" s="68"/>
      <c r="CS350" s="90"/>
      <c r="CT350" s="68">
        <f>ППД5[[#This Row],[Стоимость до скидки]]*ППД5[[#This Row],[Скидка %]]+ППД5[[#This Row],[Скидка фиксированная]]</f>
        <v>0</v>
      </c>
      <c r="CU350" s="3">
        <f>ППД5[[#This Row],[Стоимость ОН без отделки со скидкой]]/ППД5[[#This Row],[Расчетная проектная площадь]]</f>
        <v>124350.06784260515</v>
      </c>
      <c r="CV350" s="3">
        <f>ROUND(ППД5[[#This Row],[Стоимость до скидки]]-ППД5[[#This Row],[Итоговая сумма скидки]],2)</f>
        <v>9164600</v>
      </c>
      <c r="CW35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350" s="218">
        <v>10000</v>
      </c>
      <c r="CY350" s="332">
        <f>ППД5[[#This Row],[Расхождение]]/ППД5[[#This Row],[Расчетная проектная площадь]]</f>
        <v>-7.4626865671643334E-3</v>
      </c>
      <c r="CZ350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-0.30999999999999872</v>
      </c>
      <c r="DA350" s="3">
        <f>ППД5[[#This Row],[Цена м2 без отделки со скидкой]]+ППД5[[#This Row],[Стоимость отделки]]</f>
        <v>134350.06784260515</v>
      </c>
      <c r="DB350" s="3">
        <f>ППД5[[#This Row],[Стоимость квартиры с отделкой]]-ППД5[[#This Row],[Стоимость ОН без отделки со скидкой]]</f>
        <v>737000</v>
      </c>
      <c r="DC350" s="3">
        <f>ППД5[[#This Row],[Цена м2 с отделкой]]*ППД5[[#This Row],[Расчетная проектная площадь]]</f>
        <v>9901600</v>
      </c>
      <c r="DD350" s="3" t="s">
        <v>158</v>
      </c>
      <c r="DF350" s="155" t="s">
        <v>157</v>
      </c>
      <c r="DG350" s="221" t="s">
        <v>157</v>
      </c>
      <c r="DH350" s="100" t="b">
        <f>EXACT(ППД5[[#This Row],[Статусы CRM]],ППД5[[#This Row],[Статус]])</f>
        <v>1</v>
      </c>
      <c r="DI350" s="213" t="s">
        <v>522</v>
      </c>
      <c r="DJ350" s="204"/>
      <c r="DK350" s="111" t="s">
        <v>763</v>
      </c>
      <c r="DL350" s="216" t="s">
        <v>780</v>
      </c>
      <c r="DM350" s="201" t="b">
        <f>ППД5[[#This Row],[Отделка CRM]]=ППД5[[#This Row],[Отделка]]</f>
        <v>1</v>
      </c>
      <c r="DN350" s="203">
        <v>9901600</v>
      </c>
      <c r="DO35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50" s="207" t="b">
        <f>IF(AND(ППД5[[#This Row],[Статус]]="свободно",ППД5[[#This Row],[Итоговая сумма скидки]]&lt;&gt;0),FALSE,TRUE)</f>
        <v>1</v>
      </c>
      <c r="DQ350" s="240" t="str">
        <f>_xlfn.XLOOKUP(ППД5[[#This Row],[№]],Юрист[№ кв],Юрист[Дата подачи на регистрацию]," ",0,-1)</f>
        <v xml:space="preserve"> </v>
      </c>
      <c r="DR350" s="115" t="str">
        <f>_xlfn.XLOOKUP(ППД5[[#This Row],[№]],Юрист[№ кв],Юрист[МОП],"",0,-1)</f>
        <v/>
      </c>
      <c r="DS350" s="333" t="s">
        <v>2992</v>
      </c>
      <c r="DT350" s="333" t="s">
        <v>2993</v>
      </c>
      <c r="DU350" s="333">
        <v>69.5</v>
      </c>
      <c r="DV350" s="111"/>
    </row>
    <row r="351" spans="1:126" ht="13.5" hidden="1" customHeight="1" x14ac:dyDescent="0.25">
      <c r="A351" s="112">
        <v>349</v>
      </c>
      <c r="B351" s="111" t="s">
        <v>3</v>
      </c>
      <c r="C351" s="111">
        <v>19</v>
      </c>
      <c r="D351" s="111">
        <v>2</v>
      </c>
      <c r="E351" s="111">
        <v>0</v>
      </c>
      <c r="F351" s="105">
        <v>7.18</v>
      </c>
      <c r="G351" s="105"/>
      <c r="H351" s="105"/>
      <c r="I351" s="94">
        <f>SUM(ППД5[[#This Row],[Комната 1]:[Комната 3]])</f>
        <v>7.18</v>
      </c>
      <c r="J351" s="105">
        <v>5.17</v>
      </c>
      <c r="K351" s="105">
        <v>3.72</v>
      </c>
      <c r="L351" s="105"/>
      <c r="M351" s="105"/>
      <c r="N351" s="105">
        <v>6.97</v>
      </c>
      <c r="O351" s="105">
        <v>2.97</v>
      </c>
      <c r="P351" s="105"/>
      <c r="Q351" s="105"/>
      <c r="R351" s="105">
        <f>SUM(ППД5[[#This Row],[Лоджия 1]:[Лоджия 3]])</f>
        <v>2.97</v>
      </c>
      <c r="S351" s="8">
        <f>ROUND(SUM(ППД5[[#This Row],[Площадь по проекту жилая]:[Лоджия 3]]),2)</f>
        <v>26.01</v>
      </c>
      <c r="T351" s="8">
        <f>ROUND(ППД5[[#This Row],[Площадь по проекту(общая)]]-ППД5[[#This Row],[Летние]],2)</f>
        <v>23.04</v>
      </c>
      <c r="U351" s="91">
        <f>ROUND(ППД5[[#This Row],[Площадь по проекту(общая)]]-(SUM(ППД5[[#This Row],[Лоджия 1]:[Лоджия 3]])/2),2)</f>
        <v>24.53</v>
      </c>
      <c r="V351" s="91">
        <f>IF(ППД5[[#This Row],[Статус]]="продажа",ППД5[[#This Row],[Расчетная проектная площадь]],ППД5[[#This Row],[Расчетная ТП площадь]])</f>
        <v>24.349999999999998</v>
      </c>
      <c r="W351" s="91">
        <v>7.2</v>
      </c>
      <c r="X351" s="91"/>
      <c r="Y351" s="91"/>
      <c r="Z351" s="91">
        <f>SUM(ППД5[[#This Row],[ТП Комната 1]:[ТП Комната 3]])</f>
        <v>7.2</v>
      </c>
      <c r="AA351" s="91">
        <v>5.0999999999999996</v>
      </c>
      <c r="AB351" s="91">
        <v>3.6</v>
      </c>
      <c r="AC351" s="91"/>
      <c r="AD351" s="91"/>
      <c r="AE351" s="91">
        <v>7</v>
      </c>
      <c r="AF351" s="91">
        <v>1.45</v>
      </c>
      <c r="AG351" s="91"/>
      <c r="AH351" s="91"/>
      <c r="AI351" s="91">
        <f>SUM(ППД5[[#This Row],[ТП Лоджия 1]:[ТП Лоджия 3]])</f>
        <v>1.45</v>
      </c>
      <c r="AJ351" s="95">
        <v>2.9</v>
      </c>
      <c r="AK351" s="91">
        <f>SUM(ППД5[[#This Row],[Площадь по ТП жилая]:[ТП Лоджия 3]])-ППД5[[#This Row],[ТП Летние]]+ППД5[[#This Row],[кроме того прочая
(без коэффициента)]]</f>
        <v>25.799999999999997</v>
      </c>
      <c r="AL351" s="95">
        <f>ППД5[[#This Row],[ТП Площадь без летних]]+(ППД5[[#This Row],[ТП Летние]])</f>
        <v>24.349999999999998</v>
      </c>
      <c r="AM351" s="91">
        <f>ППД5[[#This Row],[ТП общая S]]-ППД5[[#This Row],[кроме того прочая
(без коэффициента)]]</f>
        <v>22.9</v>
      </c>
      <c r="AN351" s="95">
        <f>SUM(ППД5[[#This Row],[ТП Кухня]:[ТП Коридор]])</f>
        <v>15.7</v>
      </c>
      <c r="AO351" s="91">
        <f>ППД5[[#This Row],[Расчетная ТП площадь]]-ППД5[[#This Row],[Расчетная проектная площадь]]</f>
        <v>-0.18000000000000327</v>
      </c>
      <c r="AP351" s="335">
        <f>ППД5[[#This Row],[Расчетная ТП площадь]]/ППД5[[#This Row],[Расчетная проектная площадь]]-1</f>
        <v>-7.3379535262945161E-3</v>
      </c>
      <c r="AQ351" s="91">
        <f>ППД5[[#This Row],[% расхождения]]*ППД5[[#This Row],[Стоимость до скидки]]</f>
        <v>-29093.518141052497</v>
      </c>
      <c r="AR351" s="91">
        <f>VLOOKUP(ППД5[[#This Row],[№]],наценкад5[],COLUMN(наценкад5[[#This Row],[Цена м2 с учетом всех K]]),0)</f>
        <v>98989.695000000007</v>
      </c>
      <c r="AS351" s="8">
        <f>ППД5[[#This Row],[м2 после К]]*5%</f>
        <v>4949.4847500000005</v>
      </c>
      <c r="AT351" s="8">
        <f>ППД5[[#This Row],[м2 после К]]+ППД5[[#This Row],[Повышение 16.08.23 - 5%]]</f>
        <v>103939.17975000001</v>
      </c>
      <c r="AU351" s="93">
        <f>ППД5[[#This Row],[Фикс 16.08.23]]*3%</f>
        <v>3118.1753925000003</v>
      </c>
      <c r="AV351" s="93">
        <f>ППД5[[#This Row],[Фикс 16.08.23]]+ППД5[[#This Row],[Повышение 29.08.23 - 3%]]</f>
        <v>107057.3551425</v>
      </c>
      <c r="AW351" s="93">
        <f>ППД5[[#This Row],[Фикс 29.08.23]]*13%</f>
        <v>13917.456168525001</v>
      </c>
      <c r="AX351" s="93">
        <f>ППД5[[#This Row],[Фикс 29.08.23]]+ППД5[[#This Row],[Повышение 06.09.23 СТ и 1К]]</f>
        <v>120974.811311025</v>
      </c>
      <c r="AY351" s="93">
        <f>ППД5[[#This Row],[Фикс 06.09.23]]*1%</f>
        <v>1209.74811311025</v>
      </c>
      <c r="AZ351" s="93">
        <f>ППД5[[#This Row],[Повышение 23.10.23  В4 ]]+ППД5[[#This Row],[Фикс 06.09.23]]</f>
        <v>122184.55942413525</v>
      </c>
      <c r="BA351" s="93"/>
      <c r="BB351" s="93">
        <f>ППД5[[#This Row],[Повышение 8.11.23 1К 5%]]+ППД5[[#This Row],[Фикс 23.10.23]]</f>
        <v>122184.55942413525</v>
      </c>
      <c r="BC351" s="93"/>
      <c r="BD351" s="93">
        <f>ППД5[[#This Row],[Корректировка 24.11.23 - 1К В5, 2К А2, №233]]+ППД5[[#This Row],[Фикс 8.11.23]]</f>
        <v>122184.55942413525</v>
      </c>
      <c r="BE351" s="93">
        <f>ППД5[[#This Row],[Фикс 8.11.24]]*1%</f>
        <v>1221.8455942413525</v>
      </c>
      <c r="BF351" s="93">
        <f>ППД5[[#This Row],[Наценка за отделку 29.12.23 1%]]+ППД5[[#This Row],[Фикс 8.11.24]]</f>
        <v>123406.40501837661</v>
      </c>
      <c r="BG351" s="93">
        <f>ППД5[[#This Row],[Фикс 29.12.23]]*5%</f>
        <v>6170.3202509188304</v>
      </c>
      <c r="BH351" s="93">
        <f>ППД5[[#This Row],[Фикс 29.12.23]]+ППД5[[#This Row],[Наценка 10.01.24 5%]]</f>
        <v>129576.72526929544</v>
      </c>
      <c r="BI351" s="93"/>
      <c r="BJ351" s="93">
        <f>ППД5[[#This Row],[Наценка 26.02.24 1 Этаж]]+ППД5[[#This Row],[Фикс 10.01.24]]</f>
        <v>129576.72526929544</v>
      </c>
      <c r="BK351" s="93">
        <f>ППД5[[#This Row],[Фикс 26.02.24]]*3%</f>
        <v>3887.3017580788628</v>
      </c>
      <c r="BL351" s="93">
        <f>ППД5[[#This Row],[Фикс 26.02.24]]+ППД5[[#This Row],[Наценка 06.03.24
СТ, 1К - 3%
2К, 3К - 2%]]</f>
        <v>133464.02702737431</v>
      </c>
      <c r="BM351" s="93"/>
      <c r="BN351" s="93">
        <f>ППД5[[#This Row],[Фикс 06.03.24]]+ППД5[[#This Row],[Наценка Г2+500]]</f>
        <v>133464.02702737431</v>
      </c>
      <c r="BO351" s="93"/>
      <c r="BP351" s="93">
        <f>ППД5[[#This Row],[Фикс 13.03.25]]+ППД5[[#This Row],[Наценка 20.03.24
2К, 3К - 2%]]</f>
        <v>133464.02702737431</v>
      </c>
      <c r="BQ351" s="93"/>
      <c r="BR351" s="93">
        <f>ППД5[[#This Row],[Фикс 20.03.24]]+ППД5[[#This Row],[Наценка 08.04.24 
2К: В3 - 150
3К: Г7 +1000]]</f>
        <v>133464.02702737431</v>
      </c>
      <c r="BS351" s="93">
        <f>ППД5[[#This Row],[Фикс 08.04.24]]*1%</f>
        <v>1334.640270273743</v>
      </c>
      <c r="BT351" s="93">
        <f>ППД5[[#This Row],[Фикс 08.04.24]]+ППД5[[#This Row],[Наценка 16.05.24 1%
А4,А6,Б3,Б6,Б7,В2,В3,В5,В6,Г1,Г3-Г5]]</f>
        <v>134798.66729764806</v>
      </c>
      <c r="BU351" s="93"/>
      <c r="BV351" s="93">
        <f>ППД5[[#This Row],[Фикс 16.05.24]]+ППД5[[#This Row],[Наценка 24.05.24
1% - Б4, Б5,Г2,Г6
2% - А1,А3,А5,Б2,Г7]]</f>
        <v>134798.66729764806</v>
      </c>
      <c r="BW351" s="93">
        <f>ППД5[[#This Row],[Фикс 24.05.24]]*0.5%</f>
        <v>673.99333648824029</v>
      </c>
      <c r="BX351" s="93">
        <f>ППД5[[#This Row],[Наценка 06.06.24
0К: В2,Г3 +0,5%
1К: А7, Б5/4, Г6 +0,5%
3К: В6 +0,5%
1К: А3 +1%]]+ППД5[[#This Row],[Фикс 24.05.24]]</f>
        <v>135472.66063413629</v>
      </c>
      <c r="BY351" s="93"/>
      <c r="BZ351" s="93">
        <f>ППД5[[#This Row],[Фикс 06.06.24]]+ППД5[[#This Row],[13.06.2024
3К - 2%]]</f>
        <v>135472.66063413629</v>
      </c>
      <c r="CA351" s="93">
        <f>1.5%*ППД5[[#This Row],[Фикс 13.06.24]]</f>
        <v>2032.0899095120444</v>
      </c>
      <c r="CB351" s="93">
        <f>ППД5[[#This Row],[02.07.2024: Г3 А1 А3 Б5 Б7 Г2 Г6 Б3 Б4 В3 Г7 2,5% ост 0,5-1,5%]]+ППД5[[#This Row],[Фикс 13.06.24]]</f>
        <v>137504.75054364835</v>
      </c>
      <c r="CC351" s="93"/>
      <c r="CD351" s="93">
        <f>ППД5[[#This Row],[Фикс 02.07.24]]+ППД5[[#This Row],[04.09.2024 +500
0К - Б2; 1К - А3;
2К - А6, Б4, В3, Г5]]</f>
        <v>137504.75054364835</v>
      </c>
      <c r="CE351" s="93"/>
      <c r="CF351" s="93">
        <f>ППД5[[#This Row],[Наценка 16.09.2024
1К: А1,В7,Г6/7,Г8 - 2%
2К: А4,А5,А6,Б1,Б6,Б3/4,В3,В4,Г4,Г5 - 4%
3К: 4%]]+ППД5[[#This Row],[Фикс 04.09.24]]</f>
        <v>137504.75054364835</v>
      </c>
      <c r="CG351" s="93">
        <f>ППД5[[#This Row],[Фикс 16.09.2024]]*4%</f>
        <v>5500.1900217459342</v>
      </c>
      <c r="CH351" s="93">
        <f>ППД5[[#This Row],[Фикс 16.09.2024]]+ППД5[[#This Row],[Наценка 01.11.24
СТ: 4%
1К: 34-40м 5%; 40м+ 8%; МГН 1%
2К: 55-70м 6%; 70-73м 7%; 73-76м 8% 
3К: 5%]]</f>
        <v>143004.9405653943</v>
      </c>
      <c r="CI351" s="93">
        <f>ППД5[[#This Row],[Фикс 01.11.24]]*13%</f>
        <v>18590.64227350126</v>
      </c>
      <c r="CJ351" s="93">
        <f>ППД5[[#This Row],[Наценка 06.11 13%]]+ППД5[[#This Row],[Фикс 01.11.24]]</f>
        <v>161595.58283889556</v>
      </c>
      <c r="CK351" s="93">
        <v>35</v>
      </c>
      <c r="CL351" s="93">
        <f>ППД5[[#This Row],[Фикс 06.11.24]]+ППД5[[#This Row],[Наценка 18.12.24 распределение КВ]]</f>
        <v>161630.58283889556</v>
      </c>
      <c r="CM351" s="93"/>
      <c r="CN351" s="93">
        <f>ППД5[[#This Row],[Фикс 18.12.24]]+ППД5[[#This Row],[Наценка 10.02.25 +1%
1К: А3
2К: Б3, В3]]</f>
        <v>161630.58283889556</v>
      </c>
      <c r="CO351" s="93">
        <f>ROUND(ППД5[[#This Row],[Фикс 10.02.25]],2)</f>
        <v>161630.57999999999</v>
      </c>
      <c r="CP35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3964800</v>
      </c>
      <c r="CQ351" s="93">
        <f>ROUNDUP(ППД5[[#This Row],[Стоимость до скидки]]+ППД5[[#This Row],[Сумма доплаты]],-2)</f>
        <v>3935800</v>
      </c>
      <c r="CR351" s="68"/>
      <c r="CS351" s="90"/>
      <c r="CT351" s="68">
        <f>ППД5[[#This Row],[Стоимость до скидки]]*ППД5[[#This Row],[Скидка %]]+ППД5[[#This Row],[Скидка фиксированная]]</f>
        <v>0</v>
      </c>
      <c r="CU351" s="3">
        <f>ППД5[[#This Row],[Стоимость ОН без отделки со скидкой]]/ППД5[[#This Row],[Расчетная проектная площадь]]</f>
        <v>161630.65633917652</v>
      </c>
      <c r="CV351" s="3">
        <f>ROUND(ППД5[[#This Row],[Стоимость до скидки]]-ППД5[[#This Row],[Итоговая сумма скидки]],2)</f>
        <v>3964800</v>
      </c>
      <c r="CW35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51" s="197"/>
      <c r="CY351" s="332">
        <f>ППД5[[#This Row],[Расхождение]]/ППД5[[#This Row],[Расчетная проектная площадь]]</f>
        <v>-7.3379535262944667E-3</v>
      </c>
      <c r="CZ35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-0.16000000000000014</v>
      </c>
      <c r="DA351" s="3">
        <f>ППД5[[#This Row],[Цена м2 без отделки со скидкой]]+ППД5[[#This Row],[Стоимость отделки]]</f>
        <v>161630.65633917652</v>
      </c>
      <c r="DB351" s="3">
        <f>ППД5[[#This Row],[Стоимость квартиры с отделкой]]-ППД5[[#This Row],[Стоимость ОН без отделки со скидкой]]</f>
        <v>0</v>
      </c>
      <c r="DC351" s="3">
        <f>ППД5[[#This Row],[Цена м2 с отделкой]]*ППД5[[#This Row],[Расчетная проектная площадь]]</f>
        <v>3964800.0000000005</v>
      </c>
      <c r="DD351" s="3"/>
      <c r="DF351" s="155" t="s">
        <v>161</v>
      </c>
      <c r="DG351" s="221" t="s">
        <v>161</v>
      </c>
      <c r="DH351" s="100" t="b">
        <f>EXACT(ППД5[[#This Row],[Статусы CRM]],ППД5[[#This Row],[Статус]])</f>
        <v>1</v>
      </c>
      <c r="DI351" s="213" t="s">
        <v>523</v>
      </c>
      <c r="DJ351" s="204"/>
      <c r="DK351" s="111" t="s">
        <v>763</v>
      </c>
      <c r="DL351" s="216" t="s">
        <v>12</v>
      </c>
      <c r="DM351" s="201" t="b">
        <f>ППД5[[#This Row],[Отделка CRM]]=ППД5[[#This Row],[Отделка]]</f>
        <v>1</v>
      </c>
      <c r="DN351" s="203">
        <v>3964800</v>
      </c>
      <c r="DO35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-4.6566128730773926E-10</v>
      </c>
      <c r="DP351" s="207" t="b">
        <f>IF(AND(ППД5[[#This Row],[Статус]]="свободно",ППД5[[#This Row],[Итоговая сумма скидки]]&lt;&gt;0),FALSE,TRUE)</f>
        <v>1</v>
      </c>
      <c r="DQ351" s="240" t="str">
        <f>_xlfn.XLOOKUP(ППД5[[#This Row],[№]],Юрист[№ кв],Юрист[Дата подачи на регистрацию]," ",0,-1)</f>
        <v xml:space="preserve"> </v>
      </c>
      <c r="DR351" s="115" t="str">
        <f>_xlfn.XLOOKUP(ППД5[[#This Row],[№]],Юрист[№ кв],Юрист[МОП],"",0,-1)</f>
        <v/>
      </c>
      <c r="DS351" s="333" t="s">
        <v>2994</v>
      </c>
      <c r="DT351" s="333" t="s">
        <v>2995</v>
      </c>
      <c r="DU351" s="333">
        <v>22.9</v>
      </c>
      <c r="DV351" s="111"/>
    </row>
    <row r="352" spans="1:126" hidden="1" x14ac:dyDescent="0.25">
      <c r="A352" s="112">
        <v>350</v>
      </c>
      <c r="B352" s="111" t="s">
        <v>3</v>
      </c>
      <c r="C352" s="111">
        <v>19</v>
      </c>
      <c r="D352" s="111">
        <v>3</v>
      </c>
      <c r="E352" s="111">
        <v>2</v>
      </c>
      <c r="F352" s="105">
        <v>13.69</v>
      </c>
      <c r="G352" s="105">
        <v>10.16</v>
      </c>
      <c r="H352" s="105"/>
      <c r="I352" s="94">
        <f>SUM(ППД5[[#This Row],[Комната 1]:[Комната 3]])</f>
        <v>23.85</v>
      </c>
      <c r="J352" s="105">
        <v>18.71</v>
      </c>
      <c r="K352" s="105">
        <v>3.49</v>
      </c>
      <c r="L352" s="105">
        <v>2.11</v>
      </c>
      <c r="M352" s="105"/>
      <c r="N352" s="105">
        <v>7.09</v>
      </c>
      <c r="O352" s="105">
        <v>2.65</v>
      </c>
      <c r="P352" s="105"/>
      <c r="Q352" s="105"/>
      <c r="R352" s="105">
        <f>SUM(ППД5[[#This Row],[Лоджия 1]:[Лоджия 3]])</f>
        <v>2.65</v>
      </c>
      <c r="S352" s="8">
        <f>ROUND(SUM(ППД5[[#This Row],[Площадь по проекту жилая]:[Лоджия 3]]),2)</f>
        <v>57.9</v>
      </c>
      <c r="T352" s="8">
        <f>ROUND(ППД5[[#This Row],[Площадь по проекту(общая)]]-ППД5[[#This Row],[Летние]],2)</f>
        <v>55.25</v>
      </c>
      <c r="U352" s="91">
        <f>ROUND(ППД5[[#This Row],[Площадь по проекту(общая)]]-(SUM(ППД5[[#This Row],[Лоджия 1]:[Лоджия 3]])/2),2)</f>
        <v>56.58</v>
      </c>
      <c r="V352" s="91">
        <f>IF(ППД5[[#This Row],[Статус]]="продажа",ППД5[[#This Row],[Расчетная проектная площадь]],ППД5[[#This Row],[Расчетная ТП площадь]])</f>
        <v>56.58</v>
      </c>
      <c r="W352" s="91">
        <v>13.7</v>
      </c>
      <c r="X352" s="91">
        <v>9.9</v>
      </c>
      <c r="Y352" s="91"/>
      <c r="Z352" s="91">
        <f>SUM(ППД5[[#This Row],[ТП Комната 1]:[ТП Комната 3]])</f>
        <v>23.6</v>
      </c>
      <c r="AA352" s="91">
        <v>18.7</v>
      </c>
      <c r="AB352" s="91">
        <v>3.5</v>
      </c>
      <c r="AC352" s="91">
        <v>2.2000000000000002</v>
      </c>
      <c r="AD352" s="91"/>
      <c r="AE352" s="91">
        <v>7.1</v>
      </c>
      <c r="AF352" s="91">
        <v>1.35</v>
      </c>
      <c r="AG352" s="91"/>
      <c r="AH352" s="91"/>
      <c r="AI352" s="91">
        <f>SUM(ППД5[[#This Row],[ТП Лоджия 1]:[ТП Лоджия 3]])</f>
        <v>1.35</v>
      </c>
      <c r="AJ352" s="95">
        <v>2.7</v>
      </c>
      <c r="AK352" s="91">
        <f>SUM(ППД5[[#This Row],[Площадь по ТП жилая]:[ТП Лоджия 3]])-ППД5[[#This Row],[ТП Летние]]+ППД5[[#This Row],[кроме того прочая
(без коэффициента)]]</f>
        <v>57.800000000000004</v>
      </c>
      <c r="AL352" s="95">
        <f>ППД5[[#This Row],[ТП Площадь без летних]]+(ППД5[[#This Row],[ТП Летние]])</f>
        <v>56.45</v>
      </c>
      <c r="AM352" s="91">
        <f>ППД5[[#This Row],[ТП общая S]]-ППД5[[#This Row],[кроме того прочая
(без коэффициента)]]</f>
        <v>55.1</v>
      </c>
      <c r="AN352" s="95">
        <f>SUM(ППД5[[#This Row],[ТП Кухня]:[ТП Коридор]])</f>
        <v>31.5</v>
      </c>
      <c r="AO352" s="91">
        <f>ППД5[[#This Row],[Расчетная ТП площадь]]-ППД5[[#This Row],[Расчетная проектная площадь]]</f>
        <v>-0.12999999999999545</v>
      </c>
      <c r="AP352" s="335">
        <f>ППД5[[#This Row],[Расчетная ТП площадь]]/ППД5[[#This Row],[Расчетная проектная площадь]]-1</f>
        <v>-2.2976316719688361E-3</v>
      </c>
      <c r="AQ352" s="91">
        <f>ППД5[[#This Row],[% расхождения]]*ППД5[[#This Row],[Стоимость до скидки]]</f>
        <v>-17412.371862848628</v>
      </c>
      <c r="AR352" s="91">
        <f>VLOOKUP(ППД5[[#This Row],[№]],наценкад5[],COLUMN(наценкад5[[#This Row],[Цена м2 с учетом всех K]]),0)</f>
        <v>86485.392000000007</v>
      </c>
      <c r="AS352" s="8">
        <f>ППД5[[#This Row],[м2 после К]]*5%</f>
        <v>4324.2696000000005</v>
      </c>
      <c r="AT352" s="8">
        <f>ППД5[[#This Row],[м2 после К]]+ППД5[[#This Row],[Повышение 16.08.23 - 5%]]</f>
        <v>90809.661600000007</v>
      </c>
      <c r="AU352" s="93">
        <f>ППД5[[#This Row],[Фикс 16.08.23]]*3%</f>
        <v>2724.2898479999999</v>
      </c>
      <c r="AV352" s="93">
        <f>ППД5[[#This Row],[Фикс 16.08.23]]+ППД5[[#This Row],[Повышение 29.08.23 - 3%]]</f>
        <v>93533.951448000007</v>
      </c>
      <c r="AW352" s="93"/>
      <c r="AX352" s="93">
        <f>ППД5[[#This Row],[Фикс 29.08.23]]+ППД5[[#This Row],[Повышение 06.09.23 СТ и 1К]]</f>
        <v>93533.951448000007</v>
      </c>
      <c r="AY352" s="93"/>
      <c r="AZ352" s="93">
        <f>ППД5[[#This Row],[Повышение 23.10.23  В4 ]]+ППД5[[#This Row],[Фикс 06.09.23]]</f>
        <v>93533.951448000007</v>
      </c>
      <c r="BA352" s="93"/>
      <c r="BB352" s="93">
        <f>ППД5[[#This Row],[Повышение 8.11.23 1К 5%]]+ППД5[[#This Row],[Фикс 23.10.23]]</f>
        <v>93533.951448000007</v>
      </c>
      <c r="BC352" s="93"/>
      <c r="BD352" s="93">
        <f>ППД5[[#This Row],[Корректировка 24.11.23 - 1К В5, 2К А2, №233]]+ППД5[[#This Row],[Фикс 8.11.23]]</f>
        <v>93533.951448000007</v>
      </c>
      <c r="BE352" s="93">
        <f>ППД5[[#This Row],[Фикс 8.11.24]]*1%</f>
        <v>935.33951448000005</v>
      </c>
      <c r="BF352" s="93">
        <f>ППД5[[#This Row],[Наценка за отделку 29.12.23 1%]]+ППД5[[#This Row],[Фикс 8.11.24]]</f>
        <v>94469.290962480009</v>
      </c>
      <c r="BG352" s="93">
        <f>ППД5[[#This Row],[Фикс 29.12.23]]*5%</f>
        <v>4723.4645481240004</v>
      </c>
      <c r="BH352" s="93">
        <f>ППД5[[#This Row],[Фикс 29.12.23]]+ППД5[[#This Row],[Наценка 10.01.24 5%]]</f>
        <v>99192.755510604009</v>
      </c>
      <c r="BI352" s="93"/>
      <c r="BJ352" s="93">
        <f>ППД5[[#This Row],[Наценка 26.02.24 1 Этаж]]+ППД5[[#This Row],[Фикс 10.01.24]]</f>
        <v>99192.755510604009</v>
      </c>
      <c r="BK352" s="93">
        <f>ППД5[[#This Row],[Фикс 26.02.24]]*2%</f>
        <v>1983.8551102120803</v>
      </c>
      <c r="BL352" s="93">
        <f>ППД5[[#This Row],[Фикс 26.02.24]]+ППД5[[#This Row],[Наценка 06.03.24
СТ, 1К - 3%
2К, 3К - 2%]]</f>
        <v>101176.61062081609</v>
      </c>
      <c r="BM352" s="93"/>
      <c r="BN352" s="93">
        <f>ППД5[[#This Row],[Фикс 06.03.24]]+ППД5[[#This Row],[Наценка Г2+500]]</f>
        <v>101176.61062081609</v>
      </c>
      <c r="BO352" s="93">
        <f>ППД5[[#This Row],[Фикс 13.03.25]]*2%</f>
        <v>2023.532212416322</v>
      </c>
      <c r="BP352" s="93">
        <f>ППД5[[#This Row],[Фикс 13.03.25]]+ППД5[[#This Row],[Наценка 20.03.24
2К, 3К - 2%]]</f>
        <v>103200.14283323241</v>
      </c>
      <c r="BQ352" s="93">
        <v>150</v>
      </c>
      <c r="BR352" s="93">
        <f>ППД5[[#This Row],[Фикс 20.03.24]]+ППД5[[#This Row],[Наценка 08.04.24 
2К: В3 - 150
3К: Г7 +1000]]</f>
        <v>103350.14283323241</v>
      </c>
      <c r="BS352" s="93">
        <f>ППД5[[#This Row],[Фикс 08.04.24]]*1%</f>
        <v>1033.5014283323242</v>
      </c>
      <c r="BT352" s="93">
        <f>ППД5[[#This Row],[Фикс 08.04.24]]+ППД5[[#This Row],[Наценка 16.05.24 1%
А4,А6,Б3,Б6,Б7,В2,В3,В5,В6,Г1,Г3-Г5]]</f>
        <v>104383.64426156474</v>
      </c>
      <c r="BU352" s="93"/>
      <c r="BV352" s="93">
        <f>ППД5[[#This Row],[Фикс 16.05.24]]+ППД5[[#This Row],[Наценка 24.05.24
1% - Б4, Б5,Г2,Г6
2% - А1,А3,А5,Б2,Г7]]</f>
        <v>104383.64426156474</v>
      </c>
      <c r="BW352" s="93"/>
      <c r="BX352" s="93">
        <f>ППД5[[#This Row],[Наценка 06.06.24
0К: В2,Г3 +0,5%
1К: А7, Б5/4, Г6 +0,5%
3К: В6 +0,5%
1К: А3 +1%]]+ППД5[[#This Row],[Фикс 24.05.24]]</f>
        <v>104383.64426156474</v>
      </c>
      <c r="BY352" s="93"/>
      <c r="BZ352" s="93">
        <f>ППД5[[#This Row],[Фикс 06.06.24]]+ППД5[[#This Row],[13.06.2024
3К - 2%]]</f>
        <v>104383.64426156474</v>
      </c>
      <c r="CA352" s="93">
        <f>2.5%*ППД5[[#This Row],[Фикс 13.06.24]]</f>
        <v>2609.5911065391188</v>
      </c>
      <c r="CB352" s="93">
        <f>ППД5[[#This Row],[02.07.2024: Г3 А1 А3 Б5 Б7 Г2 Г6 Б3 Б4 В3 Г7 2,5% ост 0,5-1,5%]]+ППД5[[#This Row],[Фикс 13.06.24]]</f>
        <v>106993.23536810385</v>
      </c>
      <c r="CC352" s="93">
        <v>500</v>
      </c>
      <c r="CD352" s="93">
        <f>ППД5[[#This Row],[Фикс 02.07.24]]+ППД5[[#This Row],[04.09.2024 +500
0К - Б2; 1К - А3;
2К - А6, Б4, В3, Г5]]</f>
        <v>107493.23536810385</v>
      </c>
      <c r="CE352" s="93">
        <f>ППД5[[#This Row],[Фикс 04.09.24]]*4%</f>
        <v>4299.7294147241537</v>
      </c>
      <c r="CF352" s="93">
        <f>ППД5[[#This Row],[Наценка 16.09.2024
1К: А1,В7,Г6/7,Г8 - 2%
2К: А4,А5,А6,Б1,Б6,Б3/4,В3,В4,Г4,Г5 - 4%
3К: 4%]]+ППД5[[#This Row],[Фикс 04.09.24]]</f>
        <v>111792.964782828</v>
      </c>
      <c r="CG352" s="93">
        <f>ППД5[[#This Row],[Фикс 16.09.2024]]*6%</f>
        <v>6707.5778869696796</v>
      </c>
      <c r="CH352" s="93">
        <f>ППД5[[#This Row],[Фикс 16.09.2024]]+ППД5[[#This Row],[Наценка 01.11.24
СТ: 4%
1К: 34-40м 5%; 40м+ 8%; МГН 1%
2К: 55-70м 6%; 70-73м 7%; 73-76м 8% 
3К: 5%]]</f>
        <v>118500.54266979768</v>
      </c>
      <c r="CI352" s="93">
        <f>ППД5[[#This Row],[Фикс 01.11.24]]*13%</f>
        <v>15405.070547073699</v>
      </c>
      <c r="CJ352" s="93">
        <f>ППД5[[#This Row],[Наценка 06.11 13%]]+ППД5[[#This Row],[Фикс 01.11.24]]</f>
        <v>133905.61321687137</v>
      </c>
      <c r="CK352" s="93">
        <v>35</v>
      </c>
      <c r="CL352" s="93">
        <f>ППД5[[#This Row],[Фикс 06.11.24]]+ППД5[[#This Row],[Наценка 18.12.24 распределение КВ]]</f>
        <v>133940.61321687137</v>
      </c>
      <c r="CM352" s="93"/>
      <c r="CN352" s="93">
        <f>ППД5[[#This Row],[Фикс 18.12.24]]+ППД5[[#This Row],[Наценка 10.02.25 +1%
1К: А3
2К: Б3, В3]]</f>
        <v>133940.61321687137</v>
      </c>
      <c r="CO352" s="93">
        <f>ROUND(ППД5[[#This Row],[Фикс 10.02.25]],2)</f>
        <v>133940.60999999999</v>
      </c>
      <c r="CP35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7578400</v>
      </c>
      <c r="CQ352" s="93">
        <f>ROUNDUP(ППД5[[#This Row],[Стоимость до скидки]]+ППД5[[#This Row],[Сумма доплаты]],-2)</f>
        <v>7561000</v>
      </c>
      <c r="CR352" s="68"/>
      <c r="CS352" s="90">
        <v>0.03</v>
      </c>
      <c r="CT352" s="68">
        <f>ППД5[[#This Row],[Стоимость до скидки]]*ППД5[[#This Row],[Скидка %]]+ППД5[[#This Row],[Скидка фиксированная]]</f>
        <v>227352</v>
      </c>
      <c r="CU352" s="3">
        <f>ППД5[[#This Row],[Стоимость ОН без отделки со скидкой]]/ППД5[[#This Row],[Расчетная проектная площадь]]</f>
        <v>129923.08236125841</v>
      </c>
      <c r="CV352" s="3">
        <f>ROUND(ППД5[[#This Row],[Стоимость до скидки]]-ППД5[[#This Row],[Итоговая сумма скидки]],2)</f>
        <v>7351048</v>
      </c>
      <c r="CW35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352" s="197">
        <v>10000</v>
      </c>
      <c r="CY352" s="332">
        <f>ППД5[[#This Row],[Расхождение]]/ППД5[[#This Row],[Расчетная проектная площадь]]</f>
        <v>-2.2976316719688131E-3</v>
      </c>
      <c r="CZ35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0.10000000000000142</v>
      </c>
      <c r="DA352" s="3">
        <f>ППД5[[#This Row],[Цена м2 без отделки со скидкой]]+ППД5[[#This Row],[Стоимость отделки]]</f>
        <v>139923.08236125839</v>
      </c>
      <c r="DB352" s="3">
        <f>ППД5[[#This Row],[Стоимость квартиры с отделкой]]-ППД5[[#This Row],[Стоимость ОН без отделки со скидкой]]</f>
        <v>565800</v>
      </c>
      <c r="DC352" s="3">
        <f>ППД5[[#This Row],[Цена м2 с отделкой]]*ППД5[[#This Row],[Расчетная проектная площадь]]</f>
        <v>7916848</v>
      </c>
      <c r="DD352" s="3" t="s">
        <v>154</v>
      </c>
      <c r="DE352" s="111" t="s">
        <v>162</v>
      </c>
      <c r="DF352" s="199" t="s">
        <v>172</v>
      </c>
      <c r="DG352" s="245" t="s">
        <v>172</v>
      </c>
      <c r="DH352" s="100" t="b">
        <f>EXACT(ППД5[[#This Row],[Статусы CRM]],ППД5[[#This Row],[Статус]])</f>
        <v>1</v>
      </c>
      <c r="DI352" s="213" t="s">
        <v>524</v>
      </c>
      <c r="DJ352" s="204"/>
      <c r="DK352" s="111" t="s">
        <v>763</v>
      </c>
      <c r="DL352" s="216" t="s">
        <v>780</v>
      </c>
      <c r="DM352" s="201" t="b">
        <f>ППД5[[#This Row],[Отделка CRM]]=ППД5[[#This Row],[Отделка]]</f>
        <v>1</v>
      </c>
      <c r="DN352" s="203">
        <v>7916848</v>
      </c>
      <c r="DO35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52" s="207" t="b">
        <f>IF(AND(ППД5[[#This Row],[Статус]]="свободно",ППД5[[#This Row],[Итоговая сумма скидки]]&lt;&gt;0),FALSE,TRUE)</f>
        <v>1</v>
      </c>
      <c r="DQ352" s="240">
        <f>_xlfn.XLOOKUP(ППД5[[#This Row],[№]],Юрист[№ кв],Юрист[Дата подачи на регистрацию]," ",0,-1)</f>
        <v>45672</v>
      </c>
      <c r="DR352" s="115" t="str">
        <f>_xlfn.XLOOKUP(ППД5[[#This Row],[№]],Юрист[№ кв],Юрист[МОП],"",0,-1)</f>
        <v>Полехович</v>
      </c>
      <c r="DS352" s="333" t="s">
        <v>2996</v>
      </c>
      <c r="DT352" s="333" t="s">
        <v>2997</v>
      </c>
      <c r="DU352" s="333">
        <v>55.1</v>
      </c>
      <c r="DV352" s="111"/>
    </row>
    <row r="353" spans="1:126" hidden="1" x14ac:dyDescent="0.25">
      <c r="A353" s="112">
        <v>351</v>
      </c>
      <c r="B353" s="111" t="s">
        <v>3</v>
      </c>
      <c r="C353" s="111">
        <v>19</v>
      </c>
      <c r="D353" s="111">
        <v>4</v>
      </c>
      <c r="E353" s="111">
        <v>2</v>
      </c>
      <c r="F353" s="105">
        <v>15.45</v>
      </c>
      <c r="G353" s="105">
        <v>10.34</v>
      </c>
      <c r="H353" s="105"/>
      <c r="I353" s="94">
        <f>SUM(ППД5[[#This Row],[Комната 1]:[Комната 3]])</f>
        <v>25.79</v>
      </c>
      <c r="J353" s="105">
        <v>15.44</v>
      </c>
      <c r="K353" s="105">
        <v>4.59</v>
      </c>
      <c r="L353" s="105">
        <v>2.21</v>
      </c>
      <c r="M353" s="105"/>
      <c r="N353" s="105">
        <v>10.79</v>
      </c>
      <c r="O353" s="105">
        <v>2.84</v>
      </c>
      <c r="P353" s="105"/>
      <c r="Q353" s="105"/>
      <c r="R353" s="105">
        <f>SUM(ППД5[[#This Row],[Лоджия 1]:[Лоджия 3]])</f>
        <v>2.84</v>
      </c>
      <c r="S353" s="8">
        <f>ROUND(SUM(ППД5[[#This Row],[Площадь по проекту жилая]:[Лоджия 3]]),2)</f>
        <v>61.66</v>
      </c>
      <c r="T353" s="8">
        <f>ROUND(ППД5[[#This Row],[Площадь по проекту(общая)]]-ППД5[[#This Row],[Летние]],2)</f>
        <v>58.82</v>
      </c>
      <c r="U353" s="91">
        <f>ROUND(ППД5[[#This Row],[Площадь по проекту(общая)]]-(SUM(ППД5[[#This Row],[Лоджия 1]:[Лоджия 3]])/2),2)</f>
        <v>60.24</v>
      </c>
      <c r="V353" s="91">
        <f>IF(ППД5[[#This Row],[Статус]]="продажа",ППД5[[#This Row],[Расчетная проектная площадь]],ППД5[[#This Row],[Расчетная ТП площадь]])</f>
        <v>60.150000000000006</v>
      </c>
      <c r="W353" s="91">
        <v>15.5</v>
      </c>
      <c r="X353" s="91">
        <v>10.4</v>
      </c>
      <c r="Y353" s="91"/>
      <c r="Z353" s="91">
        <f>SUM(ППД5[[#This Row],[ТП Комната 1]:[ТП Комната 3]])</f>
        <v>25.9</v>
      </c>
      <c r="AA353" s="91">
        <v>15.3</v>
      </c>
      <c r="AB353" s="91">
        <v>4.5999999999999996</v>
      </c>
      <c r="AC353" s="91">
        <v>2.2000000000000002</v>
      </c>
      <c r="AD353" s="91"/>
      <c r="AE353" s="91">
        <v>10.7</v>
      </c>
      <c r="AF353" s="91">
        <v>1.45</v>
      </c>
      <c r="AG353" s="91"/>
      <c r="AH353" s="91"/>
      <c r="AI353" s="91">
        <f>SUM(ППД5[[#This Row],[ТП Лоджия 1]:[ТП Лоджия 3]])</f>
        <v>1.45</v>
      </c>
      <c r="AJ353" s="95">
        <v>2.9</v>
      </c>
      <c r="AK353" s="91">
        <f>SUM(ППД5[[#This Row],[Площадь по ТП жилая]:[ТП Лоджия 3]])-ППД5[[#This Row],[ТП Летние]]+ППД5[[#This Row],[кроме того прочая
(без коэффициента)]]</f>
        <v>61.6</v>
      </c>
      <c r="AL353" s="95">
        <f>ППД5[[#This Row],[ТП Площадь без летних]]+(ППД5[[#This Row],[ТП Летние]])</f>
        <v>60.150000000000006</v>
      </c>
      <c r="AM353" s="91">
        <f>ППД5[[#This Row],[ТП общая S]]-ППД5[[#This Row],[кроме того прочая
(без коэффициента)]]</f>
        <v>58.7</v>
      </c>
      <c r="AN353" s="95">
        <f>SUM(ППД5[[#This Row],[ТП Кухня]:[ТП Коридор]])</f>
        <v>32.799999999999997</v>
      </c>
      <c r="AO353" s="91">
        <f>ППД5[[#This Row],[Расчетная ТП площадь]]-ППД5[[#This Row],[Расчетная проектная площадь]]</f>
        <v>-8.9999999999996305E-2</v>
      </c>
      <c r="AP353" s="335">
        <f>ППД5[[#This Row],[Расчетная ТП площадь]]/ППД5[[#This Row],[Расчетная проектная площадь]]-1</f>
        <v>-1.4940239043823578E-3</v>
      </c>
      <c r="AQ353" s="91">
        <f>ППД5[[#This Row],[% расхождения]]*ППД5[[#This Row],[Стоимость до скидки]]</f>
        <v>-11890.786852588748</v>
      </c>
      <c r="AR353" s="91">
        <f>VLOOKUP(ППД5[[#This Row],[№]],наценкад5[],COLUMN(наценкад5[[#This Row],[Цена м2 с учетом всех K]]),0)</f>
        <v>88415.869500000001</v>
      </c>
      <c r="AS353" s="8">
        <f>ППД5[[#This Row],[м2 после К]]*5%</f>
        <v>4420.7934750000004</v>
      </c>
      <c r="AT353" s="8">
        <f>ППД5[[#This Row],[м2 после К]]+ППД5[[#This Row],[Повышение 16.08.23 - 5%]]</f>
        <v>92836.662974999999</v>
      </c>
      <c r="AU353" s="93">
        <f>ППД5[[#This Row],[Фикс 16.08.23]]*3%</f>
        <v>2785.0998892499997</v>
      </c>
      <c r="AV353" s="93">
        <f>ППД5[[#This Row],[Фикс 16.08.23]]+ППД5[[#This Row],[Повышение 29.08.23 - 3%]]</f>
        <v>95621.762864250006</v>
      </c>
      <c r="AW353" s="93"/>
      <c r="AX353" s="93">
        <f>ППД5[[#This Row],[Фикс 29.08.23]]+ППД5[[#This Row],[Повышение 06.09.23 СТ и 1К]]</f>
        <v>95621.762864250006</v>
      </c>
      <c r="AY353" s="93"/>
      <c r="AZ353" s="93">
        <f>ППД5[[#This Row],[Повышение 23.10.23  В4 ]]+ППД5[[#This Row],[Фикс 06.09.23]]</f>
        <v>95621.762864250006</v>
      </c>
      <c r="BA353" s="93"/>
      <c r="BB353" s="93">
        <f>ППД5[[#This Row],[Повышение 8.11.23 1К 5%]]+ППД5[[#This Row],[Фикс 23.10.23]]</f>
        <v>95621.762864250006</v>
      </c>
      <c r="BC353" s="93"/>
      <c r="BD353" s="93">
        <f>ППД5[[#This Row],[Корректировка 24.11.23 - 1К В5, 2К А2, №233]]+ППД5[[#This Row],[Фикс 8.11.23]]</f>
        <v>95621.762864250006</v>
      </c>
      <c r="BE353" s="93">
        <f>ППД5[[#This Row],[Фикс 8.11.24]]*1%</f>
        <v>956.21762864250013</v>
      </c>
      <c r="BF353" s="93">
        <f>ППД5[[#This Row],[Наценка за отделку 29.12.23 1%]]+ППД5[[#This Row],[Фикс 8.11.24]]</f>
        <v>96577.9804928925</v>
      </c>
      <c r="BG353" s="93">
        <f>ППД5[[#This Row],[Фикс 29.12.23]]*5%</f>
        <v>4828.8990246446256</v>
      </c>
      <c r="BH353" s="93">
        <f>ППД5[[#This Row],[Фикс 29.12.23]]+ППД5[[#This Row],[Наценка 10.01.24 5%]]</f>
        <v>101406.87951753712</v>
      </c>
      <c r="BI353" s="93"/>
      <c r="BJ353" s="93">
        <f>ППД5[[#This Row],[Наценка 26.02.24 1 Этаж]]+ППД5[[#This Row],[Фикс 10.01.24]]</f>
        <v>101406.87951753712</v>
      </c>
      <c r="BK353" s="93">
        <f>ППД5[[#This Row],[Фикс 26.02.24]]*2%</f>
        <v>2028.1375903507424</v>
      </c>
      <c r="BL353" s="93">
        <f>ППД5[[#This Row],[Фикс 26.02.24]]+ППД5[[#This Row],[Наценка 06.03.24
СТ, 1К - 3%
2К, 3К - 2%]]</f>
        <v>103435.01710788786</v>
      </c>
      <c r="BM353" s="93"/>
      <c r="BN353" s="93">
        <f>ППД5[[#This Row],[Фикс 06.03.24]]+ППД5[[#This Row],[Наценка Г2+500]]</f>
        <v>103435.01710788786</v>
      </c>
      <c r="BO353" s="93">
        <f>ППД5[[#This Row],[Фикс 13.03.25]]*2%</f>
        <v>2068.7003421577574</v>
      </c>
      <c r="BP353" s="93">
        <f>ППД5[[#This Row],[Фикс 13.03.25]]+ППД5[[#This Row],[Наценка 20.03.24
2К, 3К - 2%]]</f>
        <v>105503.71745004562</v>
      </c>
      <c r="BQ353" s="93"/>
      <c r="BR353" s="93">
        <f>ППД5[[#This Row],[Фикс 20.03.24]]+ППД5[[#This Row],[Наценка 08.04.24 
2К: В3 - 150
3К: Г7 +1000]]</f>
        <v>105503.71745004562</v>
      </c>
      <c r="BS353" s="93"/>
      <c r="BT353" s="93">
        <f>ППД5[[#This Row],[Фикс 08.04.24]]+ППД5[[#This Row],[Наценка 16.05.24 1%
А4,А6,Б3,Б6,Б7,В2,В3,В5,В6,Г1,Г3-Г5]]</f>
        <v>105503.71745004562</v>
      </c>
      <c r="BU353" s="93"/>
      <c r="BV353" s="93">
        <f>ППД5[[#This Row],[Фикс 16.05.24]]+ППД5[[#This Row],[Наценка 24.05.24
1% - Б4, Б5,Г2,Г6
2% - А1,А3,А5,Б2,Г7]]</f>
        <v>105503.71745004562</v>
      </c>
      <c r="BW353" s="93"/>
      <c r="BX353" s="93">
        <f>ППД5[[#This Row],[Наценка 06.06.24
0К: В2,Г3 +0,5%
1К: А7, Б5/4, Г6 +0,5%
3К: В6 +0,5%
1К: А3 +1%]]+ППД5[[#This Row],[Фикс 24.05.24]]</f>
        <v>105503.71745004562</v>
      </c>
      <c r="BY353" s="93"/>
      <c r="BZ353" s="93">
        <f>ППД5[[#This Row],[Фикс 06.06.24]]+ППД5[[#This Row],[13.06.2024
3К - 2%]]</f>
        <v>105503.71745004562</v>
      </c>
      <c r="CA353" s="93">
        <f>0.5%*ППД5[[#This Row],[Фикс 13.06.24]]</f>
        <v>527.51858725022805</v>
      </c>
      <c r="CB353" s="93">
        <f>ППД5[[#This Row],[02.07.2024: Г3 А1 А3 Б5 Б7 Г2 Г6 Б3 Б4 В3 Г7 2,5% ост 0,5-1,5%]]+ППД5[[#This Row],[Фикс 13.06.24]]</f>
        <v>106031.23603729585</v>
      </c>
      <c r="CC353" s="93"/>
      <c r="CD353" s="93">
        <f>ППД5[[#This Row],[Фикс 02.07.24]]+ППД5[[#This Row],[04.09.2024 +500
0К - Б2; 1К - А3;
2К - А6, Б4, В3, Г5]]</f>
        <v>106031.23603729585</v>
      </c>
      <c r="CE353" s="93">
        <f>ППД5[[#This Row],[Фикс 04.09.24]]*4%</f>
        <v>4241.2494414918337</v>
      </c>
      <c r="CF353" s="93">
        <f>ППД5[[#This Row],[Наценка 16.09.2024
1К: А1,В7,Г6/7,Г8 - 2%
2К: А4,А5,А6,Б1,Б6,Б3/4,В3,В4,Г4,Г5 - 4%
3К: 4%]]+ППД5[[#This Row],[Фикс 04.09.24]]</f>
        <v>110272.48547878768</v>
      </c>
      <c r="CG353" s="93">
        <f>ППД5[[#This Row],[Фикс 16.09.2024]]*6%</f>
        <v>6616.3491287272609</v>
      </c>
      <c r="CH353" s="93">
        <f>ППД5[[#This Row],[Фикс 16.09.2024]]+ППД5[[#This Row],[Наценка 01.11.24
СТ: 4%
1К: 34-40м 5%; 40м+ 8%; МГН 1%
2К: 55-70м 6%; 70-73м 7%; 73-76м 8% 
3К: 5%]]</f>
        <v>116888.83460751495</v>
      </c>
      <c r="CI353" s="93">
        <f>ППД5[[#This Row],[Фикс 01.11.24]]*13%</f>
        <v>15195.548498976943</v>
      </c>
      <c r="CJ353" s="93">
        <f>ППД5[[#This Row],[Наценка 06.11 13%]]+ППД5[[#This Row],[Фикс 01.11.24]]</f>
        <v>132084.38310649188</v>
      </c>
      <c r="CK353" s="93">
        <v>35</v>
      </c>
      <c r="CL353" s="93">
        <f>ППД5[[#This Row],[Фикс 06.11.24]]+ППД5[[#This Row],[Наценка 18.12.24 распределение КВ]]</f>
        <v>132119.38310649188</v>
      </c>
      <c r="CM353" s="93"/>
      <c r="CN353" s="93">
        <f>ППД5[[#This Row],[Фикс 18.12.24]]+ППД5[[#This Row],[Наценка 10.02.25 +1%
1К: А3
2К: Б3, В3]]</f>
        <v>132119.38310649188</v>
      </c>
      <c r="CO353" s="93">
        <f>ROUND(ППД5[[#This Row],[Фикс 10.02.25]],2)</f>
        <v>132119.38</v>
      </c>
      <c r="CP35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7958900</v>
      </c>
      <c r="CQ353" s="93">
        <f>ROUNDUP(ППД5[[#This Row],[Стоимость до скидки]]+ППД5[[#This Row],[Сумма доплаты]],-2)</f>
        <v>7947100</v>
      </c>
      <c r="CR353" s="68"/>
      <c r="CS353" s="90"/>
      <c r="CT353" s="68">
        <f>ППД5[[#This Row],[Стоимость до скидки]]*ППД5[[#This Row],[Скидка %]]+ППД5[[#This Row],[Скидка фиксированная]]</f>
        <v>0</v>
      </c>
      <c r="CU353" s="3">
        <f>ППД5[[#This Row],[Стоимость ОН без отделки со скидкой]]/ППД5[[#This Row],[Расчетная проектная площадь]]</f>
        <v>132119.85391766267</v>
      </c>
      <c r="CV353" s="3">
        <f>ROUND(ППД5[[#This Row],[Стоимость до скидки]]-ППД5[[#This Row],[Итоговая сумма скидки]],2)</f>
        <v>7958900</v>
      </c>
      <c r="CW35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53" s="197"/>
      <c r="CY353" s="332">
        <f>ППД5[[#This Row],[Расхождение]]/ППД5[[#This Row],[Расчетная проектная площадь]]</f>
        <v>-1.4940239043824087E-3</v>
      </c>
      <c r="CZ35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-0.2300000000000022</v>
      </c>
      <c r="DA353" s="3">
        <f>ППД5[[#This Row],[Цена м2 без отделки со скидкой]]+ППД5[[#This Row],[Стоимость отделки]]</f>
        <v>132119.85391766267</v>
      </c>
      <c r="DB353" s="3">
        <f>ППД5[[#This Row],[Стоимость квартиры с отделкой]]-ППД5[[#This Row],[Стоимость ОН без отделки со скидкой]]</f>
        <v>0</v>
      </c>
      <c r="DC353" s="3">
        <f>ППД5[[#This Row],[Цена м2 с отделкой]]*ППД5[[#This Row],[Расчетная проектная площадь]]</f>
        <v>7958899.9999999991</v>
      </c>
      <c r="DD353" s="3"/>
      <c r="DF353" s="155" t="s">
        <v>157</v>
      </c>
      <c r="DG353" s="221" t="s">
        <v>157</v>
      </c>
      <c r="DH353" s="100" t="b">
        <f>EXACT(ППД5[[#This Row],[Статусы CRM]],ППД5[[#This Row],[Статус]])</f>
        <v>1</v>
      </c>
      <c r="DI353" s="213" t="s">
        <v>525</v>
      </c>
      <c r="DJ353" s="204"/>
      <c r="DK353" s="111" t="s">
        <v>763</v>
      </c>
      <c r="DL353" s="216" t="s">
        <v>12</v>
      </c>
      <c r="DM353" s="201" t="b">
        <f>ППД5[[#This Row],[Отделка CRM]]=ППД5[[#This Row],[Отделка]]</f>
        <v>1</v>
      </c>
      <c r="DN353" s="203">
        <v>7958900</v>
      </c>
      <c r="DO35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9.3132257461547852E-10</v>
      </c>
      <c r="DP353" s="207" t="b">
        <f>IF(AND(ППД5[[#This Row],[Статус]]="свободно",ППД5[[#This Row],[Итоговая сумма скидки]]&lt;&gt;0),FALSE,TRUE)</f>
        <v>1</v>
      </c>
      <c r="DQ353" s="240" t="str">
        <f>_xlfn.XLOOKUP(ППД5[[#This Row],[№]],Юрист[№ кв],Юрист[Дата подачи на регистрацию]," ",0,-1)</f>
        <v xml:space="preserve"> </v>
      </c>
      <c r="DR353" s="115" t="str">
        <f>_xlfn.XLOOKUP(ППД5[[#This Row],[№]],Юрист[№ кв],Юрист[МОП],"",0,-1)</f>
        <v/>
      </c>
      <c r="DS353" s="333" t="s">
        <v>2998</v>
      </c>
      <c r="DT353" s="333" t="s">
        <v>2999</v>
      </c>
      <c r="DU353" s="333">
        <v>58.7</v>
      </c>
      <c r="DV353" s="111"/>
    </row>
    <row r="354" spans="1:126" hidden="1" x14ac:dyDescent="0.25">
      <c r="A354" s="112">
        <v>352</v>
      </c>
      <c r="B354" s="111" t="s">
        <v>3</v>
      </c>
      <c r="C354" s="111">
        <v>19</v>
      </c>
      <c r="D354" s="111">
        <v>5</v>
      </c>
      <c r="E354" s="111">
        <v>1</v>
      </c>
      <c r="F354" s="105">
        <v>12.54</v>
      </c>
      <c r="G354" s="105"/>
      <c r="H354" s="105"/>
      <c r="I354" s="94">
        <f>SUM(ППД5[[#This Row],[Комната 1]:[Комната 3]])</f>
        <v>12.54</v>
      </c>
      <c r="J354" s="105">
        <v>12.74</v>
      </c>
      <c r="K354" s="105">
        <v>4.0199999999999996</v>
      </c>
      <c r="L354" s="105"/>
      <c r="M354" s="105"/>
      <c r="N354" s="105">
        <v>7.09</v>
      </c>
      <c r="O354" s="105">
        <v>2.84</v>
      </c>
      <c r="P354" s="105"/>
      <c r="Q354" s="105"/>
      <c r="R354" s="105">
        <f>SUM(ППД5[[#This Row],[Лоджия 1]:[Лоджия 3]])</f>
        <v>2.84</v>
      </c>
      <c r="S354" s="8">
        <f>ROUND(SUM(ППД5[[#This Row],[Площадь по проекту жилая]:[Лоджия 3]]),2)</f>
        <v>39.229999999999997</v>
      </c>
      <c r="T354" s="8">
        <f>ROUND(ППД5[[#This Row],[Площадь по проекту(общая)]]-ППД5[[#This Row],[Летние]],2)</f>
        <v>36.39</v>
      </c>
      <c r="U354" s="91">
        <f>ROUND(ППД5[[#This Row],[Площадь по проекту(общая)]]-(SUM(ППД5[[#This Row],[Лоджия 1]:[Лоджия 3]])/2),2)</f>
        <v>37.81</v>
      </c>
      <c r="V354" s="91">
        <f>IF(ППД5[[#This Row],[Статус]]="продажа",ППД5[[#This Row],[Расчетная проектная площадь]],ППД5[[#This Row],[Расчетная ТП площадь]])</f>
        <v>37.81</v>
      </c>
      <c r="W354" s="91">
        <v>12.5</v>
      </c>
      <c r="X354" s="91"/>
      <c r="Y354" s="91"/>
      <c r="Z354" s="91">
        <f>SUM(ППД5[[#This Row],[ТП Комната 1]:[ТП Комната 3]])</f>
        <v>12.5</v>
      </c>
      <c r="AA354" s="91">
        <v>12.6</v>
      </c>
      <c r="AB354" s="91">
        <v>4.0999999999999996</v>
      </c>
      <c r="AC354" s="91"/>
      <c r="AD354" s="91"/>
      <c r="AE354" s="91">
        <v>6.9</v>
      </c>
      <c r="AF354" s="91">
        <v>1.45</v>
      </c>
      <c r="AG354" s="91"/>
      <c r="AH354" s="91"/>
      <c r="AI354" s="91">
        <f>SUM(ППД5[[#This Row],[ТП Лоджия 1]:[ТП Лоджия 3]])</f>
        <v>1.45</v>
      </c>
      <c r="AJ354" s="95">
        <v>2.9</v>
      </c>
      <c r="AK354" s="91">
        <f>SUM(ППД5[[#This Row],[Площадь по ТП жилая]:[ТП Лоджия 3]])-ППД5[[#This Row],[ТП Летние]]+ППД5[[#This Row],[кроме того прочая
(без коэффициента)]]</f>
        <v>39</v>
      </c>
      <c r="AL354" s="95">
        <f>ППД5[[#This Row],[ТП Площадь без летних]]+(ППД5[[#This Row],[ТП Летние]])</f>
        <v>37.550000000000004</v>
      </c>
      <c r="AM354" s="91">
        <f>ППД5[[#This Row],[ТП общая S]]-ППД5[[#This Row],[кроме того прочая
(без коэффициента)]]</f>
        <v>36.1</v>
      </c>
      <c r="AN354" s="95">
        <f>SUM(ППД5[[#This Row],[ТП Кухня]:[ТП Коридор]])</f>
        <v>23.6</v>
      </c>
      <c r="AO354" s="91">
        <f>ППД5[[#This Row],[Расчетная ТП площадь]]-ППД5[[#This Row],[Расчетная проектная площадь]]</f>
        <v>-0.25999999999999801</v>
      </c>
      <c r="AP354" s="335">
        <f>ППД5[[#This Row],[Расчетная ТП площадь]]/ППД5[[#This Row],[Расчетная проектная площадь]]-1</f>
        <v>-6.8764877016661563E-3</v>
      </c>
      <c r="AQ354" s="91">
        <f>ППД5[[#This Row],[% расхождения]]*ППД5[[#This Row],[Стоимость до скидки]]</f>
        <v>-31147.051044696855</v>
      </c>
      <c r="AR354" s="91">
        <f>VLOOKUP(ППД5[[#This Row],[№]],наценкад5[],COLUMN(наценкад5[[#This Row],[Цена м2 с учетом всех K]]),0)</f>
        <v>95712.75</v>
      </c>
      <c r="AS354" s="8">
        <f>ППД5[[#This Row],[м2 после К]]*5%</f>
        <v>4785.6374999999998</v>
      </c>
      <c r="AT354" s="8">
        <f>ППД5[[#This Row],[м2 после К]]+ППД5[[#This Row],[Повышение 16.08.23 - 5%]]</f>
        <v>100498.3875</v>
      </c>
      <c r="AU354" s="93">
        <f>ППД5[[#This Row],[Фикс 16.08.23]]*3%</f>
        <v>3014.9516249999997</v>
      </c>
      <c r="AV354" s="93">
        <f>ППД5[[#This Row],[Фикс 16.08.23]]+ППД5[[#This Row],[Повышение 29.08.23 - 3%]]</f>
        <v>103513.339125</v>
      </c>
      <c r="AW354" s="93">
        <f>ППД5[[#This Row],[Фикс 29.08.23]]*4.5%</f>
        <v>4658.1002606249995</v>
      </c>
      <c r="AX354" s="93">
        <f>ППД5[[#This Row],[Фикс 29.08.23]]+ППД5[[#This Row],[Повышение 06.09.23 СТ и 1К]]</f>
        <v>108171.439385625</v>
      </c>
      <c r="AY354" s="93"/>
      <c r="AZ354" s="93">
        <f>ППД5[[#This Row],[Повышение 23.10.23  В4 ]]+ППД5[[#This Row],[Фикс 06.09.23]]</f>
        <v>108171.439385625</v>
      </c>
      <c r="BA354" s="93">
        <f>ППД5[[#This Row],[Фикс 23.10.23]]*5%</f>
        <v>5408.5719692812499</v>
      </c>
      <c r="BB354" s="93">
        <f>ППД5[[#This Row],[Повышение 8.11.23 1К 5%]]+ППД5[[#This Row],[Фикс 23.10.23]]</f>
        <v>113580.01135490625</v>
      </c>
      <c r="BC354" s="93">
        <v>-620</v>
      </c>
      <c r="BD354" s="93">
        <f>ППД5[[#This Row],[Корректировка 24.11.23 - 1К В5, 2К А2, №233]]+ППД5[[#This Row],[Фикс 8.11.23]]</f>
        <v>112960.01135490625</v>
      </c>
      <c r="BE354" s="93">
        <f>ППД5[[#This Row],[Фикс 8.11.24]]*1%</f>
        <v>1129.6001135490626</v>
      </c>
      <c r="BF354" s="93">
        <f>ППД5[[#This Row],[Наценка за отделку 29.12.23 1%]]+ППД5[[#This Row],[Фикс 8.11.24]]</f>
        <v>114089.61146845532</v>
      </c>
      <c r="BG354" s="93">
        <f>ППД5[[#This Row],[Фикс 29.12.23]]*5%</f>
        <v>5704.4805734227666</v>
      </c>
      <c r="BH354" s="93">
        <f>ППД5[[#This Row],[Фикс 29.12.23]]+ППД5[[#This Row],[Наценка 10.01.24 5%]]</f>
        <v>119794.09204187809</v>
      </c>
      <c r="BI354" s="93"/>
      <c r="BJ354" s="93">
        <f>ППД5[[#This Row],[Наценка 26.02.24 1 Этаж]]+ППД5[[#This Row],[Фикс 10.01.24]]</f>
        <v>119794.09204187809</v>
      </c>
      <c r="BK354" s="93"/>
      <c r="BL354" s="93">
        <f>ППД5[[#This Row],[Фикс 26.02.24]]+ППД5[[#This Row],[Наценка 06.03.24
СТ, 1К - 3%
2К, 3К - 2%]]</f>
        <v>119794.09204187809</v>
      </c>
      <c r="BM354" s="93"/>
      <c r="BN354" s="93">
        <f>ППД5[[#This Row],[Фикс 06.03.24]]+ППД5[[#This Row],[Наценка Г2+500]]</f>
        <v>119794.09204187809</v>
      </c>
      <c r="BO354" s="93"/>
      <c r="BP354" s="93">
        <f>ППД5[[#This Row],[Фикс 13.03.25]]+ППД5[[#This Row],[Наценка 20.03.24
2К, 3К - 2%]]</f>
        <v>119794.09204187809</v>
      </c>
      <c r="BQ354" s="93"/>
      <c r="BR354" s="93">
        <f>ППД5[[#This Row],[Фикс 20.03.24]]+ППД5[[#This Row],[Наценка 08.04.24 
2К: В3 - 150
3К: Г7 +1000]]</f>
        <v>119794.09204187809</v>
      </c>
      <c r="BS354" s="93"/>
      <c r="BT354" s="93">
        <f>ППД5[[#This Row],[Фикс 08.04.24]]+ППД5[[#This Row],[Наценка 16.05.24 1%
А4,А6,Б3,Б6,Б7,В2,В3,В5,В6,Г1,Г3-Г5]]</f>
        <v>119794.09204187809</v>
      </c>
      <c r="BU354" s="93"/>
      <c r="BV354" s="93">
        <f>ППД5[[#This Row],[Фикс 16.05.24]]+ППД5[[#This Row],[Наценка 24.05.24
1% - Б4, Б5,Г2,Г6
2% - А1,А3,А5,Б2,Г7]]</f>
        <v>119794.09204187809</v>
      </c>
      <c r="BW354" s="93"/>
      <c r="BX354" s="93">
        <f>ППД5[[#This Row],[Наценка 06.06.24
0К: В2,Г3 +0,5%
1К: А7, Б5/4, Г6 +0,5%
3К: В6 +0,5%
1К: А3 +1%]]+ППД5[[#This Row],[Фикс 24.05.24]]</f>
        <v>119794.09204187809</v>
      </c>
      <c r="BY354" s="93"/>
      <c r="BZ354" s="93">
        <f>ППД5[[#This Row],[Фикс 06.06.24]]+ППД5[[#This Row],[13.06.2024
3К - 2%]]</f>
        <v>119794.09204187809</v>
      </c>
      <c r="CA354" s="93"/>
      <c r="CB354" s="93">
        <f>ППД5[[#This Row],[02.07.2024: Г3 А1 А3 Б5 Б7 Г2 Г6 Б3 Б4 В3 Г7 2,5% ост 0,5-1,5%]]+ППД5[[#This Row],[Фикс 13.06.24]]</f>
        <v>119794.09204187809</v>
      </c>
      <c r="CC354" s="93"/>
      <c r="CD354" s="93">
        <f>ППД5[[#This Row],[Фикс 02.07.24]]+ППД5[[#This Row],[04.09.2024 +500
0К - Б2; 1К - А3;
2К - А6, Б4, В3, Г5]]</f>
        <v>119794.09204187809</v>
      </c>
      <c r="CE354" s="93"/>
      <c r="CF354" s="93">
        <f>ППД5[[#This Row],[Наценка 16.09.2024
1К: А1,В7,Г6/7,Г8 - 2%
2К: А4,А5,А6,Б1,Б6,Б3/4,В3,В4,Г4,Г5 - 4%
3К: 4%]]+ППД5[[#This Row],[Фикс 04.09.24]]</f>
        <v>119794.09204187809</v>
      </c>
      <c r="CG354" s="93"/>
      <c r="CH354" s="93">
        <f>ППД5[[#This Row],[Фикс 16.09.2024]]+ППД5[[#This Row],[Наценка 01.11.24
СТ: 4%
1К: 34-40м 5%; 40м+ 8%; МГН 1%
2К: 55-70м 6%; 70-73м 7%; 73-76м 8% 
3К: 5%]]</f>
        <v>119794.09204187809</v>
      </c>
      <c r="CI354" s="93"/>
      <c r="CJ354" s="93">
        <f>ППД5[[#This Row],[Наценка 06.11 13%]]+ППД5[[#This Row],[Фикс 01.11.24]]</f>
        <v>119794.09204187809</v>
      </c>
      <c r="CK354" s="93"/>
      <c r="CL354" s="93">
        <f>ППД5[[#This Row],[Фикс 06.11.24]]+ППД5[[#This Row],[Наценка 18.12.24 распределение КВ]]</f>
        <v>119794.09204187809</v>
      </c>
      <c r="CM354" s="93"/>
      <c r="CN354" s="93">
        <f>ППД5[[#This Row],[Фикс 18.12.24]]+ППД5[[#This Row],[Наценка 10.02.25 +1%
1К: А3
2К: Б3, В3]]</f>
        <v>119794.09204187809</v>
      </c>
      <c r="CO354" s="93">
        <f>ROUND(ППД5[[#This Row],[Фикс 10.02.25]],2)</f>
        <v>119794.09</v>
      </c>
      <c r="CP35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4529500</v>
      </c>
      <c r="CQ354" s="93">
        <f>ROUNDUP(ППД5[[#This Row],[Стоимость до скидки]]+ППД5[[#This Row],[Сумма доплаты]],-2)</f>
        <v>4498400</v>
      </c>
      <c r="CR354" s="68"/>
      <c r="CS354" s="90"/>
      <c r="CT354" s="68">
        <f>ППД5[[#This Row],[Стоимость до скидки]]*ППД5[[#This Row],[Скидка %]]+ППД5[[#This Row],[Скидка фиксированная]]</f>
        <v>0</v>
      </c>
      <c r="CU354" s="3">
        <f>ППД5[[#This Row],[Стоимость ОН без отделки со скидкой]]/ППД5[[#This Row],[Расчетная проектная площадь]]</f>
        <v>119796.35017191219</v>
      </c>
      <c r="CV354" s="3">
        <f>ROUND(ППД5[[#This Row],[Стоимость до скидки]]-ППД5[[#This Row],[Итоговая сумма скидки]],2)</f>
        <v>4529500</v>
      </c>
      <c r="CW35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54" s="197">
        <v>20000</v>
      </c>
      <c r="CY354" s="332">
        <f>ППД5[[#This Row],[Расхождение]]/ППД5[[#This Row],[Расчетная проектная площадь]]</f>
        <v>-6.8764877016661728E-3</v>
      </c>
      <c r="CZ35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-0.24999999999999822</v>
      </c>
      <c r="DA354" s="3">
        <f>ППД5[[#This Row],[Цена м2 без отделки со скидкой]]+ППД5[[#This Row],[Стоимость отделки]]</f>
        <v>139796.35017191217</v>
      </c>
      <c r="DB354" s="3">
        <f>ППД5[[#This Row],[Стоимость квартиры с отделкой]]-ППД5[[#This Row],[Стоимость ОН без отделки со скидкой]]</f>
        <v>756199.99999999907</v>
      </c>
      <c r="DC354" s="3">
        <f>ППД5[[#This Row],[Цена м2 с отделкой]]*ППД5[[#This Row],[Расчетная проектная площадь]]</f>
        <v>5285699.9999999991</v>
      </c>
      <c r="DD354" s="3"/>
      <c r="DF354" s="199" t="s">
        <v>172</v>
      </c>
      <c r="DG354" s="245" t="s">
        <v>172</v>
      </c>
      <c r="DH354" s="100" t="b">
        <f>EXACT(ППД5[[#This Row],[Статусы CRM]],ППД5[[#This Row],[Статус]])</f>
        <v>1</v>
      </c>
      <c r="DI354" s="213" t="s">
        <v>526</v>
      </c>
      <c r="DJ354" s="204"/>
      <c r="DK354" s="111" t="s">
        <v>763</v>
      </c>
      <c r="DL354" s="216" t="s">
        <v>14</v>
      </c>
      <c r="DM354" s="201" t="b">
        <f>ППД5[[#This Row],[Отделка CRM]]=ППД5[[#This Row],[Отделка]]</f>
        <v>1</v>
      </c>
      <c r="DN354" s="203">
        <v>5285700</v>
      </c>
      <c r="DO35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9.3132257461547852E-10</v>
      </c>
      <c r="DP354" s="207" t="b">
        <f>IF(AND(ППД5[[#This Row],[Статус]]="свободно",ППД5[[#This Row],[Итоговая сумма скидки]]&lt;&gt;0),FALSE,TRUE)</f>
        <v>1</v>
      </c>
      <c r="DQ354" s="240">
        <f>_xlfn.XLOOKUP(ППД5[[#This Row],[№]],Юрист[№ кв],Юрист[Дата подачи на регистрацию]," ",0,-1)</f>
        <v>45309</v>
      </c>
      <c r="DR354" s="115" t="str">
        <f>_xlfn.XLOOKUP(ППД5[[#This Row],[№]],Юрист[№ кв],Юрист[МОП],"",0,-1)</f>
        <v>Полехович</v>
      </c>
      <c r="DS354" s="333" t="s">
        <v>3000</v>
      </c>
      <c r="DT354" s="333" t="s">
        <v>3001</v>
      </c>
      <c r="DU354" s="333">
        <v>36.1</v>
      </c>
      <c r="DV354" s="111"/>
    </row>
    <row r="355" spans="1:126" hidden="1" x14ac:dyDescent="0.25">
      <c r="A355" s="112">
        <v>353</v>
      </c>
      <c r="B355" s="111" t="s">
        <v>3</v>
      </c>
      <c r="C355" s="111">
        <v>19</v>
      </c>
      <c r="D355" s="111">
        <v>6</v>
      </c>
      <c r="E355" s="111">
        <v>3</v>
      </c>
      <c r="F355" s="105">
        <v>17.2</v>
      </c>
      <c r="G355" s="105">
        <v>14.64</v>
      </c>
      <c r="H355" s="105">
        <v>14.34</v>
      </c>
      <c r="I355" s="94">
        <f>SUM(ППД5[[#This Row],[Комната 1]:[Комната 3]])</f>
        <v>46.18</v>
      </c>
      <c r="J355" s="105">
        <v>13.15</v>
      </c>
      <c r="K355" s="105">
        <v>4.03</v>
      </c>
      <c r="L355" s="105">
        <v>1.76</v>
      </c>
      <c r="M355" s="105"/>
      <c r="N355" s="105">
        <v>13.11</v>
      </c>
      <c r="O355" s="105">
        <v>2.79</v>
      </c>
      <c r="P355" s="105">
        <v>2.68</v>
      </c>
      <c r="Q355" s="105"/>
      <c r="R355" s="105">
        <f>SUM(ППД5[[#This Row],[Лоджия 1]:[Лоджия 3]])</f>
        <v>5.4700000000000006</v>
      </c>
      <c r="S355" s="8">
        <f>ROUND(SUM(ППД5[[#This Row],[Площадь по проекту жилая]:[Лоджия 3]]),2)</f>
        <v>83.7</v>
      </c>
      <c r="T355" s="8">
        <f>ROUND(ППД5[[#This Row],[Площадь по проекту(общая)]]-ППД5[[#This Row],[Летние]],2)</f>
        <v>78.23</v>
      </c>
      <c r="U355" s="91">
        <f>ROUND(ППД5[[#This Row],[Площадь по проекту(общая)]]-(SUM(ППД5[[#This Row],[Лоджия 1]:[Лоджия 3]])/2),2)</f>
        <v>80.97</v>
      </c>
      <c r="V355" s="91">
        <f>IF(ППД5[[#This Row],[Статус]]="продажа",ППД5[[#This Row],[Расчетная проектная площадь]],ППД5[[#This Row],[Расчетная ТП площадь]])</f>
        <v>80.97</v>
      </c>
      <c r="W355" s="91">
        <v>16.899999999999999</v>
      </c>
      <c r="X355" s="91">
        <v>14.7</v>
      </c>
      <c r="Y355" s="91">
        <v>14.2</v>
      </c>
      <c r="Z355" s="91">
        <f>SUM(ППД5[[#This Row],[ТП Комната 1]:[ТП Комната 3]])</f>
        <v>45.8</v>
      </c>
      <c r="AA355" s="91">
        <v>13.1</v>
      </c>
      <c r="AB355" s="91">
        <v>4</v>
      </c>
      <c r="AC355" s="91">
        <v>1.9</v>
      </c>
      <c r="AD355" s="91"/>
      <c r="AE355" s="91">
        <v>12.8</v>
      </c>
      <c r="AF355" s="91">
        <v>1.4</v>
      </c>
      <c r="AG355" s="92">
        <v>1.35</v>
      </c>
      <c r="AH355" s="91"/>
      <c r="AI355" s="91">
        <f>SUM(ППД5[[#This Row],[ТП Лоджия 1]:[ТП Лоджия 3]])</f>
        <v>2.75</v>
      </c>
      <c r="AJ355" s="95">
        <v>5.5</v>
      </c>
      <c r="AK355" s="91">
        <f>SUM(ППД5[[#This Row],[Площадь по ТП жилая]:[ТП Лоджия 3]])-ППД5[[#This Row],[ТП Летние]]+ППД5[[#This Row],[кроме того прочая
(без коэффициента)]]</f>
        <v>83.1</v>
      </c>
      <c r="AL355" s="95">
        <f>ППД5[[#This Row],[ТП Площадь без летних]]+(ППД5[[#This Row],[ТП Летние]])</f>
        <v>80.349999999999994</v>
      </c>
      <c r="AM355" s="91">
        <f>ППД5[[#This Row],[ТП общая S]]-ППД5[[#This Row],[кроме того прочая
(без коэффициента)]]</f>
        <v>77.599999999999994</v>
      </c>
      <c r="AN355" s="95">
        <f>SUM(ППД5[[#This Row],[ТП Кухня]:[ТП Коридор]])</f>
        <v>31.8</v>
      </c>
      <c r="AO355" s="91">
        <f>ППД5[[#This Row],[Расчетная ТП площадь]]-ППД5[[#This Row],[Расчетная проектная площадь]]</f>
        <v>-0.62000000000000455</v>
      </c>
      <c r="AP355" s="335">
        <f>ППД5[[#This Row],[Расчетная ТП площадь]]/ППД5[[#This Row],[Расчетная проектная площадь]]-1</f>
        <v>-7.6571569717179822E-3</v>
      </c>
      <c r="AQ355" s="91">
        <f>ППД5[[#This Row],[% расхождения]]*ППД5[[#This Row],[Стоимость до скидки]]</f>
        <v>-53126.55379770328</v>
      </c>
      <c r="AR355" s="91">
        <f>VLOOKUP(ППД5[[#This Row],[№]],наценкад5[],COLUMN(наценкад5[[#This Row],[Цена м2 с учетом всех K]]),0)</f>
        <v>79230.690000000017</v>
      </c>
      <c r="AS355" s="8">
        <f>ППД5[[#This Row],[м2 после К]]*5%</f>
        <v>3961.5345000000011</v>
      </c>
      <c r="AT355" s="8">
        <f>ППД5[[#This Row],[м2 после К]]+ППД5[[#This Row],[Повышение 16.08.23 - 5%]]</f>
        <v>83192.224500000011</v>
      </c>
      <c r="AU355" s="93">
        <f>ППД5[[#This Row],[Фикс 16.08.23]]*3%</f>
        <v>2495.7667350000002</v>
      </c>
      <c r="AV355" s="93">
        <f>ППД5[[#This Row],[Фикс 16.08.23]]+ППД5[[#This Row],[Повышение 29.08.23 - 3%]]</f>
        <v>85687.991235000009</v>
      </c>
      <c r="AW355" s="93"/>
      <c r="AX355" s="93">
        <f>ППД5[[#This Row],[Фикс 29.08.23]]+ППД5[[#This Row],[Повышение 06.09.23 СТ и 1К]]</f>
        <v>85687.991235000009</v>
      </c>
      <c r="AY355" s="93"/>
      <c r="AZ355" s="93">
        <f>ППД5[[#This Row],[Повышение 23.10.23  В4 ]]+ППД5[[#This Row],[Фикс 06.09.23]]</f>
        <v>85687.991235000009</v>
      </c>
      <c r="BA355" s="93"/>
      <c r="BB355" s="93">
        <f>ППД5[[#This Row],[Повышение 8.11.23 1К 5%]]+ППД5[[#This Row],[Фикс 23.10.23]]</f>
        <v>85687.991235000009</v>
      </c>
      <c r="BC355" s="93"/>
      <c r="BD355" s="93">
        <f>ППД5[[#This Row],[Корректировка 24.11.23 - 1К В5, 2К А2, №233]]+ППД5[[#This Row],[Фикс 8.11.23]]</f>
        <v>85687.991235000009</v>
      </c>
      <c r="BE355" s="93"/>
      <c r="BF355" s="93">
        <f>ППД5[[#This Row],[Наценка за отделку 29.12.23 1%]]+ППД5[[#This Row],[Фикс 8.11.24]]</f>
        <v>85687.991235000009</v>
      </c>
      <c r="BG355" s="93"/>
      <c r="BH355" s="93">
        <f>ППД5[[#This Row],[Фикс 29.12.23]]+ППД5[[#This Row],[Наценка 10.01.24 5%]]</f>
        <v>85687.991235000009</v>
      </c>
      <c r="BI355" s="93"/>
      <c r="BJ355" s="93">
        <f>ППД5[[#This Row],[Наценка 26.02.24 1 Этаж]]+ППД5[[#This Row],[Фикс 10.01.24]]</f>
        <v>85687.991235000009</v>
      </c>
      <c r="BK355" s="93"/>
      <c r="BL355" s="93">
        <f>ППД5[[#This Row],[Фикс 26.02.24]]+ППД5[[#This Row],[Наценка 06.03.24
СТ, 1К - 3%
2К, 3К - 2%]]</f>
        <v>85687.991235000009</v>
      </c>
      <c r="BM355" s="93"/>
      <c r="BN355" s="93">
        <f>ППД5[[#This Row],[Фикс 06.03.24]]+ППД5[[#This Row],[Наценка Г2+500]]</f>
        <v>85687.991235000009</v>
      </c>
      <c r="BO355" s="93"/>
      <c r="BP355" s="93">
        <f>ППД5[[#This Row],[Фикс 13.03.25]]+ППД5[[#This Row],[Наценка 20.03.24
2К, 3К - 2%]]</f>
        <v>85687.991235000009</v>
      </c>
      <c r="BQ355" s="93"/>
      <c r="BR355" s="93">
        <f>ППД5[[#This Row],[Фикс 20.03.24]]+ППД5[[#This Row],[Наценка 08.04.24 
2К: В3 - 150
3К: Г7 +1000]]</f>
        <v>85687.991235000009</v>
      </c>
      <c r="BS355" s="93"/>
      <c r="BT355" s="93">
        <f>ППД5[[#This Row],[Фикс 08.04.24]]+ППД5[[#This Row],[Наценка 16.05.24 1%
А4,А6,Б3,Б6,Б7,В2,В3,В5,В6,Г1,Г3-Г5]]</f>
        <v>85687.991235000009</v>
      </c>
      <c r="BU355" s="93"/>
      <c r="BV355" s="93">
        <f>ППД5[[#This Row],[Фикс 16.05.24]]+ППД5[[#This Row],[Наценка 24.05.24
1% - Б4, Б5,Г2,Г6
2% - А1,А3,А5,Б2,Г7]]</f>
        <v>85687.991235000009</v>
      </c>
      <c r="BW355" s="93"/>
      <c r="BX355" s="93">
        <f>ППД5[[#This Row],[Наценка 06.06.24
0К: В2,Г3 +0,5%
1К: А7, Б5/4, Г6 +0,5%
3К: В6 +0,5%
1К: А3 +1%]]+ППД5[[#This Row],[Фикс 24.05.24]]</f>
        <v>85687.991235000009</v>
      </c>
      <c r="BY355" s="93"/>
      <c r="BZ355" s="93">
        <f>ППД5[[#This Row],[Фикс 06.06.24]]+ППД5[[#This Row],[13.06.2024
3К - 2%]]</f>
        <v>85687.991235000009</v>
      </c>
      <c r="CA355" s="93"/>
      <c r="CB355" s="93">
        <f>ППД5[[#This Row],[02.07.2024: Г3 А1 А3 Б5 Б7 Г2 Г6 Б3 Б4 В3 Г7 2,5% ост 0,5-1,5%]]+ППД5[[#This Row],[Фикс 13.06.24]]</f>
        <v>85687.991235000009</v>
      </c>
      <c r="CC355" s="93"/>
      <c r="CD355" s="93">
        <f>ППД5[[#This Row],[Фикс 02.07.24]]+ППД5[[#This Row],[04.09.2024 +500
0К - Б2; 1К - А3;
2К - А6, Б4, В3, Г5]]</f>
        <v>85687.991235000009</v>
      </c>
      <c r="CE355" s="93"/>
      <c r="CF355" s="93">
        <f>ППД5[[#This Row],[Наценка 16.09.2024
1К: А1,В7,Г6/7,Г8 - 2%
2К: А4,А5,А6,Б1,Б6,Б3/4,В3,В4,Г4,Г5 - 4%
3К: 4%]]+ППД5[[#This Row],[Фикс 04.09.24]]</f>
        <v>85687.991235000009</v>
      </c>
      <c r="CG355" s="93"/>
      <c r="CH355" s="93">
        <f>ППД5[[#This Row],[Фикс 16.09.2024]]+ППД5[[#This Row],[Наценка 01.11.24
СТ: 4%
1К: 34-40м 5%; 40м+ 8%; МГН 1%
2К: 55-70м 6%; 70-73м 7%; 73-76м 8% 
3К: 5%]]</f>
        <v>85687.991235000009</v>
      </c>
      <c r="CI355" s="93"/>
      <c r="CJ355" s="93">
        <f>ППД5[[#This Row],[Наценка 06.11 13%]]+ППД5[[#This Row],[Фикс 01.11.24]]</f>
        <v>85687.991235000009</v>
      </c>
      <c r="CK355" s="93"/>
      <c r="CL355" s="93">
        <f>ППД5[[#This Row],[Фикс 06.11.24]]+ППД5[[#This Row],[Наценка 18.12.24 распределение КВ]]</f>
        <v>85687.991235000009</v>
      </c>
      <c r="CM355" s="93"/>
      <c r="CN355" s="93">
        <f>ППД5[[#This Row],[Фикс 18.12.24]]+ППД5[[#This Row],[Наценка 10.02.25 +1%
1К: А3
2К: Б3, В3]]</f>
        <v>85687.991235000009</v>
      </c>
      <c r="CO355" s="93">
        <f>ROUND(ППД5[[#This Row],[Фикс 10.02.25]],2)</f>
        <v>85687.99</v>
      </c>
      <c r="CP35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6938156.5499999998</v>
      </c>
      <c r="CQ355" s="93">
        <f>ROUNDUP(ППД5[[#This Row],[Стоимость до скидки]]+ППД5[[#This Row],[Сумма доплаты]],-2)</f>
        <v>6885100</v>
      </c>
      <c r="CR355" s="68"/>
      <c r="CS355" s="90">
        <v>0.05</v>
      </c>
      <c r="CT355" s="68">
        <f>ППД5[[#This Row],[Стоимость до скидки]]*ППД5[[#This Row],[Скидка %]]+ППД5[[#This Row],[Скидка фиксированная]]</f>
        <v>346907.82750000001</v>
      </c>
      <c r="CU355" s="3">
        <f>ППД5[[#This Row],[Стоимость ОН без отделки со скидкой]]/ППД5[[#This Row],[Расчетная проектная площадь]]</f>
        <v>81403.590465604546</v>
      </c>
      <c r="CV355" s="3">
        <f>ROUND(ППД5[[#This Row],[Стоимость до скидки]]-ППД5[[#This Row],[Итоговая сумма скидки]],2)</f>
        <v>6591248.7199999997</v>
      </c>
      <c r="CW35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55" s="197"/>
      <c r="CY355" s="332">
        <f>ППД5[[#This Row],[Расхождение]]/ППД5[[#This Row],[Расчетная проектная площадь]]</f>
        <v>-7.6571569717179761E-3</v>
      </c>
      <c r="CZ35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-0.25000000000000178</v>
      </c>
      <c r="DA355" s="3">
        <f>ППД5[[#This Row],[Цена м2 без отделки со скидкой]]+ППД5[[#This Row],[Стоимость отделки]]</f>
        <v>81403.590465604546</v>
      </c>
      <c r="DB355" s="3">
        <f>ППД5[[#This Row],[Стоимость квартиры с отделкой]]-ППД5[[#This Row],[Стоимость ОН без отделки со скидкой]]</f>
        <v>0</v>
      </c>
      <c r="DC355" s="3">
        <f>ППД5[[#This Row],[Цена м2 с отделкой]]*ППД5[[#This Row],[Расчетная проектная площадь]]</f>
        <v>6591248.7199999997</v>
      </c>
      <c r="DD355" s="3"/>
      <c r="DE355" s="111" t="s">
        <v>162</v>
      </c>
      <c r="DF355" s="199" t="s">
        <v>172</v>
      </c>
      <c r="DG355" s="245" t="s">
        <v>172</v>
      </c>
      <c r="DH355" s="100" t="b">
        <f>EXACT(ППД5[[#This Row],[Статусы CRM]],ППД5[[#This Row],[Статус]])</f>
        <v>1</v>
      </c>
      <c r="DI355" s="213" t="s">
        <v>527</v>
      </c>
      <c r="DJ355" s="204"/>
      <c r="DK355" s="111" t="s">
        <v>76</v>
      </c>
      <c r="DL355" s="216" t="s">
        <v>12</v>
      </c>
      <c r="DM355" s="201" t="b">
        <f>ППД5[[#This Row],[Отделка CRM]]=ППД5[[#This Row],[Отделка]]</f>
        <v>1</v>
      </c>
      <c r="DN355" s="203">
        <v>6591248.7199999997</v>
      </c>
      <c r="DO35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55" s="207" t="b">
        <f>IF(AND(ППД5[[#This Row],[Статус]]="свободно",ППД5[[#This Row],[Итоговая сумма скидки]]&lt;&gt;0),FALSE,TRUE)</f>
        <v>1</v>
      </c>
      <c r="DQ355" s="240">
        <f>_xlfn.XLOOKUP(ППД5[[#This Row],[№]],Юрист[№ кв],Юрист[Дата подачи на регистрацию]," ",0,-1)</f>
        <v>45380</v>
      </c>
      <c r="DR355" s="115" t="str">
        <f>_xlfn.XLOOKUP(ППД5[[#This Row],[№]],Юрист[№ кв],Юрист[МОП],"",0,-1)</f>
        <v>Дик</v>
      </c>
      <c r="DS355" s="333" t="s">
        <v>3002</v>
      </c>
      <c r="DT355" s="333" t="s">
        <v>3003</v>
      </c>
      <c r="DU355" s="333">
        <v>77.599999999999994</v>
      </c>
      <c r="DV355" s="111"/>
    </row>
    <row r="356" spans="1:126" hidden="1" x14ac:dyDescent="0.25">
      <c r="A356" s="112">
        <v>354</v>
      </c>
      <c r="B356" s="111" t="s">
        <v>3</v>
      </c>
      <c r="C356" s="111">
        <v>19</v>
      </c>
      <c r="D356" s="111">
        <v>7</v>
      </c>
      <c r="E356" s="111">
        <v>1</v>
      </c>
      <c r="F356" s="105">
        <v>14.3</v>
      </c>
      <c r="G356" s="105"/>
      <c r="H356" s="105"/>
      <c r="I356" s="94">
        <f>SUM(ППД5[[#This Row],[Комната 1]:[Комната 3]])</f>
        <v>14.3</v>
      </c>
      <c r="J356" s="105">
        <v>9.2799999999999994</v>
      </c>
      <c r="K356" s="105">
        <v>3.79</v>
      </c>
      <c r="L356" s="105"/>
      <c r="M356" s="105"/>
      <c r="N356" s="105">
        <v>6.08</v>
      </c>
      <c r="O356" s="105">
        <v>2.71</v>
      </c>
      <c r="P356" s="105"/>
      <c r="Q356" s="105"/>
      <c r="R356" s="105">
        <f>SUM(ППД5[[#This Row],[Лоджия 1]:[Лоджия 3]])</f>
        <v>2.71</v>
      </c>
      <c r="S356" s="8">
        <f>ROUND(SUM(ППД5[[#This Row],[Площадь по проекту жилая]:[Лоджия 3]]),2)</f>
        <v>36.159999999999997</v>
      </c>
      <c r="T356" s="8">
        <f>ROUND(ППД5[[#This Row],[Площадь по проекту(общая)]]-ППД5[[#This Row],[Летние]],2)</f>
        <v>33.450000000000003</v>
      </c>
      <c r="U356" s="91">
        <f>ROUND(ППД5[[#This Row],[Площадь по проекту(общая)]]-(SUM(ППД5[[#This Row],[Лоджия 1]:[Лоджия 3]])/2),2)</f>
        <v>34.81</v>
      </c>
      <c r="V356" s="91">
        <f>IF(ППД5[[#This Row],[Статус]]="продажа",ППД5[[#This Row],[Расчетная проектная площадь]],ППД5[[#This Row],[Расчетная ТП площадь]])</f>
        <v>34.85</v>
      </c>
      <c r="W356" s="91">
        <v>14.4</v>
      </c>
      <c r="X356" s="91"/>
      <c r="Y356" s="91"/>
      <c r="Z356" s="91">
        <f>SUM(ППД5[[#This Row],[ТП Комната 1]:[ТП Комната 3]])</f>
        <v>14.4</v>
      </c>
      <c r="AA356" s="91">
        <v>9.1999999999999993</v>
      </c>
      <c r="AB356" s="91">
        <v>3.8</v>
      </c>
      <c r="AC356" s="91"/>
      <c r="AD356" s="91"/>
      <c r="AE356" s="91">
        <v>6.1</v>
      </c>
      <c r="AF356" s="91">
        <v>1.35</v>
      </c>
      <c r="AG356" s="91"/>
      <c r="AH356" s="91"/>
      <c r="AI356" s="91">
        <f>SUM(ППД5[[#This Row],[ТП Лоджия 1]:[ТП Лоджия 3]])</f>
        <v>1.35</v>
      </c>
      <c r="AJ356" s="95">
        <v>2.7</v>
      </c>
      <c r="AK356" s="91">
        <f>SUM(ППД5[[#This Row],[Площадь по ТП жилая]:[ТП Лоджия 3]])-ППД5[[#This Row],[ТП Летние]]+ППД5[[#This Row],[кроме того прочая
(без коэффициента)]]</f>
        <v>36.200000000000003</v>
      </c>
      <c r="AL356" s="95">
        <f>ППД5[[#This Row],[ТП Площадь без летних]]+(ППД5[[#This Row],[ТП Летние]])</f>
        <v>34.85</v>
      </c>
      <c r="AM356" s="91">
        <f>ППД5[[#This Row],[ТП общая S]]-ППД5[[#This Row],[кроме того прочая
(без коэффициента)]]</f>
        <v>33.5</v>
      </c>
      <c r="AN356" s="95">
        <f>SUM(ППД5[[#This Row],[ТП Кухня]:[ТП Коридор]])</f>
        <v>19.100000000000001</v>
      </c>
      <c r="AO356" s="91">
        <f>ППД5[[#This Row],[Расчетная ТП площадь]]-ППД5[[#This Row],[Расчетная проектная площадь]]</f>
        <v>3.9999999999999147E-2</v>
      </c>
      <c r="AP356" s="335">
        <f>ППД5[[#This Row],[Расчетная ТП площадь]]/ППД5[[#This Row],[Расчетная проектная площадь]]-1</f>
        <v>1.1490950876185124E-3</v>
      </c>
      <c r="AQ356" s="91">
        <f>ППД5[[#This Row],[% расхождения]]*ППД5[[#This Row],[Стоимость до скидки]]</f>
        <v>6279.2301062913612</v>
      </c>
      <c r="AR356" s="91">
        <f>VLOOKUP(ППД5[[#This Row],[№]],наценкад5[],COLUMN(наценкад5[[#This Row],[Цена м2 с учетом всех K]]),0)</f>
        <v>91251.5625</v>
      </c>
      <c r="AS356" s="8">
        <f>ППД5[[#This Row],[м2 после К]]*5%</f>
        <v>4562.578125</v>
      </c>
      <c r="AT356" s="8">
        <f>ППД5[[#This Row],[м2 после К]]+ППД5[[#This Row],[Повышение 16.08.23 - 5%]]</f>
        <v>95814.140625</v>
      </c>
      <c r="AU356" s="93">
        <f>ППД5[[#This Row],[Фикс 16.08.23]]*3%</f>
        <v>2874.4242187499999</v>
      </c>
      <c r="AV356" s="93">
        <f>ППД5[[#This Row],[Фикс 16.08.23]]+ППД5[[#This Row],[Повышение 29.08.23 - 3%]]</f>
        <v>98688.564843750006</v>
      </c>
      <c r="AW356" s="93">
        <f>ППД5[[#This Row],[Фикс 29.08.23]]*14%</f>
        <v>13816.399078125001</v>
      </c>
      <c r="AX356" s="93">
        <f>ППД5[[#This Row],[Фикс 29.08.23]]+ППД5[[#This Row],[Повышение 06.09.23 СТ и 1К]]</f>
        <v>112504.96392187501</v>
      </c>
      <c r="AY356" s="93"/>
      <c r="AZ356" s="93">
        <f>ППД5[[#This Row],[Повышение 23.10.23  В4 ]]+ППД5[[#This Row],[Фикс 06.09.23]]</f>
        <v>112504.96392187501</v>
      </c>
      <c r="BA356" s="93">
        <f>ППД5[[#This Row],[Фикс 23.10.23]]*5%</f>
        <v>5625.2481960937512</v>
      </c>
      <c r="BB356" s="93">
        <f>ППД5[[#This Row],[Повышение 8.11.23 1К 5%]]+ППД5[[#This Row],[Фикс 23.10.23]]</f>
        <v>118130.21211796877</v>
      </c>
      <c r="BC356" s="93"/>
      <c r="BD356" s="93">
        <f>ППД5[[#This Row],[Корректировка 24.11.23 - 1К В5, 2К А2, №233]]+ППД5[[#This Row],[Фикс 8.11.23]]</f>
        <v>118130.21211796877</v>
      </c>
      <c r="BE356" s="93">
        <f>ППД5[[#This Row],[Фикс 8.11.24]]*1%</f>
        <v>1181.3021211796877</v>
      </c>
      <c r="BF356" s="93">
        <f>ППД5[[#This Row],[Наценка за отделку 29.12.23 1%]]+ППД5[[#This Row],[Фикс 8.11.24]]</f>
        <v>119311.51423914846</v>
      </c>
      <c r="BG356" s="93">
        <f>ППД5[[#This Row],[Фикс 29.12.23]]*5%</f>
        <v>5965.5757119574228</v>
      </c>
      <c r="BH356" s="93">
        <f>ППД5[[#This Row],[Фикс 29.12.23]]+ППД5[[#This Row],[Наценка 10.01.24 5%]]</f>
        <v>125277.08995110588</v>
      </c>
      <c r="BI356" s="93"/>
      <c r="BJ356" s="93">
        <f>ППД5[[#This Row],[Наценка 26.02.24 1 Этаж]]+ППД5[[#This Row],[Фикс 10.01.24]]</f>
        <v>125277.08995110588</v>
      </c>
      <c r="BK356" s="93">
        <f>ППД5[[#This Row],[Фикс 26.02.24]]*3%</f>
        <v>3758.3126985331764</v>
      </c>
      <c r="BL356" s="93">
        <f>ППД5[[#This Row],[Фикс 26.02.24]]+ППД5[[#This Row],[Наценка 06.03.24
СТ, 1К - 3%
2К, 3К - 2%]]</f>
        <v>129035.40264963906</v>
      </c>
      <c r="BM356" s="93"/>
      <c r="BN356" s="93">
        <f>ППД5[[#This Row],[Фикс 06.03.24]]+ППД5[[#This Row],[Наценка Г2+500]]</f>
        <v>129035.40264963906</v>
      </c>
      <c r="BO356" s="93"/>
      <c r="BP356" s="93">
        <f>ППД5[[#This Row],[Фикс 13.03.25]]+ППД5[[#This Row],[Наценка 20.03.24
2К, 3К - 2%]]</f>
        <v>129035.40264963906</v>
      </c>
      <c r="BQ356" s="93"/>
      <c r="BR356" s="93">
        <f>ППД5[[#This Row],[Фикс 20.03.24]]+ППД5[[#This Row],[Наценка 08.04.24 
2К: В3 - 150
3К: Г7 +1000]]</f>
        <v>129035.40264963906</v>
      </c>
      <c r="BS356" s="93"/>
      <c r="BT356" s="93">
        <f>ППД5[[#This Row],[Фикс 08.04.24]]+ППД5[[#This Row],[Наценка 16.05.24 1%
А4,А6,Б3,Б6,Б7,В2,В3,В5,В6,Г1,Г3-Г5]]</f>
        <v>129035.40264963906</v>
      </c>
      <c r="BU356" s="93"/>
      <c r="BV356" s="93">
        <f>ППД5[[#This Row],[Фикс 16.05.24]]+ППД5[[#This Row],[Наценка 24.05.24
1% - Б4, Б5,Г2,Г6
2% - А1,А3,А5,Б2,Г7]]</f>
        <v>129035.40264963906</v>
      </c>
      <c r="BW356" s="93"/>
      <c r="BX356" s="93">
        <f>ППД5[[#This Row],[Наценка 06.06.24
0К: В2,Г3 +0,5%
1К: А7, Б5/4, Г6 +0,5%
3К: В6 +0,5%
1К: А3 +1%]]+ППД5[[#This Row],[Фикс 24.05.24]]</f>
        <v>129035.40264963906</v>
      </c>
      <c r="BY356" s="93"/>
      <c r="BZ356" s="93">
        <f>ППД5[[#This Row],[Фикс 06.06.24]]+ППД5[[#This Row],[13.06.2024
3К - 2%]]</f>
        <v>129035.40264963906</v>
      </c>
      <c r="CA356" s="93">
        <f>0.5%*ППД5[[#This Row],[Фикс 13.06.24]]</f>
        <v>645.17701324819529</v>
      </c>
      <c r="CB356" s="93">
        <f>ППД5[[#This Row],[02.07.2024: Г3 А1 А3 Б5 Б7 Г2 Г6 Б3 Б4 В3 Г7 2,5% ост 0,5-1,5%]]+ППД5[[#This Row],[Фикс 13.06.24]]</f>
        <v>129680.57966288725</v>
      </c>
      <c r="CC356" s="93"/>
      <c r="CD356" s="93">
        <f>ППД5[[#This Row],[Фикс 02.07.24]]+ППД5[[#This Row],[04.09.2024 +500
0К - Б2; 1К - А3;
2К - А6, Б4, В3, Г5]]</f>
        <v>129680.57966288725</v>
      </c>
      <c r="CE356" s="93">
        <f>ППД5[[#This Row],[Фикс 04.09.24]]*2%</f>
        <v>2593.611593257745</v>
      </c>
      <c r="CF356" s="93">
        <f>ППД5[[#This Row],[Наценка 16.09.2024
1К: А1,В7,Г6/7,Г8 - 2%
2К: А4,А5,А6,Б1,Б6,Б3/4,В3,В4,Г4,Г5 - 4%
3К: 4%]]+ППД5[[#This Row],[Фикс 04.09.24]]</f>
        <v>132274.19125614499</v>
      </c>
      <c r="CG356" s="93">
        <f>ППД5[[#This Row],[Фикс 16.09.2024]]*5%</f>
        <v>6613.7095628072493</v>
      </c>
      <c r="CH356" s="93">
        <f>ППД5[[#This Row],[Фикс 16.09.2024]]+ППД5[[#This Row],[Наценка 01.11.24
СТ: 4%
1К: 34-40м 5%; 40м+ 8%; МГН 1%
2К: 55-70м 6%; 70-73м 7%; 73-76м 8% 
3К: 5%]]</f>
        <v>138887.90081895224</v>
      </c>
      <c r="CI356" s="93">
        <f>ППД5[[#This Row],[Фикс 01.11.24]]*13%</f>
        <v>18055.427106463791</v>
      </c>
      <c r="CJ356" s="93">
        <f>ППД5[[#This Row],[Наценка 06.11 13%]]+ППД5[[#This Row],[Фикс 01.11.24]]</f>
        <v>156943.32792541603</v>
      </c>
      <c r="CK356" s="93">
        <v>35</v>
      </c>
      <c r="CL356" s="93">
        <f>ППД5[[#This Row],[Фикс 06.11.24]]+ППД5[[#This Row],[Наценка 18.12.24 распределение КВ]]</f>
        <v>156978.32792541603</v>
      </c>
      <c r="CM356" s="93"/>
      <c r="CN356" s="93">
        <f>ППД5[[#This Row],[Фикс 18.12.24]]+ППД5[[#This Row],[Наценка 10.02.25 +1%
1К: А3
2К: Б3, В3]]</f>
        <v>156978.32792541603</v>
      </c>
      <c r="CO356" s="93">
        <f>ROUND(ППД5[[#This Row],[Фикс 10.02.25]],2)</f>
        <v>156978.32999999999</v>
      </c>
      <c r="CP35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5464500</v>
      </c>
      <c r="CQ356" s="93">
        <f>ROUNDUP(ППД5[[#This Row],[Стоимость до скидки]]+ППД5[[#This Row],[Сумма доплаты]],-2)</f>
        <v>5470800</v>
      </c>
      <c r="CR356" s="68"/>
      <c r="CS356" s="90"/>
      <c r="CT356" s="68">
        <f>ППД5[[#This Row],[Стоимость до скидки]]*ППД5[[#This Row],[Скидка %]]+ППД5[[#This Row],[Скидка фиксированная]]</f>
        <v>0</v>
      </c>
      <c r="CU356" s="3">
        <f>ППД5[[#This Row],[Стоимость ОН без отделки со скидкой]]/ППД5[[#This Row],[Расчетная проектная площадь]]</f>
        <v>156980.75265728237</v>
      </c>
      <c r="CV356" s="3">
        <f>ROUND(ППД5[[#This Row],[Стоимость до скидки]]-ППД5[[#This Row],[Итоговая сумма скидки]],2)</f>
        <v>5464500</v>
      </c>
      <c r="CW35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56" s="197"/>
      <c r="CY356" s="332">
        <f>ППД5[[#This Row],[Расхождение]]/ППД5[[#This Row],[Расчетная проектная площадь]]</f>
        <v>1.1490950876184758E-3</v>
      </c>
      <c r="CZ35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-4.9999999999998934E-2</v>
      </c>
      <c r="DA356" s="3">
        <f>ППД5[[#This Row],[Цена м2 без отделки со скидкой]]+ППД5[[#This Row],[Стоимость отделки]]</f>
        <v>156980.75265728237</v>
      </c>
      <c r="DB356" s="3">
        <f>ППД5[[#This Row],[Стоимость квартиры с отделкой]]-ППД5[[#This Row],[Стоимость ОН без отделки со скидкой]]</f>
        <v>0</v>
      </c>
      <c r="DC356" s="3">
        <f>ППД5[[#This Row],[Цена м2 с отделкой]]*ППД5[[#This Row],[Расчетная проектная площадь]]</f>
        <v>5464500</v>
      </c>
      <c r="DD356" s="3" t="s">
        <v>154</v>
      </c>
      <c r="DF356" s="199" t="s">
        <v>157</v>
      </c>
      <c r="DG356" s="245" t="s">
        <v>157</v>
      </c>
      <c r="DH356" s="100" t="b">
        <f>EXACT(ППД5[[#This Row],[Статусы CRM]],ППД5[[#This Row],[Статус]])</f>
        <v>1</v>
      </c>
      <c r="DI356" s="213" t="s">
        <v>528</v>
      </c>
      <c r="DJ356" s="204"/>
      <c r="DK356" s="111" t="s">
        <v>763</v>
      </c>
      <c r="DL356" s="216" t="s">
        <v>12</v>
      </c>
      <c r="DM356" s="201" t="b">
        <f>ППД5[[#This Row],[Отделка CRM]]=ППД5[[#This Row],[Отделка]]</f>
        <v>1</v>
      </c>
      <c r="DN356" s="203">
        <v>5464500</v>
      </c>
      <c r="DO35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56" s="207" t="b">
        <f>IF(AND(ППД5[[#This Row],[Статус]]="свободно",ППД5[[#This Row],[Итоговая сумма скидки]]&lt;&gt;0),FALSE,TRUE)</f>
        <v>1</v>
      </c>
      <c r="DQ356" s="240" t="str">
        <f>_xlfn.XLOOKUP(ППД5[[#This Row],[№]],Юрист[№ кв],Юрист[Дата подачи на регистрацию]," ",0,-1)</f>
        <v xml:space="preserve"> </v>
      </c>
      <c r="DR356" s="115" t="str">
        <f>_xlfn.XLOOKUP(ППД5[[#This Row],[№]],Юрист[№ кв],Юрист[МОП],"",0,-1)</f>
        <v/>
      </c>
      <c r="DS356" s="333" t="s">
        <v>3004</v>
      </c>
      <c r="DT356" s="333" t="s">
        <v>3005</v>
      </c>
      <c r="DU356" s="333">
        <v>33.5</v>
      </c>
      <c r="DV356" s="111"/>
    </row>
    <row r="357" spans="1:126" hidden="1" x14ac:dyDescent="0.25">
      <c r="A357" s="112">
        <v>355</v>
      </c>
      <c r="B357" s="111" t="s">
        <v>3</v>
      </c>
      <c r="C357" s="111">
        <v>20</v>
      </c>
      <c r="D357" s="338">
        <v>1</v>
      </c>
      <c r="E357" s="111">
        <v>2</v>
      </c>
      <c r="F357" s="105">
        <v>17.63</v>
      </c>
      <c r="G357" s="105">
        <v>13.69</v>
      </c>
      <c r="H357" s="105"/>
      <c r="I357" s="94">
        <f>SUM(ППД5[[#This Row],[Комната 1]:[Комната 3]])</f>
        <v>31.32</v>
      </c>
      <c r="J357" s="105">
        <v>20.05</v>
      </c>
      <c r="K357" s="105">
        <v>3.54</v>
      </c>
      <c r="L357" s="105">
        <v>2.93</v>
      </c>
      <c r="M357" s="105"/>
      <c r="N357" s="105">
        <v>12.19</v>
      </c>
      <c r="O357" s="105">
        <v>4.6500000000000004</v>
      </c>
      <c r="P357" s="105">
        <v>2.68</v>
      </c>
      <c r="Q357" s="105"/>
      <c r="R357" s="105">
        <f>SUM(ППД5[[#This Row],[Лоджия 1]:[Лоджия 3]])</f>
        <v>7.33</v>
      </c>
      <c r="S357" s="8">
        <f>ROUND(SUM(ППД5[[#This Row],[Площадь по проекту жилая]:[Лоджия 3]]),2)</f>
        <v>77.36</v>
      </c>
      <c r="T357" s="8">
        <f>ROUND(ППД5[[#This Row],[Площадь по проекту(общая)]]-ППД5[[#This Row],[Летние]],2)</f>
        <v>70.03</v>
      </c>
      <c r="U357" s="91">
        <f>ROUND(ППД5[[#This Row],[Площадь по проекту(общая)]]-(SUM(ППД5[[#This Row],[Лоджия 1]:[Лоджия 3]])/2),2)</f>
        <v>73.7</v>
      </c>
      <c r="V357" s="91">
        <f>IF(ППД5[[#This Row],[Статус]]="продажа",ППД5[[#This Row],[Расчетная проектная площадь]],ППД5[[#This Row],[Расчетная ТП площадь]])</f>
        <v>73.7</v>
      </c>
      <c r="W357" s="91">
        <v>17.7</v>
      </c>
      <c r="X357" s="91">
        <v>13.6</v>
      </c>
      <c r="Y357" s="91"/>
      <c r="Z357" s="91">
        <f>SUM(ППД5[[#This Row],[ТП Комната 1]:[ТП Комната 3]])</f>
        <v>31.299999999999997</v>
      </c>
      <c r="AA357" s="91">
        <v>19.899999999999999</v>
      </c>
      <c r="AB357" s="91">
        <v>3.5</v>
      </c>
      <c r="AC357" s="91">
        <v>2.9</v>
      </c>
      <c r="AD357" s="91"/>
      <c r="AE357" s="91">
        <v>12.1</v>
      </c>
      <c r="AF357" s="91">
        <v>1.35</v>
      </c>
      <c r="AG357" s="91">
        <v>2.2999999999999998</v>
      </c>
      <c r="AH357" s="91"/>
      <c r="AI357" s="91">
        <f>SUM(ППД5[[#This Row],[ТП Лоджия 1]:[ТП Лоджия 3]])</f>
        <v>3.65</v>
      </c>
      <c r="AJ357" s="95">
        <v>7.3</v>
      </c>
      <c r="AK357" s="91">
        <f>SUM(ППД5[[#This Row],[Площадь по ТП жилая]:[ТП Лоджия 3]])-ППД5[[#This Row],[ТП Летние]]+ППД5[[#This Row],[кроме того прочая
(без коэффициента)]]</f>
        <v>76.999999999999972</v>
      </c>
      <c r="AL357" s="95">
        <f>ППД5[[#This Row],[ТП Площадь без летних]]+(ППД5[[#This Row],[ТП Летние]])</f>
        <v>73.34999999999998</v>
      </c>
      <c r="AM357" s="91">
        <f>ППД5[[#This Row],[ТП общая S]]-ППД5[[#This Row],[кроме того прочая
(без коэффициента)]]</f>
        <v>69.699999999999974</v>
      </c>
      <c r="AN357" s="95">
        <f>SUM(ППД5[[#This Row],[ТП Кухня]:[ТП Коридор]])</f>
        <v>38.4</v>
      </c>
      <c r="AO357" s="91">
        <f>ППД5[[#This Row],[Расчетная ТП площадь]]-ППД5[[#This Row],[Расчетная проектная площадь]]</f>
        <v>-0.35000000000002274</v>
      </c>
      <c r="AP357" s="335">
        <f>ППД5[[#This Row],[Расчетная ТП площадь]]/ППД5[[#This Row],[Расчетная проектная площадь]]-1</f>
        <v>-4.7489823609229154E-3</v>
      </c>
      <c r="AQ357" s="91">
        <f>ППД5[[#This Row],[% расхождения]]*ППД5[[#This Row],[Стоимость до скидки]]</f>
        <v>-36300.746268658673</v>
      </c>
      <c r="AR357" s="91">
        <f>VLOOKUP(ППД5[[#This Row],[№]],наценкад5[],COLUMN(наценкад5[[#This Row],[Цена м2 с учетом всех K]]),0)</f>
        <v>86485.392000000007</v>
      </c>
      <c r="AS357" s="8">
        <f>ППД5[[#This Row],[м2 после К]]*5%</f>
        <v>4324.2696000000005</v>
      </c>
      <c r="AT357" s="8">
        <f>ППД5[[#This Row],[м2 после К]]+ППД5[[#This Row],[Повышение 16.08.23 - 5%]]</f>
        <v>90809.661600000007</v>
      </c>
      <c r="AU357" s="93">
        <f>ППД5[[#This Row],[Фикс 16.08.23]]*3%</f>
        <v>2724.2898479999999</v>
      </c>
      <c r="AV357" s="93">
        <f>ППД5[[#This Row],[Фикс 16.08.23]]+ППД5[[#This Row],[Повышение 29.08.23 - 3%]]</f>
        <v>93533.951448000007</v>
      </c>
      <c r="AW357" s="93"/>
      <c r="AX357" s="93">
        <f>ППД5[[#This Row],[Фикс 29.08.23]]+ППД5[[#This Row],[Повышение 06.09.23 СТ и 1К]]</f>
        <v>93533.951448000007</v>
      </c>
      <c r="AY357" s="93"/>
      <c r="AZ357" s="93">
        <f>ППД5[[#This Row],[Повышение 23.10.23  В4 ]]+ППД5[[#This Row],[Фикс 06.09.23]]</f>
        <v>93533.951448000007</v>
      </c>
      <c r="BA357" s="93"/>
      <c r="BB357" s="93">
        <f>ППД5[[#This Row],[Повышение 8.11.23 1К 5%]]+ППД5[[#This Row],[Фикс 23.10.23]]</f>
        <v>93533.951448000007</v>
      </c>
      <c r="BC357" s="93"/>
      <c r="BD357" s="93">
        <f>ППД5[[#This Row],[Корректировка 24.11.23 - 1К В5, 2К А2, №233]]+ППД5[[#This Row],[Фикс 8.11.23]]</f>
        <v>93533.951448000007</v>
      </c>
      <c r="BE357" s="93">
        <f>ППД5[[#This Row],[Фикс 8.11.24]]*1%</f>
        <v>935.33951448000005</v>
      </c>
      <c r="BF357" s="93">
        <f>ППД5[[#This Row],[Наценка за отделку 29.12.23 1%]]+ППД5[[#This Row],[Фикс 8.11.24]]</f>
        <v>94469.290962480009</v>
      </c>
      <c r="BG357" s="93">
        <f>ППД5[[#This Row],[Фикс 29.12.23]]*5%</f>
        <v>4723.4645481240004</v>
      </c>
      <c r="BH357" s="93">
        <f>ППД5[[#This Row],[Фикс 29.12.23]]+ППД5[[#This Row],[Наценка 10.01.24 5%]]</f>
        <v>99192.755510604009</v>
      </c>
      <c r="BI357" s="93"/>
      <c r="BJ357" s="93">
        <f>ППД5[[#This Row],[Наценка 26.02.24 1 Этаж]]+ППД5[[#This Row],[Фикс 10.01.24]]</f>
        <v>99192.755510604009</v>
      </c>
      <c r="BK357" s="93">
        <f>ППД5[[#This Row],[Фикс 26.02.24]]*2%</f>
        <v>1983.8551102120803</v>
      </c>
      <c r="BL357" s="93">
        <f>ППД5[[#This Row],[Фикс 26.02.24]]+ППД5[[#This Row],[Наценка 06.03.24
СТ, 1К - 3%
2К, 3К - 2%]]</f>
        <v>101176.61062081609</v>
      </c>
      <c r="BM357" s="93"/>
      <c r="BN357" s="93">
        <f>ППД5[[#This Row],[Фикс 06.03.24]]+ППД5[[#This Row],[Наценка Г2+500]]</f>
        <v>101176.61062081609</v>
      </c>
      <c r="BO357" s="93">
        <f>ППД5[[#This Row],[Фикс 13.03.25]]*2%</f>
        <v>2023.532212416322</v>
      </c>
      <c r="BP357" s="93">
        <f>ППД5[[#This Row],[Фикс 13.03.25]]+ППД5[[#This Row],[Наценка 20.03.24
2К, 3К - 2%]]</f>
        <v>103200.14283323241</v>
      </c>
      <c r="BQ357" s="93"/>
      <c r="BR357" s="93">
        <f>ППД5[[#This Row],[Фикс 20.03.24]]+ППД5[[#This Row],[Наценка 08.04.24 
2К: В3 - 150
3К: Г7 +1000]]</f>
        <v>103200.14283323241</v>
      </c>
      <c r="BS357" s="93"/>
      <c r="BT357" s="93">
        <f>ППД5[[#This Row],[Фикс 08.04.24]]+ППД5[[#This Row],[Наценка 16.05.24 1%
А4,А6,Б3,Б6,Б7,В2,В3,В5,В6,Г1,Г3-Г5]]</f>
        <v>103200.14283323241</v>
      </c>
      <c r="BU357" s="93"/>
      <c r="BV357" s="93">
        <f>ППД5[[#This Row],[Фикс 16.05.24]]+ППД5[[#This Row],[Наценка 24.05.24
1% - Б4, Б5,Г2,Г6
2% - А1,А3,А5,Б2,Г7]]</f>
        <v>103200.14283323241</v>
      </c>
      <c r="BW357" s="93"/>
      <c r="BX357" s="93">
        <f>ППД5[[#This Row],[Наценка 06.06.24
0К: В2,Г3 +0,5%
1К: А7, Б5/4, Г6 +0,5%
3К: В6 +0,5%
1К: А3 +1%]]+ППД5[[#This Row],[Фикс 24.05.24]]</f>
        <v>103200.14283323241</v>
      </c>
      <c r="BY357" s="93"/>
      <c r="BZ357" s="93">
        <f>ППД5[[#This Row],[Фикс 06.06.24]]+ППД5[[#This Row],[13.06.2024
3К - 2%]]</f>
        <v>103200.14283323241</v>
      </c>
      <c r="CA357" s="93">
        <f>0.5%*ППД5[[#This Row],[Фикс 13.06.24]]</f>
        <v>516.00071416616208</v>
      </c>
      <c r="CB357" s="93">
        <f>ППД5[[#This Row],[02.07.2024: Г3 А1 А3 Б5 Б7 Г2 Г6 Б3 Б4 В3 Г7 2,5% ост 0,5-1,5%]]+ППД5[[#This Row],[Фикс 13.06.24]]</f>
        <v>103716.14354739858</v>
      </c>
      <c r="CC357" s="93"/>
      <c r="CD357" s="93">
        <f>ППД5[[#This Row],[Фикс 02.07.24]]+ППД5[[#This Row],[04.09.2024 +500
0К - Б2; 1К - А3;
2К - А6, Б4, В3, Г5]]</f>
        <v>103716.14354739858</v>
      </c>
      <c r="CE357" s="93"/>
      <c r="CF357" s="93">
        <f>ППД5[[#This Row],[Наценка 16.09.2024
1К: А1,В7,Г6/7,Г8 - 2%
2К: А4,А5,А6,Б1,Б6,Б3/4,В3,В4,Г4,Г5 - 4%
3К: 4%]]+ППД5[[#This Row],[Фикс 04.09.24]]</f>
        <v>103716.14354739858</v>
      </c>
      <c r="CG357" s="93"/>
      <c r="CH357" s="93">
        <f>ППД5[[#This Row],[Фикс 16.09.2024]]+ППД5[[#This Row],[Наценка 01.11.24
СТ: 4%
1К: 34-40м 5%; 40м+ 8%; МГН 1%
2К: 55-70м 6%; 70-73м 7%; 73-76м 8% 
3К: 5%]]</f>
        <v>103716.14354739858</v>
      </c>
      <c r="CI357" s="93"/>
      <c r="CJ357" s="93">
        <f>ППД5[[#This Row],[Наценка 06.11 13%]]+ППД5[[#This Row],[Фикс 01.11.24]]</f>
        <v>103716.14354739858</v>
      </c>
      <c r="CK357" s="93"/>
      <c r="CL357" s="93">
        <f>ППД5[[#This Row],[Фикс 06.11.24]]+ППД5[[#This Row],[Наценка 18.12.24 распределение КВ]]</f>
        <v>103716.14354739858</v>
      </c>
      <c r="CM357" s="93"/>
      <c r="CN357" s="93">
        <f>ППД5[[#This Row],[Фикс 18.12.24]]+ППД5[[#This Row],[Наценка 10.02.25 +1%
1К: А3
2К: Б3, В3]]</f>
        <v>103716.14354739858</v>
      </c>
      <c r="CO357" s="93">
        <f>ROUND(ППД5[[#This Row],[Фикс 10.02.25]],2)</f>
        <v>103716.14</v>
      </c>
      <c r="CP35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7643900</v>
      </c>
      <c r="CQ357" s="93">
        <f>ROUNDUP(ППД5[[#This Row],[Стоимость до скидки]]+ППД5[[#This Row],[Сумма доплаты]],-2)</f>
        <v>7607600</v>
      </c>
      <c r="CR357" s="68"/>
      <c r="CS357" s="90">
        <v>0.02</v>
      </c>
      <c r="CT357" s="68">
        <f>ППД5[[#This Row],[Стоимость до скидки]]*ППД5[[#This Row],[Скидка %]]+ППД5[[#This Row],[Скидка фиксированная]]</f>
        <v>152878</v>
      </c>
      <c r="CU357" s="3">
        <f>ППД5[[#This Row],[Стоимость ОН без отделки со скидкой]]/ППД5[[#This Row],[Расчетная проектная площадь]]</f>
        <v>101642.0895522388</v>
      </c>
      <c r="CV357" s="3">
        <f>ROUND(ППД5[[#This Row],[Стоимость до скидки]]-ППД5[[#This Row],[Итоговая сумма скидки]],2)</f>
        <v>7491022</v>
      </c>
      <c r="CW35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57" s="197">
        <v>24000</v>
      </c>
      <c r="CY357" s="332">
        <f>ППД5[[#This Row],[Расхождение]]/ППД5[[#This Row],[Расчетная проектная площадь]]</f>
        <v>-4.7489823609229674E-3</v>
      </c>
      <c r="CZ35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-0.30999999999999872</v>
      </c>
      <c r="DA357" s="3">
        <f>ППД5[[#This Row],[Цена м2 без отделки со скидкой]]+ППД5[[#This Row],[Стоимость отделки]]</f>
        <v>125642.0895522388</v>
      </c>
      <c r="DB357" s="3">
        <f>ППД5[[#This Row],[Стоимость квартиры с отделкой]]-ППД5[[#This Row],[Стоимость ОН без отделки со скидкой]]</f>
        <v>1768800</v>
      </c>
      <c r="DC357" s="3">
        <f>ППД5[[#This Row],[Цена м2 с отделкой]]*ППД5[[#This Row],[Расчетная проектная площадь]]</f>
        <v>9259822</v>
      </c>
      <c r="DD357" s="3" t="s">
        <v>158</v>
      </c>
      <c r="DE357" s="111" t="s">
        <v>757</v>
      </c>
      <c r="DF357" s="155" t="s">
        <v>172</v>
      </c>
      <c r="DG357" s="245" t="s">
        <v>172</v>
      </c>
      <c r="DH357" s="100" t="b">
        <f>EXACT(ППД5[[#This Row],[Статусы CRM]],ППД5[[#This Row],[Статус]])</f>
        <v>1</v>
      </c>
      <c r="DI357" s="213" t="s">
        <v>529</v>
      </c>
      <c r="DJ357" s="204"/>
      <c r="DK357" s="111" t="s">
        <v>763</v>
      </c>
      <c r="DL357" s="216" t="s">
        <v>14</v>
      </c>
      <c r="DM357" s="201" t="b">
        <f>ППД5[[#This Row],[Отделка CRM]]=ППД5[[#This Row],[Отделка]]</f>
        <v>1</v>
      </c>
      <c r="DN357" s="203">
        <v>9259822</v>
      </c>
      <c r="DO35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57" s="207" t="b">
        <f>IF(AND(ППД5[[#This Row],[Статус]]="свободно",ППД5[[#This Row],[Итоговая сумма скидки]]&lt;&gt;0),FALSE,TRUE)</f>
        <v>1</v>
      </c>
      <c r="DQ357" s="240">
        <f>_xlfn.XLOOKUP(ППД5[[#This Row],[№]],Юрист[№ кв],Юрист[Дата подачи на регистрацию]," ",0,-1)</f>
        <v>45597</v>
      </c>
      <c r="DR357" s="115" t="str">
        <f>_xlfn.XLOOKUP(ППД5[[#This Row],[№]],Юрист[№ кв],Юрист[МОП],"",0,-1)</f>
        <v>Дик</v>
      </c>
      <c r="DS357" s="333" t="s">
        <v>3006</v>
      </c>
      <c r="DT357" s="333" t="s">
        <v>3007</v>
      </c>
      <c r="DU357" s="333">
        <v>69.7</v>
      </c>
      <c r="DV357" s="111"/>
    </row>
    <row r="358" spans="1:126" hidden="1" x14ac:dyDescent="0.25">
      <c r="A358" s="112">
        <v>356</v>
      </c>
      <c r="B358" s="111" t="s">
        <v>3</v>
      </c>
      <c r="C358" s="111">
        <v>20</v>
      </c>
      <c r="D358" s="111">
        <v>2</v>
      </c>
      <c r="E358" s="111">
        <v>0</v>
      </c>
      <c r="F358" s="105">
        <v>7.18</v>
      </c>
      <c r="G358" s="105"/>
      <c r="H358" s="105"/>
      <c r="I358" s="94">
        <f>SUM(ППД5[[#This Row],[Комната 1]:[Комната 3]])</f>
        <v>7.18</v>
      </c>
      <c r="J358" s="105">
        <v>5.17</v>
      </c>
      <c r="K358" s="105">
        <v>3.72</v>
      </c>
      <c r="L358" s="105"/>
      <c r="M358" s="105"/>
      <c r="N358" s="105">
        <v>6.97</v>
      </c>
      <c r="O358" s="105">
        <v>2.97</v>
      </c>
      <c r="P358" s="105"/>
      <c r="Q358" s="105"/>
      <c r="R358" s="105">
        <f>SUM(ППД5[[#This Row],[Лоджия 1]:[Лоджия 3]])</f>
        <v>2.97</v>
      </c>
      <c r="S358" s="8">
        <f>ROUND(SUM(ППД5[[#This Row],[Площадь по проекту жилая]:[Лоджия 3]]),2)</f>
        <v>26.01</v>
      </c>
      <c r="T358" s="8">
        <f>ROUND(ППД5[[#This Row],[Площадь по проекту(общая)]]-ППД5[[#This Row],[Летние]],2)</f>
        <v>23.04</v>
      </c>
      <c r="U358" s="91">
        <f>ROUND(ППД5[[#This Row],[Площадь по проекту(общая)]]-(SUM(ППД5[[#This Row],[Лоджия 1]:[Лоджия 3]])/2),2)</f>
        <v>24.53</v>
      </c>
      <c r="V358" s="91">
        <f>IF(ППД5[[#This Row],[Статус]]="продажа",ППД5[[#This Row],[Расчетная проектная площадь]],ППД5[[#This Row],[Расчетная ТП площадь]])</f>
        <v>24.299999999999997</v>
      </c>
      <c r="W358" s="91">
        <v>7.2</v>
      </c>
      <c r="X358" s="91"/>
      <c r="Y358" s="91"/>
      <c r="Z358" s="91">
        <f>SUM(ППД5[[#This Row],[ТП Комната 1]:[ТП Комната 3]])</f>
        <v>7.2</v>
      </c>
      <c r="AA358" s="91">
        <v>5.0999999999999996</v>
      </c>
      <c r="AB358" s="91">
        <v>3.7</v>
      </c>
      <c r="AC358" s="91"/>
      <c r="AD358" s="91"/>
      <c r="AE358" s="91">
        <v>6.9</v>
      </c>
      <c r="AF358" s="91">
        <v>1.4</v>
      </c>
      <c r="AG358" s="91"/>
      <c r="AH358" s="91"/>
      <c r="AI358" s="91">
        <f>SUM(ППД5[[#This Row],[ТП Лоджия 1]:[ТП Лоджия 3]])</f>
        <v>1.4</v>
      </c>
      <c r="AJ358" s="95">
        <v>2.8</v>
      </c>
      <c r="AK358" s="91">
        <f>SUM(ППД5[[#This Row],[Площадь по ТП жилая]:[ТП Лоджия 3]])-ППД5[[#This Row],[ТП Летние]]+ППД5[[#This Row],[кроме того прочая
(без коэффициента)]]</f>
        <v>25.7</v>
      </c>
      <c r="AL358" s="95">
        <f>ППД5[[#This Row],[ТП Площадь без летних]]+(ППД5[[#This Row],[ТП Летние]])</f>
        <v>24.299999999999997</v>
      </c>
      <c r="AM358" s="91">
        <f>ППД5[[#This Row],[ТП общая S]]-ППД5[[#This Row],[кроме того прочая
(без коэффициента)]]</f>
        <v>22.9</v>
      </c>
      <c r="AN358" s="95">
        <f>SUM(ППД5[[#This Row],[ТП Кухня]:[ТП Коридор]])</f>
        <v>15.700000000000001</v>
      </c>
      <c r="AO358" s="91">
        <f>ППД5[[#This Row],[Расчетная ТП площадь]]-ППД5[[#This Row],[Расчетная проектная площадь]]</f>
        <v>-0.23000000000000398</v>
      </c>
      <c r="AP358" s="335">
        <f>ППД5[[#This Row],[Расчетная ТП площадь]]/ППД5[[#This Row],[Расчетная проектная площадь]]-1</f>
        <v>-9.3762739502651904E-3</v>
      </c>
      <c r="AQ358" s="91">
        <f>ППД5[[#This Row],[% расхождения]]*ППД5[[#This Row],[Стоимость до скидки]]</f>
        <v>-37504.158173665732</v>
      </c>
      <c r="AR358" s="91">
        <f>VLOOKUP(ППД5[[#This Row],[№]],наценкад5[],COLUMN(наценкад5[[#This Row],[Цена м2 с учетом всех K]]),0)</f>
        <v>99865.71</v>
      </c>
      <c r="AS358" s="8">
        <f>ППД5[[#This Row],[м2 после К]]*5%</f>
        <v>4993.2855000000009</v>
      </c>
      <c r="AT358" s="8">
        <f>ППД5[[#This Row],[м2 после К]]+ППД5[[#This Row],[Повышение 16.08.23 - 5%]]</f>
        <v>104858.9955</v>
      </c>
      <c r="AU358" s="93">
        <f>ППД5[[#This Row],[Фикс 16.08.23]]*3%</f>
        <v>3145.7698650000002</v>
      </c>
      <c r="AV358" s="93">
        <f>ППД5[[#This Row],[Фикс 16.08.23]]+ППД5[[#This Row],[Повышение 29.08.23 - 3%]]</f>
        <v>108004.765365</v>
      </c>
      <c r="AW358" s="93">
        <f>ППД5[[#This Row],[Фикс 29.08.23]]*13%</f>
        <v>14040.619497450001</v>
      </c>
      <c r="AX358" s="93">
        <f>ППД5[[#This Row],[Фикс 29.08.23]]+ППД5[[#This Row],[Повышение 06.09.23 СТ и 1К]]</f>
        <v>122045.38486245</v>
      </c>
      <c r="AY358" s="93">
        <f>ППД5[[#This Row],[Фикс 06.09.23]]*1%</f>
        <v>1220.4538486244999</v>
      </c>
      <c r="AZ358" s="93">
        <f>ППД5[[#This Row],[Повышение 23.10.23  В4 ]]+ППД5[[#This Row],[Фикс 06.09.23]]</f>
        <v>123265.8387110745</v>
      </c>
      <c r="BA358" s="93"/>
      <c r="BB358" s="93">
        <f>ППД5[[#This Row],[Повышение 8.11.23 1К 5%]]+ППД5[[#This Row],[Фикс 23.10.23]]</f>
        <v>123265.8387110745</v>
      </c>
      <c r="BC358" s="93"/>
      <c r="BD358" s="93">
        <f>ППД5[[#This Row],[Корректировка 24.11.23 - 1К В5, 2К А2, №233]]+ППД5[[#This Row],[Фикс 8.11.23]]</f>
        <v>123265.8387110745</v>
      </c>
      <c r="BE358" s="93">
        <f>ППД5[[#This Row],[Фикс 8.11.24]]*1%</f>
        <v>1232.658387110745</v>
      </c>
      <c r="BF358" s="93">
        <f>ППД5[[#This Row],[Наценка за отделку 29.12.23 1%]]+ППД5[[#This Row],[Фикс 8.11.24]]</f>
        <v>124498.49709818524</v>
      </c>
      <c r="BG358" s="93">
        <f>ППД5[[#This Row],[Фикс 29.12.23]]*5%</f>
        <v>6224.9248549092626</v>
      </c>
      <c r="BH358" s="93">
        <f>ППД5[[#This Row],[Фикс 29.12.23]]+ППД5[[#This Row],[Наценка 10.01.24 5%]]</f>
        <v>130723.4219530945</v>
      </c>
      <c r="BI358" s="93"/>
      <c r="BJ358" s="93">
        <f>ППД5[[#This Row],[Наценка 26.02.24 1 Этаж]]+ППД5[[#This Row],[Фикс 10.01.24]]</f>
        <v>130723.4219530945</v>
      </c>
      <c r="BK358" s="93">
        <f>ППД5[[#This Row],[Фикс 26.02.24]]*3%</f>
        <v>3921.7026585928347</v>
      </c>
      <c r="BL358" s="93">
        <f>ППД5[[#This Row],[Фикс 26.02.24]]+ППД5[[#This Row],[Наценка 06.03.24
СТ, 1К - 3%
2К, 3К - 2%]]</f>
        <v>134645.12461168732</v>
      </c>
      <c r="BM358" s="93"/>
      <c r="BN358" s="93">
        <f>ППД5[[#This Row],[Фикс 06.03.24]]+ППД5[[#This Row],[Наценка Г2+500]]</f>
        <v>134645.12461168732</v>
      </c>
      <c r="BO358" s="93"/>
      <c r="BP358" s="93">
        <f>ППД5[[#This Row],[Фикс 13.03.25]]+ППД5[[#This Row],[Наценка 20.03.24
2К, 3К - 2%]]</f>
        <v>134645.12461168732</v>
      </c>
      <c r="BQ358" s="93"/>
      <c r="BR358" s="93">
        <f>ППД5[[#This Row],[Фикс 20.03.24]]+ППД5[[#This Row],[Наценка 08.04.24 
2К: В3 - 150
3К: Г7 +1000]]</f>
        <v>134645.12461168732</v>
      </c>
      <c r="BS358" s="93">
        <f>ППД5[[#This Row],[Фикс 08.04.24]]*1%</f>
        <v>1346.4512461168733</v>
      </c>
      <c r="BT358" s="93">
        <f>ППД5[[#This Row],[Фикс 08.04.24]]+ППД5[[#This Row],[Наценка 16.05.24 1%
А4,А6,Б3,Б6,Б7,В2,В3,В5,В6,Г1,Г3-Г5]]</f>
        <v>135991.57585780419</v>
      </c>
      <c r="BU358" s="93"/>
      <c r="BV358" s="93">
        <f>ППД5[[#This Row],[Фикс 16.05.24]]+ППД5[[#This Row],[Наценка 24.05.24
1% - Б4, Б5,Г2,Г6
2% - А1,А3,А5,Б2,Г7]]</f>
        <v>135991.57585780419</v>
      </c>
      <c r="BW358" s="93">
        <f>ППД5[[#This Row],[Фикс 24.05.24]]*0.5%</f>
        <v>679.95787928902098</v>
      </c>
      <c r="BX358" s="93">
        <f>ППД5[[#This Row],[Наценка 06.06.24
0К: В2,Г3 +0,5%
1К: А7, Б5/4, Г6 +0,5%
3К: В6 +0,5%
1К: А3 +1%]]+ППД5[[#This Row],[Фикс 24.05.24]]</f>
        <v>136671.53373709321</v>
      </c>
      <c r="BY358" s="93"/>
      <c r="BZ358" s="93">
        <f>ППД5[[#This Row],[Фикс 06.06.24]]+ППД5[[#This Row],[13.06.2024
3К - 2%]]</f>
        <v>136671.53373709321</v>
      </c>
      <c r="CA358" s="93">
        <f>1.5%*ППД5[[#This Row],[Фикс 13.06.24]]</f>
        <v>2050.0730060563983</v>
      </c>
      <c r="CB358" s="93">
        <f>ППД5[[#This Row],[02.07.2024: Г3 А1 А3 Б5 Б7 Г2 Г6 Б3 Б4 В3 Г7 2,5% ост 0,5-1,5%]]+ППД5[[#This Row],[Фикс 13.06.24]]</f>
        <v>138721.6067431496</v>
      </c>
      <c r="CC358" s="93"/>
      <c r="CD358" s="93">
        <f>ППД5[[#This Row],[Фикс 02.07.24]]+ППД5[[#This Row],[04.09.2024 +500
0К - Б2; 1К - А3;
2К - А6, Б4, В3, Г5]]</f>
        <v>138721.6067431496</v>
      </c>
      <c r="CE358" s="93"/>
      <c r="CF358" s="93">
        <f>ППД5[[#This Row],[Наценка 16.09.2024
1К: А1,В7,Г6/7,Г8 - 2%
2К: А4,А5,А6,Б1,Б6,Б3/4,В3,В4,Г4,Г5 - 4%
3К: 4%]]+ППД5[[#This Row],[Фикс 04.09.24]]</f>
        <v>138721.6067431496</v>
      </c>
      <c r="CG358" s="93">
        <f>ППД5[[#This Row],[Фикс 16.09.2024]]*4%</f>
        <v>5548.8642697259847</v>
      </c>
      <c r="CH358" s="93">
        <f>ППД5[[#This Row],[Фикс 16.09.2024]]+ППД5[[#This Row],[Наценка 01.11.24
СТ: 4%
1К: 34-40м 5%; 40м+ 8%; МГН 1%
2К: 55-70м 6%; 70-73м 7%; 73-76м 8% 
3К: 5%]]</f>
        <v>144270.47101287558</v>
      </c>
      <c r="CI358" s="93">
        <f>ППД5[[#This Row],[Фикс 01.11.24]]*13%</f>
        <v>18755.161231673825</v>
      </c>
      <c r="CJ358" s="93">
        <f>ППД5[[#This Row],[Наценка 06.11 13%]]+ППД5[[#This Row],[Фикс 01.11.24]]</f>
        <v>163025.6322445494</v>
      </c>
      <c r="CK358" s="93">
        <v>35</v>
      </c>
      <c r="CL358" s="93">
        <f>ППД5[[#This Row],[Фикс 06.11.24]]+ППД5[[#This Row],[Наценка 18.12.24 распределение КВ]]</f>
        <v>163060.6322445494</v>
      </c>
      <c r="CM358" s="93"/>
      <c r="CN358" s="93">
        <f>ППД5[[#This Row],[Фикс 18.12.24]]+ППД5[[#This Row],[Наценка 10.02.25 +1%
1К: А3
2К: Б3, В3]]</f>
        <v>163060.6322445494</v>
      </c>
      <c r="CO358" s="93">
        <f>ROUND(ППД5[[#This Row],[Фикс 10.02.25]],2)</f>
        <v>163060.63</v>
      </c>
      <c r="CP35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3999900</v>
      </c>
      <c r="CQ358" s="93">
        <f>ROUNDUP(ППД5[[#This Row],[Стоимость до скидки]]+ППД5[[#This Row],[Сумма доплаты]],-2)</f>
        <v>3962400</v>
      </c>
      <c r="CR358" s="68"/>
      <c r="CS358" s="90"/>
      <c r="CT358" s="68">
        <f>ППД5[[#This Row],[Стоимость до скидки]]*ППД5[[#This Row],[Скидка %]]+ППД5[[#This Row],[Скидка фиксированная]]</f>
        <v>0</v>
      </c>
      <c r="CU358" s="3">
        <f>ППД5[[#This Row],[Стоимость ОН без отделки со скидкой]]/ППД5[[#This Row],[Расчетная проектная площадь]]</f>
        <v>163061.55727680391</v>
      </c>
      <c r="CV358" s="3">
        <f>ROUND(ППД5[[#This Row],[Стоимость до скидки]]-ППД5[[#This Row],[Итоговая сумма скидки]],2)</f>
        <v>3999900</v>
      </c>
      <c r="CW35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58" s="197"/>
      <c r="CY358" s="332">
        <f>ППД5[[#This Row],[Расхождение]]/ППД5[[#This Row],[Расчетная проектная площадь]]</f>
        <v>-9.3762739502651436E-3</v>
      </c>
      <c r="CZ35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-0.16000000000000014</v>
      </c>
      <c r="DA358" s="3">
        <f>ППД5[[#This Row],[Цена м2 без отделки со скидкой]]+ППД5[[#This Row],[Стоимость отделки]]</f>
        <v>163061.55727680391</v>
      </c>
      <c r="DB358" s="3">
        <f>ППД5[[#This Row],[Стоимость квартиры с отделкой]]-ППД5[[#This Row],[Стоимость ОН без отделки со скидкой]]</f>
        <v>0</v>
      </c>
      <c r="DC358" s="3">
        <f>ППД5[[#This Row],[Цена м2 с отделкой]]*ППД5[[#This Row],[Расчетная проектная площадь]]</f>
        <v>3999900</v>
      </c>
      <c r="DD358" s="3"/>
      <c r="DF358" s="199" t="s">
        <v>15</v>
      </c>
      <c r="DG358" s="245" t="s">
        <v>15</v>
      </c>
      <c r="DH358" s="100" t="b">
        <f>EXACT(ППД5[[#This Row],[Статусы CRM]],ППД5[[#This Row],[Статус]])</f>
        <v>1</v>
      </c>
      <c r="DI358" s="213" t="s">
        <v>530</v>
      </c>
      <c r="DJ358" s="204"/>
      <c r="DK358" s="111" t="s">
        <v>763</v>
      </c>
      <c r="DL358" s="216" t="s">
        <v>12</v>
      </c>
      <c r="DM358" s="201" t="b">
        <f>ППД5[[#This Row],[Отделка CRM]]=ППД5[[#This Row],[Отделка]]</f>
        <v>1</v>
      </c>
      <c r="DN358" s="203">
        <v>3999900</v>
      </c>
      <c r="DO35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58" s="207" t="b">
        <f>IF(AND(ППД5[[#This Row],[Статус]]="свободно",ППД5[[#This Row],[Итоговая сумма скидки]]&lt;&gt;0),FALSE,TRUE)</f>
        <v>1</v>
      </c>
      <c r="DQ358" s="240" t="str">
        <f>_xlfn.XLOOKUP(ППД5[[#This Row],[№]],Юрист[№ кв],Юрист[Дата подачи на регистрацию]," ",0,-1)</f>
        <v xml:space="preserve"> </v>
      </c>
      <c r="DR358" s="115" t="str">
        <f>_xlfn.XLOOKUP(ППД5[[#This Row],[№]],Юрист[№ кв],Юрист[МОП],"",0,-1)</f>
        <v/>
      </c>
      <c r="DS358" s="333" t="s">
        <v>3008</v>
      </c>
      <c r="DT358" s="333" t="s">
        <v>3009</v>
      </c>
      <c r="DU358" s="333">
        <v>22.9</v>
      </c>
      <c r="DV358" s="111"/>
    </row>
    <row r="359" spans="1:126" hidden="1" x14ac:dyDescent="0.25">
      <c r="A359" s="112">
        <v>357</v>
      </c>
      <c r="B359" s="111" t="s">
        <v>3</v>
      </c>
      <c r="C359" s="111">
        <v>20</v>
      </c>
      <c r="D359" s="111">
        <v>3</v>
      </c>
      <c r="E359" s="111">
        <v>2</v>
      </c>
      <c r="F359" s="105">
        <v>13.69</v>
      </c>
      <c r="G359" s="105">
        <v>10.16</v>
      </c>
      <c r="H359" s="105"/>
      <c r="I359" s="94">
        <f>SUM(ППД5[[#This Row],[Комната 1]:[Комната 3]])</f>
        <v>23.85</v>
      </c>
      <c r="J359" s="105">
        <v>18.71</v>
      </c>
      <c r="K359" s="105">
        <v>3.49</v>
      </c>
      <c r="L359" s="105">
        <v>2.11</v>
      </c>
      <c r="M359" s="105"/>
      <c r="N359" s="105">
        <v>7.09</v>
      </c>
      <c r="O359" s="105">
        <v>2.65</v>
      </c>
      <c r="P359" s="105"/>
      <c r="Q359" s="105"/>
      <c r="R359" s="105">
        <f>SUM(ППД5[[#This Row],[Лоджия 1]:[Лоджия 3]])</f>
        <v>2.65</v>
      </c>
      <c r="S359" s="8">
        <f>ROUND(SUM(ППД5[[#This Row],[Площадь по проекту жилая]:[Лоджия 3]]),2)</f>
        <v>57.9</v>
      </c>
      <c r="T359" s="8">
        <f>ROUND(ППД5[[#This Row],[Площадь по проекту(общая)]]-ППД5[[#This Row],[Летние]],2)</f>
        <v>55.25</v>
      </c>
      <c r="U359" s="91">
        <f>ROUND(ППД5[[#This Row],[Площадь по проекту(общая)]]-(SUM(ППД5[[#This Row],[Лоджия 1]:[Лоджия 3]])/2),2)</f>
        <v>56.58</v>
      </c>
      <c r="V359" s="91">
        <f>IF(ППД5[[#This Row],[Статус]]="продажа",ППД5[[#This Row],[Расчетная проектная площадь]],ППД5[[#This Row],[Расчетная ТП площадь]])</f>
        <v>56.400000000000006</v>
      </c>
      <c r="W359" s="91">
        <v>13.7</v>
      </c>
      <c r="X359" s="91">
        <v>9.9</v>
      </c>
      <c r="Y359" s="91"/>
      <c r="Z359" s="91">
        <f>SUM(ППД5[[#This Row],[ТП Комната 1]:[ТП Комната 3]])</f>
        <v>23.6</v>
      </c>
      <c r="AA359" s="91">
        <v>18.8</v>
      </c>
      <c r="AB359" s="91">
        <v>3.6</v>
      </c>
      <c r="AC359" s="91">
        <v>2.1</v>
      </c>
      <c r="AD359" s="91"/>
      <c r="AE359" s="91">
        <v>7</v>
      </c>
      <c r="AF359" s="91">
        <v>1.3</v>
      </c>
      <c r="AG359" s="91"/>
      <c r="AH359" s="91"/>
      <c r="AI359" s="91">
        <f>SUM(ППД5[[#This Row],[ТП Лоджия 1]:[ТП Лоджия 3]])</f>
        <v>1.3</v>
      </c>
      <c r="AJ359" s="95">
        <v>2.6</v>
      </c>
      <c r="AK359" s="91">
        <f>SUM(ППД5[[#This Row],[Площадь по ТП жилая]:[ТП Лоджия 3]])-ППД5[[#This Row],[ТП Летние]]+ППД5[[#This Row],[кроме того прочая
(без коэффициента)]]</f>
        <v>57.70000000000001</v>
      </c>
      <c r="AL359" s="95">
        <f>ППД5[[#This Row],[ТП Площадь без летних]]+(ППД5[[#This Row],[ТП Летние]])</f>
        <v>56.400000000000006</v>
      </c>
      <c r="AM359" s="91">
        <f>ППД5[[#This Row],[ТП общая S]]-ППД5[[#This Row],[кроме того прочая
(без коэффициента)]]</f>
        <v>55.100000000000009</v>
      </c>
      <c r="AN359" s="95">
        <f>SUM(ППД5[[#This Row],[ТП Кухня]:[ТП Коридор]])</f>
        <v>31.500000000000004</v>
      </c>
      <c r="AO359" s="91">
        <f>ППД5[[#This Row],[Расчетная ТП площадь]]-ППД5[[#This Row],[Расчетная проектная площадь]]</f>
        <v>-0.17999999999999261</v>
      </c>
      <c r="AP359" s="335">
        <f>ППД5[[#This Row],[Расчетная ТП площадь]]/ППД5[[#This Row],[Расчетная проектная площадь]]-1</f>
        <v>-3.1813361611875424E-3</v>
      </c>
      <c r="AQ359" s="91">
        <f>ППД5[[#This Row],[% расхождения]]*ППД5[[#This Row],[Стоимость до скидки]]</f>
        <v>-24566.59597030632</v>
      </c>
      <c r="AR359" s="91">
        <f>VLOOKUP(ППД5[[#This Row],[№]],наценкад5[],COLUMN(наценкад5[[#This Row],[Цена м2 с учетом всех K]]),0)</f>
        <v>87257.583000000013</v>
      </c>
      <c r="AS359" s="8">
        <f>ППД5[[#This Row],[м2 после К]]*5%</f>
        <v>4362.8791500000007</v>
      </c>
      <c r="AT359" s="8">
        <f>ППД5[[#This Row],[м2 после К]]+ППД5[[#This Row],[Повышение 16.08.23 - 5%]]</f>
        <v>91620.462150000007</v>
      </c>
      <c r="AU359" s="93">
        <f>ППД5[[#This Row],[Фикс 16.08.23]]*3%</f>
        <v>2748.6138645000001</v>
      </c>
      <c r="AV359" s="93">
        <f>ППД5[[#This Row],[Фикс 16.08.23]]+ППД5[[#This Row],[Повышение 29.08.23 - 3%]]</f>
        <v>94369.076014500009</v>
      </c>
      <c r="AW359" s="93"/>
      <c r="AX359" s="93">
        <f>ППД5[[#This Row],[Фикс 29.08.23]]+ППД5[[#This Row],[Повышение 06.09.23 СТ и 1К]]</f>
        <v>94369.076014500009</v>
      </c>
      <c r="AY359" s="93"/>
      <c r="AZ359" s="93">
        <f>ППД5[[#This Row],[Повышение 23.10.23  В4 ]]+ППД5[[#This Row],[Фикс 06.09.23]]</f>
        <v>94369.076014500009</v>
      </c>
      <c r="BA359" s="93"/>
      <c r="BB359" s="93">
        <f>ППД5[[#This Row],[Повышение 8.11.23 1К 5%]]+ППД5[[#This Row],[Фикс 23.10.23]]</f>
        <v>94369.076014500009</v>
      </c>
      <c r="BC359" s="93"/>
      <c r="BD359" s="93">
        <f>ППД5[[#This Row],[Корректировка 24.11.23 - 1К В5, 2К А2, №233]]+ППД5[[#This Row],[Фикс 8.11.23]]</f>
        <v>94369.076014500009</v>
      </c>
      <c r="BE359" s="93">
        <f>ППД5[[#This Row],[Фикс 8.11.24]]*1%</f>
        <v>943.69076014500013</v>
      </c>
      <c r="BF359" s="93">
        <f>ППД5[[#This Row],[Наценка за отделку 29.12.23 1%]]+ППД5[[#This Row],[Фикс 8.11.24]]</f>
        <v>95312.766774645002</v>
      </c>
      <c r="BG359" s="93">
        <f>ППД5[[#This Row],[Фикс 29.12.23]]*5%</f>
        <v>4765.6383387322503</v>
      </c>
      <c r="BH359" s="93">
        <f>ППД5[[#This Row],[Фикс 29.12.23]]+ППД5[[#This Row],[Наценка 10.01.24 5%]]</f>
        <v>100078.40511337726</v>
      </c>
      <c r="BI359" s="93"/>
      <c r="BJ359" s="93">
        <f>ППД5[[#This Row],[Наценка 26.02.24 1 Этаж]]+ППД5[[#This Row],[Фикс 10.01.24]]</f>
        <v>100078.40511337726</v>
      </c>
      <c r="BK359" s="93">
        <f>ППД5[[#This Row],[Фикс 26.02.24]]*2%</f>
        <v>2001.5681022675453</v>
      </c>
      <c r="BL359" s="93">
        <f>ППД5[[#This Row],[Фикс 26.02.24]]+ППД5[[#This Row],[Наценка 06.03.24
СТ, 1К - 3%
2К, 3К - 2%]]</f>
        <v>102079.9732156448</v>
      </c>
      <c r="BM359" s="93"/>
      <c r="BN359" s="93">
        <f>ППД5[[#This Row],[Фикс 06.03.24]]+ППД5[[#This Row],[Наценка Г2+500]]</f>
        <v>102079.9732156448</v>
      </c>
      <c r="BO359" s="93">
        <f>ППД5[[#This Row],[Фикс 13.03.25]]*2%</f>
        <v>2041.5994643128961</v>
      </c>
      <c r="BP359" s="93">
        <f>ППД5[[#This Row],[Фикс 13.03.25]]+ППД5[[#This Row],[Наценка 20.03.24
2К, 3К - 2%]]</f>
        <v>104121.5726799577</v>
      </c>
      <c r="BQ359" s="93">
        <v>150</v>
      </c>
      <c r="BR359" s="93">
        <f>ППД5[[#This Row],[Фикс 20.03.24]]+ППД5[[#This Row],[Наценка 08.04.24 
2К: В3 - 150
3К: Г7 +1000]]</f>
        <v>104271.5726799577</v>
      </c>
      <c r="BS359" s="93">
        <f>ППД5[[#This Row],[Фикс 08.04.24]]*1%</f>
        <v>1042.7157267995769</v>
      </c>
      <c r="BT359" s="93">
        <f>ППД5[[#This Row],[Фикс 08.04.24]]+ППД5[[#This Row],[Наценка 16.05.24 1%
А4,А6,Б3,Б6,Б7,В2,В3,В5,В6,Г1,Г3-Г5]]</f>
        <v>105314.28840675727</v>
      </c>
      <c r="BU359" s="93"/>
      <c r="BV359" s="93">
        <f>ППД5[[#This Row],[Фикс 16.05.24]]+ППД5[[#This Row],[Наценка 24.05.24
1% - Б4, Б5,Г2,Г6
2% - А1,А3,А5,Б2,Г7]]</f>
        <v>105314.28840675727</v>
      </c>
      <c r="BW359" s="93"/>
      <c r="BX359" s="93">
        <f>ППД5[[#This Row],[Наценка 06.06.24
0К: В2,Г3 +0,5%
1К: А7, Б5/4, Г6 +0,5%
3К: В6 +0,5%
1К: А3 +1%]]+ППД5[[#This Row],[Фикс 24.05.24]]</f>
        <v>105314.28840675727</v>
      </c>
      <c r="BY359" s="93"/>
      <c r="BZ359" s="93">
        <f>ППД5[[#This Row],[Фикс 06.06.24]]+ППД5[[#This Row],[13.06.2024
3К - 2%]]</f>
        <v>105314.28840675727</v>
      </c>
      <c r="CA359" s="93">
        <f>2.5%*ППД5[[#This Row],[Фикс 13.06.24]]</f>
        <v>2632.8572101689319</v>
      </c>
      <c r="CB359" s="93">
        <f>ППД5[[#This Row],[02.07.2024: Г3 А1 А3 Б5 Б7 Г2 Г6 Б3 Б4 В3 Г7 2,5% ост 0,5-1,5%]]+ППД5[[#This Row],[Фикс 13.06.24]]</f>
        <v>107947.14561692621</v>
      </c>
      <c r="CC359" s="93">
        <v>500</v>
      </c>
      <c r="CD359" s="93">
        <f>ППД5[[#This Row],[Фикс 02.07.24]]+ППД5[[#This Row],[04.09.2024 +500
0К - Б2; 1К - А3;
2К - А6, Б4, В3, Г5]]</f>
        <v>108447.14561692621</v>
      </c>
      <c r="CE359" s="93">
        <f>ППД5[[#This Row],[Фикс 04.09.24]]*4%</f>
        <v>4337.8858246770487</v>
      </c>
      <c r="CF359" s="93">
        <f>ППД5[[#This Row],[Наценка 16.09.2024
1К: А1,В7,Г6/7,Г8 - 2%
2К: А4,А5,А6,Б1,Б6,Б3/4,В3,В4,Г4,Г5 - 4%
3К: 4%]]+ППД5[[#This Row],[Фикс 04.09.24]]</f>
        <v>112785.03144160326</v>
      </c>
      <c r="CG359" s="93">
        <f>ППД5[[#This Row],[Фикс 16.09.2024]]*6%</f>
        <v>6767.1018864961952</v>
      </c>
      <c r="CH359" s="93">
        <f>ППД5[[#This Row],[Фикс 16.09.2024]]+ППД5[[#This Row],[Наценка 01.11.24
СТ: 4%
1К: 34-40м 5%; 40м+ 8%; МГН 1%
2К: 55-70м 6%; 70-73м 7%; 73-76м 8% 
3К: 5%]]</f>
        <v>119552.13332809946</v>
      </c>
      <c r="CI359" s="93">
        <f>ППД5[[#This Row],[Фикс 01.11.24]]*13%</f>
        <v>15541.77733265293</v>
      </c>
      <c r="CJ359" s="93">
        <f>ППД5[[#This Row],[Наценка 06.11 13%]]+ППД5[[#This Row],[Фикс 01.11.24]]</f>
        <v>135093.91066075239</v>
      </c>
      <c r="CK359" s="93">
        <v>35</v>
      </c>
      <c r="CL359" s="93">
        <f>ППД5[[#This Row],[Фикс 06.11.24]]+ППД5[[#This Row],[Наценка 18.12.24 распределение КВ]]</f>
        <v>135128.91066075239</v>
      </c>
      <c r="CM359" s="93">
        <f>ППД5[[#This Row],[Фикс 18.12.24]]*1%</f>
        <v>1351.289106607524</v>
      </c>
      <c r="CN359" s="93">
        <f>ППД5[[#This Row],[Фикс 18.12.24]]+ППД5[[#This Row],[Наценка 10.02.25 +1%
1К: А3
2К: Б3, В3]]</f>
        <v>136480.19976735991</v>
      </c>
      <c r="CO359" s="93">
        <f>ROUND(ППД5[[#This Row],[Фикс 10.02.25]],2)</f>
        <v>136480.20000000001</v>
      </c>
      <c r="CP35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7722100</v>
      </c>
      <c r="CQ359" s="93">
        <f>ROUNDUP(ППД5[[#This Row],[Стоимость до скидки]]+ППД5[[#This Row],[Сумма доплаты]],-2)</f>
        <v>7697600</v>
      </c>
      <c r="CR359" s="68"/>
      <c r="CS359" s="90"/>
      <c r="CT359" s="68">
        <f>ППД5[[#This Row],[Стоимость до скидки]]*ППД5[[#This Row],[Скидка %]]+ППД5[[#This Row],[Скидка фиксированная]]</f>
        <v>0</v>
      </c>
      <c r="CU359" s="3">
        <f>ППД5[[#This Row],[Стоимость ОН без отделки со скидкой]]/ППД5[[#This Row],[Расчетная проектная площадь]]</f>
        <v>136481.08872393073</v>
      </c>
      <c r="CV359" s="3">
        <f>ROUND(ППД5[[#This Row],[Стоимость до скидки]]-ППД5[[#This Row],[Итоговая сумма скидки]],2)</f>
        <v>7722100</v>
      </c>
      <c r="CW35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359" s="218">
        <v>10000</v>
      </c>
      <c r="CY359" s="332">
        <f>ППД5[[#This Row],[Расхождение]]/ППД5[[#This Row],[Расчетная проектная площадь]]</f>
        <v>-3.1813361611875684E-3</v>
      </c>
      <c r="CZ359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0.10000000000000142</v>
      </c>
      <c r="DA359" s="3">
        <f>ППД5[[#This Row],[Цена м2 без отделки со скидкой]]+ППД5[[#This Row],[Стоимость отделки]]</f>
        <v>146481.08872393073</v>
      </c>
      <c r="DB359" s="3">
        <f>ППД5[[#This Row],[Стоимость квартиры с отделкой]]-ППД5[[#This Row],[Стоимость ОН без отделки со скидкой]]</f>
        <v>565800.00000000093</v>
      </c>
      <c r="DC359" s="3">
        <f>ППД5[[#This Row],[Цена м2 с отделкой]]*ППД5[[#This Row],[Расчетная проектная площадь]]</f>
        <v>8287900.0000000009</v>
      </c>
      <c r="DD359" s="3" t="s">
        <v>154</v>
      </c>
      <c r="DF359" s="155" t="s">
        <v>157</v>
      </c>
      <c r="DG359" s="245" t="s">
        <v>157</v>
      </c>
      <c r="DH359" s="100" t="b">
        <f>EXACT(ППД5[[#This Row],[Статусы CRM]],ППД5[[#This Row],[Статус]])</f>
        <v>1</v>
      </c>
      <c r="DI359" s="213" t="s">
        <v>531</v>
      </c>
      <c r="DJ359" s="204"/>
      <c r="DK359" s="111" t="s">
        <v>763</v>
      </c>
      <c r="DL359" s="216" t="s">
        <v>780</v>
      </c>
      <c r="DM359" s="201" t="b">
        <f>ППД5[[#This Row],[Отделка CRM]]=ППД5[[#This Row],[Отделка]]</f>
        <v>1</v>
      </c>
      <c r="DN359" s="203">
        <v>8287900</v>
      </c>
      <c r="DO35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-9.3132257461547852E-10</v>
      </c>
      <c r="DP359" s="207" t="b">
        <f>IF(AND(ППД5[[#This Row],[Статус]]="свободно",ППД5[[#This Row],[Итоговая сумма скидки]]&lt;&gt;0),FALSE,TRUE)</f>
        <v>1</v>
      </c>
      <c r="DQ359" s="240" t="str">
        <f>_xlfn.XLOOKUP(ППД5[[#This Row],[№]],Юрист[№ кв],Юрист[Дата подачи на регистрацию]," ",0,-1)</f>
        <v xml:space="preserve"> </v>
      </c>
      <c r="DR359" s="115" t="str">
        <f>_xlfn.XLOOKUP(ППД5[[#This Row],[№]],Юрист[№ кв],Юрист[МОП],"",0,-1)</f>
        <v/>
      </c>
      <c r="DS359" s="333" t="s">
        <v>3010</v>
      </c>
      <c r="DT359" s="333" t="s">
        <v>3011</v>
      </c>
      <c r="DU359" s="333">
        <v>55.1</v>
      </c>
      <c r="DV359" s="111"/>
    </row>
    <row r="360" spans="1:126" hidden="1" x14ac:dyDescent="0.25">
      <c r="A360" s="112">
        <v>358</v>
      </c>
      <c r="B360" s="111" t="s">
        <v>3</v>
      </c>
      <c r="C360" s="111">
        <v>20</v>
      </c>
      <c r="D360" s="111">
        <v>4</v>
      </c>
      <c r="E360" s="111">
        <v>2</v>
      </c>
      <c r="F360" s="105">
        <v>15.45</v>
      </c>
      <c r="G360" s="105">
        <v>10.34</v>
      </c>
      <c r="H360" s="105"/>
      <c r="I360" s="94">
        <f>SUM(ППД5[[#This Row],[Комната 1]:[Комната 3]])</f>
        <v>25.79</v>
      </c>
      <c r="J360" s="105">
        <v>15.44</v>
      </c>
      <c r="K360" s="105">
        <v>4.59</v>
      </c>
      <c r="L360" s="105">
        <v>2.21</v>
      </c>
      <c r="M360" s="105"/>
      <c r="N360" s="105">
        <v>10.79</v>
      </c>
      <c r="O360" s="105">
        <v>2.84</v>
      </c>
      <c r="P360" s="105"/>
      <c r="Q360" s="105"/>
      <c r="R360" s="105">
        <f>SUM(ППД5[[#This Row],[Лоджия 1]:[Лоджия 3]])</f>
        <v>2.84</v>
      </c>
      <c r="S360" s="8">
        <f>ROUND(SUM(ППД5[[#This Row],[Площадь по проекту жилая]:[Лоджия 3]]),2)</f>
        <v>61.66</v>
      </c>
      <c r="T360" s="8">
        <f>ROUND(ППД5[[#This Row],[Площадь по проекту(общая)]]-ППД5[[#This Row],[Летние]],2)</f>
        <v>58.82</v>
      </c>
      <c r="U360" s="91">
        <f>ROUND(ППД5[[#This Row],[Площадь по проекту(общая)]]-(SUM(ППД5[[#This Row],[Лоджия 1]:[Лоджия 3]])/2),2)</f>
        <v>60.24</v>
      </c>
      <c r="V360" s="91">
        <f>IF(ППД5[[#This Row],[Статус]]="продажа",ППД5[[#This Row],[Расчетная проектная площадь]],ППД5[[#This Row],[Расчетная ТП площадь]])</f>
        <v>59.95</v>
      </c>
      <c r="W360" s="91">
        <v>15.4</v>
      </c>
      <c r="X360" s="91">
        <v>10.4</v>
      </c>
      <c r="Y360" s="91"/>
      <c r="Z360" s="91">
        <f>SUM(ППД5[[#This Row],[ТП Комната 1]:[ТП Комната 3]])</f>
        <v>25.8</v>
      </c>
      <c r="AA360" s="91">
        <v>15.2</v>
      </c>
      <c r="AB360" s="91">
        <v>4.5</v>
      </c>
      <c r="AC360" s="91">
        <v>2.2000000000000002</v>
      </c>
      <c r="AD360" s="91"/>
      <c r="AE360" s="91">
        <v>10.8</v>
      </c>
      <c r="AF360" s="91">
        <v>1.45</v>
      </c>
      <c r="AG360" s="91"/>
      <c r="AH360" s="91"/>
      <c r="AI360" s="91">
        <f>SUM(ППД5[[#This Row],[ТП Лоджия 1]:[ТП Лоджия 3]])</f>
        <v>1.45</v>
      </c>
      <c r="AJ360" s="95">
        <v>2.9</v>
      </c>
      <c r="AK360" s="91">
        <f>SUM(ППД5[[#This Row],[Площадь по ТП жилая]:[ТП Лоджия 3]])-ППД5[[#This Row],[ТП Летние]]+ППД5[[#This Row],[кроме того прочая
(без коэффициента)]]</f>
        <v>61.4</v>
      </c>
      <c r="AL360" s="95">
        <f>ППД5[[#This Row],[ТП Площадь без летних]]+(ППД5[[#This Row],[ТП Летние]])</f>
        <v>59.95</v>
      </c>
      <c r="AM360" s="91">
        <f>ППД5[[#This Row],[ТП общая S]]-ППД5[[#This Row],[кроме того прочая
(без коэффициента)]]</f>
        <v>58.5</v>
      </c>
      <c r="AN360" s="95">
        <f>SUM(ППД5[[#This Row],[ТП Кухня]:[ТП Коридор]])</f>
        <v>32.700000000000003</v>
      </c>
      <c r="AO360" s="91">
        <f>ППД5[[#This Row],[Расчетная ТП площадь]]-ППД5[[#This Row],[Расчетная проектная площадь]]</f>
        <v>-0.28999999999999915</v>
      </c>
      <c r="AP360" s="335">
        <f>ППД5[[#This Row],[Расчетная ТП площадь]]/ППД5[[#This Row],[Расчетная проектная площадь]]-1</f>
        <v>-4.8140770252323994E-3</v>
      </c>
      <c r="AQ360" s="91">
        <f>ППД5[[#This Row],[% расхождения]]*ППД5[[#This Row],[Стоимость до скидки]]</f>
        <v>-38649.335989375795</v>
      </c>
      <c r="AR360" s="91">
        <f>VLOOKUP(ППД5[[#This Row],[№]],наценкад5[],COLUMN(наценкад5[[#This Row],[Цена м2 с учетом всех K]]),0)</f>
        <v>89188.060500000007</v>
      </c>
      <c r="AS360" s="8">
        <f>ППД5[[#This Row],[м2 после К]]*5%</f>
        <v>4459.4030250000005</v>
      </c>
      <c r="AT360" s="8">
        <f>ППД5[[#This Row],[м2 после К]]+ППД5[[#This Row],[Повышение 16.08.23 - 5%]]</f>
        <v>93647.463525000014</v>
      </c>
      <c r="AU360" s="93">
        <f>ППД5[[#This Row],[Фикс 16.08.23]]*3%</f>
        <v>2809.4239057500004</v>
      </c>
      <c r="AV360" s="93">
        <f>ППД5[[#This Row],[Фикс 16.08.23]]+ППД5[[#This Row],[Повышение 29.08.23 - 3%]]</f>
        <v>96456.887430750008</v>
      </c>
      <c r="AW360" s="93"/>
      <c r="AX360" s="93">
        <f>ППД5[[#This Row],[Фикс 29.08.23]]+ППД5[[#This Row],[Повышение 06.09.23 СТ и 1К]]</f>
        <v>96456.887430750008</v>
      </c>
      <c r="AY360" s="93"/>
      <c r="AZ360" s="93">
        <f>ППД5[[#This Row],[Повышение 23.10.23  В4 ]]+ППД5[[#This Row],[Фикс 06.09.23]]</f>
        <v>96456.887430750008</v>
      </c>
      <c r="BA360" s="93"/>
      <c r="BB360" s="93">
        <f>ППД5[[#This Row],[Повышение 8.11.23 1К 5%]]+ППД5[[#This Row],[Фикс 23.10.23]]</f>
        <v>96456.887430750008</v>
      </c>
      <c r="BC360" s="93"/>
      <c r="BD360" s="93">
        <f>ППД5[[#This Row],[Корректировка 24.11.23 - 1К В5, 2К А2, №233]]+ППД5[[#This Row],[Фикс 8.11.23]]</f>
        <v>96456.887430750008</v>
      </c>
      <c r="BE360" s="93">
        <f>ППД5[[#This Row],[Фикс 8.11.24]]*1%</f>
        <v>964.5688743075001</v>
      </c>
      <c r="BF360" s="93">
        <f>ППД5[[#This Row],[Наценка за отделку 29.12.23 1%]]+ППД5[[#This Row],[Фикс 8.11.24]]</f>
        <v>97421.456305057509</v>
      </c>
      <c r="BG360" s="93">
        <f>ППД5[[#This Row],[Фикс 29.12.23]]*5%</f>
        <v>4871.0728152528754</v>
      </c>
      <c r="BH360" s="93">
        <f>ППД5[[#This Row],[Фикс 29.12.23]]+ППД5[[#This Row],[Наценка 10.01.24 5%]]</f>
        <v>102292.52912031038</v>
      </c>
      <c r="BI360" s="93"/>
      <c r="BJ360" s="93">
        <f>ППД5[[#This Row],[Наценка 26.02.24 1 Этаж]]+ППД5[[#This Row],[Фикс 10.01.24]]</f>
        <v>102292.52912031038</v>
      </c>
      <c r="BK360" s="93">
        <f>ППД5[[#This Row],[Фикс 26.02.24]]*2%</f>
        <v>2045.8505824062076</v>
      </c>
      <c r="BL360" s="93">
        <f>ППД5[[#This Row],[Фикс 26.02.24]]+ППД5[[#This Row],[Наценка 06.03.24
СТ, 1К - 3%
2К, 3К - 2%]]</f>
        <v>104338.37970271659</v>
      </c>
      <c r="BM360" s="93"/>
      <c r="BN360" s="93">
        <f>ППД5[[#This Row],[Фикс 06.03.24]]+ППД5[[#This Row],[Наценка Г2+500]]</f>
        <v>104338.37970271659</v>
      </c>
      <c r="BO360" s="93">
        <f>ППД5[[#This Row],[Фикс 13.03.25]]*2%</f>
        <v>2086.7675940543318</v>
      </c>
      <c r="BP360" s="93">
        <f>ППД5[[#This Row],[Фикс 13.03.25]]+ППД5[[#This Row],[Наценка 20.03.24
2К, 3К - 2%]]</f>
        <v>106425.14729677091</v>
      </c>
      <c r="BQ360" s="93"/>
      <c r="BR360" s="93">
        <f>ППД5[[#This Row],[Фикс 20.03.24]]+ППД5[[#This Row],[Наценка 08.04.24 
2К: В3 - 150
3К: Г7 +1000]]</f>
        <v>106425.14729677091</v>
      </c>
      <c r="BS360" s="93"/>
      <c r="BT360" s="93">
        <f>ППД5[[#This Row],[Фикс 08.04.24]]+ППД5[[#This Row],[Наценка 16.05.24 1%
А4,А6,Б3,Б6,Б7,В2,В3,В5,В6,Г1,Г3-Г5]]</f>
        <v>106425.14729677091</v>
      </c>
      <c r="BU360" s="93"/>
      <c r="BV360" s="93">
        <f>ППД5[[#This Row],[Фикс 16.05.24]]+ППД5[[#This Row],[Наценка 24.05.24
1% - Б4, Б5,Г2,Г6
2% - А1,А3,А5,Б2,Г7]]</f>
        <v>106425.14729677091</v>
      </c>
      <c r="BW360" s="93"/>
      <c r="BX360" s="93">
        <f>ППД5[[#This Row],[Наценка 06.06.24
0К: В2,Г3 +0,5%
1К: А7, Б5/4, Г6 +0,5%
3К: В6 +0,5%
1К: А3 +1%]]+ППД5[[#This Row],[Фикс 24.05.24]]</f>
        <v>106425.14729677091</v>
      </c>
      <c r="BY360" s="93"/>
      <c r="BZ360" s="93">
        <f>ППД5[[#This Row],[Фикс 06.06.24]]+ППД5[[#This Row],[13.06.2024
3К - 2%]]</f>
        <v>106425.14729677091</v>
      </c>
      <c r="CA360" s="93">
        <f>0.5%*ППД5[[#This Row],[Фикс 13.06.24]]</f>
        <v>532.12573648385455</v>
      </c>
      <c r="CB360" s="93">
        <f>ППД5[[#This Row],[02.07.2024: Г3 А1 А3 Б5 Б7 Г2 Г6 Б3 Б4 В3 Г7 2,5% ост 0,5-1,5%]]+ППД5[[#This Row],[Фикс 13.06.24]]</f>
        <v>106957.27303325477</v>
      </c>
      <c r="CC360" s="93"/>
      <c r="CD360" s="93">
        <f>ППД5[[#This Row],[Фикс 02.07.24]]+ППД5[[#This Row],[04.09.2024 +500
0К - Б2; 1К - А3;
2К - А6, Б4, В3, Г5]]</f>
        <v>106957.27303325477</v>
      </c>
      <c r="CE360" s="93">
        <f>ППД5[[#This Row],[Фикс 04.09.24]]*4%</f>
        <v>4278.2909213301909</v>
      </c>
      <c r="CF360" s="93">
        <f>ППД5[[#This Row],[Наценка 16.09.2024
1К: А1,В7,Г6/7,Г8 - 2%
2К: А4,А5,А6,Б1,Б6,Б3/4,В3,В4,Г4,Г5 - 4%
3К: 4%]]+ППД5[[#This Row],[Фикс 04.09.24]]</f>
        <v>111235.56395458496</v>
      </c>
      <c r="CG360" s="93">
        <f>ППД5[[#This Row],[Фикс 16.09.2024]]*6%</f>
        <v>6674.133837275097</v>
      </c>
      <c r="CH360" s="93">
        <f>ППД5[[#This Row],[Фикс 16.09.2024]]+ППД5[[#This Row],[Наценка 01.11.24
СТ: 4%
1К: 34-40м 5%; 40м+ 8%; МГН 1%
2К: 55-70м 6%; 70-73м 7%; 73-76м 8% 
3К: 5%]]</f>
        <v>117909.69779186005</v>
      </c>
      <c r="CI360" s="93">
        <f>ППД5[[#This Row],[Фикс 01.11.24]]*13%</f>
        <v>15328.260712941807</v>
      </c>
      <c r="CJ360" s="93">
        <f>ППД5[[#This Row],[Наценка 06.11 13%]]+ППД5[[#This Row],[Фикс 01.11.24]]</f>
        <v>133237.95850480185</v>
      </c>
      <c r="CK360" s="93">
        <v>35</v>
      </c>
      <c r="CL360" s="93">
        <f>ППД5[[#This Row],[Фикс 06.11.24]]+ППД5[[#This Row],[Наценка 18.12.24 распределение КВ]]</f>
        <v>133272.95850480185</v>
      </c>
      <c r="CM360" s="93"/>
      <c r="CN360" s="93">
        <f>ППД5[[#This Row],[Фикс 18.12.24]]+ППД5[[#This Row],[Наценка 10.02.25 +1%
1К: А3
2К: Б3, В3]]</f>
        <v>133272.95850480185</v>
      </c>
      <c r="CO360" s="93">
        <f>ROUND(ППД5[[#This Row],[Фикс 10.02.25]],2)</f>
        <v>133272.95999999999</v>
      </c>
      <c r="CP36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8028400</v>
      </c>
      <c r="CQ360" s="93">
        <f>ROUNDUP(ППД5[[#This Row],[Стоимость до скидки]]+ППД5[[#This Row],[Сумма доплаты]],-2)</f>
        <v>7989800</v>
      </c>
      <c r="CR360" s="68"/>
      <c r="CS360" s="90"/>
      <c r="CT360" s="68">
        <f>ППД5[[#This Row],[Стоимость до скидки]]*ППД5[[#This Row],[Скидка %]]+ППД5[[#This Row],[Скидка фиксированная]]</f>
        <v>0</v>
      </c>
      <c r="CU360" s="3">
        <f>ППД5[[#This Row],[Стоимость ОН без отделки со скидкой]]/ППД5[[#This Row],[Расчетная проектная площадь]]</f>
        <v>133273.57237715804</v>
      </c>
      <c r="CV360" s="3">
        <f>ROUND(ППД5[[#This Row],[Стоимость до скидки]]-ППД5[[#This Row],[Итоговая сумма скидки]],2)</f>
        <v>8028400</v>
      </c>
      <c r="CW36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360" s="218">
        <v>10000</v>
      </c>
      <c r="CY360" s="332">
        <f>ППД5[[#This Row],[Расхождение]]/ППД5[[#This Row],[Расчетная проектная площадь]]</f>
        <v>-4.814077025232389E-3</v>
      </c>
      <c r="CZ360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-0.32999999999999652</v>
      </c>
      <c r="DA360" s="3">
        <f>ППД5[[#This Row],[Цена м2 без отделки со скидкой]]+ППД5[[#This Row],[Стоимость отделки]]</f>
        <v>143273.57237715804</v>
      </c>
      <c r="DB360" s="3">
        <f>ППД5[[#This Row],[Стоимость квартиры с отделкой]]-ППД5[[#This Row],[Стоимость ОН без отделки со скидкой]]</f>
        <v>602400</v>
      </c>
      <c r="DC360" s="3">
        <f>ППД5[[#This Row],[Цена м2 с отделкой]]*ППД5[[#This Row],[Расчетная проектная площадь]]</f>
        <v>8630800</v>
      </c>
      <c r="DD360" s="3"/>
      <c r="DF360" s="155" t="s">
        <v>157</v>
      </c>
      <c r="DG360" s="221" t="s">
        <v>157</v>
      </c>
      <c r="DH360" s="100" t="b">
        <f>EXACT(ППД5[[#This Row],[Статусы CRM]],ППД5[[#This Row],[Статус]])</f>
        <v>1</v>
      </c>
      <c r="DI360" s="213" t="s">
        <v>532</v>
      </c>
      <c r="DJ360" s="204"/>
      <c r="DK360" s="111" t="s">
        <v>763</v>
      </c>
      <c r="DL360" s="216" t="s">
        <v>780</v>
      </c>
      <c r="DM360" s="201" t="b">
        <f>ППД5[[#This Row],[Отделка CRM]]=ППД5[[#This Row],[Отделка]]</f>
        <v>1</v>
      </c>
      <c r="DN360" s="203">
        <v>8630800</v>
      </c>
      <c r="DO36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60" s="207" t="b">
        <f>IF(AND(ППД5[[#This Row],[Статус]]="свободно",ППД5[[#This Row],[Итоговая сумма скидки]]&lt;&gt;0),FALSE,TRUE)</f>
        <v>1</v>
      </c>
      <c r="DQ360" s="240" t="str">
        <f>_xlfn.XLOOKUP(ППД5[[#This Row],[№]],Юрист[№ кв],Юрист[Дата подачи на регистрацию]," ",0,-1)</f>
        <v xml:space="preserve"> </v>
      </c>
      <c r="DR360" s="115" t="str">
        <f>_xlfn.XLOOKUP(ППД5[[#This Row],[№]],Юрист[№ кв],Юрист[МОП],"",0,-1)</f>
        <v/>
      </c>
      <c r="DS360" s="333" t="s">
        <v>3012</v>
      </c>
      <c r="DT360" s="333" t="s">
        <v>3013</v>
      </c>
      <c r="DU360" s="333">
        <v>58.5</v>
      </c>
      <c r="DV360" s="111"/>
    </row>
    <row r="361" spans="1:126" hidden="1" x14ac:dyDescent="0.25">
      <c r="A361" s="112">
        <v>359</v>
      </c>
      <c r="B361" s="111" t="s">
        <v>3</v>
      </c>
      <c r="C361" s="111">
        <v>20</v>
      </c>
      <c r="D361" s="111">
        <v>5</v>
      </c>
      <c r="E361" s="111">
        <v>1</v>
      </c>
      <c r="F361" s="105">
        <v>12.54</v>
      </c>
      <c r="G361" s="105"/>
      <c r="H361" s="105"/>
      <c r="I361" s="94">
        <f>SUM(ППД5[[#This Row],[Комната 1]:[Комната 3]])</f>
        <v>12.54</v>
      </c>
      <c r="J361" s="105">
        <v>12.74</v>
      </c>
      <c r="K361" s="105">
        <v>4.0199999999999996</v>
      </c>
      <c r="L361" s="105"/>
      <c r="M361" s="105"/>
      <c r="N361" s="105">
        <v>7.09</v>
      </c>
      <c r="O361" s="105">
        <v>2.84</v>
      </c>
      <c r="P361" s="105"/>
      <c r="Q361" s="105"/>
      <c r="R361" s="105">
        <f>SUM(ППД5[[#This Row],[Лоджия 1]:[Лоджия 3]])</f>
        <v>2.84</v>
      </c>
      <c r="S361" s="8">
        <f>ROUND(SUM(ППД5[[#This Row],[Площадь по проекту жилая]:[Лоджия 3]]),2)</f>
        <v>39.229999999999997</v>
      </c>
      <c r="T361" s="8">
        <f>ROUND(ППД5[[#This Row],[Площадь по проекту(общая)]]-ППД5[[#This Row],[Летние]],2)</f>
        <v>36.39</v>
      </c>
      <c r="U361" s="91">
        <f>ROUND(ППД5[[#This Row],[Площадь по проекту(общая)]]-(SUM(ППД5[[#This Row],[Лоджия 1]:[Лоджия 3]])/2),2)</f>
        <v>37.81</v>
      </c>
      <c r="V361" s="91">
        <f>IF(ППД5[[#This Row],[Статус]]="продажа",ППД5[[#This Row],[Расчетная проектная площадь]],ППД5[[#This Row],[Расчетная ТП площадь]])</f>
        <v>37.599999999999994</v>
      </c>
      <c r="W361" s="91">
        <v>12.6</v>
      </c>
      <c r="X361" s="91"/>
      <c r="Y361" s="91"/>
      <c r="Z361" s="91">
        <f>SUM(ППД5[[#This Row],[ТП Комната 1]:[ТП Комната 3]])</f>
        <v>12.6</v>
      </c>
      <c r="AA361" s="91">
        <v>12.6</v>
      </c>
      <c r="AB361" s="91">
        <v>4.0999999999999996</v>
      </c>
      <c r="AC361" s="91"/>
      <c r="AD361" s="91"/>
      <c r="AE361" s="91">
        <v>6.9</v>
      </c>
      <c r="AF361" s="91">
        <v>1.4</v>
      </c>
      <c r="AG361" s="91"/>
      <c r="AH361" s="91"/>
      <c r="AI361" s="91">
        <f>SUM(ППД5[[#This Row],[ТП Лоджия 1]:[ТП Лоджия 3]])</f>
        <v>1.4</v>
      </c>
      <c r="AJ361" s="95">
        <v>2.8</v>
      </c>
      <c r="AK361" s="91">
        <f>SUM(ППД5[[#This Row],[Площадь по ТП жилая]:[ТП Лоджия 3]])-ППД5[[#This Row],[ТП Летние]]+ППД5[[#This Row],[кроме того прочая
(без коэффициента)]]</f>
        <v>38.999999999999993</v>
      </c>
      <c r="AL361" s="95">
        <f>ППД5[[#This Row],[ТП Площадь без летних]]+(ППД5[[#This Row],[ТП Летние]])</f>
        <v>37.599999999999994</v>
      </c>
      <c r="AM361" s="91">
        <f>ППД5[[#This Row],[ТП общая S]]-ППД5[[#This Row],[кроме того прочая
(без коэффициента)]]</f>
        <v>36.199999999999996</v>
      </c>
      <c r="AN361" s="95">
        <f>SUM(ППД5[[#This Row],[ТП Кухня]:[ТП Коридор]])</f>
        <v>23.6</v>
      </c>
      <c r="AO361" s="91">
        <f>ППД5[[#This Row],[Расчетная ТП площадь]]-ППД5[[#This Row],[Расчетная проектная площадь]]</f>
        <v>-0.21000000000000796</v>
      </c>
      <c r="AP361" s="335">
        <f>ППД5[[#This Row],[Расчетная ТП площадь]]/ППД5[[#This Row],[Расчетная проектная площадь]]-1</f>
        <v>-5.5540862205767372E-3</v>
      </c>
      <c r="AQ361" s="91">
        <f>ППД5[[#This Row],[% расхождения]]*ППД5[[#This Row],[Стоимость до скидки]]</f>
        <v>-31480.005289606888</v>
      </c>
      <c r="AR361" s="91">
        <f>VLOOKUP(ППД5[[#This Row],[№]],наценкад5[],COLUMN(наценкад5[[#This Row],[Цена м2 с учетом всех K]]),0)</f>
        <v>96523.875</v>
      </c>
      <c r="AS361" s="8">
        <f>ППД5[[#This Row],[м2 после К]]*5%</f>
        <v>4826.1937500000004</v>
      </c>
      <c r="AT361" s="8">
        <f>ППД5[[#This Row],[м2 после К]]+ППД5[[#This Row],[Повышение 16.08.23 - 5%]]</f>
        <v>101350.06875000001</v>
      </c>
      <c r="AU361" s="93">
        <f>ППД5[[#This Row],[Фикс 16.08.23]]*3%</f>
        <v>3040.5020625000002</v>
      </c>
      <c r="AV361" s="93">
        <f>ППД5[[#This Row],[Фикс 16.08.23]]+ППД5[[#This Row],[Повышение 29.08.23 - 3%]]</f>
        <v>104390.57081250001</v>
      </c>
      <c r="AW361" s="93">
        <f>ППД5[[#This Row],[Фикс 29.08.23]]*4.5%</f>
        <v>4697.5756865624999</v>
      </c>
      <c r="AX361" s="93">
        <f>ППД5[[#This Row],[Фикс 29.08.23]]+ППД5[[#This Row],[Повышение 06.09.23 СТ и 1К]]</f>
        <v>109088.14649906251</v>
      </c>
      <c r="AY361" s="93"/>
      <c r="AZ361" s="93">
        <f>ППД5[[#This Row],[Повышение 23.10.23  В4 ]]+ППД5[[#This Row],[Фикс 06.09.23]]</f>
        <v>109088.14649906251</v>
      </c>
      <c r="BA361" s="93">
        <f>ППД5[[#This Row],[Фикс 23.10.23]]*5%</f>
        <v>5454.4073249531257</v>
      </c>
      <c r="BB361" s="93">
        <f>ППД5[[#This Row],[Повышение 8.11.23 1К 5%]]+ППД5[[#This Row],[Фикс 23.10.23]]</f>
        <v>114542.55382401563</v>
      </c>
      <c r="BC361" s="93">
        <v>-620</v>
      </c>
      <c r="BD361" s="93">
        <f>ППД5[[#This Row],[Корректировка 24.11.23 - 1К В5, 2К А2, №233]]+ППД5[[#This Row],[Фикс 8.11.23]]</f>
        <v>113922.55382401563</v>
      </c>
      <c r="BE361" s="93">
        <f>ППД5[[#This Row],[Фикс 8.11.24]]*1%</f>
        <v>1139.2255382401563</v>
      </c>
      <c r="BF361" s="93">
        <f>ППД5[[#This Row],[Наценка за отделку 29.12.23 1%]]+ППД5[[#This Row],[Фикс 8.11.24]]</f>
        <v>115061.77936225579</v>
      </c>
      <c r="BG361" s="93">
        <f>ППД5[[#This Row],[Фикс 29.12.23]]*5%</f>
        <v>5753.0889681127901</v>
      </c>
      <c r="BH361" s="93">
        <f>ППД5[[#This Row],[Фикс 29.12.23]]+ППД5[[#This Row],[Наценка 10.01.24 5%]]</f>
        <v>120814.86833036858</v>
      </c>
      <c r="BI361" s="93"/>
      <c r="BJ361" s="93">
        <f>ППД5[[#This Row],[Наценка 26.02.24 1 Этаж]]+ППД5[[#This Row],[Фикс 10.01.24]]</f>
        <v>120814.86833036858</v>
      </c>
      <c r="BK361" s="93">
        <f>ППД5[[#This Row],[Фикс 26.02.24]]*3%</f>
        <v>3624.4460499110573</v>
      </c>
      <c r="BL361" s="93">
        <f>ППД5[[#This Row],[Фикс 26.02.24]]+ППД5[[#This Row],[Наценка 06.03.24
СТ, 1К - 3%
2К, 3К - 2%]]</f>
        <v>124439.31438027964</v>
      </c>
      <c r="BM361" s="93"/>
      <c r="BN361" s="93">
        <f>ППД5[[#This Row],[Фикс 06.03.24]]+ППД5[[#This Row],[Наценка Г2+500]]</f>
        <v>124439.31438027964</v>
      </c>
      <c r="BO361" s="93"/>
      <c r="BP361" s="93">
        <f>ППД5[[#This Row],[Фикс 13.03.25]]+ППД5[[#This Row],[Наценка 20.03.24
2К, 3К - 2%]]</f>
        <v>124439.31438027964</v>
      </c>
      <c r="BQ361" s="93"/>
      <c r="BR361" s="93">
        <f>ППД5[[#This Row],[Фикс 20.03.24]]+ППД5[[#This Row],[Наценка 08.04.24 
2К: В3 - 150
3К: Г7 +1000]]</f>
        <v>124439.31438027964</v>
      </c>
      <c r="BS361" s="93">
        <f>ППД5[[#This Row],[Фикс 08.04.24]]*1%</f>
        <v>1244.3931438027964</v>
      </c>
      <c r="BT361" s="93">
        <f>ППД5[[#This Row],[Фикс 08.04.24]]+ППД5[[#This Row],[Наценка 16.05.24 1%
А4,А6,Б3,Б6,Б7,В2,В3,В5,В6,Г1,Г3-Г5]]</f>
        <v>125683.70752408243</v>
      </c>
      <c r="BU361" s="93"/>
      <c r="BV361" s="93">
        <f>ППД5[[#This Row],[Фикс 16.05.24]]+ППД5[[#This Row],[Наценка 24.05.24
1% - Б4, Б5,Г2,Г6
2% - А1,А3,А5,Б2,Г7]]</f>
        <v>125683.70752408243</v>
      </c>
      <c r="BW361" s="93"/>
      <c r="BX361" s="93">
        <f>ППД5[[#This Row],[Наценка 06.06.24
0К: В2,Г3 +0,5%
1К: А7, Б5/4, Г6 +0,5%
3К: В6 +0,5%
1К: А3 +1%]]+ППД5[[#This Row],[Фикс 24.05.24]]</f>
        <v>125683.70752408243</v>
      </c>
      <c r="BY361" s="93"/>
      <c r="BZ361" s="93">
        <f>ППД5[[#This Row],[Фикс 06.06.24]]+ППД5[[#This Row],[13.06.2024
3К - 2%]]</f>
        <v>125683.70752408243</v>
      </c>
      <c r="CA361" s="93">
        <f>0.5%*ППД5[[#This Row],[Фикс 13.06.24]]</f>
        <v>628.41853762041217</v>
      </c>
      <c r="CB361" s="93">
        <f>ППД5[[#This Row],[02.07.2024: Г3 А1 А3 Б5 Б7 Г2 Г6 Б3 Б4 В3 Г7 2,5% ост 0,5-1,5%]]+ППД5[[#This Row],[Фикс 13.06.24]]</f>
        <v>126312.12606170285</v>
      </c>
      <c r="CC361" s="93"/>
      <c r="CD361" s="93">
        <f>ППД5[[#This Row],[Фикс 02.07.24]]+ППД5[[#This Row],[04.09.2024 +500
0К - Б2; 1К - А3;
2К - А6, Б4, В3, Г5]]</f>
        <v>126312.12606170285</v>
      </c>
      <c r="CE361" s="93"/>
      <c r="CF361" s="93">
        <f>ППД5[[#This Row],[Наценка 16.09.2024
1К: А1,В7,Г6/7,Г8 - 2%
2К: А4,А5,А6,Б1,Б6,Б3/4,В3,В4,Г4,Г5 - 4%
3К: 4%]]+ППД5[[#This Row],[Фикс 04.09.24]]</f>
        <v>126312.12606170285</v>
      </c>
      <c r="CG361" s="93">
        <f>ППД5[[#This Row],[Фикс 16.09.2024]]*5%</f>
        <v>6315.6063030851428</v>
      </c>
      <c r="CH361" s="93">
        <f>ППД5[[#This Row],[Фикс 16.09.2024]]+ППД5[[#This Row],[Наценка 01.11.24
СТ: 4%
1К: 34-40м 5%; 40м+ 8%; МГН 1%
2К: 55-70м 6%; 70-73м 7%; 73-76м 8% 
3К: 5%]]</f>
        <v>132627.73236478798</v>
      </c>
      <c r="CI361" s="93">
        <f>ППД5[[#This Row],[Фикс 01.11.24]]*13%</f>
        <v>17241.605207422439</v>
      </c>
      <c r="CJ361" s="93">
        <f>ППД5[[#This Row],[Наценка 06.11 13%]]+ППД5[[#This Row],[Фикс 01.11.24]]</f>
        <v>149869.33757221041</v>
      </c>
      <c r="CK361" s="93">
        <v>35</v>
      </c>
      <c r="CL361" s="93">
        <f>ППД5[[#This Row],[Фикс 06.11.24]]+ППД5[[#This Row],[Наценка 18.12.24 распределение КВ]]</f>
        <v>149904.33757221041</v>
      </c>
      <c r="CM361" s="93"/>
      <c r="CN361" s="93">
        <f>ППД5[[#This Row],[Фикс 18.12.24]]+ППД5[[#This Row],[Наценка 10.02.25 +1%
1К: А3
2К: Б3, В3]]</f>
        <v>149904.33757221041</v>
      </c>
      <c r="CO361" s="93">
        <f>ROUND(ППД5[[#This Row],[Фикс 10.02.25]],2)</f>
        <v>149904.34</v>
      </c>
      <c r="CP36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5667900</v>
      </c>
      <c r="CQ361" s="93">
        <f>ROUNDUP(ППД5[[#This Row],[Стоимость до скидки]]+ППД5[[#This Row],[Сумма доплаты]],-2)</f>
        <v>5636500</v>
      </c>
      <c r="CR361" s="68"/>
      <c r="CS361" s="90"/>
      <c r="CT361" s="68">
        <f>ППД5[[#This Row],[Стоимость до скидки]]*ППД5[[#This Row],[Скидка %]]+ППД5[[#This Row],[Скидка фиксированная]]</f>
        <v>0</v>
      </c>
      <c r="CU361" s="3">
        <f>ППД5[[#This Row],[Стоимость ОН без отделки со скидкой]]/ППД5[[#This Row],[Расчетная проектная площадь]]</f>
        <v>149904.78709336155</v>
      </c>
      <c r="CV361" s="3">
        <f>ROUND(ППД5[[#This Row],[Стоимость до скидки]]-ППД5[[#This Row],[Итоговая сумма скидки]],2)</f>
        <v>5667900</v>
      </c>
      <c r="CW36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361" s="218">
        <v>10000</v>
      </c>
      <c r="CY361" s="332">
        <f>ППД5[[#This Row],[Расхождение]]/ППД5[[#This Row],[Расчетная проектная площадь]]</f>
        <v>-5.5540862205767771E-3</v>
      </c>
      <c r="CZ361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-0.24999999999999822</v>
      </c>
      <c r="DA361" s="3">
        <f>ППД5[[#This Row],[Цена м2 без отделки со скидкой]]+ППД5[[#This Row],[Стоимость отделки]]</f>
        <v>159904.78709336155</v>
      </c>
      <c r="DB361" s="3">
        <f>ППД5[[#This Row],[Стоимость квартиры с отделкой]]-ППД5[[#This Row],[Стоимость ОН без отделки со скидкой]]</f>
        <v>378100.00000000093</v>
      </c>
      <c r="DC361" s="3">
        <f>ППД5[[#This Row],[Цена м2 с отделкой]]*ППД5[[#This Row],[Расчетная проектная площадь]]</f>
        <v>6046000.0000000009</v>
      </c>
      <c r="DD361" s="3"/>
      <c r="DF361" s="155" t="s">
        <v>157</v>
      </c>
      <c r="DG361" s="221" t="s">
        <v>157</v>
      </c>
      <c r="DH361" s="100" t="b">
        <f>EXACT(ППД5[[#This Row],[Статусы CRM]],ППД5[[#This Row],[Статус]])</f>
        <v>1</v>
      </c>
      <c r="DI361" s="213" t="s">
        <v>533</v>
      </c>
      <c r="DJ361" s="204"/>
      <c r="DK361" s="111" t="s">
        <v>763</v>
      </c>
      <c r="DL361" s="216" t="s">
        <v>780</v>
      </c>
      <c r="DM361" s="201" t="b">
        <f>ППД5[[#This Row],[Отделка CRM]]=ППД5[[#This Row],[Отделка]]</f>
        <v>1</v>
      </c>
      <c r="DN361" s="203">
        <v>6046000</v>
      </c>
      <c r="DO36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-9.3132257461547852E-10</v>
      </c>
      <c r="DP361" s="207" t="b">
        <f>IF(AND(ППД5[[#This Row],[Статус]]="свободно",ППД5[[#This Row],[Итоговая сумма скидки]]&lt;&gt;0),FALSE,TRUE)</f>
        <v>1</v>
      </c>
      <c r="DQ361" s="240" t="str">
        <f>_xlfn.XLOOKUP(ППД5[[#This Row],[№]],Юрист[№ кв],Юрист[Дата подачи на регистрацию]," ",0,-1)</f>
        <v xml:space="preserve"> </v>
      </c>
      <c r="DR361" s="115" t="str">
        <f>_xlfn.XLOOKUP(ППД5[[#This Row],[№]],Юрист[№ кв],Юрист[МОП],"",0,-1)</f>
        <v/>
      </c>
      <c r="DS361" s="333" t="s">
        <v>3014</v>
      </c>
      <c r="DT361" s="333" t="s">
        <v>3015</v>
      </c>
      <c r="DU361" s="333">
        <v>36.200000000000003</v>
      </c>
      <c r="DV361" s="111"/>
    </row>
    <row r="362" spans="1:126" hidden="1" x14ac:dyDescent="0.25">
      <c r="A362" s="112">
        <v>360</v>
      </c>
      <c r="B362" s="111" t="s">
        <v>3</v>
      </c>
      <c r="C362" s="111">
        <v>20</v>
      </c>
      <c r="D362" s="111">
        <v>6</v>
      </c>
      <c r="E362" s="111">
        <v>3</v>
      </c>
      <c r="F362" s="105">
        <v>17.2</v>
      </c>
      <c r="G362" s="105">
        <v>14.64</v>
      </c>
      <c r="H362" s="105">
        <v>14.34</v>
      </c>
      <c r="I362" s="94">
        <f>SUM(ППД5[[#This Row],[Комната 1]:[Комната 3]])</f>
        <v>46.18</v>
      </c>
      <c r="J362" s="105">
        <v>13.15</v>
      </c>
      <c r="K362" s="105">
        <v>4.03</v>
      </c>
      <c r="L362" s="105">
        <v>1.76</v>
      </c>
      <c r="M362" s="105"/>
      <c r="N362" s="105">
        <v>13.11</v>
      </c>
      <c r="O362" s="105">
        <v>2.79</v>
      </c>
      <c r="P362" s="105">
        <v>2.68</v>
      </c>
      <c r="Q362" s="105"/>
      <c r="R362" s="105">
        <f>SUM(ППД5[[#This Row],[Лоджия 1]:[Лоджия 3]])</f>
        <v>5.4700000000000006</v>
      </c>
      <c r="S362" s="8">
        <f>ROUND(SUM(ППД5[[#This Row],[Площадь по проекту жилая]:[Лоджия 3]]),2)</f>
        <v>83.7</v>
      </c>
      <c r="T362" s="8">
        <f>ROUND(ППД5[[#This Row],[Площадь по проекту(общая)]]-ППД5[[#This Row],[Летние]],2)</f>
        <v>78.23</v>
      </c>
      <c r="U362" s="91">
        <f>ROUND(ППД5[[#This Row],[Площадь по проекту(общая)]]-(SUM(ППД5[[#This Row],[Лоджия 1]:[Лоджия 3]])/2),2)</f>
        <v>80.97</v>
      </c>
      <c r="V362" s="91">
        <f>IF(ППД5[[#This Row],[Статус]]="продажа",ППД5[[#This Row],[Расчетная проектная площадь]],ППД5[[#This Row],[Расчетная ТП площадь]])</f>
        <v>80.25</v>
      </c>
      <c r="W362" s="91">
        <v>17.2</v>
      </c>
      <c r="X362" s="91">
        <v>14.4</v>
      </c>
      <c r="Y362" s="91">
        <v>14.4</v>
      </c>
      <c r="Z362" s="91">
        <f>SUM(ППД5[[#This Row],[ТП Комната 1]:[ТП Комната 3]])</f>
        <v>46</v>
      </c>
      <c r="AA362" s="91">
        <v>13</v>
      </c>
      <c r="AB362" s="91">
        <v>3.9</v>
      </c>
      <c r="AC362" s="91">
        <v>1.7</v>
      </c>
      <c r="AD362" s="91"/>
      <c r="AE362" s="91">
        <v>12.9</v>
      </c>
      <c r="AF362" s="91">
        <v>1.4</v>
      </c>
      <c r="AG362" s="92">
        <v>1.35</v>
      </c>
      <c r="AH362" s="91"/>
      <c r="AI362" s="91">
        <f>SUM(ППД5[[#This Row],[ТП Лоджия 1]:[ТП Лоджия 3]])</f>
        <v>2.75</v>
      </c>
      <c r="AJ362" s="95">
        <v>5.5</v>
      </c>
      <c r="AK362" s="91">
        <f>SUM(ППД5[[#This Row],[Площадь по ТП жилая]:[ТП Лоджия 3]])-ППД5[[#This Row],[ТП Летние]]+ППД5[[#This Row],[кроме того прочая
(без коэффициента)]]</f>
        <v>83</v>
      </c>
      <c r="AL362" s="95">
        <f>ППД5[[#This Row],[ТП Площадь без летних]]+(ППД5[[#This Row],[ТП Летние]])</f>
        <v>80.25</v>
      </c>
      <c r="AM362" s="91">
        <f>ППД5[[#This Row],[ТП общая S]]-ППД5[[#This Row],[кроме того прочая
(без коэффициента)]]</f>
        <v>77.5</v>
      </c>
      <c r="AN362" s="95">
        <f>SUM(ППД5[[#This Row],[ТП Кухня]:[ТП Коридор]])</f>
        <v>31.5</v>
      </c>
      <c r="AO362" s="91">
        <f>ППД5[[#This Row],[Расчетная ТП площадь]]-ППД5[[#This Row],[Расчетная проектная площадь]]</f>
        <v>-0.71999999999999886</v>
      </c>
      <c r="AP362" s="335">
        <f>ППД5[[#This Row],[Расчетная ТП площадь]]/ППД5[[#This Row],[Расчетная проектная площадь]]-1</f>
        <v>-8.8921822897368719E-3</v>
      </c>
      <c r="AQ362" s="91">
        <f>ППД5[[#This Row],[% расхождения]]*ППД5[[#This Row],[Стоимость до скидки]]</f>
        <v>-89091.663579102693</v>
      </c>
      <c r="AR362" s="91">
        <f>VLOOKUP(ППД5[[#This Row],[№]],наценкад5[],COLUMN(наценкад5[[#This Row],[Цена м2 с учетом всех K]]),0)</f>
        <v>79944.48000000001</v>
      </c>
      <c r="AS362" s="8">
        <f>ППД5[[#This Row],[м2 после К]]*5%</f>
        <v>3997.2240000000006</v>
      </c>
      <c r="AT362" s="8">
        <f>ППД5[[#This Row],[м2 после К]]+ППД5[[#This Row],[Повышение 16.08.23 - 5%]]</f>
        <v>83941.704000000012</v>
      </c>
      <c r="AU362" s="93">
        <f>ППД5[[#This Row],[Фикс 16.08.23]]*3%</f>
        <v>2518.2511200000004</v>
      </c>
      <c r="AV362" s="93">
        <f>ППД5[[#This Row],[Фикс 16.08.23]]+ППД5[[#This Row],[Повышение 29.08.23 - 3%]]</f>
        <v>86459.955120000013</v>
      </c>
      <c r="AW362" s="93"/>
      <c r="AX362" s="93">
        <f>ППД5[[#This Row],[Фикс 29.08.23]]+ППД5[[#This Row],[Повышение 06.09.23 СТ и 1К]]</f>
        <v>86459.955120000013</v>
      </c>
      <c r="AY362" s="93"/>
      <c r="AZ362" s="93">
        <f>ППД5[[#This Row],[Повышение 23.10.23  В4 ]]+ППД5[[#This Row],[Фикс 06.09.23]]</f>
        <v>86459.955120000013</v>
      </c>
      <c r="BA362" s="93"/>
      <c r="BB362" s="93">
        <f>ППД5[[#This Row],[Повышение 8.11.23 1К 5%]]+ППД5[[#This Row],[Фикс 23.10.23]]</f>
        <v>86459.955120000013</v>
      </c>
      <c r="BC362" s="93"/>
      <c r="BD362" s="93">
        <f>ППД5[[#This Row],[Корректировка 24.11.23 - 1К В5, 2К А2, №233]]+ППД5[[#This Row],[Фикс 8.11.23]]</f>
        <v>86459.955120000013</v>
      </c>
      <c r="BE362" s="93">
        <f>ППД5[[#This Row],[Фикс 8.11.24]]*1%</f>
        <v>864.59955120000018</v>
      </c>
      <c r="BF362" s="93">
        <f>ППД5[[#This Row],[Наценка за отделку 29.12.23 1%]]+ППД5[[#This Row],[Фикс 8.11.24]]</f>
        <v>87324.554671200007</v>
      </c>
      <c r="BG362" s="93">
        <f>ППД5[[#This Row],[Фикс 29.12.23]]*5%</f>
        <v>4366.2277335600002</v>
      </c>
      <c r="BH362" s="93">
        <f>ППД5[[#This Row],[Фикс 29.12.23]]+ППД5[[#This Row],[Наценка 10.01.24 5%]]</f>
        <v>91690.782404760001</v>
      </c>
      <c r="BI362" s="93"/>
      <c r="BJ362" s="93">
        <f>ППД5[[#This Row],[Наценка 26.02.24 1 Этаж]]+ППД5[[#This Row],[Фикс 10.01.24]]</f>
        <v>91690.782404760001</v>
      </c>
      <c r="BK362" s="93">
        <f>ППД5[[#This Row],[Фикс 26.02.24]]*2%</f>
        <v>1833.8156480952</v>
      </c>
      <c r="BL362" s="93">
        <f>ППД5[[#This Row],[Фикс 26.02.24]]+ППД5[[#This Row],[Наценка 06.03.24
СТ, 1К - 3%
2К, 3К - 2%]]</f>
        <v>93524.598052855203</v>
      </c>
      <c r="BM362" s="93"/>
      <c r="BN362" s="93">
        <f>ППД5[[#This Row],[Фикс 06.03.24]]+ППД5[[#This Row],[Наценка Г2+500]]</f>
        <v>93524.598052855203</v>
      </c>
      <c r="BO362" s="93">
        <f>ППД5[[#This Row],[Фикс 13.03.25]]*2%</f>
        <v>1870.4919610571042</v>
      </c>
      <c r="BP362" s="93">
        <f>ППД5[[#This Row],[Фикс 13.03.25]]+ППД5[[#This Row],[Наценка 20.03.24
2К, 3К - 2%]]</f>
        <v>95395.090013912311</v>
      </c>
      <c r="BQ362" s="93"/>
      <c r="BR362" s="93">
        <f>ППД5[[#This Row],[Фикс 20.03.24]]+ППД5[[#This Row],[Наценка 08.04.24 
2К: В3 - 150
3К: Г7 +1000]]</f>
        <v>95395.090013912311</v>
      </c>
      <c r="BS362" s="93">
        <f>ППД5[[#This Row],[Фикс 08.04.24]]*1%</f>
        <v>953.95090013912318</v>
      </c>
      <c r="BT362" s="93">
        <f>ППД5[[#This Row],[Фикс 08.04.24]]+ППД5[[#This Row],[Наценка 16.05.24 1%
А4,А6,Б3,Б6,Б7,В2,В3,В5,В6,Г1,Г3-Г5]]</f>
        <v>96349.040914051438</v>
      </c>
      <c r="BU362" s="93"/>
      <c r="BV362" s="93">
        <f>ППД5[[#This Row],[Фикс 16.05.24]]+ППД5[[#This Row],[Наценка 24.05.24
1% - Б4, Б5,Г2,Г6
2% - А1,А3,А5,Б2,Г7]]</f>
        <v>96349.040914051438</v>
      </c>
      <c r="BW362" s="93">
        <f>ППД5[[#This Row],[Фикс 24.05.24]]*0.5%</f>
        <v>481.74520457025721</v>
      </c>
      <c r="BX362" s="93">
        <f>ППД5[[#This Row],[Наценка 06.06.24
0К: В2,Г3 +0,5%
1К: А7, Б5/4, Г6 +0,5%
3К: В6 +0,5%
1К: А3 +1%]]+ППД5[[#This Row],[Фикс 24.05.24]]</f>
        <v>96830.786118621691</v>
      </c>
      <c r="BY362" s="93">
        <f>ППД5[[#This Row],[Фикс 06.06.24]]*2%</f>
        <v>1936.6157223724338</v>
      </c>
      <c r="BZ362" s="93">
        <f>ППД5[[#This Row],[Фикс 06.06.24]]+ППД5[[#This Row],[13.06.2024
3К - 2%]]</f>
        <v>98767.40184099412</v>
      </c>
      <c r="CA362" s="93">
        <f>1.5%*ППД5[[#This Row],[Фикс 13.06.24]]</f>
        <v>1481.5110276149117</v>
      </c>
      <c r="CB362" s="93">
        <f>ППД5[[#This Row],[02.07.2024: Г3 А1 А3 Б5 Б7 Г2 Г6 Б3 Б4 В3 Г7 2,5% ост 0,5-1,5%]]+ППД5[[#This Row],[Фикс 13.06.24]]</f>
        <v>100248.91286860903</v>
      </c>
      <c r="CC362" s="93"/>
      <c r="CD362" s="93">
        <f>ППД5[[#This Row],[Фикс 02.07.24]]+ППД5[[#This Row],[04.09.2024 +500
0К - Б2; 1К - А3;
2К - А6, Б4, В3, Г5]]</f>
        <v>100248.91286860903</v>
      </c>
      <c r="CE362" s="93">
        <f>ППД5[[#This Row],[Фикс 04.09.24]]*4%</f>
        <v>4009.9565147443614</v>
      </c>
      <c r="CF362" s="93">
        <f>ППД5[[#This Row],[Наценка 16.09.2024
1К: А1,В7,Г6/7,Г8 - 2%
2К: А4,А5,А6,Б1,Б6,Б3/4,В3,В4,Г4,Г5 - 4%
3К: 4%]]+ППД5[[#This Row],[Фикс 04.09.24]]</f>
        <v>104258.86938335339</v>
      </c>
      <c r="CG362" s="93">
        <f>ППД5[[#This Row],[Фикс 16.09.2024]]*5%</f>
        <v>5212.9434691676697</v>
      </c>
      <c r="CH362" s="93">
        <f>ППД5[[#This Row],[Фикс 16.09.2024]]+ППД5[[#This Row],[Наценка 01.11.24
СТ: 4%
1К: 34-40м 5%; 40м+ 8%; МГН 1%
2К: 55-70м 6%; 70-73м 7%; 73-76м 8% 
3К: 5%]]</f>
        <v>109471.81285252106</v>
      </c>
      <c r="CI362" s="93">
        <f>ППД5[[#This Row],[Фикс 01.11.24]]*13%</f>
        <v>14231.335670827739</v>
      </c>
      <c r="CJ362" s="93">
        <f>ППД5[[#This Row],[Наценка 06.11 13%]]+ППД5[[#This Row],[Фикс 01.11.24]]</f>
        <v>123703.14852334881</v>
      </c>
      <c r="CK362" s="93">
        <v>35</v>
      </c>
      <c r="CL362" s="93">
        <f>ППД5[[#This Row],[Фикс 06.11.24]]+ППД5[[#This Row],[Наценка 18.12.24 распределение КВ]]</f>
        <v>123738.14852334881</v>
      </c>
      <c r="CM362" s="93"/>
      <c r="CN362" s="93">
        <f>ППД5[[#This Row],[Фикс 18.12.24]]+ППД5[[#This Row],[Наценка 10.02.25 +1%
1К: А3
2К: Б3, В3]]</f>
        <v>123738.14852334881</v>
      </c>
      <c r="CO362" s="93">
        <f>ROUND(ППД5[[#This Row],[Фикс 10.02.25]],2)</f>
        <v>123738.15</v>
      </c>
      <c r="CP36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10019100</v>
      </c>
      <c r="CQ362" s="93">
        <f>ROUNDUP(ППД5[[#This Row],[Стоимость до скидки]]+ППД5[[#This Row],[Сумма доплаты]],-2)</f>
        <v>9930100</v>
      </c>
      <c r="CR362" s="68"/>
      <c r="CS362" s="90"/>
      <c r="CT362" s="68">
        <f>ППД5[[#This Row],[Стоимость до скидки]]*ППД5[[#This Row],[Скидка %]]+ППД5[[#This Row],[Скидка фиксированная]]</f>
        <v>0</v>
      </c>
      <c r="CU362" s="3">
        <f>ППД5[[#This Row],[Стоимость ОН без отделки со скидкой]]/ППД5[[#This Row],[Расчетная проектная площадь]]</f>
        <v>123738.42163764358</v>
      </c>
      <c r="CV362" s="3">
        <f>ROUND(ППД5[[#This Row],[Стоимость до скидки]]-ППД5[[#This Row],[Итоговая сумма скидки]],2)</f>
        <v>10019100</v>
      </c>
      <c r="CW36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62" s="197"/>
      <c r="CY362" s="332">
        <f>ППД5[[#This Row],[Расхождение]]/ППД5[[#This Row],[Расчетная проектная площадь]]</f>
        <v>-8.8921822897369256E-3</v>
      </c>
      <c r="CZ36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-0.55000000000000249</v>
      </c>
      <c r="DA362" s="3">
        <f>ППД5[[#This Row],[Цена м2 без отделки со скидкой]]+ППД5[[#This Row],[Стоимость отделки]]</f>
        <v>123738.42163764358</v>
      </c>
      <c r="DB362" s="3">
        <f>ППД5[[#This Row],[Стоимость квартиры с отделкой]]-ППД5[[#This Row],[Стоимость ОН без отделки со скидкой]]</f>
        <v>0</v>
      </c>
      <c r="DC362" s="3">
        <f>ППД5[[#This Row],[Цена м2 с отделкой]]*ППД5[[#This Row],[Расчетная проектная площадь]]</f>
        <v>10019100</v>
      </c>
      <c r="DD362" s="3"/>
      <c r="DF362" s="155" t="s">
        <v>157</v>
      </c>
      <c r="DG362" s="221" t="s">
        <v>157</v>
      </c>
      <c r="DH362" s="100" t="b">
        <f>EXACT(ППД5[[#This Row],[Статусы CRM]],ППД5[[#This Row],[Статус]])</f>
        <v>1</v>
      </c>
      <c r="DI362" s="213" t="s">
        <v>534</v>
      </c>
      <c r="DJ362" s="204"/>
      <c r="DK362" s="111" t="s">
        <v>763</v>
      </c>
      <c r="DL362" s="216" t="s">
        <v>12</v>
      </c>
      <c r="DM362" s="201" t="b">
        <f>ППД5[[#This Row],[Отделка CRM]]=ППД5[[#This Row],[Отделка]]</f>
        <v>1</v>
      </c>
      <c r="DN362" s="203">
        <v>10019100</v>
      </c>
      <c r="DO36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62" s="207" t="b">
        <f>IF(AND(ППД5[[#This Row],[Статус]]="свободно",ППД5[[#This Row],[Итоговая сумма скидки]]&lt;&gt;0),FALSE,TRUE)</f>
        <v>1</v>
      </c>
      <c r="DQ362" s="240" t="str">
        <f>_xlfn.XLOOKUP(ППД5[[#This Row],[№]],Юрист[№ кв],Юрист[Дата подачи на регистрацию]," ",0,-1)</f>
        <v xml:space="preserve"> </v>
      </c>
      <c r="DR362" s="115" t="str">
        <f>_xlfn.XLOOKUP(ППД5[[#This Row],[№]],Юрист[№ кв],Юрист[МОП],"",0,-1)</f>
        <v/>
      </c>
      <c r="DS362" s="333" t="s">
        <v>3016</v>
      </c>
      <c r="DT362" s="333" t="s">
        <v>3017</v>
      </c>
      <c r="DU362" s="333">
        <v>77.5</v>
      </c>
      <c r="DV362" s="111"/>
    </row>
    <row r="363" spans="1:126" hidden="1" x14ac:dyDescent="0.25">
      <c r="A363" s="112">
        <v>361</v>
      </c>
      <c r="B363" s="111" t="s">
        <v>3</v>
      </c>
      <c r="C363" s="111">
        <v>20</v>
      </c>
      <c r="D363" s="111">
        <v>7</v>
      </c>
      <c r="E363" s="111">
        <v>1</v>
      </c>
      <c r="F363" s="105">
        <v>14.3</v>
      </c>
      <c r="G363" s="105"/>
      <c r="H363" s="105"/>
      <c r="I363" s="94">
        <f>SUM(ППД5[[#This Row],[Комната 1]:[Комната 3]])</f>
        <v>14.3</v>
      </c>
      <c r="J363" s="105">
        <v>9.2799999999999994</v>
      </c>
      <c r="K363" s="105">
        <v>3.79</v>
      </c>
      <c r="L363" s="105"/>
      <c r="M363" s="105"/>
      <c r="N363" s="105">
        <v>6.08</v>
      </c>
      <c r="O363" s="105">
        <v>2.71</v>
      </c>
      <c r="P363" s="105"/>
      <c r="Q363" s="105"/>
      <c r="R363" s="105">
        <f>SUM(ППД5[[#This Row],[Лоджия 1]:[Лоджия 3]])</f>
        <v>2.71</v>
      </c>
      <c r="S363" s="8">
        <f>ROUND(SUM(ППД5[[#This Row],[Площадь по проекту жилая]:[Лоджия 3]]),2)</f>
        <v>36.159999999999997</v>
      </c>
      <c r="T363" s="8">
        <f>ROUND(ППД5[[#This Row],[Площадь по проекту(общая)]]-ППД5[[#This Row],[Летние]],2)</f>
        <v>33.450000000000003</v>
      </c>
      <c r="U363" s="91">
        <f>ROUND(ППД5[[#This Row],[Площадь по проекту(общая)]]-(SUM(ППД5[[#This Row],[Лоджия 1]:[Лоджия 3]])/2),2)</f>
        <v>34.81</v>
      </c>
      <c r="V363" s="91">
        <f>IF(ППД5[[#This Row],[Статус]]="продажа",ППД5[[#This Row],[Расчетная проектная площадь]],ППД5[[#This Row],[Расчетная ТП площадь]])</f>
        <v>34.85</v>
      </c>
      <c r="W363" s="91">
        <v>14.3</v>
      </c>
      <c r="X363" s="91"/>
      <c r="Y363" s="91"/>
      <c r="Z363" s="91">
        <f>SUM(ППД5[[#This Row],[ТП Комната 1]:[ТП Комната 3]])</f>
        <v>14.3</v>
      </c>
      <c r="AA363" s="91">
        <v>9.1999999999999993</v>
      </c>
      <c r="AB363" s="91">
        <v>3.8</v>
      </c>
      <c r="AC363" s="91"/>
      <c r="AD363" s="91"/>
      <c r="AE363" s="91">
        <v>6.2</v>
      </c>
      <c r="AF363" s="91">
        <v>1.35</v>
      </c>
      <c r="AG363" s="91"/>
      <c r="AH363" s="91"/>
      <c r="AI363" s="91">
        <f>SUM(ППД5[[#This Row],[ТП Лоджия 1]:[ТП Лоджия 3]])</f>
        <v>1.35</v>
      </c>
      <c r="AJ363" s="95">
        <v>2.7</v>
      </c>
      <c r="AK363" s="91">
        <f>SUM(ППД5[[#This Row],[Площадь по ТП жилая]:[ТП Лоджия 3]])-ППД5[[#This Row],[ТП Летние]]+ППД5[[#This Row],[кроме того прочая
(без коэффициента)]]</f>
        <v>36.200000000000003</v>
      </c>
      <c r="AL363" s="95">
        <f>ППД5[[#This Row],[ТП Площадь без летних]]+(ППД5[[#This Row],[ТП Летние]])</f>
        <v>34.85</v>
      </c>
      <c r="AM363" s="91">
        <f>ППД5[[#This Row],[ТП общая S]]-ППД5[[#This Row],[кроме того прочая
(без коэффициента)]]</f>
        <v>33.5</v>
      </c>
      <c r="AN363" s="95">
        <f>SUM(ППД5[[#This Row],[ТП Кухня]:[ТП Коридор]])</f>
        <v>19.2</v>
      </c>
      <c r="AO363" s="91">
        <f>ППД5[[#This Row],[Расчетная ТП площадь]]-ППД5[[#This Row],[Расчетная проектная площадь]]</f>
        <v>3.9999999999999147E-2</v>
      </c>
      <c r="AP363" s="335">
        <f>ППД5[[#This Row],[Расчетная ТП площадь]]/ППД5[[#This Row],[Расчетная проектная площадь]]-1</f>
        <v>1.1490950876185124E-3</v>
      </c>
      <c r="AQ363" s="91">
        <f>ППД5[[#This Row],[% расхождения]]*ППД5[[#This Row],[Стоимость до скидки]]</f>
        <v>6334.9612180408594</v>
      </c>
      <c r="AR363" s="91">
        <f>VLOOKUP(ППД5[[#This Row],[№]],наценкад5[],COLUMN(наценкад5[[#This Row],[Цена м2 с учетом всех K]]),0)</f>
        <v>92062.6875</v>
      </c>
      <c r="AS363" s="8">
        <f>ППД5[[#This Row],[м2 после К]]*5%</f>
        <v>4603.1343750000005</v>
      </c>
      <c r="AT363" s="8">
        <f>ППД5[[#This Row],[м2 после К]]+ППД5[[#This Row],[Повышение 16.08.23 - 5%]]</f>
        <v>96665.821874999994</v>
      </c>
      <c r="AU363" s="93">
        <f>ППД5[[#This Row],[Фикс 16.08.23]]*3%</f>
        <v>2899.9746562499995</v>
      </c>
      <c r="AV363" s="93">
        <f>ППД5[[#This Row],[Фикс 16.08.23]]+ППД5[[#This Row],[Повышение 29.08.23 - 3%]]</f>
        <v>99565.796531249987</v>
      </c>
      <c r="AW363" s="93">
        <f>ППД5[[#This Row],[Фикс 29.08.23]]*14%</f>
        <v>13939.211514375</v>
      </c>
      <c r="AX363" s="93">
        <f>ППД5[[#This Row],[Фикс 29.08.23]]+ППД5[[#This Row],[Повышение 06.09.23 СТ и 1К]]</f>
        <v>113505.00804562499</v>
      </c>
      <c r="AY363" s="93"/>
      <c r="AZ363" s="93">
        <f>ППД5[[#This Row],[Повышение 23.10.23  В4 ]]+ППД5[[#This Row],[Фикс 06.09.23]]</f>
        <v>113505.00804562499</v>
      </c>
      <c r="BA363" s="93">
        <f>ППД5[[#This Row],[Фикс 23.10.23]]*5%</f>
        <v>5675.25040228125</v>
      </c>
      <c r="BB363" s="93">
        <f>ППД5[[#This Row],[Повышение 8.11.23 1К 5%]]+ППД5[[#This Row],[Фикс 23.10.23]]</f>
        <v>119180.25844790624</v>
      </c>
      <c r="BC363" s="93"/>
      <c r="BD363" s="93">
        <f>ППД5[[#This Row],[Корректировка 24.11.23 - 1К В5, 2К А2, №233]]+ППД5[[#This Row],[Фикс 8.11.23]]</f>
        <v>119180.25844790624</v>
      </c>
      <c r="BE363" s="93">
        <f>ППД5[[#This Row],[Фикс 8.11.24]]*1%</f>
        <v>1191.8025844790625</v>
      </c>
      <c r="BF363" s="93">
        <f>ППД5[[#This Row],[Наценка за отделку 29.12.23 1%]]+ППД5[[#This Row],[Фикс 8.11.24]]</f>
        <v>120372.0610323853</v>
      </c>
      <c r="BG363" s="93">
        <f>ППД5[[#This Row],[Фикс 29.12.23]]*5%</f>
        <v>6018.6030516192659</v>
      </c>
      <c r="BH363" s="93">
        <f>ППД5[[#This Row],[Фикс 29.12.23]]+ППД5[[#This Row],[Наценка 10.01.24 5%]]</f>
        <v>126390.66408400457</v>
      </c>
      <c r="BI363" s="93"/>
      <c r="BJ363" s="93">
        <f>ППД5[[#This Row],[Наценка 26.02.24 1 Этаж]]+ППД5[[#This Row],[Фикс 10.01.24]]</f>
        <v>126390.66408400457</v>
      </c>
      <c r="BK363" s="93">
        <f>ППД5[[#This Row],[Фикс 26.02.24]]*3%</f>
        <v>3791.7199225201371</v>
      </c>
      <c r="BL363" s="93">
        <f>ППД5[[#This Row],[Фикс 26.02.24]]+ППД5[[#This Row],[Наценка 06.03.24
СТ, 1К - 3%
2К, 3К - 2%]]</f>
        <v>130182.38400652471</v>
      </c>
      <c r="BM363" s="93"/>
      <c r="BN363" s="93">
        <f>ППД5[[#This Row],[Фикс 06.03.24]]+ППД5[[#This Row],[Наценка Г2+500]]</f>
        <v>130182.38400652471</v>
      </c>
      <c r="BO363" s="93"/>
      <c r="BP363" s="93">
        <f>ППД5[[#This Row],[Фикс 13.03.25]]+ППД5[[#This Row],[Наценка 20.03.24
2К, 3К - 2%]]</f>
        <v>130182.38400652471</v>
      </c>
      <c r="BQ363" s="93"/>
      <c r="BR363" s="93">
        <f>ППД5[[#This Row],[Фикс 20.03.24]]+ППД5[[#This Row],[Наценка 08.04.24 
2К: В3 - 150
3К: Г7 +1000]]</f>
        <v>130182.38400652471</v>
      </c>
      <c r="BS363" s="93"/>
      <c r="BT363" s="93">
        <f>ППД5[[#This Row],[Фикс 08.04.24]]+ППД5[[#This Row],[Наценка 16.05.24 1%
А4,А6,Б3,Б6,Б7,В2,В3,В5,В6,Г1,Г3-Г5]]</f>
        <v>130182.38400652471</v>
      </c>
      <c r="BU363" s="93"/>
      <c r="BV363" s="93">
        <f>ППД5[[#This Row],[Фикс 16.05.24]]+ППД5[[#This Row],[Наценка 24.05.24
1% - Б4, Б5,Г2,Г6
2% - А1,А3,А5,Б2,Г7]]</f>
        <v>130182.38400652471</v>
      </c>
      <c r="BW363" s="93"/>
      <c r="BX363" s="93">
        <f>ППД5[[#This Row],[Наценка 06.06.24
0К: В2,Г3 +0,5%
1К: А7, Б5/4, Г6 +0,5%
3К: В6 +0,5%
1К: А3 +1%]]+ППД5[[#This Row],[Фикс 24.05.24]]</f>
        <v>130182.38400652471</v>
      </c>
      <c r="BY363" s="93"/>
      <c r="BZ363" s="93">
        <f>ППД5[[#This Row],[Фикс 06.06.24]]+ППД5[[#This Row],[13.06.2024
3К - 2%]]</f>
        <v>130182.38400652471</v>
      </c>
      <c r="CA363" s="93">
        <f>0.5%*ППД5[[#This Row],[Фикс 13.06.24]]</f>
        <v>650.91192003262358</v>
      </c>
      <c r="CB363" s="93">
        <f>ППД5[[#This Row],[02.07.2024: Г3 А1 А3 Б5 Б7 Г2 Г6 Б3 Б4 В3 Г7 2,5% ост 0,5-1,5%]]+ППД5[[#This Row],[Фикс 13.06.24]]</f>
        <v>130833.29592655733</v>
      </c>
      <c r="CC363" s="93"/>
      <c r="CD363" s="93">
        <f>ППД5[[#This Row],[Фикс 02.07.24]]+ППД5[[#This Row],[04.09.2024 +500
0К - Б2; 1К - А3;
2К - А6, Б4, В3, Г5]]</f>
        <v>130833.29592655733</v>
      </c>
      <c r="CE363" s="93">
        <f>ППД5[[#This Row],[Фикс 04.09.24]]*2%</f>
        <v>2616.6659185311469</v>
      </c>
      <c r="CF363" s="93">
        <f>ППД5[[#This Row],[Наценка 16.09.2024
1К: А1,В7,Г6/7,Г8 - 2%
2К: А4,А5,А6,Б1,Б6,Б3/4,В3,В4,Г4,Г5 - 4%
3К: 4%]]+ППД5[[#This Row],[Фикс 04.09.24]]</f>
        <v>133449.96184508849</v>
      </c>
      <c r="CG363" s="93">
        <f>ППД5[[#This Row],[Фикс 16.09.2024]]*5%</f>
        <v>6672.4980922544246</v>
      </c>
      <c r="CH363" s="93">
        <f>ППД5[[#This Row],[Фикс 16.09.2024]]+ППД5[[#This Row],[Наценка 01.11.24
СТ: 4%
1К: 34-40м 5%; 40м+ 8%; МГН 1%
2К: 55-70м 6%; 70-73м 7%; 73-76м 8% 
3К: 5%]]</f>
        <v>140122.45993734291</v>
      </c>
      <c r="CI363" s="93">
        <f>ППД5[[#This Row],[Фикс 01.11.24]]*13%</f>
        <v>18215.91979185458</v>
      </c>
      <c r="CJ363" s="93">
        <f>ППД5[[#This Row],[Наценка 06.11 13%]]+ППД5[[#This Row],[Фикс 01.11.24]]</f>
        <v>158338.37972919748</v>
      </c>
      <c r="CK363" s="93">
        <v>35</v>
      </c>
      <c r="CL363" s="93">
        <f>ППД5[[#This Row],[Фикс 06.11.24]]+ППД5[[#This Row],[Наценка 18.12.24 распределение КВ]]</f>
        <v>158373.37972919748</v>
      </c>
      <c r="CM363" s="93"/>
      <c r="CN363" s="93">
        <f>ППД5[[#This Row],[Фикс 18.12.24]]+ППД5[[#This Row],[Наценка 10.02.25 +1%
1К: А3
2К: Б3, В3]]</f>
        <v>158373.37972919748</v>
      </c>
      <c r="CO363" s="93">
        <f>ROUND(ППД5[[#This Row],[Фикс 10.02.25]],2)</f>
        <v>158373.38</v>
      </c>
      <c r="CP36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5513000</v>
      </c>
      <c r="CQ363" s="93">
        <f>ROUNDUP(ППД5[[#This Row],[Стоимость до скидки]]+ППД5[[#This Row],[Сумма доплаты]],-2)</f>
        <v>5519400</v>
      </c>
      <c r="CR363" s="68"/>
      <c r="CS363" s="90"/>
      <c r="CT363" s="68">
        <f>ППД5[[#This Row],[Стоимость до скидки]]*ППД5[[#This Row],[Скидка %]]+ППД5[[#This Row],[Скидка фиксированная]]</f>
        <v>0</v>
      </c>
      <c r="CU363" s="3">
        <f>ППД5[[#This Row],[Стоимость ОН без отделки со скидкой]]/ППД5[[#This Row],[Расчетная проектная площадь]]</f>
        <v>158374.03045101982</v>
      </c>
      <c r="CV363" s="3">
        <f>ROUND(ППД5[[#This Row],[Стоимость до скидки]]-ППД5[[#This Row],[Итоговая сумма скидки]],2)</f>
        <v>5513000</v>
      </c>
      <c r="CW36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63" s="197"/>
      <c r="CY363" s="332">
        <f>ППД5[[#This Row],[Расхождение]]/ППД5[[#This Row],[Расчетная проектная площадь]]</f>
        <v>1.1490950876184758E-3</v>
      </c>
      <c r="CZ36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4.9999999999998934E-2</v>
      </c>
      <c r="DA363" s="3">
        <f>ППД5[[#This Row],[Цена м2 без отделки со скидкой]]+ППД5[[#This Row],[Стоимость отделки]]</f>
        <v>158374.03045101982</v>
      </c>
      <c r="DB363" s="3">
        <f>ППД5[[#This Row],[Стоимость квартиры с отделкой]]-ППД5[[#This Row],[Стоимость ОН без отделки со скидкой]]</f>
        <v>0</v>
      </c>
      <c r="DC363" s="3">
        <f>ППД5[[#This Row],[Цена м2 с отделкой]]*ППД5[[#This Row],[Расчетная проектная площадь]]</f>
        <v>5513000</v>
      </c>
      <c r="DD363" s="3" t="s">
        <v>154</v>
      </c>
      <c r="DF363" s="155" t="s">
        <v>157</v>
      </c>
      <c r="DG363" s="221" t="s">
        <v>157</v>
      </c>
      <c r="DH363" s="100" t="b">
        <f>EXACT(ППД5[[#This Row],[Статусы CRM]],ППД5[[#This Row],[Статус]])</f>
        <v>1</v>
      </c>
      <c r="DI363" s="213" t="s">
        <v>535</v>
      </c>
      <c r="DJ363" s="204"/>
      <c r="DK363" s="111" t="s">
        <v>763</v>
      </c>
      <c r="DL363" s="216" t="s">
        <v>12</v>
      </c>
      <c r="DM363" s="201" t="b">
        <f>ППД5[[#This Row],[Отделка CRM]]=ППД5[[#This Row],[Отделка]]</f>
        <v>1</v>
      </c>
      <c r="DN363" s="203">
        <v>5513000</v>
      </c>
      <c r="DO36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63" s="207" t="b">
        <f>IF(AND(ППД5[[#This Row],[Статус]]="свободно",ППД5[[#This Row],[Итоговая сумма скидки]]&lt;&gt;0),FALSE,TRUE)</f>
        <v>1</v>
      </c>
      <c r="DQ363" s="240" t="str">
        <f>_xlfn.XLOOKUP(ППД5[[#This Row],[№]],Юрист[№ кв],Юрист[Дата подачи на регистрацию]," ",0,-1)</f>
        <v xml:space="preserve"> </v>
      </c>
      <c r="DR363" s="115" t="str">
        <f>_xlfn.XLOOKUP(ППД5[[#This Row],[№]],Юрист[№ кв],Юрист[МОП],"",0,-1)</f>
        <v/>
      </c>
      <c r="DS363" s="333" t="s">
        <v>3018</v>
      </c>
      <c r="DT363" s="333" t="s">
        <v>3019</v>
      </c>
      <c r="DU363" s="333">
        <v>33.5</v>
      </c>
      <c r="DV363" s="111"/>
    </row>
    <row r="364" spans="1:126" hidden="1" x14ac:dyDescent="0.25">
      <c r="A364" s="112">
        <v>362</v>
      </c>
      <c r="B364" s="111" t="s">
        <v>3</v>
      </c>
      <c r="C364" s="111">
        <v>21</v>
      </c>
      <c r="D364" s="338">
        <v>1</v>
      </c>
      <c r="E364" s="111">
        <v>2</v>
      </c>
      <c r="F364" s="105">
        <v>17.63</v>
      </c>
      <c r="G364" s="105">
        <v>13.69</v>
      </c>
      <c r="H364" s="105"/>
      <c r="I364" s="94">
        <f>SUM(ППД5[[#This Row],[Комната 1]:[Комната 3]])</f>
        <v>31.32</v>
      </c>
      <c r="J364" s="105">
        <v>20.05</v>
      </c>
      <c r="K364" s="105">
        <v>3.54</v>
      </c>
      <c r="L364" s="105">
        <v>2.93</v>
      </c>
      <c r="M364" s="105"/>
      <c r="N364" s="105">
        <v>12.19</v>
      </c>
      <c r="O364" s="105">
        <v>4.6500000000000004</v>
      </c>
      <c r="P364" s="105">
        <v>2.68</v>
      </c>
      <c r="Q364" s="105"/>
      <c r="R364" s="105">
        <f>SUM(ППД5[[#This Row],[Лоджия 1]:[Лоджия 3]])</f>
        <v>7.33</v>
      </c>
      <c r="S364" s="8">
        <f>ROUND(SUM(ППД5[[#This Row],[Площадь по проекту жилая]:[Лоджия 3]]),2)</f>
        <v>77.36</v>
      </c>
      <c r="T364" s="8">
        <f>ROUND(ППД5[[#This Row],[Площадь по проекту(общая)]]-ППД5[[#This Row],[Летние]],2)</f>
        <v>70.03</v>
      </c>
      <c r="U364" s="91">
        <f>ROUND(ППД5[[#This Row],[Площадь по проекту(общая)]]-(SUM(ППД5[[#This Row],[Лоджия 1]:[Лоджия 3]])/2),2)</f>
        <v>73.7</v>
      </c>
      <c r="V364" s="91">
        <f>IF(ППД5[[#This Row],[Статус]]="продажа",ППД5[[#This Row],[Расчетная проектная площадь]],ППД5[[#This Row],[Расчетная ТП площадь]])</f>
        <v>73.349999999999994</v>
      </c>
      <c r="W364" s="91">
        <v>17.600000000000001</v>
      </c>
      <c r="X364" s="91">
        <v>13.6</v>
      </c>
      <c r="Y364" s="91"/>
      <c r="Z364" s="91">
        <f>SUM(ППД5[[#This Row],[ТП Комната 1]:[ТП Комната 3]])</f>
        <v>31.200000000000003</v>
      </c>
      <c r="AA364" s="91">
        <v>20</v>
      </c>
      <c r="AB364" s="91">
        <v>3.5</v>
      </c>
      <c r="AC364" s="91">
        <v>2.9</v>
      </c>
      <c r="AD364" s="91"/>
      <c r="AE364" s="91">
        <v>12.1</v>
      </c>
      <c r="AF364" s="91">
        <v>1.35</v>
      </c>
      <c r="AG364" s="91">
        <v>2.2999999999999998</v>
      </c>
      <c r="AH364" s="91"/>
      <c r="AI364" s="91">
        <f>SUM(ППД5[[#This Row],[ТП Лоджия 1]:[ТП Лоджия 3]])</f>
        <v>3.65</v>
      </c>
      <c r="AJ364" s="95">
        <v>7.3</v>
      </c>
      <c r="AK364" s="91">
        <f>SUM(ППД5[[#This Row],[Площадь по ТП жилая]:[ТП Лоджия 3]])-ППД5[[#This Row],[ТП Летние]]+ППД5[[#This Row],[кроме того прочая
(без коэффициента)]]</f>
        <v>76.999999999999986</v>
      </c>
      <c r="AL364" s="95">
        <f>ППД5[[#This Row],[ТП Площадь без летних]]+(ППД5[[#This Row],[ТП Летние]])</f>
        <v>73.349999999999994</v>
      </c>
      <c r="AM364" s="91">
        <f>ППД5[[#This Row],[ТП общая S]]-ППД5[[#This Row],[кроме того прочая
(без коэффициента)]]</f>
        <v>69.699999999999989</v>
      </c>
      <c r="AN364" s="95">
        <f>SUM(ППД5[[#This Row],[ТП Кухня]:[ТП Коридор]])</f>
        <v>38.5</v>
      </c>
      <c r="AO364" s="91">
        <f>ППД5[[#This Row],[Расчетная ТП площадь]]-ППД5[[#This Row],[Расчетная проектная площадь]]</f>
        <v>-0.35000000000000853</v>
      </c>
      <c r="AP364" s="335">
        <f>ППД5[[#This Row],[Расчетная ТП площадь]]/ППД5[[#This Row],[Расчетная проектная площадь]]-1</f>
        <v>-4.7489823609228043E-3</v>
      </c>
      <c r="AQ364" s="91">
        <f>ППД5[[#This Row],[% расхождения]]*ППД5[[#This Row],[Стоимость до скидки]]</f>
        <v>-43522.523744913131</v>
      </c>
      <c r="AR364" s="91">
        <f>VLOOKUP(ППД5[[#This Row],[№]],наценкад5[],COLUMN(наценкад5[[#This Row],[Цена м2 с учетом всех K]]),0)</f>
        <v>84941.010000000009</v>
      </c>
      <c r="AS364" s="8">
        <f>ППД5[[#This Row],[м2 после К]]*5%</f>
        <v>4247.0505000000003</v>
      </c>
      <c r="AT364" s="8">
        <f>ППД5[[#This Row],[м2 после К]]+ППД5[[#This Row],[Повышение 16.08.23 - 5%]]</f>
        <v>89188.060500000007</v>
      </c>
      <c r="AU364" s="93">
        <f>ППД5[[#This Row],[Фикс 16.08.23]]*3%</f>
        <v>2675.641815</v>
      </c>
      <c r="AV364" s="93">
        <f>ППД5[[#This Row],[Фикс 16.08.23]]+ППД5[[#This Row],[Повышение 29.08.23 - 3%]]</f>
        <v>91863.702315000002</v>
      </c>
      <c r="AW364" s="93"/>
      <c r="AX364" s="93">
        <f>ППД5[[#This Row],[Фикс 29.08.23]]+ППД5[[#This Row],[Повышение 06.09.23 СТ и 1К]]</f>
        <v>91863.702315000002</v>
      </c>
      <c r="AY364" s="93"/>
      <c r="AZ364" s="93">
        <f>ППД5[[#This Row],[Повышение 23.10.23  В4 ]]+ППД5[[#This Row],[Фикс 06.09.23]]</f>
        <v>91863.702315000002</v>
      </c>
      <c r="BA364" s="93"/>
      <c r="BB364" s="93">
        <f>ППД5[[#This Row],[Повышение 8.11.23 1К 5%]]+ППД5[[#This Row],[Фикс 23.10.23]]</f>
        <v>91863.702315000002</v>
      </c>
      <c r="BC364" s="93"/>
      <c r="BD364" s="93">
        <f>ППД5[[#This Row],[Корректировка 24.11.23 - 1К В5, 2К А2, №233]]+ППД5[[#This Row],[Фикс 8.11.23]]</f>
        <v>91863.702315000002</v>
      </c>
      <c r="BE364" s="93">
        <f>ППД5[[#This Row],[Фикс 8.11.24]]*1%</f>
        <v>918.63702315</v>
      </c>
      <c r="BF364" s="93">
        <f>ППД5[[#This Row],[Наценка за отделку 29.12.23 1%]]+ППД5[[#This Row],[Фикс 8.11.24]]</f>
        <v>92782.339338150006</v>
      </c>
      <c r="BG364" s="93">
        <f>ППД5[[#This Row],[Фикс 29.12.23]]*5%</f>
        <v>4639.1169669075007</v>
      </c>
      <c r="BH364" s="93">
        <f>ППД5[[#This Row],[Фикс 29.12.23]]+ППД5[[#This Row],[Наценка 10.01.24 5%]]</f>
        <v>97421.456305057509</v>
      </c>
      <c r="BI364" s="93"/>
      <c r="BJ364" s="93">
        <f>ППД5[[#This Row],[Наценка 26.02.24 1 Этаж]]+ППД5[[#This Row],[Фикс 10.01.24]]</f>
        <v>97421.456305057509</v>
      </c>
      <c r="BK364" s="93">
        <f>ППД5[[#This Row],[Фикс 26.02.24]]*2%</f>
        <v>1948.4291261011501</v>
      </c>
      <c r="BL364" s="93">
        <f>ППД5[[#This Row],[Фикс 26.02.24]]+ППД5[[#This Row],[Наценка 06.03.24
СТ, 1К - 3%
2К, 3К - 2%]]</f>
        <v>99369.885431158662</v>
      </c>
      <c r="BM364" s="93"/>
      <c r="BN364" s="93">
        <f>ППД5[[#This Row],[Фикс 06.03.24]]+ППД5[[#This Row],[Наценка Г2+500]]</f>
        <v>99369.885431158662</v>
      </c>
      <c r="BO364" s="93">
        <f>ППД5[[#This Row],[Фикс 13.03.25]]*2%</f>
        <v>1987.3977086231732</v>
      </c>
      <c r="BP364" s="93">
        <f>ППД5[[#This Row],[Фикс 13.03.25]]+ППД5[[#This Row],[Наценка 20.03.24
2К, 3К - 2%]]</f>
        <v>101357.28313978184</v>
      </c>
      <c r="BQ364" s="93"/>
      <c r="BR364" s="93">
        <f>ППД5[[#This Row],[Фикс 20.03.24]]+ППД5[[#This Row],[Наценка 08.04.24 
2К: В3 - 150
3К: Г7 +1000]]</f>
        <v>101357.28313978184</v>
      </c>
      <c r="BS364" s="93"/>
      <c r="BT364" s="93">
        <f>ППД5[[#This Row],[Фикс 08.04.24]]+ППД5[[#This Row],[Наценка 16.05.24 1%
А4,А6,Б3,Б6,Б7,В2,В3,В5,В6,Г1,Г3-Г5]]</f>
        <v>101357.28313978184</v>
      </c>
      <c r="BU364" s="93"/>
      <c r="BV364" s="93">
        <f>ППД5[[#This Row],[Фикс 16.05.24]]+ППД5[[#This Row],[Наценка 24.05.24
1% - Б4, Б5,Г2,Г6
2% - А1,А3,А5,Б2,Г7]]</f>
        <v>101357.28313978184</v>
      </c>
      <c r="BW364" s="93"/>
      <c r="BX364" s="93">
        <f>ППД5[[#This Row],[Наценка 06.06.24
0К: В2,Г3 +0,5%
1К: А7, Б5/4, Г6 +0,5%
3К: В6 +0,5%
1К: А3 +1%]]+ППД5[[#This Row],[Фикс 24.05.24]]</f>
        <v>101357.28313978184</v>
      </c>
      <c r="BY364" s="93"/>
      <c r="BZ364" s="93">
        <f>ППД5[[#This Row],[Фикс 06.06.24]]+ППД5[[#This Row],[13.06.2024
3К - 2%]]</f>
        <v>101357.28313978184</v>
      </c>
      <c r="CA364" s="93">
        <f>0.5%*ППД5[[#This Row],[Фикс 13.06.24]]</f>
        <v>506.7864156989092</v>
      </c>
      <c r="CB364" s="93">
        <f>ППД5[[#This Row],[02.07.2024: Г3 А1 А3 Б5 Б7 Г2 Г6 Б3 Б4 В3 Г7 2,5% ост 0,5-1,5%]]+ППД5[[#This Row],[Фикс 13.06.24]]</f>
        <v>101864.06955548075</v>
      </c>
      <c r="CC364" s="93"/>
      <c r="CD364" s="93">
        <f>ППД5[[#This Row],[Фикс 02.07.24]]+ППД5[[#This Row],[04.09.2024 +500
0К - Б2; 1К - А3;
2К - А6, Б4, В3, Г5]]</f>
        <v>101864.06955548075</v>
      </c>
      <c r="CE364" s="93"/>
      <c r="CF364" s="93">
        <f>ППД5[[#This Row],[Наценка 16.09.2024
1К: А1,В7,Г6/7,Г8 - 2%
2К: А4,А5,А6,Б1,Б6,Б3/4,В3,В4,Г4,Г5 - 4%
3К: 4%]]+ППД5[[#This Row],[Фикс 04.09.24]]</f>
        <v>101864.06955548075</v>
      </c>
      <c r="CG364" s="93">
        <f>ППД5[[#This Row],[Фикс 16.09.2024]]*8%</f>
        <v>8149.1255644384601</v>
      </c>
      <c r="CH364" s="93">
        <f>ППД5[[#This Row],[Фикс 16.09.2024]]+ППД5[[#This Row],[Наценка 01.11.24
СТ: 4%
1К: 34-40м 5%; 40м+ 8%; МГН 1%
2К: 55-70м 6%; 70-73м 7%; 73-76м 8% 
3К: 5%]]</f>
        <v>110013.19511991921</v>
      </c>
      <c r="CI364" s="93">
        <f>ППД5[[#This Row],[Фикс 01.11.24]]*13%</f>
        <v>14301.715365589498</v>
      </c>
      <c r="CJ364" s="93">
        <f>ППД5[[#This Row],[Наценка 06.11 13%]]+ППД5[[#This Row],[Фикс 01.11.24]]</f>
        <v>124314.91048550871</v>
      </c>
      <c r="CK364" s="93">
        <v>35</v>
      </c>
      <c r="CL364" s="93">
        <f>ППД5[[#This Row],[Фикс 06.11.24]]+ППД5[[#This Row],[Наценка 18.12.24 распределение КВ]]</f>
        <v>124349.91048550871</v>
      </c>
      <c r="CM364" s="93"/>
      <c r="CN364" s="93">
        <f>ППД5[[#This Row],[Фикс 18.12.24]]+ППД5[[#This Row],[Наценка 10.02.25 +1%
1К: А3
2К: Б3, В3]]</f>
        <v>124349.91048550871</v>
      </c>
      <c r="CO364" s="93">
        <f>ROUND(ППД5[[#This Row],[Фикс 10.02.25]],2)</f>
        <v>124349.91</v>
      </c>
      <c r="CP36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9164600</v>
      </c>
      <c r="CQ364" s="93">
        <f>ROUNDUP(ППД5[[#This Row],[Стоимость до скидки]]+ППД5[[#This Row],[Сумма доплаты]],-2)</f>
        <v>9121100</v>
      </c>
      <c r="CR364" s="68"/>
      <c r="CS364" s="90"/>
      <c r="CT364" s="68">
        <f>ППД5[[#This Row],[Стоимость до скидки]]*ППД5[[#This Row],[Скидка %]]+ППД5[[#This Row],[Скидка фиксированная]]</f>
        <v>0</v>
      </c>
      <c r="CU364" s="3">
        <f>ППД5[[#This Row],[Стоимость ОН без отделки со скидкой]]/ППД5[[#This Row],[Расчетная проектная площадь]]</f>
        <v>124350.06784260515</v>
      </c>
      <c r="CV364" s="3">
        <f>ROUND(ППД5[[#This Row],[Стоимость до скидки]]-ППД5[[#This Row],[Итоговая сумма скидки]],2)</f>
        <v>9164600</v>
      </c>
      <c r="CW36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64" s="197"/>
      <c r="CY364" s="332">
        <f>ППД5[[#This Row],[Расхождение]]/ППД5[[#This Row],[Расчетная проектная площадь]]</f>
        <v>-4.7489823609227749E-3</v>
      </c>
      <c r="CZ36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-0.2099999999999973</v>
      </c>
      <c r="DA364" s="3">
        <f>ППД5[[#This Row],[Цена м2 без отделки со скидкой]]+ППД5[[#This Row],[Стоимость отделки]]</f>
        <v>124350.06784260515</v>
      </c>
      <c r="DB364" s="3">
        <f>ППД5[[#This Row],[Стоимость квартиры с отделкой]]-ППД5[[#This Row],[Стоимость ОН без отделки со скидкой]]</f>
        <v>0</v>
      </c>
      <c r="DC364" s="3">
        <f>ППД5[[#This Row],[Цена м2 с отделкой]]*ППД5[[#This Row],[Расчетная проектная площадь]]</f>
        <v>9164600</v>
      </c>
      <c r="DD364" s="3" t="s">
        <v>158</v>
      </c>
      <c r="DF364" s="155" t="s">
        <v>157</v>
      </c>
      <c r="DG364" s="245" t="s">
        <v>157</v>
      </c>
      <c r="DH364" s="100" t="b">
        <f>EXACT(ППД5[[#This Row],[Статусы CRM]],ППД5[[#This Row],[Статус]])</f>
        <v>1</v>
      </c>
      <c r="DI364" s="213" t="s">
        <v>536</v>
      </c>
      <c r="DJ364" s="204"/>
      <c r="DK364" s="111" t="s">
        <v>763</v>
      </c>
      <c r="DL364" s="216" t="s">
        <v>12</v>
      </c>
      <c r="DM364" s="201" t="b">
        <f>ППД5[[#This Row],[Отделка CRM]]=ППД5[[#This Row],[Отделка]]</f>
        <v>1</v>
      </c>
      <c r="DN364" s="203">
        <v>9164600</v>
      </c>
      <c r="DO36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64" s="207" t="b">
        <f>IF(AND(ППД5[[#This Row],[Статус]]="свободно",ППД5[[#This Row],[Итоговая сумма скидки]]&lt;&gt;0),FALSE,TRUE)</f>
        <v>1</v>
      </c>
      <c r="DQ364" s="240" t="str">
        <f>_xlfn.XLOOKUP(ППД5[[#This Row],[№]],Юрист[№ кв],Юрист[Дата подачи на регистрацию]," ",0,-1)</f>
        <v xml:space="preserve"> </v>
      </c>
      <c r="DR364" s="115" t="str">
        <f>_xlfn.XLOOKUP(ППД5[[#This Row],[№]],Юрист[№ кв],Юрист[МОП],"",0,-1)</f>
        <v/>
      </c>
      <c r="DS364" s="333" t="s">
        <v>3020</v>
      </c>
      <c r="DT364" s="333" t="s">
        <v>3021</v>
      </c>
      <c r="DU364" s="333">
        <v>69.7</v>
      </c>
      <c r="DV364" s="111"/>
    </row>
    <row r="365" spans="1:126" hidden="1" x14ac:dyDescent="0.25">
      <c r="A365" s="112">
        <v>363</v>
      </c>
      <c r="B365" s="111" t="s">
        <v>3</v>
      </c>
      <c r="C365" s="111">
        <v>21</v>
      </c>
      <c r="D365" s="111">
        <v>2</v>
      </c>
      <c r="E365" s="111">
        <v>0</v>
      </c>
      <c r="F365" s="105">
        <v>7.18</v>
      </c>
      <c r="G365" s="105"/>
      <c r="H365" s="105"/>
      <c r="I365" s="94">
        <f>SUM(ППД5[[#This Row],[Комната 1]:[Комната 3]])</f>
        <v>7.18</v>
      </c>
      <c r="J365" s="105">
        <v>5.17</v>
      </c>
      <c r="K365" s="105">
        <v>3.72</v>
      </c>
      <c r="L365" s="105"/>
      <c r="M365" s="105"/>
      <c r="N365" s="105">
        <v>6.97</v>
      </c>
      <c r="O365" s="105">
        <v>2.97</v>
      </c>
      <c r="P365" s="105"/>
      <c r="Q365" s="105"/>
      <c r="R365" s="105">
        <f>SUM(ППД5[[#This Row],[Лоджия 1]:[Лоджия 3]])</f>
        <v>2.97</v>
      </c>
      <c r="S365" s="8">
        <f>ROUND(SUM(ППД5[[#This Row],[Площадь по проекту жилая]:[Лоджия 3]]),2)</f>
        <v>26.01</v>
      </c>
      <c r="T365" s="8">
        <f>ROUND(ППД5[[#This Row],[Площадь по проекту(общая)]]-ППД5[[#This Row],[Летние]],2)</f>
        <v>23.04</v>
      </c>
      <c r="U365" s="91">
        <f>ROUND(ППД5[[#This Row],[Площадь по проекту(общая)]]-(SUM(ППД5[[#This Row],[Лоджия 1]:[Лоджия 3]])/2),2)</f>
        <v>24.53</v>
      </c>
      <c r="V365" s="91">
        <f>IF(ППД5[[#This Row],[Статус]]="продажа",ППД5[[#This Row],[Расчетная проектная площадь]],ППД5[[#This Row],[Расчетная ТП площадь]])</f>
        <v>24.53</v>
      </c>
      <c r="W365" s="91">
        <v>7.2</v>
      </c>
      <c r="X365" s="91"/>
      <c r="Y365" s="91"/>
      <c r="Z365" s="91">
        <f>SUM(ППД5[[#This Row],[ТП Комната 1]:[ТП Комната 3]])</f>
        <v>7.2</v>
      </c>
      <c r="AA365" s="91">
        <v>4.9000000000000004</v>
      </c>
      <c r="AB365" s="91">
        <v>3.7</v>
      </c>
      <c r="AC365" s="91"/>
      <c r="AD365" s="91"/>
      <c r="AE365" s="91">
        <v>6.7</v>
      </c>
      <c r="AF365" s="91">
        <v>1.45</v>
      </c>
      <c r="AG365" s="91"/>
      <c r="AH365" s="91"/>
      <c r="AI365" s="91">
        <f>SUM(ППД5[[#This Row],[ТП Лоджия 1]:[ТП Лоджия 3]])</f>
        <v>1.45</v>
      </c>
      <c r="AJ365" s="95">
        <v>2.9</v>
      </c>
      <c r="AK365" s="91">
        <f>SUM(ППД5[[#This Row],[Площадь по ТП жилая]:[ТП Лоджия 3]])-ППД5[[#This Row],[ТП Летние]]+ППД5[[#This Row],[кроме того прочая
(без коэффициента)]]</f>
        <v>25.4</v>
      </c>
      <c r="AL365" s="95">
        <f>ППД5[[#This Row],[ТП Площадь без летних]]+(ППД5[[#This Row],[ТП Летние]])</f>
        <v>23.95</v>
      </c>
      <c r="AM365" s="91">
        <f>ППД5[[#This Row],[ТП общая S]]-ППД5[[#This Row],[кроме того прочая
(без коэффициента)]]</f>
        <v>22.5</v>
      </c>
      <c r="AN365" s="95">
        <f>SUM(ППД5[[#This Row],[ТП Кухня]:[ТП Коридор]])</f>
        <v>15.3</v>
      </c>
      <c r="AO365" s="91">
        <f>ППД5[[#This Row],[Расчетная ТП площадь]]-ППД5[[#This Row],[Расчетная проектная площадь]]</f>
        <v>-0.58000000000000185</v>
      </c>
      <c r="AP365" s="335">
        <f>ППД5[[#This Row],[Расчетная ТП площадь]]/ППД5[[#This Row],[Расчетная проектная площадь]]-1</f>
        <v>-2.3644516918059577E-2</v>
      </c>
      <c r="AQ365" s="91">
        <f>ППД5[[#This Row],[% расхождения]]*ППД5[[#This Row],[Стоимость до скидки]]</f>
        <v>-93745.780676722614</v>
      </c>
      <c r="AR365" s="91">
        <f>VLOOKUP(ППД5[[#This Row],[№]],наценкад5[],COLUMN(наценкад5[[#This Row],[Цена м2 с учетом всех K]]),0)</f>
        <v>98989.695000000007</v>
      </c>
      <c r="AS365" s="8">
        <f>ППД5[[#This Row],[м2 после К]]*5%</f>
        <v>4949.4847500000005</v>
      </c>
      <c r="AT365" s="8">
        <f>ППД5[[#This Row],[м2 после К]]+ППД5[[#This Row],[Повышение 16.08.23 - 5%]]</f>
        <v>103939.17975000001</v>
      </c>
      <c r="AU365" s="93">
        <f>ППД5[[#This Row],[Фикс 16.08.23]]*3%</f>
        <v>3118.1753925000003</v>
      </c>
      <c r="AV365" s="93">
        <f>ППД5[[#This Row],[Фикс 16.08.23]]+ППД5[[#This Row],[Повышение 29.08.23 - 3%]]</f>
        <v>107057.3551425</v>
      </c>
      <c r="AW365" s="93">
        <f>ППД5[[#This Row],[Фикс 29.08.23]]*13%</f>
        <v>13917.456168525001</v>
      </c>
      <c r="AX365" s="93">
        <f>ППД5[[#This Row],[Фикс 29.08.23]]+ППД5[[#This Row],[Повышение 06.09.23 СТ и 1К]]</f>
        <v>120974.811311025</v>
      </c>
      <c r="AY365" s="93">
        <f>ППД5[[#This Row],[Фикс 06.09.23]]*1%</f>
        <v>1209.74811311025</v>
      </c>
      <c r="AZ365" s="93">
        <f>ППД5[[#This Row],[Повышение 23.10.23  В4 ]]+ППД5[[#This Row],[Фикс 06.09.23]]</f>
        <v>122184.55942413525</v>
      </c>
      <c r="BA365" s="93"/>
      <c r="BB365" s="93">
        <f>ППД5[[#This Row],[Повышение 8.11.23 1К 5%]]+ППД5[[#This Row],[Фикс 23.10.23]]</f>
        <v>122184.55942413525</v>
      </c>
      <c r="BC365" s="93"/>
      <c r="BD365" s="93">
        <f>ППД5[[#This Row],[Корректировка 24.11.23 - 1К В5, 2К А2, №233]]+ППД5[[#This Row],[Фикс 8.11.23]]</f>
        <v>122184.55942413525</v>
      </c>
      <c r="BE365" s="93">
        <f>ППД5[[#This Row],[Фикс 8.11.24]]*1%</f>
        <v>1221.8455942413525</v>
      </c>
      <c r="BF365" s="93">
        <f>ППД5[[#This Row],[Наценка за отделку 29.12.23 1%]]+ППД5[[#This Row],[Фикс 8.11.24]]</f>
        <v>123406.40501837661</v>
      </c>
      <c r="BG365" s="93">
        <f>ППД5[[#This Row],[Фикс 29.12.23]]*5%</f>
        <v>6170.3202509188304</v>
      </c>
      <c r="BH365" s="93">
        <f>ППД5[[#This Row],[Фикс 29.12.23]]+ППД5[[#This Row],[Наценка 10.01.24 5%]]</f>
        <v>129576.72526929544</v>
      </c>
      <c r="BI365" s="93"/>
      <c r="BJ365" s="93">
        <f>ППД5[[#This Row],[Наценка 26.02.24 1 Этаж]]+ППД5[[#This Row],[Фикс 10.01.24]]</f>
        <v>129576.72526929544</v>
      </c>
      <c r="BK365" s="93">
        <f>ППД5[[#This Row],[Фикс 26.02.24]]*3%</f>
        <v>3887.3017580788628</v>
      </c>
      <c r="BL365" s="93">
        <f>ППД5[[#This Row],[Фикс 26.02.24]]+ППД5[[#This Row],[Наценка 06.03.24
СТ, 1К - 3%
2К, 3К - 2%]]</f>
        <v>133464.02702737431</v>
      </c>
      <c r="BM365" s="93"/>
      <c r="BN365" s="93">
        <f>ППД5[[#This Row],[Фикс 06.03.24]]+ППД5[[#This Row],[Наценка Г2+500]]</f>
        <v>133464.02702737431</v>
      </c>
      <c r="BO365" s="93"/>
      <c r="BP365" s="93">
        <f>ППД5[[#This Row],[Фикс 13.03.25]]+ППД5[[#This Row],[Наценка 20.03.24
2К, 3К - 2%]]</f>
        <v>133464.02702737431</v>
      </c>
      <c r="BQ365" s="93"/>
      <c r="BR365" s="93">
        <f>ППД5[[#This Row],[Фикс 20.03.24]]+ППД5[[#This Row],[Наценка 08.04.24 
2К: В3 - 150
3К: Г7 +1000]]</f>
        <v>133464.02702737431</v>
      </c>
      <c r="BS365" s="93">
        <f>ППД5[[#This Row],[Фикс 08.04.24]]*1%</f>
        <v>1334.640270273743</v>
      </c>
      <c r="BT365" s="93">
        <f>ППД5[[#This Row],[Фикс 08.04.24]]+ППД5[[#This Row],[Наценка 16.05.24 1%
А4,А6,Б3,Б6,Б7,В2,В3,В5,В6,Г1,Г3-Г5]]</f>
        <v>134798.66729764806</v>
      </c>
      <c r="BU365" s="93"/>
      <c r="BV365" s="93">
        <f>ППД5[[#This Row],[Фикс 16.05.24]]+ППД5[[#This Row],[Наценка 24.05.24
1% - Б4, Б5,Г2,Г6
2% - А1,А3,А5,Б2,Г7]]</f>
        <v>134798.66729764806</v>
      </c>
      <c r="BW365" s="93">
        <f>ППД5[[#This Row],[Фикс 24.05.24]]*0.5%</f>
        <v>673.99333648824029</v>
      </c>
      <c r="BX365" s="93">
        <f>ППД5[[#This Row],[Наценка 06.06.24
0К: В2,Г3 +0,5%
1К: А7, Б5/4, Г6 +0,5%
3К: В6 +0,5%
1К: А3 +1%]]+ППД5[[#This Row],[Фикс 24.05.24]]</f>
        <v>135472.66063413629</v>
      </c>
      <c r="BY365" s="93"/>
      <c r="BZ365" s="93">
        <f>ППД5[[#This Row],[Фикс 06.06.24]]+ППД5[[#This Row],[13.06.2024
3К - 2%]]</f>
        <v>135472.66063413629</v>
      </c>
      <c r="CA365" s="93">
        <f>1.5%*ППД5[[#This Row],[Фикс 13.06.24]]</f>
        <v>2032.0899095120444</v>
      </c>
      <c r="CB365" s="93">
        <f>ППД5[[#This Row],[02.07.2024: Г3 А1 А3 Б5 Б7 Г2 Г6 Б3 Б4 В3 Г7 2,5% ост 0,5-1,5%]]+ППД5[[#This Row],[Фикс 13.06.24]]</f>
        <v>137504.75054364835</v>
      </c>
      <c r="CC365" s="93"/>
      <c r="CD365" s="93">
        <f>ППД5[[#This Row],[Фикс 02.07.24]]+ППД5[[#This Row],[04.09.2024 +500
0К - Б2; 1К - А3;
2К - А6, Б4, В3, Г5]]</f>
        <v>137504.75054364835</v>
      </c>
      <c r="CE365" s="93"/>
      <c r="CF365" s="93">
        <f>ППД5[[#This Row],[Наценка 16.09.2024
1К: А1,В7,Г6/7,Г8 - 2%
2К: А4,А5,А6,Б1,Б6,Б3/4,В3,В4,Г4,Г5 - 4%
3К: 4%]]+ППД5[[#This Row],[Фикс 04.09.24]]</f>
        <v>137504.75054364835</v>
      </c>
      <c r="CG365" s="93">
        <f>ППД5[[#This Row],[Фикс 16.09.2024]]*4%</f>
        <v>5500.1900217459342</v>
      </c>
      <c r="CH365" s="93">
        <f>ППД5[[#This Row],[Фикс 16.09.2024]]+ППД5[[#This Row],[Наценка 01.11.24
СТ: 4%
1К: 34-40м 5%; 40м+ 8%; МГН 1%
2К: 55-70м 6%; 70-73м 7%; 73-76м 8% 
3К: 5%]]</f>
        <v>143004.9405653943</v>
      </c>
      <c r="CI365" s="93">
        <f>ППД5[[#This Row],[Фикс 01.11.24]]*13%</f>
        <v>18590.64227350126</v>
      </c>
      <c r="CJ365" s="93">
        <f>ППД5[[#This Row],[Наценка 06.11 13%]]+ППД5[[#This Row],[Фикс 01.11.24]]</f>
        <v>161595.58283889556</v>
      </c>
      <c r="CK365" s="93">
        <v>35</v>
      </c>
      <c r="CL365" s="93">
        <f>ППД5[[#This Row],[Фикс 06.11.24]]+ППД5[[#This Row],[Наценка 18.12.24 распределение КВ]]</f>
        <v>161630.58283889556</v>
      </c>
      <c r="CM365" s="93"/>
      <c r="CN365" s="93">
        <f>ППД5[[#This Row],[Фикс 18.12.24]]+ППД5[[#This Row],[Наценка 10.02.25 +1%
1К: А3
2К: Б3, В3]]</f>
        <v>161630.58283889556</v>
      </c>
      <c r="CO365" s="93">
        <f>ROUND(ППД5[[#This Row],[Фикс 10.02.25]],2)</f>
        <v>161630.57999999999</v>
      </c>
      <c r="CP36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3964800</v>
      </c>
      <c r="CQ365" s="93">
        <f>ROUNDUP(ППД5[[#This Row],[Стоимость до скидки]]+ППД5[[#This Row],[Сумма доплаты]],-2)</f>
        <v>3871100</v>
      </c>
      <c r="CR365" s="68">
        <v>457010</v>
      </c>
      <c r="CS365" s="90"/>
      <c r="CT365" s="68">
        <f>ППД5[[#This Row],[Стоимость до скидки]]*ППД5[[#This Row],[Скидка %]]+ППД5[[#This Row],[Скидка фиксированная]]</f>
        <v>457010</v>
      </c>
      <c r="CU365" s="3">
        <f>ППД5[[#This Row],[Стоимость ОН без отделки со скидкой]]/ППД5[[#This Row],[Расчетная проектная площадь]]</f>
        <v>143000</v>
      </c>
      <c r="CV365" s="3">
        <f>ROUND(ППД5[[#This Row],[Стоимость до скидки]]-ППД5[[#This Row],[Итоговая сумма скидки]],2)</f>
        <v>3507790</v>
      </c>
      <c r="CW36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365" s="218">
        <v>10000</v>
      </c>
      <c r="CY365" s="332">
        <f>ППД5[[#This Row],[Расхождение]]/ППД5[[#This Row],[Расчетная проектная площадь]]</f>
        <v>-2.3644516918059594E-2</v>
      </c>
      <c r="CZ365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-0.55999999999999872</v>
      </c>
      <c r="DA365" s="3">
        <f>ППД5[[#This Row],[Цена м2 без отделки со скидкой]]+ППД5[[#This Row],[Стоимость отделки]]</f>
        <v>153000</v>
      </c>
      <c r="DB365" s="3">
        <f>ППД5[[#This Row],[Стоимость квартиры с отделкой]]-ППД5[[#This Row],[Стоимость ОН без отделки со скидкой]]</f>
        <v>245300</v>
      </c>
      <c r="DC365" s="3">
        <f>ППД5[[#This Row],[Цена м2 с отделкой]]*ППД5[[#This Row],[Расчетная проектная площадь]]</f>
        <v>3753090</v>
      </c>
      <c r="DD365" s="3"/>
      <c r="DE365" s="111" t="s">
        <v>2199</v>
      </c>
      <c r="DF365" s="155" t="s">
        <v>172</v>
      </c>
      <c r="DG365" s="221" t="s">
        <v>172</v>
      </c>
      <c r="DH365" s="100" t="b">
        <f>EXACT(ППД5[[#This Row],[Статусы CRM]],ППД5[[#This Row],[Статус]])</f>
        <v>1</v>
      </c>
      <c r="DI365" s="213" t="s">
        <v>537</v>
      </c>
      <c r="DJ365" s="204"/>
      <c r="DK365" s="111" t="s">
        <v>763</v>
      </c>
      <c r="DL365" s="216" t="s">
        <v>780</v>
      </c>
      <c r="DM365" s="201" t="b">
        <f>ППД5[[#This Row],[Отделка CRM]]=ППД5[[#This Row],[Отделка]]</f>
        <v>1</v>
      </c>
      <c r="DN365" s="203">
        <v>3753090</v>
      </c>
      <c r="DO36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65" s="207" t="b">
        <f>IF(AND(ППД5[[#This Row],[Статус]]="свободно",ППД5[[#This Row],[Итоговая сумма скидки]]&lt;&gt;0),FALSE,TRUE)</f>
        <v>1</v>
      </c>
      <c r="DQ365" s="240" t="str">
        <f>_xlfn.XLOOKUP(ППД5[[#This Row],[№]],Юрист[№ кв],Юрист[Дата подачи на регистрацию]," ",0,-1)</f>
        <v xml:space="preserve"> </v>
      </c>
      <c r="DR365" s="115" t="str">
        <f>_xlfn.XLOOKUP(ППД5[[#This Row],[№]],Юрист[№ кв],Юрист[МОП],"",0,-1)</f>
        <v/>
      </c>
      <c r="DS365" s="333" t="s">
        <v>3022</v>
      </c>
      <c r="DT365" s="333" t="s">
        <v>3023</v>
      </c>
      <c r="DU365" s="333">
        <v>22.5</v>
      </c>
      <c r="DV365" s="111"/>
    </row>
    <row r="366" spans="1:126" hidden="1" x14ac:dyDescent="0.25">
      <c r="A366" s="112">
        <v>364</v>
      </c>
      <c r="B366" s="111" t="s">
        <v>3</v>
      </c>
      <c r="C366" s="111">
        <v>21</v>
      </c>
      <c r="D366" s="111">
        <v>3</v>
      </c>
      <c r="E366" s="111">
        <v>2</v>
      </c>
      <c r="F366" s="105">
        <v>13.69</v>
      </c>
      <c r="G366" s="105">
        <v>10.16</v>
      </c>
      <c r="H366" s="105"/>
      <c r="I366" s="94">
        <f>SUM(ППД5[[#This Row],[Комната 1]:[Комната 3]])</f>
        <v>23.85</v>
      </c>
      <c r="J366" s="105">
        <v>18.71</v>
      </c>
      <c r="K366" s="105">
        <v>3.49</v>
      </c>
      <c r="L366" s="105">
        <v>2.11</v>
      </c>
      <c r="M366" s="105"/>
      <c r="N366" s="105">
        <v>7.09</v>
      </c>
      <c r="O366" s="105">
        <v>2.65</v>
      </c>
      <c r="P366" s="105"/>
      <c r="Q366" s="105"/>
      <c r="R366" s="105">
        <f>SUM(ППД5[[#This Row],[Лоджия 1]:[Лоджия 3]])</f>
        <v>2.65</v>
      </c>
      <c r="S366" s="8">
        <f>ROUND(SUM(ППД5[[#This Row],[Площадь по проекту жилая]:[Лоджия 3]]),2)</f>
        <v>57.9</v>
      </c>
      <c r="T366" s="8">
        <f>ROUND(ППД5[[#This Row],[Площадь по проекту(общая)]]-ППД5[[#This Row],[Летние]],2)</f>
        <v>55.25</v>
      </c>
      <c r="U366" s="91">
        <f>ROUND(ППД5[[#This Row],[Площадь по проекту(общая)]]-(SUM(ППД5[[#This Row],[Лоджия 1]:[Лоджия 3]])/2),2)</f>
        <v>56.58</v>
      </c>
      <c r="V366" s="91">
        <f>IF(ППД5[[#This Row],[Статус]]="продажа",ППД5[[#This Row],[Расчетная проектная площадь]],ППД5[[#This Row],[Расчетная ТП площадь]])</f>
        <v>56.45</v>
      </c>
      <c r="W366" s="91">
        <v>13.8</v>
      </c>
      <c r="X366" s="91">
        <v>9.9</v>
      </c>
      <c r="Y366" s="91"/>
      <c r="Z366" s="91">
        <f>SUM(ППД5[[#This Row],[ТП Комната 1]:[ТП Комната 3]])</f>
        <v>23.700000000000003</v>
      </c>
      <c r="AA366" s="91">
        <v>18.8</v>
      </c>
      <c r="AB366" s="91">
        <v>3.5</v>
      </c>
      <c r="AC366" s="91">
        <v>2.1</v>
      </c>
      <c r="AD366" s="91"/>
      <c r="AE366" s="91">
        <v>7</v>
      </c>
      <c r="AF366" s="91">
        <v>1.35</v>
      </c>
      <c r="AG366" s="91"/>
      <c r="AH366" s="91"/>
      <c r="AI366" s="91">
        <f>SUM(ППД5[[#This Row],[ТП Лоджия 1]:[ТП Лоджия 3]])</f>
        <v>1.35</v>
      </c>
      <c r="AJ366" s="95">
        <v>2.7</v>
      </c>
      <c r="AK366" s="91">
        <f>SUM(ППД5[[#This Row],[Площадь по ТП жилая]:[ТП Лоджия 3]])-ППД5[[#This Row],[ТП Летние]]+ППД5[[#This Row],[кроме того прочая
(без коэффициента)]]</f>
        <v>57.800000000000004</v>
      </c>
      <c r="AL366" s="95">
        <f>ППД5[[#This Row],[ТП Площадь без летних]]+(ППД5[[#This Row],[ТП Летние]])</f>
        <v>56.45</v>
      </c>
      <c r="AM366" s="91">
        <f>ППД5[[#This Row],[ТП общая S]]-ППД5[[#This Row],[кроме того прочая
(без коэффициента)]]</f>
        <v>55.1</v>
      </c>
      <c r="AN366" s="95">
        <f>SUM(ППД5[[#This Row],[ТП Кухня]:[ТП Коридор]])</f>
        <v>31.400000000000002</v>
      </c>
      <c r="AO366" s="91">
        <f>ППД5[[#This Row],[Расчетная ТП площадь]]-ППД5[[#This Row],[Расчетная проектная площадь]]</f>
        <v>-0.12999999999999545</v>
      </c>
      <c r="AP366" s="335">
        <f>ППД5[[#This Row],[Расчетная ТП площадь]]/ППД5[[#This Row],[Расчетная проектная площадь]]-1</f>
        <v>-2.2976316719688361E-3</v>
      </c>
      <c r="AQ366" s="91">
        <f>ППД5[[#This Row],[% расхождения]]*ППД5[[#This Row],[Стоимость до скидки]]</f>
        <v>-17586.532343583865</v>
      </c>
      <c r="AR366" s="91">
        <f>VLOOKUP(ППД5[[#This Row],[№]],наценкад5[],COLUMN(наценкад5[[#This Row],[Цена м2 с учетом всех K]]),0)</f>
        <v>86485.392000000007</v>
      </c>
      <c r="AS366" s="8">
        <f>ППД5[[#This Row],[м2 после К]]*5%</f>
        <v>4324.2696000000005</v>
      </c>
      <c r="AT366" s="8">
        <f>ППД5[[#This Row],[м2 после К]]+ППД5[[#This Row],[Повышение 16.08.23 - 5%]]</f>
        <v>90809.661600000007</v>
      </c>
      <c r="AU366" s="93">
        <f>ППД5[[#This Row],[Фикс 16.08.23]]*3%</f>
        <v>2724.2898479999999</v>
      </c>
      <c r="AV366" s="93">
        <f>ППД5[[#This Row],[Фикс 16.08.23]]+ППД5[[#This Row],[Повышение 29.08.23 - 3%]]</f>
        <v>93533.951448000007</v>
      </c>
      <c r="AW366" s="93"/>
      <c r="AX366" s="93">
        <f>ППД5[[#This Row],[Фикс 29.08.23]]+ППД5[[#This Row],[Повышение 06.09.23 СТ и 1К]]</f>
        <v>93533.951448000007</v>
      </c>
      <c r="AY366" s="93"/>
      <c r="AZ366" s="93">
        <f>ППД5[[#This Row],[Повышение 23.10.23  В4 ]]+ППД5[[#This Row],[Фикс 06.09.23]]</f>
        <v>93533.951448000007</v>
      </c>
      <c r="BA366" s="93"/>
      <c r="BB366" s="93">
        <f>ППД5[[#This Row],[Повышение 8.11.23 1К 5%]]+ППД5[[#This Row],[Фикс 23.10.23]]</f>
        <v>93533.951448000007</v>
      </c>
      <c r="BC366" s="93"/>
      <c r="BD366" s="93">
        <f>ППД5[[#This Row],[Корректировка 24.11.23 - 1К В5, 2К А2, №233]]+ППД5[[#This Row],[Фикс 8.11.23]]</f>
        <v>93533.951448000007</v>
      </c>
      <c r="BE366" s="93">
        <f>ППД5[[#This Row],[Фикс 8.11.24]]*1%</f>
        <v>935.33951448000005</v>
      </c>
      <c r="BF366" s="93">
        <f>ППД5[[#This Row],[Наценка за отделку 29.12.23 1%]]+ППД5[[#This Row],[Фикс 8.11.24]]</f>
        <v>94469.290962480009</v>
      </c>
      <c r="BG366" s="93">
        <f>ППД5[[#This Row],[Фикс 29.12.23]]*5%</f>
        <v>4723.4645481240004</v>
      </c>
      <c r="BH366" s="93">
        <f>ППД5[[#This Row],[Фикс 29.12.23]]+ППД5[[#This Row],[Наценка 10.01.24 5%]]</f>
        <v>99192.755510604009</v>
      </c>
      <c r="BI366" s="93"/>
      <c r="BJ366" s="93">
        <f>ППД5[[#This Row],[Наценка 26.02.24 1 Этаж]]+ППД5[[#This Row],[Фикс 10.01.24]]</f>
        <v>99192.755510604009</v>
      </c>
      <c r="BK366" s="93">
        <f>ППД5[[#This Row],[Фикс 26.02.24]]*2%</f>
        <v>1983.8551102120803</v>
      </c>
      <c r="BL366" s="93">
        <f>ППД5[[#This Row],[Фикс 26.02.24]]+ППД5[[#This Row],[Наценка 06.03.24
СТ, 1К - 3%
2К, 3К - 2%]]</f>
        <v>101176.61062081609</v>
      </c>
      <c r="BM366" s="93"/>
      <c r="BN366" s="93">
        <f>ППД5[[#This Row],[Фикс 06.03.24]]+ППД5[[#This Row],[Наценка Г2+500]]</f>
        <v>101176.61062081609</v>
      </c>
      <c r="BO366" s="93">
        <f>ППД5[[#This Row],[Фикс 13.03.25]]*2%</f>
        <v>2023.532212416322</v>
      </c>
      <c r="BP366" s="93">
        <f>ППД5[[#This Row],[Фикс 13.03.25]]+ППД5[[#This Row],[Наценка 20.03.24
2К, 3К - 2%]]</f>
        <v>103200.14283323241</v>
      </c>
      <c r="BQ366" s="93">
        <v>150</v>
      </c>
      <c r="BR366" s="93">
        <f>ППД5[[#This Row],[Фикс 20.03.24]]+ППД5[[#This Row],[Наценка 08.04.24 
2К: В3 - 150
3К: Г7 +1000]]</f>
        <v>103350.14283323241</v>
      </c>
      <c r="BS366" s="93">
        <f>ППД5[[#This Row],[Фикс 08.04.24]]*1%</f>
        <v>1033.5014283323242</v>
      </c>
      <c r="BT366" s="93">
        <f>ППД5[[#This Row],[Фикс 08.04.24]]+ППД5[[#This Row],[Наценка 16.05.24 1%
А4,А6,Б3,Б6,Б7,В2,В3,В5,В6,Г1,Г3-Г5]]</f>
        <v>104383.64426156474</v>
      </c>
      <c r="BU366" s="93"/>
      <c r="BV366" s="93">
        <f>ППД5[[#This Row],[Фикс 16.05.24]]+ППД5[[#This Row],[Наценка 24.05.24
1% - Б4, Б5,Г2,Г6
2% - А1,А3,А5,Б2,Г7]]</f>
        <v>104383.64426156474</v>
      </c>
      <c r="BW366" s="93"/>
      <c r="BX366" s="93">
        <f>ППД5[[#This Row],[Наценка 06.06.24
0К: В2,Г3 +0,5%
1К: А7, Б5/4, Г6 +0,5%
3К: В6 +0,5%
1К: А3 +1%]]+ППД5[[#This Row],[Фикс 24.05.24]]</f>
        <v>104383.64426156474</v>
      </c>
      <c r="BY366" s="93"/>
      <c r="BZ366" s="93">
        <f>ППД5[[#This Row],[Фикс 06.06.24]]+ППД5[[#This Row],[13.06.2024
3К - 2%]]</f>
        <v>104383.64426156474</v>
      </c>
      <c r="CA366" s="93">
        <f>2.5%*ППД5[[#This Row],[Фикс 13.06.24]]</f>
        <v>2609.5911065391188</v>
      </c>
      <c r="CB366" s="93">
        <f>ППД5[[#This Row],[02.07.2024: Г3 А1 А3 Б5 Б7 Г2 Г6 Б3 Б4 В3 Г7 2,5% ост 0,5-1,5%]]+ППД5[[#This Row],[Фикс 13.06.24]]</f>
        <v>106993.23536810385</v>
      </c>
      <c r="CC366" s="93">
        <v>500</v>
      </c>
      <c r="CD366" s="93">
        <f>ППД5[[#This Row],[Фикс 02.07.24]]+ППД5[[#This Row],[04.09.2024 +500
0К - Б2; 1К - А3;
2К - А6, Б4, В3, Г5]]</f>
        <v>107493.23536810385</v>
      </c>
      <c r="CE366" s="93">
        <f>ППД5[[#This Row],[Фикс 04.09.24]]*4%</f>
        <v>4299.7294147241537</v>
      </c>
      <c r="CF366" s="93">
        <f>ППД5[[#This Row],[Наценка 16.09.2024
1К: А1,В7,Г6/7,Г8 - 2%
2К: А4,А5,А6,Б1,Б6,Б3/4,В3,В4,Г4,Г5 - 4%
3К: 4%]]+ППД5[[#This Row],[Фикс 04.09.24]]</f>
        <v>111792.964782828</v>
      </c>
      <c r="CG366" s="93">
        <f>ППД5[[#This Row],[Фикс 16.09.2024]]*6%</f>
        <v>6707.5778869696796</v>
      </c>
      <c r="CH366" s="93">
        <f>ППД5[[#This Row],[Фикс 16.09.2024]]+ППД5[[#This Row],[Наценка 01.11.24
СТ: 4%
1К: 34-40м 5%; 40м+ 8%; МГН 1%
2К: 55-70м 6%; 70-73м 7%; 73-76м 8% 
3К: 5%]]</f>
        <v>118500.54266979768</v>
      </c>
      <c r="CI366" s="93">
        <f>ППД5[[#This Row],[Фикс 01.11.24]]*13%</f>
        <v>15405.070547073699</v>
      </c>
      <c r="CJ366" s="93">
        <f>ППД5[[#This Row],[Наценка 06.11 13%]]+ППД5[[#This Row],[Фикс 01.11.24]]</f>
        <v>133905.61321687137</v>
      </c>
      <c r="CK366" s="93">
        <v>35</v>
      </c>
      <c r="CL366" s="93">
        <f>ППД5[[#This Row],[Фикс 06.11.24]]+ППД5[[#This Row],[Наценка 18.12.24 распределение КВ]]</f>
        <v>133940.61321687137</v>
      </c>
      <c r="CM366" s="93">
        <f>ППД5[[#This Row],[Фикс 18.12.24]]*1%</f>
        <v>1339.4061321687136</v>
      </c>
      <c r="CN366" s="93">
        <f>ППД5[[#This Row],[Фикс 18.12.24]]+ППД5[[#This Row],[Наценка 10.02.25 +1%
1К: А3
2К: Б3, В3]]</f>
        <v>135280.01934904009</v>
      </c>
      <c r="CO366" s="93">
        <f>ROUND(ППД5[[#This Row],[Фикс 10.02.25]],2)</f>
        <v>135280.01999999999</v>
      </c>
      <c r="CP36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7654200</v>
      </c>
      <c r="CQ366" s="93">
        <f>ROUNDUP(ППД5[[#This Row],[Стоимость до скидки]]+ППД5[[#This Row],[Сумма доплаты]],-2)</f>
        <v>7636700</v>
      </c>
      <c r="CR366" s="68"/>
      <c r="CS366" s="90"/>
      <c r="CT366" s="68">
        <f>ППД5[[#This Row],[Стоимость до скидки]]*ППД5[[#This Row],[Скидка %]]+ППД5[[#This Row],[Скидка фиксированная]]</f>
        <v>0</v>
      </c>
      <c r="CU366" s="3">
        <f>ППД5[[#This Row],[Стоимость ОН без отделки со скидкой]]/ППД5[[#This Row],[Расчетная проектная площадь]]</f>
        <v>135281.01802757158</v>
      </c>
      <c r="CV366" s="3">
        <f>ROUND(ППД5[[#This Row],[Стоимость до скидки]]-ППД5[[#This Row],[Итоговая сумма скидки]],2)</f>
        <v>7654200</v>
      </c>
      <c r="CW36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66" s="197"/>
      <c r="CY366" s="332">
        <f>ППД5[[#This Row],[Расхождение]]/ППД5[[#This Row],[Расчетная проектная площадь]]</f>
        <v>-2.2976316719688131E-3</v>
      </c>
      <c r="CZ36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</v>
      </c>
      <c r="DA366" s="3">
        <f>ППД5[[#This Row],[Цена м2 без отделки со скидкой]]+ППД5[[#This Row],[Стоимость отделки]]</f>
        <v>135281.01802757158</v>
      </c>
      <c r="DB366" s="3">
        <f>ППД5[[#This Row],[Стоимость квартиры с отделкой]]-ППД5[[#This Row],[Стоимость ОН без отделки со скидкой]]</f>
        <v>0</v>
      </c>
      <c r="DC366" s="3">
        <f>ППД5[[#This Row],[Цена м2 с отделкой]]*ППД5[[#This Row],[Расчетная проектная площадь]]</f>
        <v>7654200</v>
      </c>
      <c r="DD366" s="3" t="s">
        <v>154</v>
      </c>
      <c r="DF366" s="155" t="s">
        <v>157</v>
      </c>
      <c r="DG366" s="221" t="s">
        <v>157</v>
      </c>
      <c r="DH366" s="100" t="b">
        <f>EXACT(ППД5[[#This Row],[Статусы CRM]],ППД5[[#This Row],[Статус]])</f>
        <v>1</v>
      </c>
      <c r="DI366" s="213" t="s">
        <v>538</v>
      </c>
      <c r="DJ366" s="204"/>
      <c r="DK366" s="111" t="s">
        <v>763</v>
      </c>
      <c r="DL366" s="216" t="s">
        <v>12</v>
      </c>
      <c r="DM366" s="201" t="b">
        <f>ППД5[[#This Row],[Отделка CRM]]=ППД5[[#This Row],[Отделка]]</f>
        <v>1</v>
      </c>
      <c r="DN366" s="203">
        <v>7654200</v>
      </c>
      <c r="DO36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66" s="207" t="b">
        <f>IF(AND(ППД5[[#This Row],[Статус]]="свободно",ППД5[[#This Row],[Итоговая сумма скидки]]&lt;&gt;0),FALSE,TRUE)</f>
        <v>1</v>
      </c>
      <c r="DQ366" s="240" t="str">
        <f>_xlfn.XLOOKUP(ППД5[[#This Row],[№]],Юрист[№ кв],Юрист[Дата подачи на регистрацию]," ",0,-1)</f>
        <v xml:space="preserve"> </v>
      </c>
      <c r="DR366" s="115" t="str">
        <f>_xlfn.XLOOKUP(ППД5[[#This Row],[№]],Юрист[№ кв],Юрист[МОП],"",0,-1)</f>
        <v/>
      </c>
      <c r="DS366" s="333" t="s">
        <v>3024</v>
      </c>
      <c r="DT366" s="333" t="s">
        <v>3025</v>
      </c>
      <c r="DU366" s="333">
        <v>55.1</v>
      </c>
      <c r="DV366" s="111"/>
    </row>
    <row r="367" spans="1:126" hidden="1" x14ac:dyDescent="0.25">
      <c r="A367" s="112">
        <v>365</v>
      </c>
      <c r="B367" s="111" t="s">
        <v>3</v>
      </c>
      <c r="C367" s="111">
        <v>21</v>
      </c>
      <c r="D367" s="111">
        <v>4</v>
      </c>
      <c r="E367" s="111">
        <v>2</v>
      </c>
      <c r="F367" s="105">
        <v>15.45</v>
      </c>
      <c r="G367" s="105">
        <v>10.34</v>
      </c>
      <c r="H367" s="105"/>
      <c r="I367" s="94">
        <f>SUM(ППД5[[#This Row],[Комната 1]:[Комната 3]])</f>
        <v>25.79</v>
      </c>
      <c r="J367" s="105">
        <v>15.44</v>
      </c>
      <c r="K367" s="105">
        <v>4.59</v>
      </c>
      <c r="L367" s="105">
        <v>2.21</v>
      </c>
      <c r="M367" s="105"/>
      <c r="N367" s="105">
        <v>10.79</v>
      </c>
      <c r="O367" s="105">
        <v>2.84</v>
      </c>
      <c r="P367" s="105"/>
      <c r="Q367" s="105"/>
      <c r="R367" s="105">
        <f>SUM(ППД5[[#This Row],[Лоджия 1]:[Лоджия 3]])</f>
        <v>2.84</v>
      </c>
      <c r="S367" s="8">
        <f>ROUND(SUM(ППД5[[#This Row],[Площадь по проекту жилая]:[Лоджия 3]]),2)</f>
        <v>61.66</v>
      </c>
      <c r="T367" s="8">
        <f>ROUND(ППД5[[#This Row],[Площадь по проекту(общая)]]-ППД5[[#This Row],[Летние]],2)</f>
        <v>58.82</v>
      </c>
      <c r="U367" s="91">
        <f>ROUND(ППД5[[#This Row],[Площадь по проекту(общая)]]-(SUM(ППД5[[#This Row],[Лоджия 1]:[Лоджия 3]])/2),2)</f>
        <v>60.24</v>
      </c>
      <c r="V367" s="91">
        <f>IF(ППД5[[#This Row],[Статус]]="продажа",ППД5[[#This Row],[Расчетная проектная площадь]],ППД5[[#This Row],[Расчетная ТП площадь]])</f>
        <v>60.050000000000011</v>
      </c>
      <c r="W367" s="91">
        <v>15.5</v>
      </c>
      <c r="X367" s="91">
        <v>10.3</v>
      </c>
      <c r="Y367" s="91"/>
      <c r="Z367" s="91">
        <f>SUM(ППД5[[#This Row],[ТП Комната 1]:[ТП Комната 3]])</f>
        <v>25.8</v>
      </c>
      <c r="AA367" s="91">
        <v>15.3</v>
      </c>
      <c r="AB367" s="91">
        <v>4.5999999999999996</v>
      </c>
      <c r="AC367" s="91">
        <v>2.2000000000000002</v>
      </c>
      <c r="AD367" s="91"/>
      <c r="AE367" s="91">
        <v>10.7</v>
      </c>
      <c r="AF367" s="91">
        <v>1.45</v>
      </c>
      <c r="AG367" s="91"/>
      <c r="AH367" s="91"/>
      <c r="AI367" s="91">
        <f>SUM(ППД5[[#This Row],[ТП Лоджия 1]:[ТП Лоджия 3]])</f>
        <v>1.45</v>
      </c>
      <c r="AJ367" s="95">
        <v>2.9</v>
      </c>
      <c r="AK367" s="91">
        <f>SUM(ППД5[[#This Row],[Площадь по ТП жилая]:[ТП Лоджия 3]])-ППД5[[#This Row],[ТП Летние]]+ППД5[[#This Row],[кроме того прочая
(без коэффициента)]]</f>
        <v>61.500000000000007</v>
      </c>
      <c r="AL367" s="95">
        <f>ППД5[[#This Row],[ТП Площадь без летних]]+(ППД5[[#This Row],[ТП Летние]])</f>
        <v>60.050000000000011</v>
      </c>
      <c r="AM367" s="91">
        <f>ППД5[[#This Row],[ТП общая S]]-ППД5[[#This Row],[кроме того прочая
(без коэффициента)]]</f>
        <v>58.600000000000009</v>
      </c>
      <c r="AN367" s="95">
        <f>SUM(ППД5[[#This Row],[ТП Кухня]:[ТП Коридор]])</f>
        <v>32.799999999999997</v>
      </c>
      <c r="AO367" s="91">
        <f>ППД5[[#This Row],[Расчетная ТП площадь]]-ППД5[[#This Row],[Расчетная проектная площадь]]</f>
        <v>-0.18999999999999062</v>
      </c>
      <c r="AP367" s="335">
        <f>ППД5[[#This Row],[Расчетная ТП площадь]]/ППД5[[#This Row],[Расчетная проектная площадь]]-1</f>
        <v>-3.1540504648073231E-3</v>
      </c>
      <c r="AQ367" s="91">
        <f>ППД5[[#This Row],[% расхождения]]*ППД5[[#This Row],[Стоимость до скидки]]</f>
        <v>-25102.772244355005</v>
      </c>
      <c r="AR367" s="91">
        <f>VLOOKUP(ППД5[[#This Row],[№]],наценкад5[],COLUMN(наценкад5[[#This Row],[Цена м2 с учетом всех K]]),0)</f>
        <v>88415.869500000001</v>
      </c>
      <c r="AS367" s="8">
        <f>ППД5[[#This Row],[м2 после К]]*5%</f>
        <v>4420.7934750000004</v>
      </c>
      <c r="AT367" s="8">
        <f>ППД5[[#This Row],[м2 после К]]+ППД5[[#This Row],[Повышение 16.08.23 - 5%]]</f>
        <v>92836.662974999999</v>
      </c>
      <c r="AU367" s="93">
        <f>ППД5[[#This Row],[Фикс 16.08.23]]*3%</f>
        <v>2785.0998892499997</v>
      </c>
      <c r="AV367" s="93">
        <f>ППД5[[#This Row],[Фикс 16.08.23]]+ППД5[[#This Row],[Повышение 29.08.23 - 3%]]</f>
        <v>95621.762864250006</v>
      </c>
      <c r="AW367" s="93"/>
      <c r="AX367" s="93">
        <f>ППД5[[#This Row],[Фикс 29.08.23]]+ППД5[[#This Row],[Повышение 06.09.23 СТ и 1К]]</f>
        <v>95621.762864250006</v>
      </c>
      <c r="AY367" s="93"/>
      <c r="AZ367" s="93">
        <f>ППД5[[#This Row],[Повышение 23.10.23  В4 ]]+ППД5[[#This Row],[Фикс 06.09.23]]</f>
        <v>95621.762864250006</v>
      </c>
      <c r="BA367" s="93"/>
      <c r="BB367" s="93">
        <f>ППД5[[#This Row],[Повышение 8.11.23 1К 5%]]+ППД5[[#This Row],[Фикс 23.10.23]]</f>
        <v>95621.762864250006</v>
      </c>
      <c r="BC367" s="93"/>
      <c r="BD367" s="93">
        <f>ППД5[[#This Row],[Корректировка 24.11.23 - 1К В5, 2К А2, №233]]+ППД5[[#This Row],[Фикс 8.11.23]]</f>
        <v>95621.762864250006</v>
      </c>
      <c r="BE367" s="93">
        <f>ППД5[[#This Row],[Фикс 8.11.24]]*1%</f>
        <v>956.21762864250013</v>
      </c>
      <c r="BF367" s="93">
        <f>ППД5[[#This Row],[Наценка за отделку 29.12.23 1%]]+ППД5[[#This Row],[Фикс 8.11.24]]</f>
        <v>96577.9804928925</v>
      </c>
      <c r="BG367" s="93">
        <f>ППД5[[#This Row],[Фикс 29.12.23]]*5%</f>
        <v>4828.8990246446256</v>
      </c>
      <c r="BH367" s="93">
        <f>ППД5[[#This Row],[Фикс 29.12.23]]+ППД5[[#This Row],[Наценка 10.01.24 5%]]</f>
        <v>101406.87951753712</v>
      </c>
      <c r="BI367" s="93"/>
      <c r="BJ367" s="93">
        <f>ППД5[[#This Row],[Наценка 26.02.24 1 Этаж]]+ППД5[[#This Row],[Фикс 10.01.24]]</f>
        <v>101406.87951753712</v>
      </c>
      <c r="BK367" s="93">
        <f>ППД5[[#This Row],[Фикс 26.02.24]]*2%</f>
        <v>2028.1375903507424</v>
      </c>
      <c r="BL367" s="93">
        <f>ППД5[[#This Row],[Фикс 26.02.24]]+ППД5[[#This Row],[Наценка 06.03.24
СТ, 1К - 3%
2К, 3К - 2%]]</f>
        <v>103435.01710788786</v>
      </c>
      <c r="BM367" s="93"/>
      <c r="BN367" s="93">
        <f>ППД5[[#This Row],[Фикс 06.03.24]]+ППД5[[#This Row],[Наценка Г2+500]]</f>
        <v>103435.01710788786</v>
      </c>
      <c r="BO367" s="93">
        <f>ППД5[[#This Row],[Фикс 13.03.25]]*2%</f>
        <v>2068.7003421577574</v>
      </c>
      <c r="BP367" s="93">
        <f>ППД5[[#This Row],[Фикс 13.03.25]]+ППД5[[#This Row],[Наценка 20.03.24
2К, 3К - 2%]]</f>
        <v>105503.71745004562</v>
      </c>
      <c r="BQ367" s="93"/>
      <c r="BR367" s="93">
        <f>ППД5[[#This Row],[Фикс 20.03.24]]+ППД5[[#This Row],[Наценка 08.04.24 
2К: В3 - 150
3К: Г7 +1000]]</f>
        <v>105503.71745004562</v>
      </c>
      <c r="BS367" s="93"/>
      <c r="BT367" s="93">
        <f>ППД5[[#This Row],[Фикс 08.04.24]]+ППД5[[#This Row],[Наценка 16.05.24 1%
А4,А6,Б3,Б6,Б7,В2,В3,В5,В6,Г1,Г3-Г5]]</f>
        <v>105503.71745004562</v>
      </c>
      <c r="BU367" s="93"/>
      <c r="BV367" s="93">
        <f>ППД5[[#This Row],[Фикс 16.05.24]]+ППД5[[#This Row],[Наценка 24.05.24
1% - Б4, Б5,Г2,Г6
2% - А1,А3,А5,Б2,Г7]]</f>
        <v>105503.71745004562</v>
      </c>
      <c r="BW367" s="93"/>
      <c r="BX367" s="93">
        <f>ППД5[[#This Row],[Наценка 06.06.24
0К: В2,Г3 +0,5%
1К: А7, Б5/4, Г6 +0,5%
3К: В6 +0,5%
1К: А3 +1%]]+ППД5[[#This Row],[Фикс 24.05.24]]</f>
        <v>105503.71745004562</v>
      </c>
      <c r="BY367" s="93"/>
      <c r="BZ367" s="93">
        <f>ППД5[[#This Row],[Фикс 06.06.24]]+ППД5[[#This Row],[13.06.2024
3К - 2%]]</f>
        <v>105503.71745004562</v>
      </c>
      <c r="CA367" s="93">
        <f>0.5%*ППД5[[#This Row],[Фикс 13.06.24]]</f>
        <v>527.51858725022805</v>
      </c>
      <c r="CB367" s="93">
        <f>ППД5[[#This Row],[02.07.2024: Г3 А1 А3 Б5 Б7 Г2 Г6 Б3 Б4 В3 Г7 2,5% ост 0,5-1,5%]]+ППД5[[#This Row],[Фикс 13.06.24]]</f>
        <v>106031.23603729585</v>
      </c>
      <c r="CC367" s="93"/>
      <c r="CD367" s="93">
        <f>ППД5[[#This Row],[Фикс 02.07.24]]+ППД5[[#This Row],[04.09.2024 +500
0К - Б2; 1К - А3;
2К - А6, Б4, В3, Г5]]</f>
        <v>106031.23603729585</v>
      </c>
      <c r="CE367" s="93">
        <f>ППД5[[#This Row],[Фикс 04.09.24]]*4%</f>
        <v>4241.2494414918337</v>
      </c>
      <c r="CF367" s="93">
        <f>ППД5[[#This Row],[Наценка 16.09.2024
1К: А1,В7,Г6/7,Г8 - 2%
2К: А4,А5,А6,Б1,Б6,Б3/4,В3,В4,Г4,Г5 - 4%
3К: 4%]]+ППД5[[#This Row],[Фикс 04.09.24]]</f>
        <v>110272.48547878768</v>
      </c>
      <c r="CG367" s="93">
        <f>ППД5[[#This Row],[Фикс 16.09.2024]]*6%</f>
        <v>6616.3491287272609</v>
      </c>
      <c r="CH367" s="93">
        <f>ППД5[[#This Row],[Фикс 16.09.2024]]+ППД5[[#This Row],[Наценка 01.11.24
СТ: 4%
1К: 34-40м 5%; 40м+ 8%; МГН 1%
2К: 55-70м 6%; 70-73м 7%; 73-76м 8% 
3К: 5%]]</f>
        <v>116888.83460751495</v>
      </c>
      <c r="CI367" s="93">
        <f>ППД5[[#This Row],[Фикс 01.11.24]]*13%</f>
        <v>15195.548498976943</v>
      </c>
      <c r="CJ367" s="93">
        <f>ППД5[[#This Row],[Наценка 06.11 13%]]+ППД5[[#This Row],[Фикс 01.11.24]]</f>
        <v>132084.38310649188</v>
      </c>
      <c r="CK367" s="93">
        <v>35</v>
      </c>
      <c r="CL367" s="93">
        <f>ППД5[[#This Row],[Фикс 06.11.24]]+ППД5[[#This Row],[Наценка 18.12.24 распределение КВ]]</f>
        <v>132119.38310649188</v>
      </c>
      <c r="CM367" s="93"/>
      <c r="CN367" s="93">
        <f>ППД5[[#This Row],[Фикс 18.12.24]]+ППД5[[#This Row],[Наценка 10.02.25 +1%
1К: А3
2К: Б3, В3]]</f>
        <v>132119.38310649188</v>
      </c>
      <c r="CO367" s="93">
        <f>ROUND(ППД5[[#This Row],[Фикс 10.02.25]],2)</f>
        <v>132119.38</v>
      </c>
      <c r="CP36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7958900</v>
      </c>
      <c r="CQ367" s="93">
        <f>ROUNDUP(ППД5[[#This Row],[Стоимость до скидки]]+ППД5[[#This Row],[Сумма доплаты]],-2)</f>
        <v>7933800</v>
      </c>
      <c r="CR367" s="68"/>
      <c r="CS367" s="90"/>
      <c r="CT367" s="68">
        <f>ППД5[[#This Row],[Стоимость до скидки]]*ППД5[[#This Row],[Скидка %]]+ППД5[[#This Row],[Скидка фиксированная]]</f>
        <v>0</v>
      </c>
      <c r="CU367" s="3">
        <f>ППД5[[#This Row],[Стоимость ОН без отделки со скидкой]]/ППД5[[#This Row],[Расчетная проектная площадь]]</f>
        <v>132119.85391766267</v>
      </c>
      <c r="CV367" s="3">
        <f>ROUND(ППД5[[#This Row],[Стоимость до скидки]]-ППД5[[#This Row],[Итоговая сумма скидки]],2)</f>
        <v>7958900</v>
      </c>
      <c r="CW36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67" s="197"/>
      <c r="CY367" s="332">
        <f>ППД5[[#This Row],[Расхождение]]/ППД5[[#This Row],[Расчетная проектная площадь]]</f>
        <v>-3.154050464807281E-3</v>
      </c>
      <c r="CZ36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-0.2300000000000022</v>
      </c>
      <c r="DA367" s="3">
        <f>ППД5[[#This Row],[Цена м2 без отделки со скидкой]]+ППД5[[#This Row],[Стоимость отделки]]</f>
        <v>132119.85391766267</v>
      </c>
      <c r="DB367" s="3">
        <f>ППД5[[#This Row],[Стоимость квартиры с отделкой]]-ППД5[[#This Row],[Стоимость ОН без отделки со скидкой]]</f>
        <v>0</v>
      </c>
      <c r="DC367" s="3">
        <f>ППД5[[#This Row],[Цена м2 с отделкой]]*ППД5[[#This Row],[Расчетная проектная площадь]]</f>
        <v>7958899.9999999991</v>
      </c>
      <c r="DD367" s="3"/>
      <c r="DF367" s="199" t="s">
        <v>157</v>
      </c>
      <c r="DG367" s="245" t="s">
        <v>157</v>
      </c>
      <c r="DH367" s="100" t="b">
        <f>EXACT(ППД5[[#This Row],[Статусы CRM]],ППД5[[#This Row],[Статус]])</f>
        <v>1</v>
      </c>
      <c r="DI367" s="213" t="s">
        <v>539</v>
      </c>
      <c r="DJ367" s="204"/>
      <c r="DK367" s="111" t="s">
        <v>763</v>
      </c>
      <c r="DL367" s="216" t="s">
        <v>12</v>
      </c>
      <c r="DM367" s="201" t="b">
        <f>ППД5[[#This Row],[Отделка CRM]]=ППД5[[#This Row],[Отделка]]</f>
        <v>1</v>
      </c>
      <c r="DN367" s="203">
        <v>7958900</v>
      </c>
      <c r="DO36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9.3132257461547852E-10</v>
      </c>
      <c r="DP367" s="207" t="b">
        <f>IF(AND(ППД5[[#This Row],[Статус]]="свободно",ППД5[[#This Row],[Итоговая сумма скидки]]&lt;&gt;0),FALSE,TRUE)</f>
        <v>1</v>
      </c>
      <c r="DQ367" s="240" t="str">
        <f>_xlfn.XLOOKUP(ППД5[[#This Row],[№]],Юрист[№ кв],Юрист[Дата подачи на регистрацию]," ",0,-1)</f>
        <v xml:space="preserve"> </v>
      </c>
      <c r="DR367" s="115" t="str">
        <f>_xlfn.XLOOKUP(ППД5[[#This Row],[№]],Юрист[№ кв],Юрист[МОП],"",0,-1)</f>
        <v/>
      </c>
      <c r="DS367" s="333" t="s">
        <v>3026</v>
      </c>
      <c r="DT367" s="333" t="s">
        <v>3027</v>
      </c>
      <c r="DU367" s="333">
        <v>58.6</v>
      </c>
      <c r="DV367" s="111"/>
    </row>
    <row r="368" spans="1:126" hidden="1" x14ac:dyDescent="0.25">
      <c r="A368" s="112">
        <v>366</v>
      </c>
      <c r="B368" s="111" t="s">
        <v>3</v>
      </c>
      <c r="C368" s="111">
        <v>21</v>
      </c>
      <c r="D368" s="111">
        <v>5</v>
      </c>
      <c r="E368" s="111">
        <v>1</v>
      </c>
      <c r="F368" s="105">
        <v>12.54</v>
      </c>
      <c r="G368" s="105"/>
      <c r="H368" s="105"/>
      <c r="I368" s="94">
        <f>SUM(ППД5[[#This Row],[Комната 1]:[Комната 3]])</f>
        <v>12.54</v>
      </c>
      <c r="J368" s="105">
        <v>12.74</v>
      </c>
      <c r="K368" s="105">
        <v>4.0199999999999996</v>
      </c>
      <c r="L368" s="105"/>
      <c r="M368" s="105"/>
      <c r="N368" s="105">
        <v>7.09</v>
      </c>
      <c r="O368" s="105">
        <v>2.84</v>
      </c>
      <c r="P368" s="105"/>
      <c r="Q368" s="105"/>
      <c r="R368" s="105">
        <f>SUM(ППД5[[#This Row],[Лоджия 1]:[Лоджия 3]])</f>
        <v>2.84</v>
      </c>
      <c r="S368" s="8">
        <f>ROUND(SUM(ППД5[[#This Row],[Площадь по проекту жилая]:[Лоджия 3]]),2)</f>
        <v>39.229999999999997</v>
      </c>
      <c r="T368" s="8">
        <f>ROUND(ППД5[[#This Row],[Площадь по проекту(общая)]]-ППД5[[#This Row],[Летние]],2)</f>
        <v>36.39</v>
      </c>
      <c r="U368" s="91">
        <f>ROUND(ППД5[[#This Row],[Площадь по проекту(общая)]]-(SUM(ППД5[[#This Row],[Лоджия 1]:[Лоджия 3]])/2),2)</f>
        <v>37.81</v>
      </c>
      <c r="V368" s="91">
        <f>IF(ППД5[[#This Row],[Статус]]="продажа",ППД5[[#This Row],[Расчетная проектная площадь]],ППД5[[#This Row],[Расчетная ТП площадь]])</f>
        <v>37.81</v>
      </c>
      <c r="W368" s="91">
        <v>12.6</v>
      </c>
      <c r="X368" s="91"/>
      <c r="Y368" s="91"/>
      <c r="Z368" s="91">
        <f>SUM(ППД5[[#This Row],[ТП Комната 1]:[ТП Комната 3]])</f>
        <v>12.6</v>
      </c>
      <c r="AA368" s="91">
        <v>12.7</v>
      </c>
      <c r="AB368" s="91">
        <v>4.0999999999999996</v>
      </c>
      <c r="AC368" s="91"/>
      <c r="AD368" s="91"/>
      <c r="AE368" s="91">
        <v>6.9</v>
      </c>
      <c r="AF368" s="91">
        <v>1.4</v>
      </c>
      <c r="AG368" s="91"/>
      <c r="AH368" s="91"/>
      <c r="AI368" s="91">
        <f>SUM(ППД5[[#This Row],[ТП Лоджия 1]:[ТП Лоджия 3]])</f>
        <v>1.4</v>
      </c>
      <c r="AJ368" s="95">
        <v>2.8</v>
      </c>
      <c r="AK368" s="91">
        <f>SUM(ППД5[[#This Row],[Площадь по ТП жилая]:[ТП Лоджия 3]])-ППД5[[#This Row],[ТП Летние]]+ППД5[[#This Row],[кроме того прочая
(без коэффициента)]]</f>
        <v>39.099999999999994</v>
      </c>
      <c r="AL368" s="95">
        <f>ППД5[[#This Row],[ТП Площадь без летних]]+(ППД5[[#This Row],[ТП Летние]])</f>
        <v>37.699999999999996</v>
      </c>
      <c r="AM368" s="91">
        <f>ППД5[[#This Row],[ТП общая S]]-ППД5[[#This Row],[кроме того прочая
(без коэффициента)]]</f>
        <v>36.299999999999997</v>
      </c>
      <c r="AN368" s="95">
        <f>SUM(ППД5[[#This Row],[ТП Кухня]:[ТП Коридор]])</f>
        <v>23.699999999999996</v>
      </c>
      <c r="AO368" s="91">
        <f>ППД5[[#This Row],[Расчетная ТП площадь]]-ППД5[[#This Row],[Расчетная проектная площадь]]</f>
        <v>-0.11000000000000654</v>
      </c>
      <c r="AP368" s="335">
        <f>ППД5[[#This Row],[Расчетная ТП площадь]]/ППД5[[#This Row],[Расчетная проектная площадь]]-1</f>
        <v>-2.9092832583974548E-3</v>
      </c>
      <c r="AQ368" s="91">
        <f>ППД5[[#This Row],[% расхождения]]*ППД5[[#This Row],[Стоимость до скидки]]</f>
        <v>-13177.598518911273</v>
      </c>
      <c r="AR368" s="91">
        <f>VLOOKUP(ППД5[[#This Row],[№]],наценкад5[],COLUMN(наценкад5[[#This Row],[Цена м2 с учетом всех K]]),0)</f>
        <v>95712.75</v>
      </c>
      <c r="AS368" s="8">
        <f>ППД5[[#This Row],[м2 после К]]*5%</f>
        <v>4785.6374999999998</v>
      </c>
      <c r="AT368" s="8">
        <f>ППД5[[#This Row],[м2 после К]]+ППД5[[#This Row],[Повышение 16.08.23 - 5%]]</f>
        <v>100498.3875</v>
      </c>
      <c r="AU368" s="93">
        <f>ППД5[[#This Row],[Фикс 16.08.23]]*3%</f>
        <v>3014.9516249999997</v>
      </c>
      <c r="AV368" s="93">
        <f>ППД5[[#This Row],[Фикс 16.08.23]]+ППД5[[#This Row],[Повышение 29.08.23 - 3%]]</f>
        <v>103513.339125</v>
      </c>
      <c r="AW368" s="93">
        <f>ППД5[[#This Row],[Фикс 29.08.23]]*4.5%</f>
        <v>4658.1002606249995</v>
      </c>
      <c r="AX368" s="93">
        <f>ППД5[[#This Row],[Фикс 29.08.23]]+ППД5[[#This Row],[Повышение 06.09.23 СТ и 1К]]</f>
        <v>108171.439385625</v>
      </c>
      <c r="AY368" s="93"/>
      <c r="AZ368" s="93">
        <f>ППД5[[#This Row],[Повышение 23.10.23  В4 ]]+ППД5[[#This Row],[Фикс 06.09.23]]</f>
        <v>108171.439385625</v>
      </c>
      <c r="BA368" s="93">
        <f>ППД5[[#This Row],[Фикс 23.10.23]]*5%</f>
        <v>5408.5719692812499</v>
      </c>
      <c r="BB368" s="93">
        <f>ППД5[[#This Row],[Повышение 8.11.23 1К 5%]]+ППД5[[#This Row],[Фикс 23.10.23]]</f>
        <v>113580.01135490625</v>
      </c>
      <c r="BC368" s="93">
        <v>-620</v>
      </c>
      <c r="BD368" s="93">
        <f>ППД5[[#This Row],[Корректировка 24.11.23 - 1К В5, 2К А2, №233]]+ППД5[[#This Row],[Фикс 8.11.23]]</f>
        <v>112960.01135490625</v>
      </c>
      <c r="BE368" s="93">
        <f>ППД5[[#This Row],[Фикс 8.11.24]]*1%</f>
        <v>1129.6001135490626</v>
      </c>
      <c r="BF368" s="93">
        <f>ППД5[[#This Row],[Наценка за отделку 29.12.23 1%]]+ППД5[[#This Row],[Фикс 8.11.24]]</f>
        <v>114089.61146845532</v>
      </c>
      <c r="BG368" s="93">
        <f>ППД5[[#This Row],[Фикс 29.12.23]]*5%</f>
        <v>5704.4805734227666</v>
      </c>
      <c r="BH368" s="93">
        <f>ППД5[[#This Row],[Фикс 29.12.23]]+ППД5[[#This Row],[Наценка 10.01.24 5%]]</f>
        <v>119794.09204187809</v>
      </c>
      <c r="BI368" s="93"/>
      <c r="BJ368" s="93">
        <f>ППД5[[#This Row],[Наценка 26.02.24 1 Этаж]]+ППД5[[#This Row],[Фикс 10.01.24]]</f>
        <v>119794.09204187809</v>
      </c>
      <c r="BK368" s="93"/>
      <c r="BL368" s="93">
        <f>ППД5[[#This Row],[Фикс 26.02.24]]+ППД5[[#This Row],[Наценка 06.03.24
СТ, 1К - 3%
2К, 3К - 2%]]</f>
        <v>119794.09204187809</v>
      </c>
      <c r="BM368" s="93"/>
      <c r="BN368" s="93">
        <f>ППД5[[#This Row],[Фикс 06.03.24]]+ППД5[[#This Row],[Наценка Г2+500]]</f>
        <v>119794.09204187809</v>
      </c>
      <c r="BO368" s="93"/>
      <c r="BP368" s="93">
        <f>ППД5[[#This Row],[Фикс 13.03.25]]+ППД5[[#This Row],[Наценка 20.03.24
2К, 3К - 2%]]</f>
        <v>119794.09204187809</v>
      </c>
      <c r="BQ368" s="93"/>
      <c r="BR368" s="93">
        <f>ППД5[[#This Row],[Фикс 20.03.24]]+ППД5[[#This Row],[Наценка 08.04.24 
2К: В3 - 150
3К: Г7 +1000]]</f>
        <v>119794.09204187809</v>
      </c>
      <c r="BS368" s="93"/>
      <c r="BT368" s="93">
        <f>ППД5[[#This Row],[Фикс 08.04.24]]+ППД5[[#This Row],[Наценка 16.05.24 1%
А4,А6,Б3,Б6,Б7,В2,В3,В5,В6,Г1,Г3-Г5]]</f>
        <v>119794.09204187809</v>
      </c>
      <c r="BU368" s="93"/>
      <c r="BV368" s="93">
        <f>ППД5[[#This Row],[Фикс 16.05.24]]+ППД5[[#This Row],[Наценка 24.05.24
1% - Б4, Б5,Г2,Г6
2% - А1,А3,А5,Б2,Г7]]</f>
        <v>119794.09204187809</v>
      </c>
      <c r="BW368" s="93"/>
      <c r="BX368" s="93">
        <f>ППД5[[#This Row],[Наценка 06.06.24
0К: В2,Г3 +0,5%
1К: А7, Б5/4, Г6 +0,5%
3К: В6 +0,5%
1К: А3 +1%]]+ППД5[[#This Row],[Фикс 24.05.24]]</f>
        <v>119794.09204187809</v>
      </c>
      <c r="BY368" s="93"/>
      <c r="BZ368" s="93">
        <f>ППД5[[#This Row],[Фикс 06.06.24]]+ППД5[[#This Row],[13.06.2024
3К - 2%]]</f>
        <v>119794.09204187809</v>
      </c>
      <c r="CA368" s="93"/>
      <c r="CB368" s="93">
        <f>ППД5[[#This Row],[02.07.2024: Г3 А1 А3 Б5 Б7 Г2 Г6 Б3 Б4 В3 Г7 2,5% ост 0,5-1,5%]]+ППД5[[#This Row],[Фикс 13.06.24]]</f>
        <v>119794.09204187809</v>
      </c>
      <c r="CC368" s="93"/>
      <c r="CD368" s="93">
        <f>ППД5[[#This Row],[Фикс 02.07.24]]+ППД5[[#This Row],[04.09.2024 +500
0К - Б2; 1К - А3;
2К - А6, Б4, В3, Г5]]</f>
        <v>119794.09204187809</v>
      </c>
      <c r="CE368" s="93"/>
      <c r="CF368" s="93">
        <f>ППД5[[#This Row],[Наценка 16.09.2024
1К: А1,В7,Г6/7,Г8 - 2%
2К: А4,А5,А6,Б1,Б6,Б3/4,В3,В4,Г4,Г5 - 4%
3К: 4%]]+ППД5[[#This Row],[Фикс 04.09.24]]</f>
        <v>119794.09204187809</v>
      </c>
      <c r="CG368" s="93"/>
      <c r="CH368" s="93">
        <f>ППД5[[#This Row],[Фикс 16.09.2024]]+ППД5[[#This Row],[Наценка 01.11.24
СТ: 4%
1К: 34-40м 5%; 40м+ 8%; МГН 1%
2К: 55-70м 6%; 70-73м 7%; 73-76м 8% 
3К: 5%]]</f>
        <v>119794.09204187809</v>
      </c>
      <c r="CI368" s="93"/>
      <c r="CJ368" s="93">
        <f>ППД5[[#This Row],[Наценка 06.11 13%]]+ППД5[[#This Row],[Фикс 01.11.24]]</f>
        <v>119794.09204187809</v>
      </c>
      <c r="CK368" s="93"/>
      <c r="CL368" s="93">
        <f>ППД5[[#This Row],[Фикс 06.11.24]]+ППД5[[#This Row],[Наценка 18.12.24 распределение КВ]]</f>
        <v>119794.09204187809</v>
      </c>
      <c r="CM368" s="93"/>
      <c r="CN368" s="93">
        <f>ППД5[[#This Row],[Фикс 18.12.24]]+ППД5[[#This Row],[Наценка 10.02.25 +1%
1К: А3
2К: Б3, В3]]</f>
        <v>119794.09204187809</v>
      </c>
      <c r="CO368" s="93">
        <f>ROUND(ППД5[[#This Row],[Фикс 10.02.25]],2)</f>
        <v>119794.09</v>
      </c>
      <c r="CP36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4529500</v>
      </c>
      <c r="CQ368" s="93">
        <f>ROUNDUP(ППД5[[#This Row],[Стоимость до скидки]]+ППД5[[#This Row],[Сумма доплаты]],-2)</f>
        <v>4516400</v>
      </c>
      <c r="CR368" s="68">
        <v>88888</v>
      </c>
      <c r="CS368" s="90"/>
      <c r="CT368" s="68">
        <f>ППД5[[#This Row],[Стоимость до скидки]]*ППД5[[#This Row],[Скидка %]]+ППД5[[#This Row],[Скидка фиксированная]]</f>
        <v>88888</v>
      </c>
      <c r="CU368" s="3">
        <f>ППД5[[#This Row],[Стоимость ОН без отделки со скидкой]]/ППД5[[#This Row],[Расчетная проектная площадь]]</f>
        <v>117445.43771489023</v>
      </c>
      <c r="CV368" s="3">
        <f>ROUND(ППД5[[#This Row],[Стоимость до скидки]]-ППД5[[#This Row],[Итоговая сумма скидки]],2)</f>
        <v>4440612</v>
      </c>
      <c r="CW36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68" s="197"/>
      <c r="CY368" s="332">
        <f>ППД5[[#This Row],[Расхождение]]/ППД5[[#This Row],[Расчетная проектная площадь]]</f>
        <v>-2.9092832583974223E-3</v>
      </c>
      <c r="CZ36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-0.15000000000000391</v>
      </c>
      <c r="DA368" s="3">
        <f>ППД5[[#This Row],[Цена м2 без отделки со скидкой]]+ППД5[[#This Row],[Стоимость отделки]]</f>
        <v>117445.43771489023</v>
      </c>
      <c r="DB368" s="3">
        <f>ППД5[[#This Row],[Стоимость квартиры с отделкой]]-ППД5[[#This Row],[Стоимость ОН без отделки со скидкой]]</f>
        <v>0</v>
      </c>
      <c r="DC368" s="3">
        <f>ППД5[[#This Row],[Цена м2 с отделкой]]*ППД5[[#This Row],[Расчетная проектная площадь]]</f>
        <v>4440612</v>
      </c>
      <c r="DD368" s="3"/>
      <c r="DE368" s="111" t="s">
        <v>781</v>
      </c>
      <c r="DF368" s="199" t="s">
        <v>172</v>
      </c>
      <c r="DG368" s="245" t="s">
        <v>172</v>
      </c>
      <c r="DH368" s="100" t="b">
        <f>EXACT(ППД5[[#This Row],[Статусы CRM]],ППД5[[#This Row],[Статус]])</f>
        <v>1</v>
      </c>
      <c r="DI368" s="213" t="s">
        <v>540</v>
      </c>
      <c r="DJ368" s="204"/>
      <c r="DK368" s="111" t="s">
        <v>763</v>
      </c>
      <c r="DL368" s="216" t="s">
        <v>12</v>
      </c>
      <c r="DM368" s="201" t="b">
        <f>ППД5[[#This Row],[Отделка CRM]]=ППД5[[#This Row],[Отделка]]</f>
        <v>1</v>
      </c>
      <c r="DN368" s="203">
        <v>4440612</v>
      </c>
      <c r="DO36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68" s="207" t="b">
        <f>IF(AND(ППД5[[#This Row],[Статус]]="свободно",ППД5[[#This Row],[Итоговая сумма скидки]]&lt;&gt;0),FALSE,TRUE)</f>
        <v>1</v>
      </c>
      <c r="DQ368" s="240">
        <f>_xlfn.XLOOKUP(ППД5[[#This Row],[№]],Юрист[№ кв],Юрист[Дата подачи на регистрацию]," ",0,-1)</f>
        <v>45373</v>
      </c>
      <c r="DR368" s="115" t="str">
        <f>_xlfn.XLOOKUP(ППД5[[#This Row],[№]],Юрист[№ кв],Юрист[МОП],"",0,-1)</f>
        <v>Полехович</v>
      </c>
      <c r="DS368" s="333" t="s">
        <v>3028</v>
      </c>
      <c r="DT368" s="333" t="s">
        <v>3029</v>
      </c>
      <c r="DU368" s="333">
        <v>36.299999999999997</v>
      </c>
      <c r="DV368" s="111"/>
    </row>
    <row r="369" spans="1:126" hidden="1" x14ac:dyDescent="0.25">
      <c r="A369" s="112">
        <v>367</v>
      </c>
      <c r="B369" s="111" t="s">
        <v>3</v>
      </c>
      <c r="C369" s="111">
        <v>21</v>
      </c>
      <c r="D369" s="111">
        <v>6</v>
      </c>
      <c r="E369" s="111">
        <v>3</v>
      </c>
      <c r="F369" s="105">
        <v>17.2</v>
      </c>
      <c r="G369" s="105">
        <v>14.64</v>
      </c>
      <c r="H369" s="105">
        <v>14.34</v>
      </c>
      <c r="I369" s="94">
        <f>SUM(ППД5[[#This Row],[Комната 1]:[Комната 3]])</f>
        <v>46.18</v>
      </c>
      <c r="J369" s="105">
        <v>13.15</v>
      </c>
      <c r="K369" s="105">
        <v>4.03</v>
      </c>
      <c r="L369" s="105">
        <v>1.76</v>
      </c>
      <c r="M369" s="105"/>
      <c r="N369" s="105">
        <v>13.11</v>
      </c>
      <c r="O369" s="105">
        <v>2.79</v>
      </c>
      <c r="P369" s="105">
        <v>2.68</v>
      </c>
      <c r="Q369" s="105"/>
      <c r="R369" s="105">
        <f>SUM(ППД5[[#This Row],[Лоджия 1]:[Лоджия 3]])</f>
        <v>5.4700000000000006</v>
      </c>
      <c r="S369" s="8">
        <f>ROUND(SUM(ППД5[[#This Row],[Площадь по проекту жилая]:[Лоджия 3]]),2)</f>
        <v>83.7</v>
      </c>
      <c r="T369" s="8">
        <f>ROUND(ППД5[[#This Row],[Площадь по проекту(общая)]]-ППД5[[#This Row],[Летние]],2)</f>
        <v>78.23</v>
      </c>
      <c r="U369" s="91">
        <f>ROUND(ППД5[[#This Row],[Площадь по проекту(общая)]]-(SUM(ППД5[[#This Row],[Лоджия 1]:[Лоджия 3]])/2),2)</f>
        <v>80.97</v>
      </c>
      <c r="V369" s="91">
        <f>IF(ППД5[[#This Row],[Статус]]="продажа",ППД5[[#This Row],[Расчетная проектная площадь]],ППД5[[#This Row],[Расчетная ТП площадь]])</f>
        <v>80.97</v>
      </c>
      <c r="W369" s="91">
        <v>17.5</v>
      </c>
      <c r="X369" s="91">
        <v>14.6</v>
      </c>
      <c r="Y369" s="91">
        <v>14.3</v>
      </c>
      <c r="Z369" s="91">
        <f>SUM(ППД5[[#This Row],[ТП Комната 1]:[ТП Комната 3]])</f>
        <v>46.400000000000006</v>
      </c>
      <c r="AA369" s="91">
        <v>13</v>
      </c>
      <c r="AB369" s="91">
        <v>4</v>
      </c>
      <c r="AC369" s="91">
        <v>1.7</v>
      </c>
      <c r="AD369" s="91"/>
      <c r="AE369" s="91">
        <v>12.9</v>
      </c>
      <c r="AF369" s="91">
        <v>1.2</v>
      </c>
      <c r="AG369" s="91">
        <v>1.35</v>
      </c>
      <c r="AH369" s="91"/>
      <c r="AI369" s="91">
        <f>SUM(ППД5[[#This Row],[ТП Лоджия 1]:[ТП Лоджия 3]])</f>
        <v>2.5499999999999998</v>
      </c>
      <c r="AJ369" s="95">
        <v>5.0999999999999996</v>
      </c>
      <c r="AK369" s="91">
        <f>SUM(ППД5[[#This Row],[Площадь по ТП жилая]:[ТП Лоджия 3]])-ППД5[[#This Row],[ТП Летние]]+ППД5[[#This Row],[кроме того прочая
(без коэффициента)]]</f>
        <v>83.100000000000009</v>
      </c>
      <c r="AL369" s="95">
        <f>ППД5[[#This Row],[ТП Площадь без летних]]+(ППД5[[#This Row],[ТП Летние]])</f>
        <v>80.550000000000011</v>
      </c>
      <c r="AM369" s="91">
        <f>ППД5[[#This Row],[ТП общая S]]-ППД5[[#This Row],[кроме того прочая
(без коэффициента)]]</f>
        <v>78.000000000000014</v>
      </c>
      <c r="AN369" s="95">
        <f>SUM(ППД5[[#This Row],[ТП Кухня]:[ТП Коридор]])</f>
        <v>31.6</v>
      </c>
      <c r="AO369" s="91">
        <f>ППД5[[#This Row],[Расчетная ТП площадь]]-ППД5[[#This Row],[Расчетная проектная площадь]]</f>
        <v>-0.41999999999998749</v>
      </c>
      <c r="AP369" s="335">
        <f>ППД5[[#This Row],[Расчетная ТП площадь]]/ППД5[[#This Row],[Расчетная проектная площадь]]-1</f>
        <v>-5.1871063356797587E-3</v>
      </c>
      <c r="AQ369" s="91">
        <f>ППД5[[#This Row],[% расхождения]]*ППД5[[#This Row],[Стоимость до скидки]]</f>
        <v>-41111.967395330634</v>
      </c>
      <c r="AR369" s="91">
        <f>VLOOKUP(ППД5[[#This Row],[№]],наценкад5[],COLUMN(наценкад5[[#This Row],[Цена м2 с учетом всех K]]),0)</f>
        <v>79230.690000000017</v>
      </c>
      <c r="AS369" s="8">
        <f>ППД5[[#This Row],[м2 после К]]*5%</f>
        <v>3961.5345000000011</v>
      </c>
      <c r="AT369" s="8">
        <f>ППД5[[#This Row],[м2 после К]]+ППД5[[#This Row],[Повышение 16.08.23 - 5%]]</f>
        <v>83192.224500000011</v>
      </c>
      <c r="AU369" s="93">
        <f>ППД5[[#This Row],[Фикс 16.08.23]]*3%</f>
        <v>2495.7667350000002</v>
      </c>
      <c r="AV369" s="93">
        <f>ППД5[[#This Row],[Фикс 16.08.23]]+ППД5[[#This Row],[Повышение 29.08.23 - 3%]]</f>
        <v>85687.991235000009</v>
      </c>
      <c r="AW369" s="93"/>
      <c r="AX369" s="93">
        <f>ППД5[[#This Row],[Фикс 29.08.23]]+ППД5[[#This Row],[Повышение 06.09.23 СТ и 1К]]</f>
        <v>85687.991235000009</v>
      </c>
      <c r="AY369" s="93"/>
      <c r="AZ369" s="93">
        <f>ППД5[[#This Row],[Повышение 23.10.23  В4 ]]+ППД5[[#This Row],[Фикс 06.09.23]]</f>
        <v>85687.991235000009</v>
      </c>
      <c r="BA369" s="93"/>
      <c r="BB369" s="93">
        <f>ППД5[[#This Row],[Повышение 8.11.23 1К 5%]]+ППД5[[#This Row],[Фикс 23.10.23]]</f>
        <v>85687.991235000009</v>
      </c>
      <c r="BC369" s="93"/>
      <c r="BD369" s="93">
        <f>ППД5[[#This Row],[Корректировка 24.11.23 - 1К В5, 2К А2, №233]]+ППД5[[#This Row],[Фикс 8.11.23]]</f>
        <v>85687.991235000009</v>
      </c>
      <c r="BE369" s="93">
        <f>ППД5[[#This Row],[Фикс 8.11.24]]*1%</f>
        <v>856.87991235000015</v>
      </c>
      <c r="BF369" s="93">
        <f>ППД5[[#This Row],[Наценка за отделку 29.12.23 1%]]+ППД5[[#This Row],[Фикс 8.11.24]]</f>
        <v>86544.871147350015</v>
      </c>
      <c r="BG369" s="93">
        <f>ППД5[[#This Row],[Фикс 29.12.23]]*5%</f>
        <v>4327.2435573675011</v>
      </c>
      <c r="BH369" s="93">
        <f>ППД5[[#This Row],[Фикс 29.12.23]]+ППД5[[#This Row],[Наценка 10.01.24 5%]]</f>
        <v>90872.114704717518</v>
      </c>
      <c r="BI369" s="93"/>
      <c r="BJ369" s="93">
        <f>ППД5[[#This Row],[Наценка 26.02.24 1 Этаж]]+ППД5[[#This Row],[Фикс 10.01.24]]</f>
        <v>90872.114704717518</v>
      </c>
      <c r="BK369" s="93">
        <f>ППД5[[#This Row],[Фикс 26.02.24]]*2%</f>
        <v>1817.4422940943505</v>
      </c>
      <c r="BL369" s="93">
        <f>ППД5[[#This Row],[Фикс 26.02.24]]+ППД5[[#This Row],[Наценка 06.03.24
СТ, 1К - 3%
2К, 3К - 2%]]</f>
        <v>92689.556998811866</v>
      </c>
      <c r="BM369" s="93"/>
      <c r="BN369" s="93">
        <f>ППД5[[#This Row],[Фикс 06.03.24]]+ППД5[[#This Row],[Наценка Г2+500]]</f>
        <v>92689.556998811866</v>
      </c>
      <c r="BO369" s="93">
        <f>ППД5[[#This Row],[Фикс 13.03.25]]*2%</f>
        <v>1853.7911399762374</v>
      </c>
      <c r="BP369" s="93">
        <f>ППД5[[#This Row],[Фикс 13.03.25]]+ППД5[[#This Row],[Наценка 20.03.24
2К, 3К - 2%]]</f>
        <v>94543.348138788104</v>
      </c>
      <c r="BQ369" s="93"/>
      <c r="BR369" s="93">
        <f>ППД5[[#This Row],[Фикс 20.03.24]]+ППД5[[#This Row],[Наценка 08.04.24 
2К: В3 - 150
3К: Г7 +1000]]</f>
        <v>94543.348138788104</v>
      </c>
      <c r="BS369" s="93">
        <f>ППД5[[#This Row],[Фикс 08.04.24]]*1%</f>
        <v>945.4334813878811</v>
      </c>
      <c r="BT369" s="93">
        <f>ППД5[[#This Row],[Фикс 08.04.24]]+ППД5[[#This Row],[Наценка 16.05.24 1%
А4,А6,Б3,Б6,Б7,В2,В3,В5,В6,Г1,Г3-Г5]]</f>
        <v>95488.781620175985</v>
      </c>
      <c r="BU369" s="93"/>
      <c r="BV369" s="93">
        <f>ППД5[[#This Row],[Фикс 16.05.24]]+ППД5[[#This Row],[Наценка 24.05.24
1% - Б4, Б5,Г2,Г6
2% - А1,А3,А5,Б2,Г7]]</f>
        <v>95488.781620175985</v>
      </c>
      <c r="BW369" s="93">
        <f>ППД5[[#This Row],[Фикс 24.05.24]]*0.5%</f>
        <v>477.44390810087992</v>
      </c>
      <c r="BX369" s="93">
        <f>ППД5[[#This Row],[Наценка 06.06.24
0К: В2,Г3 +0,5%
1К: А7, Б5/4, Г6 +0,5%
3К: В6 +0,5%
1К: А3 +1%]]+ППД5[[#This Row],[Фикс 24.05.24]]</f>
        <v>95966.22552827686</v>
      </c>
      <c r="BY369" s="93">
        <f>ППД5[[#This Row],[Фикс 06.06.24]]*2%</f>
        <v>1919.3245105655371</v>
      </c>
      <c r="BZ369" s="93">
        <f>ППД5[[#This Row],[Фикс 06.06.24]]+ППД5[[#This Row],[13.06.2024
3К - 2%]]</f>
        <v>97885.550038842397</v>
      </c>
      <c r="CA369" s="93"/>
      <c r="CB369" s="93">
        <f>ППД5[[#This Row],[02.07.2024: Г3 А1 А3 Б5 Б7 Г2 Г6 Б3 Б4 В3 Г7 2,5% ост 0,5-1,5%]]+ППД5[[#This Row],[Фикс 13.06.24]]</f>
        <v>97885.550038842397</v>
      </c>
      <c r="CC369" s="93"/>
      <c r="CD369" s="93">
        <f>ППД5[[#This Row],[Фикс 02.07.24]]+ППД5[[#This Row],[04.09.2024 +500
0К - Б2; 1К - А3;
2К - А6, Б4, В3, Г5]]</f>
        <v>97885.550038842397</v>
      </c>
      <c r="CE369" s="93"/>
      <c r="CF369" s="93">
        <f>ППД5[[#This Row],[Наценка 16.09.2024
1К: А1,В7,Г6/7,Г8 - 2%
2К: А4,А5,А6,Б1,Б6,Б3/4,В3,В4,Г4,Г5 - 4%
3К: 4%]]+ППД5[[#This Row],[Фикс 04.09.24]]</f>
        <v>97885.550038842397</v>
      </c>
      <c r="CG369" s="93"/>
      <c r="CH369" s="93">
        <f>ППД5[[#This Row],[Фикс 16.09.2024]]+ППД5[[#This Row],[Наценка 01.11.24
СТ: 4%
1К: 34-40м 5%; 40м+ 8%; МГН 1%
2К: 55-70м 6%; 70-73м 7%; 73-76м 8% 
3К: 5%]]</f>
        <v>97885.550038842397</v>
      </c>
      <c r="CI369" s="93"/>
      <c r="CJ369" s="93">
        <f>ППД5[[#This Row],[Наценка 06.11 13%]]+ППД5[[#This Row],[Фикс 01.11.24]]</f>
        <v>97885.550038842397</v>
      </c>
      <c r="CK369" s="93"/>
      <c r="CL369" s="93">
        <f>ППД5[[#This Row],[Фикс 06.11.24]]+ППД5[[#This Row],[Наценка 18.12.24 распределение КВ]]</f>
        <v>97885.550038842397</v>
      </c>
      <c r="CM369" s="93"/>
      <c r="CN369" s="93">
        <f>ППД5[[#This Row],[Фикс 18.12.24]]+ППД5[[#This Row],[Наценка 10.02.25 +1%
1К: А3
2К: Б3, В3]]</f>
        <v>97885.550038842397</v>
      </c>
      <c r="CO369" s="93">
        <f>ROUND(ППД5[[#This Row],[Фикс 10.02.25]],2)</f>
        <v>97885.55</v>
      </c>
      <c r="CP36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7925800</v>
      </c>
      <c r="CQ369" s="93">
        <f>ROUNDUP(ППД5[[#This Row],[Стоимость до скидки]]+ППД5[[#This Row],[Сумма доплаты]],-2)</f>
        <v>7884700</v>
      </c>
      <c r="CR369" s="68"/>
      <c r="CS369" s="90">
        <v>0.03</v>
      </c>
      <c r="CT369" s="68">
        <f>ППД5[[#This Row],[Стоимость до скидки]]*ППД5[[#This Row],[Скидка %]]+ППД5[[#This Row],[Скидка фиксированная]]</f>
        <v>237774</v>
      </c>
      <c r="CU369" s="3">
        <f>ППД5[[#This Row],[Стоимость ОН без отделки со скидкой]]/ППД5[[#This Row],[Расчетная проектная площадь]]</f>
        <v>94949.067555884903</v>
      </c>
      <c r="CV369" s="3">
        <f>ROUND(ППД5[[#This Row],[Стоимость до скидки]]-ППД5[[#This Row],[Итоговая сумма скидки]],2)</f>
        <v>7688026</v>
      </c>
      <c r="CW36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69" s="197"/>
      <c r="CY369" s="332">
        <f>ППД5[[#This Row],[Расхождение]]/ППД5[[#This Row],[Расчетная проектная площадь]]</f>
        <v>-5.1871063356797274E-3</v>
      </c>
      <c r="CZ36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-0.45000000000000107</v>
      </c>
      <c r="DA369" s="3">
        <f>ППД5[[#This Row],[Цена м2 без отделки со скидкой]]+ППД5[[#This Row],[Стоимость отделки]]</f>
        <v>94949.067555884903</v>
      </c>
      <c r="DB369" s="3">
        <f>ППД5[[#This Row],[Стоимость квартиры с отделкой]]-ППД5[[#This Row],[Стоимость ОН без отделки со скидкой]]</f>
        <v>0</v>
      </c>
      <c r="DC369" s="3">
        <f>ППД5[[#This Row],[Цена м2 с отделкой]]*ППД5[[#This Row],[Расчетная проектная площадь]]</f>
        <v>7688026.0000000009</v>
      </c>
      <c r="DD369" s="3"/>
      <c r="DE369" s="111" t="s">
        <v>167</v>
      </c>
      <c r="DF369" s="199" t="s">
        <v>172</v>
      </c>
      <c r="DG369" s="245" t="s">
        <v>172</v>
      </c>
      <c r="DH369" s="100" t="b">
        <f>EXACT(ППД5[[#This Row],[Статусы CRM]],ППД5[[#This Row],[Статус]])</f>
        <v>1</v>
      </c>
      <c r="DI369" s="213" t="s">
        <v>541</v>
      </c>
      <c r="DJ369" s="204"/>
      <c r="DK369" s="111" t="s">
        <v>763</v>
      </c>
      <c r="DL369" s="216" t="s">
        <v>12</v>
      </c>
      <c r="DM369" s="201" t="b">
        <f>ППД5[[#This Row],[Отделка CRM]]=ППД5[[#This Row],[Отделка]]</f>
        <v>1</v>
      </c>
      <c r="DN369" s="203">
        <v>7688026</v>
      </c>
      <c r="DO36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-9.3132257461547852E-10</v>
      </c>
      <c r="DP369" s="207" t="b">
        <f>IF(AND(ППД5[[#This Row],[Статус]]="свободно",ППД5[[#This Row],[Итоговая сумма скидки]]&lt;&gt;0),FALSE,TRUE)</f>
        <v>1</v>
      </c>
      <c r="DQ369" s="240">
        <f>_xlfn.XLOOKUP(ППД5[[#This Row],[№]],Юрист[№ кв],Юрист[Дата подачи на регистрацию]," ",0,-1)</f>
        <v>45464</v>
      </c>
      <c r="DR369" s="115" t="str">
        <f>_xlfn.XLOOKUP(ППД5[[#This Row],[№]],Юрист[№ кв],Юрист[МОП],"",0,-1)</f>
        <v>Полехович</v>
      </c>
      <c r="DS369" s="333" t="s">
        <v>3030</v>
      </c>
      <c r="DT369" s="333" t="s">
        <v>3031</v>
      </c>
      <c r="DU369" s="333">
        <v>78</v>
      </c>
      <c r="DV369" s="111"/>
    </row>
    <row r="370" spans="1:126" hidden="1" x14ac:dyDescent="0.25">
      <c r="A370" s="112">
        <v>368</v>
      </c>
      <c r="B370" s="111" t="s">
        <v>3</v>
      </c>
      <c r="C370" s="111">
        <v>21</v>
      </c>
      <c r="D370" s="111">
        <v>7</v>
      </c>
      <c r="E370" s="111">
        <v>1</v>
      </c>
      <c r="F370" s="105">
        <v>14.3</v>
      </c>
      <c r="G370" s="105"/>
      <c r="H370" s="105"/>
      <c r="I370" s="94">
        <f>SUM(ППД5[[#This Row],[Комната 1]:[Комната 3]])</f>
        <v>14.3</v>
      </c>
      <c r="J370" s="105">
        <v>9.2799999999999994</v>
      </c>
      <c r="K370" s="105">
        <v>3.79</v>
      </c>
      <c r="L370" s="105"/>
      <c r="M370" s="105"/>
      <c r="N370" s="105">
        <v>6.08</v>
      </c>
      <c r="O370" s="105">
        <v>2.71</v>
      </c>
      <c r="P370" s="105"/>
      <c r="Q370" s="105"/>
      <c r="R370" s="105">
        <f>SUM(ППД5[[#This Row],[Лоджия 1]:[Лоджия 3]])</f>
        <v>2.71</v>
      </c>
      <c r="S370" s="8">
        <f>ROUND(SUM(ППД5[[#This Row],[Площадь по проекту жилая]:[Лоджия 3]]),2)</f>
        <v>36.159999999999997</v>
      </c>
      <c r="T370" s="8">
        <f>ROUND(ППД5[[#This Row],[Площадь по проекту(общая)]]-ППД5[[#This Row],[Летние]],2)</f>
        <v>33.450000000000003</v>
      </c>
      <c r="U370" s="91">
        <f>ROUND(ППД5[[#This Row],[Площадь по проекту(общая)]]-(SUM(ППД5[[#This Row],[Лоджия 1]:[Лоджия 3]])/2),2)</f>
        <v>34.81</v>
      </c>
      <c r="V370" s="91">
        <f>IF(ППД5[[#This Row],[Статус]]="продажа",ППД5[[#This Row],[Расчетная проектная площадь]],ППД5[[#This Row],[Расчетная ТП площадь]])</f>
        <v>34.65</v>
      </c>
      <c r="W370" s="91">
        <v>14.1</v>
      </c>
      <c r="X370" s="91"/>
      <c r="Y370" s="91"/>
      <c r="Z370" s="91">
        <f>SUM(ППД5[[#This Row],[ТП Комната 1]:[ТП Комната 3]])</f>
        <v>14.1</v>
      </c>
      <c r="AA370" s="91">
        <v>9.1999999999999993</v>
      </c>
      <c r="AB370" s="91">
        <v>3.8</v>
      </c>
      <c r="AC370" s="91"/>
      <c r="AD370" s="91"/>
      <c r="AE370" s="91">
        <v>6.2</v>
      </c>
      <c r="AF370" s="91">
        <v>1.35</v>
      </c>
      <c r="AG370" s="91"/>
      <c r="AH370" s="91"/>
      <c r="AI370" s="91">
        <f>SUM(ППД5[[#This Row],[ТП Лоджия 1]:[ТП Лоджия 3]])</f>
        <v>1.35</v>
      </c>
      <c r="AJ370" s="95">
        <v>2.7</v>
      </c>
      <c r="AK370" s="91">
        <f>SUM(ППД5[[#This Row],[Площадь по ТП жилая]:[ТП Лоджия 3]])-ППД5[[#This Row],[ТП Летние]]+ППД5[[#This Row],[кроме того прочая
(без коэффициента)]]</f>
        <v>36</v>
      </c>
      <c r="AL370" s="95">
        <f>ППД5[[#This Row],[ТП Площадь без летних]]+(ППД5[[#This Row],[ТП Летние]])</f>
        <v>34.65</v>
      </c>
      <c r="AM370" s="91">
        <f>ППД5[[#This Row],[ТП общая S]]-ППД5[[#This Row],[кроме того прочая
(без коэффициента)]]</f>
        <v>33.299999999999997</v>
      </c>
      <c r="AN370" s="95">
        <f>SUM(ППД5[[#This Row],[ТП Кухня]:[ТП Коридор]])</f>
        <v>19.2</v>
      </c>
      <c r="AO370" s="91">
        <f>ППД5[[#This Row],[Расчетная ТП площадь]]-ППД5[[#This Row],[Расчетная проектная площадь]]</f>
        <v>-0.16000000000000369</v>
      </c>
      <c r="AP370" s="335">
        <f>ППД5[[#This Row],[Расчетная ТП площадь]]/ППД5[[#This Row],[Расчетная проектная площадь]]-1</f>
        <v>-4.5963803504741607E-3</v>
      </c>
      <c r="AQ370" s="91">
        <f>ППД5[[#This Row],[% расхождения]]*ППД5[[#This Row],[Стоимость до скидки]]</f>
        <v>-25116.920425166052</v>
      </c>
      <c r="AR370" s="91">
        <f>VLOOKUP(ППД5[[#This Row],[№]],наценкад5[],COLUMN(наценкад5[[#This Row],[Цена м2 с учетом всех K]]),0)</f>
        <v>91251.5625</v>
      </c>
      <c r="AS370" s="8">
        <f>ППД5[[#This Row],[м2 после К]]*5%</f>
        <v>4562.578125</v>
      </c>
      <c r="AT370" s="8">
        <f>ППД5[[#This Row],[м2 после К]]+ППД5[[#This Row],[Повышение 16.08.23 - 5%]]</f>
        <v>95814.140625</v>
      </c>
      <c r="AU370" s="93">
        <f>ППД5[[#This Row],[Фикс 16.08.23]]*3%</f>
        <v>2874.4242187499999</v>
      </c>
      <c r="AV370" s="93">
        <f>ППД5[[#This Row],[Фикс 16.08.23]]+ППД5[[#This Row],[Повышение 29.08.23 - 3%]]</f>
        <v>98688.564843750006</v>
      </c>
      <c r="AW370" s="93">
        <f>ППД5[[#This Row],[Фикс 29.08.23]]*14%</f>
        <v>13816.399078125001</v>
      </c>
      <c r="AX370" s="93">
        <f>ППД5[[#This Row],[Фикс 29.08.23]]+ППД5[[#This Row],[Повышение 06.09.23 СТ и 1К]]</f>
        <v>112504.96392187501</v>
      </c>
      <c r="AY370" s="93"/>
      <c r="AZ370" s="93">
        <f>ППД5[[#This Row],[Повышение 23.10.23  В4 ]]+ППД5[[#This Row],[Фикс 06.09.23]]</f>
        <v>112504.96392187501</v>
      </c>
      <c r="BA370" s="93">
        <f>ППД5[[#This Row],[Фикс 23.10.23]]*5%</f>
        <v>5625.2481960937512</v>
      </c>
      <c r="BB370" s="93">
        <f>ППД5[[#This Row],[Повышение 8.11.23 1К 5%]]+ППД5[[#This Row],[Фикс 23.10.23]]</f>
        <v>118130.21211796877</v>
      </c>
      <c r="BC370" s="93"/>
      <c r="BD370" s="93">
        <f>ППД5[[#This Row],[Корректировка 24.11.23 - 1К В5, 2К А2, №233]]+ППД5[[#This Row],[Фикс 8.11.23]]</f>
        <v>118130.21211796877</v>
      </c>
      <c r="BE370" s="93">
        <f>ППД5[[#This Row],[Фикс 8.11.24]]*1%</f>
        <v>1181.3021211796877</v>
      </c>
      <c r="BF370" s="93">
        <f>ППД5[[#This Row],[Наценка за отделку 29.12.23 1%]]+ППД5[[#This Row],[Фикс 8.11.24]]</f>
        <v>119311.51423914846</v>
      </c>
      <c r="BG370" s="93">
        <f>ППД5[[#This Row],[Фикс 29.12.23]]*5%</f>
        <v>5965.5757119574228</v>
      </c>
      <c r="BH370" s="93">
        <f>ППД5[[#This Row],[Фикс 29.12.23]]+ППД5[[#This Row],[Наценка 10.01.24 5%]]</f>
        <v>125277.08995110588</v>
      </c>
      <c r="BI370" s="93"/>
      <c r="BJ370" s="93">
        <f>ППД5[[#This Row],[Наценка 26.02.24 1 Этаж]]+ППД5[[#This Row],[Фикс 10.01.24]]</f>
        <v>125277.08995110588</v>
      </c>
      <c r="BK370" s="93">
        <f>ППД5[[#This Row],[Фикс 26.02.24]]*3%</f>
        <v>3758.3126985331764</v>
      </c>
      <c r="BL370" s="93">
        <f>ППД5[[#This Row],[Фикс 26.02.24]]+ППД5[[#This Row],[Наценка 06.03.24
СТ, 1К - 3%
2К, 3К - 2%]]</f>
        <v>129035.40264963906</v>
      </c>
      <c r="BM370" s="93"/>
      <c r="BN370" s="93">
        <f>ППД5[[#This Row],[Фикс 06.03.24]]+ППД5[[#This Row],[Наценка Г2+500]]</f>
        <v>129035.40264963906</v>
      </c>
      <c r="BO370" s="93"/>
      <c r="BP370" s="93">
        <f>ППД5[[#This Row],[Фикс 13.03.25]]+ППД5[[#This Row],[Наценка 20.03.24
2К, 3К - 2%]]</f>
        <v>129035.40264963906</v>
      </c>
      <c r="BQ370" s="93"/>
      <c r="BR370" s="93">
        <f>ППД5[[#This Row],[Фикс 20.03.24]]+ППД5[[#This Row],[Наценка 08.04.24 
2К: В3 - 150
3К: Г7 +1000]]</f>
        <v>129035.40264963906</v>
      </c>
      <c r="BS370" s="93"/>
      <c r="BT370" s="93">
        <f>ППД5[[#This Row],[Фикс 08.04.24]]+ППД5[[#This Row],[Наценка 16.05.24 1%
А4,А6,Б3,Б6,Б7,В2,В3,В5,В6,Г1,Г3-Г5]]</f>
        <v>129035.40264963906</v>
      </c>
      <c r="BU370" s="93"/>
      <c r="BV370" s="93">
        <f>ППД5[[#This Row],[Фикс 16.05.24]]+ППД5[[#This Row],[Наценка 24.05.24
1% - Б4, Б5,Г2,Г6
2% - А1,А3,А5,Б2,Г7]]</f>
        <v>129035.40264963906</v>
      </c>
      <c r="BW370" s="93"/>
      <c r="BX370" s="93">
        <f>ППД5[[#This Row],[Наценка 06.06.24
0К: В2,Г3 +0,5%
1К: А7, Б5/4, Г6 +0,5%
3К: В6 +0,5%
1К: А3 +1%]]+ППД5[[#This Row],[Фикс 24.05.24]]</f>
        <v>129035.40264963906</v>
      </c>
      <c r="BY370" s="93"/>
      <c r="BZ370" s="93">
        <f>ППД5[[#This Row],[Фикс 06.06.24]]+ППД5[[#This Row],[13.06.2024
3К - 2%]]</f>
        <v>129035.40264963906</v>
      </c>
      <c r="CA370" s="93">
        <f>0.5%*ППД5[[#This Row],[Фикс 13.06.24]]</f>
        <v>645.17701324819529</v>
      </c>
      <c r="CB370" s="93">
        <f>ППД5[[#This Row],[02.07.2024: Г3 А1 А3 Б5 Б7 Г2 Г6 Б3 Б4 В3 Г7 2,5% ост 0,5-1,5%]]+ППД5[[#This Row],[Фикс 13.06.24]]</f>
        <v>129680.57966288725</v>
      </c>
      <c r="CC370" s="93"/>
      <c r="CD370" s="93">
        <f>ППД5[[#This Row],[Фикс 02.07.24]]+ППД5[[#This Row],[04.09.2024 +500
0К - Б2; 1К - А3;
2К - А6, Б4, В3, Г5]]</f>
        <v>129680.57966288725</v>
      </c>
      <c r="CE370" s="93">
        <f>ППД5[[#This Row],[Фикс 04.09.24]]*2%</f>
        <v>2593.611593257745</v>
      </c>
      <c r="CF370" s="93">
        <f>ППД5[[#This Row],[Наценка 16.09.2024
1К: А1,В7,Г6/7,Г8 - 2%
2К: А4,А5,А6,Б1,Б6,Б3/4,В3,В4,Г4,Г5 - 4%
3К: 4%]]+ППД5[[#This Row],[Фикс 04.09.24]]</f>
        <v>132274.19125614499</v>
      </c>
      <c r="CG370" s="93">
        <f>ППД5[[#This Row],[Фикс 16.09.2024]]*5%</f>
        <v>6613.7095628072493</v>
      </c>
      <c r="CH370" s="93">
        <f>ППД5[[#This Row],[Фикс 16.09.2024]]+ППД5[[#This Row],[Наценка 01.11.24
СТ: 4%
1К: 34-40м 5%; 40м+ 8%; МГН 1%
2К: 55-70м 6%; 70-73м 7%; 73-76м 8% 
3К: 5%]]</f>
        <v>138887.90081895224</v>
      </c>
      <c r="CI370" s="93">
        <f>ППД5[[#This Row],[Фикс 01.11.24]]*13%</f>
        <v>18055.427106463791</v>
      </c>
      <c r="CJ370" s="93">
        <f>ППД5[[#This Row],[Наценка 06.11 13%]]+ППД5[[#This Row],[Фикс 01.11.24]]</f>
        <v>156943.32792541603</v>
      </c>
      <c r="CK370" s="93">
        <v>35</v>
      </c>
      <c r="CL370" s="93">
        <f>ППД5[[#This Row],[Фикс 06.11.24]]+ППД5[[#This Row],[Наценка 18.12.24 распределение КВ]]</f>
        <v>156978.32792541603</v>
      </c>
      <c r="CM370" s="93"/>
      <c r="CN370" s="93">
        <f>ППД5[[#This Row],[Фикс 18.12.24]]+ППД5[[#This Row],[Наценка 10.02.25 +1%
1К: А3
2К: Б3, В3]]</f>
        <v>156978.32792541603</v>
      </c>
      <c r="CO370" s="93">
        <f>ROUND(ППД5[[#This Row],[Фикс 10.02.25]],2)</f>
        <v>156978.32999999999</v>
      </c>
      <c r="CP37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5464500</v>
      </c>
      <c r="CQ370" s="93">
        <f>ROUNDUP(ППД5[[#This Row],[Стоимость до скидки]]+ППД5[[#This Row],[Сумма доплаты]],-2)</f>
        <v>5439400</v>
      </c>
      <c r="CR370" s="68"/>
      <c r="CS370" s="90"/>
      <c r="CT370" s="68">
        <f>ППД5[[#This Row],[Стоимость до скидки]]*ППД5[[#This Row],[Скидка %]]+ППД5[[#This Row],[Скидка фиксированная]]</f>
        <v>0</v>
      </c>
      <c r="CU370" s="3">
        <f>ППД5[[#This Row],[Стоимость ОН без отделки со скидкой]]/ППД5[[#This Row],[Расчетная проектная площадь]]</f>
        <v>156980.75265728237</v>
      </c>
      <c r="CV370" s="3">
        <f>ROUND(ППД5[[#This Row],[Стоимость до скидки]]-ППД5[[#This Row],[Итоговая сумма скидки]],2)</f>
        <v>5464500</v>
      </c>
      <c r="CW37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370" s="218">
        <v>10000</v>
      </c>
      <c r="CY370" s="332">
        <f>ППД5[[#This Row],[Расхождение]]/ППД5[[#This Row],[Расчетная проектная площадь]]</f>
        <v>-4.5963803504741078E-3</v>
      </c>
      <c r="CZ370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4.9999999999998934E-2</v>
      </c>
      <c r="DA370" s="3">
        <f>ППД5[[#This Row],[Цена м2 без отделки со скидкой]]+ППД5[[#This Row],[Стоимость отделки]]</f>
        <v>166980.75265728237</v>
      </c>
      <c r="DB370" s="3">
        <f>ППД5[[#This Row],[Стоимость квартиры с отделкой]]-ППД5[[#This Row],[Стоимость ОН без отделки со скидкой]]</f>
        <v>348100</v>
      </c>
      <c r="DC370" s="3">
        <f>ППД5[[#This Row],[Цена м2 с отделкой]]*ППД5[[#This Row],[Расчетная проектная площадь]]</f>
        <v>5812600</v>
      </c>
      <c r="DD370" s="3" t="s">
        <v>154</v>
      </c>
      <c r="DF370" s="155" t="s">
        <v>157</v>
      </c>
      <c r="DG370" s="221" t="s">
        <v>157</v>
      </c>
      <c r="DH370" s="100" t="b">
        <f>EXACT(ППД5[[#This Row],[Статусы CRM]],ППД5[[#This Row],[Статус]])</f>
        <v>1</v>
      </c>
      <c r="DI370" s="213" t="s">
        <v>542</v>
      </c>
      <c r="DJ370" s="204"/>
      <c r="DK370" s="111" t="s">
        <v>763</v>
      </c>
      <c r="DL370" s="216" t="s">
        <v>780</v>
      </c>
      <c r="DM370" s="201" t="b">
        <f>ППД5[[#This Row],[Отделка CRM]]=ППД5[[#This Row],[Отделка]]</f>
        <v>1</v>
      </c>
      <c r="DN370" s="203">
        <v>5812600</v>
      </c>
      <c r="DO37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70" s="207" t="b">
        <f>IF(AND(ППД5[[#This Row],[Статус]]="свободно",ППД5[[#This Row],[Итоговая сумма скидки]]&lt;&gt;0),FALSE,TRUE)</f>
        <v>1</v>
      </c>
      <c r="DQ370" s="240" t="str">
        <f>_xlfn.XLOOKUP(ППД5[[#This Row],[№]],Юрист[№ кв],Юрист[Дата подачи на регистрацию]," ",0,-1)</f>
        <v xml:space="preserve"> </v>
      </c>
      <c r="DR370" s="115" t="str">
        <f>_xlfn.XLOOKUP(ППД5[[#This Row],[№]],Юрист[№ кв],Юрист[МОП],"",0,-1)</f>
        <v/>
      </c>
      <c r="DS370" s="333" t="s">
        <v>3032</v>
      </c>
      <c r="DT370" s="333" t="s">
        <v>3033</v>
      </c>
      <c r="DU370" s="333">
        <v>33.299999999999997</v>
      </c>
      <c r="DV370" s="111"/>
    </row>
    <row r="371" spans="1:126" hidden="1" x14ac:dyDescent="0.25">
      <c r="A371" s="112">
        <v>369</v>
      </c>
      <c r="B371" s="111" t="s">
        <v>3</v>
      </c>
      <c r="C371" s="111">
        <v>22</v>
      </c>
      <c r="D371" s="338">
        <v>1</v>
      </c>
      <c r="E371" s="111">
        <v>2</v>
      </c>
      <c r="F371" s="105">
        <v>17.63</v>
      </c>
      <c r="G371" s="105">
        <v>13.69</v>
      </c>
      <c r="H371" s="105"/>
      <c r="I371" s="94">
        <f>SUM(ППД5[[#This Row],[Комната 1]:[Комната 3]])</f>
        <v>31.32</v>
      </c>
      <c r="J371" s="105">
        <v>20.05</v>
      </c>
      <c r="K371" s="105">
        <v>3.54</v>
      </c>
      <c r="L371" s="105">
        <v>2.93</v>
      </c>
      <c r="M371" s="105"/>
      <c r="N371" s="105">
        <v>12.19</v>
      </c>
      <c r="O371" s="105">
        <v>4.6500000000000004</v>
      </c>
      <c r="P371" s="105">
        <v>2.68</v>
      </c>
      <c r="Q371" s="105"/>
      <c r="R371" s="105">
        <f>SUM(ППД5[[#This Row],[Лоджия 1]:[Лоджия 3]])</f>
        <v>7.33</v>
      </c>
      <c r="S371" s="8">
        <f>ROUND(SUM(ППД5[[#This Row],[Площадь по проекту жилая]:[Лоджия 3]]),2)</f>
        <v>77.36</v>
      </c>
      <c r="T371" s="8">
        <f>ROUND(ППД5[[#This Row],[Площадь по проекту(общая)]]-ППД5[[#This Row],[Летние]],2)</f>
        <v>70.03</v>
      </c>
      <c r="U371" s="91">
        <f>ROUND(ППД5[[#This Row],[Площадь по проекту(общая)]]-(SUM(ППД5[[#This Row],[Лоджия 1]:[Лоджия 3]])/2),2)</f>
        <v>73.7</v>
      </c>
      <c r="V371" s="91">
        <f>IF(ППД5[[#This Row],[Статус]]="продажа",ППД5[[#This Row],[Расчетная проектная площадь]],ППД5[[#This Row],[Расчетная ТП площадь]])</f>
        <v>73.249999999999986</v>
      </c>
      <c r="W371" s="91">
        <v>17.600000000000001</v>
      </c>
      <c r="X371" s="91">
        <v>13.6</v>
      </c>
      <c r="Y371" s="91"/>
      <c r="Z371" s="91">
        <f>SUM(ППД5[[#This Row],[ТП Комната 1]:[ТП Комната 3]])</f>
        <v>31.200000000000003</v>
      </c>
      <c r="AA371" s="91">
        <v>20</v>
      </c>
      <c r="AB371" s="91">
        <v>3.5</v>
      </c>
      <c r="AC371" s="91">
        <v>2.9</v>
      </c>
      <c r="AD371" s="91"/>
      <c r="AE371" s="91">
        <v>12</v>
      </c>
      <c r="AF371" s="91">
        <v>1.35</v>
      </c>
      <c r="AG371" s="91">
        <v>2.2999999999999998</v>
      </c>
      <c r="AH371" s="91"/>
      <c r="AI371" s="91">
        <f>SUM(ППД5[[#This Row],[ТП Лоджия 1]:[ТП Лоджия 3]])</f>
        <v>3.65</v>
      </c>
      <c r="AJ371" s="95">
        <v>7.3</v>
      </c>
      <c r="AK371" s="91">
        <f>SUM(ППД5[[#This Row],[Площадь по ТП жилая]:[ТП Лоджия 3]])-ППД5[[#This Row],[ТП Летние]]+ППД5[[#This Row],[кроме того прочая
(без коэффициента)]]</f>
        <v>76.899999999999977</v>
      </c>
      <c r="AL371" s="95">
        <f>ППД5[[#This Row],[ТП Площадь без летних]]+(ППД5[[#This Row],[ТП Летние]])</f>
        <v>73.249999999999986</v>
      </c>
      <c r="AM371" s="91">
        <f>ППД5[[#This Row],[ТП общая S]]-ППД5[[#This Row],[кроме того прочая
(без коэффициента)]]</f>
        <v>69.59999999999998</v>
      </c>
      <c r="AN371" s="95">
        <f>SUM(ППД5[[#This Row],[ТП Кухня]:[ТП Коридор]])</f>
        <v>38.4</v>
      </c>
      <c r="AO371" s="91">
        <f>ППД5[[#This Row],[Расчетная ТП площадь]]-ППД5[[#This Row],[Расчетная проектная площадь]]</f>
        <v>-0.45000000000001705</v>
      </c>
      <c r="AP371" s="335">
        <f>ППД5[[#This Row],[Расчетная ТП площадь]]/ППД5[[#This Row],[Расчетная проектная площадь]]-1</f>
        <v>-6.105834464043669E-3</v>
      </c>
      <c r="AQ371" s="91">
        <f>ППД5[[#This Row],[% расхождения]]*ППД5[[#This Row],[Стоимость до скидки]]</f>
        <v>-56974.762550884283</v>
      </c>
      <c r="AR371" s="91">
        <f>VLOOKUP(ППД5[[#This Row],[№]],наценкад5[],COLUMN(наценкад5[[#This Row],[Цена м2 с учетом всех K]]),0)</f>
        <v>86485.392000000007</v>
      </c>
      <c r="AS371" s="8">
        <f>ППД5[[#This Row],[м2 после К]]*5%</f>
        <v>4324.2696000000005</v>
      </c>
      <c r="AT371" s="8">
        <f>ППД5[[#This Row],[м2 после К]]+ППД5[[#This Row],[Повышение 16.08.23 - 5%]]</f>
        <v>90809.661600000007</v>
      </c>
      <c r="AU371" s="93">
        <f>ППД5[[#This Row],[Фикс 16.08.23]]*3%</f>
        <v>2724.2898479999999</v>
      </c>
      <c r="AV371" s="93">
        <f>ППД5[[#This Row],[Фикс 16.08.23]]+ППД5[[#This Row],[Повышение 29.08.23 - 3%]]</f>
        <v>93533.951448000007</v>
      </c>
      <c r="AW371" s="93"/>
      <c r="AX371" s="93">
        <f>ППД5[[#This Row],[Фикс 29.08.23]]+ППД5[[#This Row],[Повышение 06.09.23 СТ и 1К]]</f>
        <v>93533.951448000007</v>
      </c>
      <c r="AY371" s="93"/>
      <c r="AZ371" s="93">
        <f>ППД5[[#This Row],[Повышение 23.10.23  В4 ]]+ППД5[[#This Row],[Фикс 06.09.23]]</f>
        <v>93533.951448000007</v>
      </c>
      <c r="BA371" s="93"/>
      <c r="BB371" s="93">
        <f>ППД5[[#This Row],[Повышение 8.11.23 1К 5%]]+ППД5[[#This Row],[Фикс 23.10.23]]</f>
        <v>93533.951448000007</v>
      </c>
      <c r="BC371" s="93"/>
      <c r="BD371" s="93">
        <f>ППД5[[#This Row],[Корректировка 24.11.23 - 1К В5, 2К А2, №233]]+ППД5[[#This Row],[Фикс 8.11.23]]</f>
        <v>93533.951448000007</v>
      </c>
      <c r="BE371" s="93">
        <f>ППД5[[#This Row],[Фикс 8.11.24]]*1%</f>
        <v>935.33951448000005</v>
      </c>
      <c r="BF371" s="93">
        <f>ППД5[[#This Row],[Наценка за отделку 29.12.23 1%]]+ППД5[[#This Row],[Фикс 8.11.24]]</f>
        <v>94469.290962480009</v>
      </c>
      <c r="BG371" s="93">
        <f>ППД5[[#This Row],[Фикс 29.12.23]]*5%</f>
        <v>4723.4645481240004</v>
      </c>
      <c r="BH371" s="93">
        <f>ППД5[[#This Row],[Фикс 29.12.23]]+ППД5[[#This Row],[Наценка 10.01.24 5%]]</f>
        <v>99192.755510604009</v>
      </c>
      <c r="BI371" s="93"/>
      <c r="BJ371" s="93">
        <f>ППД5[[#This Row],[Наценка 26.02.24 1 Этаж]]+ППД5[[#This Row],[Фикс 10.01.24]]</f>
        <v>99192.755510604009</v>
      </c>
      <c r="BK371" s="93">
        <f>ППД5[[#This Row],[Фикс 26.02.24]]*2%</f>
        <v>1983.8551102120803</v>
      </c>
      <c r="BL371" s="93">
        <f>ППД5[[#This Row],[Фикс 26.02.24]]+ППД5[[#This Row],[Наценка 06.03.24
СТ, 1К - 3%
2К, 3К - 2%]]</f>
        <v>101176.61062081609</v>
      </c>
      <c r="BM371" s="93"/>
      <c r="BN371" s="93">
        <f>ППД5[[#This Row],[Фикс 06.03.24]]+ППД5[[#This Row],[Наценка Г2+500]]</f>
        <v>101176.61062081609</v>
      </c>
      <c r="BO371" s="93">
        <f>ППД5[[#This Row],[Фикс 13.03.25]]*2%</f>
        <v>2023.532212416322</v>
      </c>
      <c r="BP371" s="93">
        <f>ППД5[[#This Row],[Фикс 13.03.25]]+ППД5[[#This Row],[Наценка 20.03.24
2К, 3К - 2%]]</f>
        <v>103200.14283323241</v>
      </c>
      <c r="BQ371" s="93"/>
      <c r="BR371" s="93">
        <f>ППД5[[#This Row],[Фикс 20.03.24]]+ППД5[[#This Row],[Наценка 08.04.24 
2К: В3 - 150
3К: Г7 +1000]]</f>
        <v>103200.14283323241</v>
      </c>
      <c r="BS371" s="93"/>
      <c r="BT371" s="93">
        <f>ППД5[[#This Row],[Фикс 08.04.24]]+ППД5[[#This Row],[Наценка 16.05.24 1%
А4,А6,Б3,Б6,Б7,В2,В3,В5,В6,Г1,Г3-Г5]]</f>
        <v>103200.14283323241</v>
      </c>
      <c r="BU371" s="93"/>
      <c r="BV371" s="93">
        <f>ППД5[[#This Row],[Фикс 16.05.24]]+ППД5[[#This Row],[Наценка 24.05.24
1% - Б4, Б5,Г2,Г6
2% - А1,А3,А5,Б2,Г7]]</f>
        <v>103200.14283323241</v>
      </c>
      <c r="BW371" s="93"/>
      <c r="BX371" s="93">
        <f>ППД5[[#This Row],[Наценка 06.06.24
0К: В2,Г3 +0,5%
1К: А7, Б5/4, Г6 +0,5%
3К: В6 +0,5%
1К: А3 +1%]]+ППД5[[#This Row],[Фикс 24.05.24]]</f>
        <v>103200.14283323241</v>
      </c>
      <c r="BY371" s="93"/>
      <c r="BZ371" s="93">
        <f>ППД5[[#This Row],[Фикс 06.06.24]]+ППД5[[#This Row],[13.06.2024
3К - 2%]]</f>
        <v>103200.14283323241</v>
      </c>
      <c r="CA371" s="93">
        <f>0.5%*ППД5[[#This Row],[Фикс 13.06.24]]</f>
        <v>516.00071416616208</v>
      </c>
      <c r="CB371" s="93">
        <f>ППД5[[#This Row],[02.07.2024: Г3 А1 А3 Б5 Б7 Г2 Г6 Б3 Б4 В3 Г7 2,5% ост 0,5-1,5%]]+ППД5[[#This Row],[Фикс 13.06.24]]</f>
        <v>103716.14354739858</v>
      </c>
      <c r="CC371" s="93"/>
      <c r="CD371" s="93">
        <f>ППД5[[#This Row],[Фикс 02.07.24]]+ППД5[[#This Row],[04.09.2024 +500
0К - Б2; 1К - А3;
2К - А6, Б4, В3, Г5]]</f>
        <v>103716.14354739858</v>
      </c>
      <c r="CE371" s="93"/>
      <c r="CF371" s="93">
        <f>ППД5[[#This Row],[Наценка 16.09.2024
1К: А1,В7,Г6/7,Г8 - 2%
2К: А4,А5,А6,Б1,Б6,Б3/4,В3,В4,Г4,Г5 - 4%
3К: 4%]]+ППД5[[#This Row],[Фикс 04.09.24]]</f>
        <v>103716.14354739858</v>
      </c>
      <c r="CG371" s="93">
        <f>ППД5[[#This Row],[Фикс 16.09.2024]]*8%</f>
        <v>8297.291483791887</v>
      </c>
      <c r="CH371" s="93">
        <f>ППД5[[#This Row],[Фикс 16.09.2024]]+ППД5[[#This Row],[Наценка 01.11.24
СТ: 4%
1К: 34-40м 5%; 40м+ 8%; МГН 1%
2К: 55-70м 6%; 70-73м 7%; 73-76м 8% 
3К: 5%]]</f>
        <v>112013.43503119046</v>
      </c>
      <c r="CI371" s="93">
        <f>ППД5[[#This Row],[Фикс 01.11.24]]*13%</f>
        <v>14561.74655405476</v>
      </c>
      <c r="CJ371" s="93">
        <f>ППД5[[#This Row],[Наценка 06.11 13%]]+ППД5[[#This Row],[Фикс 01.11.24]]</f>
        <v>126575.18158524521</v>
      </c>
      <c r="CK371" s="93">
        <v>35</v>
      </c>
      <c r="CL371" s="93">
        <f>ППД5[[#This Row],[Фикс 06.11.24]]+ППД5[[#This Row],[Наценка 18.12.24 распределение КВ]]</f>
        <v>126610.18158524521</v>
      </c>
      <c r="CM371" s="93"/>
      <c r="CN371" s="93">
        <f>ППД5[[#This Row],[Фикс 18.12.24]]+ППД5[[#This Row],[Наценка 10.02.25 +1%
1К: А3
2К: Б3, В3]]</f>
        <v>126610.18158524521</v>
      </c>
      <c r="CO371" s="93">
        <f>ROUND(ППД5[[#This Row],[Фикс 10.02.25]],2)</f>
        <v>126610.18</v>
      </c>
      <c r="CP37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9331200</v>
      </c>
      <c r="CQ371" s="93">
        <f>ROUNDUP(ППД5[[#This Row],[Стоимость до скидки]]+ППД5[[#This Row],[Сумма доплаты]],-2)</f>
        <v>9274300</v>
      </c>
      <c r="CR371" s="68"/>
      <c r="CS371" s="90"/>
      <c r="CT371" s="68">
        <f>ППД5[[#This Row],[Стоимость до скидки]]*ППД5[[#This Row],[Скидка %]]+ППД5[[#This Row],[Скидка фиксированная]]</f>
        <v>0</v>
      </c>
      <c r="CU371" s="3">
        <f>ППД5[[#This Row],[Стоимость ОН без отделки со скидкой]]/ППД5[[#This Row],[Расчетная проектная площадь]]</f>
        <v>126610.58344640434</v>
      </c>
      <c r="CV371" s="3">
        <f>ROUND(ППД5[[#This Row],[Стоимость до скидки]]-ППД5[[#This Row],[Итоговая сумма скидки]],2)</f>
        <v>9331200</v>
      </c>
      <c r="CW37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71" s="197"/>
      <c r="CY371" s="332">
        <f>ППД5[[#This Row],[Расхождение]]/ППД5[[#This Row],[Расчетная проектная площадь]]</f>
        <v>-6.1058344640436508E-3</v>
      </c>
      <c r="CZ37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-0.30999999999999872</v>
      </c>
      <c r="DA371" s="3">
        <f>ППД5[[#This Row],[Цена м2 без отделки со скидкой]]+ППД5[[#This Row],[Стоимость отделки]]</f>
        <v>126610.58344640434</v>
      </c>
      <c r="DB371" s="3">
        <f>ППД5[[#This Row],[Стоимость квартиры с отделкой]]-ППД5[[#This Row],[Стоимость ОН без отделки со скидкой]]</f>
        <v>0</v>
      </c>
      <c r="DC371" s="3">
        <f>ППД5[[#This Row],[Цена м2 с отделкой]]*ППД5[[#This Row],[Расчетная проектная площадь]]</f>
        <v>9331200</v>
      </c>
      <c r="DD371" s="3" t="s">
        <v>158</v>
      </c>
      <c r="DF371" s="155" t="s">
        <v>157</v>
      </c>
      <c r="DG371" s="221" t="s">
        <v>157</v>
      </c>
      <c r="DH371" s="100" t="b">
        <f>EXACT(ППД5[[#This Row],[Статусы CRM]],ППД5[[#This Row],[Статус]])</f>
        <v>1</v>
      </c>
      <c r="DI371" s="213" t="s">
        <v>543</v>
      </c>
      <c r="DJ371" s="204"/>
      <c r="DK371" s="111" t="s">
        <v>763</v>
      </c>
      <c r="DL371" s="216" t="s">
        <v>12</v>
      </c>
      <c r="DM371" s="201" t="b">
        <f>ППД5[[#This Row],[Отделка CRM]]=ППД5[[#This Row],[Отделка]]</f>
        <v>1</v>
      </c>
      <c r="DN371" s="203">
        <v>9331200</v>
      </c>
      <c r="DO37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71" s="207" t="b">
        <f>IF(AND(ППД5[[#This Row],[Статус]]="свободно",ППД5[[#This Row],[Итоговая сумма скидки]]&lt;&gt;0),FALSE,TRUE)</f>
        <v>1</v>
      </c>
      <c r="DQ371" s="240" t="str">
        <f>_xlfn.XLOOKUP(ППД5[[#This Row],[№]],Юрист[№ кв],Юрист[Дата подачи на регистрацию]," ",0,-1)</f>
        <v xml:space="preserve"> </v>
      </c>
      <c r="DR371" s="115" t="str">
        <f>_xlfn.XLOOKUP(ППД5[[#This Row],[№]],Юрист[№ кв],Юрист[МОП],"",0,-1)</f>
        <v/>
      </c>
      <c r="DS371" s="333" t="s">
        <v>3034</v>
      </c>
      <c r="DT371" s="333" t="s">
        <v>3035</v>
      </c>
      <c r="DU371" s="333">
        <v>69.599999999999994</v>
      </c>
      <c r="DV371" s="111"/>
    </row>
    <row r="372" spans="1:126" hidden="1" x14ac:dyDescent="0.25">
      <c r="A372" s="112">
        <v>370</v>
      </c>
      <c r="B372" s="111" t="s">
        <v>3</v>
      </c>
      <c r="C372" s="111">
        <v>22</v>
      </c>
      <c r="D372" s="111">
        <v>2</v>
      </c>
      <c r="E372" s="111">
        <v>0</v>
      </c>
      <c r="F372" s="105">
        <v>7.18</v>
      </c>
      <c r="G372" s="105"/>
      <c r="H372" s="105"/>
      <c r="I372" s="94">
        <f>SUM(ППД5[[#This Row],[Комната 1]:[Комната 3]])</f>
        <v>7.18</v>
      </c>
      <c r="J372" s="105">
        <v>5.17</v>
      </c>
      <c r="K372" s="105">
        <v>3.72</v>
      </c>
      <c r="L372" s="105"/>
      <c r="M372" s="105"/>
      <c r="N372" s="105">
        <v>6.97</v>
      </c>
      <c r="O372" s="105">
        <v>2.97</v>
      </c>
      <c r="P372" s="105"/>
      <c r="Q372" s="105"/>
      <c r="R372" s="105">
        <f>SUM(ППД5[[#This Row],[Лоджия 1]:[Лоджия 3]])</f>
        <v>2.97</v>
      </c>
      <c r="S372" s="8">
        <f>ROUND(SUM(ППД5[[#This Row],[Площадь по проекту жилая]:[Лоджия 3]]),2)</f>
        <v>26.01</v>
      </c>
      <c r="T372" s="8">
        <f>ROUND(ППД5[[#This Row],[Площадь по проекту(общая)]]-ППД5[[#This Row],[Летние]],2)</f>
        <v>23.04</v>
      </c>
      <c r="U372" s="91">
        <f>ROUND(ППД5[[#This Row],[Площадь по проекту(общая)]]-(SUM(ППД5[[#This Row],[Лоджия 1]:[Лоджия 3]])/2),2)</f>
        <v>24.53</v>
      </c>
      <c r="V372" s="91">
        <f>IF(ППД5[[#This Row],[Статус]]="продажа",ППД5[[#This Row],[Расчетная проектная площадь]],ППД5[[#This Row],[Расчетная ТП площадь]])</f>
        <v>24.53</v>
      </c>
      <c r="W372" s="91">
        <v>7.2</v>
      </c>
      <c r="X372" s="91"/>
      <c r="Y372" s="91"/>
      <c r="Z372" s="91">
        <f>SUM(ППД5[[#This Row],[ТП Комната 1]:[ТП Комната 3]])</f>
        <v>7.2</v>
      </c>
      <c r="AA372" s="91">
        <v>5</v>
      </c>
      <c r="AB372" s="91">
        <v>3.7</v>
      </c>
      <c r="AC372" s="91"/>
      <c r="AD372" s="91"/>
      <c r="AE372" s="91">
        <v>7</v>
      </c>
      <c r="AF372" s="91">
        <v>1.45</v>
      </c>
      <c r="AG372" s="91"/>
      <c r="AH372" s="91"/>
      <c r="AI372" s="91">
        <f>SUM(ППД5[[#This Row],[ТП Лоджия 1]:[ТП Лоджия 3]])</f>
        <v>1.45</v>
      </c>
      <c r="AJ372" s="95">
        <v>2.9</v>
      </c>
      <c r="AK372" s="91">
        <f>SUM(ППД5[[#This Row],[Площадь по ТП жилая]:[ТП Лоджия 3]])-ППД5[[#This Row],[ТП Летние]]+ППД5[[#This Row],[кроме того прочая
(без коэффициента)]]</f>
        <v>25.799999999999997</v>
      </c>
      <c r="AL372" s="95">
        <f>ППД5[[#This Row],[ТП Площадь без летних]]+(ППД5[[#This Row],[ТП Летние]])</f>
        <v>24.349999999999998</v>
      </c>
      <c r="AM372" s="91">
        <f>ППД5[[#This Row],[ТП общая S]]-ППД5[[#This Row],[кроме того прочая
(без коэффициента)]]</f>
        <v>22.9</v>
      </c>
      <c r="AN372" s="95">
        <f>SUM(ППД5[[#This Row],[ТП Кухня]:[ТП Коридор]])</f>
        <v>15.7</v>
      </c>
      <c r="AO372" s="91">
        <f>ППД5[[#This Row],[Расчетная ТП площадь]]-ППД5[[#This Row],[Расчетная проектная площадь]]</f>
        <v>-0.18000000000000327</v>
      </c>
      <c r="AP372" s="335">
        <f>ППД5[[#This Row],[Расчетная ТП площадь]]/ППД5[[#This Row],[Расчетная проектная площадь]]-1</f>
        <v>-7.3379535262945161E-3</v>
      </c>
      <c r="AQ372" s="91">
        <f>ППД5[[#This Row],[% расхождения]]*ППД5[[#This Row],[Стоимость до скидки]]</f>
        <v>-24970.32205462761</v>
      </c>
      <c r="AR372" s="91">
        <f>VLOOKUP(ППД5[[#This Row],[№]],наценкад5[],COLUMN(наценкад5[[#This Row],[Цена м2 с учетом всех K]]),0)</f>
        <v>99865.71</v>
      </c>
      <c r="AS372" s="8">
        <f>ППД5[[#This Row],[м2 после К]]*5%</f>
        <v>4993.2855000000009</v>
      </c>
      <c r="AT372" s="8">
        <f>ППД5[[#This Row],[м2 после К]]+ППД5[[#This Row],[Повышение 16.08.23 - 5%]]</f>
        <v>104858.9955</v>
      </c>
      <c r="AU372" s="93">
        <f>ППД5[[#This Row],[Фикс 16.08.23]]*3%</f>
        <v>3145.7698650000002</v>
      </c>
      <c r="AV372" s="93">
        <f>ППД5[[#This Row],[Фикс 16.08.23]]+ППД5[[#This Row],[Повышение 29.08.23 - 3%]]</f>
        <v>108004.765365</v>
      </c>
      <c r="AW372" s="93">
        <f>ППД5[[#This Row],[Фикс 29.08.23]]*13%</f>
        <v>14040.619497450001</v>
      </c>
      <c r="AX372" s="93">
        <f>ППД5[[#This Row],[Фикс 29.08.23]]+ППД5[[#This Row],[Повышение 06.09.23 СТ и 1К]]</f>
        <v>122045.38486245</v>
      </c>
      <c r="AY372" s="93">
        <f>ППД5[[#This Row],[Фикс 06.09.23]]*1%</f>
        <v>1220.4538486244999</v>
      </c>
      <c r="AZ372" s="93">
        <f>ППД5[[#This Row],[Повышение 23.10.23  В4 ]]+ППД5[[#This Row],[Фикс 06.09.23]]</f>
        <v>123265.8387110745</v>
      </c>
      <c r="BA372" s="93"/>
      <c r="BB372" s="93">
        <f>ППД5[[#This Row],[Повышение 8.11.23 1К 5%]]+ППД5[[#This Row],[Фикс 23.10.23]]</f>
        <v>123265.8387110745</v>
      </c>
      <c r="BC372" s="93"/>
      <c r="BD372" s="93">
        <f>ППД5[[#This Row],[Корректировка 24.11.23 - 1К В5, 2К А2, №233]]+ППД5[[#This Row],[Фикс 8.11.23]]</f>
        <v>123265.8387110745</v>
      </c>
      <c r="BE372" s="93">
        <f>ППД5[[#This Row],[Фикс 8.11.24]]*1%</f>
        <v>1232.658387110745</v>
      </c>
      <c r="BF372" s="93">
        <f>ППД5[[#This Row],[Наценка за отделку 29.12.23 1%]]+ППД5[[#This Row],[Фикс 8.11.24]]</f>
        <v>124498.49709818524</v>
      </c>
      <c r="BG372" s="93">
        <f>ППД5[[#This Row],[Фикс 29.12.23]]*5%</f>
        <v>6224.9248549092626</v>
      </c>
      <c r="BH372" s="93">
        <f>ППД5[[#This Row],[Фикс 29.12.23]]+ППД5[[#This Row],[Наценка 10.01.24 5%]]</f>
        <v>130723.4219530945</v>
      </c>
      <c r="BI372" s="93"/>
      <c r="BJ372" s="93">
        <f>ППД5[[#This Row],[Наценка 26.02.24 1 Этаж]]+ППД5[[#This Row],[Фикс 10.01.24]]</f>
        <v>130723.4219530945</v>
      </c>
      <c r="BK372" s="93">
        <f>ППД5[[#This Row],[Фикс 26.02.24]]*3%</f>
        <v>3921.7026585928347</v>
      </c>
      <c r="BL372" s="93">
        <f>ППД5[[#This Row],[Фикс 26.02.24]]+ППД5[[#This Row],[Наценка 06.03.24
СТ, 1К - 3%
2К, 3К - 2%]]</f>
        <v>134645.12461168732</v>
      </c>
      <c r="BM372" s="93"/>
      <c r="BN372" s="93">
        <f>ППД5[[#This Row],[Фикс 06.03.24]]+ППД5[[#This Row],[Наценка Г2+500]]</f>
        <v>134645.12461168732</v>
      </c>
      <c r="BO372" s="93"/>
      <c r="BP372" s="93">
        <f>ППД5[[#This Row],[Фикс 13.03.25]]+ППД5[[#This Row],[Наценка 20.03.24
2К, 3К - 2%]]</f>
        <v>134645.12461168732</v>
      </c>
      <c r="BQ372" s="93"/>
      <c r="BR372" s="93">
        <f>ППД5[[#This Row],[Фикс 20.03.24]]+ППД5[[#This Row],[Наценка 08.04.24 
2К: В3 - 150
3К: Г7 +1000]]</f>
        <v>134645.12461168732</v>
      </c>
      <c r="BS372" s="93">
        <f>ППД5[[#This Row],[Фикс 08.04.24]]*1%</f>
        <v>1346.4512461168733</v>
      </c>
      <c r="BT372" s="93">
        <f>ППД5[[#This Row],[Фикс 08.04.24]]+ППД5[[#This Row],[Наценка 16.05.24 1%
А4,А6,Б3,Б6,Б7,В2,В3,В5,В6,Г1,Г3-Г5]]</f>
        <v>135991.57585780419</v>
      </c>
      <c r="BU372" s="93"/>
      <c r="BV372" s="93">
        <f>ППД5[[#This Row],[Фикс 16.05.24]]+ППД5[[#This Row],[Наценка 24.05.24
1% - Б4, Б5,Г2,Г6
2% - А1,А3,А5,Б2,Г7]]</f>
        <v>135991.57585780419</v>
      </c>
      <c r="BW372" s="93">
        <f>ППД5[[#This Row],[Фикс 24.05.24]]*0.5%</f>
        <v>679.95787928902098</v>
      </c>
      <c r="BX372" s="93">
        <f>ППД5[[#This Row],[Наценка 06.06.24
0К: В2,Г3 +0,5%
1К: А7, Б5/4, Г6 +0,5%
3К: В6 +0,5%
1К: А3 +1%]]+ППД5[[#This Row],[Фикс 24.05.24]]</f>
        <v>136671.53373709321</v>
      </c>
      <c r="BY372" s="93"/>
      <c r="BZ372" s="93">
        <f>ППД5[[#This Row],[Фикс 06.06.24]]+ППД5[[#This Row],[13.06.2024
3К - 2%]]</f>
        <v>136671.53373709321</v>
      </c>
      <c r="CA372" s="93">
        <f>1.5%*ППД5[[#This Row],[Фикс 13.06.24]]</f>
        <v>2050.0730060563983</v>
      </c>
      <c r="CB372" s="93">
        <f>ППД5[[#This Row],[02.07.2024: Г3 А1 А3 Б5 Б7 Г2 Г6 Б3 Б4 В3 Г7 2,5% ост 0,5-1,5%]]+ППД5[[#This Row],[Фикс 13.06.24]]</f>
        <v>138721.6067431496</v>
      </c>
      <c r="CC372" s="93"/>
      <c r="CD372" s="93">
        <f>ППД5[[#This Row],[Фикс 02.07.24]]+ППД5[[#This Row],[04.09.2024 +500
0К - Б2; 1К - А3;
2К - А6, Б4, В3, Г5]]</f>
        <v>138721.6067431496</v>
      </c>
      <c r="CE372" s="93"/>
      <c r="CF372" s="93">
        <f>ППД5[[#This Row],[Наценка 16.09.2024
1К: А1,В7,Г6/7,Г8 - 2%
2К: А4,А5,А6,Б1,Б6,Б3/4,В3,В4,Г4,Г5 - 4%
3К: 4%]]+ППД5[[#This Row],[Фикс 04.09.24]]</f>
        <v>138721.6067431496</v>
      </c>
      <c r="CG372" s="93"/>
      <c r="CH372" s="93">
        <f>ППД5[[#This Row],[Фикс 16.09.2024]]+ППД5[[#This Row],[Наценка 01.11.24
СТ: 4%
1К: 34-40м 5%; 40м+ 8%; МГН 1%
2К: 55-70м 6%; 70-73м 7%; 73-76м 8% 
3К: 5%]]</f>
        <v>138721.6067431496</v>
      </c>
      <c r="CI372" s="93"/>
      <c r="CJ372" s="93">
        <f>ППД5[[#This Row],[Наценка 06.11 13%]]+ППД5[[#This Row],[Фикс 01.11.24]]</f>
        <v>138721.6067431496</v>
      </c>
      <c r="CK372" s="93"/>
      <c r="CL372" s="93">
        <f>ППД5[[#This Row],[Фикс 06.11.24]]+ППД5[[#This Row],[Наценка 18.12.24 распределение КВ]]</f>
        <v>138721.6067431496</v>
      </c>
      <c r="CM372" s="93"/>
      <c r="CN372" s="93">
        <f>ППД5[[#This Row],[Фикс 18.12.24]]+ППД5[[#This Row],[Наценка 10.02.25 +1%
1К: А3
2К: Б3, В3]]</f>
        <v>138721.6067431496</v>
      </c>
      <c r="CO372" s="93">
        <f>ROUND(ППД5[[#This Row],[Фикс 10.02.25]],2)</f>
        <v>138721.60999999999</v>
      </c>
      <c r="CP37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3402900</v>
      </c>
      <c r="CQ372" s="93">
        <f>ROUNDUP(ППД5[[#This Row],[Стоимость до скидки]]+ППД5[[#This Row],[Сумма доплаты]],-2)</f>
        <v>3378000</v>
      </c>
      <c r="CR372" s="68"/>
      <c r="CS372" s="90">
        <v>0.03</v>
      </c>
      <c r="CT372" s="68">
        <f>ППД5[[#This Row],[Стоимость до скидки]]*ППД5[[#This Row],[Скидка %]]+ППД5[[#This Row],[Скидка фиксированная]]</f>
        <v>102087</v>
      </c>
      <c r="CU372" s="3">
        <f>ППД5[[#This Row],[Стоимость ОН без отделки со скидкой]]/ППД5[[#This Row],[Расчетная проектная площадь]]</f>
        <v>134562.29107215654</v>
      </c>
      <c r="CV372" s="3">
        <f>ROUND(ППД5[[#This Row],[Стоимость до скидки]]-ППД5[[#This Row],[Итоговая сумма скидки]],2)</f>
        <v>3300813</v>
      </c>
      <c r="CW37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372" s="197">
        <v>8000</v>
      </c>
      <c r="CY372" s="332">
        <f>ППД5[[#This Row],[Расхождение]]/ППД5[[#This Row],[Расчетная проектная площадь]]</f>
        <v>-7.3379535262944667E-3</v>
      </c>
      <c r="CZ37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-0.16000000000000014</v>
      </c>
      <c r="DA372" s="3">
        <f>ППД5[[#This Row],[Цена м2 без отделки со скидкой]]+ППД5[[#This Row],[Стоимость отделки]]</f>
        <v>142562.29107215654</v>
      </c>
      <c r="DB372" s="3">
        <f>ППД5[[#This Row],[Стоимость квартиры с отделкой]]-ППД5[[#This Row],[Стоимость ОН без отделки со скидкой]]</f>
        <v>196240</v>
      </c>
      <c r="DC372" s="3">
        <f>ППД5[[#This Row],[Цена м2 с отделкой]]*ППД5[[#This Row],[Расчетная проектная площадь]]</f>
        <v>3497053</v>
      </c>
      <c r="DD372" s="3"/>
      <c r="DE372" s="111" t="s">
        <v>767</v>
      </c>
      <c r="DF372" s="199" t="s">
        <v>172</v>
      </c>
      <c r="DG372" s="245" t="s">
        <v>172</v>
      </c>
      <c r="DH372" s="100" t="b">
        <f>EXACT(ППД5[[#This Row],[Статусы CRM]],ППД5[[#This Row],[Статус]])</f>
        <v>1</v>
      </c>
      <c r="DI372" s="213" t="s">
        <v>544</v>
      </c>
      <c r="DJ372" s="204"/>
      <c r="DK372" s="111" t="s">
        <v>763</v>
      </c>
      <c r="DL372" s="216" t="s">
        <v>780</v>
      </c>
      <c r="DM372" s="201" t="b">
        <f>ППД5[[#This Row],[Отделка CRM]]=ППД5[[#This Row],[Отделка]]</f>
        <v>1</v>
      </c>
      <c r="DN372" s="203">
        <v>3497053</v>
      </c>
      <c r="DO37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72" s="207" t="b">
        <f>IF(AND(ППД5[[#This Row],[Статус]]="свободно",ППД5[[#This Row],[Итоговая сумма скидки]]&lt;&gt;0),FALSE,TRUE)</f>
        <v>1</v>
      </c>
      <c r="DQ372" s="240">
        <f>_xlfn.XLOOKUP(ППД5[[#This Row],[№]],Юрист[№ кв],Юрист[Дата подачи на регистрацию]," ",0,-1)</f>
        <v>45594</v>
      </c>
      <c r="DR372" s="115" t="str">
        <f>_xlfn.XLOOKUP(ППД5[[#This Row],[№]],Юрист[№ кв],Юрист[МОП],"",0,-1)</f>
        <v>Никишов</v>
      </c>
      <c r="DS372" s="333" t="s">
        <v>3036</v>
      </c>
      <c r="DT372" s="333" t="s">
        <v>3037</v>
      </c>
      <c r="DU372" s="333">
        <v>22.9</v>
      </c>
      <c r="DV372" s="111"/>
    </row>
    <row r="373" spans="1:126" hidden="1" x14ac:dyDescent="0.25">
      <c r="A373" s="112">
        <v>371</v>
      </c>
      <c r="B373" s="111" t="s">
        <v>3</v>
      </c>
      <c r="C373" s="111">
        <v>22</v>
      </c>
      <c r="D373" s="111">
        <v>3</v>
      </c>
      <c r="E373" s="111">
        <v>2</v>
      </c>
      <c r="F373" s="105">
        <v>13.69</v>
      </c>
      <c r="G373" s="105">
        <v>10.16</v>
      </c>
      <c r="H373" s="105"/>
      <c r="I373" s="94">
        <f>SUM(ППД5[[#This Row],[Комната 1]:[Комната 3]])</f>
        <v>23.85</v>
      </c>
      <c r="J373" s="105">
        <v>18.71</v>
      </c>
      <c r="K373" s="105">
        <v>3.49</v>
      </c>
      <c r="L373" s="105">
        <v>2.11</v>
      </c>
      <c r="M373" s="105"/>
      <c r="N373" s="105">
        <v>7.09</v>
      </c>
      <c r="O373" s="105">
        <v>2.65</v>
      </c>
      <c r="P373" s="105"/>
      <c r="Q373" s="105"/>
      <c r="R373" s="105">
        <f>SUM(ППД5[[#This Row],[Лоджия 1]:[Лоджия 3]])</f>
        <v>2.65</v>
      </c>
      <c r="S373" s="8">
        <f>ROUND(SUM(ППД5[[#This Row],[Площадь по проекту жилая]:[Лоджия 3]]),2)</f>
        <v>57.9</v>
      </c>
      <c r="T373" s="8">
        <f>ROUND(ППД5[[#This Row],[Площадь по проекту(общая)]]-ППД5[[#This Row],[Летние]],2)</f>
        <v>55.25</v>
      </c>
      <c r="U373" s="91">
        <f>ROUND(ППД5[[#This Row],[Площадь по проекту(общая)]]-(SUM(ППД5[[#This Row],[Лоджия 1]:[Лоджия 3]])/2),2)</f>
        <v>56.58</v>
      </c>
      <c r="V373" s="91">
        <f>IF(ППД5[[#This Row],[Статус]]="продажа",ППД5[[#This Row],[Расчетная проектная площадь]],ППД5[[#This Row],[Расчетная ТП площадь]])</f>
        <v>56.58</v>
      </c>
      <c r="W373" s="91">
        <v>13.6</v>
      </c>
      <c r="X373" s="91">
        <v>9.9</v>
      </c>
      <c r="Y373" s="91"/>
      <c r="Z373" s="91">
        <f>SUM(ППД5[[#This Row],[ТП Комната 1]:[ТП Комната 3]])</f>
        <v>23.5</v>
      </c>
      <c r="AA373" s="91">
        <v>18.8</v>
      </c>
      <c r="AB373" s="91">
        <v>3.7</v>
      </c>
      <c r="AC373" s="91">
        <v>2.1</v>
      </c>
      <c r="AD373" s="91"/>
      <c r="AE373" s="91">
        <v>7.1</v>
      </c>
      <c r="AF373" s="91">
        <v>1.35</v>
      </c>
      <c r="AG373" s="91"/>
      <c r="AH373" s="91"/>
      <c r="AI373" s="91">
        <f>SUM(ППД5[[#This Row],[ТП Лоджия 1]:[ТП Лоджия 3]])</f>
        <v>1.35</v>
      </c>
      <c r="AJ373" s="95">
        <v>2.7</v>
      </c>
      <c r="AK373" s="91">
        <f>SUM(ППД5[[#This Row],[Площадь по ТП жилая]:[ТП Лоджия 3]])-ППД5[[#This Row],[ТП Летние]]+ППД5[[#This Row],[кроме того прочая
(без коэффициента)]]</f>
        <v>57.900000000000006</v>
      </c>
      <c r="AL373" s="95">
        <f>ППД5[[#This Row],[ТП Площадь без летних]]+(ППД5[[#This Row],[ТП Летние]])</f>
        <v>56.550000000000004</v>
      </c>
      <c r="AM373" s="91">
        <f>ППД5[[#This Row],[ТП общая S]]-ППД5[[#This Row],[кроме того прочая
(без коэффициента)]]</f>
        <v>55.2</v>
      </c>
      <c r="AN373" s="95">
        <f>SUM(ППД5[[#This Row],[ТП Кухня]:[ТП Коридор]])</f>
        <v>31.700000000000003</v>
      </c>
      <c r="AO373" s="91">
        <f>ППД5[[#This Row],[Расчетная ТП площадь]]-ППД5[[#This Row],[Расчетная проектная площадь]]</f>
        <v>-2.9999999999994031E-2</v>
      </c>
      <c r="AP373" s="335">
        <f>ППД5[[#This Row],[Расчетная ТП площадь]]/ППД5[[#This Row],[Расчетная проектная площадь]]-1</f>
        <v>-5.3022269353120155E-4</v>
      </c>
      <c r="AQ373" s="91">
        <f>ППД5[[#This Row],[% расхождения]]*ППД5[[#This Row],[Стоимость до скидки]]</f>
        <v>-3128.1548250260298</v>
      </c>
      <c r="AR373" s="91">
        <f>VLOOKUP(ППД5[[#This Row],[№]],наценкад5[],COLUMN(наценкад5[[#This Row],[Цена м2 с учетом всех K]]),0)</f>
        <v>87257.583000000013</v>
      </c>
      <c r="AS373" s="8">
        <f>ППД5[[#This Row],[м2 после К]]*5%</f>
        <v>4362.8791500000007</v>
      </c>
      <c r="AT373" s="8">
        <f>ППД5[[#This Row],[м2 после К]]+ППД5[[#This Row],[Повышение 16.08.23 - 5%]]</f>
        <v>91620.462150000007</v>
      </c>
      <c r="AU373" s="93">
        <f>ППД5[[#This Row],[Фикс 16.08.23]]*3%</f>
        <v>2748.6138645000001</v>
      </c>
      <c r="AV373" s="93">
        <f>ППД5[[#This Row],[Фикс 16.08.23]]+ППД5[[#This Row],[Повышение 29.08.23 - 3%]]</f>
        <v>94369.076014500009</v>
      </c>
      <c r="AW373" s="93"/>
      <c r="AX373" s="93">
        <f>ППД5[[#This Row],[Фикс 29.08.23]]+ППД5[[#This Row],[Повышение 06.09.23 СТ и 1К]]</f>
        <v>94369.076014500009</v>
      </c>
      <c r="AY373" s="93"/>
      <c r="AZ373" s="93">
        <f>ППД5[[#This Row],[Повышение 23.10.23  В4 ]]+ППД5[[#This Row],[Фикс 06.09.23]]</f>
        <v>94369.076014500009</v>
      </c>
      <c r="BA373" s="93"/>
      <c r="BB373" s="93">
        <f>ППД5[[#This Row],[Повышение 8.11.23 1К 5%]]+ППД5[[#This Row],[Фикс 23.10.23]]</f>
        <v>94369.076014500009</v>
      </c>
      <c r="BC373" s="93"/>
      <c r="BD373" s="93">
        <f>ППД5[[#This Row],[Корректировка 24.11.23 - 1К В5, 2К А2, №233]]+ППД5[[#This Row],[Фикс 8.11.23]]</f>
        <v>94369.076014500009</v>
      </c>
      <c r="BE373" s="93">
        <f>ППД5[[#This Row],[Фикс 8.11.24]]*1%</f>
        <v>943.69076014500013</v>
      </c>
      <c r="BF373" s="93">
        <f>ППД5[[#This Row],[Наценка за отделку 29.12.23 1%]]+ППД5[[#This Row],[Фикс 8.11.24]]</f>
        <v>95312.766774645002</v>
      </c>
      <c r="BG373" s="93">
        <f>ППД5[[#This Row],[Фикс 29.12.23]]*5%</f>
        <v>4765.6383387322503</v>
      </c>
      <c r="BH373" s="93">
        <f>ППД5[[#This Row],[Фикс 29.12.23]]+ППД5[[#This Row],[Наценка 10.01.24 5%]]</f>
        <v>100078.40511337726</v>
      </c>
      <c r="BI373" s="93"/>
      <c r="BJ373" s="93">
        <f>ППД5[[#This Row],[Наценка 26.02.24 1 Этаж]]+ППД5[[#This Row],[Фикс 10.01.24]]</f>
        <v>100078.40511337726</v>
      </c>
      <c r="BK373" s="93">
        <f>ППД5[[#This Row],[Фикс 26.02.24]]*2%</f>
        <v>2001.5681022675453</v>
      </c>
      <c r="BL373" s="93">
        <f>ППД5[[#This Row],[Фикс 26.02.24]]+ППД5[[#This Row],[Наценка 06.03.24
СТ, 1К - 3%
2К, 3К - 2%]]</f>
        <v>102079.9732156448</v>
      </c>
      <c r="BM373" s="93"/>
      <c r="BN373" s="93">
        <f>ППД5[[#This Row],[Фикс 06.03.24]]+ППД5[[#This Row],[Наценка Г2+500]]</f>
        <v>102079.9732156448</v>
      </c>
      <c r="BO373" s="93">
        <f>ППД5[[#This Row],[Фикс 13.03.25]]*2%</f>
        <v>2041.5994643128961</v>
      </c>
      <c r="BP373" s="93">
        <f>ППД5[[#This Row],[Фикс 13.03.25]]+ППД5[[#This Row],[Наценка 20.03.24
2К, 3К - 2%]]</f>
        <v>104121.5726799577</v>
      </c>
      <c r="BQ373" s="93">
        <v>150</v>
      </c>
      <c r="BR373" s="93">
        <f>ППД5[[#This Row],[Фикс 20.03.24]]+ППД5[[#This Row],[Наценка 08.04.24 
2К: В3 - 150
3К: Г7 +1000]]</f>
        <v>104271.5726799577</v>
      </c>
      <c r="BS373" s="93"/>
      <c r="BT373" s="93">
        <f>ППД5[[#This Row],[Фикс 08.04.24]]+ППД5[[#This Row],[Наценка 16.05.24 1%
А4,А6,Б3,Б6,Б7,В2,В3,В5,В6,Г1,Г3-Г5]]</f>
        <v>104271.5726799577</v>
      </c>
      <c r="BU373" s="93"/>
      <c r="BV373" s="93">
        <f>ППД5[[#This Row],[Фикс 16.05.24]]+ППД5[[#This Row],[Наценка 24.05.24
1% - Б4, Б5,Г2,Г6
2% - А1,А3,А5,Б2,Г7]]</f>
        <v>104271.5726799577</v>
      </c>
      <c r="BW373" s="93"/>
      <c r="BX373" s="93">
        <f>ППД5[[#This Row],[Наценка 06.06.24
0К: В2,Г3 +0,5%
1К: А7, Б5/4, Г6 +0,5%
3К: В6 +0,5%
1К: А3 +1%]]+ППД5[[#This Row],[Фикс 24.05.24]]</f>
        <v>104271.5726799577</v>
      </c>
      <c r="BY373" s="93"/>
      <c r="BZ373" s="93">
        <f>ППД5[[#This Row],[Фикс 06.06.24]]+ППД5[[#This Row],[13.06.2024
3К - 2%]]</f>
        <v>104271.5726799577</v>
      </c>
      <c r="CA373" s="93"/>
      <c r="CB373" s="93">
        <f>ППД5[[#This Row],[02.07.2024: Г3 А1 А3 Б5 Б7 Г2 Г6 Б3 Б4 В3 Г7 2,5% ост 0,5-1,5%]]+ППД5[[#This Row],[Фикс 13.06.24]]</f>
        <v>104271.5726799577</v>
      </c>
      <c r="CC373" s="93"/>
      <c r="CD373" s="93">
        <f>ППД5[[#This Row],[Фикс 02.07.24]]+ППД5[[#This Row],[04.09.2024 +500
0К - Б2; 1К - А3;
2К - А6, Б4, В3, Г5]]</f>
        <v>104271.5726799577</v>
      </c>
      <c r="CE373" s="93"/>
      <c r="CF373" s="93">
        <f>ППД5[[#This Row],[Наценка 16.09.2024
1К: А1,В7,Г6/7,Г8 - 2%
2К: А4,А5,А6,Б1,Б6,Б3/4,В3,В4,Г4,Г5 - 4%
3К: 4%]]+ППД5[[#This Row],[Фикс 04.09.24]]</f>
        <v>104271.5726799577</v>
      </c>
      <c r="CG373" s="93"/>
      <c r="CH373" s="93">
        <f>ППД5[[#This Row],[Фикс 16.09.2024]]+ППД5[[#This Row],[Наценка 01.11.24
СТ: 4%
1К: 34-40м 5%; 40м+ 8%; МГН 1%
2К: 55-70м 6%; 70-73м 7%; 73-76м 8% 
3К: 5%]]</f>
        <v>104271.5726799577</v>
      </c>
      <c r="CI373" s="93"/>
      <c r="CJ373" s="93">
        <f>ППД5[[#This Row],[Наценка 06.11 13%]]+ППД5[[#This Row],[Фикс 01.11.24]]</f>
        <v>104271.5726799577</v>
      </c>
      <c r="CK373" s="93"/>
      <c r="CL373" s="93">
        <f>ППД5[[#This Row],[Фикс 06.11.24]]+ППД5[[#This Row],[Наценка 18.12.24 распределение КВ]]</f>
        <v>104271.5726799577</v>
      </c>
      <c r="CM373" s="93"/>
      <c r="CN373" s="93">
        <f>ППД5[[#This Row],[Фикс 18.12.24]]+ППД5[[#This Row],[Наценка 10.02.25 +1%
1К: А3
2К: Б3, В3]]</f>
        <v>104271.5726799577</v>
      </c>
      <c r="CO373" s="93">
        <f>ROUND(ППД5[[#This Row],[Фикс 10.02.25]],2)</f>
        <v>104271.57</v>
      </c>
      <c r="CP37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5899700</v>
      </c>
      <c r="CQ373" s="93">
        <f>ROUNDUP(ППД5[[#This Row],[Стоимость до скидки]]+ППД5[[#This Row],[Сумма доплаты]],-2)</f>
        <v>5896600</v>
      </c>
      <c r="CR373" s="68">
        <v>90000</v>
      </c>
      <c r="CS373" s="90"/>
      <c r="CT373" s="68">
        <f>ППД5[[#This Row],[Стоимость до скидки]]*ППД5[[#This Row],[Скидка %]]+ППД5[[#This Row],[Скидка фиксированная]]</f>
        <v>90000</v>
      </c>
      <c r="CU373" s="3">
        <f>ППД5[[#This Row],[Стоимость ОН без отделки со скидкой]]/ППД5[[#This Row],[Расчетная проектная площадь]]</f>
        <v>102681.15942028986</v>
      </c>
      <c r="CV373" s="3">
        <f>ROUND(ППД5[[#This Row],[Стоимость до скидки]]-ППД5[[#This Row],[Итоговая сумма скидки]],2)</f>
        <v>5809700</v>
      </c>
      <c r="CW37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73" s="197">
        <v>20000</v>
      </c>
      <c r="CY373" s="332">
        <f>ППД5[[#This Row],[Расхождение]]/ППД5[[#This Row],[Расчетная проектная площадь]]</f>
        <v>-5.302226935311777E-4</v>
      </c>
      <c r="CZ37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0.30000000000000426</v>
      </c>
      <c r="DA373" s="3">
        <f>ППД5[[#This Row],[Цена м2 без отделки со скидкой]]+ППД5[[#This Row],[Стоимость отделки]]</f>
        <v>122681.15942028986</v>
      </c>
      <c r="DB373" s="3">
        <f>ППД5[[#This Row],[Стоимость квартиры с отделкой]]-ППД5[[#This Row],[Стоимость ОН без отделки со скидкой]]</f>
        <v>1131600</v>
      </c>
      <c r="DC373" s="3">
        <f>ППД5[[#This Row],[Цена м2 с отделкой]]*ППД5[[#This Row],[Расчетная проектная площадь]]</f>
        <v>6941300</v>
      </c>
      <c r="DD373" s="3" t="s">
        <v>154</v>
      </c>
      <c r="DE373" s="111" t="s">
        <v>791</v>
      </c>
      <c r="DF373" s="199" t="s">
        <v>172</v>
      </c>
      <c r="DG373" s="245" t="s">
        <v>172</v>
      </c>
      <c r="DH373" s="100" t="b">
        <f>EXACT(ППД5[[#This Row],[Статусы CRM]],ППД5[[#This Row],[Статус]])</f>
        <v>1</v>
      </c>
      <c r="DI373" s="213" t="s">
        <v>545</v>
      </c>
      <c r="DJ373" s="204"/>
      <c r="DK373" s="111" t="s">
        <v>763</v>
      </c>
      <c r="DL373" s="216" t="s">
        <v>14</v>
      </c>
      <c r="DM373" s="201" t="b">
        <f>ППД5[[#This Row],[Отделка CRM]]=ППД5[[#This Row],[Отделка]]</f>
        <v>1</v>
      </c>
      <c r="DN373" s="203">
        <v>6941300</v>
      </c>
      <c r="DO37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73" s="207" t="b">
        <f>IF(AND(ППД5[[#This Row],[Статус]]="свободно",ППД5[[#This Row],[Итоговая сумма скидки]]&lt;&gt;0),FALSE,TRUE)</f>
        <v>1</v>
      </c>
      <c r="DQ373" s="240">
        <f>_xlfn.XLOOKUP(ППД5[[#This Row],[№]],Юрист[№ кв],Юрист[Дата подачи на регистрацию]," ",0,-1)</f>
        <v>45429</v>
      </c>
      <c r="DR373" s="115" t="str">
        <f>_xlfn.XLOOKUP(ППД5[[#This Row],[№]],Юрист[№ кв],Юрист[МОП],"",0,-1)</f>
        <v>Никишов</v>
      </c>
      <c r="DS373" s="333" t="s">
        <v>3038</v>
      </c>
      <c r="DT373" s="333" t="s">
        <v>3039</v>
      </c>
      <c r="DU373" s="333">
        <v>55.2</v>
      </c>
      <c r="DV373" s="111"/>
    </row>
    <row r="374" spans="1:126" hidden="1" x14ac:dyDescent="0.25">
      <c r="A374" s="112">
        <v>372</v>
      </c>
      <c r="B374" s="111" t="s">
        <v>3</v>
      </c>
      <c r="C374" s="111">
        <v>22</v>
      </c>
      <c r="D374" s="111">
        <v>4</v>
      </c>
      <c r="E374" s="111">
        <v>2</v>
      </c>
      <c r="F374" s="105">
        <v>15.45</v>
      </c>
      <c r="G374" s="105">
        <v>10.34</v>
      </c>
      <c r="H374" s="105"/>
      <c r="I374" s="94">
        <f>SUM(ППД5[[#This Row],[Комната 1]:[Комната 3]])</f>
        <v>25.79</v>
      </c>
      <c r="J374" s="105">
        <v>15.44</v>
      </c>
      <c r="K374" s="105">
        <v>4.59</v>
      </c>
      <c r="L374" s="105">
        <v>2.21</v>
      </c>
      <c r="M374" s="105"/>
      <c r="N374" s="105">
        <v>10.79</v>
      </c>
      <c r="O374" s="105">
        <v>2.84</v>
      </c>
      <c r="P374" s="105"/>
      <c r="Q374" s="105"/>
      <c r="R374" s="105">
        <f>SUM(ППД5[[#This Row],[Лоджия 1]:[Лоджия 3]])</f>
        <v>2.84</v>
      </c>
      <c r="S374" s="8">
        <f>ROUND(SUM(ППД5[[#This Row],[Площадь по проекту жилая]:[Лоджия 3]]),2)</f>
        <v>61.66</v>
      </c>
      <c r="T374" s="8">
        <f>ROUND(ППД5[[#This Row],[Площадь по проекту(общая)]]-ППД5[[#This Row],[Летние]],2)</f>
        <v>58.82</v>
      </c>
      <c r="U374" s="91">
        <f>ROUND(ППД5[[#This Row],[Площадь по проекту(общая)]]-(SUM(ППД5[[#This Row],[Лоджия 1]:[Лоджия 3]])/2),2)</f>
        <v>60.24</v>
      </c>
      <c r="V374" s="91">
        <f>IF(ППД5[[#This Row],[Статус]]="продажа",ППД5[[#This Row],[Расчетная проектная площадь]],ППД5[[#This Row],[Расчетная ТП площадь]])</f>
        <v>59.850000000000009</v>
      </c>
      <c r="W374" s="91">
        <v>15.4</v>
      </c>
      <c r="X374" s="91">
        <v>10.199999999999999</v>
      </c>
      <c r="Y374" s="91"/>
      <c r="Z374" s="91">
        <f>SUM(ППД5[[#This Row],[ТП Комната 1]:[ТП Комната 3]])</f>
        <v>25.6</v>
      </c>
      <c r="AA374" s="91">
        <v>15.4</v>
      </c>
      <c r="AB374" s="91">
        <v>4.5</v>
      </c>
      <c r="AC374" s="91">
        <v>2.2000000000000002</v>
      </c>
      <c r="AD374" s="91"/>
      <c r="AE374" s="91">
        <v>10.7</v>
      </c>
      <c r="AF374" s="91">
        <v>1.45</v>
      </c>
      <c r="AG374" s="91"/>
      <c r="AH374" s="91"/>
      <c r="AI374" s="91">
        <f>SUM(ППД5[[#This Row],[ТП Лоджия 1]:[ТП Лоджия 3]])</f>
        <v>1.45</v>
      </c>
      <c r="AJ374" s="95">
        <v>2.9</v>
      </c>
      <c r="AK374" s="91">
        <f>SUM(ППД5[[#This Row],[Площадь по ТП жилая]:[ТП Лоджия 3]])-ППД5[[#This Row],[ТП Летние]]+ППД5[[#This Row],[кроме того прочая
(без коэффициента)]]</f>
        <v>61.300000000000004</v>
      </c>
      <c r="AL374" s="95">
        <f>ППД5[[#This Row],[ТП Площадь без летних]]+(ППД5[[#This Row],[ТП Летние]])</f>
        <v>59.850000000000009</v>
      </c>
      <c r="AM374" s="91">
        <f>ППД5[[#This Row],[ТП общая S]]-ППД5[[#This Row],[кроме того прочая
(без коэффициента)]]</f>
        <v>58.400000000000006</v>
      </c>
      <c r="AN374" s="95">
        <f>SUM(ППД5[[#This Row],[ТП Кухня]:[ТП Коридор]])</f>
        <v>32.799999999999997</v>
      </c>
      <c r="AO374" s="91">
        <f>ППД5[[#This Row],[Расчетная ТП площадь]]-ППД5[[#This Row],[Расчетная проектная площадь]]</f>
        <v>-0.38999999999999346</v>
      </c>
      <c r="AP374" s="335">
        <f>ППД5[[#This Row],[Расчетная ТП площадь]]/ППД5[[#This Row],[Расчетная проектная площадь]]-1</f>
        <v>-6.4741035856572537E-3</v>
      </c>
      <c r="AQ374" s="91">
        <f>ППД5[[#This Row],[% расхождения]]*ППД5[[#This Row],[Стоимость до скидки]]</f>
        <v>-51976.693227090698</v>
      </c>
      <c r="AR374" s="91">
        <f>VLOOKUP(ППД5[[#This Row],[№]],наценкад5[],COLUMN(наценкад5[[#This Row],[Цена м2 с учетом всех K]]),0)</f>
        <v>89188.060500000007</v>
      </c>
      <c r="AS374" s="8">
        <f>ППД5[[#This Row],[м2 после К]]*5%</f>
        <v>4459.4030250000005</v>
      </c>
      <c r="AT374" s="8">
        <f>ППД5[[#This Row],[м2 после К]]+ППД5[[#This Row],[Повышение 16.08.23 - 5%]]</f>
        <v>93647.463525000014</v>
      </c>
      <c r="AU374" s="93">
        <f>ППД5[[#This Row],[Фикс 16.08.23]]*3%</f>
        <v>2809.4239057500004</v>
      </c>
      <c r="AV374" s="93">
        <f>ППД5[[#This Row],[Фикс 16.08.23]]+ППД5[[#This Row],[Повышение 29.08.23 - 3%]]</f>
        <v>96456.887430750008</v>
      </c>
      <c r="AW374" s="93"/>
      <c r="AX374" s="93">
        <f>ППД5[[#This Row],[Фикс 29.08.23]]+ППД5[[#This Row],[Повышение 06.09.23 СТ и 1К]]</f>
        <v>96456.887430750008</v>
      </c>
      <c r="AY374" s="93"/>
      <c r="AZ374" s="93">
        <f>ППД5[[#This Row],[Повышение 23.10.23  В4 ]]+ППД5[[#This Row],[Фикс 06.09.23]]</f>
        <v>96456.887430750008</v>
      </c>
      <c r="BA374" s="93"/>
      <c r="BB374" s="93">
        <f>ППД5[[#This Row],[Повышение 8.11.23 1К 5%]]+ППД5[[#This Row],[Фикс 23.10.23]]</f>
        <v>96456.887430750008</v>
      </c>
      <c r="BC374" s="93"/>
      <c r="BD374" s="93">
        <f>ППД5[[#This Row],[Корректировка 24.11.23 - 1К В5, 2К А2, №233]]+ППД5[[#This Row],[Фикс 8.11.23]]</f>
        <v>96456.887430750008</v>
      </c>
      <c r="BE374" s="93">
        <f>ППД5[[#This Row],[Фикс 8.11.24]]*1%</f>
        <v>964.5688743075001</v>
      </c>
      <c r="BF374" s="93">
        <f>ППД5[[#This Row],[Наценка за отделку 29.12.23 1%]]+ППД5[[#This Row],[Фикс 8.11.24]]</f>
        <v>97421.456305057509</v>
      </c>
      <c r="BG374" s="93">
        <f>ППД5[[#This Row],[Фикс 29.12.23]]*5%</f>
        <v>4871.0728152528754</v>
      </c>
      <c r="BH374" s="93">
        <f>ППД5[[#This Row],[Фикс 29.12.23]]+ППД5[[#This Row],[Наценка 10.01.24 5%]]</f>
        <v>102292.52912031038</v>
      </c>
      <c r="BI374" s="93"/>
      <c r="BJ374" s="93">
        <f>ППД5[[#This Row],[Наценка 26.02.24 1 Этаж]]+ППД5[[#This Row],[Фикс 10.01.24]]</f>
        <v>102292.52912031038</v>
      </c>
      <c r="BK374" s="93">
        <f>ППД5[[#This Row],[Фикс 26.02.24]]*2%</f>
        <v>2045.8505824062076</v>
      </c>
      <c r="BL374" s="93">
        <f>ППД5[[#This Row],[Фикс 26.02.24]]+ППД5[[#This Row],[Наценка 06.03.24
СТ, 1К - 3%
2К, 3К - 2%]]</f>
        <v>104338.37970271659</v>
      </c>
      <c r="BM374" s="93"/>
      <c r="BN374" s="93">
        <f>ППД5[[#This Row],[Фикс 06.03.24]]+ППД5[[#This Row],[Наценка Г2+500]]</f>
        <v>104338.37970271659</v>
      </c>
      <c r="BO374" s="93">
        <f>ППД5[[#This Row],[Фикс 13.03.25]]*2%</f>
        <v>2086.7675940543318</v>
      </c>
      <c r="BP374" s="93">
        <f>ППД5[[#This Row],[Фикс 13.03.25]]+ППД5[[#This Row],[Наценка 20.03.24
2К, 3К - 2%]]</f>
        <v>106425.14729677091</v>
      </c>
      <c r="BQ374" s="93"/>
      <c r="BR374" s="93">
        <f>ППД5[[#This Row],[Фикс 20.03.24]]+ППД5[[#This Row],[Наценка 08.04.24 
2К: В3 - 150
3К: Г7 +1000]]</f>
        <v>106425.14729677091</v>
      </c>
      <c r="BS374" s="93"/>
      <c r="BT374" s="93">
        <f>ППД5[[#This Row],[Фикс 08.04.24]]+ППД5[[#This Row],[Наценка 16.05.24 1%
А4,А6,Б3,Б6,Б7,В2,В3,В5,В6,Г1,Г3-Г5]]</f>
        <v>106425.14729677091</v>
      </c>
      <c r="BU374" s="93"/>
      <c r="BV374" s="93">
        <f>ППД5[[#This Row],[Фикс 16.05.24]]+ППД5[[#This Row],[Наценка 24.05.24
1% - Б4, Б5,Г2,Г6
2% - А1,А3,А5,Б2,Г7]]</f>
        <v>106425.14729677091</v>
      </c>
      <c r="BW374" s="93"/>
      <c r="BX374" s="93">
        <f>ППД5[[#This Row],[Наценка 06.06.24
0К: В2,Г3 +0,5%
1К: А7, Б5/4, Г6 +0,5%
3К: В6 +0,5%
1К: А3 +1%]]+ППД5[[#This Row],[Фикс 24.05.24]]</f>
        <v>106425.14729677091</v>
      </c>
      <c r="BY374" s="93"/>
      <c r="BZ374" s="93">
        <f>ППД5[[#This Row],[Фикс 06.06.24]]+ППД5[[#This Row],[13.06.2024
3К - 2%]]</f>
        <v>106425.14729677091</v>
      </c>
      <c r="CA374" s="93">
        <f>0.5%*ППД5[[#This Row],[Фикс 13.06.24]]</f>
        <v>532.12573648385455</v>
      </c>
      <c r="CB374" s="93">
        <f>ППД5[[#This Row],[02.07.2024: Г3 А1 А3 Б5 Б7 Г2 Г6 Б3 Б4 В3 Г7 2,5% ост 0,5-1,5%]]+ППД5[[#This Row],[Фикс 13.06.24]]</f>
        <v>106957.27303325477</v>
      </c>
      <c r="CC374" s="93"/>
      <c r="CD374" s="93">
        <f>ППД5[[#This Row],[Фикс 02.07.24]]+ППД5[[#This Row],[04.09.2024 +500
0К - Б2; 1К - А3;
2К - А6, Б4, В3, Г5]]</f>
        <v>106957.27303325477</v>
      </c>
      <c r="CE374" s="93">
        <f>ППД5[[#This Row],[Фикс 04.09.24]]*4%</f>
        <v>4278.2909213301909</v>
      </c>
      <c r="CF374" s="93">
        <f>ППД5[[#This Row],[Наценка 16.09.2024
1К: А1,В7,Г6/7,Г8 - 2%
2К: А4,А5,А6,Б1,Б6,Б3/4,В3,В4,Г4,Г5 - 4%
3К: 4%]]+ППД5[[#This Row],[Фикс 04.09.24]]</f>
        <v>111235.56395458496</v>
      </c>
      <c r="CG374" s="93">
        <f>ППД5[[#This Row],[Фикс 16.09.2024]]*6%</f>
        <v>6674.133837275097</v>
      </c>
      <c r="CH374" s="93">
        <f>ППД5[[#This Row],[Фикс 16.09.2024]]+ППД5[[#This Row],[Наценка 01.11.24
СТ: 4%
1К: 34-40м 5%; 40м+ 8%; МГН 1%
2К: 55-70м 6%; 70-73м 7%; 73-76м 8% 
3К: 5%]]</f>
        <v>117909.69779186005</v>
      </c>
      <c r="CI374" s="93">
        <f>ППД5[[#This Row],[Фикс 01.11.24]]*13%</f>
        <v>15328.260712941807</v>
      </c>
      <c r="CJ374" s="93">
        <f>ППД5[[#This Row],[Наценка 06.11 13%]]+ППД5[[#This Row],[Фикс 01.11.24]]</f>
        <v>133237.95850480185</v>
      </c>
      <c r="CK374" s="93">
        <v>35</v>
      </c>
      <c r="CL374" s="93">
        <f>ППД5[[#This Row],[Фикс 06.11.24]]+ППД5[[#This Row],[Наценка 18.12.24 распределение КВ]]</f>
        <v>133272.95850480185</v>
      </c>
      <c r="CM374" s="93"/>
      <c r="CN374" s="93">
        <f>ППД5[[#This Row],[Фикс 18.12.24]]+ППД5[[#This Row],[Наценка 10.02.25 +1%
1К: А3
2К: Б3, В3]]</f>
        <v>133272.95850480185</v>
      </c>
      <c r="CO374" s="93">
        <f>ROUND(ППД5[[#This Row],[Фикс 10.02.25]],2)</f>
        <v>133272.95999999999</v>
      </c>
      <c r="CP37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8028400</v>
      </c>
      <c r="CQ374" s="93">
        <f>ROUNDUP(ППД5[[#This Row],[Стоимость до скидки]]+ППД5[[#This Row],[Сумма доплаты]],-2)</f>
        <v>7976500</v>
      </c>
      <c r="CR374" s="68"/>
      <c r="CS374" s="90"/>
      <c r="CT374" s="68">
        <f>ППД5[[#This Row],[Стоимость до скидки]]*ППД5[[#This Row],[Скидка %]]+ППД5[[#This Row],[Скидка фиксированная]]</f>
        <v>0</v>
      </c>
      <c r="CU374" s="3">
        <f>ППД5[[#This Row],[Стоимость ОН без отделки со скидкой]]/ППД5[[#This Row],[Расчетная проектная площадь]]</f>
        <v>133273.57237715804</v>
      </c>
      <c r="CV374" s="3">
        <f>ROUND(ППД5[[#This Row],[Стоимость до скидки]]-ППД5[[#This Row],[Итоговая сумма скидки]],2)</f>
        <v>8028400</v>
      </c>
      <c r="CW37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374" s="218">
        <v>10000</v>
      </c>
      <c r="CY374" s="332">
        <f>ППД5[[#This Row],[Расхождение]]/ППД5[[#This Row],[Расчетная проектная площадь]]</f>
        <v>-6.4741035856572616E-3</v>
      </c>
      <c r="CZ374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-0.2300000000000022</v>
      </c>
      <c r="DA374" s="3">
        <f>ППД5[[#This Row],[Цена м2 без отделки со скидкой]]+ППД5[[#This Row],[Стоимость отделки]]</f>
        <v>143273.57237715804</v>
      </c>
      <c r="DB374" s="3">
        <f>ППД5[[#This Row],[Стоимость квартиры с отделкой]]-ППД5[[#This Row],[Стоимость ОН без отделки со скидкой]]</f>
        <v>602400</v>
      </c>
      <c r="DC374" s="3">
        <f>ППД5[[#This Row],[Цена м2 с отделкой]]*ППД5[[#This Row],[Расчетная проектная площадь]]</f>
        <v>8630800</v>
      </c>
      <c r="DD374" s="3"/>
      <c r="DF374" s="199" t="s">
        <v>15</v>
      </c>
      <c r="DG374" s="245" t="s">
        <v>15</v>
      </c>
      <c r="DH374" s="100" t="b">
        <f>EXACT(ППД5[[#This Row],[Статусы CRM]],ППД5[[#This Row],[Статус]])</f>
        <v>1</v>
      </c>
      <c r="DI374" s="213" t="s">
        <v>546</v>
      </c>
      <c r="DJ374" s="204"/>
      <c r="DK374" s="111" t="s">
        <v>763</v>
      </c>
      <c r="DL374" s="216" t="s">
        <v>780</v>
      </c>
      <c r="DM374" s="201" t="b">
        <f>ППД5[[#This Row],[Отделка CRM]]=ППД5[[#This Row],[Отделка]]</f>
        <v>1</v>
      </c>
      <c r="DN374" s="203">
        <v>8630800</v>
      </c>
      <c r="DO37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74" s="207" t="b">
        <f>IF(AND(ППД5[[#This Row],[Статус]]="свободно",ППД5[[#This Row],[Итоговая сумма скидки]]&lt;&gt;0),FALSE,TRUE)</f>
        <v>1</v>
      </c>
      <c r="DQ374" s="240" t="str">
        <f>_xlfn.XLOOKUP(ППД5[[#This Row],[№]],Юрист[№ кв],Юрист[Дата подачи на регистрацию]," ",0,-1)</f>
        <v xml:space="preserve"> </v>
      </c>
      <c r="DR374" s="115" t="str">
        <f>_xlfn.XLOOKUP(ППД5[[#This Row],[№]],Юрист[№ кв],Юрист[МОП],"",0,-1)</f>
        <v/>
      </c>
      <c r="DS374" s="333" t="s">
        <v>3040</v>
      </c>
      <c r="DT374" s="333" t="s">
        <v>3041</v>
      </c>
      <c r="DU374" s="333">
        <v>58.4</v>
      </c>
      <c r="DV374" s="111"/>
    </row>
    <row r="375" spans="1:126" hidden="1" x14ac:dyDescent="0.25">
      <c r="A375" s="112">
        <v>373</v>
      </c>
      <c r="B375" s="111" t="s">
        <v>3</v>
      </c>
      <c r="C375" s="111">
        <v>22</v>
      </c>
      <c r="D375" s="111">
        <v>5</v>
      </c>
      <c r="E375" s="111">
        <v>1</v>
      </c>
      <c r="F375" s="105">
        <v>12.54</v>
      </c>
      <c r="G375" s="105"/>
      <c r="H375" s="105"/>
      <c r="I375" s="94">
        <f>SUM(ППД5[[#This Row],[Комната 1]:[Комната 3]])</f>
        <v>12.54</v>
      </c>
      <c r="J375" s="105">
        <v>12.74</v>
      </c>
      <c r="K375" s="105">
        <v>4.0199999999999996</v>
      </c>
      <c r="L375" s="105"/>
      <c r="M375" s="105"/>
      <c r="N375" s="105">
        <v>7.09</v>
      </c>
      <c r="O375" s="105">
        <v>2.84</v>
      </c>
      <c r="P375" s="105"/>
      <c r="Q375" s="105"/>
      <c r="R375" s="105">
        <f>SUM(ППД5[[#This Row],[Лоджия 1]:[Лоджия 3]])</f>
        <v>2.84</v>
      </c>
      <c r="S375" s="8">
        <f>ROUND(SUM(ППД5[[#This Row],[Площадь по проекту жилая]:[Лоджия 3]]),2)</f>
        <v>39.229999999999997</v>
      </c>
      <c r="T375" s="8">
        <f>ROUND(ППД5[[#This Row],[Площадь по проекту(общая)]]-ППД5[[#This Row],[Летние]],2)</f>
        <v>36.39</v>
      </c>
      <c r="U375" s="91">
        <f>ROUND(ППД5[[#This Row],[Площадь по проекту(общая)]]-(SUM(ППД5[[#This Row],[Лоджия 1]:[Лоджия 3]])/2),2)</f>
        <v>37.81</v>
      </c>
      <c r="V375" s="91">
        <f>IF(ППД5[[#This Row],[Статус]]="продажа",ППД5[[#This Row],[Расчетная проектная площадь]],ППД5[[#This Row],[Расчетная ТП площадь]])</f>
        <v>37.4</v>
      </c>
      <c r="W375" s="91">
        <v>12.5</v>
      </c>
      <c r="X375" s="91"/>
      <c r="Y375" s="91"/>
      <c r="Z375" s="91">
        <f>SUM(ППД5[[#This Row],[ТП Комната 1]:[ТП Комната 3]])</f>
        <v>12.5</v>
      </c>
      <c r="AA375" s="91">
        <v>12.6</v>
      </c>
      <c r="AB375" s="91">
        <v>4</v>
      </c>
      <c r="AC375" s="91"/>
      <c r="AD375" s="91"/>
      <c r="AE375" s="91">
        <v>6.9</v>
      </c>
      <c r="AF375" s="91">
        <v>1.4</v>
      </c>
      <c r="AG375" s="91"/>
      <c r="AH375" s="91"/>
      <c r="AI375" s="91">
        <f>SUM(ППД5[[#This Row],[ТП Лоджия 1]:[ТП Лоджия 3]])</f>
        <v>1.4</v>
      </c>
      <c r="AJ375" s="95">
        <v>2.8</v>
      </c>
      <c r="AK375" s="91">
        <f>SUM(ППД5[[#This Row],[Площадь по ТП жилая]:[ТП Лоджия 3]])-ППД5[[#This Row],[ТП Летние]]+ППД5[[#This Row],[кроме того прочая
(без коэффициента)]]</f>
        <v>38.799999999999997</v>
      </c>
      <c r="AL375" s="95">
        <f>ППД5[[#This Row],[ТП Площадь без летних]]+(ППД5[[#This Row],[ТП Летние]])</f>
        <v>37.4</v>
      </c>
      <c r="AM375" s="91">
        <f>ППД5[[#This Row],[ТП общая S]]-ППД5[[#This Row],[кроме того прочая
(без коэффициента)]]</f>
        <v>36</v>
      </c>
      <c r="AN375" s="95">
        <f>SUM(ППД5[[#This Row],[ТП Кухня]:[ТП Коридор]])</f>
        <v>23.5</v>
      </c>
      <c r="AO375" s="91">
        <f>ППД5[[#This Row],[Расчетная ТП площадь]]-ППД5[[#This Row],[Расчетная проектная площадь]]</f>
        <v>-0.41000000000000369</v>
      </c>
      <c r="AP375" s="335">
        <f>ППД5[[#This Row],[Расчетная ТП площадь]]/ППД5[[#This Row],[Расчетная проектная площадь]]-1</f>
        <v>-1.0843692144935302E-2</v>
      </c>
      <c r="AQ375" s="91">
        <f>ППД5[[#This Row],[% расхождения]]*ППД5[[#This Row],[Стоимость до скидки]]</f>
        <v>-61460.962708278799</v>
      </c>
      <c r="AR375" s="91">
        <f>VLOOKUP(ППД5[[#This Row],[№]],наценкад5[],COLUMN(наценкад5[[#This Row],[Цена м2 с учетом всех K]]),0)</f>
        <v>96523.875</v>
      </c>
      <c r="AS375" s="8">
        <f>ППД5[[#This Row],[м2 после К]]*5%</f>
        <v>4826.1937500000004</v>
      </c>
      <c r="AT375" s="8">
        <f>ППД5[[#This Row],[м2 после К]]+ППД5[[#This Row],[Повышение 16.08.23 - 5%]]</f>
        <v>101350.06875000001</v>
      </c>
      <c r="AU375" s="93">
        <f>ППД5[[#This Row],[Фикс 16.08.23]]*3%</f>
        <v>3040.5020625000002</v>
      </c>
      <c r="AV375" s="93">
        <f>ППД5[[#This Row],[Фикс 16.08.23]]+ППД5[[#This Row],[Повышение 29.08.23 - 3%]]</f>
        <v>104390.57081250001</v>
      </c>
      <c r="AW375" s="93">
        <f>ППД5[[#This Row],[Фикс 29.08.23]]*4.5%</f>
        <v>4697.5756865624999</v>
      </c>
      <c r="AX375" s="93">
        <f>ППД5[[#This Row],[Фикс 29.08.23]]+ППД5[[#This Row],[Повышение 06.09.23 СТ и 1К]]</f>
        <v>109088.14649906251</v>
      </c>
      <c r="AY375" s="93"/>
      <c r="AZ375" s="93">
        <f>ППД5[[#This Row],[Повышение 23.10.23  В4 ]]+ППД5[[#This Row],[Фикс 06.09.23]]</f>
        <v>109088.14649906251</v>
      </c>
      <c r="BA375" s="93">
        <f>ППД5[[#This Row],[Фикс 23.10.23]]*5%</f>
        <v>5454.4073249531257</v>
      </c>
      <c r="BB375" s="93">
        <f>ППД5[[#This Row],[Повышение 8.11.23 1К 5%]]+ППД5[[#This Row],[Фикс 23.10.23]]</f>
        <v>114542.55382401563</v>
      </c>
      <c r="BC375" s="93">
        <v>-620</v>
      </c>
      <c r="BD375" s="93">
        <f>ППД5[[#This Row],[Корректировка 24.11.23 - 1К В5, 2К А2, №233]]+ППД5[[#This Row],[Фикс 8.11.23]]</f>
        <v>113922.55382401563</v>
      </c>
      <c r="BE375" s="93">
        <f>ППД5[[#This Row],[Фикс 8.11.24]]*1%</f>
        <v>1139.2255382401563</v>
      </c>
      <c r="BF375" s="93">
        <f>ППД5[[#This Row],[Наценка за отделку 29.12.23 1%]]+ППД5[[#This Row],[Фикс 8.11.24]]</f>
        <v>115061.77936225579</v>
      </c>
      <c r="BG375" s="93">
        <f>ППД5[[#This Row],[Фикс 29.12.23]]*5%</f>
        <v>5753.0889681127901</v>
      </c>
      <c r="BH375" s="93">
        <f>ППД5[[#This Row],[Фикс 29.12.23]]+ППД5[[#This Row],[Наценка 10.01.24 5%]]</f>
        <v>120814.86833036858</v>
      </c>
      <c r="BI375" s="93"/>
      <c r="BJ375" s="93">
        <f>ППД5[[#This Row],[Наценка 26.02.24 1 Этаж]]+ППД5[[#This Row],[Фикс 10.01.24]]</f>
        <v>120814.86833036858</v>
      </c>
      <c r="BK375" s="93">
        <f>ППД5[[#This Row],[Фикс 26.02.24]]*3%</f>
        <v>3624.4460499110573</v>
      </c>
      <c r="BL375" s="93">
        <f>ППД5[[#This Row],[Фикс 26.02.24]]+ППД5[[#This Row],[Наценка 06.03.24
СТ, 1К - 3%
2К, 3К - 2%]]</f>
        <v>124439.31438027964</v>
      </c>
      <c r="BM375" s="93"/>
      <c r="BN375" s="93">
        <f>ППД5[[#This Row],[Фикс 06.03.24]]+ППД5[[#This Row],[Наценка Г2+500]]</f>
        <v>124439.31438027964</v>
      </c>
      <c r="BO375" s="93"/>
      <c r="BP375" s="93">
        <f>ППД5[[#This Row],[Фикс 13.03.25]]+ППД5[[#This Row],[Наценка 20.03.24
2К, 3К - 2%]]</f>
        <v>124439.31438027964</v>
      </c>
      <c r="BQ375" s="93"/>
      <c r="BR375" s="93">
        <f>ППД5[[#This Row],[Фикс 20.03.24]]+ППД5[[#This Row],[Наценка 08.04.24 
2К: В3 - 150
3К: Г7 +1000]]</f>
        <v>124439.31438027964</v>
      </c>
      <c r="BS375" s="93">
        <f>ППД5[[#This Row],[Фикс 08.04.24]]*1%</f>
        <v>1244.3931438027964</v>
      </c>
      <c r="BT375" s="93">
        <f>ППД5[[#This Row],[Фикс 08.04.24]]+ППД5[[#This Row],[Наценка 16.05.24 1%
А4,А6,Б3,Б6,Б7,В2,В3,В5,В6,Г1,Г3-Г5]]</f>
        <v>125683.70752408243</v>
      </c>
      <c r="BU375" s="93"/>
      <c r="BV375" s="93">
        <f>ППД5[[#This Row],[Фикс 16.05.24]]+ППД5[[#This Row],[Наценка 24.05.24
1% - Б4, Б5,Г2,Г6
2% - А1,А3,А5,Б2,Г7]]</f>
        <v>125683.70752408243</v>
      </c>
      <c r="BW375" s="93"/>
      <c r="BX375" s="93">
        <f>ППД5[[#This Row],[Наценка 06.06.24
0К: В2,Г3 +0,5%
1К: А7, Б5/4, Г6 +0,5%
3К: В6 +0,5%
1К: А3 +1%]]+ППД5[[#This Row],[Фикс 24.05.24]]</f>
        <v>125683.70752408243</v>
      </c>
      <c r="BY375" s="93"/>
      <c r="BZ375" s="93">
        <f>ППД5[[#This Row],[Фикс 06.06.24]]+ППД5[[#This Row],[13.06.2024
3К - 2%]]</f>
        <v>125683.70752408243</v>
      </c>
      <c r="CA375" s="93">
        <f>0.5%*ППД5[[#This Row],[Фикс 13.06.24]]</f>
        <v>628.41853762041217</v>
      </c>
      <c r="CB375" s="93">
        <f>ППД5[[#This Row],[02.07.2024: Г3 А1 А3 Б5 Б7 Г2 Г6 Б3 Б4 В3 Г7 2,5% ост 0,5-1,5%]]+ППД5[[#This Row],[Фикс 13.06.24]]</f>
        <v>126312.12606170285</v>
      </c>
      <c r="CC375" s="93"/>
      <c r="CD375" s="93">
        <f>ППД5[[#This Row],[Фикс 02.07.24]]+ППД5[[#This Row],[04.09.2024 +500
0К - Б2; 1К - А3;
2К - А6, Б4, В3, Г5]]</f>
        <v>126312.12606170285</v>
      </c>
      <c r="CE375" s="93"/>
      <c r="CF375" s="93">
        <f>ППД5[[#This Row],[Наценка 16.09.2024
1К: А1,В7,Г6/7,Г8 - 2%
2К: А4,А5,А6,Б1,Б6,Б3/4,В3,В4,Г4,Г5 - 4%
3К: 4%]]+ППД5[[#This Row],[Фикс 04.09.24]]</f>
        <v>126312.12606170285</v>
      </c>
      <c r="CG375" s="93">
        <f>ППД5[[#This Row],[Фикс 16.09.2024]]*5%</f>
        <v>6315.6063030851428</v>
      </c>
      <c r="CH375" s="93">
        <f>ППД5[[#This Row],[Фикс 16.09.2024]]+ППД5[[#This Row],[Наценка 01.11.24
СТ: 4%
1К: 34-40м 5%; 40м+ 8%; МГН 1%
2К: 55-70м 6%; 70-73м 7%; 73-76м 8% 
3К: 5%]]</f>
        <v>132627.73236478798</v>
      </c>
      <c r="CI375" s="93">
        <f>ППД5[[#This Row],[Фикс 01.11.24]]*13%</f>
        <v>17241.605207422439</v>
      </c>
      <c r="CJ375" s="93">
        <f>ППД5[[#This Row],[Наценка 06.11 13%]]+ППД5[[#This Row],[Фикс 01.11.24]]</f>
        <v>149869.33757221041</v>
      </c>
      <c r="CK375" s="93">
        <v>35</v>
      </c>
      <c r="CL375" s="93">
        <f>ППД5[[#This Row],[Фикс 06.11.24]]+ППД5[[#This Row],[Наценка 18.12.24 распределение КВ]]</f>
        <v>149904.33757221041</v>
      </c>
      <c r="CM375" s="93"/>
      <c r="CN375" s="93">
        <f>ППД5[[#This Row],[Фикс 18.12.24]]+ППД5[[#This Row],[Наценка 10.02.25 +1%
1К: А3
2К: Б3, В3]]</f>
        <v>149904.33757221041</v>
      </c>
      <c r="CO375" s="93">
        <f>ROUND(ППД5[[#This Row],[Фикс 10.02.25]],2)</f>
        <v>149904.34</v>
      </c>
      <c r="CP37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5667900</v>
      </c>
      <c r="CQ375" s="93">
        <f>ROUNDUP(ППД5[[#This Row],[Стоимость до скидки]]+ППД5[[#This Row],[Сумма доплаты]],-2)</f>
        <v>5606500</v>
      </c>
      <c r="CR375" s="68"/>
      <c r="CS375" s="90"/>
      <c r="CT375" s="68">
        <f>ППД5[[#This Row],[Стоимость до скидки]]*ППД5[[#This Row],[Скидка %]]+ППД5[[#This Row],[Скидка фиксированная]]</f>
        <v>0</v>
      </c>
      <c r="CU375" s="3">
        <f>ППД5[[#This Row],[Стоимость ОН без отделки со скидкой]]/ППД5[[#This Row],[Расчетная проектная площадь]]</f>
        <v>149904.78709336155</v>
      </c>
      <c r="CV375" s="3">
        <f>ROUND(ППД5[[#This Row],[Стоимость до скидки]]-ППД5[[#This Row],[Итоговая сумма скидки]],2)</f>
        <v>5667900</v>
      </c>
      <c r="CW37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375" s="218">
        <v>10000</v>
      </c>
      <c r="CY375" s="332">
        <f>ППД5[[#This Row],[Расхождение]]/ППД5[[#This Row],[Расчетная проектная площадь]]</f>
        <v>-1.08436921449353E-2</v>
      </c>
      <c r="CZ375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-0.34999999999999964</v>
      </c>
      <c r="DA375" s="3">
        <f>ППД5[[#This Row],[Цена м2 без отделки со скидкой]]+ППД5[[#This Row],[Стоимость отделки]]</f>
        <v>159904.78709336155</v>
      </c>
      <c r="DB375" s="3">
        <f>ППД5[[#This Row],[Стоимость квартиры с отделкой]]-ППД5[[#This Row],[Стоимость ОН без отделки со скидкой]]</f>
        <v>378100.00000000093</v>
      </c>
      <c r="DC375" s="3">
        <f>ППД5[[#This Row],[Цена м2 с отделкой]]*ППД5[[#This Row],[Расчетная проектная площадь]]</f>
        <v>6046000.0000000009</v>
      </c>
      <c r="DD375" s="3"/>
      <c r="DF375" s="155" t="s">
        <v>157</v>
      </c>
      <c r="DG375" s="221" t="s">
        <v>157</v>
      </c>
      <c r="DH375" s="100" t="b">
        <f>EXACT(ППД5[[#This Row],[Статусы CRM]],ППД5[[#This Row],[Статус]])</f>
        <v>1</v>
      </c>
      <c r="DI375" s="213" t="s">
        <v>547</v>
      </c>
      <c r="DJ375" s="204"/>
      <c r="DK375" s="111" t="s">
        <v>763</v>
      </c>
      <c r="DL375" s="216" t="s">
        <v>780</v>
      </c>
      <c r="DM375" s="201" t="b">
        <f>ППД5[[#This Row],[Отделка CRM]]=ППД5[[#This Row],[Отделка]]</f>
        <v>1</v>
      </c>
      <c r="DN375" s="203">
        <v>6046000</v>
      </c>
      <c r="DO37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-9.3132257461547852E-10</v>
      </c>
      <c r="DP375" s="207" t="b">
        <f>IF(AND(ППД5[[#This Row],[Статус]]="свободно",ППД5[[#This Row],[Итоговая сумма скидки]]&lt;&gt;0),FALSE,TRUE)</f>
        <v>1</v>
      </c>
      <c r="DQ375" s="240" t="str">
        <f>_xlfn.XLOOKUP(ППД5[[#This Row],[№]],Юрист[№ кв],Юрист[Дата подачи на регистрацию]," ",0,-1)</f>
        <v xml:space="preserve"> </v>
      </c>
      <c r="DR375" s="115" t="str">
        <f>_xlfn.XLOOKUP(ППД5[[#This Row],[№]],Юрист[№ кв],Юрист[МОП],"",0,-1)</f>
        <v/>
      </c>
      <c r="DS375" s="333" t="s">
        <v>3042</v>
      </c>
      <c r="DT375" s="333" t="s">
        <v>3043</v>
      </c>
      <c r="DU375" s="333">
        <v>36</v>
      </c>
      <c r="DV375" s="111"/>
    </row>
    <row r="376" spans="1:126" s="222" customFormat="1" ht="15.75" hidden="1" customHeight="1" x14ac:dyDescent="0.25">
      <c r="A376" s="340">
        <v>374</v>
      </c>
      <c r="B376" s="212" t="s">
        <v>3</v>
      </c>
      <c r="C376" s="212">
        <v>22</v>
      </c>
      <c r="D376" s="212">
        <v>6</v>
      </c>
      <c r="E376" s="212">
        <v>3</v>
      </c>
      <c r="F376" s="105">
        <v>17.2</v>
      </c>
      <c r="G376" s="105">
        <v>14.64</v>
      </c>
      <c r="H376" s="105">
        <v>14.34</v>
      </c>
      <c r="I376" s="94">
        <f>SUM(ППД5[[#This Row],[Комната 1]:[Комната 3]])</f>
        <v>46.18</v>
      </c>
      <c r="J376" s="105">
        <v>13.15</v>
      </c>
      <c r="K376" s="105">
        <v>4.03</v>
      </c>
      <c r="L376" s="105">
        <v>1.76</v>
      </c>
      <c r="M376" s="105"/>
      <c r="N376" s="105">
        <v>13.11</v>
      </c>
      <c r="O376" s="105">
        <v>2.79</v>
      </c>
      <c r="P376" s="105">
        <v>2.68</v>
      </c>
      <c r="Q376" s="105"/>
      <c r="R376" s="105">
        <f>SUM(ППД5[[#This Row],[Лоджия 1]:[Лоджия 3]])</f>
        <v>5.4700000000000006</v>
      </c>
      <c r="S376" s="8">
        <f>ROUND(SUM(ППД5[[#This Row],[Площадь по проекту жилая]:[Лоджия 3]]),2)</f>
        <v>83.7</v>
      </c>
      <c r="T376" s="8">
        <f>ROUND(ППД5[[#This Row],[Площадь по проекту(общая)]]-ППД5[[#This Row],[Летние]],2)</f>
        <v>78.23</v>
      </c>
      <c r="U376" s="91">
        <f>ROUND(ППД5[[#This Row],[Площадь по проекту(общая)]]-(SUM(ППД5[[#This Row],[Лоджия 1]:[Лоджия 3]])/2),2)</f>
        <v>80.97</v>
      </c>
      <c r="V376" s="91">
        <f>IF(ППД5[[#This Row],[Статус]]="продажа",ППД5[[#This Row],[Расчетная проектная площадь]],ППД5[[#This Row],[Расчетная ТП площадь]])</f>
        <v>80.97</v>
      </c>
      <c r="W376" s="91">
        <v>17</v>
      </c>
      <c r="X376" s="91">
        <v>14.5</v>
      </c>
      <c r="Y376" s="91">
        <v>14.3</v>
      </c>
      <c r="Z376" s="91">
        <f>SUM(ППД5[[#This Row],[ТП Комната 1]:[ТП Комната 3]])</f>
        <v>45.8</v>
      </c>
      <c r="AA376" s="91">
        <v>13</v>
      </c>
      <c r="AB376" s="91">
        <v>4</v>
      </c>
      <c r="AC376" s="91">
        <v>1.8</v>
      </c>
      <c r="AD376" s="91"/>
      <c r="AE376" s="91">
        <v>13.2</v>
      </c>
      <c r="AF376" s="91">
        <v>1.45</v>
      </c>
      <c r="AG376" s="91">
        <v>1.35</v>
      </c>
      <c r="AH376" s="91"/>
      <c r="AI376" s="91">
        <f>SUM(ППД5[[#This Row],[ТП Лоджия 1]:[ТП Лоджия 3]])</f>
        <v>2.8</v>
      </c>
      <c r="AJ376" s="95">
        <v>5.6</v>
      </c>
      <c r="AK376" s="233">
        <f>SUM(ППД5[[#This Row],[Площадь по ТП жилая]:[ТП Лоджия 3]])-ППД5[[#This Row],[ТП Летние]]+ППД5[[#This Row],[кроме того прочая
(без коэффициента)]]</f>
        <v>83.399999999999991</v>
      </c>
      <c r="AL376" s="95">
        <f>ППД5[[#This Row],[ТП Площадь без летних]]+(ППД5[[#This Row],[ТП Летние]])</f>
        <v>80.599999999999994</v>
      </c>
      <c r="AM376" s="233">
        <f>ППД5[[#This Row],[ТП общая S]]-ППД5[[#This Row],[кроме того прочая
(без коэффициента)]]</f>
        <v>77.8</v>
      </c>
      <c r="AN376" s="95">
        <f>SUM(ППД5[[#This Row],[ТП Кухня]:[ТП Коридор]])</f>
        <v>32</v>
      </c>
      <c r="AO376" s="233">
        <f>ППД5[[#This Row],[Расчетная ТП площадь]]-ППД5[[#This Row],[Расчетная проектная площадь]]</f>
        <v>-0.37000000000000455</v>
      </c>
      <c r="AP376" s="335">
        <f>ППД5[[#This Row],[Расчетная ТП площадь]]/ППД5[[#This Row],[Расчетная проектная площадь]]-1</f>
        <v>-4.5695936766704248E-3</v>
      </c>
      <c r="AQ376" s="233">
        <f>ППД5[[#This Row],[% расхождения]]*ППД5[[#This Row],[Стоимость до скидки]]</f>
        <v>-45783.216005928654</v>
      </c>
      <c r="AR376" s="91">
        <f>VLOOKUP(ППД5[[#This Row],[№]],наценкад5[],COLUMN(наценкад5[[#This Row],[Цена м2 с учетом всех K]]),0)</f>
        <v>79944.48000000001</v>
      </c>
      <c r="AS376" s="8">
        <f>ППД5[[#This Row],[м2 после К]]*5%</f>
        <v>3997.2240000000006</v>
      </c>
      <c r="AT376" s="8">
        <f>ППД5[[#This Row],[м2 после К]]+ППД5[[#This Row],[Повышение 16.08.23 - 5%]]</f>
        <v>83941.704000000012</v>
      </c>
      <c r="AU376" s="93">
        <f>ППД5[[#This Row],[Фикс 16.08.23]]*3%</f>
        <v>2518.2511200000004</v>
      </c>
      <c r="AV376" s="93">
        <f>ППД5[[#This Row],[Фикс 16.08.23]]+ППД5[[#This Row],[Повышение 29.08.23 - 3%]]</f>
        <v>86459.955120000013</v>
      </c>
      <c r="AW376" s="93"/>
      <c r="AX376" s="93">
        <f>ППД5[[#This Row],[Фикс 29.08.23]]+ППД5[[#This Row],[Повышение 06.09.23 СТ и 1К]]</f>
        <v>86459.955120000013</v>
      </c>
      <c r="AY376" s="93"/>
      <c r="AZ376" s="93">
        <f>ППД5[[#This Row],[Повышение 23.10.23  В4 ]]+ППД5[[#This Row],[Фикс 06.09.23]]</f>
        <v>86459.955120000013</v>
      </c>
      <c r="BA376" s="93"/>
      <c r="BB376" s="93">
        <f>ППД5[[#This Row],[Повышение 8.11.23 1К 5%]]+ППД5[[#This Row],[Фикс 23.10.23]]</f>
        <v>86459.955120000013</v>
      </c>
      <c r="BC376" s="93"/>
      <c r="BD376" s="93">
        <f>ППД5[[#This Row],[Корректировка 24.11.23 - 1К В5, 2К А2, №233]]+ППД5[[#This Row],[Фикс 8.11.23]]</f>
        <v>86459.955120000013</v>
      </c>
      <c r="BE376" s="93">
        <f>ППД5[[#This Row],[Фикс 8.11.24]]*1%</f>
        <v>864.59955120000018</v>
      </c>
      <c r="BF376" s="93">
        <f>ППД5[[#This Row],[Наценка за отделку 29.12.23 1%]]+ППД5[[#This Row],[Фикс 8.11.24]]</f>
        <v>87324.554671200007</v>
      </c>
      <c r="BG376" s="93">
        <f>ППД5[[#This Row],[Фикс 29.12.23]]*5%</f>
        <v>4366.2277335600002</v>
      </c>
      <c r="BH376" s="93">
        <f>ППД5[[#This Row],[Фикс 29.12.23]]+ППД5[[#This Row],[Наценка 10.01.24 5%]]</f>
        <v>91690.782404760001</v>
      </c>
      <c r="BI376" s="93"/>
      <c r="BJ376" s="93">
        <f>ППД5[[#This Row],[Наценка 26.02.24 1 Этаж]]+ППД5[[#This Row],[Фикс 10.01.24]]</f>
        <v>91690.782404760001</v>
      </c>
      <c r="BK376" s="93">
        <f>ППД5[[#This Row],[Фикс 26.02.24]]*2%</f>
        <v>1833.8156480952</v>
      </c>
      <c r="BL376" s="93">
        <f>ППД5[[#This Row],[Фикс 26.02.24]]+ППД5[[#This Row],[Наценка 06.03.24
СТ, 1К - 3%
2К, 3К - 2%]]</f>
        <v>93524.598052855203</v>
      </c>
      <c r="BM376" s="93"/>
      <c r="BN376" s="93">
        <f>ППД5[[#This Row],[Фикс 06.03.24]]+ППД5[[#This Row],[Наценка Г2+500]]</f>
        <v>93524.598052855203</v>
      </c>
      <c r="BO376" s="93">
        <f>ППД5[[#This Row],[Фикс 13.03.25]]*2%</f>
        <v>1870.4919610571042</v>
      </c>
      <c r="BP376" s="93">
        <f>ППД5[[#This Row],[Фикс 13.03.25]]+ППД5[[#This Row],[Наценка 20.03.24
2К, 3К - 2%]]</f>
        <v>95395.090013912311</v>
      </c>
      <c r="BQ376" s="93"/>
      <c r="BR376" s="93">
        <f>ППД5[[#This Row],[Фикс 20.03.24]]+ППД5[[#This Row],[Наценка 08.04.24 
2К: В3 - 150
3К: Г7 +1000]]</f>
        <v>95395.090013912311</v>
      </c>
      <c r="BS376" s="93">
        <f>ППД5[[#This Row],[Фикс 08.04.24]]*1%</f>
        <v>953.95090013912318</v>
      </c>
      <c r="BT376" s="93">
        <f>ППД5[[#This Row],[Фикс 08.04.24]]+ППД5[[#This Row],[Наценка 16.05.24 1%
А4,А6,Б3,Б6,Б7,В2,В3,В5,В6,Г1,Г3-Г5]]</f>
        <v>96349.040914051438</v>
      </c>
      <c r="BU376" s="93"/>
      <c r="BV376" s="93">
        <f>ППД5[[#This Row],[Фикс 16.05.24]]+ППД5[[#This Row],[Наценка 24.05.24
1% - Б4, Б5,Г2,Г6
2% - А1,А3,А5,Б2,Г7]]</f>
        <v>96349.040914051438</v>
      </c>
      <c r="BW376" s="93">
        <f>ППД5[[#This Row],[Фикс 24.05.24]]*0.5%</f>
        <v>481.74520457025721</v>
      </c>
      <c r="BX376" s="93">
        <f>ППД5[[#This Row],[Наценка 06.06.24
0К: В2,Г3 +0,5%
1К: А7, Б5/4, Г6 +0,5%
3К: В6 +0,5%
1К: А3 +1%]]+ППД5[[#This Row],[Фикс 24.05.24]]</f>
        <v>96830.786118621691</v>
      </c>
      <c r="BY376" s="93">
        <f>ППД5[[#This Row],[Фикс 06.06.24]]*2%</f>
        <v>1936.6157223724338</v>
      </c>
      <c r="BZ376" s="93">
        <f>ППД5[[#This Row],[Фикс 06.06.24]]+ППД5[[#This Row],[13.06.2024
3К - 2%]]</f>
        <v>98767.40184099412</v>
      </c>
      <c r="CA376" s="93">
        <f>1.5%*ППД5[[#This Row],[Фикс 13.06.24]]</f>
        <v>1481.5110276149117</v>
      </c>
      <c r="CB376" s="93">
        <f>ППД5[[#This Row],[02.07.2024: Г3 А1 А3 Б5 Б7 Г2 Г6 Б3 Б4 В3 Г7 2,5% ост 0,5-1,5%]]+ППД5[[#This Row],[Фикс 13.06.24]]</f>
        <v>100248.91286860903</v>
      </c>
      <c r="CC376" s="93"/>
      <c r="CD376" s="93">
        <f>ППД5[[#This Row],[Фикс 02.07.24]]+ППД5[[#This Row],[04.09.2024 +500
0К - Б2; 1К - А3;
2К - А6, Б4, В3, Г5]]</f>
        <v>100248.91286860903</v>
      </c>
      <c r="CE376" s="93">
        <f>ППД5[[#This Row],[Фикс 04.09.24]]*4%</f>
        <v>4009.9565147443614</v>
      </c>
      <c r="CF376" s="93">
        <f>ППД5[[#This Row],[Наценка 16.09.2024
1К: А1,В7,Г6/7,Г8 - 2%
2К: А4,А5,А6,Б1,Б6,Б3/4,В3,В4,Г4,Г5 - 4%
3К: 4%]]+ППД5[[#This Row],[Фикс 04.09.24]]</f>
        <v>104258.86938335339</v>
      </c>
      <c r="CG376" s="93">
        <f>ППД5[[#This Row],[Фикс 16.09.2024]]*5%</f>
        <v>5212.9434691676697</v>
      </c>
      <c r="CH376" s="93">
        <f>ППД5[[#This Row],[Фикс 16.09.2024]]+ППД5[[#This Row],[Наценка 01.11.24
СТ: 4%
1К: 34-40м 5%; 40м+ 8%; МГН 1%
2К: 55-70м 6%; 70-73м 7%; 73-76м 8% 
3К: 5%]]</f>
        <v>109471.81285252106</v>
      </c>
      <c r="CI376" s="93">
        <f>ППД5[[#This Row],[Фикс 01.11.24]]*13%</f>
        <v>14231.335670827739</v>
      </c>
      <c r="CJ376" s="93">
        <f>ППД5[[#This Row],[Наценка 06.11 13%]]+ППД5[[#This Row],[Фикс 01.11.24]]</f>
        <v>123703.14852334881</v>
      </c>
      <c r="CK376" s="93">
        <v>35</v>
      </c>
      <c r="CL376" s="93">
        <f>ППД5[[#This Row],[Фикс 06.11.24]]+ППД5[[#This Row],[Наценка 18.12.24 распределение КВ]]</f>
        <v>123738.14852334881</v>
      </c>
      <c r="CM376" s="93"/>
      <c r="CN376" s="93">
        <f>ППД5[[#This Row],[Фикс 18.12.24]]+ППД5[[#This Row],[Наценка 10.02.25 +1%
1К: А3
2К: Б3, В3]]</f>
        <v>123738.14852334881</v>
      </c>
      <c r="CO376" s="208">
        <f>ROUND(ППД5[[#This Row],[Фикс 10.02.25]],2)</f>
        <v>123738.15</v>
      </c>
      <c r="CP376" s="208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10019100</v>
      </c>
      <c r="CQ376" s="208">
        <f>ROUNDUP(ППД5[[#This Row],[Стоимость до скидки]]+ППД5[[#This Row],[Сумма доплаты]],-2)</f>
        <v>9973400</v>
      </c>
      <c r="CR376" s="68">
        <v>4019100</v>
      </c>
      <c r="CS376" s="90"/>
      <c r="CT376" s="68">
        <f>ППД5[[#This Row],[Стоимость до скидки]]*ППД5[[#This Row],[Скидка %]]+ППД5[[#This Row],[Скидка фиксированная]]</f>
        <v>4019100</v>
      </c>
      <c r="CU376" s="68">
        <f>ППД5[[#This Row],[Стоимость ОН без отделки со скидкой]]/ППД5[[#This Row],[Расчетная проектная площадь]]</f>
        <v>74101.519081141159</v>
      </c>
      <c r="CV376" s="68">
        <f>ROUND(ППД5[[#This Row],[Стоимость до скидки]]-ППД5[[#This Row],[Итоговая сумма скидки]],2)</f>
        <v>6000000</v>
      </c>
      <c r="CW376" s="68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76" s="217"/>
      <c r="CY376" s="210">
        <f>ППД5[[#This Row],[Расхождение]]/ППД5[[#This Row],[Расчетная проектная площадь]]</f>
        <v>-4.5695936766704283E-3</v>
      </c>
      <c r="CZ376" s="330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-5.0000000000002487E-2</v>
      </c>
      <c r="DA376" s="68">
        <f>ППД5[[#This Row],[Цена м2 без отделки со скидкой]]+ППД5[[#This Row],[Стоимость отделки]]</f>
        <v>74101.519081141159</v>
      </c>
      <c r="DB376" s="68">
        <f>ППД5[[#This Row],[Стоимость квартиры с отделкой]]-ППД5[[#This Row],[Стоимость ОН без отделки со скидкой]]</f>
        <v>0</v>
      </c>
      <c r="DC376" s="68">
        <f>ППД5[[#This Row],[Цена м2 с отделкой]]*ППД5[[#This Row],[Расчетная проектная площадь]]</f>
        <v>6000000</v>
      </c>
      <c r="DD376" s="68"/>
      <c r="DE376" s="222" t="s">
        <v>2103</v>
      </c>
      <c r="DF376" s="215" t="s">
        <v>172</v>
      </c>
      <c r="DG376" s="353" t="s">
        <v>172</v>
      </c>
      <c r="DH376" s="234" t="b">
        <f>EXACT(ППД5[[#This Row],[Статусы CRM]],ППД5[[#This Row],[Статус]])</f>
        <v>1</v>
      </c>
      <c r="DI376" s="213" t="s">
        <v>548</v>
      </c>
      <c r="DJ376" s="204"/>
      <c r="DK376" s="111" t="s">
        <v>763</v>
      </c>
      <c r="DL376" s="215" t="s">
        <v>12</v>
      </c>
      <c r="DM376" s="222" t="b">
        <f>ППД5[[#This Row],[Отделка CRM]]=ППД5[[#This Row],[Отделка]]</f>
        <v>1</v>
      </c>
      <c r="DN376" s="235">
        <v>6000000</v>
      </c>
      <c r="DO376" s="235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76" s="222" t="b">
        <f>IF(AND(ППД5[[#This Row],[Статус]]="свободно",ППД5[[#This Row],[Итоговая сумма скидки]]&lt;&gt;0),FALSE,TRUE)</f>
        <v>1</v>
      </c>
      <c r="DQ376" s="240">
        <f>_xlfn.XLOOKUP(ППД5[[#This Row],[№]],Юрист[№ кв],Юрист[Дата подачи на регистрацию]," ",0,-1)</f>
        <v>45747</v>
      </c>
      <c r="DR376" s="115" t="str">
        <f>_xlfn.XLOOKUP(ППД5[[#This Row],[№]],Юрист[№ кв],Юрист[МОП],"",0,-1)</f>
        <v>Полехович</v>
      </c>
      <c r="DS376" s="333" t="s">
        <v>3044</v>
      </c>
      <c r="DT376" s="333" t="s">
        <v>3045</v>
      </c>
      <c r="DU376" s="333">
        <v>77.8</v>
      </c>
      <c r="DV376" s="111"/>
    </row>
    <row r="377" spans="1:126" hidden="1" x14ac:dyDescent="0.25">
      <c r="A377" s="112">
        <v>375</v>
      </c>
      <c r="B377" s="111" t="s">
        <v>3</v>
      </c>
      <c r="C377" s="111">
        <v>22</v>
      </c>
      <c r="D377" s="111">
        <v>7</v>
      </c>
      <c r="E377" s="111">
        <v>1</v>
      </c>
      <c r="F377" s="105">
        <v>14.3</v>
      </c>
      <c r="G377" s="105"/>
      <c r="H377" s="105"/>
      <c r="I377" s="94">
        <f>SUM(ППД5[[#This Row],[Комната 1]:[Комната 3]])</f>
        <v>14.3</v>
      </c>
      <c r="J377" s="105">
        <v>9.2799999999999994</v>
      </c>
      <c r="K377" s="105">
        <v>3.79</v>
      </c>
      <c r="L377" s="105"/>
      <c r="M377" s="105"/>
      <c r="N377" s="105">
        <v>6.08</v>
      </c>
      <c r="O377" s="105">
        <v>2.71</v>
      </c>
      <c r="P377" s="105"/>
      <c r="Q377" s="105"/>
      <c r="R377" s="105">
        <f>SUM(ППД5[[#This Row],[Лоджия 1]:[Лоджия 3]])</f>
        <v>2.71</v>
      </c>
      <c r="S377" s="8">
        <f>ROUND(SUM(ППД5[[#This Row],[Площадь по проекту жилая]:[Лоджия 3]]),2)</f>
        <v>36.159999999999997</v>
      </c>
      <c r="T377" s="8">
        <f>ROUND(ППД5[[#This Row],[Площадь по проекту(общая)]]-ППД5[[#This Row],[Летние]],2)</f>
        <v>33.450000000000003</v>
      </c>
      <c r="U377" s="91">
        <f>ROUND(ППД5[[#This Row],[Площадь по проекту(общая)]]-(SUM(ППД5[[#This Row],[Лоджия 1]:[Лоджия 3]])/2),2)</f>
        <v>34.81</v>
      </c>
      <c r="V377" s="91">
        <f>IF(ППД5[[#This Row],[Статус]]="продажа",ППД5[[#This Row],[Расчетная проектная площадь]],ППД5[[#This Row],[Расчетная ТП площадь]])</f>
        <v>34.81</v>
      </c>
      <c r="W377" s="91">
        <v>14.3</v>
      </c>
      <c r="X377" s="91"/>
      <c r="Y377" s="91"/>
      <c r="Z377" s="91">
        <f>SUM(ППД5[[#This Row],[ТП Комната 1]:[ТП Комната 3]])</f>
        <v>14.3</v>
      </c>
      <c r="AA377" s="91">
        <v>9.3000000000000007</v>
      </c>
      <c r="AB377" s="91">
        <v>3.8</v>
      </c>
      <c r="AC377" s="91"/>
      <c r="AD377" s="91"/>
      <c r="AE377" s="91">
        <v>6.3</v>
      </c>
      <c r="AF377" s="91">
        <v>1.35</v>
      </c>
      <c r="AG377" s="91"/>
      <c r="AH377" s="91"/>
      <c r="AI377" s="91">
        <f>SUM(ППД5[[#This Row],[ТП Лоджия 1]:[ТП Лоджия 3]])</f>
        <v>1.35</v>
      </c>
      <c r="AJ377" s="95">
        <v>2.7</v>
      </c>
      <c r="AK377" s="91">
        <f>SUM(ППД5[[#This Row],[Площадь по ТП жилая]:[ТП Лоджия 3]])-ППД5[[#This Row],[ТП Летние]]+ППД5[[#This Row],[кроме того прочая
(без коэффициента)]]</f>
        <v>36.400000000000006</v>
      </c>
      <c r="AL377" s="95">
        <f>ППД5[[#This Row],[ТП Площадь без летних]]+(ППД5[[#This Row],[ТП Летние]])</f>
        <v>35.050000000000004</v>
      </c>
      <c r="AM377" s="91">
        <f>ППД5[[#This Row],[ТП общая S]]-ППД5[[#This Row],[кроме того прочая
(без коэффициента)]]</f>
        <v>33.700000000000003</v>
      </c>
      <c r="AN377" s="95">
        <f>SUM(ППД5[[#This Row],[ТП Кухня]:[ТП Коридор]])</f>
        <v>19.400000000000002</v>
      </c>
      <c r="AO377" s="91">
        <f>ППД5[[#This Row],[Расчетная ТП площадь]]-ППД5[[#This Row],[Расчетная проектная площадь]]</f>
        <v>0.24000000000000199</v>
      </c>
      <c r="AP377" s="335">
        <f>ППД5[[#This Row],[Расчетная ТП площадь]]/ППД5[[#This Row],[Расчетная проектная площадь]]-1</f>
        <v>6.8945705257110745E-3</v>
      </c>
      <c r="AQ377" s="91">
        <f>ППД5[[#This Row],[% расхождения]]*ППД5[[#This Row],[Стоимость до скидки]]</f>
        <v>28603.504740017535</v>
      </c>
      <c r="AR377" s="91">
        <f>VLOOKUP(ППД5[[#This Row],[№]],наценкад5[],COLUMN(наценкад5[[#This Row],[Цена м2 с учетом всех K]]),0)</f>
        <v>92062.6875</v>
      </c>
      <c r="AS377" s="8">
        <f>ППД5[[#This Row],[м2 после К]]*5%</f>
        <v>4603.1343750000005</v>
      </c>
      <c r="AT377" s="8">
        <f>ППД5[[#This Row],[м2 после К]]+ППД5[[#This Row],[Повышение 16.08.23 - 5%]]</f>
        <v>96665.821874999994</v>
      </c>
      <c r="AU377" s="93">
        <f>ППД5[[#This Row],[Фикс 16.08.23]]*3%</f>
        <v>2899.9746562499995</v>
      </c>
      <c r="AV377" s="93">
        <f>ППД5[[#This Row],[Фикс 16.08.23]]+ППД5[[#This Row],[Повышение 29.08.23 - 3%]]</f>
        <v>99565.796531249987</v>
      </c>
      <c r="AW377" s="93">
        <f>ППД5[[#This Row],[Фикс 29.08.23]]*14%</f>
        <v>13939.211514375</v>
      </c>
      <c r="AX377" s="93">
        <f>ППД5[[#This Row],[Фикс 29.08.23]]+ППД5[[#This Row],[Повышение 06.09.23 СТ и 1К]]</f>
        <v>113505.00804562499</v>
      </c>
      <c r="AY377" s="93"/>
      <c r="AZ377" s="93">
        <f>ППД5[[#This Row],[Повышение 23.10.23  В4 ]]+ППД5[[#This Row],[Фикс 06.09.23]]</f>
        <v>113505.00804562499</v>
      </c>
      <c r="BA377" s="93">
        <f>ППД5[[#This Row],[Фикс 23.10.23]]*5%</f>
        <v>5675.25040228125</v>
      </c>
      <c r="BB377" s="93">
        <f>ППД5[[#This Row],[Повышение 8.11.23 1К 5%]]+ППД5[[#This Row],[Фикс 23.10.23]]</f>
        <v>119180.25844790624</v>
      </c>
      <c r="BC377" s="93"/>
      <c r="BD377" s="93">
        <f>ППД5[[#This Row],[Корректировка 24.11.23 - 1К В5, 2К А2, №233]]+ППД5[[#This Row],[Фикс 8.11.23]]</f>
        <v>119180.25844790624</v>
      </c>
      <c r="BE377" s="93"/>
      <c r="BF377" s="93">
        <f>ППД5[[#This Row],[Наценка за отделку 29.12.23 1%]]+ППД5[[#This Row],[Фикс 8.11.24]]</f>
        <v>119180.25844790624</v>
      </c>
      <c r="BG377" s="93"/>
      <c r="BH377" s="93">
        <f>ППД5[[#This Row],[Фикс 29.12.23]]+ППД5[[#This Row],[Наценка 10.01.24 5%]]</f>
        <v>119180.25844790624</v>
      </c>
      <c r="BI377" s="93"/>
      <c r="BJ377" s="93">
        <f>ППД5[[#This Row],[Наценка 26.02.24 1 Этаж]]+ППД5[[#This Row],[Фикс 10.01.24]]</f>
        <v>119180.25844790624</v>
      </c>
      <c r="BK377" s="93"/>
      <c r="BL377" s="93">
        <f>ППД5[[#This Row],[Фикс 26.02.24]]+ППД5[[#This Row],[Наценка 06.03.24
СТ, 1К - 3%
2К, 3К - 2%]]</f>
        <v>119180.25844790624</v>
      </c>
      <c r="BM377" s="93"/>
      <c r="BN377" s="93">
        <f>ППД5[[#This Row],[Фикс 06.03.24]]+ППД5[[#This Row],[Наценка Г2+500]]</f>
        <v>119180.25844790624</v>
      </c>
      <c r="BO377" s="93"/>
      <c r="BP377" s="93">
        <f>ППД5[[#This Row],[Фикс 13.03.25]]+ППД5[[#This Row],[Наценка 20.03.24
2К, 3К - 2%]]</f>
        <v>119180.25844790624</v>
      </c>
      <c r="BQ377" s="93"/>
      <c r="BR377" s="93">
        <f>ППД5[[#This Row],[Фикс 20.03.24]]+ППД5[[#This Row],[Наценка 08.04.24 
2К: В3 - 150
3К: Г7 +1000]]</f>
        <v>119180.25844790624</v>
      </c>
      <c r="BS377" s="93"/>
      <c r="BT377" s="93">
        <f>ППД5[[#This Row],[Фикс 08.04.24]]+ППД5[[#This Row],[Наценка 16.05.24 1%
А4,А6,Б3,Б6,Б7,В2,В3,В5,В6,Г1,Г3-Г5]]</f>
        <v>119180.25844790624</v>
      </c>
      <c r="BU377" s="93"/>
      <c r="BV377" s="93">
        <f>ППД5[[#This Row],[Фикс 16.05.24]]+ППД5[[#This Row],[Наценка 24.05.24
1% - Б4, Б5,Г2,Г6
2% - А1,А3,А5,Б2,Г7]]</f>
        <v>119180.25844790624</v>
      </c>
      <c r="BW377" s="93"/>
      <c r="BX377" s="93">
        <f>ППД5[[#This Row],[Наценка 06.06.24
0К: В2,Г3 +0,5%
1К: А7, Б5/4, Г6 +0,5%
3К: В6 +0,5%
1К: А3 +1%]]+ППД5[[#This Row],[Фикс 24.05.24]]</f>
        <v>119180.25844790624</v>
      </c>
      <c r="BY377" s="93"/>
      <c r="BZ377" s="93">
        <f>ППД5[[#This Row],[Фикс 06.06.24]]+ППД5[[#This Row],[13.06.2024
3К - 2%]]</f>
        <v>119180.25844790624</v>
      </c>
      <c r="CA377" s="93"/>
      <c r="CB377" s="93">
        <f>ППД5[[#This Row],[02.07.2024: Г3 А1 А3 Б5 Б7 Г2 Г6 Б3 Б4 В3 Г7 2,5% ост 0,5-1,5%]]+ППД5[[#This Row],[Фикс 13.06.24]]</f>
        <v>119180.25844790624</v>
      </c>
      <c r="CC377" s="93"/>
      <c r="CD377" s="93">
        <f>ППД5[[#This Row],[Фикс 02.07.24]]+ППД5[[#This Row],[04.09.2024 +500
0К - Б2; 1К - А3;
2К - А6, Б4, В3, Г5]]</f>
        <v>119180.25844790624</v>
      </c>
      <c r="CE377" s="93"/>
      <c r="CF377" s="93">
        <f>ППД5[[#This Row],[Наценка 16.09.2024
1К: А1,В7,Г6/7,Г8 - 2%
2К: А4,А5,А6,Б1,Б6,Б3/4,В3,В4,Г4,Г5 - 4%
3К: 4%]]+ППД5[[#This Row],[Фикс 04.09.24]]</f>
        <v>119180.25844790624</v>
      </c>
      <c r="CG377" s="93"/>
      <c r="CH377" s="93">
        <f>ППД5[[#This Row],[Фикс 16.09.2024]]+ППД5[[#This Row],[Наценка 01.11.24
СТ: 4%
1К: 34-40м 5%; 40м+ 8%; МГН 1%
2К: 55-70м 6%; 70-73м 7%; 73-76м 8% 
3К: 5%]]</f>
        <v>119180.25844790624</v>
      </c>
      <c r="CI377" s="93"/>
      <c r="CJ377" s="93">
        <f>ППД5[[#This Row],[Наценка 06.11 13%]]+ППД5[[#This Row],[Фикс 01.11.24]]</f>
        <v>119180.25844790624</v>
      </c>
      <c r="CK377" s="93"/>
      <c r="CL377" s="93">
        <f>ППД5[[#This Row],[Фикс 06.11.24]]+ППД5[[#This Row],[Наценка 18.12.24 распределение КВ]]</f>
        <v>119180.25844790624</v>
      </c>
      <c r="CM377" s="93"/>
      <c r="CN377" s="93">
        <f>ППД5[[#This Row],[Фикс 18.12.24]]+ППД5[[#This Row],[Наценка 10.02.25 +1%
1К: А3
2К: Б3, В3]]</f>
        <v>119180.25844790624</v>
      </c>
      <c r="CO377" s="93">
        <f>ROUND(ППД5[[#This Row],[Фикс 10.02.25]],2)</f>
        <v>119180.26</v>
      </c>
      <c r="CP37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4148700</v>
      </c>
      <c r="CQ377" s="93">
        <f>ROUNDUP(ППД5[[#This Row],[Стоимость до скидки]]+ППД5[[#This Row],[Сумма доплаты]],-2)</f>
        <v>4177400</v>
      </c>
      <c r="CR377" s="68"/>
      <c r="CS377" s="90">
        <v>0.05</v>
      </c>
      <c r="CT377" s="68">
        <f>ППД5[[#This Row],[Стоимость до скидки]]*ППД5[[#This Row],[Скидка %]]+ППД5[[#This Row],[Скидка фиксированная]]</f>
        <v>207435</v>
      </c>
      <c r="CU377" s="3">
        <f>ППД5[[#This Row],[Стоимость ОН без отделки со скидкой]]/ППД5[[#This Row],[Расчетная проектная площадь]]</f>
        <v>113222.20626256822</v>
      </c>
      <c r="CV377" s="3">
        <f>ROUND(ППД5[[#This Row],[Стоимость до скидки]]-ППД5[[#This Row],[Итоговая сумма скидки]],2)</f>
        <v>3941265</v>
      </c>
      <c r="CW37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77" s="197">
        <v>22000</v>
      </c>
      <c r="CY377" s="332">
        <f>ППД5[[#This Row],[Расхождение]]/ППД5[[#This Row],[Расчетная проектная площадь]]</f>
        <v>6.8945705257110589E-3</v>
      </c>
      <c r="CZ37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0.25000000000000178</v>
      </c>
      <c r="DA377" s="3">
        <f>ППД5[[#This Row],[Цена м2 без отделки со скидкой]]+ППД5[[#This Row],[Стоимость отделки]]</f>
        <v>135222.20626256822</v>
      </c>
      <c r="DB377" s="3">
        <f>ППД5[[#This Row],[Стоимость квартиры с отделкой]]-ППД5[[#This Row],[Стоимость ОН без отделки со скидкой]]</f>
        <v>765820</v>
      </c>
      <c r="DC377" s="3">
        <f>ППД5[[#This Row],[Цена м2 с отделкой]]*ППД5[[#This Row],[Расчетная проектная площадь]]</f>
        <v>4707085</v>
      </c>
      <c r="DD377" s="3" t="s">
        <v>154</v>
      </c>
      <c r="DE377" s="111" t="s">
        <v>162</v>
      </c>
      <c r="DF377" s="199" t="s">
        <v>172</v>
      </c>
      <c r="DG377" s="245" t="s">
        <v>172</v>
      </c>
      <c r="DH377" s="100" t="b">
        <f>EXACT(ППД5[[#This Row],[Статусы CRM]],ППД5[[#This Row],[Статус]])</f>
        <v>1</v>
      </c>
      <c r="DI377" s="213" t="s">
        <v>549</v>
      </c>
      <c r="DJ377" s="204"/>
      <c r="DK377" s="111" t="s">
        <v>763</v>
      </c>
      <c r="DL377" s="216" t="s">
        <v>14</v>
      </c>
      <c r="DM377" s="201" t="b">
        <f>ППД5[[#This Row],[Отделка CRM]]=ППД5[[#This Row],[Отделка]]</f>
        <v>1</v>
      </c>
      <c r="DN377" s="203">
        <v>4707085</v>
      </c>
      <c r="DO37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77" s="207" t="b">
        <f>IF(AND(ППД5[[#This Row],[Статус]]="свободно",ППД5[[#This Row],[Итоговая сумма скидки]]&lt;&gt;0),FALSE,TRUE)</f>
        <v>1</v>
      </c>
      <c r="DQ377" s="240">
        <f>_xlfn.XLOOKUP(ППД5[[#This Row],[№]],Юрист[№ кв],Юрист[Дата подачи на регистрацию]," ",0,-1)</f>
        <v>45287</v>
      </c>
      <c r="DR377" s="115" t="str">
        <f>_xlfn.XLOOKUP(ППД5[[#This Row],[№]],Юрист[№ кв],Юрист[МОП],"",0,-1)</f>
        <v>Полехович</v>
      </c>
      <c r="DS377" s="333" t="s">
        <v>3046</v>
      </c>
      <c r="DT377" s="333" t="s">
        <v>3047</v>
      </c>
      <c r="DU377" s="333">
        <v>33.700000000000003</v>
      </c>
      <c r="DV377" s="111"/>
    </row>
    <row r="378" spans="1:126" hidden="1" x14ac:dyDescent="0.25">
      <c r="A378" s="112">
        <v>376</v>
      </c>
      <c r="B378" s="111" t="s">
        <v>3</v>
      </c>
      <c r="C378" s="111">
        <v>23</v>
      </c>
      <c r="D378" s="338">
        <v>1</v>
      </c>
      <c r="E378" s="111">
        <v>2</v>
      </c>
      <c r="F378" s="105">
        <v>17.63</v>
      </c>
      <c r="G378" s="105">
        <v>13.69</v>
      </c>
      <c r="H378" s="105"/>
      <c r="I378" s="94">
        <f>SUM(ППД5[[#This Row],[Комната 1]:[Комната 3]])</f>
        <v>31.32</v>
      </c>
      <c r="J378" s="105">
        <v>20.05</v>
      </c>
      <c r="K378" s="105">
        <v>3.54</v>
      </c>
      <c r="L378" s="105">
        <v>2.93</v>
      </c>
      <c r="M378" s="105"/>
      <c r="N378" s="105">
        <v>12.19</v>
      </c>
      <c r="O378" s="105">
        <v>4.6500000000000004</v>
      </c>
      <c r="P378" s="105">
        <v>2.68</v>
      </c>
      <c r="Q378" s="105"/>
      <c r="R378" s="105">
        <f>SUM(ППД5[[#This Row],[Лоджия 1]:[Лоджия 3]])</f>
        <v>7.33</v>
      </c>
      <c r="S378" s="8">
        <f>ROUND(SUM(ППД5[[#This Row],[Площадь по проекту жилая]:[Лоджия 3]]),2)</f>
        <v>77.36</v>
      </c>
      <c r="T378" s="8">
        <f>ROUND(ППД5[[#This Row],[Площадь по проекту(общая)]]-ППД5[[#This Row],[Летние]],2)</f>
        <v>70.03</v>
      </c>
      <c r="U378" s="91">
        <f>ROUND(ППД5[[#This Row],[Площадь по проекту(общая)]]-(SUM(ППД5[[#This Row],[Лоджия 1]:[Лоджия 3]])/2),2)</f>
        <v>73.7</v>
      </c>
      <c r="V378" s="91">
        <f>IF(ППД5[[#This Row],[Статус]]="продажа",ППД5[[#This Row],[Расчетная проектная площадь]],ППД5[[#This Row],[Расчетная ТП площадь]])</f>
        <v>73.7</v>
      </c>
      <c r="W378" s="91">
        <v>17.600000000000001</v>
      </c>
      <c r="X378" s="91">
        <v>13.6</v>
      </c>
      <c r="Y378" s="91"/>
      <c r="Z378" s="91">
        <f>SUM(ППД5[[#This Row],[ТП Комната 1]:[ТП Комната 3]])</f>
        <v>31.200000000000003</v>
      </c>
      <c r="AA378" s="91">
        <v>20</v>
      </c>
      <c r="AB378" s="91">
        <v>3.5</v>
      </c>
      <c r="AC378" s="91">
        <v>2.9</v>
      </c>
      <c r="AD378" s="91"/>
      <c r="AE378" s="91">
        <v>12.2</v>
      </c>
      <c r="AF378" s="91">
        <v>1.3</v>
      </c>
      <c r="AG378" s="91">
        <v>2.2999999999999998</v>
      </c>
      <c r="AH378" s="91"/>
      <c r="AI378" s="91">
        <f>SUM(ППД5[[#This Row],[ТП Лоджия 1]:[ТП Лоджия 3]])</f>
        <v>3.5999999999999996</v>
      </c>
      <c r="AJ378" s="95">
        <v>7.1999999999999993</v>
      </c>
      <c r="AK378" s="91">
        <f>SUM(ППД5[[#This Row],[Площадь по ТП жилая]:[ТП Лоджия 3]])-ППД5[[#This Row],[ТП Летние]]+ППД5[[#This Row],[кроме того прочая
(без коэффициента)]]</f>
        <v>77</v>
      </c>
      <c r="AL378" s="95">
        <f>ППД5[[#This Row],[ТП Площадь без летних]]+(ППД5[[#This Row],[ТП Летние]])</f>
        <v>73.399999999999991</v>
      </c>
      <c r="AM378" s="91">
        <f>ППД5[[#This Row],[ТП общая S]]-ППД5[[#This Row],[кроме того прочая
(без коэффициента)]]</f>
        <v>69.8</v>
      </c>
      <c r="AN378" s="95">
        <f>SUM(ППД5[[#This Row],[ТП Кухня]:[ТП Коридор]])</f>
        <v>38.599999999999994</v>
      </c>
      <c r="AO378" s="91">
        <f>ППД5[[#This Row],[Расчетная ТП площадь]]-ППД5[[#This Row],[Расчетная проектная площадь]]</f>
        <v>-0.30000000000001137</v>
      </c>
      <c r="AP378" s="335">
        <f>ППД5[[#This Row],[Расчетная ТП площадь]]/ППД5[[#This Row],[Расчетная проектная площадь]]-1</f>
        <v>-4.070556309362483E-3</v>
      </c>
      <c r="AQ378" s="91">
        <f>ППД5[[#This Row],[% расхождения]]*ППД5[[#This Row],[Стоимость до скидки]]</f>
        <v>-30559.294436907905</v>
      </c>
      <c r="AR378" s="91">
        <f>VLOOKUP(ППД5[[#This Row],[№]],наценкад5[],COLUMN(наценкад5[[#This Row],[Цена м2 с учетом всех K]]),0)</f>
        <v>84941.010000000009</v>
      </c>
      <c r="AS378" s="8">
        <f>ППД5[[#This Row],[м2 после К]]*5%</f>
        <v>4247.0505000000003</v>
      </c>
      <c r="AT378" s="8">
        <f>ППД5[[#This Row],[м2 после К]]+ППД5[[#This Row],[Повышение 16.08.23 - 5%]]</f>
        <v>89188.060500000007</v>
      </c>
      <c r="AU378" s="93">
        <f>ППД5[[#This Row],[Фикс 16.08.23]]*3%</f>
        <v>2675.641815</v>
      </c>
      <c r="AV378" s="93">
        <f>ППД5[[#This Row],[Фикс 16.08.23]]+ППД5[[#This Row],[Повышение 29.08.23 - 3%]]</f>
        <v>91863.702315000002</v>
      </c>
      <c r="AW378" s="93"/>
      <c r="AX378" s="93">
        <f>ППД5[[#This Row],[Фикс 29.08.23]]+ППД5[[#This Row],[Повышение 06.09.23 СТ и 1К]]</f>
        <v>91863.702315000002</v>
      </c>
      <c r="AY378" s="93"/>
      <c r="AZ378" s="93">
        <f>ППД5[[#This Row],[Повышение 23.10.23  В4 ]]+ППД5[[#This Row],[Фикс 06.09.23]]</f>
        <v>91863.702315000002</v>
      </c>
      <c r="BA378" s="93"/>
      <c r="BB378" s="93">
        <f>ППД5[[#This Row],[Повышение 8.11.23 1К 5%]]+ППД5[[#This Row],[Фикс 23.10.23]]</f>
        <v>91863.702315000002</v>
      </c>
      <c r="BC378" s="93"/>
      <c r="BD378" s="93">
        <f>ППД5[[#This Row],[Корректировка 24.11.23 - 1К В5, 2К А2, №233]]+ППД5[[#This Row],[Фикс 8.11.23]]</f>
        <v>91863.702315000002</v>
      </c>
      <c r="BE378" s="93">
        <f>ППД5[[#This Row],[Фикс 8.11.24]]*1%</f>
        <v>918.63702315</v>
      </c>
      <c r="BF378" s="93">
        <f>ППД5[[#This Row],[Наценка за отделку 29.12.23 1%]]+ППД5[[#This Row],[Фикс 8.11.24]]</f>
        <v>92782.339338150006</v>
      </c>
      <c r="BG378" s="93">
        <f>ППД5[[#This Row],[Фикс 29.12.23]]*5%</f>
        <v>4639.1169669075007</v>
      </c>
      <c r="BH378" s="93">
        <f>ППД5[[#This Row],[Фикс 29.12.23]]+ППД5[[#This Row],[Наценка 10.01.24 5%]]</f>
        <v>97421.456305057509</v>
      </c>
      <c r="BI378" s="93"/>
      <c r="BJ378" s="93">
        <f>ППД5[[#This Row],[Наценка 26.02.24 1 Этаж]]+ППД5[[#This Row],[Фикс 10.01.24]]</f>
        <v>97421.456305057509</v>
      </c>
      <c r="BK378" s="93">
        <f>ППД5[[#This Row],[Фикс 26.02.24]]*2%</f>
        <v>1948.4291261011501</v>
      </c>
      <c r="BL378" s="93">
        <f>ППД5[[#This Row],[Фикс 26.02.24]]+ППД5[[#This Row],[Наценка 06.03.24
СТ, 1К - 3%
2К, 3К - 2%]]</f>
        <v>99369.885431158662</v>
      </c>
      <c r="BM378" s="93"/>
      <c r="BN378" s="93">
        <f>ППД5[[#This Row],[Фикс 06.03.24]]+ППД5[[#This Row],[Наценка Г2+500]]</f>
        <v>99369.885431158662</v>
      </c>
      <c r="BO378" s="93">
        <f>ППД5[[#This Row],[Фикс 13.03.25]]*2%</f>
        <v>1987.3977086231732</v>
      </c>
      <c r="BP378" s="93">
        <f>ППД5[[#This Row],[Фикс 13.03.25]]+ППД5[[#This Row],[Наценка 20.03.24
2К, 3К - 2%]]</f>
        <v>101357.28313978184</v>
      </c>
      <c r="BQ378" s="93"/>
      <c r="BR378" s="93">
        <f>ППД5[[#This Row],[Фикс 20.03.24]]+ППД5[[#This Row],[Наценка 08.04.24 
2К: В3 - 150
3К: Г7 +1000]]</f>
        <v>101357.28313978184</v>
      </c>
      <c r="BS378" s="93"/>
      <c r="BT378" s="93">
        <f>ППД5[[#This Row],[Фикс 08.04.24]]+ППД5[[#This Row],[Наценка 16.05.24 1%
А4,А6,Б3,Б6,Б7,В2,В3,В5,В6,Г1,Г3-Г5]]</f>
        <v>101357.28313978184</v>
      </c>
      <c r="BU378" s="93"/>
      <c r="BV378" s="93">
        <f>ППД5[[#This Row],[Фикс 16.05.24]]+ППД5[[#This Row],[Наценка 24.05.24
1% - Б4, Б5,Г2,Г6
2% - А1,А3,А5,Б2,Г7]]</f>
        <v>101357.28313978184</v>
      </c>
      <c r="BW378" s="93"/>
      <c r="BX378" s="93">
        <f>ППД5[[#This Row],[Наценка 06.06.24
0К: В2,Г3 +0,5%
1К: А7, Б5/4, Г6 +0,5%
3К: В6 +0,5%
1К: А3 +1%]]+ППД5[[#This Row],[Фикс 24.05.24]]</f>
        <v>101357.28313978184</v>
      </c>
      <c r="BY378" s="93"/>
      <c r="BZ378" s="93">
        <f>ППД5[[#This Row],[Фикс 06.06.24]]+ППД5[[#This Row],[13.06.2024
3К - 2%]]</f>
        <v>101357.28313978184</v>
      </c>
      <c r="CA378" s="93">
        <f>0.5%*ППД5[[#This Row],[Фикс 13.06.24]]</f>
        <v>506.7864156989092</v>
      </c>
      <c r="CB378" s="93">
        <f>ППД5[[#This Row],[02.07.2024: Г3 А1 А3 Б5 Б7 Г2 Г6 Б3 Б4 В3 Г7 2,5% ост 0,5-1,5%]]+ППД5[[#This Row],[Фикс 13.06.24]]</f>
        <v>101864.06955548075</v>
      </c>
      <c r="CC378" s="93"/>
      <c r="CD378" s="93">
        <f>ППД5[[#This Row],[Фикс 02.07.24]]+ППД5[[#This Row],[04.09.2024 +500
0К - Б2; 1К - А3;
2К - А6, Б4, В3, Г5]]</f>
        <v>101864.06955548075</v>
      </c>
      <c r="CE378" s="93"/>
      <c r="CF378" s="93">
        <f>ППД5[[#This Row],[Наценка 16.09.2024
1К: А1,В7,Г6/7,Г8 - 2%
2К: А4,А5,А6,Б1,Б6,Б3/4,В3,В4,Г4,Г5 - 4%
3К: 4%]]+ППД5[[#This Row],[Фикс 04.09.24]]</f>
        <v>101864.06955548075</v>
      </c>
      <c r="CG378" s="93"/>
      <c r="CH378" s="93">
        <f>ППД5[[#This Row],[Фикс 16.09.2024]]+ППД5[[#This Row],[Наценка 01.11.24
СТ: 4%
1К: 34-40м 5%; 40м+ 8%; МГН 1%
2К: 55-70м 6%; 70-73м 7%; 73-76м 8% 
3К: 5%]]</f>
        <v>101864.06955548075</v>
      </c>
      <c r="CI378" s="93"/>
      <c r="CJ378" s="93">
        <f>ППД5[[#This Row],[Наценка 06.11 13%]]+ППД5[[#This Row],[Фикс 01.11.24]]</f>
        <v>101864.06955548075</v>
      </c>
      <c r="CK378" s="93"/>
      <c r="CL378" s="93">
        <f>ППД5[[#This Row],[Фикс 06.11.24]]+ППД5[[#This Row],[Наценка 18.12.24 распределение КВ]]</f>
        <v>101864.06955548075</v>
      </c>
      <c r="CM378" s="93"/>
      <c r="CN378" s="93">
        <f>ППД5[[#This Row],[Фикс 18.12.24]]+ППД5[[#This Row],[Наценка 10.02.25 +1%
1К: А3
2К: Б3, В3]]</f>
        <v>101864.06955548075</v>
      </c>
      <c r="CO378" s="93">
        <f>ROUND(ППД5[[#This Row],[Фикс 10.02.25]],2)</f>
        <v>101864.07</v>
      </c>
      <c r="CP37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7507400</v>
      </c>
      <c r="CQ378" s="93">
        <f>ROUNDUP(ППД5[[#This Row],[Стоимость до скидки]]+ППД5[[#This Row],[Сумма доплаты]],-2)</f>
        <v>7476900</v>
      </c>
      <c r="CR378" s="68"/>
      <c r="CS378" s="90">
        <v>0.03</v>
      </c>
      <c r="CT378" s="68">
        <f>ППД5[[#This Row],[Стоимость до скидки]]*ППД5[[#This Row],[Скидка %]]+ППД5[[#This Row],[Скидка фиксированная]]</f>
        <v>225222</v>
      </c>
      <c r="CU378" s="3">
        <f>ППД5[[#This Row],[Стоимость ОН без отделки со скидкой]]/ППД5[[#This Row],[Расчетная проектная площадь]]</f>
        <v>98808.385345997289</v>
      </c>
      <c r="CV378" s="3">
        <f>ROUND(ППД5[[#This Row],[Стоимость до скидки]]-ППД5[[#This Row],[Итоговая сумма скидки]],2)</f>
        <v>7282178</v>
      </c>
      <c r="CW37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78" s="197"/>
      <c r="CY378" s="332">
        <f>ППД5[[#This Row],[Расхождение]]/ППД5[[#This Row],[Расчетная проектная площадь]]</f>
        <v>-4.0705563093624336E-3</v>
      </c>
      <c r="CZ37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-0.11000000000000298</v>
      </c>
      <c r="DA378" s="3">
        <f>ППД5[[#This Row],[Цена м2 без отделки со скидкой]]+ППД5[[#This Row],[Стоимость отделки]]</f>
        <v>98808.385345997289</v>
      </c>
      <c r="DB378" s="3">
        <f>ППД5[[#This Row],[Стоимость квартиры с отделкой]]-ППД5[[#This Row],[Стоимость ОН без отделки со скидкой]]</f>
        <v>0</v>
      </c>
      <c r="DC378" s="3">
        <f>ППД5[[#This Row],[Цена м2 с отделкой]]*ППД5[[#This Row],[Расчетная проектная площадь]]</f>
        <v>7282178.0000000009</v>
      </c>
      <c r="DD378" s="3" t="s">
        <v>158</v>
      </c>
      <c r="DE378" s="111" t="s">
        <v>167</v>
      </c>
      <c r="DF378" s="199" t="s">
        <v>172</v>
      </c>
      <c r="DG378" s="245" t="s">
        <v>172</v>
      </c>
      <c r="DH378" s="100" t="b">
        <f>EXACT(ППД5[[#This Row],[Статусы CRM]],ППД5[[#This Row],[Статус]])</f>
        <v>1</v>
      </c>
      <c r="DI378" s="213" t="s">
        <v>550</v>
      </c>
      <c r="DJ378" s="204"/>
      <c r="DK378" s="111" t="s">
        <v>763</v>
      </c>
      <c r="DL378" s="216" t="s">
        <v>12</v>
      </c>
      <c r="DM378" s="201" t="b">
        <f>ППД5[[#This Row],[Отделка CRM]]=ППД5[[#This Row],[Отделка]]</f>
        <v>1</v>
      </c>
      <c r="DN378" s="203">
        <v>7282178</v>
      </c>
      <c r="DO37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-9.3132257461547852E-10</v>
      </c>
      <c r="DP378" s="207" t="b">
        <f>IF(AND(ППД5[[#This Row],[Статус]]="свободно",ППД5[[#This Row],[Итоговая сумма скидки]]&lt;&gt;0),FALSE,TRUE)</f>
        <v>1</v>
      </c>
      <c r="DQ378" s="240">
        <f>_xlfn.XLOOKUP(ППД5[[#This Row],[№]],Юрист[№ кв],Юрист[Дата подачи на регистрацию]," ",0,-1)</f>
        <v>45595</v>
      </c>
      <c r="DR378" s="115" t="str">
        <f>_xlfn.XLOOKUP(ППД5[[#This Row],[№]],Юрист[№ кв],Юрист[МОП],"",0,-1)</f>
        <v>Дик</v>
      </c>
      <c r="DS378" s="333" t="s">
        <v>3048</v>
      </c>
      <c r="DT378" s="333" t="s">
        <v>3049</v>
      </c>
      <c r="DU378" s="333">
        <v>69.8</v>
      </c>
      <c r="DV378" s="111"/>
    </row>
    <row r="379" spans="1:126" hidden="1" x14ac:dyDescent="0.25">
      <c r="A379" s="112">
        <v>377</v>
      </c>
      <c r="B379" s="111" t="s">
        <v>3</v>
      </c>
      <c r="C379" s="111">
        <v>23</v>
      </c>
      <c r="D379" s="111">
        <v>2</v>
      </c>
      <c r="E379" s="111">
        <v>0</v>
      </c>
      <c r="F379" s="105">
        <v>7.18</v>
      </c>
      <c r="G379" s="105"/>
      <c r="H379" s="105"/>
      <c r="I379" s="94">
        <f>SUM(ППД5[[#This Row],[Комната 1]:[Комната 3]])</f>
        <v>7.18</v>
      </c>
      <c r="J379" s="105">
        <v>5.17</v>
      </c>
      <c r="K379" s="105">
        <v>3.72</v>
      </c>
      <c r="L379" s="105"/>
      <c r="M379" s="105"/>
      <c r="N379" s="105">
        <v>6.97</v>
      </c>
      <c r="O379" s="105">
        <v>2.97</v>
      </c>
      <c r="P379" s="105"/>
      <c r="Q379" s="105"/>
      <c r="R379" s="105">
        <f>SUM(ППД5[[#This Row],[Лоджия 1]:[Лоджия 3]])</f>
        <v>2.97</v>
      </c>
      <c r="S379" s="8">
        <f>ROUND(SUM(ППД5[[#This Row],[Площадь по проекту жилая]:[Лоджия 3]]),2)</f>
        <v>26.01</v>
      </c>
      <c r="T379" s="8">
        <f>ROUND(ППД5[[#This Row],[Площадь по проекту(общая)]]-ППД5[[#This Row],[Летние]],2)</f>
        <v>23.04</v>
      </c>
      <c r="U379" s="91">
        <f>ROUND(ППД5[[#This Row],[Площадь по проекту(общая)]]-(SUM(ППД5[[#This Row],[Лоджия 1]:[Лоджия 3]])/2),2)</f>
        <v>24.53</v>
      </c>
      <c r="V379" s="91">
        <f>IF(ППД5[[#This Row],[Статус]]="продажа",ППД5[[#This Row],[Расчетная проектная площадь]],ППД5[[#This Row],[Расчетная ТП площадь]])</f>
        <v>24.53</v>
      </c>
      <c r="W379" s="91">
        <v>7.2</v>
      </c>
      <c r="X379" s="91"/>
      <c r="Y379" s="91"/>
      <c r="Z379" s="91">
        <f>SUM(ППД5[[#This Row],[ТП Комната 1]:[ТП Комната 3]])</f>
        <v>7.2</v>
      </c>
      <c r="AA379" s="91">
        <v>5.0999999999999996</v>
      </c>
      <c r="AB379" s="91">
        <v>3.7</v>
      </c>
      <c r="AC379" s="91"/>
      <c r="AD379" s="91"/>
      <c r="AE379" s="91">
        <v>6.9</v>
      </c>
      <c r="AF379" s="91">
        <v>1.45</v>
      </c>
      <c r="AG379" s="91"/>
      <c r="AH379" s="91"/>
      <c r="AI379" s="91">
        <f>SUM(ППД5[[#This Row],[ТП Лоджия 1]:[ТП Лоджия 3]])</f>
        <v>1.45</v>
      </c>
      <c r="AJ379" s="95">
        <v>2.9</v>
      </c>
      <c r="AK379" s="91">
        <f>SUM(ППД5[[#This Row],[Площадь по ТП жилая]:[ТП Лоджия 3]])-ППД5[[#This Row],[ТП Летние]]+ППД5[[#This Row],[кроме того прочая
(без коэффициента)]]</f>
        <v>25.799999999999997</v>
      </c>
      <c r="AL379" s="95">
        <f>ППД5[[#This Row],[ТП Площадь без летних]]+(ППД5[[#This Row],[ТП Летние]])</f>
        <v>24.349999999999998</v>
      </c>
      <c r="AM379" s="91">
        <f>ППД5[[#This Row],[ТП общая S]]-ППД5[[#This Row],[кроме того прочая
(без коэффициента)]]</f>
        <v>22.9</v>
      </c>
      <c r="AN379" s="95">
        <f>SUM(ППД5[[#This Row],[ТП Кухня]:[ТП Коридор]])</f>
        <v>15.700000000000001</v>
      </c>
      <c r="AO379" s="91">
        <f>ППД5[[#This Row],[Расчетная ТП площадь]]-ППД5[[#This Row],[Расчетная проектная площадь]]</f>
        <v>-0.18000000000000327</v>
      </c>
      <c r="AP379" s="335">
        <f>ППД5[[#This Row],[Расчетная ТП площадь]]/ППД5[[#This Row],[Расчетная проектная площадь]]-1</f>
        <v>-7.3379535262945161E-3</v>
      </c>
      <c r="AQ379" s="91">
        <f>ППД5[[#This Row],[% расхождения]]*ППД5[[#This Row],[Стоимость до скидки]]</f>
        <v>-24750.917244191402</v>
      </c>
      <c r="AR379" s="91">
        <f>VLOOKUP(ППД5[[#This Row],[№]],наценкад5[],COLUMN(наценкад5[[#This Row],[Цена м2 с учетом всех K]]),0)</f>
        <v>98989.695000000007</v>
      </c>
      <c r="AS379" s="8">
        <f>ППД5[[#This Row],[м2 после К]]*5%</f>
        <v>4949.4847500000005</v>
      </c>
      <c r="AT379" s="8">
        <f>ППД5[[#This Row],[м2 после К]]+ППД5[[#This Row],[Повышение 16.08.23 - 5%]]</f>
        <v>103939.17975000001</v>
      </c>
      <c r="AU379" s="93">
        <f>ППД5[[#This Row],[Фикс 16.08.23]]*3%</f>
        <v>3118.1753925000003</v>
      </c>
      <c r="AV379" s="93">
        <f>ППД5[[#This Row],[Фикс 16.08.23]]+ППД5[[#This Row],[Повышение 29.08.23 - 3%]]</f>
        <v>107057.3551425</v>
      </c>
      <c r="AW379" s="93">
        <f>ППД5[[#This Row],[Фикс 29.08.23]]*13%</f>
        <v>13917.456168525001</v>
      </c>
      <c r="AX379" s="93">
        <f>ППД5[[#This Row],[Фикс 29.08.23]]+ППД5[[#This Row],[Повышение 06.09.23 СТ и 1К]]</f>
        <v>120974.811311025</v>
      </c>
      <c r="AY379" s="93">
        <f>ППД5[[#This Row],[Фикс 06.09.23]]*1%</f>
        <v>1209.74811311025</v>
      </c>
      <c r="AZ379" s="93">
        <f>ППД5[[#This Row],[Повышение 23.10.23  В4 ]]+ППД5[[#This Row],[Фикс 06.09.23]]</f>
        <v>122184.55942413525</v>
      </c>
      <c r="BA379" s="93"/>
      <c r="BB379" s="93">
        <f>ППД5[[#This Row],[Повышение 8.11.23 1К 5%]]+ППД5[[#This Row],[Фикс 23.10.23]]</f>
        <v>122184.55942413525</v>
      </c>
      <c r="BC379" s="93"/>
      <c r="BD379" s="93">
        <f>ППД5[[#This Row],[Корректировка 24.11.23 - 1К В5, 2К А2, №233]]+ППД5[[#This Row],[Фикс 8.11.23]]</f>
        <v>122184.55942413525</v>
      </c>
      <c r="BE379" s="93">
        <f>ППД5[[#This Row],[Фикс 8.11.24]]*1%</f>
        <v>1221.8455942413525</v>
      </c>
      <c r="BF379" s="93">
        <f>ППД5[[#This Row],[Наценка за отделку 29.12.23 1%]]+ППД5[[#This Row],[Фикс 8.11.24]]</f>
        <v>123406.40501837661</v>
      </c>
      <c r="BG379" s="93">
        <f>ППД5[[#This Row],[Фикс 29.12.23]]*5%</f>
        <v>6170.3202509188304</v>
      </c>
      <c r="BH379" s="93">
        <f>ППД5[[#This Row],[Фикс 29.12.23]]+ППД5[[#This Row],[Наценка 10.01.24 5%]]</f>
        <v>129576.72526929544</v>
      </c>
      <c r="BI379" s="93"/>
      <c r="BJ379" s="93">
        <f>ППД5[[#This Row],[Наценка 26.02.24 1 Этаж]]+ППД5[[#This Row],[Фикс 10.01.24]]</f>
        <v>129576.72526929544</v>
      </c>
      <c r="BK379" s="93">
        <f>ППД5[[#This Row],[Фикс 26.02.24]]*3%</f>
        <v>3887.3017580788628</v>
      </c>
      <c r="BL379" s="93">
        <f>ППД5[[#This Row],[Фикс 26.02.24]]+ППД5[[#This Row],[Наценка 06.03.24
СТ, 1К - 3%
2К, 3К - 2%]]</f>
        <v>133464.02702737431</v>
      </c>
      <c r="BM379" s="93"/>
      <c r="BN379" s="93">
        <f>ППД5[[#This Row],[Фикс 06.03.24]]+ППД5[[#This Row],[Наценка Г2+500]]</f>
        <v>133464.02702737431</v>
      </c>
      <c r="BO379" s="93"/>
      <c r="BP379" s="93">
        <f>ППД5[[#This Row],[Фикс 13.03.25]]+ППД5[[#This Row],[Наценка 20.03.24
2К, 3К - 2%]]</f>
        <v>133464.02702737431</v>
      </c>
      <c r="BQ379" s="93"/>
      <c r="BR379" s="93">
        <f>ППД5[[#This Row],[Фикс 20.03.24]]+ППД5[[#This Row],[Наценка 08.04.24 
2К: В3 - 150
3К: Г7 +1000]]</f>
        <v>133464.02702737431</v>
      </c>
      <c r="BS379" s="93">
        <f>ППД5[[#This Row],[Фикс 08.04.24]]*1%</f>
        <v>1334.640270273743</v>
      </c>
      <c r="BT379" s="93">
        <f>ППД5[[#This Row],[Фикс 08.04.24]]+ППД5[[#This Row],[Наценка 16.05.24 1%
А4,А6,Б3,Б6,Б7,В2,В3,В5,В6,Г1,Г3-Г5]]</f>
        <v>134798.66729764806</v>
      </c>
      <c r="BU379" s="93"/>
      <c r="BV379" s="93">
        <f>ППД5[[#This Row],[Фикс 16.05.24]]+ППД5[[#This Row],[Наценка 24.05.24
1% - Б4, Б5,Г2,Г6
2% - А1,А3,А5,Б2,Г7]]</f>
        <v>134798.66729764806</v>
      </c>
      <c r="BW379" s="93">
        <f>ППД5[[#This Row],[Фикс 24.05.24]]*0.5%</f>
        <v>673.99333648824029</v>
      </c>
      <c r="BX379" s="93">
        <f>ППД5[[#This Row],[Наценка 06.06.24
0К: В2,Г3 +0,5%
1К: А7, Б5/4, Г6 +0,5%
3К: В6 +0,5%
1К: А3 +1%]]+ППД5[[#This Row],[Фикс 24.05.24]]</f>
        <v>135472.66063413629</v>
      </c>
      <c r="BY379" s="93"/>
      <c r="BZ379" s="93">
        <f>ППД5[[#This Row],[Фикс 06.06.24]]+ППД5[[#This Row],[13.06.2024
3К - 2%]]</f>
        <v>135472.66063413629</v>
      </c>
      <c r="CA379" s="93">
        <f>1.5%*ППД5[[#This Row],[Фикс 13.06.24]]</f>
        <v>2032.0899095120444</v>
      </c>
      <c r="CB379" s="93">
        <f>ППД5[[#This Row],[02.07.2024: Г3 А1 А3 Б5 Б7 Г2 Г6 Б3 Б4 В3 Г7 2,5% ост 0,5-1,5%]]+ППД5[[#This Row],[Фикс 13.06.24]]</f>
        <v>137504.75054364835</v>
      </c>
      <c r="CC379" s="93"/>
      <c r="CD379" s="93">
        <f>ППД5[[#This Row],[Фикс 02.07.24]]+ППД5[[#This Row],[04.09.2024 +500
0К - Б2; 1К - А3;
2К - А6, Б4, В3, Г5]]</f>
        <v>137504.75054364835</v>
      </c>
      <c r="CE379" s="93"/>
      <c r="CF379" s="93">
        <f>ППД5[[#This Row],[Наценка 16.09.2024
1К: А1,В7,Г6/7,Г8 - 2%
2К: А4,А5,А6,Б1,Б6,Б3/4,В3,В4,Г4,Г5 - 4%
3К: 4%]]+ППД5[[#This Row],[Фикс 04.09.24]]</f>
        <v>137504.75054364835</v>
      </c>
      <c r="CG379" s="93"/>
      <c r="CH379" s="93">
        <f>ППД5[[#This Row],[Фикс 16.09.2024]]+ППД5[[#This Row],[Наценка 01.11.24
СТ: 4%
1К: 34-40м 5%; 40м+ 8%; МГН 1%
2К: 55-70м 6%; 70-73м 7%; 73-76м 8% 
3К: 5%]]</f>
        <v>137504.75054364835</v>
      </c>
      <c r="CI379" s="93"/>
      <c r="CJ379" s="93">
        <f>ППД5[[#This Row],[Наценка 06.11 13%]]+ППД5[[#This Row],[Фикс 01.11.24]]</f>
        <v>137504.75054364835</v>
      </c>
      <c r="CK379" s="93"/>
      <c r="CL379" s="93">
        <f>ППД5[[#This Row],[Фикс 06.11.24]]+ППД5[[#This Row],[Наценка 18.12.24 распределение КВ]]</f>
        <v>137504.75054364835</v>
      </c>
      <c r="CM379" s="93"/>
      <c r="CN379" s="93">
        <f>ППД5[[#This Row],[Фикс 18.12.24]]+ППД5[[#This Row],[Наценка 10.02.25 +1%
1К: А3
2К: Б3, В3]]</f>
        <v>137504.75054364835</v>
      </c>
      <c r="CO379" s="93">
        <f>ROUND(ППД5[[#This Row],[Фикс 10.02.25]],2)</f>
        <v>137504.75</v>
      </c>
      <c r="CP37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3373000</v>
      </c>
      <c r="CQ379" s="93">
        <f>ROUNDUP(ППД5[[#This Row],[Стоимость до скидки]]+ППД5[[#This Row],[Сумма доплаты]],-2)</f>
        <v>3348300</v>
      </c>
      <c r="CR379" s="68"/>
      <c r="CS379" s="90"/>
      <c r="CT379" s="68">
        <f>ППД5[[#This Row],[Стоимость до скидки]]*ППД5[[#This Row],[Скидка %]]+ППД5[[#This Row],[Скидка фиксированная]]</f>
        <v>0</v>
      </c>
      <c r="CU379" s="3">
        <f>ППД5[[#This Row],[Стоимость ОН без отделки со скидкой]]/ППД5[[#This Row],[Расчетная проектная площадь]]</f>
        <v>137505.09580105991</v>
      </c>
      <c r="CV379" s="3">
        <f>ROUND(ППД5[[#This Row],[Стоимость до скидки]]-ППД5[[#This Row],[Итоговая сумма скидки]],2)</f>
        <v>3373000</v>
      </c>
      <c r="CW37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79" s="197">
        <v>20000</v>
      </c>
      <c r="CY379" s="332">
        <f>ППД5[[#This Row],[Расхождение]]/ППД5[[#This Row],[Расчетная проектная площадь]]</f>
        <v>-7.3379535262944667E-3</v>
      </c>
      <c r="CZ37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-0.16000000000000014</v>
      </c>
      <c r="DA379" s="3">
        <f>ППД5[[#This Row],[Цена м2 без отделки со скидкой]]+ППД5[[#This Row],[Стоимость отделки]]</f>
        <v>157505.09580105991</v>
      </c>
      <c r="DB379" s="3">
        <f>ППД5[[#This Row],[Стоимость квартиры с отделкой]]-ППД5[[#This Row],[Стоимость ОН без отделки со скидкой]]</f>
        <v>490600</v>
      </c>
      <c r="DC379" s="3">
        <f>ППД5[[#This Row],[Цена м2 с отделкой]]*ППД5[[#This Row],[Расчетная проектная площадь]]</f>
        <v>3863600</v>
      </c>
      <c r="DD379" s="3"/>
      <c r="DF379" s="199" t="s">
        <v>172</v>
      </c>
      <c r="DG379" s="245" t="s">
        <v>172</v>
      </c>
      <c r="DH379" s="100" t="b">
        <f>EXACT(ППД5[[#This Row],[Статусы CRM]],ППД5[[#This Row],[Статус]])</f>
        <v>1</v>
      </c>
      <c r="DI379" s="213" t="s">
        <v>551</v>
      </c>
      <c r="DJ379" s="204"/>
      <c r="DK379" s="111" t="s">
        <v>763</v>
      </c>
      <c r="DL379" s="216" t="s">
        <v>14</v>
      </c>
      <c r="DM379" s="201" t="b">
        <f>ППД5[[#This Row],[Отделка CRM]]=ППД5[[#This Row],[Отделка]]</f>
        <v>1</v>
      </c>
      <c r="DN379" s="203">
        <v>3863600</v>
      </c>
      <c r="DO37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79" s="207" t="b">
        <f>IF(AND(ППД5[[#This Row],[Статус]]="свободно",ППД5[[#This Row],[Итоговая сумма скидки]]&lt;&gt;0),FALSE,TRUE)</f>
        <v>1</v>
      </c>
      <c r="DQ379" s="240">
        <f>_xlfn.XLOOKUP(ППД5[[#This Row],[№]],Юрист[№ кв],Юрист[Дата подачи на регистрацию]," ",0,-1)</f>
        <v>45544</v>
      </c>
      <c r="DR379" s="115" t="str">
        <f>_xlfn.XLOOKUP(ППД5[[#This Row],[№]],Юрист[№ кв],Юрист[МОП],"",0,-1)</f>
        <v>Дик</v>
      </c>
      <c r="DS379" s="333" t="s">
        <v>3050</v>
      </c>
      <c r="DT379" s="333" t="s">
        <v>3051</v>
      </c>
      <c r="DU379" s="333">
        <v>22.9</v>
      </c>
      <c r="DV379" s="111"/>
    </row>
    <row r="380" spans="1:126" hidden="1" x14ac:dyDescent="0.25">
      <c r="A380" s="112">
        <v>378</v>
      </c>
      <c r="B380" s="111" t="s">
        <v>3</v>
      </c>
      <c r="C380" s="111">
        <v>23</v>
      </c>
      <c r="D380" s="111">
        <v>3</v>
      </c>
      <c r="E380" s="111">
        <v>2</v>
      </c>
      <c r="F380" s="105">
        <v>13.69</v>
      </c>
      <c r="G380" s="105">
        <v>10.16</v>
      </c>
      <c r="H380" s="105"/>
      <c r="I380" s="94">
        <f>SUM(ППД5[[#This Row],[Комната 1]:[Комната 3]])</f>
        <v>23.85</v>
      </c>
      <c r="J380" s="105">
        <v>18.71</v>
      </c>
      <c r="K380" s="105">
        <v>3.49</v>
      </c>
      <c r="L380" s="105">
        <v>2.11</v>
      </c>
      <c r="M380" s="105"/>
      <c r="N380" s="105">
        <v>7.09</v>
      </c>
      <c r="O380" s="105">
        <v>2.65</v>
      </c>
      <c r="P380" s="105"/>
      <c r="Q380" s="105"/>
      <c r="R380" s="105">
        <f>SUM(ППД5[[#This Row],[Лоджия 1]:[Лоджия 3]])</f>
        <v>2.65</v>
      </c>
      <c r="S380" s="8">
        <f>ROUND(SUM(ППД5[[#This Row],[Площадь по проекту жилая]:[Лоджия 3]]),2)</f>
        <v>57.9</v>
      </c>
      <c r="T380" s="8">
        <f>ROUND(ППД5[[#This Row],[Площадь по проекту(общая)]]-ППД5[[#This Row],[Летние]],2)</f>
        <v>55.25</v>
      </c>
      <c r="U380" s="91">
        <f>ROUND(ППД5[[#This Row],[Площадь по проекту(общая)]]-(SUM(ППД5[[#This Row],[Лоджия 1]:[Лоджия 3]])/2),2)</f>
        <v>56.58</v>
      </c>
      <c r="V380" s="91">
        <f>IF(ППД5[[#This Row],[Статус]]="продажа",ППД5[[#This Row],[Расчетная проектная площадь]],ППД5[[#This Row],[Расчетная ТП площадь]])</f>
        <v>56.45</v>
      </c>
      <c r="W380" s="91">
        <v>13.6</v>
      </c>
      <c r="X380" s="91">
        <v>9.9</v>
      </c>
      <c r="Y380" s="91"/>
      <c r="Z380" s="91">
        <f>SUM(ППД5[[#This Row],[ТП Комната 1]:[ТП Комната 3]])</f>
        <v>23.5</v>
      </c>
      <c r="AA380" s="91">
        <v>18.8</v>
      </c>
      <c r="AB380" s="91">
        <v>3.5</v>
      </c>
      <c r="AC380" s="91">
        <v>2.1</v>
      </c>
      <c r="AD380" s="91"/>
      <c r="AE380" s="91">
        <v>7.2</v>
      </c>
      <c r="AF380" s="91">
        <v>1.35</v>
      </c>
      <c r="AG380" s="91"/>
      <c r="AH380" s="91"/>
      <c r="AI380" s="91">
        <f>SUM(ППД5[[#This Row],[ТП Лоджия 1]:[ТП Лоджия 3]])</f>
        <v>1.35</v>
      </c>
      <c r="AJ380" s="95">
        <v>2.7</v>
      </c>
      <c r="AK380" s="91">
        <f>SUM(ППД5[[#This Row],[Площадь по ТП жилая]:[ТП Лоджия 3]])-ППД5[[#This Row],[ТП Летние]]+ППД5[[#This Row],[кроме того прочая
(без коэффициента)]]</f>
        <v>57.800000000000004</v>
      </c>
      <c r="AL380" s="95">
        <f>ППД5[[#This Row],[ТП Площадь без летних]]+(ППД5[[#This Row],[ТП Летние]])</f>
        <v>56.45</v>
      </c>
      <c r="AM380" s="91">
        <f>ППД5[[#This Row],[ТП общая S]]-ППД5[[#This Row],[кроме того прочая
(без коэффициента)]]</f>
        <v>55.1</v>
      </c>
      <c r="AN380" s="95">
        <f>SUM(ППД5[[#This Row],[ТП Кухня]:[ТП Коридор]])</f>
        <v>31.6</v>
      </c>
      <c r="AO380" s="91">
        <f>ППД5[[#This Row],[Расчетная ТП площадь]]-ППД5[[#This Row],[Расчетная проектная площадь]]</f>
        <v>-0.12999999999999545</v>
      </c>
      <c r="AP380" s="335">
        <f>ППД5[[#This Row],[Расчетная ТП площадь]]/ППД5[[#This Row],[Расчетная проектная площадь]]-1</f>
        <v>-2.2976316719688361E-3</v>
      </c>
      <c r="AQ380" s="91">
        <f>ППД5[[#This Row],[% расхождения]]*ППД5[[#This Row],[Стоимость до скидки]]</f>
        <v>-17586.532343583865</v>
      </c>
      <c r="AR380" s="91">
        <f>VLOOKUP(ППД5[[#This Row],[№]],наценкад5[],COLUMN(наценкад5[[#This Row],[Цена м2 с учетом всех K]]),0)</f>
        <v>86485.392000000007</v>
      </c>
      <c r="AS380" s="8">
        <f>ППД5[[#This Row],[м2 после К]]*5%</f>
        <v>4324.2696000000005</v>
      </c>
      <c r="AT380" s="8">
        <f>ППД5[[#This Row],[м2 после К]]+ППД5[[#This Row],[Повышение 16.08.23 - 5%]]</f>
        <v>90809.661600000007</v>
      </c>
      <c r="AU380" s="93">
        <f>ППД5[[#This Row],[Фикс 16.08.23]]*3%</f>
        <v>2724.2898479999999</v>
      </c>
      <c r="AV380" s="93">
        <f>ППД5[[#This Row],[Фикс 16.08.23]]+ППД5[[#This Row],[Повышение 29.08.23 - 3%]]</f>
        <v>93533.951448000007</v>
      </c>
      <c r="AW380" s="93"/>
      <c r="AX380" s="93">
        <f>ППД5[[#This Row],[Фикс 29.08.23]]+ППД5[[#This Row],[Повышение 06.09.23 СТ и 1К]]</f>
        <v>93533.951448000007</v>
      </c>
      <c r="AY380" s="93"/>
      <c r="AZ380" s="93">
        <f>ППД5[[#This Row],[Повышение 23.10.23  В4 ]]+ППД5[[#This Row],[Фикс 06.09.23]]</f>
        <v>93533.951448000007</v>
      </c>
      <c r="BA380" s="93"/>
      <c r="BB380" s="93">
        <f>ППД5[[#This Row],[Повышение 8.11.23 1К 5%]]+ППД5[[#This Row],[Фикс 23.10.23]]</f>
        <v>93533.951448000007</v>
      </c>
      <c r="BC380" s="93"/>
      <c r="BD380" s="93">
        <f>ППД5[[#This Row],[Корректировка 24.11.23 - 1К В5, 2К А2, №233]]+ППД5[[#This Row],[Фикс 8.11.23]]</f>
        <v>93533.951448000007</v>
      </c>
      <c r="BE380" s="93">
        <f>ППД5[[#This Row],[Фикс 8.11.24]]*1%</f>
        <v>935.33951448000005</v>
      </c>
      <c r="BF380" s="93">
        <f>ППД5[[#This Row],[Наценка за отделку 29.12.23 1%]]+ППД5[[#This Row],[Фикс 8.11.24]]</f>
        <v>94469.290962480009</v>
      </c>
      <c r="BG380" s="93">
        <f>ППД5[[#This Row],[Фикс 29.12.23]]*5%</f>
        <v>4723.4645481240004</v>
      </c>
      <c r="BH380" s="93">
        <f>ППД5[[#This Row],[Фикс 29.12.23]]+ППД5[[#This Row],[Наценка 10.01.24 5%]]</f>
        <v>99192.755510604009</v>
      </c>
      <c r="BI380" s="93"/>
      <c r="BJ380" s="93">
        <f>ППД5[[#This Row],[Наценка 26.02.24 1 Этаж]]+ППД5[[#This Row],[Фикс 10.01.24]]</f>
        <v>99192.755510604009</v>
      </c>
      <c r="BK380" s="93">
        <f>ППД5[[#This Row],[Фикс 26.02.24]]*2%</f>
        <v>1983.8551102120803</v>
      </c>
      <c r="BL380" s="93">
        <f>ППД5[[#This Row],[Фикс 26.02.24]]+ППД5[[#This Row],[Наценка 06.03.24
СТ, 1К - 3%
2К, 3К - 2%]]</f>
        <v>101176.61062081609</v>
      </c>
      <c r="BM380" s="93"/>
      <c r="BN380" s="93">
        <f>ППД5[[#This Row],[Фикс 06.03.24]]+ППД5[[#This Row],[Наценка Г2+500]]</f>
        <v>101176.61062081609</v>
      </c>
      <c r="BO380" s="93">
        <f>ППД5[[#This Row],[Фикс 13.03.25]]*2%</f>
        <v>2023.532212416322</v>
      </c>
      <c r="BP380" s="93">
        <f>ППД5[[#This Row],[Фикс 13.03.25]]+ППД5[[#This Row],[Наценка 20.03.24
2К, 3К - 2%]]</f>
        <v>103200.14283323241</v>
      </c>
      <c r="BQ380" s="93">
        <v>150</v>
      </c>
      <c r="BR380" s="93">
        <f>ППД5[[#This Row],[Фикс 20.03.24]]+ППД5[[#This Row],[Наценка 08.04.24 
2К: В3 - 150
3К: Г7 +1000]]</f>
        <v>103350.14283323241</v>
      </c>
      <c r="BS380" s="93">
        <f>ППД5[[#This Row],[Фикс 08.04.24]]*1%</f>
        <v>1033.5014283323242</v>
      </c>
      <c r="BT380" s="93">
        <f>ППД5[[#This Row],[Фикс 08.04.24]]+ППД5[[#This Row],[Наценка 16.05.24 1%
А4,А6,Б3,Б6,Б7,В2,В3,В5,В6,Г1,Г3-Г5]]</f>
        <v>104383.64426156474</v>
      </c>
      <c r="BU380" s="93"/>
      <c r="BV380" s="93">
        <f>ППД5[[#This Row],[Фикс 16.05.24]]+ППД5[[#This Row],[Наценка 24.05.24
1% - Б4, Б5,Г2,Г6
2% - А1,А3,А5,Б2,Г7]]</f>
        <v>104383.64426156474</v>
      </c>
      <c r="BW380" s="93"/>
      <c r="BX380" s="93">
        <f>ППД5[[#This Row],[Наценка 06.06.24
0К: В2,Г3 +0,5%
1К: А7, Б5/4, Г6 +0,5%
3К: В6 +0,5%
1К: А3 +1%]]+ППД5[[#This Row],[Фикс 24.05.24]]</f>
        <v>104383.64426156474</v>
      </c>
      <c r="BY380" s="93"/>
      <c r="BZ380" s="93">
        <f>ППД5[[#This Row],[Фикс 06.06.24]]+ППД5[[#This Row],[13.06.2024
3К - 2%]]</f>
        <v>104383.64426156474</v>
      </c>
      <c r="CA380" s="93">
        <f>2.5%*ППД5[[#This Row],[Фикс 13.06.24]]</f>
        <v>2609.5911065391188</v>
      </c>
      <c r="CB380" s="93">
        <f>ППД5[[#This Row],[02.07.2024: Г3 А1 А3 Б5 Б7 Г2 Г6 Б3 Б4 В3 Г7 2,5% ост 0,5-1,5%]]+ППД5[[#This Row],[Фикс 13.06.24]]</f>
        <v>106993.23536810385</v>
      </c>
      <c r="CC380" s="93">
        <v>500</v>
      </c>
      <c r="CD380" s="93">
        <f>ППД5[[#This Row],[Фикс 02.07.24]]+ППД5[[#This Row],[04.09.2024 +500
0К - Б2; 1К - А3;
2К - А6, Б4, В3, Г5]]</f>
        <v>107493.23536810385</v>
      </c>
      <c r="CE380" s="93">
        <f>ППД5[[#This Row],[Фикс 04.09.24]]*4%</f>
        <v>4299.7294147241537</v>
      </c>
      <c r="CF380" s="93">
        <f>ППД5[[#This Row],[Наценка 16.09.2024
1К: А1,В7,Г6/7,Г8 - 2%
2К: А4,А5,А6,Б1,Б6,Б3/4,В3,В4,Г4,Г5 - 4%
3К: 4%]]+ППД5[[#This Row],[Фикс 04.09.24]]</f>
        <v>111792.964782828</v>
      </c>
      <c r="CG380" s="93">
        <f>ППД5[[#This Row],[Фикс 16.09.2024]]*6%</f>
        <v>6707.5778869696796</v>
      </c>
      <c r="CH380" s="93">
        <f>ППД5[[#This Row],[Фикс 16.09.2024]]+ППД5[[#This Row],[Наценка 01.11.24
СТ: 4%
1К: 34-40м 5%; 40м+ 8%; МГН 1%
2К: 55-70м 6%; 70-73м 7%; 73-76м 8% 
3К: 5%]]</f>
        <v>118500.54266979768</v>
      </c>
      <c r="CI380" s="93">
        <f>ППД5[[#This Row],[Фикс 01.11.24]]*13%</f>
        <v>15405.070547073699</v>
      </c>
      <c r="CJ380" s="93">
        <f>ППД5[[#This Row],[Наценка 06.11 13%]]+ППД5[[#This Row],[Фикс 01.11.24]]</f>
        <v>133905.61321687137</v>
      </c>
      <c r="CK380" s="93">
        <v>35</v>
      </c>
      <c r="CL380" s="93">
        <f>ППД5[[#This Row],[Фикс 06.11.24]]+ППД5[[#This Row],[Наценка 18.12.24 распределение КВ]]</f>
        <v>133940.61321687137</v>
      </c>
      <c r="CM380" s="93">
        <f>ППД5[[#This Row],[Фикс 18.12.24]]*1%</f>
        <v>1339.4061321687136</v>
      </c>
      <c r="CN380" s="93">
        <f>ППД5[[#This Row],[Фикс 18.12.24]]+ППД5[[#This Row],[Наценка 10.02.25 +1%
1К: А3
2К: Б3, В3]]</f>
        <v>135280.01934904009</v>
      </c>
      <c r="CO380" s="93">
        <f>ROUND(ППД5[[#This Row],[Фикс 10.02.25]],2)</f>
        <v>135280.01999999999</v>
      </c>
      <c r="CP38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7654200</v>
      </c>
      <c r="CQ380" s="93">
        <f>ROUNDUP(ППД5[[#This Row],[Стоимость до скидки]]+ППД5[[#This Row],[Сумма доплаты]],-2)</f>
        <v>7636700</v>
      </c>
      <c r="CR380" s="68"/>
      <c r="CS380" s="90"/>
      <c r="CT380" s="68">
        <f>ППД5[[#This Row],[Стоимость до скидки]]*ППД5[[#This Row],[Скидка %]]+ППД5[[#This Row],[Скидка фиксированная]]</f>
        <v>0</v>
      </c>
      <c r="CU380" s="3">
        <f>ППД5[[#This Row],[Стоимость ОН без отделки со скидкой]]/ППД5[[#This Row],[Расчетная проектная площадь]]</f>
        <v>135281.01802757158</v>
      </c>
      <c r="CV380" s="3">
        <f>ROUND(ППД5[[#This Row],[Стоимость до скидки]]-ППД5[[#This Row],[Итоговая сумма скидки]],2)</f>
        <v>7654200</v>
      </c>
      <c r="CW38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80" s="197"/>
      <c r="CY380" s="332">
        <f>ППД5[[#This Row],[Расхождение]]/ППД5[[#This Row],[Расчетная проектная площадь]]</f>
        <v>-2.2976316719688131E-3</v>
      </c>
      <c r="CZ38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0.20000000000000284</v>
      </c>
      <c r="DA380" s="3">
        <f>ППД5[[#This Row],[Цена м2 без отделки со скидкой]]+ППД5[[#This Row],[Стоимость отделки]]</f>
        <v>135281.01802757158</v>
      </c>
      <c r="DB380" s="3">
        <f>ППД5[[#This Row],[Стоимость квартиры с отделкой]]-ППД5[[#This Row],[Стоимость ОН без отделки со скидкой]]</f>
        <v>0</v>
      </c>
      <c r="DC380" s="3">
        <f>ППД5[[#This Row],[Цена м2 с отделкой]]*ППД5[[#This Row],[Расчетная проектная площадь]]</f>
        <v>7654200</v>
      </c>
      <c r="DD380" s="3" t="s">
        <v>154</v>
      </c>
      <c r="DE380" s="246"/>
      <c r="DF380" s="199" t="s">
        <v>157</v>
      </c>
      <c r="DG380" s="245" t="s">
        <v>157</v>
      </c>
      <c r="DH380" s="100" t="b">
        <f>EXACT(ППД5[[#This Row],[Статусы CRM]],ППД5[[#This Row],[Статус]])</f>
        <v>1</v>
      </c>
      <c r="DI380" s="213" t="s">
        <v>552</v>
      </c>
      <c r="DJ380" s="204"/>
      <c r="DK380" s="111" t="s">
        <v>763</v>
      </c>
      <c r="DL380" s="216" t="s">
        <v>12</v>
      </c>
      <c r="DM380" s="201" t="b">
        <f>ППД5[[#This Row],[Отделка CRM]]=ППД5[[#This Row],[Отделка]]</f>
        <v>1</v>
      </c>
      <c r="DN380" s="203">
        <v>7654200</v>
      </c>
      <c r="DO38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80" s="207" t="b">
        <f>IF(AND(ППД5[[#This Row],[Статус]]="свободно",ППД5[[#This Row],[Итоговая сумма скидки]]&lt;&gt;0),FALSE,TRUE)</f>
        <v>1</v>
      </c>
      <c r="DQ380" s="240" t="str">
        <f>_xlfn.XLOOKUP(ППД5[[#This Row],[№]],Юрист[№ кв],Юрист[Дата подачи на регистрацию]," ",0,-1)</f>
        <v xml:space="preserve"> </v>
      </c>
      <c r="DR380" s="115" t="str">
        <f>_xlfn.XLOOKUP(ППД5[[#This Row],[№]],Юрист[№ кв],Юрист[МОП],"",0,-1)</f>
        <v/>
      </c>
      <c r="DS380" s="333" t="s">
        <v>3052</v>
      </c>
      <c r="DT380" s="333" t="s">
        <v>3053</v>
      </c>
      <c r="DU380" s="333">
        <v>55.1</v>
      </c>
      <c r="DV380" s="111"/>
    </row>
    <row r="381" spans="1:126" hidden="1" x14ac:dyDescent="0.25">
      <c r="A381" s="112">
        <v>379</v>
      </c>
      <c r="B381" s="111" t="s">
        <v>3</v>
      </c>
      <c r="C381" s="111">
        <v>23</v>
      </c>
      <c r="D381" s="111">
        <v>4</v>
      </c>
      <c r="E381" s="111">
        <v>2</v>
      </c>
      <c r="F381" s="105">
        <v>15.45</v>
      </c>
      <c r="G381" s="105">
        <v>10.34</v>
      </c>
      <c r="H381" s="105"/>
      <c r="I381" s="94">
        <f>SUM(ППД5[[#This Row],[Комната 1]:[Комната 3]])</f>
        <v>25.79</v>
      </c>
      <c r="J381" s="105">
        <v>15.44</v>
      </c>
      <c r="K381" s="105">
        <v>4.59</v>
      </c>
      <c r="L381" s="105">
        <v>2.21</v>
      </c>
      <c r="M381" s="105"/>
      <c r="N381" s="105">
        <v>10.79</v>
      </c>
      <c r="O381" s="105">
        <v>2.84</v>
      </c>
      <c r="P381" s="105"/>
      <c r="Q381" s="105"/>
      <c r="R381" s="105">
        <f>SUM(ППД5[[#This Row],[Лоджия 1]:[Лоджия 3]])</f>
        <v>2.84</v>
      </c>
      <c r="S381" s="8">
        <f>ROUND(SUM(ППД5[[#This Row],[Площадь по проекту жилая]:[Лоджия 3]]),2)</f>
        <v>61.66</v>
      </c>
      <c r="T381" s="8">
        <f>ROUND(ППД5[[#This Row],[Площадь по проекту(общая)]]-ППД5[[#This Row],[Летние]],2)</f>
        <v>58.82</v>
      </c>
      <c r="U381" s="91">
        <f>ROUND(ППД5[[#This Row],[Площадь по проекту(общая)]]-(SUM(ППД5[[#This Row],[Лоджия 1]:[Лоджия 3]])/2),2)</f>
        <v>60.24</v>
      </c>
      <c r="V381" s="91">
        <f>IF(ППД5[[#This Row],[Статус]]="продажа",ППД5[[#This Row],[Расчетная проектная площадь]],ППД5[[#This Row],[Расчетная ТП площадь]])</f>
        <v>60.150000000000006</v>
      </c>
      <c r="W381" s="91">
        <v>15.5</v>
      </c>
      <c r="X381" s="91">
        <v>10.5</v>
      </c>
      <c r="Y381" s="91"/>
      <c r="Z381" s="91">
        <f>SUM(ППД5[[#This Row],[ТП Комната 1]:[ТП Комната 3]])</f>
        <v>26</v>
      </c>
      <c r="AA381" s="91">
        <v>15.2</v>
      </c>
      <c r="AB381" s="91">
        <v>4.5</v>
      </c>
      <c r="AC381" s="91">
        <v>2.2000000000000002</v>
      </c>
      <c r="AD381" s="91"/>
      <c r="AE381" s="91">
        <v>10.8</v>
      </c>
      <c r="AF381" s="91">
        <v>1.45</v>
      </c>
      <c r="AG381" s="91"/>
      <c r="AH381" s="91"/>
      <c r="AI381" s="91">
        <f>SUM(ППД5[[#This Row],[ТП Лоджия 1]:[ТП Лоджия 3]])</f>
        <v>1.45</v>
      </c>
      <c r="AJ381" s="95">
        <v>2.9</v>
      </c>
      <c r="AK381" s="91">
        <f>SUM(ППД5[[#This Row],[Площадь по ТП жилая]:[ТП Лоджия 3]])-ППД5[[#This Row],[ТП Летние]]+ППД5[[#This Row],[кроме того прочая
(без коэффициента)]]</f>
        <v>61.6</v>
      </c>
      <c r="AL381" s="95">
        <f>ППД5[[#This Row],[ТП Площадь без летних]]+(ППД5[[#This Row],[ТП Летние]])</f>
        <v>60.150000000000006</v>
      </c>
      <c r="AM381" s="91">
        <f>ППД5[[#This Row],[ТП общая S]]-ППД5[[#This Row],[кроме того прочая
(без коэффициента)]]</f>
        <v>58.7</v>
      </c>
      <c r="AN381" s="95">
        <f>SUM(ППД5[[#This Row],[ТП Кухня]:[ТП Коридор]])</f>
        <v>32.700000000000003</v>
      </c>
      <c r="AO381" s="91">
        <f>ППД5[[#This Row],[Расчетная ТП площадь]]-ППД5[[#This Row],[Расчетная проектная площадь]]</f>
        <v>-8.9999999999996305E-2</v>
      </c>
      <c r="AP381" s="335">
        <f>ППД5[[#This Row],[Расчетная ТП площадь]]/ППД5[[#This Row],[Расчетная проектная площадь]]-1</f>
        <v>-1.4940239043823578E-3</v>
      </c>
      <c r="AQ381" s="91">
        <f>ППД5[[#This Row],[% расхождения]]*ППД5[[#This Row],[Стоимость до скидки]]</f>
        <v>-11890.786852588748</v>
      </c>
      <c r="AR381" s="91">
        <f>VLOOKUP(ППД5[[#This Row],[№]],наценкад5[],COLUMN(наценкад5[[#This Row],[Цена м2 с учетом всех K]]),0)</f>
        <v>88415.869500000001</v>
      </c>
      <c r="AS381" s="8">
        <f>ППД5[[#This Row],[м2 после К]]*5%</f>
        <v>4420.7934750000004</v>
      </c>
      <c r="AT381" s="8">
        <f>ППД5[[#This Row],[м2 после К]]+ППД5[[#This Row],[Повышение 16.08.23 - 5%]]</f>
        <v>92836.662974999999</v>
      </c>
      <c r="AU381" s="93">
        <f>ППД5[[#This Row],[Фикс 16.08.23]]*3%</f>
        <v>2785.0998892499997</v>
      </c>
      <c r="AV381" s="93">
        <f>ППД5[[#This Row],[Фикс 16.08.23]]+ППД5[[#This Row],[Повышение 29.08.23 - 3%]]</f>
        <v>95621.762864250006</v>
      </c>
      <c r="AW381" s="93"/>
      <c r="AX381" s="93">
        <f>ППД5[[#This Row],[Фикс 29.08.23]]+ППД5[[#This Row],[Повышение 06.09.23 СТ и 1К]]</f>
        <v>95621.762864250006</v>
      </c>
      <c r="AY381" s="93"/>
      <c r="AZ381" s="93">
        <f>ППД5[[#This Row],[Повышение 23.10.23  В4 ]]+ППД5[[#This Row],[Фикс 06.09.23]]</f>
        <v>95621.762864250006</v>
      </c>
      <c r="BA381" s="93"/>
      <c r="BB381" s="93">
        <f>ППД5[[#This Row],[Повышение 8.11.23 1К 5%]]+ППД5[[#This Row],[Фикс 23.10.23]]</f>
        <v>95621.762864250006</v>
      </c>
      <c r="BC381" s="93"/>
      <c r="BD381" s="93">
        <f>ППД5[[#This Row],[Корректировка 24.11.23 - 1К В5, 2К А2, №233]]+ППД5[[#This Row],[Фикс 8.11.23]]</f>
        <v>95621.762864250006</v>
      </c>
      <c r="BE381" s="93">
        <f>ППД5[[#This Row],[Фикс 8.11.24]]*1%</f>
        <v>956.21762864250013</v>
      </c>
      <c r="BF381" s="93">
        <f>ППД5[[#This Row],[Наценка за отделку 29.12.23 1%]]+ППД5[[#This Row],[Фикс 8.11.24]]</f>
        <v>96577.9804928925</v>
      </c>
      <c r="BG381" s="93">
        <f>ППД5[[#This Row],[Фикс 29.12.23]]*5%</f>
        <v>4828.8990246446256</v>
      </c>
      <c r="BH381" s="93">
        <f>ППД5[[#This Row],[Фикс 29.12.23]]+ППД5[[#This Row],[Наценка 10.01.24 5%]]</f>
        <v>101406.87951753712</v>
      </c>
      <c r="BI381" s="93"/>
      <c r="BJ381" s="93">
        <f>ППД5[[#This Row],[Наценка 26.02.24 1 Этаж]]+ППД5[[#This Row],[Фикс 10.01.24]]</f>
        <v>101406.87951753712</v>
      </c>
      <c r="BK381" s="93">
        <f>ППД5[[#This Row],[Фикс 26.02.24]]*2%</f>
        <v>2028.1375903507424</v>
      </c>
      <c r="BL381" s="93">
        <f>ППД5[[#This Row],[Фикс 26.02.24]]+ППД5[[#This Row],[Наценка 06.03.24
СТ, 1К - 3%
2К, 3К - 2%]]</f>
        <v>103435.01710788786</v>
      </c>
      <c r="BM381" s="93"/>
      <c r="BN381" s="93">
        <f>ППД5[[#This Row],[Фикс 06.03.24]]+ППД5[[#This Row],[Наценка Г2+500]]</f>
        <v>103435.01710788786</v>
      </c>
      <c r="BO381" s="93">
        <f>ППД5[[#This Row],[Фикс 13.03.25]]*2%</f>
        <v>2068.7003421577574</v>
      </c>
      <c r="BP381" s="93">
        <f>ППД5[[#This Row],[Фикс 13.03.25]]+ППД5[[#This Row],[Наценка 20.03.24
2К, 3К - 2%]]</f>
        <v>105503.71745004562</v>
      </c>
      <c r="BQ381" s="93"/>
      <c r="BR381" s="93">
        <f>ППД5[[#This Row],[Фикс 20.03.24]]+ППД5[[#This Row],[Наценка 08.04.24 
2К: В3 - 150
3К: Г7 +1000]]</f>
        <v>105503.71745004562</v>
      </c>
      <c r="BS381" s="93"/>
      <c r="BT381" s="93">
        <f>ППД5[[#This Row],[Фикс 08.04.24]]+ППД5[[#This Row],[Наценка 16.05.24 1%
А4,А6,Б3,Б6,Б7,В2,В3,В5,В6,Г1,Г3-Г5]]</f>
        <v>105503.71745004562</v>
      </c>
      <c r="BU381" s="93"/>
      <c r="BV381" s="93">
        <f>ППД5[[#This Row],[Фикс 16.05.24]]+ППД5[[#This Row],[Наценка 24.05.24
1% - Б4, Б5,Г2,Г6
2% - А1,А3,А5,Б2,Г7]]</f>
        <v>105503.71745004562</v>
      </c>
      <c r="BW381" s="93"/>
      <c r="BX381" s="93">
        <f>ППД5[[#This Row],[Наценка 06.06.24
0К: В2,Г3 +0,5%
1К: А7, Б5/4, Г6 +0,5%
3К: В6 +0,5%
1К: А3 +1%]]+ППД5[[#This Row],[Фикс 24.05.24]]</f>
        <v>105503.71745004562</v>
      </c>
      <c r="BY381" s="93"/>
      <c r="BZ381" s="93">
        <f>ППД5[[#This Row],[Фикс 06.06.24]]+ППД5[[#This Row],[13.06.2024
3К - 2%]]</f>
        <v>105503.71745004562</v>
      </c>
      <c r="CA381" s="93">
        <f>0.5%*ППД5[[#This Row],[Фикс 13.06.24]]</f>
        <v>527.51858725022805</v>
      </c>
      <c r="CB381" s="93">
        <f>ППД5[[#This Row],[02.07.2024: Г3 А1 А3 Б5 Б7 Г2 Г6 Б3 Б4 В3 Г7 2,5% ост 0,5-1,5%]]+ППД5[[#This Row],[Фикс 13.06.24]]</f>
        <v>106031.23603729585</v>
      </c>
      <c r="CC381" s="93"/>
      <c r="CD381" s="93">
        <f>ППД5[[#This Row],[Фикс 02.07.24]]+ППД5[[#This Row],[04.09.2024 +500
0К - Б2; 1К - А3;
2К - А6, Б4, В3, Г5]]</f>
        <v>106031.23603729585</v>
      </c>
      <c r="CE381" s="93">
        <f>ППД5[[#This Row],[Фикс 04.09.24]]*4%</f>
        <v>4241.2494414918337</v>
      </c>
      <c r="CF381" s="93">
        <f>ППД5[[#This Row],[Наценка 16.09.2024
1К: А1,В7,Г6/7,Г8 - 2%
2К: А4,А5,А6,Б1,Б6,Б3/4,В3,В4,Г4,Г5 - 4%
3К: 4%]]+ППД5[[#This Row],[Фикс 04.09.24]]</f>
        <v>110272.48547878768</v>
      </c>
      <c r="CG381" s="93">
        <f>ППД5[[#This Row],[Фикс 16.09.2024]]*6%</f>
        <v>6616.3491287272609</v>
      </c>
      <c r="CH381" s="93">
        <f>ППД5[[#This Row],[Фикс 16.09.2024]]+ППД5[[#This Row],[Наценка 01.11.24
СТ: 4%
1К: 34-40м 5%; 40м+ 8%; МГН 1%
2К: 55-70м 6%; 70-73м 7%; 73-76м 8% 
3К: 5%]]</f>
        <v>116888.83460751495</v>
      </c>
      <c r="CI381" s="93">
        <f>ППД5[[#This Row],[Фикс 01.11.24]]*13%</f>
        <v>15195.548498976943</v>
      </c>
      <c r="CJ381" s="93">
        <f>ППД5[[#This Row],[Наценка 06.11 13%]]+ППД5[[#This Row],[Фикс 01.11.24]]</f>
        <v>132084.38310649188</v>
      </c>
      <c r="CK381" s="93">
        <v>35</v>
      </c>
      <c r="CL381" s="93">
        <f>ППД5[[#This Row],[Фикс 06.11.24]]+ППД5[[#This Row],[Наценка 18.12.24 распределение КВ]]</f>
        <v>132119.38310649188</v>
      </c>
      <c r="CM381" s="93"/>
      <c r="CN381" s="93">
        <f>ППД5[[#This Row],[Фикс 18.12.24]]+ППД5[[#This Row],[Наценка 10.02.25 +1%
1К: А3
2К: Б3, В3]]</f>
        <v>132119.38310649188</v>
      </c>
      <c r="CO381" s="93">
        <f>ROUND(ППД5[[#This Row],[Фикс 10.02.25]],2)</f>
        <v>132119.38</v>
      </c>
      <c r="CP38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7958900</v>
      </c>
      <c r="CQ381" s="93">
        <f>ROUNDUP(ППД5[[#This Row],[Стоимость до скидки]]+ППД5[[#This Row],[Сумма доплаты]],-2)</f>
        <v>7947100</v>
      </c>
      <c r="CR381" s="68"/>
      <c r="CS381" s="90"/>
      <c r="CT381" s="68">
        <f>ППД5[[#This Row],[Стоимость до скидки]]*ППД5[[#This Row],[Скидка %]]+ППД5[[#This Row],[Скидка фиксированная]]</f>
        <v>0</v>
      </c>
      <c r="CU381" s="3">
        <f>ППД5[[#This Row],[Стоимость ОН без отделки со скидкой]]/ППД5[[#This Row],[Расчетная проектная площадь]]</f>
        <v>132119.85391766267</v>
      </c>
      <c r="CV381" s="3">
        <f>ROUND(ППД5[[#This Row],[Стоимость до скидки]]-ППД5[[#This Row],[Итоговая сумма скидки]],2)</f>
        <v>7958900</v>
      </c>
      <c r="CW38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381" s="218">
        <v>10000</v>
      </c>
      <c r="CY381" s="332">
        <f>ППД5[[#This Row],[Расхождение]]/ППД5[[#This Row],[Расчетная проектная площадь]]</f>
        <v>-1.4940239043824087E-3</v>
      </c>
      <c r="CZ381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-0.32999999999999652</v>
      </c>
      <c r="DA381" s="3">
        <f>ППД5[[#This Row],[Цена м2 без отделки со скидкой]]+ППД5[[#This Row],[Стоимость отделки]]</f>
        <v>142119.85391766267</v>
      </c>
      <c r="DB381" s="3">
        <f>ППД5[[#This Row],[Стоимость квартиры с отделкой]]-ППД5[[#This Row],[Стоимость ОН без отделки со скидкой]]</f>
        <v>602400</v>
      </c>
      <c r="DC381" s="3">
        <f>ППД5[[#This Row],[Цена м2 с отделкой]]*ППД5[[#This Row],[Расчетная проектная площадь]]</f>
        <v>8561300</v>
      </c>
      <c r="DD381" s="3"/>
      <c r="DF381" s="155" t="s">
        <v>157</v>
      </c>
      <c r="DG381" s="221" t="s">
        <v>157</v>
      </c>
      <c r="DH381" s="100" t="b">
        <f>EXACT(ППД5[[#This Row],[Статусы CRM]],ППД5[[#This Row],[Статус]])</f>
        <v>1</v>
      </c>
      <c r="DI381" s="213" t="s">
        <v>553</v>
      </c>
      <c r="DJ381" s="204"/>
      <c r="DK381" s="111" t="s">
        <v>763</v>
      </c>
      <c r="DL381" s="216" t="s">
        <v>780</v>
      </c>
      <c r="DM381" s="201" t="b">
        <f>ППД5[[#This Row],[Отделка CRM]]=ППД5[[#This Row],[Отделка]]</f>
        <v>1</v>
      </c>
      <c r="DN381" s="203">
        <v>8561300</v>
      </c>
      <c r="DO38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81" s="207" t="b">
        <f>IF(AND(ППД5[[#This Row],[Статус]]="свободно",ППД5[[#This Row],[Итоговая сумма скидки]]&lt;&gt;0),FALSE,TRUE)</f>
        <v>1</v>
      </c>
      <c r="DQ381" s="240" t="str">
        <f>_xlfn.XLOOKUP(ППД5[[#This Row],[№]],Юрист[№ кв],Юрист[Дата подачи на регистрацию]," ",0,-1)</f>
        <v xml:space="preserve"> </v>
      </c>
      <c r="DR381" s="115" t="str">
        <f>_xlfn.XLOOKUP(ППД5[[#This Row],[№]],Юрист[№ кв],Юрист[МОП],"",0,-1)</f>
        <v/>
      </c>
      <c r="DS381" s="333" t="s">
        <v>3054</v>
      </c>
      <c r="DT381" s="333" t="s">
        <v>3055</v>
      </c>
      <c r="DU381" s="333">
        <v>58.7</v>
      </c>
      <c r="DV381" s="111"/>
    </row>
    <row r="382" spans="1:126" hidden="1" x14ac:dyDescent="0.25">
      <c r="A382" s="112">
        <v>380</v>
      </c>
      <c r="B382" s="111" t="s">
        <v>3</v>
      </c>
      <c r="C382" s="111">
        <v>23</v>
      </c>
      <c r="D382" s="111">
        <v>5</v>
      </c>
      <c r="E382" s="111">
        <v>1</v>
      </c>
      <c r="F382" s="105">
        <v>12.54</v>
      </c>
      <c r="G382" s="105"/>
      <c r="H382" s="105"/>
      <c r="I382" s="94">
        <f>SUM(ППД5[[#This Row],[Комната 1]:[Комната 3]])</f>
        <v>12.54</v>
      </c>
      <c r="J382" s="105">
        <v>12.74</v>
      </c>
      <c r="K382" s="105">
        <v>4.0199999999999996</v>
      </c>
      <c r="L382" s="105"/>
      <c r="M382" s="105"/>
      <c r="N382" s="105">
        <v>7.09</v>
      </c>
      <c r="O382" s="105">
        <v>2.84</v>
      </c>
      <c r="P382" s="105"/>
      <c r="Q382" s="105"/>
      <c r="R382" s="105">
        <f>SUM(ППД5[[#This Row],[Лоджия 1]:[Лоджия 3]])</f>
        <v>2.84</v>
      </c>
      <c r="S382" s="8">
        <f>ROUND(SUM(ППД5[[#This Row],[Площадь по проекту жилая]:[Лоджия 3]]),2)</f>
        <v>39.229999999999997</v>
      </c>
      <c r="T382" s="8">
        <f>ROUND(ППД5[[#This Row],[Площадь по проекту(общая)]]-ППД5[[#This Row],[Летние]],2)</f>
        <v>36.39</v>
      </c>
      <c r="U382" s="91">
        <f>ROUND(ППД5[[#This Row],[Площадь по проекту(общая)]]-(SUM(ППД5[[#This Row],[Лоджия 1]:[Лоджия 3]])/2),2)</f>
        <v>37.81</v>
      </c>
      <c r="V382" s="91">
        <f>IF(ППД5[[#This Row],[Статус]]="продажа",ППД5[[#This Row],[Расчетная проектная площадь]],ППД5[[#This Row],[Расчетная ТП площадь]])</f>
        <v>37.4</v>
      </c>
      <c r="W382" s="91">
        <v>12.4</v>
      </c>
      <c r="X382" s="91"/>
      <c r="Y382" s="91"/>
      <c r="Z382" s="91">
        <f>SUM(ППД5[[#This Row],[ТП Комната 1]:[ТП Комната 3]])</f>
        <v>12.4</v>
      </c>
      <c r="AA382" s="91">
        <v>12.6</v>
      </c>
      <c r="AB382" s="91">
        <v>4.0999999999999996</v>
      </c>
      <c r="AC382" s="91"/>
      <c r="AD382" s="91"/>
      <c r="AE382" s="91">
        <v>6.9</v>
      </c>
      <c r="AF382" s="91">
        <v>1.4</v>
      </c>
      <c r="AG382" s="91"/>
      <c r="AH382" s="91"/>
      <c r="AI382" s="91">
        <f>SUM(ППД5[[#This Row],[ТП Лоджия 1]:[ТП Лоджия 3]])</f>
        <v>1.4</v>
      </c>
      <c r="AJ382" s="95">
        <v>2.8</v>
      </c>
      <c r="AK382" s="91">
        <f>SUM(ППД5[[#This Row],[Площадь по ТП жилая]:[ТП Лоджия 3]])-ППД5[[#This Row],[ТП Летние]]+ППД5[[#This Row],[кроме того прочая
(без коэффициента)]]</f>
        <v>38.799999999999997</v>
      </c>
      <c r="AL382" s="95">
        <f>ППД5[[#This Row],[ТП Площадь без летних]]+(ППД5[[#This Row],[ТП Летние]])</f>
        <v>37.4</v>
      </c>
      <c r="AM382" s="91">
        <f>ППД5[[#This Row],[ТП общая S]]-ППД5[[#This Row],[кроме того прочая
(без коэффициента)]]</f>
        <v>36</v>
      </c>
      <c r="AN382" s="95">
        <f>SUM(ППД5[[#This Row],[ТП Кухня]:[ТП Коридор]])</f>
        <v>23.6</v>
      </c>
      <c r="AO382" s="91">
        <f>ППД5[[#This Row],[Расчетная ТП площадь]]-ППД5[[#This Row],[Расчетная проектная площадь]]</f>
        <v>-0.41000000000000369</v>
      </c>
      <c r="AP382" s="335">
        <f>ППД5[[#This Row],[Расчетная ТП площадь]]/ППД5[[#This Row],[Расчетная проектная площадь]]-1</f>
        <v>-1.0843692144935302E-2</v>
      </c>
      <c r="AQ382" s="91">
        <f>ППД5[[#This Row],[% расхождения]]*ППД5[[#This Row],[Стоимость до скидки]]</f>
        <v>-60942.634223750887</v>
      </c>
      <c r="AR382" s="91">
        <f>VLOOKUP(ППД5[[#This Row],[№]],наценкад5[],COLUMN(наценкад5[[#This Row],[Цена м2 с учетом всех K]]),0)</f>
        <v>95712.75</v>
      </c>
      <c r="AS382" s="8">
        <f>ППД5[[#This Row],[м2 после К]]*5%</f>
        <v>4785.6374999999998</v>
      </c>
      <c r="AT382" s="8">
        <f>ППД5[[#This Row],[м2 после К]]+ППД5[[#This Row],[Повышение 16.08.23 - 5%]]</f>
        <v>100498.3875</v>
      </c>
      <c r="AU382" s="93">
        <f>ППД5[[#This Row],[Фикс 16.08.23]]*3%</f>
        <v>3014.9516249999997</v>
      </c>
      <c r="AV382" s="93">
        <f>ППД5[[#This Row],[Фикс 16.08.23]]+ППД5[[#This Row],[Повышение 29.08.23 - 3%]]</f>
        <v>103513.339125</v>
      </c>
      <c r="AW382" s="93">
        <f>ППД5[[#This Row],[Фикс 29.08.23]]*4.5%</f>
        <v>4658.1002606249995</v>
      </c>
      <c r="AX382" s="93">
        <f>ППД5[[#This Row],[Фикс 29.08.23]]+ППД5[[#This Row],[Повышение 06.09.23 СТ и 1К]]</f>
        <v>108171.439385625</v>
      </c>
      <c r="AY382" s="93"/>
      <c r="AZ382" s="93">
        <f>ППД5[[#This Row],[Повышение 23.10.23  В4 ]]+ППД5[[#This Row],[Фикс 06.09.23]]</f>
        <v>108171.439385625</v>
      </c>
      <c r="BA382" s="93">
        <f>ППД5[[#This Row],[Фикс 23.10.23]]*5%</f>
        <v>5408.5719692812499</v>
      </c>
      <c r="BB382" s="93">
        <f>ППД5[[#This Row],[Повышение 8.11.23 1К 5%]]+ППД5[[#This Row],[Фикс 23.10.23]]</f>
        <v>113580.01135490625</v>
      </c>
      <c r="BC382" s="93">
        <v>-620</v>
      </c>
      <c r="BD382" s="93">
        <f>ППД5[[#This Row],[Корректировка 24.11.23 - 1К В5, 2К А2, №233]]+ППД5[[#This Row],[Фикс 8.11.23]]</f>
        <v>112960.01135490625</v>
      </c>
      <c r="BE382" s="93">
        <f>ППД5[[#This Row],[Фикс 8.11.24]]*1%</f>
        <v>1129.6001135490626</v>
      </c>
      <c r="BF382" s="93">
        <f>ППД5[[#This Row],[Наценка за отделку 29.12.23 1%]]+ППД5[[#This Row],[Фикс 8.11.24]]</f>
        <v>114089.61146845532</v>
      </c>
      <c r="BG382" s="93">
        <f>ППД5[[#This Row],[Фикс 29.12.23]]*5%</f>
        <v>5704.4805734227666</v>
      </c>
      <c r="BH382" s="93">
        <f>ППД5[[#This Row],[Фикс 29.12.23]]+ППД5[[#This Row],[Наценка 10.01.24 5%]]</f>
        <v>119794.09204187809</v>
      </c>
      <c r="BI382" s="93"/>
      <c r="BJ382" s="93">
        <f>ППД5[[#This Row],[Наценка 26.02.24 1 Этаж]]+ППД5[[#This Row],[Фикс 10.01.24]]</f>
        <v>119794.09204187809</v>
      </c>
      <c r="BK382" s="93">
        <f>ППД5[[#This Row],[Фикс 26.02.24]]*3%</f>
        <v>3593.8227612563423</v>
      </c>
      <c r="BL382" s="93">
        <f>ППД5[[#This Row],[Фикс 26.02.24]]+ППД5[[#This Row],[Наценка 06.03.24
СТ, 1К - 3%
2К, 3К - 2%]]</f>
        <v>123387.91480313442</v>
      </c>
      <c r="BM382" s="93"/>
      <c r="BN382" s="93">
        <f>ППД5[[#This Row],[Фикс 06.03.24]]+ППД5[[#This Row],[Наценка Г2+500]]</f>
        <v>123387.91480313442</v>
      </c>
      <c r="BO382" s="93"/>
      <c r="BP382" s="93">
        <f>ППД5[[#This Row],[Фикс 13.03.25]]+ППД5[[#This Row],[Наценка 20.03.24
2К, 3К - 2%]]</f>
        <v>123387.91480313442</v>
      </c>
      <c r="BQ382" s="93"/>
      <c r="BR382" s="93">
        <f>ППД5[[#This Row],[Фикс 20.03.24]]+ППД5[[#This Row],[Наценка 08.04.24 
2К: В3 - 150
3К: Г7 +1000]]</f>
        <v>123387.91480313442</v>
      </c>
      <c r="BS382" s="93">
        <f>ППД5[[#This Row],[Фикс 08.04.24]]*1%</f>
        <v>1233.8791480313444</v>
      </c>
      <c r="BT382" s="93">
        <f>ППД5[[#This Row],[Фикс 08.04.24]]+ППД5[[#This Row],[Наценка 16.05.24 1%
А4,А6,Б3,Б6,Б7,В2,В3,В5,В6,Г1,Г3-Г5]]</f>
        <v>124621.79395116576</v>
      </c>
      <c r="BU382" s="93"/>
      <c r="BV382" s="93">
        <f>ППД5[[#This Row],[Фикс 16.05.24]]+ППД5[[#This Row],[Наценка 24.05.24
1% - Б4, Б5,Г2,Г6
2% - А1,А3,А5,Б2,Г7]]</f>
        <v>124621.79395116576</v>
      </c>
      <c r="BW382" s="93"/>
      <c r="BX382" s="93">
        <f>ППД5[[#This Row],[Наценка 06.06.24
0К: В2,Г3 +0,5%
1К: А7, Б5/4, Г6 +0,5%
3К: В6 +0,5%
1К: А3 +1%]]+ППД5[[#This Row],[Фикс 24.05.24]]</f>
        <v>124621.79395116576</v>
      </c>
      <c r="BY382" s="93"/>
      <c r="BZ382" s="93">
        <f>ППД5[[#This Row],[Фикс 06.06.24]]+ППД5[[#This Row],[13.06.2024
3К - 2%]]</f>
        <v>124621.79395116576</v>
      </c>
      <c r="CA382" s="93">
        <f>0.5%*ППД5[[#This Row],[Фикс 13.06.24]]</f>
        <v>623.10896975582887</v>
      </c>
      <c r="CB382" s="93">
        <f>ППД5[[#This Row],[02.07.2024: Г3 А1 А3 Б5 Б7 Г2 Г6 Б3 Б4 В3 Г7 2,5% ост 0,5-1,5%]]+ППД5[[#This Row],[Фикс 13.06.24]]</f>
        <v>125244.9029209216</v>
      </c>
      <c r="CC382" s="93"/>
      <c r="CD382" s="93">
        <f>ППД5[[#This Row],[Фикс 02.07.24]]+ППД5[[#This Row],[04.09.2024 +500
0К - Б2; 1К - А3;
2К - А6, Б4, В3, Г5]]</f>
        <v>125244.9029209216</v>
      </c>
      <c r="CE382" s="93"/>
      <c r="CF382" s="93">
        <f>ППД5[[#This Row],[Наценка 16.09.2024
1К: А1,В7,Г6/7,Г8 - 2%
2К: А4,А5,А6,Б1,Б6,Б3/4,В3,В4,Г4,Г5 - 4%
3К: 4%]]+ППД5[[#This Row],[Фикс 04.09.24]]</f>
        <v>125244.9029209216</v>
      </c>
      <c r="CG382" s="93">
        <f>ППД5[[#This Row],[Фикс 16.09.2024]]*5%</f>
        <v>6262.2451460460798</v>
      </c>
      <c r="CH382" s="93">
        <f>ППД5[[#This Row],[Фикс 16.09.2024]]+ППД5[[#This Row],[Наценка 01.11.24
СТ: 4%
1К: 34-40м 5%; 40м+ 8%; МГН 1%
2К: 55-70м 6%; 70-73м 7%; 73-76м 8% 
3К: 5%]]</f>
        <v>131507.14806696767</v>
      </c>
      <c r="CI382" s="93">
        <f>ППД5[[#This Row],[Фикс 01.11.24]]*13%</f>
        <v>17095.929248705797</v>
      </c>
      <c r="CJ382" s="93">
        <f>ППД5[[#This Row],[Наценка 06.11 13%]]+ППД5[[#This Row],[Фикс 01.11.24]]</f>
        <v>148603.07731567346</v>
      </c>
      <c r="CK382" s="93">
        <v>35</v>
      </c>
      <c r="CL382" s="93">
        <f>ППД5[[#This Row],[Фикс 06.11.24]]+ППД5[[#This Row],[Наценка 18.12.24 распределение КВ]]</f>
        <v>148638.07731567346</v>
      </c>
      <c r="CM382" s="93"/>
      <c r="CN382" s="93">
        <f>ППД5[[#This Row],[Фикс 18.12.24]]+ППД5[[#This Row],[Наценка 10.02.25 +1%
1К: А3
2К: Б3, В3]]</f>
        <v>148638.07731567346</v>
      </c>
      <c r="CO382" s="93">
        <f>ROUND(ППД5[[#This Row],[Фикс 10.02.25]],2)</f>
        <v>148638.07999999999</v>
      </c>
      <c r="CP38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5620100</v>
      </c>
      <c r="CQ382" s="93">
        <f>ROUNDUP(ППД5[[#This Row],[Стоимость до скидки]]+ППД5[[#This Row],[Сумма доплаты]],-2)</f>
        <v>5559200</v>
      </c>
      <c r="CR382" s="68"/>
      <c r="CS382" s="90"/>
      <c r="CT382" s="68">
        <f>ППД5[[#This Row],[Стоимость до скидки]]*ППД5[[#This Row],[Скидка %]]+ППД5[[#This Row],[Скидка фиксированная]]</f>
        <v>0</v>
      </c>
      <c r="CU382" s="3">
        <f>ППД5[[#This Row],[Стоимость ОН без отделки со скидкой]]/ППД5[[#This Row],[Расчетная проектная площадь]]</f>
        <v>148640.57127743983</v>
      </c>
      <c r="CV382" s="3">
        <f>ROUND(ППД5[[#This Row],[Стоимость до скидки]]-ППД5[[#This Row],[Итоговая сумма скидки]],2)</f>
        <v>5620100</v>
      </c>
      <c r="CW38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82" s="197"/>
      <c r="CY382" s="332">
        <f>ППД5[[#This Row],[Расхождение]]/ППД5[[#This Row],[Расчетная проектная площадь]]</f>
        <v>-1.08436921449353E-2</v>
      </c>
      <c r="CZ38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-0.24999999999999822</v>
      </c>
      <c r="DA382" s="3">
        <f>ППД5[[#This Row],[Цена м2 без отделки со скидкой]]+ППД5[[#This Row],[Стоимость отделки]]</f>
        <v>148640.57127743983</v>
      </c>
      <c r="DB382" s="3">
        <f>ППД5[[#This Row],[Стоимость квартиры с отделкой]]-ППД5[[#This Row],[Стоимость ОН без отделки со скидкой]]</f>
        <v>0</v>
      </c>
      <c r="DC382" s="3">
        <f>ППД5[[#This Row],[Цена м2 с отделкой]]*ППД5[[#This Row],[Расчетная проектная площадь]]</f>
        <v>5620100</v>
      </c>
      <c r="DD382" s="3"/>
      <c r="DF382" s="199" t="s">
        <v>157</v>
      </c>
      <c r="DG382" s="245" t="s">
        <v>157</v>
      </c>
      <c r="DH382" s="100" t="b">
        <f>EXACT(ППД5[[#This Row],[Статусы CRM]],ППД5[[#This Row],[Статус]])</f>
        <v>1</v>
      </c>
      <c r="DI382" s="213" t="s">
        <v>554</v>
      </c>
      <c r="DJ382" s="204"/>
      <c r="DK382" s="111" t="s">
        <v>763</v>
      </c>
      <c r="DL382" s="216" t="s">
        <v>12</v>
      </c>
      <c r="DM382" s="201" t="b">
        <f>ППД5[[#This Row],[Отделка CRM]]=ППД5[[#This Row],[Отделка]]</f>
        <v>1</v>
      </c>
      <c r="DN382" s="203">
        <v>5620100</v>
      </c>
      <c r="DO38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82" s="207" t="b">
        <f>IF(AND(ППД5[[#This Row],[Статус]]="свободно",ППД5[[#This Row],[Итоговая сумма скидки]]&lt;&gt;0),FALSE,TRUE)</f>
        <v>1</v>
      </c>
      <c r="DQ382" s="240" t="str">
        <f>_xlfn.XLOOKUP(ППД5[[#This Row],[№]],Юрист[№ кв],Юрист[Дата подачи на регистрацию]," ",0,-1)</f>
        <v xml:space="preserve"> </v>
      </c>
      <c r="DR382" s="115" t="str">
        <f>_xlfn.XLOOKUP(ППД5[[#This Row],[№]],Юрист[№ кв],Юрист[МОП],"",0,-1)</f>
        <v/>
      </c>
      <c r="DS382" s="333" t="s">
        <v>3056</v>
      </c>
      <c r="DT382" s="333" t="s">
        <v>3057</v>
      </c>
      <c r="DU382" s="333">
        <v>36</v>
      </c>
      <c r="DV382" s="111"/>
    </row>
    <row r="383" spans="1:126" hidden="1" x14ac:dyDescent="0.25">
      <c r="A383" s="112">
        <v>381</v>
      </c>
      <c r="B383" s="111" t="s">
        <v>3</v>
      </c>
      <c r="C383" s="111">
        <v>23</v>
      </c>
      <c r="D383" s="111">
        <v>6</v>
      </c>
      <c r="E383" s="111">
        <v>3</v>
      </c>
      <c r="F383" s="105">
        <v>17.2</v>
      </c>
      <c r="G383" s="105">
        <v>14.64</v>
      </c>
      <c r="H383" s="105">
        <v>14.34</v>
      </c>
      <c r="I383" s="94">
        <f>SUM(ППД5[[#This Row],[Комната 1]:[Комната 3]])</f>
        <v>46.18</v>
      </c>
      <c r="J383" s="105">
        <v>13.15</v>
      </c>
      <c r="K383" s="105">
        <v>4.03</v>
      </c>
      <c r="L383" s="105">
        <v>1.76</v>
      </c>
      <c r="M383" s="105"/>
      <c r="N383" s="105">
        <v>13.11</v>
      </c>
      <c r="O383" s="105">
        <v>2.79</v>
      </c>
      <c r="P383" s="105">
        <v>2.68</v>
      </c>
      <c r="Q383" s="105"/>
      <c r="R383" s="105">
        <f>SUM(ППД5[[#This Row],[Лоджия 1]:[Лоджия 3]])</f>
        <v>5.4700000000000006</v>
      </c>
      <c r="S383" s="8">
        <f>ROUND(SUM(ППД5[[#This Row],[Площадь по проекту жилая]:[Лоджия 3]]),2)</f>
        <v>83.7</v>
      </c>
      <c r="T383" s="8">
        <f>ROUND(ППД5[[#This Row],[Площадь по проекту(общая)]]-ППД5[[#This Row],[Летние]],2)</f>
        <v>78.23</v>
      </c>
      <c r="U383" s="91">
        <f>ROUND(ППД5[[#This Row],[Площадь по проекту(общая)]]-(SUM(ППД5[[#This Row],[Лоджия 1]:[Лоджия 3]])/2),2)</f>
        <v>80.97</v>
      </c>
      <c r="V383" s="91">
        <f>IF(ППД5[[#This Row],[Статус]]="продажа",ППД5[[#This Row],[Расчетная проектная площадь]],ППД5[[#This Row],[Расчетная ТП площадь]])</f>
        <v>80.45</v>
      </c>
      <c r="W383" s="91">
        <v>17.100000000000001</v>
      </c>
      <c r="X383" s="91">
        <v>14.6</v>
      </c>
      <c r="Y383" s="91">
        <v>14.2</v>
      </c>
      <c r="Z383" s="91">
        <f>SUM(ППД5[[#This Row],[ТП Комната 1]:[ТП Комната 3]])</f>
        <v>45.900000000000006</v>
      </c>
      <c r="AA383" s="91">
        <v>13</v>
      </c>
      <c r="AB383" s="91">
        <v>4</v>
      </c>
      <c r="AC383" s="91">
        <v>1.8</v>
      </c>
      <c r="AD383" s="91"/>
      <c r="AE383" s="91">
        <v>13</v>
      </c>
      <c r="AF383" s="91">
        <v>1.4</v>
      </c>
      <c r="AG383" s="92">
        <v>1.35</v>
      </c>
      <c r="AH383" s="91"/>
      <c r="AI383" s="91">
        <f>SUM(ППД5[[#This Row],[ТП Лоджия 1]:[ТП Лоджия 3]])</f>
        <v>2.75</v>
      </c>
      <c r="AJ383" s="95">
        <v>5.5</v>
      </c>
      <c r="AK383" s="91">
        <f>SUM(ППД5[[#This Row],[Площадь по ТП жилая]:[ТП Лоджия 3]])-ППД5[[#This Row],[ТП Летние]]+ППД5[[#This Row],[кроме того прочая
(без коэффициента)]]</f>
        <v>83.2</v>
      </c>
      <c r="AL383" s="95">
        <f>ППД5[[#This Row],[ТП Площадь без летних]]+(ППД5[[#This Row],[ТП Летние]])</f>
        <v>80.45</v>
      </c>
      <c r="AM383" s="91">
        <f>ППД5[[#This Row],[ТП общая S]]-ППД5[[#This Row],[кроме того прочая
(без коэффициента)]]</f>
        <v>77.7</v>
      </c>
      <c r="AN383" s="95">
        <f>SUM(ППД5[[#This Row],[ТП Кухня]:[ТП Коридор]])</f>
        <v>31.8</v>
      </c>
      <c r="AO383" s="91">
        <f>ППД5[[#This Row],[Расчетная ТП площадь]]-ППД5[[#This Row],[Расчетная проектная площадь]]</f>
        <v>-0.51999999999999602</v>
      </c>
      <c r="AP383" s="335">
        <f>ППД5[[#This Row],[Расчетная ТП площадь]]/ППД5[[#This Row],[Расчетная проектная площадь]]-1</f>
        <v>-6.4221316536988704E-3</v>
      </c>
      <c r="AQ383" s="91">
        <f>ППД5[[#This Row],[% расхождения]]*ППД5[[#This Row],[Стоимость до скидки]]</f>
        <v>-63769.840681733673</v>
      </c>
      <c r="AR383" s="91">
        <f>VLOOKUP(ППД5[[#This Row],[№]],наценкад5[],COLUMN(наценкад5[[#This Row],[Цена м2 с учетом всех K]]),0)</f>
        <v>79230.690000000017</v>
      </c>
      <c r="AS383" s="8">
        <f>ППД5[[#This Row],[м2 после К]]*5%</f>
        <v>3961.5345000000011</v>
      </c>
      <c r="AT383" s="8">
        <f>ППД5[[#This Row],[м2 после К]]+ППД5[[#This Row],[Повышение 16.08.23 - 5%]]</f>
        <v>83192.224500000011</v>
      </c>
      <c r="AU383" s="93">
        <f>ППД5[[#This Row],[Фикс 16.08.23]]*3%</f>
        <v>2495.7667350000002</v>
      </c>
      <c r="AV383" s="93">
        <f>ППД5[[#This Row],[Фикс 16.08.23]]+ППД5[[#This Row],[Повышение 29.08.23 - 3%]]</f>
        <v>85687.991235000009</v>
      </c>
      <c r="AW383" s="93"/>
      <c r="AX383" s="93">
        <f>ППД5[[#This Row],[Фикс 29.08.23]]+ППД5[[#This Row],[Повышение 06.09.23 СТ и 1К]]</f>
        <v>85687.991235000009</v>
      </c>
      <c r="AY383" s="93"/>
      <c r="AZ383" s="93">
        <f>ППД5[[#This Row],[Повышение 23.10.23  В4 ]]+ППД5[[#This Row],[Фикс 06.09.23]]</f>
        <v>85687.991235000009</v>
      </c>
      <c r="BA383" s="93"/>
      <c r="BB383" s="93">
        <f>ППД5[[#This Row],[Повышение 8.11.23 1К 5%]]+ППД5[[#This Row],[Фикс 23.10.23]]</f>
        <v>85687.991235000009</v>
      </c>
      <c r="BC383" s="93"/>
      <c r="BD383" s="93">
        <f>ППД5[[#This Row],[Корректировка 24.11.23 - 1К В5, 2К А2, №233]]+ППД5[[#This Row],[Фикс 8.11.23]]</f>
        <v>85687.991235000009</v>
      </c>
      <c r="BE383" s="93">
        <f>ППД5[[#This Row],[Фикс 8.11.24]]*1%</f>
        <v>856.87991235000015</v>
      </c>
      <c r="BF383" s="93">
        <f>ППД5[[#This Row],[Наценка за отделку 29.12.23 1%]]+ППД5[[#This Row],[Фикс 8.11.24]]</f>
        <v>86544.871147350015</v>
      </c>
      <c r="BG383" s="93">
        <f>ППД5[[#This Row],[Фикс 29.12.23]]*5%</f>
        <v>4327.2435573675011</v>
      </c>
      <c r="BH383" s="93">
        <f>ППД5[[#This Row],[Фикс 29.12.23]]+ППД5[[#This Row],[Наценка 10.01.24 5%]]</f>
        <v>90872.114704717518</v>
      </c>
      <c r="BI383" s="93"/>
      <c r="BJ383" s="93">
        <f>ППД5[[#This Row],[Наценка 26.02.24 1 Этаж]]+ППД5[[#This Row],[Фикс 10.01.24]]</f>
        <v>90872.114704717518</v>
      </c>
      <c r="BK383" s="93">
        <f>ППД5[[#This Row],[Фикс 26.02.24]]*2%</f>
        <v>1817.4422940943505</v>
      </c>
      <c r="BL383" s="93">
        <f>ППД5[[#This Row],[Фикс 26.02.24]]+ППД5[[#This Row],[Наценка 06.03.24
СТ, 1К - 3%
2К, 3К - 2%]]</f>
        <v>92689.556998811866</v>
      </c>
      <c r="BM383" s="93"/>
      <c r="BN383" s="93">
        <f>ППД5[[#This Row],[Фикс 06.03.24]]+ППД5[[#This Row],[Наценка Г2+500]]</f>
        <v>92689.556998811866</v>
      </c>
      <c r="BO383" s="93">
        <f>ППД5[[#This Row],[Фикс 13.03.25]]*2%</f>
        <v>1853.7911399762374</v>
      </c>
      <c r="BP383" s="93">
        <f>ППД5[[#This Row],[Фикс 13.03.25]]+ППД5[[#This Row],[Наценка 20.03.24
2К, 3К - 2%]]</f>
        <v>94543.348138788104</v>
      </c>
      <c r="BQ383" s="93"/>
      <c r="BR383" s="93">
        <f>ППД5[[#This Row],[Фикс 20.03.24]]+ППД5[[#This Row],[Наценка 08.04.24 
2К: В3 - 150
3К: Г7 +1000]]</f>
        <v>94543.348138788104</v>
      </c>
      <c r="BS383" s="93">
        <f>ППД5[[#This Row],[Фикс 08.04.24]]*1%</f>
        <v>945.4334813878811</v>
      </c>
      <c r="BT383" s="93">
        <f>ППД5[[#This Row],[Фикс 08.04.24]]+ППД5[[#This Row],[Наценка 16.05.24 1%
А4,А6,Б3,Б6,Б7,В2,В3,В5,В6,Г1,Г3-Г5]]</f>
        <v>95488.781620175985</v>
      </c>
      <c r="BU383" s="93"/>
      <c r="BV383" s="93">
        <f>ППД5[[#This Row],[Фикс 16.05.24]]+ППД5[[#This Row],[Наценка 24.05.24
1% - Б4, Б5,Г2,Г6
2% - А1,А3,А5,Б2,Г7]]</f>
        <v>95488.781620175985</v>
      </c>
      <c r="BW383" s="93">
        <f>ППД5[[#This Row],[Фикс 24.05.24]]*0.5%</f>
        <v>477.44390810087992</v>
      </c>
      <c r="BX383" s="93">
        <f>ППД5[[#This Row],[Наценка 06.06.24
0К: В2,Г3 +0,5%
1К: А7, Б5/4, Г6 +0,5%
3К: В6 +0,5%
1К: А3 +1%]]+ППД5[[#This Row],[Фикс 24.05.24]]</f>
        <v>95966.22552827686</v>
      </c>
      <c r="BY383" s="93">
        <f>ППД5[[#This Row],[Фикс 06.06.24]]*2%</f>
        <v>1919.3245105655371</v>
      </c>
      <c r="BZ383" s="93">
        <f>ППД5[[#This Row],[Фикс 06.06.24]]+ППД5[[#This Row],[13.06.2024
3К - 2%]]</f>
        <v>97885.550038842397</v>
      </c>
      <c r="CA383" s="93">
        <f>1.5%*ППД5[[#This Row],[Фикс 13.06.24]]</f>
        <v>1468.2832505826359</v>
      </c>
      <c r="CB383" s="93">
        <f>ППД5[[#This Row],[02.07.2024: Г3 А1 А3 Б5 Б7 Г2 Г6 Б3 Б4 В3 Г7 2,5% ост 0,5-1,5%]]+ППД5[[#This Row],[Фикс 13.06.24]]</f>
        <v>99353.833289425034</v>
      </c>
      <c r="CC383" s="93"/>
      <c r="CD383" s="93">
        <f>ППД5[[#This Row],[Фикс 02.07.24]]+ППД5[[#This Row],[04.09.2024 +500
0К - Б2; 1К - А3;
2К - А6, Б4, В3, Г5]]</f>
        <v>99353.833289425034</v>
      </c>
      <c r="CE383" s="93">
        <f>ППД5[[#This Row],[Фикс 04.09.24]]*4%</f>
        <v>3974.1533315770016</v>
      </c>
      <c r="CF383" s="93">
        <f>ППД5[[#This Row],[Наценка 16.09.2024
1К: А1,В7,Г6/7,Г8 - 2%
2К: А4,А5,А6,Б1,Б6,Б3/4,В3,В4,Г4,Г5 - 4%
3К: 4%]]+ППД5[[#This Row],[Фикс 04.09.24]]</f>
        <v>103327.98662100204</v>
      </c>
      <c r="CG383" s="93">
        <f>ППД5[[#This Row],[Фикс 16.09.2024]]*5%</f>
        <v>5166.3993310501028</v>
      </c>
      <c r="CH383" s="93">
        <f>ППД5[[#This Row],[Фикс 16.09.2024]]+ППД5[[#This Row],[Наценка 01.11.24
СТ: 4%
1К: 34-40м 5%; 40м+ 8%; МГН 1%
2К: 55-70м 6%; 70-73м 7%; 73-76м 8% 
3К: 5%]]</f>
        <v>108494.38595205214</v>
      </c>
      <c r="CI383" s="93">
        <f>ППД5[[#This Row],[Фикс 01.11.24]]*13%</f>
        <v>14104.270173766778</v>
      </c>
      <c r="CJ383" s="93">
        <f>ППД5[[#This Row],[Наценка 06.11 13%]]+ППД5[[#This Row],[Фикс 01.11.24]]</f>
        <v>122598.65612581892</v>
      </c>
      <c r="CK383" s="93">
        <v>35</v>
      </c>
      <c r="CL383" s="93">
        <f>ППД5[[#This Row],[Фикс 06.11.24]]+ППД5[[#This Row],[Наценка 18.12.24 распределение КВ]]</f>
        <v>122633.65612581892</v>
      </c>
      <c r="CM383" s="93"/>
      <c r="CN383" s="93">
        <f>ППД5[[#This Row],[Фикс 18.12.24]]+ППД5[[#This Row],[Наценка 10.02.25 +1%
1К: А3
2К: Б3, В3]]</f>
        <v>122633.65612581892</v>
      </c>
      <c r="CO383" s="93">
        <f>ROUND(ППД5[[#This Row],[Фикс 10.02.25]],2)</f>
        <v>122633.66</v>
      </c>
      <c r="CP38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9929700</v>
      </c>
      <c r="CQ383" s="93">
        <f>ROUNDUP(ППД5[[#This Row],[Стоимость до скидки]]+ППД5[[#This Row],[Сумма доплаты]],-2)</f>
        <v>9866000</v>
      </c>
      <c r="CR383" s="68"/>
      <c r="CS383" s="90"/>
      <c r="CT383" s="68">
        <f>ППД5[[#This Row],[Стоимость до скидки]]*ППД5[[#This Row],[Скидка %]]+ППД5[[#This Row],[Скидка фиксированная]]</f>
        <v>0</v>
      </c>
      <c r="CU383" s="3">
        <f>ППД5[[#This Row],[Стоимость ОН без отделки со скидкой]]/ППД5[[#This Row],[Расчетная проектная площадь]]</f>
        <v>122634.30900333457</v>
      </c>
      <c r="CV383" s="3">
        <f>ROUND(ППД5[[#This Row],[Стоимость до скидки]]-ППД5[[#This Row],[Итоговая сумма скидки]],2)</f>
        <v>9929700</v>
      </c>
      <c r="CW38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83" s="197"/>
      <c r="CY383" s="332">
        <f>ППД5[[#This Row],[Расхождение]]/ППД5[[#This Row],[Расчетная проектная площадь]]</f>
        <v>-6.4221316536988522E-3</v>
      </c>
      <c r="CZ38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-0.25000000000000178</v>
      </c>
      <c r="DA383" s="3">
        <f>ППД5[[#This Row],[Цена м2 без отделки со скидкой]]+ППД5[[#This Row],[Стоимость отделки]]</f>
        <v>122634.30900333457</v>
      </c>
      <c r="DB383" s="3">
        <f>ППД5[[#This Row],[Стоимость квартиры с отделкой]]-ППД5[[#This Row],[Стоимость ОН без отделки со скидкой]]</f>
        <v>0</v>
      </c>
      <c r="DC383" s="3">
        <f>ППД5[[#This Row],[Цена м2 с отделкой]]*ППД5[[#This Row],[Расчетная проектная площадь]]</f>
        <v>9929700</v>
      </c>
      <c r="DD383" s="3"/>
      <c r="DF383" s="221" t="s">
        <v>157</v>
      </c>
      <c r="DG383" s="221" t="s">
        <v>157</v>
      </c>
      <c r="DH383" s="100" t="b">
        <f>EXACT(ППД5[[#This Row],[Статусы CRM]],ППД5[[#This Row],[Статус]])</f>
        <v>1</v>
      </c>
      <c r="DI383" s="213" t="s">
        <v>555</v>
      </c>
      <c r="DJ383" s="204"/>
      <c r="DK383" s="111" t="s">
        <v>763</v>
      </c>
      <c r="DL383" s="216" t="s">
        <v>12</v>
      </c>
      <c r="DM383" s="201" t="b">
        <f>ППД5[[#This Row],[Отделка CRM]]=ППД5[[#This Row],[Отделка]]</f>
        <v>1</v>
      </c>
      <c r="DN383" s="203">
        <v>9929700</v>
      </c>
      <c r="DO38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83" s="207" t="b">
        <f>IF(AND(ППД5[[#This Row],[Статус]]="свободно",ППД5[[#This Row],[Итоговая сумма скидки]]&lt;&gt;0),FALSE,TRUE)</f>
        <v>1</v>
      </c>
      <c r="DQ383" s="240" t="str">
        <f>_xlfn.XLOOKUP(ППД5[[#This Row],[№]],Юрист[№ кв],Юрист[Дата подачи на регистрацию]," ",0,-1)</f>
        <v xml:space="preserve"> </v>
      </c>
      <c r="DR383" s="115" t="str">
        <f>_xlfn.XLOOKUP(ППД5[[#This Row],[№]],Юрист[№ кв],Юрист[МОП],"",0,-1)</f>
        <v/>
      </c>
      <c r="DS383" s="333" t="s">
        <v>3058</v>
      </c>
      <c r="DT383" s="333" t="s">
        <v>3059</v>
      </c>
      <c r="DU383" s="333">
        <v>77.7</v>
      </c>
      <c r="DV383" s="111"/>
    </row>
    <row r="384" spans="1:126" hidden="1" x14ac:dyDescent="0.25">
      <c r="A384" s="112">
        <v>382</v>
      </c>
      <c r="B384" s="111" t="s">
        <v>3</v>
      </c>
      <c r="C384" s="111">
        <v>23</v>
      </c>
      <c r="D384" s="111">
        <v>7</v>
      </c>
      <c r="E384" s="111">
        <v>1</v>
      </c>
      <c r="F384" s="105">
        <v>14.3</v>
      </c>
      <c r="G384" s="105"/>
      <c r="H384" s="105"/>
      <c r="I384" s="94">
        <f>SUM(ППД5[[#This Row],[Комната 1]:[Комната 3]])</f>
        <v>14.3</v>
      </c>
      <c r="J384" s="105">
        <v>9.2799999999999994</v>
      </c>
      <c r="K384" s="105">
        <v>3.79</v>
      </c>
      <c r="L384" s="105"/>
      <c r="M384" s="105"/>
      <c r="N384" s="105">
        <v>6.08</v>
      </c>
      <c r="O384" s="105">
        <v>2.71</v>
      </c>
      <c r="P384" s="105"/>
      <c r="Q384" s="105"/>
      <c r="R384" s="105">
        <f>SUM(ППД5[[#This Row],[Лоджия 1]:[Лоджия 3]])</f>
        <v>2.71</v>
      </c>
      <c r="S384" s="8">
        <f>ROUND(SUM(ППД5[[#This Row],[Площадь по проекту жилая]:[Лоджия 3]]),2)</f>
        <v>36.159999999999997</v>
      </c>
      <c r="T384" s="8">
        <f>ROUND(ППД5[[#This Row],[Площадь по проекту(общая)]]-ППД5[[#This Row],[Летние]],2)</f>
        <v>33.450000000000003</v>
      </c>
      <c r="U384" s="91">
        <f>ROUND(ППД5[[#This Row],[Площадь по проекту(общая)]]-(SUM(ППД5[[#This Row],[Лоджия 1]:[Лоджия 3]])/2),2)</f>
        <v>34.81</v>
      </c>
      <c r="V384" s="91">
        <f>IF(ППД5[[#This Row],[Статус]]="продажа",ППД5[[#This Row],[Расчетная проектная площадь]],ППД5[[#This Row],[Расчетная ТП площадь]])</f>
        <v>34.81</v>
      </c>
      <c r="W384" s="91">
        <v>14.3</v>
      </c>
      <c r="X384" s="91"/>
      <c r="Y384" s="91"/>
      <c r="Z384" s="91">
        <f>SUM(ППД5[[#This Row],[ТП Комната 1]:[ТП Комната 3]])</f>
        <v>14.3</v>
      </c>
      <c r="AA384" s="91">
        <v>9.1</v>
      </c>
      <c r="AB384" s="91">
        <v>3.7</v>
      </c>
      <c r="AC384" s="91"/>
      <c r="AD384" s="91"/>
      <c r="AE384" s="91">
        <v>6.1</v>
      </c>
      <c r="AF384" s="91">
        <v>1.35</v>
      </c>
      <c r="AG384" s="91"/>
      <c r="AH384" s="91"/>
      <c r="AI384" s="91">
        <f>SUM(ППД5[[#This Row],[ТП Лоджия 1]:[ТП Лоджия 3]])</f>
        <v>1.35</v>
      </c>
      <c r="AJ384" s="95">
        <v>2.7</v>
      </c>
      <c r="AK384" s="91">
        <f>SUM(ППД5[[#This Row],[Площадь по ТП жилая]:[ТП Лоджия 3]])-ППД5[[#This Row],[ТП Летние]]+ППД5[[#This Row],[кроме того прочая
(без коэффициента)]]</f>
        <v>35.9</v>
      </c>
      <c r="AL384" s="95">
        <f>ППД5[[#This Row],[ТП Площадь без летних]]+(ППД5[[#This Row],[ТП Летние]])</f>
        <v>34.549999999999997</v>
      </c>
      <c r="AM384" s="91">
        <f>ППД5[[#This Row],[ТП общая S]]-ППД5[[#This Row],[кроме того прочая
(без коэффициента)]]</f>
        <v>33.199999999999996</v>
      </c>
      <c r="AN384" s="95">
        <f>SUM(ППД5[[#This Row],[ТП Кухня]:[ТП Коридор]])</f>
        <v>18.899999999999999</v>
      </c>
      <c r="AO384" s="91">
        <f>ППД5[[#This Row],[Расчетная ТП площадь]]-ППД5[[#This Row],[Расчетная проектная площадь]]</f>
        <v>-0.26000000000000512</v>
      </c>
      <c r="AP384" s="335">
        <f>ППД5[[#This Row],[Расчетная ТП площадь]]/ППД5[[#This Row],[Расчетная проектная площадь]]-1</f>
        <v>-7.4691180695204418E-3</v>
      </c>
      <c r="AQ384" s="91">
        <f>ППД5[[#This Row],[% расхождения]]*ППД5[[#This Row],[Стоимость до скидки]]</f>
        <v>-24911.676374605628</v>
      </c>
      <c r="AR384" s="91">
        <f>VLOOKUP(ППД5[[#This Row],[№]],наценкад5[],COLUMN(наценкад5[[#This Row],[Цена м2 с учетом всех K]]),0)</f>
        <v>91251.5625</v>
      </c>
      <c r="AS384" s="8">
        <f>ППД5[[#This Row],[м2 после К]]*5%</f>
        <v>4562.578125</v>
      </c>
      <c r="AT384" s="8">
        <f>ППД5[[#This Row],[м2 после К]]+ППД5[[#This Row],[Повышение 16.08.23 - 5%]]</f>
        <v>95814.140625</v>
      </c>
      <c r="AU384" s="93"/>
      <c r="AV384" s="93">
        <f>ППД5[[#This Row],[Фикс 16.08.23]]+ППД5[[#This Row],[Повышение 29.08.23 - 3%]]</f>
        <v>95814.140625</v>
      </c>
      <c r="AW384" s="93"/>
      <c r="AX384" s="93">
        <f>ППД5[[#This Row],[Фикс 29.08.23]]+ППД5[[#This Row],[Повышение 06.09.23 СТ и 1К]]</f>
        <v>95814.140625</v>
      </c>
      <c r="AY384" s="93"/>
      <c r="AZ384" s="93">
        <f>ППД5[[#This Row],[Повышение 23.10.23  В4 ]]+ППД5[[#This Row],[Фикс 06.09.23]]</f>
        <v>95814.140625</v>
      </c>
      <c r="BA384" s="93"/>
      <c r="BB384" s="93">
        <f>ППД5[[#This Row],[Повышение 8.11.23 1К 5%]]+ППД5[[#This Row],[Фикс 23.10.23]]</f>
        <v>95814.140625</v>
      </c>
      <c r="BC384" s="93"/>
      <c r="BD384" s="93">
        <f>ППД5[[#This Row],[Корректировка 24.11.23 - 1К В5, 2К А2, №233]]+ППД5[[#This Row],[Фикс 8.11.23]]</f>
        <v>95814.140625</v>
      </c>
      <c r="BE384" s="93"/>
      <c r="BF384" s="93">
        <f>ППД5[[#This Row],[Наценка за отделку 29.12.23 1%]]+ППД5[[#This Row],[Фикс 8.11.24]]</f>
        <v>95814.140625</v>
      </c>
      <c r="BG384" s="93"/>
      <c r="BH384" s="93">
        <f>ППД5[[#This Row],[Фикс 29.12.23]]+ППД5[[#This Row],[Наценка 10.01.24 5%]]</f>
        <v>95814.140625</v>
      </c>
      <c r="BI384" s="93"/>
      <c r="BJ384" s="93">
        <f>ППД5[[#This Row],[Наценка 26.02.24 1 Этаж]]+ППД5[[#This Row],[Фикс 10.01.24]]</f>
        <v>95814.140625</v>
      </c>
      <c r="BK384" s="93"/>
      <c r="BL384" s="93">
        <f>ППД5[[#This Row],[Фикс 26.02.24]]+ППД5[[#This Row],[Наценка 06.03.24
СТ, 1К - 3%
2К, 3К - 2%]]</f>
        <v>95814.140625</v>
      </c>
      <c r="BM384" s="93"/>
      <c r="BN384" s="93">
        <f>ППД5[[#This Row],[Фикс 06.03.24]]+ППД5[[#This Row],[Наценка Г2+500]]</f>
        <v>95814.140625</v>
      </c>
      <c r="BO384" s="93"/>
      <c r="BP384" s="93">
        <f>ППД5[[#This Row],[Фикс 13.03.25]]+ППД5[[#This Row],[Наценка 20.03.24
2К, 3К - 2%]]</f>
        <v>95814.140625</v>
      </c>
      <c r="BQ384" s="93"/>
      <c r="BR384" s="93">
        <f>ППД5[[#This Row],[Фикс 20.03.24]]+ППД5[[#This Row],[Наценка 08.04.24 
2К: В3 - 150
3К: Г7 +1000]]</f>
        <v>95814.140625</v>
      </c>
      <c r="BS384" s="93"/>
      <c r="BT384" s="93">
        <f>ППД5[[#This Row],[Фикс 08.04.24]]+ППД5[[#This Row],[Наценка 16.05.24 1%
А4,А6,Б3,Б6,Б7,В2,В3,В5,В6,Г1,Г3-Г5]]</f>
        <v>95814.140625</v>
      </c>
      <c r="BU384" s="93"/>
      <c r="BV384" s="93">
        <f>ППД5[[#This Row],[Фикс 16.05.24]]+ППД5[[#This Row],[Наценка 24.05.24
1% - Б4, Б5,Г2,Г6
2% - А1,А3,А5,Б2,Г7]]</f>
        <v>95814.140625</v>
      </c>
      <c r="BW384" s="93"/>
      <c r="BX384" s="93">
        <f>ППД5[[#This Row],[Наценка 06.06.24
0К: В2,Г3 +0,5%
1К: А7, Б5/4, Г6 +0,5%
3К: В6 +0,5%
1К: А3 +1%]]+ППД5[[#This Row],[Фикс 24.05.24]]</f>
        <v>95814.140625</v>
      </c>
      <c r="BY384" s="93"/>
      <c r="BZ384" s="93">
        <f>ППД5[[#This Row],[Фикс 06.06.24]]+ППД5[[#This Row],[13.06.2024
3К - 2%]]</f>
        <v>95814.140625</v>
      </c>
      <c r="CA384" s="93"/>
      <c r="CB384" s="93">
        <f>ППД5[[#This Row],[02.07.2024: Г3 А1 А3 Б5 Б7 Г2 Г6 Б3 Б4 В3 Г7 2,5% ост 0,5-1,5%]]+ППД5[[#This Row],[Фикс 13.06.24]]</f>
        <v>95814.140625</v>
      </c>
      <c r="CC384" s="93"/>
      <c r="CD384" s="93">
        <f>ППД5[[#This Row],[Фикс 02.07.24]]+ППД5[[#This Row],[04.09.2024 +500
0К - Б2; 1К - А3;
2К - А6, Б4, В3, Г5]]</f>
        <v>95814.140625</v>
      </c>
      <c r="CE384" s="93"/>
      <c r="CF384" s="93">
        <f>ППД5[[#This Row],[Наценка 16.09.2024
1К: А1,В7,Г6/7,Г8 - 2%
2К: А4,А5,А6,Б1,Б6,Б3/4,В3,В4,Г4,Г5 - 4%
3К: 4%]]+ППД5[[#This Row],[Фикс 04.09.24]]</f>
        <v>95814.140625</v>
      </c>
      <c r="CG384" s="93"/>
      <c r="CH384" s="93">
        <f>ППД5[[#This Row],[Фикс 16.09.2024]]+ППД5[[#This Row],[Наценка 01.11.24
СТ: 4%
1К: 34-40м 5%; 40м+ 8%; МГН 1%
2К: 55-70м 6%; 70-73м 7%; 73-76м 8% 
3К: 5%]]</f>
        <v>95814.140625</v>
      </c>
      <c r="CI384" s="93"/>
      <c r="CJ384" s="93">
        <f>ППД5[[#This Row],[Наценка 06.11 13%]]+ППД5[[#This Row],[Фикс 01.11.24]]</f>
        <v>95814.140625</v>
      </c>
      <c r="CK384" s="93"/>
      <c r="CL384" s="93">
        <f>ППД5[[#This Row],[Фикс 06.11.24]]+ППД5[[#This Row],[Наценка 18.12.24 распределение КВ]]</f>
        <v>95814.140625</v>
      </c>
      <c r="CM384" s="93"/>
      <c r="CN384" s="93">
        <f>ППД5[[#This Row],[Фикс 18.12.24]]+ППД5[[#This Row],[Наценка 10.02.25 +1%
1К: А3
2К: Б3, В3]]</f>
        <v>95814.140625</v>
      </c>
      <c r="CO384" s="93">
        <f>ROUND(ППД5[[#This Row],[Фикс 10.02.25]],2)</f>
        <v>95814.14</v>
      </c>
      <c r="CP38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3335290.21</v>
      </c>
      <c r="CQ384" s="93">
        <f>ROUNDUP(ППД5[[#This Row],[Стоимость до скидки]]+ППД5[[#This Row],[Сумма доплаты]],-2)</f>
        <v>3310400</v>
      </c>
      <c r="CR384" s="68"/>
      <c r="CS384" s="90"/>
      <c r="CT384" s="68">
        <f>ППД5[[#This Row],[Стоимость до скидки]]*ППД5[[#This Row],[Скидка %]]+ППД5[[#This Row],[Скидка фиксированная]]</f>
        <v>0</v>
      </c>
      <c r="CU384" s="3">
        <f>ППД5[[#This Row],[Стоимость ОН без отделки со скидкой]]/ППД5[[#This Row],[Расчетная проектная площадь]]</f>
        <v>95814.139902326904</v>
      </c>
      <c r="CV384" s="3">
        <f>ROUND(ППД5[[#This Row],[Стоимость до скидки]]-ППД5[[#This Row],[Итоговая сумма скидки]],2)</f>
        <v>3335290.21</v>
      </c>
      <c r="CW38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384" s="197">
        <v>5000</v>
      </c>
      <c r="CY384" s="332">
        <f>ППД5[[#This Row],[Расхождение]]/ППД5[[#This Row],[Расчетная проектная площадь]]</f>
        <v>-7.4691180695203993E-3</v>
      </c>
      <c r="CZ38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-0.25000000000000178</v>
      </c>
      <c r="DA384" s="3">
        <f>ППД5[[#This Row],[Цена м2 без отделки со скидкой]]+ППД5[[#This Row],[Стоимость отделки]]</f>
        <v>100814.1399023269</v>
      </c>
      <c r="DB384" s="3">
        <f>ППД5[[#This Row],[Стоимость квартиры с отделкой]]-ППД5[[#This Row],[Стоимость ОН без отделки со скидкой]]</f>
        <v>174050</v>
      </c>
      <c r="DC384" s="3">
        <f>ППД5[[#This Row],[Цена м2 с отделкой]]*ППД5[[#This Row],[Расчетная проектная площадь]]</f>
        <v>3509340.21</v>
      </c>
      <c r="DD384" s="3" t="s">
        <v>154</v>
      </c>
      <c r="DF384" s="199" t="s">
        <v>172</v>
      </c>
      <c r="DG384" s="245" t="s">
        <v>172</v>
      </c>
      <c r="DH384" s="100" t="b">
        <f>EXACT(ППД5[[#This Row],[Статусы CRM]],ППД5[[#This Row],[Статус]])</f>
        <v>1</v>
      </c>
      <c r="DI384" s="213" t="s">
        <v>556</v>
      </c>
      <c r="DJ384" s="204"/>
      <c r="DK384" s="111" t="s">
        <v>76</v>
      </c>
      <c r="DL384" s="216" t="s">
        <v>13</v>
      </c>
      <c r="DM384" s="201" t="b">
        <f>ППД5[[#This Row],[Отделка CRM]]=ППД5[[#This Row],[Отделка]]</f>
        <v>1</v>
      </c>
      <c r="DN384" s="203">
        <v>3509340.21</v>
      </c>
      <c r="DO38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84" s="207" t="b">
        <f>IF(AND(ППД5[[#This Row],[Статус]]="свободно",ППД5[[#This Row],[Итоговая сумма скидки]]&lt;&gt;0),FALSE,TRUE)</f>
        <v>1</v>
      </c>
      <c r="DQ384" s="240">
        <f>_xlfn.XLOOKUP(ППД5[[#This Row],[№]],Юрист[№ кв],Юрист[Дата подачи на регистрацию]," ",0,-1)</f>
        <v>45217</v>
      </c>
      <c r="DR384" s="115" t="str">
        <f>_xlfn.XLOOKUP(ППД5[[#This Row],[№]],Юрист[№ кв],Юрист[МОП],"",0,-1)</f>
        <v>Никишов</v>
      </c>
      <c r="DS384" s="333" t="s">
        <v>3060</v>
      </c>
      <c r="DT384" s="333" t="s">
        <v>3061</v>
      </c>
      <c r="DU384" s="333">
        <v>33.200000000000003</v>
      </c>
      <c r="DV384" s="111"/>
    </row>
    <row r="385" spans="1:126" hidden="1" x14ac:dyDescent="0.25">
      <c r="A385" s="112">
        <v>383</v>
      </c>
      <c r="B385" s="111" t="s">
        <v>3</v>
      </c>
      <c r="C385" s="111">
        <v>24</v>
      </c>
      <c r="D385" s="338">
        <v>1</v>
      </c>
      <c r="E385" s="111">
        <v>2</v>
      </c>
      <c r="F385" s="105">
        <v>17.63</v>
      </c>
      <c r="G385" s="105">
        <v>13.69</v>
      </c>
      <c r="H385" s="105"/>
      <c r="I385" s="94">
        <f>SUM(ППД5[[#This Row],[Комната 1]:[Комната 3]])</f>
        <v>31.32</v>
      </c>
      <c r="J385" s="105">
        <v>20.05</v>
      </c>
      <c r="K385" s="105">
        <v>3.54</v>
      </c>
      <c r="L385" s="105">
        <v>2.93</v>
      </c>
      <c r="M385" s="105"/>
      <c r="N385" s="105">
        <v>12.19</v>
      </c>
      <c r="O385" s="105">
        <v>4.6500000000000004</v>
      </c>
      <c r="P385" s="105">
        <v>2.68</v>
      </c>
      <c r="Q385" s="105"/>
      <c r="R385" s="105">
        <f>SUM(ППД5[[#This Row],[Лоджия 1]:[Лоджия 3]])</f>
        <v>7.33</v>
      </c>
      <c r="S385" s="8">
        <f>ROUND(SUM(ППД5[[#This Row],[Площадь по проекту жилая]:[Лоджия 3]]),2)</f>
        <v>77.36</v>
      </c>
      <c r="T385" s="8">
        <f>ROUND(ППД5[[#This Row],[Площадь по проекту(общая)]]-ППД5[[#This Row],[Летние]],2)</f>
        <v>70.03</v>
      </c>
      <c r="U385" s="91">
        <f>ROUND(ППД5[[#This Row],[Площадь по проекту(общая)]]-(SUM(ППД5[[#This Row],[Лоджия 1]:[Лоджия 3]])/2),2)</f>
        <v>73.7</v>
      </c>
      <c r="V385" s="91">
        <f>IF(ППД5[[#This Row],[Статус]]="продажа",ППД5[[#This Row],[Расчетная проектная площадь]],ППД5[[#This Row],[Расчетная ТП площадь]])</f>
        <v>73.149999999999991</v>
      </c>
      <c r="W385" s="91">
        <v>17.399999999999999</v>
      </c>
      <c r="X385" s="91">
        <v>13.5</v>
      </c>
      <c r="Y385" s="91"/>
      <c r="Z385" s="91">
        <f>SUM(ППД5[[#This Row],[ТП Комната 1]:[ТП Комната 3]])</f>
        <v>30.9</v>
      </c>
      <c r="AA385" s="91">
        <v>20</v>
      </c>
      <c r="AB385" s="91">
        <v>3.6</v>
      </c>
      <c r="AC385" s="91">
        <v>2.9</v>
      </c>
      <c r="AD385" s="91"/>
      <c r="AE385" s="91">
        <v>12.1</v>
      </c>
      <c r="AF385" s="91">
        <v>1.35</v>
      </c>
      <c r="AG385" s="91">
        <v>2.2999999999999998</v>
      </c>
      <c r="AH385" s="91"/>
      <c r="AI385" s="91">
        <f>SUM(ППД5[[#This Row],[ТП Лоджия 1]:[ТП Лоджия 3]])</f>
        <v>3.65</v>
      </c>
      <c r="AJ385" s="95">
        <v>7.3</v>
      </c>
      <c r="AK385" s="91">
        <f>SUM(ППД5[[#This Row],[Площадь по ТП жилая]:[ТП Лоджия 3]])-ППД5[[#This Row],[ТП Летние]]+ППД5[[#This Row],[кроме того прочая
(без коэффициента)]]</f>
        <v>76.799999999999983</v>
      </c>
      <c r="AL385" s="95">
        <f>ППД5[[#This Row],[ТП Площадь без летних]]+(ППД5[[#This Row],[ТП Летние]])</f>
        <v>73.149999999999991</v>
      </c>
      <c r="AM385" s="91">
        <f>ППД5[[#This Row],[ТП общая S]]-ППД5[[#This Row],[кроме того прочая
(без коэффициента)]]</f>
        <v>69.499999999999986</v>
      </c>
      <c r="AN385" s="95">
        <f>SUM(ППД5[[#This Row],[ТП Кухня]:[ТП Коридор]])</f>
        <v>38.6</v>
      </c>
      <c r="AO385" s="91">
        <f>ППД5[[#This Row],[Расчетная ТП площадь]]-ППД5[[#This Row],[Расчетная проектная площадь]]</f>
        <v>-0.55000000000001137</v>
      </c>
      <c r="AP385" s="335">
        <f>ППД5[[#This Row],[Расчетная ТП площадь]]/ППД5[[#This Row],[Расчетная проектная площадь]]-1</f>
        <v>-7.4626865671643117E-3</v>
      </c>
      <c r="AQ385" s="91">
        <f>ППД5[[#This Row],[% расхождения]]*ППД5[[#This Row],[Стоимость до скидки]]</f>
        <v>-69635.820895523619</v>
      </c>
      <c r="AR385" s="91">
        <f>VLOOKUP(ППД5[[#This Row],[№]],наценкад5[],COLUMN(наценкад5[[#This Row],[Цена м2 с учетом всех K]]),0)</f>
        <v>86485.392000000007</v>
      </c>
      <c r="AS385" s="8">
        <f>ППД5[[#This Row],[м2 после К]]*5%</f>
        <v>4324.2696000000005</v>
      </c>
      <c r="AT385" s="8">
        <f>ППД5[[#This Row],[м2 после К]]+ППД5[[#This Row],[Повышение 16.08.23 - 5%]]</f>
        <v>90809.661600000007</v>
      </c>
      <c r="AU385" s="93">
        <f>ППД5[[#This Row],[Фикс 16.08.23]]*3%</f>
        <v>2724.2898479999999</v>
      </c>
      <c r="AV385" s="93">
        <f>ППД5[[#This Row],[Фикс 16.08.23]]+ППД5[[#This Row],[Повышение 29.08.23 - 3%]]</f>
        <v>93533.951448000007</v>
      </c>
      <c r="AW385" s="93"/>
      <c r="AX385" s="93">
        <f>ППД5[[#This Row],[Фикс 29.08.23]]+ППД5[[#This Row],[Повышение 06.09.23 СТ и 1К]]</f>
        <v>93533.951448000007</v>
      </c>
      <c r="AY385" s="93"/>
      <c r="AZ385" s="93">
        <f>ППД5[[#This Row],[Повышение 23.10.23  В4 ]]+ППД5[[#This Row],[Фикс 06.09.23]]</f>
        <v>93533.951448000007</v>
      </c>
      <c r="BA385" s="93"/>
      <c r="BB385" s="93">
        <f>ППД5[[#This Row],[Повышение 8.11.23 1К 5%]]+ППД5[[#This Row],[Фикс 23.10.23]]</f>
        <v>93533.951448000007</v>
      </c>
      <c r="BC385" s="93"/>
      <c r="BD385" s="93">
        <f>ППД5[[#This Row],[Корректировка 24.11.23 - 1К В5, 2К А2, №233]]+ППД5[[#This Row],[Фикс 8.11.23]]</f>
        <v>93533.951448000007</v>
      </c>
      <c r="BE385" s="93">
        <f>ППД5[[#This Row],[Фикс 8.11.24]]*1%</f>
        <v>935.33951448000005</v>
      </c>
      <c r="BF385" s="93">
        <f>ППД5[[#This Row],[Наценка за отделку 29.12.23 1%]]+ППД5[[#This Row],[Фикс 8.11.24]]</f>
        <v>94469.290962480009</v>
      </c>
      <c r="BG385" s="93">
        <f>ППД5[[#This Row],[Фикс 29.12.23]]*5%</f>
        <v>4723.4645481240004</v>
      </c>
      <c r="BH385" s="93">
        <f>ППД5[[#This Row],[Фикс 29.12.23]]+ППД5[[#This Row],[Наценка 10.01.24 5%]]</f>
        <v>99192.755510604009</v>
      </c>
      <c r="BI385" s="93"/>
      <c r="BJ385" s="93">
        <f>ППД5[[#This Row],[Наценка 26.02.24 1 Этаж]]+ППД5[[#This Row],[Фикс 10.01.24]]</f>
        <v>99192.755510604009</v>
      </c>
      <c r="BK385" s="93">
        <f>ППД5[[#This Row],[Фикс 26.02.24]]*2%</f>
        <v>1983.8551102120803</v>
      </c>
      <c r="BL385" s="93">
        <f>ППД5[[#This Row],[Фикс 26.02.24]]+ППД5[[#This Row],[Наценка 06.03.24
СТ, 1К - 3%
2К, 3К - 2%]]</f>
        <v>101176.61062081609</v>
      </c>
      <c r="BM385" s="93"/>
      <c r="BN385" s="93">
        <f>ППД5[[#This Row],[Фикс 06.03.24]]+ППД5[[#This Row],[Наценка Г2+500]]</f>
        <v>101176.61062081609</v>
      </c>
      <c r="BO385" s="93">
        <f>ППД5[[#This Row],[Фикс 13.03.25]]*2%</f>
        <v>2023.532212416322</v>
      </c>
      <c r="BP385" s="93">
        <f>ППД5[[#This Row],[Фикс 13.03.25]]+ППД5[[#This Row],[Наценка 20.03.24
2К, 3К - 2%]]</f>
        <v>103200.14283323241</v>
      </c>
      <c r="BQ385" s="93"/>
      <c r="BR385" s="93">
        <f>ППД5[[#This Row],[Фикс 20.03.24]]+ППД5[[#This Row],[Наценка 08.04.24 
2К: В3 - 150
3К: Г7 +1000]]</f>
        <v>103200.14283323241</v>
      </c>
      <c r="BS385" s="93"/>
      <c r="BT385" s="93">
        <f>ППД5[[#This Row],[Фикс 08.04.24]]+ППД5[[#This Row],[Наценка 16.05.24 1%
А4,А6,Б3,Б6,Б7,В2,В3,В5,В6,Г1,Г3-Г5]]</f>
        <v>103200.14283323241</v>
      </c>
      <c r="BU385" s="93"/>
      <c r="BV385" s="93">
        <f>ППД5[[#This Row],[Фикс 16.05.24]]+ППД5[[#This Row],[Наценка 24.05.24
1% - Б4, Б5,Г2,Г6
2% - А1,А3,А5,Б2,Г7]]</f>
        <v>103200.14283323241</v>
      </c>
      <c r="BW385" s="93"/>
      <c r="BX385" s="93">
        <f>ППД5[[#This Row],[Наценка 06.06.24
0К: В2,Г3 +0,5%
1К: А7, Б5/4, Г6 +0,5%
3К: В6 +0,5%
1К: А3 +1%]]+ППД5[[#This Row],[Фикс 24.05.24]]</f>
        <v>103200.14283323241</v>
      </c>
      <c r="BY385" s="93"/>
      <c r="BZ385" s="93">
        <f>ППД5[[#This Row],[Фикс 06.06.24]]+ППД5[[#This Row],[13.06.2024
3К - 2%]]</f>
        <v>103200.14283323241</v>
      </c>
      <c r="CA385" s="93">
        <f>0.5%*ППД5[[#This Row],[Фикс 13.06.24]]</f>
        <v>516.00071416616208</v>
      </c>
      <c r="CB385" s="93">
        <f>ППД5[[#This Row],[02.07.2024: Г3 А1 А3 Б5 Б7 Г2 Г6 Б3 Б4 В3 Г7 2,5% ост 0,5-1,5%]]+ППД5[[#This Row],[Фикс 13.06.24]]</f>
        <v>103716.14354739858</v>
      </c>
      <c r="CC385" s="93"/>
      <c r="CD385" s="93">
        <f>ППД5[[#This Row],[Фикс 02.07.24]]+ППД5[[#This Row],[04.09.2024 +500
0К - Б2; 1К - А3;
2К - А6, Б4, В3, Г5]]</f>
        <v>103716.14354739858</v>
      </c>
      <c r="CE385" s="93"/>
      <c r="CF385" s="93">
        <f>ППД5[[#This Row],[Наценка 16.09.2024
1К: А1,В7,Г6/7,Г8 - 2%
2К: А4,А5,А6,Б1,Б6,Б3/4,В3,В4,Г4,Г5 - 4%
3К: 4%]]+ППД5[[#This Row],[Фикс 04.09.24]]</f>
        <v>103716.14354739858</v>
      </c>
      <c r="CG385" s="93">
        <f>ППД5[[#This Row],[Фикс 16.09.2024]]*8%</f>
        <v>8297.291483791887</v>
      </c>
      <c r="CH385" s="93">
        <f>ППД5[[#This Row],[Фикс 16.09.2024]]+ППД5[[#This Row],[Наценка 01.11.24
СТ: 4%
1К: 34-40м 5%; 40м+ 8%; МГН 1%
2К: 55-70м 6%; 70-73м 7%; 73-76м 8% 
3К: 5%]]</f>
        <v>112013.43503119046</v>
      </c>
      <c r="CI385" s="93">
        <f>ППД5[[#This Row],[Фикс 01.11.24]]*13%</f>
        <v>14561.74655405476</v>
      </c>
      <c r="CJ385" s="93">
        <f>ППД5[[#This Row],[Наценка 06.11 13%]]+ППД5[[#This Row],[Фикс 01.11.24]]</f>
        <v>126575.18158524521</v>
      </c>
      <c r="CK385" s="93">
        <v>35</v>
      </c>
      <c r="CL385" s="93">
        <f>ППД5[[#This Row],[Фикс 06.11.24]]+ППД5[[#This Row],[Наценка 18.12.24 распределение КВ]]</f>
        <v>126610.18158524521</v>
      </c>
      <c r="CM385" s="93"/>
      <c r="CN385" s="93">
        <f>ППД5[[#This Row],[Фикс 18.12.24]]+ППД5[[#This Row],[Наценка 10.02.25 +1%
1К: А3
2К: Б3, В3]]</f>
        <v>126610.18158524521</v>
      </c>
      <c r="CO385" s="93">
        <f>ROUND(ППД5[[#This Row],[Фикс 10.02.25]],2)</f>
        <v>126610.18</v>
      </c>
      <c r="CP38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9331200</v>
      </c>
      <c r="CQ385" s="93">
        <f>ROUNDUP(ППД5[[#This Row],[Стоимость до скидки]]+ППД5[[#This Row],[Сумма доплаты]],-2)</f>
        <v>9261600</v>
      </c>
      <c r="CR385" s="68"/>
      <c r="CS385" s="90"/>
      <c r="CT385" s="68">
        <f>ППД5[[#This Row],[Стоимость до скидки]]*ППД5[[#This Row],[Скидка %]]+ППД5[[#This Row],[Скидка фиксированная]]</f>
        <v>0</v>
      </c>
      <c r="CU385" s="3">
        <f>ППД5[[#This Row],[Стоимость ОН без отделки со скидкой]]/ППД5[[#This Row],[Расчетная проектная площадь]]</f>
        <v>126610.58344640434</v>
      </c>
      <c r="CV385" s="3">
        <f>ROUND(ППД5[[#This Row],[Стоимость до скидки]]-ППД5[[#This Row],[Итоговая сумма скидки]],2)</f>
        <v>9331200</v>
      </c>
      <c r="CW38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385" s="218">
        <v>10000</v>
      </c>
      <c r="CY385" s="332">
        <f>ППД5[[#This Row],[Расхождение]]/ППД5[[#This Row],[Расчетная проектная площадь]]</f>
        <v>-7.4626865671643334E-3</v>
      </c>
      <c r="CZ385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-0.10999999999999588</v>
      </c>
      <c r="DA385" s="3">
        <f>ППД5[[#This Row],[Цена м2 без отделки со скидкой]]+ППД5[[#This Row],[Стоимость отделки]]</f>
        <v>136610.58344640434</v>
      </c>
      <c r="DB385" s="3">
        <f>ППД5[[#This Row],[Стоимость квартиры с отделкой]]-ППД5[[#This Row],[Стоимость ОН без отделки со скидкой]]</f>
        <v>737000</v>
      </c>
      <c r="DC385" s="3">
        <f>ППД5[[#This Row],[Цена м2 с отделкой]]*ППД5[[#This Row],[Расчетная проектная площадь]]</f>
        <v>10068200</v>
      </c>
      <c r="DD385" s="3" t="s">
        <v>158</v>
      </c>
      <c r="DE385" s="111" t="s">
        <v>1698</v>
      </c>
      <c r="DF385" s="199" t="s">
        <v>157</v>
      </c>
      <c r="DG385" s="245" t="s">
        <v>157</v>
      </c>
      <c r="DH385" s="100" t="b">
        <f>EXACT(ППД5[[#This Row],[Статусы CRM]],ППД5[[#This Row],[Статус]])</f>
        <v>1</v>
      </c>
      <c r="DI385" s="213" t="s">
        <v>557</v>
      </c>
      <c r="DJ385" s="204"/>
      <c r="DK385" s="111" t="s">
        <v>763</v>
      </c>
      <c r="DL385" s="216" t="s">
        <v>780</v>
      </c>
      <c r="DM385" s="201" t="b">
        <f>ППД5[[#This Row],[Отделка CRM]]=ППД5[[#This Row],[Отделка]]</f>
        <v>1</v>
      </c>
      <c r="DN385" s="203">
        <v>10068200</v>
      </c>
      <c r="DO38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85" s="207" t="b">
        <f>IF(AND(ППД5[[#This Row],[Статус]]="свободно",ППД5[[#This Row],[Итоговая сумма скидки]]&lt;&gt;0),FALSE,TRUE)</f>
        <v>1</v>
      </c>
      <c r="DQ385" s="240" t="str">
        <f>_xlfn.XLOOKUP(ППД5[[#This Row],[№]],Юрист[№ кв],Юрист[Дата подачи на регистрацию]," ",0,-1)</f>
        <v xml:space="preserve"> </v>
      </c>
      <c r="DR385" s="115" t="str">
        <f>_xlfn.XLOOKUP(ППД5[[#This Row],[№]],Юрист[№ кв],Юрист[МОП],"",0,-1)</f>
        <v/>
      </c>
      <c r="DS385" s="333" t="s">
        <v>3062</v>
      </c>
      <c r="DT385" s="333" t="s">
        <v>3063</v>
      </c>
      <c r="DU385" s="333">
        <v>69.5</v>
      </c>
      <c r="DV385" s="111"/>
    </row>
    <row r="386" spans="1:126" hidden="1" x14ac:dyDescent="0.25">
      <c r="A386" s="112">
        <v>384</v>
      </c>
      <c r="B386" s="111" t="s">
        <v>3</v>
      </c>
      <c r="C386" s="111">
        <v>24</v>
      </c>
      <c r="D386" s="111">
        <v>2</v>
      </c>
      <c r="E386" s="111">
        <v>0</v>
      </c>
      <c r="F386" s="105">
        <v>7.18</v>
      </c>
      <c r="G386" s="105"/>
      <c r="H386" s="105"/>
      <c r="I386" s="94">
        <f>SUM(ППД5[[#This Row],[Комната 1]:[Комната 3]])</f>
        <v>7.18</v>
      </c>
      <c r="J386" s="105">
        <v>5.17</v>
      </c>
      <c r="K386" s="105">
        <v>3.72</v>
      </c>
      <c r="L386" s="105"/>
      <c r="M386" s="105"/>
      <c r="N386" s="105">
        <v>6.97</v>
      </c>
      <c r="O386" s="105">
        <v>2.97</v>
      </c>
      <c r="P386" s="105"/>
      <c r="Q386" s="105"/>
      <c r="R386" s="105">
        <f>SUM(ППД5[[#This Row],[Лоджия 1]:[Лоджия 3]])</f>
        <v>2.97</v>
      </c>
      <c r="S386" s="8">
        <f>ROUND(SUM(ППД5[[#This Row],[Площадь по проекту жилая]:[Лоджия 3]]),2)</f>
        <v>26.01</v>
      </c>
      <c r="T386" s="8">
        <f>ROUND(ППД5[[#This Row],[Площадь по проекту(общая)]]-ППД5[[#This Row],[Летние]],2)</f>
        <v>23.04</v>
      </c>
      <c r="U386" s="91">
        <f>ROUND(ППД5[[#This Row],[Площадь по проекту(общая)]]-(SUM(ППД5[[#This Row],[Лоджия 1]:[Лоджия 3]])/2),2)</f>
        <v>24.53</v>
      </c>
      <c r="V386" s="91">
        <f>IF(ППД5[[#This Row],[Статус]]="продажа",ППД5[[#This Row],[Расчетная проектная площадь]],ППД5[[#This Row],[Расчетная ТП площадь]])</f>
        <v>24.53</v>
      </c>
      <c r="W386" s="91">
        <v>7.2</v>
      </c>
      <c r="X386" s="91"/>
      <c r="Y386" s="91"/>
      <c r="Z386" s="91">
        <f>SUM(ППД5[[#This Row],[ТП Комната 1]:[ТП Комната 3]])</f>
        <v>7.2</v>
      </c>
      <c r="AA386" s="91">
        <v>5.0999999999999996</v>
      </c>
      <c r="AB386" s="91">
        <v>3.8</v>
      </c>
      <c r="AC386" s="91"/>
      <c r="AD386" s="91"/>
      <c r="AE386" s="91">
        <v>7</v>
      </c>
      <c r="AF386" s="91">
        <v>1.5</v>
      </c>
      <c r="AG386" s="91"/>
      <c r="AH386" s="91"/>
      <c r="AI386" s="91">
        <f>SUM(ППД5[[#This Row],[ТП Лоджия 1]:[ТП Лоджия 3]])</f>
        <v>1.5</v>
      </c>
      <c r="AJ386" s="95">
        <v>3</v>
      </c>
      <c r="AK386" s="91">
        <f>SUM(ППД5[[#This Row],[Площадь по ТП жилая]:[ТП Лоджия 3]])-ППД5[[#This Row],[ТП Летние]]+ППД5[[#This Row],[кроме того прочая
(без коэффициента)]]</f>
        <v>26.1</v>
      </c>
      <c r="AL386" s="95">
        <f>ППД5[[#This Row],[ТП Площадь без летних]]+(ППД5[[#This Row],[ТП Летние]])</f>
        <v>24.6</v>
      </c>
      <c r="AM386" s="91">
        <f>ППД5[[#This Row],[ТП общая S]]-ППД5[[#This Row],[кроме того прочая
(без коэффициента)]]</f>
        <v>23.1</v>
      </c>
      <c r="AN386" s="95">
        <f>SUM(ППД5[[#This Row],[ТП Кухня]:[ТП Коридор]])</f>
        <v>15.899999999999999</v>
      </c>
      <c r="AO386" s="91">
        <f>ППД5[[#This Row],[Расчетная ТП площадь]]-ППД5[[#This Row],[Расчетная проектная площадь]]</f>
        <v>7.0000000000000284E-2</v>
      </c>
      <c r="AP386" s="335">
        <f>ППД5[[#This Row],[Расчетная ТП площадь]]/ППД5[[#This Row],[Расчетная проектная площадь]]-1</f>
        <v>2.8536485935588551E-3</v>
      </c>
      <c r="AQ386" s="91">
        <f>ППД5[[#This Row],[% расхождения]]*ППД5[[#This Row],[Стоимость до скидки]]</f>
        <v>6990.599710558372</v>
      </c>
      <c r="AR386" s="91">
        <f>VLOOKUP(ППД5[[#This Row],[№]],наценкад5[],COLUMN(наценкад5[[#This Row],[Цена м2 с учетом всех K]]),0)</f>
        <v>99865.71</v>
      </c>
      <c r="AS386" s="8"/>
      <c r="AT386" s="8">
        <f>ППД5[[#This Row],[м2 после К]]+ППД5[[#This Row],[Повышение 16.08.23 - 5%]]</f>
        <v>99865.71</v>
      </c>
      <c r="AU386" s="93"/>
      <c r="AV386" s="93">
        <f>ППД5[[#This Row],[Фикс 16.08.23]]+ППД5[[#This Row],[Повышение 29.08.23 - 3%]]</f>
        <v>99865.71</v>
      </c>
      <c r="AW386" s="93"/>
      <c r="AX386" s="93">
        <f>ППД5[[#This Row],[Фикс 29.08.23]]+ППД5[[#This Row],[Повышение 06.09.23 СТ и 1К]]</f>
        <v>99865.71</v>
      </c>
      <c r="AY386" s="93"/>
      <c r="AZ386" s="93">
        <f>ППД5[[#This Row],[Повышение 23.10.23  В4 ]]+ППД5[[#This Row],[Фикс 06.09.23]]</f>
        <v>99865.71</v>
      </c>
      <c r="BA386" s="93"/>
      <c r="BB386" s="93">
        <f>ППД5[[#This Row],[Повышение 8.11.23 1К 5%]]+ППД5[[#This Row],[Фикс 23.10.23]]</f>
        <v>99865.71</v>
      </c>
      <c r="BC386" s="93"/>
      <c r="BD386" s="93">
        <f>ППД5[[#This Row],[Корректировка 24.11.23 - 1К В5, 2К А2, №233]]+ППД5[[#This Row],[Фикс 8.11.23]]</f>
        <v>99865.71</v>
      </c>
      <c r="BE386" s="93"/>
      <c r="BF386" s="93">
        <f>ППД5[[#This Row],[Наценка за отделку 29.12.23 1%]]+ППД5[[#This Row],[Фикс 8.11.24]]</f>
        <v>99865.71</v>
      </c>
      <c r="BG386" s="93"/>
      <c r="BH386" s="93">
        <f>ППД5[[#This Row],[Фикс 29.12.23]]+ППД5[[#This Row],[Наценка 10.01.24 5%]]</f>
        <v>99865.71</v>
      </c>
      <c r="BI386" s="93"/>
      <c r="BJ386" s="93">
        <f>ППД5[[#This Row],[Наценка 26.02.24 1 Этаж]]+ППД5[[#This Row],[Фикс 10.01.24]]</f>
        <v>99865.71</v>
      </c>
      <c r="BK386" s="93"/>
      <c r="BL386" s="93">
        <f>ППД5[[#This Row],[Фикс 26.02.24]]+ППД5[[#This Row],[Наценка 06.03.24
СТ, 1К - 3%
2К, 3К - 2%]]</f>
        <v>99865.71</v>
      </c>
      <c r="BM386" s="93"/>
      <c r="BN386" s="93">
        <f>ППД5[[#This Row],[Фикс 06.03.24]]+ППД5[[#This Row],[Наценка Г2+500]]</f>
        <v>99865.71</v>
      </c>
      <c r="BO386" s="93"/>
      <c r="BP386" s="93">
        <f>ППД5[[#This Row],[Фикс 13.03.25]]+ППД5[[#This Row],[Наценка 20.03.24
2К, 3К - 2%]]</f>
        <v>99865.71</v>
      </c>
      <c r="BQ386" s="93"/>
      <c r="BR386" s="93">
        <f>ППД5[[#This Row],[Фикс 20.03.24]]+ППД5[[#This Row],[Наценка 08.04.24 
2К: В3 - 150
3К: Г7 +1000]]</f>
        <v>99865.71</v>
      </c>
      <c r="BS386" s="93"/>
      <c r="BT386" s="93">
        <f>ППД5[[#This Row],[Фикс 08.04.24]]+ППД5[[#This Row],[Наценка 16.05.24 1%
А4,А6,Б3,Б6,Б7,В2,В3,В5,В6,Г1,Г3-Г5]]</f>
        <v>99865.71</v>
      </c>
      <c r="BU386" s="93"/>
      <c r="BV386" s="93">
        <f>ППД5[[#This Row],[Фикс 16.05.24]]+ППД5[[#This Row],[Наценка 24.05.24
1% - Б4, Б5,Г2,Г6
2% - А1,А3,А5,Б2,Г7]]</f>
        <v>99865.71</v>
      </c>
      <c r="BW386" s="93"/>
      <c r="BX386" s="93">
        <f>ППД5[[#This Row],[Наценка 06.06.24
0К: В2,Г3 +0,5%
1К: А7, Б5/4, Г6 +0,5%
3К: В6 +0,5%
1К: А3 +1%]]+ППД5[[#This Row],[Фикс 24.05.24]]</f>
        <v>99865.71</v>
      </c>
      <c r="BY386" s="93"/>
      <c r="BZ386" s="93">
        <f>ППД5[[#This Row],[Фикс 06.06.24]]+ППД5[[#This Row],[13.06.2024
3К - 2%]]</f>
        <v>99865.71</v>
      </c>
      <c r="CA386" s="93"/>
      <c r="CB386" s="93">
        <f>ППД5[[#This Row],[02.07.2024: Г3 А1 А3 Б5 Б7 Г2 Г6 Б3 Б4 В3 Г7 2,5% ост 0,5-1,5%]]+ППД5[[#This Row],[Фикс 13.06.24]]</f>
        <v>99865.71</v>
      </c>
      <c r="CC386" s="93"/>
      <c r="CD386" s="93">
        <f>ППД5[[#This Row],[Фикс 02.07.24]]+ППД5[[#This Row],[04.09.2024 +500
0К - Б2; 1К - А3;
2К - А6, Б4, В3, Г5]]</f>
        <v>99865.71</v>
      </c>
      <c r="CE386" s="93"/>
      <c r="CF386" s="93">
        <f>ППД5[[#This Row],[Наценка 16.09.2024
1К: А1,В7,Г6/7,Г8 - 2%
2К: А4,А5,А6,Б1,Б6,Б3/4,В3,В4,Г4,Г5 - 4%
3К: 4%]]+ППД5[[#This Row],[Фикс 04.09.24]]</f>
        <v>99865.71</v>
      </c>
      <c r="CG386" s="93"/>
      <c r="CH386" s="93">
        <f>ППД5[[#This Row],[Фикс 16.09.2024]]+ППД5[[#This Row],[Наценка 01.11.24
СТ: 4%
1К: 34-40м 5%; 40м+ 8%; МГН 1%
2К: 55-70м 6%; 70-73м 7%; 73-76м 8% 
3К: 5%]]</f>
        <v>99865.71</v>
      </c>
      <c r="CI386" s="93"/>
      <c r="CJ386" s="93">
        <f>ППД5[[#This Row],[Наценка 06.11 13%]]+ППД5[[#This Row],[Фикс 01.11.24]]</f>
        <v>99865.71</v>
      </c>
      <c r="CK386" s="93"/>
      <c r="CL386" s="93">
        <f>ППД5[[#This Row],[Фикс 06.11.24]]+ППД5[[#This Row],[Наценка 18.12.24 распределение КВ]]</f>
        <v>99865.71</v>
      </c>
      <c r="CM386" s="93"/>
      <c r="CN386" s="93">
        <f>ППД5[[#This Row],[Фикс 18.12.24]]+ППД5[[#This Row],[Наценка 10.02.25 +1%
1К: А3
2К: Б3, В3]]</f>
        <v>99865.71</v>
      </c>
      <c r="CO386" s="93">
        <f>ROUND(ППД5[[#This Row],[Фикс 10.02.25]],2)</f>
        <v>99865.71</v>
      </c>
      <c r="CP38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2449705.87</v>
      </c>
      <c r="CQ386" s="93">
        <f>ROUNDUP(ППД5[[#This Row],[Стоимость до скидки]]+ППД5[[#This Row],[Сумма доплаты]],-2)</f>
        <v>2456700</v>
      </c>
      <c r="CR386" s="68"/>
      <c r="CS386" s="90"/>
      <c r="CT386" s="68">
        <f>ППД5[[#This Row],[Стоимость до скидки]]*ППД5[[#This Row],[Скидка %]]+ППД5[[#This Row],[Скидка фиксированная]]</f>
        <v>0</v>
      </c>
      <c r="CU386" s="3">
        <f>ППД5[[#This Row],[Стоимость ОН без отделки со скидкой]]/ППД5[[#This Row],[Расчетная проектная площадь]]</f>
        <v>99865.710150835715</v>
      </c>
      <c r="CV386" s="3">
        <f>ROUND(ППД5[[#This Row],[Стоимость до скидки]]-ППД5[[#This Row],[Итоговая сумма скидки]],2)</f>
        <v>2449705.87</v>
      </c>
      <c r="CW38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86" s="197">
        <v>15500</v>
      </c>
      <c r="CY386" s="332">
        <f>ППД5[[#This Row],[Расхождение]]/ППД5[[#This Row],[Расчетная проектная площадь]]</f>
        <v>2.8536485935589189E-3</v>
      </c>
      <c r="CZ38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3.9999999999999147E-2</v>
      </c>
      <c r="DA386" s="3">
        <f>ППД5[[#This Row],[Цена м2 без отделки со скидкой]]+ППД5[[#This Row],[Стоимость отделки]]</f>
        <v>115365.71015083572</v>
      </c>
      <c r="DB386" s="3">
        <f>ППД5[[#This Row],[Стоимость квартиры с отделкой]]-ППД5[[#This Row],[Стоимость ОН без отделки со скидкой]]</f>
        <v>380215</v>
      </c>
      <c r="DC386" s="3">
        <f>ППД5[[#This Row],[Цена м2 с отделкой]]*ППД5[[#This Row],[Расчетная проектная площадь]]</f>
        <v>2829920.87</v>
      </c>
      <c r="DD386" s="3"/>
      <c r="DF386" s="199" t="s">
        <v>172</v>
      </c>
      <c r="DG386" s="245" t="s">
        <v>172</v>
      </c>
      <c r="DH386" s="100" t="b">
        <f>EXACT(ППД5[[#This Row],[Статусы CRM]],ППД5[[#This Row],[Статус]])</f>
        <v>1</v>
      </c>
      <c r="DI386" s="213" t="s">
        <v>558</v>
      </c>
      <c r="DJ386" s="204"/>
      <c r="DK386" s="111" t="s">
        <v>76</v>
      </c>
      <c r="DL386" s="216" t="s">
        <v>14</v>
      </c>
      <c r="DM386" s="201" t="b">
        <f>ППД5[[#This Row],[Отделка CRM]]=ППД5[[#This Row],[Отделка]]</f>
        <v>1</v>
      </c>
      <c r="DN386" s="203">
        <v>2829920.87</v>
      </c>
      <c r="DO38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86" s="207" t="b">
        <f>IF(AND(ППД5[[#This Row],[Статус]]="свободно",ППД5[[#This Row],[Итоговая сумма скидки]]&lt;&gt;0),FALSE,TRUE)</f>
        <v>1</v>
      </c>
      <c r="DQ386" s="240">
        <f>_xlfn.XLOOKUP(ППД5[[#This Row],[№]],Юрист[№ кв],Юрист[Дата подачи на регистрацию]," ",0,-1)</f>
        <v>45195</v>
      </c>
      <c r="DR386" s="115" t="str">
        <f>_xlfn.XLOOKUP(ППД5[[#This Row],[№]],Юрист[№ кв],Юрист[МОП],"",0,-1)</f>
        <v>Кофанова</v>
      </c>
      <c r="DS386" s="333" t="s">
        <v>3064</v>
      </c>
      <c r="DT386" s="333" t="s">
        <v>3065</v>
      </c>
      <c r="DU386" s="333">
        <v>23.1</v>
      </c>
      <c r="DV386" s="111"/>
    </row>
    <row r="387" spans="1:126" hidden="1" x14ac:dyDescent="0.25">
      <c r="A387" s="112">
        <v>385</v>
      </c>
      <c r="B387" s="111" t="s">
        <v>3</v>
      </c>
      <c r="C387" s="111">
        <v>24</v>
      </c>
      <c r="D387" s="111">
        <v>3</v>
      </c>
      <c r="E387" s="111">
        <v>2</v>
      </c>
      <c r="F387" s="105">
        <v>13.69</v>
      </c>
      <c r="G387" s="105">
        <v>10.16</v>
      </c>
      <c r="H387" s="105"/>
      <c r="I387" s="94">
        <f>SUM(ППД5[[#This Row],[Комната 1]:[Комната 3]])</f>
        <v>23.85</v>
      </c>
      <c r="J387" s="105">
        <v>18.71</v>
      </c>
      <c r="K387" s="105">
        <v>3.49</v>
      </c>
      <c r="L387" s="105">
        <v>2.11</v>
      </c>
      <c r="M387" s="105"/>
      <c r="N387" s="105">
        <v>7.09</v>
      </c>
      <c r="O387" s="105">
        <v>2.65</v>
      </c>
      <c r="P387" s="105"/>
      <c r="Q387" s="105"/>
      <c r="R387" s="105">
        <f>SUM(ППД5[[#This Row],[Лоджия 1]:[Лоджия 3]])</f>
        <v>2.65</v>
      </c>
      <c r="S387" s="8">
        <f>ROUND(SUM(ППД5[[#This Row],[Площадь по проекту жилая]:[Лоджия 3]]),2)</f>
        <v>57.9</v>
      </c>
      <c r="T387" s="8">
        <f>ROUND(ППД5[[#This Row],[Площадь по проекту(общая)]]-ППД5[[#This Row],[Летние]],2)</f>
        <v>55.25</v>
      </c>
      <c r="U387" s="91">
        <f>ROUND(ППД5[[#This Row],[Площадь по проекту(общая)]]-(SUM(ППД5[[#This Row],[Лоджия 1]:[Лоджия 3]])/2),2)</f>
        <v>56.58</v>
      </c>
      <c r="V387" s="91">
        <f>IF(ППД5[[#This Row],[Статус]]="продажа",ППД5[[#This Row],[Расчетная проектная площадь]],ППД5[[#This Row],[Расчетная ТП площадь]])</f>
        <v>56.58</v>
      </c>
      <c r="W387" s="91">
        <v>13.6</v>
      </c>
      <c r="X387" s="91">
        <v>9.9</v>
      </c>
      <c r="Y387" s="91"/>
      <c r="Z387" s="91">
        <f>SUM(ППД5[[#This Row],[ТП Комната 1]:[ТП Комната 3]])</f>
        <v>23.5</v>
      </c>
      <c r="AA387" s="91">
        <v>18.8</v>
      </c>
      <c r="AB387" s="91">
        <v>3.5</v>
      </c>
      <c r="AC387" s="91">
        <v>2.1</v>
      </c>
      <c r="AD387" s="91"/>
      <c r="AE387" s="91">
        <v>7.2</v>
      </c>
      <c r="AF387" s="91">
        <v>1.35</v>
      </c>
      <c r="AG387" s="91"/>
      <c r="AH387" s="91"/>
      <c r="AI387" s="91">
        <f>SUM(ППД5[[#This Row],[ТП Лоджия 1]:[ТП Лоджия 3]])</f>
        <v>1.35</v>
      </c>
      <c r="AJ387" s="95">
        <v>2.7</v>
      </c>
      <c r="AK387" s="91">
        <f>SUM(ППД5[[#This Row],[Площадь по ТП жилая]:[ТП Лоджия 3]])-ППД5[[#This Row],[ТП Летние]]+ППД5[[#This Row],[кроме того прочая
(без коэффициента)]]</f>
        <v>57.800000000000004</v>
      </c>
      <c r="AL387" s="95">
        <f>ППД5[[#This Row],[ТП Площадь без летних]]+(ППД5[[#This Row],[ТП Летние]])</f>
        <v>56.45</v>
      </c>
      <c r="AM387" s="91">
        <f>ППД5[[#This Row],[ТП общая S]]-ППД5[[#This Row],[кроме того прочая
(без коэффициента)]]</f>
        <v>55.1</v>
      </c>
      <c r="AN387" s="95">
        <f>SUM(ППД5[[#This Row],[ТП Кухня]:[ТП Коридор]])</f>
        <v>31.6</v>
      </c>
      <c r="AO387" s="91">
        <f>ППД5[[#This Row],[Расчетная ТП площадь]]-ППД5[[#This Row],[Расчетная проектная площадь]]</f>
        <v>-0.12999999999999545</v>
      </c>
      <c r="AP387" s="335">
        <f>ППД5[[#This Row],[Расчетная ТП площадь]]/ППД5[[#This Row],[Расчетная проектная площадь]]-1</f>
        <v>-2.2976316719688361E-3</v>
      </c>
      <c r="AQ387" s="91">
        <f>ППД5[[#This Row],[% расхождения]]*ППД5[[#This Row],[Стоимость до скидки]]</f>
        <v>-12267.980408271167</v>
      </c>
      <c r="AR387" s="91">
        <f>VLOOKUP(ППД5[[#This Row],[№]],наценкад5[],COLUMN(наценкад5[[#This Row],[Цена м2 с учетом всех K]]),0)</f>
        <v>87257.583000000013</v>
      </c>
      <c r="AS387" s="8">
        <f>ППД5[[#This Row],[м2 после К]]*5%</f>
        <v>4362.8791500000007</v>
      </c>
      <c r="AT387" s="8">
        <f>ППД5[[#This Row],[м2 после К]]+ППД5[[#This Row],[Повышение 16.08.23 - 5%]]</f>
        <v>91620.462150000007</v>
      </c>
      <c r="AU387" s="93">
        <f>ППД5[[#This Row],[Фикс 16.08.23]]*3%</f>
        <v>2748.6138645000001</v>
      </c>
      <c r="AV387" s="93">
        <f>ППД5[[#This Row],[Фикс 16.08.23]]+ППД5[[#This Row],[Повышение 29.08.23 - 3%]]</f>
        <v>94369.076014500009</v>
      </c>
      <c r="AW387" s="93"/>
      <c r="AX387" s="93">
        <f>ППД5[[#This Row],[Фикс 29.08.23]]+ППД5[[#This Row],[Повышение 06.09.23 СТ и 1К]]</f>
        <v>94369.076014500009</v>
      </c>
      <c r="AY387" s="93"/>
      <c r="AZ387" s="93">
        <f>ППД5[[#This Row],[Повышение 23.10.23  В4 ]]+ППД5[[#This Row],[Фикс 06.09.23]]</f>
        <v>94369.076014500009</v>
      </c>
      <c r="BA387" s="93"/>
      <c r="BB387" s="93">
        <f>ППД5[[#This Row],[Повышение 8.11.23 1К 5%]]+ППД5[[#This Row],[Фикс 23.10.23]]</f>
        <v>94369.076014500009</v>
      </c>
      <c r="BC387" s="93"/>
      <c r="BD387" s="93">
        <f>ППД5[[#This Row],[Корректировка 24.11.23 - 1К В5, 2К А2, №233]]+ППД5[[#This Row],[Фикс 8.11.23]]</f>
        <v>94369.076014500009</v>
      </c>
      <c r="BE387" s="93"/>
      <c r="BF387" s="93">
        <f>ППД5[[#This Row],[Наценка за отделку 29.12.23 1%]]+ППД5[[#This Row],[Фикс 8.11.24]]</f>
        <v>94369.076014500009</v>
      </c>
      <c r="BG387" s="93"/>
      <c r="BH387" s="93">
        <f>ППД5[[#This Row],[Фикс 29.12.23]]+ППД5[[#This Row],[Наценка 10.01.24 5%]]</f>
        <v>94369.076014500009</v>
      </c>
      <c r="BI387" s="93"/>
      <c r="BJ387" s="93">
        <f>ППД5[[#This Row],[Наценка 26.02.24 1 Этаж]]+ППД5[[#This Row],[Фикс 10.01.24]]</f>
        <v>94369.076014500009</v>
      </c>
      <c r="BK387" s="93"/>
      <c r="BL387" s="93">
        <f>ППД5[[#This Row],[Фикс 26.02.24]]+ППД5[[#This Row],[Наценка 06.03.24
СТ, 1К - 3%
2К, 3К - 2%]]</f>
        <v>94369.076014500009</v>
      </c>
      <c r="BM387" s="93"/>
      <c r="BN387" s="93">
        <f>ППД5[[#This Row],[Фикс 06.03.24]]+ППД5[[#This Row],[Наценка Г2+500]]</f>
        <v>94369.076014500009</v>
      </c>
      <c r="BO387" s="93"/>
      <c r="BP387" s="93">
        <f>ППД5[[#This Row],[Фикс 13.03.25]]+ППД5[[#This Row],[Наценка 20.03.24
2К, 3К - 2%]]</f>
        <v>94369.076014500009</v>
      </c>
      <c r="BQ387" s="93"/>
      <c r="BR387" s="93">
        <f>ППД5[[#This Row],[Фикс 20.03.24]]+ППД5[[#This Row],[Наценка 08.04.24 
2К: В3 - 150
3К: Г7 +1000]]</f>
        <v>94369.076014500009</v>
      </c>
      <c r="BS387" s="93"/>
      <c r="BT387" s="93">
        <f>ППД5[[#This Row],[Фикс 08.04.24]]+ППД5[[#This Row],[Наценка 16.05.24 1%
А4,А6,Б3,Б6,Б7,В2,В3,В5,В6,Г1,Г3-Г5]]</f>
        <v>94369.076014500009</v>
      </c>
      <c r="BU387" s="93"/>
      <c r="BV387" s="93">
        <f>ППД5[[#This Row],[Фикс 16.05.24]]+ППД5[[#This Row],[Наценка 24.05.24
1% - Б4, Б5,Г2,Г6
2% - А1,А3,А5,Б2,Г7]]</f>
        <v>94369.076014500009</v>
      </c>
      <c r="BW387" s="93"/>
      <c r="BX387" s="93">
        <f>ППД5[[#This Row],[Наценка 06.06.24
0К: В2,Г3 +0,5%
1К: А7, Б5/4, Г6 +0,5%
3К: В6 +0,5%
1К: А3 +1%]]+ППД5[[#This Row],[Фикс 24.05.24]]</f>
        <v>94369.076014500009</v>
      </c>
      <c r="BY387" s="93"/>
      <c r="BZ387" s="93">
        <f>ППД5[[#This Row],[Фикс 06.06.24]]+ППД5[[#This Row],[13.06.2024
3К - 2%]]</f>
        <v>94369.076014500009</v>
      </c>
      <c r="CA387" s="93"/>
      <c r="CB387" s="93">
        <f>ППД5[[#This Row],[02.07.2024: Г3 А1 А3 Б5 Б7 Г2 Г6 Б3 Б4 В3 Г7 2,5% ост 0,5-1,5%]]+ППД5[[#This Row],[Фикс 13.06.24]]</f>
        <v>94369.076014500009</v>
      </c>
      <c r="CC387" s="93"/>
      <c r="CD387" s="93">
        <f>ППД5[[#This Row],[Фикс 02.07.24]]+ППД5[[#This Row],[04.09.2024 +500
0К - Б2; 1К - А3;
2К - А6, Б4, В3, Г5]]</f>
        <v>94369.076014500009</v>
      </c>
      <c r="CE387" s="93"/>
      <c r="CF387" s="93">
        <f>ППД5[[#This Row],[Наценка 16.09.2024
1К: А1,В7,Г6/7,Г8 - 2%
2К: А4,А5,А6,Б1,Б6,Б3/4,В3,В4,Г4,Г5 - 4%
3К: 4%]]+ППД5[[#This Row],[Фикс 04.09.24]]</f>
        <v>94369.076014500009</v>
      </c>
      <c r="CG387" s="93"/>
      <c r="CH387" s="93">
        <f>ППД5[[#This Row],[Фикс 16.09.2024]]+ППД5[[#This Row],[Наценка 01.11.24
СТ: 4%
1К: 34-40м 5%; 40м+ 8%; МГН 1%
2К: 55-70м 6%; 70-73м 7%; 73-76м 8% 
3К: 5%]]</f>
        <v>94369.076014500009</v>
      </c>
      <c r="CI387" s="93"/>
      <c r="CJ387" s="93">
        <f>ППД5[[#This Row],[Наценка 06.11 13%]]+ППД5[[#This Row],[Фикс 01.11.24]]</f>
        <v>94369.076014500009</v>
      </c>
      <c r="CK387" s="93"/>
      <c r="CL387" s="93">
        <f>ППД5[[#This Row],[Фикс 06.11.24]]+ППД5[[#This Row],[Наценка 18.12.24 распределение КВ]]</f>
        <v>94369.076014500009</v>
      </c>
      <c r="CM387" s="93"/>
      <c r="CN387" s="93">
        <f>ППД5[[#This Row],[Фикс 18.12.24]]+ППД5[[#This Row],[Наценка 10.02.25 +1%
1К: А3
2К: Б3, В3]]</f>
        <v>94369.076014500009</v>
      </c>
      <c r="CO387" s="93">
        <f>ROUND(ППД5[[#This Row],[Фикс 10.02.25]],2)</f>
        <v>94369.08</v>
      </c>
      <c r="CP38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5339402.55</v>
      </c>
      <c r="CQ387" s="93">
        <f>ROUNDUP(ППД5[[#This Row],[Стоимость до скидки]]+ППД5[[#This Row],[Сумма доплаты]],-2)</f>
        <v>5327200</v>
      </c>
      <c r="CR387" s="68"/>
      <c r="CS387" s="90">
        <v>0.06</v>
      </c>
      <c r="CT387" s="68">
        <f>ППД5[[#This Row],[Стоимость до скидки]]*ППД5[[#This Row],[Скидка %]]+ППД5[[#This Row],[Скидка фиксированная]]</f>
        <v>320364.15299999999</v>
      </c>
      <c r="CU387" s="3">
        <f>ППД5[[#This Row],[Стоимость ОН без отделки со скидкой]]/ППД5[[#This Row],[Расчетная проектная площадь]]</f>
        <v>88706.935312831396</v>
      </c>
      <c r="CV387" s="3">
        <f>ROUND(ППД5[[#This Row],[Стоимость до скидки]]-ППД5[[#This Row],[Итоговая сумма скидки]],2)</f>
        <v>5019038.4000000004</v>
      </c>
      <c r="CW38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387" s="197">
        <v>7500</v>
      </c>
      <c r="CY387" s="332">
        <f>ППД5[[#This Row],[Расхождение]]/ППД5[[#This Row],[Расчетная проектная площадь]]</f>
        <v>-2.2976316719688131E-3</v>
      </c>
      <c r="CZ38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0.20000000000000284</v>
      </c>
      <c r="DA387" s="3">
        <f>ППД5[[#This Row],[Цена м2 без отделки со скидкой]]+ППД5[[#This Row],[Стоимость отделки]]</f>
        <v>96206.935312831396</v>
      </c>
      <c r="DB387" s="3">
        <f>ППД5[[#This Row],[Стоимость квартиры с отделкой]]-ППД5[[#This Row],[Стоимость ОН без отделки со скидкой]]</f>
        <v>424350</v>
      </c>
      <c r="DC387" s="3">
        <f>ППД5[[#This Row],[Цена м2 с отделкой]]*ППД5[[#This Row],[Расчетная проектная площадь]]</f>
        <v>5443388.4000000004</v>
      </c>
      <c r="DD387" s="3" t="s">
        <v>154</v>
      </c>
      <c r="DE387" s="111" t="s">
        <v>162</v>
      </c>
      <c r="DF387" s="199" t="s">
        <v>172</v>
      </c>
      <c r="DG387" s="245" t="s">
        <v>172</v>
      </c>
      <c r="DH387" s="100" t="b">
        <f>EXACT(ППД5[[#This Row],[Статусы CRM]],ППД5[[#This Row],[Статус]])</f>
        <v>1</v>
      </c>
      <c r="DI387" s="213" t="s">
        <v>559</v>
      </c>
      <c r="DJ387" s="204"/>
      <c r="DK387" s="111" t="s">
        <v>76</v>
      </c>
      <c r="DL387" s="216" t="s">
        <v>13</v>
      </c>
      <c r="DM387" s="201" t="b">
        <f>ППД5[[#This Row],[Отделка CRM]]=ППД5[[#This Row],[Отделка]]</f>
        <v>1</v>
      </c>
      <c r="DN387" s="203">
        <v>5443388.4000000004</v>
      </c>
      <c r="DO38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87" s="207" t="b">
        <f>IF(AND(ППД5[[#This Row],[Статус]]="свободно",ППД5[[#This Row],[Итоговая сумма скидки]]&lt;&gt;0),FALSE,TRUE)</f>
        <v>1</v>
      </c>
      <c r="DQ387" s="240">
        <f>_xlfn.XLOOKUP(ППД5[[#This Row],[№]],Юрист[№ кв],Юрист[Дата подачи на регистрацию]," ",0,-1)</f>
        <v>45212</v>
      </c>
      <c r="DR387" s="115" t="str">
        <f>_xlfn.XLOOKUP(ППД5[[#This Row],[№]],Юрист[№ кв],Юрист[МОП],"",0,-1)</f>
        <v>Дик</v>
      </c>
      <c r="DS387" s="333" t="s">
        <v>3066</v>
      </c>
      <c r="DT387" s="333" t="s">
        <v>3067</v>
      </c>
      <c r="DU387" s="333">
        <v>55.1</v>
      </c>
      <c r="DV387" s="111"/>
    </row>
    <row r="388" spans="1:126" hidden="1" x14ac:dyDescent="0.25">
      <c r="A388" s="112">
        <v>386</v>
      </c>
      <c r="B388" s="111" t="s">
        <v>3</v>
      </c>
      <c r="C388" s="111">
        <v>24</v>
      </c>
      <c r="D388" s="111">
        <v>4</v>
      </c>
      <c r="E388" s="111">
        <v>2</v>
      </c>
      <c r="F388" s="105">
        <v>15.45</v>
      </c>
      <c r="G388" s="105">
        <v>10.34</v>
      </c>
      <c r="H388" s="105"/>
      <c r="I388" s="94">
        <f>SUM(ППД5[[#This Row],[Комната 1]:[Комната 3]])</f>
        <v>25.79</v>
      </c>
      <c r="J388" s="105">
        <v>15.44</v>
      </c>
      <c r="K388" s="105">
        <v>4.59</v>
      </c>
      <c r="L388" s="105">
        <v>2.21</v>
      </c>
      <c r="M388" s="105"/>
      <c r="N388" s="105">
        <v>10.79</v>
      </c>
      <c r="O388" s="105">
        <v>2.84</v>
      </c>
      <c r="P388" s="105"/>
      <c r="Q388" s="105"/>
      <c r="R388" s="105">
        <f>SUM(ППД5[[#This Row],[Лоджия 1]:[Лоджия 3]])</f>
        <v>2.84</v>
      </c>
      <c r="S388" s="8">
        <f>ROUND(SUM(ППД5[[#This Row],[Площадь по проекту жилая]:[Лоджия 3]]),2)</f>
        <v>61.66</v>
      </c>
      <c r="T388" s="8">
        <f>ROUND(ППД5[[#This Row],[Площадь по проекту(общая)]]-ППД5[[#This Row],[Летние]],2)</f>
        <v>58.82</v>
      </c>
      <c r="U388" s="91">
        <f>ROUND(ППД5[[#This Row],[Площадь по проекту(общая)]]-(SUM(ППД5[[#This Row],[Лоджия 1]:[Лоджия 3]])/2),2)</f>
        <v>60.24</v>
      </c>
      <c r="V388" s="91">
        <f>IF(ППД5[[#This Row],[Статус]]="продажа",ППД5[[#This Row],[Расчетная проектная площадь]],ППД5[[#This Row],[Расчетная ТП площадь]])</f>
        <v>59.850000000000009</v>
      </c>
      <c r="W388" s="91">
        <v>15.5</v>
      </c>
      <c r="X388" s="91">
        <v>10.199999999999999</v>
      </c>
      <c r="Y388" s="91"/>
      <c r="Z388" s="91">
        <f>SUM(ППД5[[#This Row],[ТП Комната 1]:[ТП Комната 3]])</f>
        <v>25.7</v>
      </c>
      <c r="AA388" s="91">
        <v>15.3</v>
      </c>
      <c r="AB388" s="91">
        <v>4.5</v>
      </c>
      <c r="AC388" s="91">
        <v>2.2000000000000002</v>
      </c>
      <c r="AD388" s="91"/>
      <c r="AE388" s="91">
        <v>10.7</v>
      </c>
      <c r="AF388" s="91">
        <v>1.45</v>
      </c>
      <c r="AG388" s="91"/>
      <c r="AH388" s="91"/>
      <c r="AI388" s="91">
        <f>SUM(ППД5[[#This Row],[ТП Лоджия 1]:[ТП Лоджия 3]])</f>
        <v>1.45</v>
      </c>
      <c r="AJ388" s="95">
        <v>2.9</v>
      </c>
      <c r="AK388" s="91">
        <f>SUM(ППД5[[#This Row],[Площадь по ТП жилая]:[ТП Лоджия 3]])-ППД5[[#This Row],[ТП Летние]]+ППД5[[#This Row],[кроме того прочая
(без коэффициента)]]</f>
        <v>61.300000000000004</v>
      </c>
      <c r="AL388" s="95">
        <f>ППД5[[#This Row],[ТП Площадь без летних]]+(ППД5[[#This Row],[ТП Летние]])</f>
        <v>59.850000000000009</v>
      </c>
      <c r="AM388" s="91">
        <f>ППД5[[#This Row],[ТП общая S]]-ППД5[[#This Row],[кроме того прочая
(без коэффициента)]]</f>
        <v>58.400000000000006</v>
      </c>
      <c r="AN388" s="95">
        <f>SUM(ППД5[[#This Row],[ТП Кухня]:[ТП Коридор]])</f>
        <v>32.700000000000003</v>
      </c>
      <c r="AO388" s="91">
        <f>ППД5[[#This Row],[Расчетная ТП площадь]]-ППД5[[#This Row],[Расчетная проектная площадь]]</f>
        <v>-0.38999999999999346</v>
      </c>
      <c r="AP388" s="335">
        <f>ППД5[[#This Row],[Расчетная ТП площадь]]/ППД5[[#This Row],[Расчетная проектная площадь]]-1</f>
        <v>-6.4741035856572537E-3</v>
      </c>
      <c r="AQ388" s="91">
        <f>ППД5[[#This Row],[% расхождения]]*ППД5[[#This Row],[Стоимость до скидки]]</f>
        <v>-51976.693227090698</v>
      </c>
      <c r="AR388" s="91">
        <f>VLOOKUP(ППД5[[#This Row],[№]],наценкад5[],COLUMN(наценкад5[[#This Row],[Цена м2 с учетом всех K]]),0)</f>
        <v>89188.060500000007</v>
      </c>
      <c r="AS388" s="8">
        <f>ППД5[[#This Row],[м2 после К]]*5%</f>
        <v>4459.4030250000005</v>
      </c>
      <c r="AT388" s="8">
        <f>ППД5[[#This Row],[м2 после К]]+ППД5[[#This Row],[Повышение 16.08.23 - 5%]]</f>
        <v>93647.463525000014</v>
      </c>
      <c r="AU388" s="93">
        <f>ППД5[[#This Row],[Фикс 16.08.23]]*3%</f>
        <v>2809.4239057500004</v>
      </c>
      <c r="AV388" s="93">
        <f>ППД5[[#This Row],[Фикс 16.08.23]]+ППД5[[#This Row],[Повышение 29.08.23 - 3%]]</f>
        <v>96456.887430750008</v>
      </c>
      <c r="AW388" s="93"/>
      <c r="AX388" s="93">
        <f>ППД5[[#This Row],[Фикс 29.08.23]]+ППД5[[#This Row],[Повышение 06.09.23 СТ и 1К]]</f>
        <v>96456.887430750008</v>
      </c>
      <c r="AY388" s="93"/>
      <c r="AZ388" s="93">
        <f>ППД5[[#This Row],[Повышение 23.10.23  В4 ]]+ППД5[[#This Row],[Фикс 06.09.23]]</f>
        <v>96456.887430750008</v>
      </c>
      <c r="BA388" s="93"/>
      <c r="BB388" s="93">
        <f>ППД5[[#This Row],[Повышение 8.11.23 1К 5%]]+ППД5[[#This Row],[Фикс 23.10.23]]</f>
        <v>96456.887430750008</v>
      </c>
      <c r="BC388" s="93"/>
      <c r="BD388" s="93">
        <f>ППД5[[#This Row],[Корректировка 24.11.23 - 1К В5, 2К А2, №233]]+ППД5[[#This Row],[Фикс 8.11.23]]</f>
        <v>96456.887430750008</v>
      </c>
      <c r="BE388" s="93">
        <f>ППД5[[#This Row],[Фикс 8.11.24]]*1%</f>
        <v>964.5688743075001</v>
      </c>
      <c r="BF388" s="93">
        <f>ППД5[[#This Row],[Наценка за отделку 29.12.23 1%]]+ППД5[[#This Row],[Фикс 8.11.24]]</f>
        <v>97421.456305057509</v>
      </c>
      <c r="BG388" s="93">
        <f>ППД5[[#This Row],[Фикс 29.12.23]]*5%</f>
        <v>4871.0728152528754</v>
      </c>
      <c r="BH388" s="93">
        <f>ППД5[[#This Row],[Фикс 29.12.23]]+ППД5[[#This Row],[Наценка 10.01.24 5%]]</f>
        <v>102292.52912031038</v>
      </c>
      <c r="BI388" s="93"/>
      <c r="BJ388" s="93">
        <f>ППД5[[#This Row],[Наценка 26.02.24 1 Этаж]]+ППД5[[#This Row],[Фикс 10.01.24]]</f>
        <v>102292.52912031038</v>
      </c>
      <c r="BK388" s="93">
        <f>ППД5[[#This Row],[Фикс 26.02.24]]*2%</f>
        <v>2045.8505824062076</v>
      </c>
      <c r="BL388" s="93">
        <f>ППД5[[#This Row],[Фикс 26.02.24]]+ППД5[[#This Row],[Наценка 06.03.24
СТ, 1К - 3%
2К, 3К - 2%]]</f>
        <v>104338.37970271659</v>
      </c>
      <c r="BM388" s="93"/>
      <c r="BN388" s="93">
        <f>ППД5[[#This Row],[Фикс 06.03.24]]+ППД5[[#This Row],[Наценка Г2+500]]</f>
        <v>104338.37970271659</v>
      </c>
      <c r="BO388" s="93">
        <f>ППД5[[#This Row],[Фикс 13.03.25]]*2%</f>
        <v>2086.7675940543318</v>
      </c>
      <c r="BP388" s="93">
        <f>ППД5[[#This Row],[Фикс 13.03.25]]+ППД5[[#This Row],[Наценка 20.03.24
2К, 3К - 2%]]</f>
        <v>106425.14729677091</v>
      </c>
      <c r="BQ388" s="93"/>
      <c r="BR388" s="93">
        <f>ППД5[[#This Row],[Фикс 20.03.24]]+ППД5[[#This Row],[Наценка 08.04.24 
2К: В3 - 150
3К: Г7 +1000]]</f>
        <v>106425.14729677091</v>
      </c>
      <c r="BS388" s="93"/>
      <c r="BT388" s="93">
        <f>ППД5[[#This Row],[Фикс 08.04.24]]+ППД5[[#This Row],[Наценка 16.05.24 1%
А4,А6,Б3,Б6,Б7,В2,В3,В5,В6,Г1,Г3-Г5]]</f>
        <v>106425.14729677091</v>
      </c>
      <c r="BU388" s="93"/>
      <c r="BV388" s="93">
        <f>ППД5[[#This Row],[Фикс 16.05.24]]+ППД5[[#This Row],[Наценка 24.05.24
1% - Б4, Б5,Г2,Г6
2% - А1,А3,А5,Б2,Г7]]</f>
        <v>106425.14729677091</v>
      </c>
      <c r="BW388" s="93"/>
      <c r="BX388" s="93">
        <f>ППД5[[#This Row],[Наценка 06.06.24
0К: В2,Г3 +0,5%
1К: А7, Б5/4, Г6 +0,5%
3К: В6 +0,5%
1К: А3 +1%]]+ППД5[[#This Row],[Фикс 24.05.24]]</f>
        <v>106425.14729677091</v>
      </c>
      <c r="BY388" s="93"/>
      <c r="BZ388" s="93">
        <f>ППД5[[#This Row],[Фикс 06.06.24]]+ППД5[[#This Row],[13.06.2024
3К - 2%]]</f>
        <v>106425.14729677091</v>
      </c>
      <c r="CA388" s="93">
        <f>0.5%*ППД5[[#This Row],[Фикс 13.06.24]]</f>
        <v>532.12573648385455</v>
      </c>
      <c r="CB388" s="93">
        <f>ППД5[[#This Row],[02.07.2024: Г3 А1 А3 Б5 Б7 Г2 Г6 Б3 Б4 В3 Г7 2,5% ост 0,5-1,5%]]+ППД5[[#This Row],[Фикс 13.06.24]]</f>
        <v>106957.27303325477</v>
      </c>
      <c r="CC388" s="93"/>
      <c r="CD388" s="93">
        <f>ППД5[[#This Row],[Фикс 02.07.24]]+ППД5[[#This Row],[04.09.2024 +500
0К - Б2; 1К - А3;
2К - А6, Б4, В3, Г5]]</f>
        <v>106957.27303325477</v>
      </c>
      <c r="CE388" s="93">
        <f>ППД5[[#This Row],[Фикс 04.09.24]]*4%</f>
        <v>4278.2909213301909</v>
      </c>
      <c r="CF388" s="93">
        <f>ППД5[[#This Row],[Наценка 16.09.2024
1К: А1,В7,Г6/7,Г8 - 2%
2К: А4,А5,А6,Б1,Б6,Б3/4,В3,В4,Г4,Г5 - 4%
3К: 4%]]+ППД5[[#This Row],[Фикс 04.09.24]]</f>
        <v>111235.56395458496</v>
      </c>
      <c r="CG388" s="93">
        <f>ППД5[[#This Row],[Фикс 16.09.2024]]*6%</f>
        <v>6674.133837275097</v>
      </c>
      <c r="CH388" s="93">
        <f>ППД5[[#This Row],[Фикс 16.09.2024]]+ППД5[[#This Row],[Наценка 01.11.24
СТ: 4%
1К: 34-40м 5%; 40м+ 8%; МГН 1%
2К: 55-70м 6%; 70-73м 7%; 73-76м 8% 
3К: 5%]]</f>
        <v>117909.69779186005</v>
      </c>
      <c r="CI388" s="93">
        <f>ППД5[[#This Row],[Фикс 01.11.24]]*13%</f>
        <v>15328.260712941807</v>
      </c>
      <c r="CJ388" s="93">
        <f>ППД5[[#This Row],[Наценка 06.11 13%]]+ППД5[[#This Row],[Фикс 01.11.24]]</f>
        <v>133237.95850480185</v>
      </c>
      <c r="CK388" s="93">
        <v>35</v>
      </c>
      <c r="CL388" s="93">
        <f>ППД5[[#This Row],[Фикс 06.11.24]]+ППД5[[#This Row],[Наценка 18.12.24 распределение КВ]]</f>
        <v>133272.95850480185</v>
      </c>
      <c r="CM388" s="93"/>
      <c r="CN388" s="93">
        <f>ППД5[[#This Row],[Фикс 18.12.24]]+ППД5[[#This Row],[Наценка 10.02.25 +1%
1К: А3
2К: Б3, В3]]</f>
        <v>133272.95850480185</v>
      </c>
      <c r="CO388" s="93">
        <f>ROUND(ППД5[[#This Row],[Фикс 10.02.25]],2)</f>
        <v>133272.95999999999</v>
      </c>
      <c r="CP38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8028400</v>
      </c>
      <c r="CQ388" s="93">
        <f>ROUNDUP(ППД5[[#This Row],[Стоимость до скидки]]+ППД5[[#This Row],[Сумма доплаты]],-2)</f>
        <v>7976500</v>
      </c>
      <c r="CR388" s="68"/>
      <c r="CS388" s="90"/>
      <c r="CT388" s="68">
        <f>ППД5[[#This Row],[Стоимость до скидки]]*ППД5[[#This Row],[Скидка %]]+ППД5[[#This Row],[Скидка фиксированная]]</f>
        <v>0</v>
      </c>
      <c r="CU388" s="3">
        <f>ППД5[[#This Row],[Стоимость ОН без отделки со скидкой]]/ППД5[[#This Row],[Расчетная проектная площадь]]</f>
        <v>133273.57237715804</v>
      </c>
      <c r="CV388" s="3">
        <f>ROUND(ППД5[[#This Row],[Стоимость до скидки]]-ППД5[[#This Row],[Итоговая сумма скидки]],2)</f>
        <v>8028400</v>
      </c>
      <c r="CW38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88" s="197"/>
      <c r="CY388" s="332">
        <f>ППД5[[#This Row],[Расхождение]]/ППД5[[#This Row],[Расчетная проектная площадь]]</f>
        <v>-6.4741035856572616E-3</v>
      </c>
      <c r="CZ38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-0.32999999999999652</v>
      </c>
      <c r="DA388" s="3">
        <f>ППД5[[#This Row],[Цена м2 без отделки со скидкой]]+ППД5[[#This Row],[Стоимость отделки]]</f>
        <v>133273.57237715804</v>
      </c>
      <c r="DB388" s="3">
        <f>ППД5[[#This Row],[Стоимость квартиры с отделкой]]-ППД5[[#This Row],[Стоимость ОН без отделки со скидкой]]</f>
        <v>0</v>
      </c>
      <c r="DC388" s="3">
        <f>ППД5[[#This Row],[Цена м2 с отделкой]]*ППД5[[#This Row],[Расчетная проектная площадь]]</f>
        <v>8028400</v>
      </c>
      <c r="DD388" s="3"/>
      <c r="DF388" s="155" t="s">
        <v>157</v>
      </c>
      <c r="DG388" s="245" t="s">
        <v>157</v>
      </c>
      <c r="DH388" s="100" t="b">
        <f>EXACT(ППД5[[#This Row],[Статусы CRM]],ППД5[[#This Row],[Статус]])</f>
        <v>1</v>
      </c>
      <c r="DI388" s="213" t="s">
        <v>560</v>
      </c>
      <c r="DJ388" s="204"/>
      <c r="DK388" s="111" t="s">
        <v>763</v>
      </c>
      <c r="DL388" s="216" t="s">
        <v>12</v>
      </c>
      <c r="DM388" s="201" t="b">
        <f>ППД5[[#This Row],[Отделка CRM]]=ППД5[[#This Row],[Отделка]]</f>
        <v>1</v>
      </c>
      <c r="DN388" s="203">
        <v>8028400</v>
      </c>
      <c r="DO38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88" s="207" t="b">
        <f>IF(AND(ППД5[[#This Row],[Статус]]="свободно",ППД5[[#This Row],[Итоговая сумма скидки]]&lt;&gt;0),FALSE,TRUE)</f>
        <v>1</v>
      </c>
      <c r="DQ388" s="240" t="str">
        <f>_xlfn.XLOOKUP(ППД5[[#This Row],[№]],Юрист[№ кв],Юрист[Дата подачи на регистрацию]," ",0,-1)</f>
        <v xml:space="preserve"> </v>
      </c>
      <c r="DR388" s="115" t="str">
        <f>_xlfn.XLOOKUP(ППД5[[#This Row],[№]],Юрист[№ кв],Юрист[МОП],"",0,-1)</f>
        <v/>
      </c>
      <c r="DS388" s="333" t="s">
        <v>3068</v>
      </c>
      <c r="DT388" s="333" t="s">
        <v>3069</v>
      </c>
      <c r="DU388" s="333">
        <v>58.4</v>
      </c>
      <c r="DV388" s="111"/>
    </row>
    <row r="389" spans="1:126" hidden="1" x14ac:dyDescent="0.25">
      <c r="A389" s="112">
        <v>387</v>
      </c>
      <c r="B389" s="111" t="s">
        <v>3</v>
      </c>
      <c r="C389" s="111">
        <v>24</v>
      </c>
      <c r="D389" s="111">
        <v>5</v>
      </c>
      <c r="E389" s="111">
        <v>1</v>
      </c>
      <c r="F389" s="105">
        <v>12.54</v>
      </c>
      <c r="G389" s="105"/>
      <c r="H389" s="105"/>
      <c r="I389" s="94">
        <f>SUM(ППД5[[#This Row],[Комната 1]:[Комната 3]])</f>
        <v>12.54</v>
      </c>
      <c r="J389" s="105">
        <v>12.74</v>
      </c>
      <c r="K389" s="105">
        <v>4.0199999999999996</v>
      </c>
      <c r="L389" s="105"/>
      <c r="M389" s="105"/>
      <c r="N389" s="105">
        <v>7.09</v>
      </c>
      <c r="O389" s="105">
        <v>2.84</v>
      </c>
      <c r="P389" s="105"/>
      <c r="Q389" s="105"/>
      <c r="R389" s="105">
        <f>SUM(ППД5[[#This Row],[Лоджия 1]:[Лоджия 3]])</f>
        <v>2.84</v>
      </c>
      <c r="S389" s="8">
        <f>ROUND(SUM(ППД5[[#This Row],[Площадь по проекту жилая]:[Лоджия 3]]),2)</f>
        <v>39.229999999999997</v>
      </c>
      <c r="T389" s="8">
        <f>ROUND(ППД5[[#This Row],[Площадь по проекту(общая)]]-ППД5[[#This Row],[Летние]],2)</f>
        <v>36.39</v>
      </c>
      <c r="U389" s="91">
        <f>ROUND(ППД5[[#This Row],[Площадь по проекту(общая)]]-(SUM(ППД5[[#This Row],[Лоджия 1]:[Лоджия 3]])/2),2)</f>
        <v>37.81</v>
      </c>
      <c r="V389" s="91">
        <f>IF(ППД5[[#This Row],[Статус]]="продажа",ППД5[[#This Row],[Расчетная проектная площадь]],ППД5[[#This Row],[Расчетная ТП площадь]])</f>
        <v>37.4</v>
      </c>
      <c r="W389" s="91">
        <v>12.5</v>
      </c>
      <c r="X389" s="91"/>
      <c r="Y389" s="91"/>
      <c r="Z389" s="91">
        <f>SUM(ППД5[[#This Row],[ТП Комната 1]:[ТП Комната 3]])</f>
        <v>12.5</v>
      </c>
      <c r="AA389" s="91">
        <v>12.7</v>
      </c>
      <c r="AB389" s="91">
        <v>4</v>
      </c>
      <c r="AC389" s="91"/>
      <c r="AD389" s="91"/>
      <c r="AE389" s="91">
        <v>6.8</v>
      </c>
      <c r="AF389" s="91">
        <v>1.4</v>
      </c>
      <c r="AG389" s="91"/>
      <c r="AH389" s="91"/>
      <c r="AI389" s="91">
        <f>SUM(ППД5[[#This Row],[ТП Лоджия 1]:[ТП Лоджия 3]])</f>
        <v>1.4</v>
      </c>
      <c r="AJ389" s="95">
        <v>2.8</v>
      </c>
      <c r="AK389" s="91">
        <f>SUM(ППД5[[#This Row],[Площадь по ТП жилая]:[ТП Лоджия 3]])-ППД5[[#This Row],[ТП Летние]]+ППД5[[#This Row],[кроме того прочая
(без коэффициента)]]</f>
        <v>38.799999999999997</v>
      </c>
      <c r="AL389" s="95">
        <f>ППД5[[#This Row],[ТП Площадь без летних]]+(ППД5[[#This Row],[ТП Летние]])</f>
        <v>37.4</v>
      </c>
      <c r="AM389" s="91">
        <f>ППД5[[#This Row],[ТП общая S]]-ППД5[[#This Row],[кроме того прочая
(без коэффициента)]]</f>
        <v>36</v>
      </c>
      <c r="AN389" s="95">
        <f>SUM(ППД5[[#This Row],[ТП Кухня]:[ТП Коридор]])</f>
        <v>23.5</v>
      </c>
      <c r="AO389" s="91">
        <f>ППД5[[#This Row],[Расчетная ТП площадь]]-ППД5[[#This Row],[Расчетная проектная площадь]]</f>
        <v>-0.41000000000000369</v>
      </c>
      <c r="AP389" s="335">
        <f>ППД5[[#This Row],[Расчетная ТП площадь]]/ППД5[[#This Row],[Расчетная проектная площадь]]-1</f>
        <v>-1.0843692144935302E-2</v>
      </c>
      <c r="AQ389" s="91">
        <f>ППД5[[#This Row],[% расхождения]]*ППД5[[#This Row],[Стоимость до скидки]]</f>
        <v>-61460.962708278799</v>
      </c>
      <c r="AR389" s="91">
        <f>VLOOKUP(ППД5[[#This Row],[№]],наценкад5[],COLUMN(наценкад5[[#This Row],[Цена м2 с учетом всех K]]),0)</f>
        <v>96523.875</v>
      </c>
      <c r="AS389" s="8">
        <f>ППД5[[#This Row],[м2 после К]]*5%</f>
        <v>4826.1937500000004</v>
      </c>
      <c r="AT389" s="8">
        <f>ППД5[[#This Row],[м2 после К]]+ППД5[[#This Row],[Повышение 16.08.23 - 5%]]</f>
        <v>101350.06875000001</v>
      </c>
      <c r="AU389" s="93">
        <f>ППД5[[#This Row],[Фикс 16.08.23]]*3%</f>
        <v>3040.5020625000002</v>
      </c>
      <c r="AV389" s="93">
        <f>ППД5[[#This Row],[Фикс 16.08.23]]+ППД5[[#This Row],[Повышение 29.08.23 - 3%]]</f>
        <v>104390.57081250001</v>
      </c>
      <c r="AW389" s="93">
        <f>ППД5[[#This Row],[Фикс 29.08.23]]*4.5%</f>
        <v>4697.5756865624999</v>
      </c>
      <c r="AX389" s="93">
        <f>ППД5[[#This Row],[Фикс 29.08.23]]+ППД5[[#This Row],[Повышение 06.09.23 СТ и 1К]]</f>
        <v>109088.14649906251</v>
      </c>
      <c r="AY389" s="93"/>
      <c r="AZ389" s="93">
        <f>ППД5[[#This Row],[Повышение 23.10.23  В4 ]]+ППД5[[#This Row],[Фикс 06.09.23]]</f>
        <v>109088.14649906251</v>
      </c>
      <c r="BA389" s="93">
        <f>ППД5[[#This Row],[Фикс 23.10.23]]*5%</f>
        <v>5454.4073249531257</v>
      </c>
      <c r="BB389" s="93">
        <f>ППД5[[#This Row],[Повышение 8.11.23 1К 5%]]+ППД5[[#This Row],[Фикс 23.10.23]]</f>
        <v>114542.55382401563</v>
      </c>
      <c r="BC389" s="93">
        <v>-620</v>
      </c>
      <c r="BD389" s="93">
        <f>ППД5[[#This Row],[Корректировка 24.11.23 - 1К В5, 2К А2, №233]]+ППД5[[#This Row],[Фикс 8.11.23]]</f>
        <v>113922.55382401563</v>
      </c>
      <c r="BE389" s="93">
        <f>ППД5[[#This Row],[Фикс 8.11.24]]*1%</f>
        <v>1139.2255382401563</v>
      </c>
      <c r="BF389" s="93">
        <f>ППД5[[#This Row],[Наценка за отделку 29.12.23 1%]]+ППД5[[#This Row],[Фикс 8.11.24]]</f>
        <v>115061.77936225579</v>
      </c>
      <c r="BG389" s="93">
        <f>ППД5[[#This Row],[Фикс 29.12.23]]*5%</f>
        <v>5753.0889681127901</v>
      </c>
      <c r="BH389" s="93">
        <f>ППД5[[#This Row],[Фикс 29.12.23]]+ППД5[[#This Row],[Наценка 10.01.24 5%]]</f>
        <v>120814.86833036858</v>
      </c>
      <c r="BI389" s="93"/>
      <c r="BJ389" s="93">
        <f>ППД5[[#This Row],[Наценка 26.02.24 1 Этаж]]+ППД5[[#This Row],[Фикс 10.01.24]]</f>
        <v>120814.86833036858</v>
      </c>
      <c r="BK389" s="93">
        <f>ППД5[[#This Row],[Фикс 26.02.24]]*3%</f>
        <v>3624.4460499110573</v>
      </c>
      <c r="BL389" s="93">
        <f>ППД5[[#This Row],[Фикс 26.02.24]]+ППД5[[#This Row],[Наценка 06.03.24
СТ, 1К - 3%
2К, 3К - 2%]]</f>
        <v>124439.31438027964</v>
      </c>
      <c r="BM389" s="93"/>
      <c r="BN389" s="93">
        <f>ППД5[[#This Row],[Фикс 06.03.24]]+ППД5[[#This Row],[Наценка Г2+500]]</f>
        <v>124439.31438027964</v>
      </c>
      <c r="BO389" s="93"/>
      <c r="BP389" s="93">
        <f>ППД5[[#This Row],[Фикс 13.03.25]]+ППД5[[#This Row],[Наценка 20.03.24
2К, 3К - 2%]]</f>
        <v>124439.31438027964</v>
      </c>
      <c r="BQ389" s="93"/>
      <c r="BR389" s="93">
        <f>ППД5[[#This Row],[Фикс 20.03.24]]+ППД5[[#This Row],[Наценка 08.04.24 
2К: В3 - 150
3К: Г7 +1000]]</f>
        <v>124439.31438027964</v>
      </c>
      <c r="BS389" s="93">
        <f>ППД5[[#This Row],[Фикс 08.04.24]]*1%</f>
        <v>1244.3931438027964</v>
      </c>
      <c r="BT389" s="93">
        <f>ППД5[[#This Row],[Фикс 08.04.24]]+ППД5[[#This Row],[Наценка 16.05.24 1%
А4,А6,Б3,Б6,Б7,В2,В3,В5,В6,Г1,Г3-Г5]]</f>
        <v>125683.70752408243</v>
      </c>
      <c r="BU389" s="93"/>
      <c r="BV389" s="93">
        <f>ППД5[[#This Row],[Фикс 16.05.24]]+ППД5[[#This Row],[Наценка 24.05.24
1% - Б4, Б5,Г2,Г6
2% - А1,А3,А5,Б2,Г7]]</f>
        <v>125683.70752408243</v>
      </c>
      <c r="BW389" s="93"/>
      <c r="BX389" s="93">
        <f>ППД5[[#This Row],[Наценка 06.06.24
0К: В2,Г3 +0,5%
1К: А7, Б5/4, Г6 +0,5%
3К: В6 +0,5%
1К: А3 +1%]]+ППД5[[#This Row],[Фикс 24.05.24]]</f>
        <v>125683.70752408243</v>
      </c>
      <c r="BY389" s="93"/>
      <c r="BZ389" s="93">
        <f>ППД5[[#This Row],[Фикс 06.06.24]]+ППД5[[#This Row],[13.06.2024
3К - 2%]]</f>
        <v>125683.70752408243</v>
      </c>
      <c r="CA389" s="93">
        <f>0.5%*ППД5[[#This Row],[Фикс 13.06.24]]</f>
        <v>628.41853762041217</v>
      </c>
      <c r="CB389" s="93">
        <f>ППД5[[#This Row],[02.07.2024: Г3 А1 А3 Б5 Б7 Г2 Г6 Б3 Б4 В3 Г7 2,5% ост 0,5-1,5%]]+ППД5[[#This Row],[Фикс 13.06.24]]</f>
        <v>126312.12606170285</v>
      </c>
      <c r="CC389" s="93"/>
      <c r="CD389" s="93">
        <f>ППД5[[#This Row],[Фикс 02.07.24]]+ППД5[[#This Row],[04.09.2024 +500
0К - Б2; 1К - А3;
2К - А6, Б4, В3, Г5]]</f>
        <v>126312.12606170285</v>
      </c>
      <c r="CE389" s="93"/>
      <c r="CF389" s="93">
        <f>ППД5[[#This Row],[Наценка 16.09.2024
1К: А1,В7,Г6/7,Г8 - 2%
2К: А4,А5,А6,Б1,Б6,Б3/4,В3,В4,Г4,Г5 - 4%
3К: 4%]]+ППД5[[#This Row],[Фикс 04.09.24]]</f>
        <v>126312.12606170285</v>
      </c>
      <c r="CG389" s="93">
        <f>ППД5[[#This Row],[Фикс 16.09.2024]]*5%</f>
        <v>6315.6063030851428</v>
      </c>
      <c r="CH389" s="93">
        <f>ППД5[[#This Row],[Фикс 16.09.2024]]+ППД5[[#This Row],[Наценка 01.11.24
СТ: 4%
1К: 34-40м 5%; 40м+ 8%; МГН 1%
2К: 55-70м 6%; 70-73м 7%; 73-76м 8% 
3К: 5%]]</f>
        <v>132627.73236478798</v>
      </c>
      <c r="CI389" s="93">
        <f>ППД5[[#This Row],[Фикс 01.11.24]]*13%</f>
        <v>17241.605207422439</v>
      </c>
      <c r="CJ389" s="93">
        <f>ППД5[[#This Row],[Наценка 06.11 13%]]+ППД5[[#This Row],[Фикс 01.11.24]]</f>
        <v>149869.33757221041</v>
      </c>
      <c r="CK389" s="93">
        <v>35</v>
      </c>
      <c r="CL389" s="93">
        <f>ППД5[[#This Row],[Фикс 06.11.24]]+ППД5[[#This Row],[Наценка 18.12.24 распределение КВ]]</f>
        <v>149904.33757221041</v>
      </c>
      <c r="CM389" s="93"/>
      <c r="CN389" s="93">
        <f>ППД5[[#This Row],[Фикс 18.12.24]]+ППД5[[#This Row],[Наценка 10.02.25 +1%
1К: А3
2К: Б3, В3]]</f>
        <v>149904.33757221041</v>
      </c>
      <c r="CO389" s="93">
        <f>ROUND(ППД5[[#This Row],[Фикс 10.02.25]],2)</f>
        <v>149904.34</v>
      </c>
      <c r="CP38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5667900</v>
      </c>
      <c r="CQ389" s="93">
        <f>ROUNDUP(ППД5[[#This Row],[Стоимость до скидки]]+ППД5[[#This Row],[Сумма доплаты]],-2)</f>
        <v>5606500</v>
      </c>
      <c r="CR389" s="68"/>
      <c r="CS389" s="90"/>
      <c r="CT389" s="68">
        <f>ППД5[[#This Row],[Стоимость до скидки]]*ППД5[[#This Row],[Скидка %]]+ППД5[[#This Row],[Скидка фиксированная]]</f>
        <v>0</v>
      </c>
      <c r="CU389" s="3">
        <f>ППД5[[#This Row],[Стоимость ОН без отделки со скидкой]]/ППД5[[#This Row],[Расчетная проектная площадь]]</f>
        <v>149904.78709336155</v>
      </c>
      <c r="CV389" s="3">
        <f>ROUND(ППД5[[#This Row],[Стоимость до скидки]]-ППД5[[#This Row],[Итоговая сумма скидки]],2)</f>
        <v>5667900</v>
      </c>
      <c r="CW38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89" s="197">
        <v>25000</v>
      </c>
      <c r="CY389" s="332">
        <f>ППД5[[#This Row],[Расхождение]]/ППД5[[#This Row],[Расчетная проектная площадь]]</f>
        <v>-1.08436921449353E-2</v>
      </c>
      <c r="CZ38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-0.34999999999999964</v>
      </c>
      <c r="DA389" s="3">
        <f>ППД5[[#This Row],[Цена м2 без отделки со скидкой]]+ППД5[[#This Row],[Стоимость отделки]]</f>
        <v>174904.78709336155</v>
      </c>
      <c r="DB389" s="3">
        <f>ППД5[[#This Row],[Стоимость квартиры с отделкой]]-ППД5[[#This Row],[Стоимость ОН без отделки со скидкой]]</f>
        <v>945250.00000000093</v>
      </c>
      <c r="DC389" s="3">
        <f>ППД5[[#This Row],[Цена м2 с отделкой]]*ППД5[[#This Row],[Расчетная проектная площадь]]</f>
        <v>6613150.0000000009</v>
      </c>
      <c r="DD389" s="3"/>
      <c r="DE389" s="246"/>
      <c r="DF389" s="155" t="s">
        <v>157</v>
      </c>
      <c r="DG389" s="221" t="s">
        <v>157</v>
      </c>
      <c r="DH389" s="100" t="b">
        <f>EXACT(ППД5[[#This Row],[Статусы CRM]],ППД5[[#This Row],[Статус]])</f>
        <v>1</v>
      </c>
      <c r="DI389" s="213" t="s">
        <v>561</v>
      </c>
      <c r="DJ389" s="204"/>
      <c r="DK389" s="111" t="s">
        <v>763</v>
      </c>
      <c r="DL389" s="216" t="s">
        <v>14</v>
      </c>
      <c r="DM389" s="201" t="b">
        <f>ППД5[[#This Row],[Отделка CRM]]=ППД5[[#This Row],[Отделка]]</f>
        <v>1</v>
      </c>
      <c r="DN389" s="203">
        <v>6613150</v>
      </c>
      <c r="DO38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-9.3132257461547852E-10</v>
      </c>
      <c r="DP389" s="207" t="b">
        <f>IF(AND(ППД5[[#This Row],[Статус]]="свободно",ППД5[[#This Row],[Итоговая сумма скидки]]&lt;&gt;0),FALSE,TRUE)</f>
        <v>1</v>
      </c>
      <c r="DQ389" s="240" t="str">
        <f>_xlfn.XLOOKUP(ППД5[[#This Row],[№]],Юрист[№ кв],Юрист[Дата подачи на регистрацию]," ",0,-1)</f>
        <v xml:space="preserve"> </v>
      </c>
      <c r="DR389" s="115" t="str">
        <f>_xlfn.XLOOKUP(ППД5[[#This Row],[№]],Юрист[№ кв],Юрист[МОП],"",0,-1)</f>
        <v/>
      </c>
      <c r="DS389" s="333" t="s">
        <v>3070</v>
      </c>
      <c r="DT389" s="333" t="s">
        <v>3071</v>
      </c>
      <c r="DU389" s="333">
        <v>36</v>
      </c>
      <c r="DV389" s="111"/>
    </row>
    <row r="390" spans="1:126" hidden="1" x14ac:dyDescent="0.25">
      <c r="A390" s="112">
        <v>388</v>
      </c>
      <c r="B390" s="111" t="s">
        <v>3</v>
      </c>
      <c r="C390" s="111">
        <v>24</v>
      </c>
      <c r="D390" s="111">
        <v>6</v>
      </c>
      <c r="E390" s="111">
        <v>3</v>
      </c>
      <c r="F390" s="105">
        <v>17.2</v>
      </c>
      <c r="G390" s="105">
        <v>14.64</v>
      </c>
      <c r="H390" s="105">
        <v>14.34</v>
      </c>
      <c r="I390" s="94">
        <f>SUM(ППД5[[#This Row],[Комната 1]:[Комната 3]])</f>
        <v>46.18</v>
      </c>
      <c r="J390" s="105">
        <v>13.15</v>
      </c>
      <c r="K390" s="105">
        <v>4.03</v>
      </c>
      <c r="L390" s="105">
        <v>1.76</v>
      </c>
      <c r="M390" s="105"/>
      <c r="N390" s="105">
        <v>13.11</v>
      </c>
      <c r="O390" s="105">
        <v>2.79</v>
      </c>
      <c r="P390" s="105">
        <v>2.68</v>
      </c>
      <c r="Q390" s="105"/>
      <c r="R390" s="105">
        <f>SUM(ППД5[[#This Row],[Лоджия 1]:[Лоджия 3]])</f>
        <v>5.4700000000000006</v>
      </c>
      <c r="S390" s="8">
        <f>ROUND(SUM(ППД5[[#This Row],[Площадь по проекту жилая]:[Лоджия 3]]),2)</f>
        <v>83.7</v>
      </c>
      <c r="T390" s="8">
        <f>ROUND(ППД5[[#This Row],[Площадь по проекту(общая)]]-ППД5[[#This Row],[Летние]],2)</f>
        <v>78.23</v>
      </c>
      <c r="U390" s="91">
        <f>ROUND(ППД5[[#This Row],[Площадь по проекту(общая)]]-(SUM(ППД5[[#This Row],[Лоджия 1]:[Лоджия 3]])/2),2)</f>
        <v>80.97</v>
      </c>
      <c r="V390" s="91">
        <f>IF(ППД5[[#This Row],[Статус]]="продажа",ППД5[[#This Row],[Расчетная проектная площадь]],ППД5[[#This Row],[Расчетная ТП площадь]])</f>
        <v>80.97</v>
      </c>
      <c r="W390" s="91">
        <v>17</v>
      </c>
      <c r="X390" s="91">
        <v>14.6</v>
      </c>
      <c r="Y390" s="91">
        <v>14.3</v>
      </c>
      <c r="Z390" s="91">
        <f>SUM(ППД5[[#This Row],[ТП Комната 1]:[ТП Комната 3]])</f>
        <v>45.900000000000006</v>
      </c>
      <c r="AA390" s="91">
        <v>13</v>
      </c>
      <c r="AB390" s="91">
        <v>4</v>
      </c>
      <c r="AC390" s="91">
        <v>1.8</v>
      </c>
      <c r="AD390" s="91"/>
      <c r="AE390" s="91">
        <v>13</v>
      </c>
      <c r="AF390" s="91">
        <v>1.4</v>
      </c>
      <c r="AG390" s="91">
        <v>1.4</v>
      </c>
      <c r="AH390" s="91"/>
      <c r="AI390" s="91">
        <f>SUM(ППД5[[#This Row],[ТП Лоджия 1]:[ТП Лоджия 3]])</f>
        <v>2.8</v>
      </c>
      <c r="AJ390" s="95">
        <v>5.6</v>
      </c>
      <c r="AK390" s="91">
        <f>SUM(ППД5[[#This Row],[Площадь по ТП жилая]:[ТП Лоджия 3]])-ППД5[[#This Row],[ТП Летние]]+ППД5[[#This Row],[кроме того прочая
(без коэффициента)]]</f>
        <v>83.300000000000011</v>
      </c>
      <c r="AL390" s="95">
        <f>ППД5[[#This Row],[ТП Площадь без летних]]+(ППД5[[#This Row],[ТП Летние]])</f>
        <v>80.500000000000014</v>
      </c>
      <c r="AM390" s="91">
        <f>ППД5[[#This Row],[ТП общая S]]-ППД5[[#This Row],[кроме того прочая
(без коэффициента)]]</f>
        <v>77.700000000000017</v>
      </c>
      <c r="AN390" s="95">
        <f>SUM(ППД5[[#This Row],[ТП Кухня]:[ТП Коридор]])</f>
        <v>31.8</v>
      </c>
      <c r="AO390" s="91">
        <f>ППД5[[#This Row],[Расчетная ТП площадь]]-ППД5[[#This Row],[Расчетная проектная площадь]]</f>
        <v>-0.46999999999998465</v>
      </c>
      <c r="AP390" s="335">
        <f>ППД5[[#This Row],[Расчетная ТП площадь]]/ППД5[[#This Row],[Расчетная проектная площадь]]-1</f>
        <v>-5.8046189946892035E-3</v>
      </c>
      <c r="AQ390" s="91">
        <f>ППД5[[#This Row],[% расхождения]]*ППД5[[#This Row],[Стоимость до скидки]]</f>
        <v>-44836.038038778344</v>
      </c>
      <c r="AR390" s="91">
        <f>VLOOKUP(ППД5[[#This Row],[№]],наценкад5[],COLUMN(наценкад5[[#This Row],[Цена м2 с учетом всех K]]),0)</f>
        <v>79944.48000000001</v>
      </c>
      <c r="AS390" s="8">
        <f>ППД5[[#This Row],[м2 после К]]*5%</f>
        <v>3997.2240000000006</v>
      </c>
      <c r="AT390" s="8">
        <f>ППД5[[#This Row],[м2 после К]]+ППД5[[#This Row],[Повышение 16.08.23 - 5%]]</f>
        <v>83941.704000000012</v>
      </c>
      <c r="AU390" s="93">
        <f>ППД5[[#This Row],[Фикс 16.08.23]]*3%</f>
        <v>2518.2511200000004</v>
      </c>
      <c r="AV390" s="93">
        <f>ППД5[[#This Row],[Фикс 16.08.23]]+ППД5[[#This Row],[Повышение 29.08.23 - 3%]]</f>
        <v>86459.955120000013</v>
      </c>
      <c r="AW390" s="93"/>
      <c r="AX390" s="93">
        <f>ППД5[[#This Row],[Фикс 29.08.23]]+ППД5[[#This Row],[Повышение 06.09.23 СТ и 1К]]</f>
        <v>86459.955120000013</v>
      </c>
      <c r="AY390" s="93"/>
      <c r="AZ390" s="93">
        <f>ППД5[[#This Row],[Повышение 23.10.23  В4 ]]+ППД5[[#This Row],[Фикс 06.09.23]]</f>
        <v>86459.955120000013</v>
      </c>
      <c r="BA390" s="93"/>
      <c r="BB390" s="93">
        <f>ППД5[[#This Row],[Повышение 8.11.23 1К 5%]]+ППД5[[#This Row],[Фикс 23.10.23]]</f>
        <v>86459.955120000013</v>
      </c>
      <c r="BC390" s="93"/>
      <c r="BD390" s="93">
        <f>ППД5[[#This Row],[Корректировка 24.11.23 - 1К В5, 2К А2, №233]]+ППД5[[#This Row],[Фикс 8.11.23]]</f>
        <v>86459.955120000013</v>
      </c>
      <c r="BE390" s="93">
        <f>ППД5[[#This Row],[Фикс 8.11.24]]*1%</f>
        <v>864.59955120000018</v>
      </c>
      <c r="BF390" s="93">
        <f>ППД5[[#This Row],[Наценка за отделку 29.12.23 1%]]+ППД5[[#This Row],[Фикс 8.11.24]]</f>
        <v>87324.554671200007</v>
      </c>
      <c r="BG390" s="93">
        <f>ППД5[[#This Row],[Фикс 29.12.23]]*5%</f>
        <v>4366.2277335600002</v>
      </c>
      <c r="BH390" s="93">
        <f>ППД5[[#This Row],[Фикс 29.12.23]]+ППД5[[#This Row],[Наценка 10.01.24 5%]]</f>
        <v>91690.782404760001</v>
      </c>
      <c r="BI390" s="93"/>
      <c r="BJ390" s="93">
        <f>ППД5[[#This Row],[Наценка 26.02.24 1 Этаж]]+ППД5[[#This Row],[Фикс 10.01.24]]</f>
        <v>91690.782404760001</v>
      </c>
      <c r="BK390" s="93">
        <f>ППД5[[#This Row],[Фикс 26.02.24]]*2%</f>
        <v>1833.8156480952</v>
      </c>
      <c r="BL390" s="93">
        <f>ППД5[[#This Row],[Фикс 26.02.24]]+ППД5[[#This Row],[Наценка 06.03.24
СТ, 1К - 3%
2К, 3К - 2%]]</f>
        <v>93524.598052855203</v>
      </c>
      <c r="BM390" s="93"/>
      <c r="BN390" s="93">
        <f>ППД5[[#This Row],[Фикс 06.03.24]]+ППД5[[#This Row],[Наценка Г2+500]]</f>
        <v>93524.598052855203</v>
      </c>
      <c r="BO390" s="93">
        <f>ППД5[[#This Row],[Фикс 13.03.25]]*2%</f>
        <v>1870.4919610571042</v>
      </c>
      <c r="BP390" s="93">
        <f>ППД5[[#This Row],[Фикс 13.03.25]]+ППД5[[#This Row],[Наценка 20.03.24
2К, 3К - 2%]]</f>
        <v>95395.090013912311</v>
      </c>
      <c r="BQ390" s="93"/>
      <c r="BR390" s="93">
        <f>ППД5[[#This Row],[Фикс 20.03.24]]+ППД5[[#This Row],[Наценка 08.04.24 
2К: В3 - 150
3К: Г7 +1000]]</f>
        <v>95395.090013912311</v>
      </c>
      <c r="BS390" s="93"/>
      <c r="BT390" s="93">
        <f>ППД5[[#This Row],[Фикс 08.04.24]]+ППД5[[#This Row],[Наценка 16.05.24 1%
А4,А6,Б3,Б6,Б7,В2,В3,В5,В6,Г1,Г3-Г5]]</f>
        <v>95395.090013912311</v>
      </c>
      <c r="BU390" s="93"/>
      <c r="BV390" s="93">
        <f>ППД5[[#This Row],[Фикс 16.05.24]]+ППД5[[#This Row],[Наценка 24.05.24
1% - Б4, Б5,Г2,Г6
2% - А1,А3,А5,Б2,Г7]]</f>
        <v>95395.090013912311</v>
      </c>
      <c r="BW390" s="93"/>
      <c r="BX390" s="93">
        <f>ППД5[[#This Row],[Наценка 06.06.24
0К: В2,Г3 +0,5%
1К: А7, Б5/4, Г6 +0,5%
3К: В6 +0,5%
1К: А3 +1%]]+ППД5[[#This Row],[Фикс 24.05.24]]</f>
        <v>95395.090013912311</v>
      </c>
      <c r="BY390" s="93"/>
      <c r="BZ390" s="93">
        <f>ППД5[[#This Row],[Фикс 06.06.24]]+ППД5[[#This Row],[13.06.2024
3К - 2%]]</f>
        <v>95395.090013912311</v>
      </c>
      <c r="CA390" s="93"/>
      <c r="CB390" s="93">
        <f>ППД5[[#This Row],[02.07.2024: Г3 А1 А3 Б5 Б7 Г2 Г6 Б3 Б4 В3 Г7 2,5% ост 0,5-1,5%]]+ППД5[[#This Row],[Фикс 13.06.24]]</f>
        <v>95395.090013912311</v>
      </c>
      <c r="CC390" s="93"/>
      <c r="CD390" s="93">
        <f>ППД5[[#This Row],[Фикс 02.07.24]]+ППД5[[#This Row],[04.09.2024 +500
0К - Б2; 1К - А3;
2К - А6, Б4, В3, Г5]]</f>
        <v>95395.090013912311</v>
      </c>
      <c r="CE390" s="93"/>
      <c r="CF390" s="93">
        <f>ППД5[[#This Row],[Наценка 16.09.2024
1К: А1,В7,Г6/7,Г8 - 2%
2К: А4,А5,А6,Б1,Б6,Б3/4,В3,В4,Г4,Г5 - 4%
3К: 4%]]+ППД5[[#This Row],[Фикс 04.09.24]]</f>
        <v>95395.090013912311</v>
      </c>
      <c r="CG390" s="93"/>
      <c r="CH390" s="93">
        <f>ППД5[[#This Row],[Фикс 16.09.2024]]+ППД5[[#This Row],[Наценка 01.11.24
СТ: 4%
1К: 34-40м 5%; 40м+ 8%; МГН 1%
2К: 55-70м 6%; 70-73м 7%; 73-76м 8% 
3К: 5%]]</f>
        <v>95395.090013912311</v>
      </c>
      <c r="CI390" s="93"/>
      <c r="CJ390" s="93">
        <f>ППД5[[#This Row],[Наценка 06.11 13%]]+ППД5[[#This Row],[Фикс 01.11.24]]</f>
        <v>95395.090013912311</v>
      </c>
      <c r="CK390" s="93"/>
      <c r="CL390" s="93">
        <f>ППД5[[#This Row],[Фикс 06.11.24]]+ППД5[[#This Row],[Наценка 18.12.24 распределение КВ]]</f>
        <v>95395.090013912311</v>
      </c>
      <c r="CM390" s="93"/>
      <c r="CN390" s="93">
        <f>ППД5[[#This Row],[Фикс 18.12.24]]+ППД5[[#This Row],[Наценка 10.02.25 +1%
1К: А3
2К: Б3, В3]]</f>
        <v>95395.090013912311</v>
      </c>
      <c r="CO390" s="93">
        <f>ROUND(ППД5[[#This Row],[Фикс 10.02.25]],2)</f>
        <v>95395.09</v>
      </c>
      <c r="CP39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7724200</v>
      </c>
      <c r="CQ390" s="93">
        <f>ROUNDUP(ППД5[[#This Row],[Стоимость до скидки]]+ППД5[[#This Row],[Сумма доплаты]],-2)</f>
        <v>7679400</v>
      </c>
      <c r="CR390" s="68">
        <v>90000</v>
      </c>
      <c r="CS390" s="90"/>
      <c r="CT390" s="68">
        <f>ППД5[[#This Row],[Стоимость до скидки]]*ППД5[[#This Row],[Скидка %]]+ППД5[[#This Row],[Скидка фиксированная]]</f>
        <v>90000</v>
      </c>
      <c r="CU390" s="3">
        <f>ППД5[[#This Row],[Стоимость ОН без отделки со скидкой]]/ППД5[[#This Row],[Расчетная проектная площадь]]</f>
        <v>94284.302828207976</v>
      </c>
      <c r="CV390" s="3">
        <f>ROUND(ППД5[[#This Row],[Стоимость до скидки]]-ППД5[[#This Row],[Итоговая сумма скидки]],2)</f>
        <v>7634200</v>
      </c>
      <c r="CW39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90" s="197">
        <v>20000</v>
      </c>
      <c r="CY390" s="332">
        <f>ППД5[[#This Row],[Расхождение]]/ППД5[[#This Row],[Расчетная проектная площадь]]</f>
        <v>-5.8046189946892018E-3</v>
      </c>
      <c r="CZ39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-0.25000000000000178</v>
      </c>
      <c r="DA390" s="3">
        <f>ППД5[[#This Row],[Цена м2 без отделки со скидкой]]+ППД5[[#This Row],[Стоимость отделки]]</f>
        <v>114284.30282820798</v>
      </c>
      <c r="DB390" s="3">
        <f>ППД5[[#This Row],[Стоимость квартиры с отделкой]]-ППД5[[#This Row],[Стоимость ОН без отделки со скидкой]]</f>
        <v>1619400</v>
      </c>
      <c r="DC390" s="3">
        <f>ППД5[[#This Row],[Цена м2 с отделкой]]*ППД5[[#This Row],[Расчетная проектная площадь]]</f>
        <v>9253600</v>
      </c>
      <c r="DD390" s="3"/>
      <c r="DE390" s="111" t="s">
        <v>791</v>
      </c>
      <c r="DF390" s="199" t="s">
        <v>172</v>
      </c>
      <c r="DG390" s="245" t="s">
        <v>172</v>
      </c>
      <c r="DH390" s="100" t="b">
        <f>EXACT(ППД5[[#This Row],[Статусы CRM]],ППД5[[#This Row],[Статус]])</f>
        <v>1</v>
      </c>
      <c r="DI390" s="213" t="s">
        <v>562</v>
      </c>
      <c r="DJ390" s="204"/>
      <c r="DK390" s="111" t="s">
        <v>763</v>
      </c>
      <c r="DL390" s="216" t="s">
        <v>14</v>
      </c>
      <c r="DM390" s="201" t="b">
        <f>ППД5[[#This Row],[Отделка CRM]]=ППД5[[#This Row],[Отделка]]</f>
        <v>1</v>
      </c>
      <c r="DN390" s="203">
        <v>9253600</v>
      </c>
      <c r="DO39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90" s="207" t="b">
        <f>IF(AND(ППД5[[#This Row],[Статус]]="свободно",ППД5[[#This Row],[Итоговая сумма скидки]]&lt;&gt;0),FALSE,TRUE)</f>
        <v>1</v>
      </c>
      <c r="DQ390" s="240">
        <f>_xlfn.XLOOKUP(ППД5[[#This Row],[№]],Юрист[№ кв],Юрист[Дата подачи на регистрацию]," ",0,-1)</f>
        <v>45407</v>
      </c>
      <c r="DR390" s="115" t="str">
        <f>_xlfn.XLOOKUP(ППД5[[#This Row],[№]],Юрист[№ кв],Юрист[МОП],"",0,-1)</f>
        <v>Полехович</v>
      </c>
      <c r="DS390" s="333" t="s">
        <v>3072</v>
      </c>
      <c r="DT390" s="333" t="s">
        <v>3073</v>
      </c>
      <c r="DU390" s="333">
        <v>77.7</v>
      </c>
      <c r="DV390" s="111"/>
    </row>
    <row r="391" spans="1:126" hidden="1" x14ac:dyDescent="0.25">
      <c r="A391" s="112">
        <v>389</v>
      </c>
      <c r="B391" s="111" t="s">
        <v>3</v>
      </c>
      <c r="C391" s="111">
        <v>24</v>
      </c>
      <c r="D391" s="111">
        <v>7</v>
      </c>
      <c r="E391" s="111">
        <v>1</v>
      </c>
      <c r="F391" s="105">
        <v>14.3</v>
      </c>
      <c r="G391" s="105"/>
      <c r="H391" s="105"/>
      <c r="I391" s="94">
        <f>SUM(ППД5[[#This Row],[Комната 1]:[Комната 3]])</f>
        <v>14.3</v>
      </c>
      <c r="J391" s="105">
        <v>9.2799999999999994</v>
      </c>
      <c r="K391" s="105">
        <v>3.79</v>
      </c>
      <c r="L391" s="105"/>
      <c r="M391" s="105"/>
      <c r="N391" s="105">
        <v>6.08</v>
      </c>
      <c r="O391" s="105">
        <v>2.71</v>
      </c>
      <c r="P391" s="105"/>
      <c r="Q391" s="105"/>
      <c r="R391" s="105">
        <f>SUM(ППД5[[#This Row],[Лоджия 1]:[Лоджия 3]])</f>
        <v>2.71</v>
      </c>
      <c r="S391" s="8">
        <f>ROUND(SUM(ППД5[[#This Row],[Площадь по проекту жилая]:[Лоджия 3]]),2)</f>
        <v>36.159999999999997</v>
      </c>
      <c r="T391" s="8">
        <f>ROUND(ППД5[[#This Row],[Площадь по проекту(общая)]]-ППД5[[#This Row],[Летние]],2)</f>
        <v>33.450000000000003</v>
      </c>
      <c r="U391" s="91">
        <f>ROUND(ППД5[[#This Row],[Площадь по проекту(общая)]]-(SUM(ППД5[[#This Row],[Лоджия 1]:[Лоджия 3]])/2),2)</f>
        <v>34.81</v>
      </c>
      <c r="V391" s="91">
        <f>IF(ППД5[[#This Row],[Статус]]="продажа",ППД5[[#This Row],[Расчетная проектная площадь]],ППД5[[#This Row],[Расчетная ТП площадь]])</f>
        <v>34.599999999999994</v>
      </c>
      <c r="W391" s="91">
        <v>14.2</v>
      </c>
      <c r="X391" s="91"/>
      <c r="Y391" s="91"/>
      <c r="Z391" s="91">
        <f>SUM(ППД5[[#This Row],[ТП Комната 1]:[ТП Комната 3]])</f>
        <v>14.2</v>
      </c>
      <c r="AA391" s="91">
        <v>9.1999999999999993</v>
      </c>
      <c r="AB391" s="91">
        <v>3.8</v>
      </c>
      <c r="AC391" s="91"/>
      <c r="AD391" s="91"/>
      <c r="AE391" s="91">
        <v>6.1</v>
      </c>
      <c r="AF391" s="91">
        <v>1.3</v>
      </c>
      <c r="AG391" s="91"/>
      <c r="AH391" s="91"/>
      <c r="AI391" s="91">
        <f>SUM(ППД5[[#This Row],[ТП Лоджия 1]:[ТП Лоджия 3]])</f>
        <v>1.3</v>
      </c>
      <c r="AJ391" s="95">
        <v>2.6</v>
      </c>
      <c r="AK391" s="91">
        <f>SUM(ППД5[[#This Row],[Площадь по ТП жилая]:[ТП Лоджия 3]])-ППД5[[#This Row],[ТП Летние]]+ППД5[[#This Row],[кроме того прочая
(без коэффициента)]]</f>
        <v>35.9</v>
      </c>
      <c r="AL391" s="95">
        <f>ППД5[[#This Row],[ТП Площадь без летних]]+(ППД5[[#This Row],[ТП Летние]])</f>
        <v>34.599999999999994</v>
      </c>
      <c r="AM391" s="91">
        <f>ППД5[[#This Row],[ТП общая S]]-ППД5[[#This Row],[кроме того прочая
(без коэффициента)]]</f>
        <v>33.299999999999997</v>
      </c>
      <c r="AN391" s="95">
        <f>SUM(ППД5[[#This Row],[ТП Кухня]:[ТП Коридор]])</f>
        <v>19.100000000000001</v>
      </c>
      <c r="AO391" s="91">
        <f>ППД5[[#This Row],[Расчетная ТП площадь]]-ППД5[[#This Row],[Расчетная проектная площадь]]</f>
        <v>-0.21000000000000796</v>
      </c>
      <c r="AP391" s="335">
        <f>ППД5[[#This Row],[Расчетная ТП площадь]]/ППД5[[#This Row],[Расчетная проектная площадь]]-1</f>
        <v>-6.0327492099973012E-3</v>
      </c>
      <c r="AQ391" s="91">
        <f>ППД5[[#This Row],[% расхождения]]*ППД5[[#This Row],[Стоимость до скидки]]</f>
        <v>-33258.546394715122</v>
      </c>
      <c r="AR391" s="91">
        <f>VLOOKUP(ППД5[[#This Row],[№]],наценкад5[],COLUMN(наценкад5[[#This Row],[Цена м2 с учетом всех K]]),0)</f>
        <v>92062.6875</v>
      </c>
      <c r="AS391" s="8">
        <f>ППД5[[#This Row],[м2 после К]]*5%</f>
        <v>4603.1343750000005</v>
      </c>
      <c r="AT391" s="8">
        <f>ППД5[[#This Row],[м2 после К]]+ППД5[[#This Row],[Повышение 16.08.23 - 5%]]</f>
        <v>96665.821874999994</v>
      </c>
      <c r="AU391" s="93">
        <f>ППД5[[#This Row],[Фикс 16.08.23]]*3%</f>
        <v>2899.9746562499995</v>
      </c>
      <c r="AV391" s="93">
        <f>ППД5[[#This Row],[Фикс 16.08.23]]+ППД5[[#This Row],[Повышение 29.08.23 - 3%]]</f>
        <v>99565.796531249987</v>
      </c>
      <c r="AW391" s="93">
        <f>ППД5[[#This Row],[Фикс 29.08.23]]*14%</f>
        <v>13939.211514375</v>
      </c>
      <c r="AX391" s="93">
        <f>ППД5[[#This Row],[Фикс 29.08.23]]+ППД5[[#This Row],[Повышение 06.09.23 СТ и 1К]]</f>
        <v>113505.00804562499</v>
      </c>
      <c r="AY391" s="93"/>
      <c r="AZ391" s="93">
        <f>ППД5[[#This Row],[Повышение 23.10.23  В4 ]]+ППД5[[#This Row],[Фикс 06.09.23]]</f>
        <v>113505.00804562499</v>
      </c>
      <c r="BA391" s="93">
        <f>ППД5[[#This Row],[Фикс 23.10.23]]*5%</f>
        <v>5675.25040228125</v>
      </c>
      <c r="BB391" s="93">
        <f>ППД5[[#This Row],[Повышение 8.11.23 1К 5%]]+ППД5[[#This Row],[Фикс 23.10.23]]</f>
        <v>119180.25844790624</v>
      </c>
      <c r="BC391" s="93"/>
      <c r="BD391" s="93">
        <f>ППД5[[#This Row],[Корректировка 24.11.23 - 1К В5, 2К А2, №233]]+ППД5[[#This Row],[Фикс 8.11.23]]</f>
        <v>119180.25844790624</v>
      </c>
      <c r="BE391" s="93">
        <f>ППД5[[#This Row],[Фикс 8.11.24]]*1%</f>
        <v>1191.8025844790625</v>
      </c>
      <c r="BF391" s="93">
        <f>ППД5[[#This Row],[Наценка за отделку 29.12.23 1%]]+ППД5[[#This Row],[Фикс 8.11.24]]</f>
        <v>120372.0610323853</v>
      </c>
      <c r="BG391" s="93">
        <f>ППД5[[#This Row],[Фикс 29.12.23]]*5%</f>
        <v>6018.6030516192659</v>
      </c>
      <c r="BH391" s="93">
        <f>ППД5[[#This Row],[Фикс 29.12.23]]+ППД5[[#This Row],[Наценка 10.01.24 5%]]</f>
        <v>126390.66408400457</v>
      </c>
      <c r="BI391" s="93"/>
      <c r="BJ391" s="93">
        <f>ППД5[[#This Row],[Наценка 26.02.24 1 Этаж]]+ППД5[[#This Row],[Фикс 10.01.24]]</f>
        <v>126390.66408400457</v>
      </c>
      <c r="BK391" s="93">
        <f>ППД5[[#This Row],[Фикс 26.02.24]]*3%</f>
        <v>3791.7199225201371</v>
      </c>
      <c r="BL391" s="93">
        <f>ППД5[[#This Row],[Фикс 26.02.24]]+ППД5[[#This Row],[Наценка 06.03.24
СТ, 1К - 3%
2К, 3К - 2%]]</f>
        <v>130182.38400652471</v>
      </c>
      <c r="BM391" s="93"/>
      <c r="BN391" s="93">
        <f>ППД5[[#This Row],[Фикс 06.03.24]]+ППД5[[#This Row],[Наценка Г2+500]]</f>
        <v>130182.38400652471</v>
      </c>
      <c r="BO391" s="93"/>
      <c r="BP391" s="93">
        <f>ППД5[[#This Row],[Фикс 13.03.25]]+ППД5[[#This Row],[Наценка 20.03.24
2К, 3К - 2%]]</f>
        <v>130182.38400652471</v>
      </c>
      <c r="BQ391" s="93"/>
      <c r="BR391" s="93">
        <f>ППД5[[#This Row],[Фикс 20.03.24]]+ППД5[[#This Row],[Наценка 08.04.24 
2К: В3 - 150
3К: Г7 +1000]]</f>
        <v>130182.38400652471</v>
      </c>
      <c r="BS391" s="93"/>
      <c r="BT391" s="93">
        <f>ППД5[[#This Row],[Фикс 08.04.24]]+ППД5[[#This Row],[Наценка 16.05.24 1%
А4,А6,Б3,Б6,Б7,В2,В3,В5,В6,Г1,Г3-Г5]]</f>
        <v>130182.38400652471</v>
      </c>
      <c r="BU391" s="93"/>
      <c r="BV391" s="93">
        <f>ППД5[[#This Row],[Фикс 16.05.24]]+ППД5[[#This Row],[Наценка 24.05.24
1% - Б4, Б5,Г2,Г6
2% - А1,А3,А5,Б2,Г7]]</f>
        <v>130182.38400652471</v>
      </c>
      <c r="BW391" s="93"/>
      <c r="BX391" s="93">
        <f>ППД5[[#This Row],[Наценка 06.06.24
0К: В2,Г3 +0,5%
1К: А7, Б5/4, Г6 +0,5%
3К: В6 +0,5%
1К: А3 +1%]]+ППД5[[#This Row],[Фикс 24.05.24]]</f>
        <v>130182.38400652471</v>
      </c>
      <c r="BY391" s="93"/>
      <c r="BZ391" s="93">
        <f>ППД5[[#This Row],[Фикс 06.06.24]]+ППД5[[#This Row],[13.06.2024
3К - 2%]]</f>
        <v>130182.38400652471</v>
      </c>
      <c r="CA391" s="93">
        <f>0.5%*ППД5[[#This Row],[Фикс 13.06.24]]</f>
        <v>650.91192003262358</v>
      </c>
      <c r="CB391" s="93">
        <f>ППД5[[#This Row],[02.07.2024: Г3 А1 А3 Б5 Б7 Г2 Г6 Б3 Б4 В3 Г7 2,5% ост 0,5-1,5%]]+ППД5[[#This Row],[Фикс 13.06.24]]</f>
        <v>130833.29592655733</v>
      </c>
      <c r="CC391" s="93"/>
      <c r="CD391" s="93">
        <f>ППД5[[#This Row],[Фикс 02.07.24]]+ППД5[[#This Row],[04.09.2024 +500
0К - Б2; 1К - А3;
2К - А6, Б4, В3, Г5]]</f>
        <v>130833.29592655733</v>
      </c>
      <c r="CE391" s="93">
        <f>ППД5[[#This Row],[Фикс 04.09.24]]*2%</f>
        <v>2616.6659185311469</v>
      </c>
      <c r="CF391" s="93">
        <f>ППД5[[#This Row],[Наценка 16.09.2024
1К: А1,В7,Г6/7,Г8 - 2%
2К: А4,А5,А6,Б1,Б6,Б3/4,В3,В4,Г4,Г5 - 4%
3К: 4%]]+ППД5[[#This Row],[Фикс 04.09.24]]</f>
        <v>133449.96184508849</v>
      </c>
      <c r="CG391" s="93">
        <f>ППД5[[#This Row],[Фикс 16.09.2024]]*5%</f>
        <v>6672.4980922544246</v>
      </c>
      <c r="CH391" s="93">
        <f>ППД5[[#This Row],[Фикс 16.09.2024]]+ППД5[[#This Row],[Наценка 01.11.24
СТ: 4%
1К: 34-40м 5%; 40м+ 8%; МГН 1%
2К: 55-70м 6%; 70-73м 7%; 73-76м 8% 
3К: 5%]]</f>
        <v>140122.45993734291</v>
      </c>
      <c r="CI391" s="93">
        <f>ППД5[[#This Row],[Фикс 01.11.24]]*13%</f>
        <v>18215.91979185458</v>
      </c>
      <c r="CJ391" s="93">
        <f>ППД5[[#This Row],[Наценка 06.11 13%]]+ППД5[[#This Row],[Фикс 01.11.24]]</f>
        <v>158338.37972919748</v>
      </c>
      <c r="CK391" s="93">
        <v>35</v>
      </c>
      <c r="CL391" s="93">
        <f>ППД5[[#This Row],[Фикс 06.11.24]]+ППД5[[#This Row],[Наценка 18.12.24 распределение КВ]]</f>
        <v>158373.37972919748</v>
      </c>
      <c r="CM391" s="93"/>
      <c r="CN391" s="93">
        <f>ППД5[[#This Row],[Фикс 18.12.24]]+ППД5[[#This Row],[Наценка 10.02.25 +1%
1К: А3
2К: Б3, В3]]</f>
        <v>158373.37972919748</v>
      </c>
      <c r="CO391" s="93">
        <f>ROUND(ППД5[[#This Row],[Фикс 10.02.25]],2)</f>
        <v>158373.38</v>
      </c>
      <c r="CP39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5513000</v>
      </c>
      <c r="CQ391" s="93">
        <f>ROUNDUP(ППД5[[#This Row],[Стоимость до скидки]]+ППД5[[#This Row],[Сумма доплаты]],-2)</f>
        <v>5479800</v>
      </c>
      <c r="CR391" s="68"/>
      <c r="CS391" s="90"/>
      <c r="CT391" s="68">
        <f>ППД5[[#This Row],[Стоимость до скидки]]*ППД5[[#This Row],[Скидка %]]+ППД5[[#This Row],[Скидка фиксированная]]</f>
        <v>0</v>
      </c>
      <c r="CU391" s="3">
        <f>ППД5[[#This Row],[Стоимость ОН без отделки со скидкой]]/ППД5[[#This Row],[Расчетная проектная площадь]]</f>
        <v>158374.03045101982</v>
      </c>
      <c r="CV391" s="3">
        <f>ROUND(ППД5[[#This Row],[Стоимость до скидки]]-ППД5[[#This Row],[Итоговая сумма скидки]],2)</f>
        <v>5513000</v>
      </c>
      <c r="CW39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91" s="197"/>
      <c r="CY391" s="332">
        <f>ППД5[[#This Row],[Расхождение]]/ППД5[[#This Row],[Расчетная проектная площадь]]</f>
        <v>-6.0327492099973559E-3</v>
      </c>
      <c r="CZ39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-4.9999999999998934E-2</v>
      </c>
      <c r="DA391" s="3">
        <f>ППД5[[#This Row],[Цена м2 без отделки со скидкой]]+ППД5[[#This Row],[Стоимость отделки]]</f>
        <v>158374.03045101982</v>
      </c>
      <c r="DB391" s="3">
        <f>ППД5[[#This Row],[Стоимость квартиры с отделкой]]-ППД5[[#This Row],[Стоимость ОН без отделки со скидкой]]</f>
        <v>0</v>
      </c>
      <c r="DC391" s="3">
        <f>ППД5[[#This Row],[Цена м2 с отделкой]]*ППД5[[#This Row],[Расчетная проектная площадь]]</f>
        <v>5513000</v>
      </c>
      <c r="DD391" s="3" t="s">
        <v>154</v>
      </c>
      <c r="DF391" s="155" t="s">
        <v>157</v>
      </c>
      <c r="DG391" s="221" t="s">
        <v>157</v>
      </c>
      <c r="DH391" s="100" t="b">
        <f>EXACT(ППД5[[#This Row],[Статусы CRM]],ППД5[[#This Row],[Статус]])</f>
        <v>1</v>
      </c>
      <c r="DI391" s="213" t="s">
        <v>563</v>
      </c>
      <c r="DJ391" s="204"/>
      <c r="DK391" s="111" t="s">
        <v>763</v>
      </c>
      <c r="DL391" s="216" t="s">
        <v>12</v>
      </c>
      <c r="DM391" s="201" t="b">
        <f>ППД5[[#This Row],[Отделка CRM]]=ППД5[[#This Row],[Отделка]]</f>
        <v>1</v>
      </c>
      <c r="DN391" s="203">
        <v>5513000</v>
      </c>
      <c r="DO39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91" s="207" t="b">
        <f>IF(AND(ППД5[[#This Row],[Статус]]="свободно",ППД5[[#This Row],[Итоговая сумма скидки]]&lt;&gt;0),FALSE,TRUE)</f>
        <v>1</v>
      </c>
      <c r="DQ391" s="240" t="str">
        <f>_xlfn.XLOOKUP(ППД5[[#This Row],[№]],Юрист[№ кв],Юрист[Дата подачи на регистрацию]," ",0,-1)</f>
        <v xml:space="preserve"> </v>
      </c>
      <c r="DR391" s="115" t="str">
        <f>_xlfn.XLOOKUP(ППД5[[#This Row],[№]],Юрист[№ кв],Юрист[МОП],"",0,-1)</f>
        <v/>
      </c>
      <c r="DS391" s="333" t="s">
        <v>3074</v>
      </c>
      <c r="DT391" s="333" t="s">
        <v>3075</v>
      </c>
      <c r="DU391" s="333">
        <v>33.299999999999997</v>
      </c>
      <c r="DV391" s="111"/>
    </row>
    <row r="392" spans="1:126" hidden="1" x14ac:dyDescent="0.25">
      <c r="A392" s="112">
        <v>390</v>
      </c>
      <c r="B392" s="111" t="s">
        <v>2</v>
      </c>
      <c r="C392" s="111">
        <v>1</v>
      </c>
      <c r="D392" s="338">
        <v>1</v>
      </c>
      <c r="E392" s="111">
        <v>0</v>
      </c>
      <c r="F392" s="105">
        <v>13.74</v>
      </c>
      <c r="G392" s="105"/>
      <c r="H392" s="105"/>
      <c r="I392" s="94">
        <f>SUM(ППД5[[#This Row],[Комната 1]:[Комната 3]])</f>
        <v>13.74</v>
      </c>
      <c r="J392" s="105">
        <v>5.84</v>
      </c>
      <c r="K392" s="105">
        <v>3.76</v>
      </c>
      <c r="L392" s="105"/>
      <c r="M392" s="105"/>
      <c r="N392" s="105">
        <v>3.73</v>
      </c>
      <c r="O392" s="105">
        <v>4.6500000000000004</v>
      </c>
      <c r="P392" s="105"/>
      <c r="Q392" s="105"/>
      <c r="R392" s="105">
        <f>SUM(ППД5[[#This Row],[Лоджия 1]:[Лоджия 3]])</f>
        <v>4.6500000000000004</v>
      </c>
      <c r="S392" s="96">
        <f>ROUND(SUM(ППД5[[#This Row],[Площадь по проекту жилая]:[Лоджия 3]]),2)</f>
        <v>31.72</v>
      </c>
      <c r="T392" s="96">
        <f>ROUND(ППД5[[#This Row],[Площадь по проекту(общая)]]-ППД5[[#This Row],[Летние]],2)</f>
        <v>27.07</v>
      </c>
      <c r="U392" s="91">
        <f>ROUND(ППД5[[#This Row],[Площадь по проекту(общая)]]-(SUM(ППД5[[#This Row],[Лоджия 1]:[Лоджия 3]])/2),2)</f>
        <v>29.4</v>
      </c>
      <c r="V392" s="91">
        <f>IF(ППД5[[#This Row],[Статус]]="продажа",ППД5[[#This Row],[Расчетная проектная площадь]],ППД5[[#This Row],[Расчетная ТП площадь]])</f>
        <v>29.399999999999995</v>
      </c>
      <c r="W392" s="91">
        <v>13.7</v>
      </c>
      <c r="X392" s="91"/>
      <c r="Y392" s="91"/>
      <c r="Z392" s="91">
        <f>SUM(ППД5[[#This Row],[ТП Комната 1]:[ТП Комната 3]])</f>
        <v>13.7</v>
      </c>
      <c r="AA392" s="91">
        <v>5.7</v>
      </c>
      <c r="AB392" s="91">
        <v>3.9</v>
      </c>
      <c r="AC392" s="91"/>
      <c r="AD392" s="91"/>
      <c r="AE392" s="91">
        <v>3.8</v>
      </c>
      <c r="AF392" s="91">
        <v>2.2999999999999998</v>
      </c>
      <c r="AG392" s="91"/>
      <c r="AH392" s="91"/>
      <c r="AI392" s="91">
        <f>SUM(ППД5[[#This Row],[ТП Лоджия 1]:[ТП Лоджия 3]])</f>
        <v>2.2999999999999998</v>
      </c>
      <c r="AJ392" s="95">
        <v>4.5999999999999996</v>
      </c>
      <c r="AK392" s="95">
        <f>SUM(ППД5[[#This Row],[Площадь по ТП жилая]:[ТП Лоджия 3]])-ППД5[[#This Row],[ТП Летние]]+ППД5[[#This Row],[кроме того прочая
(без коэффициента)]]</f>
        <v>31.699999999999996</v>
      </c>
      <c r="AL392" s="95">
        <f>ППД5[[#This Row],[ТП Площадь без летних]]+(ППД5[[#This Row],[ТП Летние]])</f>
        <v>29.399999999999995</v>
      </c>
      <c r="AM392" s="95">
        <f>ППД5[[#This Row],[ТП общая S]]-ППД5[[#This Row],[кроме того прочая
(без коэффициента)]]</f>
        <v>27.099999999999994</v>
      </c>
      <c r="AN392" s="95">
        <f>SUM(ППД5[[#This Row],[ТП Кухня]:[ТП Коридор]])</f>
        <v>13.399999999999999</v>
      </c>
      <c r="AO392" s="95">
        <f>ППД5[[#This Row],[Расчетная ТП площадь]]-ППД5[[#This Row],[Расчетная проектная площадь]]</f>
        <v>0</v>
      </c>
      <c r="AP392" s="335">
        <f>ППД5[[#This Row],[Расчетная ТП площадь]]/ППД5[[#This Row],[Расчетная проектная площадь]]-1</f>
        <v>0</v>
      </c>
      <c r="AQ392" s="95">
        <f>ППД5[[#This Row],[% расхождения]]*ППД5[[#This Row],[Стоимость до скидки]]</f>
        <v>0</v>
      </c>
      <c r="AR392" s="91">
        <f>VLOOKUP(ППД5[[#This Row],[№]],наценкад5[],COLUMN(наценкад5[[#This Row],[Цена м2 с учетом всех K]]),0)</f>
        <v>98113.68</v>
      </c>
      <c r="AS392" s="96">
        <f>ППД5[[#This Row],[м2 после К]]*5%</f>
        <v>4905.6840000000002</v>
      </c>
      <c r="AT392" s="96">
        <f>ППД5[[#This Row],[м2 после К]]+ППД5[[#This Row],[Повышение 16.08.23 - 5%]]</f>
        <v>103019.36399999999</v>
      </c>
      <c r="AU392" s="93">
        <f>ППД5[[#This Row],[Фикс 16.08.23]]*3%</f>
        <v>3090.5809199999994</v>
      </c>
      <c r="AV392" s="93">
        <f>ППД5[[#This Row],[Фикс 16.08.23]]+ППД5[[#This Row],[Повышение 29.08.23 - 3%]]</f>
        <v>106109.94491999998</v>
      </c>
      <c r="AW392" s="93">
        <f>ППД5[[#This Row],[Фикс 29.08.23]]*9%</f>
        <v>9549.8950427999971</v>
      </c>
      <c r="AX392" s="93">
        <f>ППД5[[#This Row],[Фикс 29.08.23]]+ППД5[[#This Row],[Повышение 06.09.23 СТ и 1К]]</f>
        <v>115659.83996279998</v>
      </c>
      <c r="AY392" s="93"/>
      <c r="AZ392" s="93">
        <f>ППД5[[#This Row],[Повышение 23.10.23  В4 ]]+ППД5[[#This Row],[Фикс 06.09.23]]</f>
        <v>115659.83996279998</v>
      </c>
      <c r="BA392" s="93"/>
      <c r="BB392" s="93">
        <f>ППД5[[#This Row],[Повышение 8.11.23 1К 5%]]+ППД5[[#This Row],[Фикс 23.10.23]]</f>
        <v>115659.83996279998</v>
      </c>
      <c r="BC392" s="93"/>
      <c r="BD392" s="93">
        <f>ППД5[[#This Row],[Корректировка 24.11.23 - 1К В5, 2К А2, №233]]+ППД5[[#This Row],[Фикс 8.11.23]]</f>
        <v>115659.83996279998</v>
      </c>
      <c r="BE392" s="93">
        <f>ППД5[[#This Row],[Фикс 8.11.24]]*1%</f>
        <v>1156.5983996279997</v>
      </c>
      <c r="BF392" s="93">
        <f>ППД5[[#This Row],[Наценка за отделку 29.12.23 1%]]+ППД5[[#This Row],[Фикс 8.11.24]]</f>
        <v>116816.43836242797</v>
      </c>
      <c r="BG392" s="93">
        <f>ППД5[[#This Row],[Фикс 29.12.23]]*5%</f>
        <v>5840.821918121399</v>
      </c>
      <c r="BH392" s="93">
        <f>ППД5[[#This Row],[Фикс 29.12.23]]+ППД5[[#This Row],[Наценка 10.01.24 5%]]</f>
        <v>122657.26028054937</v>
      </c>
      <c r="BI392" s="93">
        <f>135000-ППД5[[#This Row],[Фикс 10.01.24]]</f>
        <v>12342.739719450634</v>
      </c>
      <c r="BJ392" s="93">
        <f>ППД5[[#This Row],[Наценка 26.02.24 1 Этаж]]+ППД5[[#This Row],[Фикс 10.01.24]]</f>
        <v>135000</v>
      </c>
      <c r="BK392" s="93">
        <f>ППД5[[#This Row],[Фикс 26.02.24]]*3%</f>
        <v>4050</v>
      </c>
      <c r="BL392" s="93">
        <f>ППД5[[#This Row],[Фикс 26.02.24]]+ППД5[[#This Row],[Наценка 06.03.24
СТ, 1К - 3%
2К, 3К - 2%]]</f>
        <v>139050</v>
      </c>
      <c r="BM392" s="93"/>
      <c r="BN392" s="93">
        <f>ППД5[[#This Row],[Фикс 06.03.24]]+ППД5[[#This Row],[Наценка Г2+500]]</f>
        <v>139050</v>
      </c>
      <c r="BO392" s="93"/>
      <c r="BP392" s="93">
        <f>ППД5[[#This Row],[Фикс 13.03.25]]+ППД5[[#This Row],[Наценка 20.03.24
2К, 3К - 2%]]</f>
        <v>139050</v>
      </c>
      <c r="BQ392" s="93"/>
      <c r="BR392" s="93">
        <f>ППД5[[#This Row],[Фикс 20.03.24]]+ППД5[[#This Row],[Наценка 08.04.24 
2К: В3 - 150
3К: Г7 +1000]]</f>
        <v>139050</v>
      </c>
      <c r="BS392" s="93">
        <f>ППД5[[#This Row],[Фикс 08.04.24]]*1%</f>
        <v>1390.5</v>
      </c>
      <c r="BT392" s="93">
        <f>ППД5[[#This Row],[Фикс 08.04.24]]+ППД5[[#This Row],[Наценка 16.05.24 1%
А4,А6,Б3,Б6,Б7,В2,В3,В5,В6,Г1,Г3-Г5]]</f>
        <v>140440.5</v>
      </c>
      <c r="BU392" s="93"/>
      <c r="BV392" s="93">
        <f>ППД5[[#This Row],[Фикс 16.05.24]]+ППД5[[#This Row],[Наценка 24.05.24
1% - Б4, Б5,Г2,Г6
2% - А1,А3,А5,Б2,Г7]]</f>
        <v>140440.5</v>
      </c>
      <c r="BW392" s="93"/>
      <c r="BX392" s="93">
        <f>ППД5[[#This Row],[Наценка 06.06.24
0К: В2,Г3 +0,5%
1К: А7, Б5/4, Г6 +0,5%
3К: В6 +0,5%
1К: А3 +1%]]+ППД5[[#This Row],[Фикс 24.05.24]]</f>
        <v>140440.5</v>
      </c>
      <c r="BY392" s="93"/>
      <c r="BZ392" s="93">
        <f>ППД5[[#This Row],[Фикс 06.06.24]]+ППД5[[#This Row],[13.06.2024
3К - 2%]]</f>
        <v>140440.5</v>
      </c>
      <c r="CA392" s="93">
        <f>1.5%*ППД5[[#This Row],[Фикс 13.06.24]]</f>
        <v>2106.6075000000001</v>
      </c>
      <c r="CB392" s="93">
        <f>ППД5[[#This Row],[02.07.2024: Г3 А1 А3 Б5 Б7 Г2 Г6 Б3 Б4 В3 Г7 2,5% ост 0,5-1,5%]]+ППД5[[#This Row],[Фикс 13.06.24]]</f>
        <v>142547.10750000001</v>
      </c>
      <c r="CC392" s="93"/>
      <c r="CD392" s="93">
        <f>ППД5[[#This Row],[Фикс 02.07.24]]+ППД5[[#This Row],[04.09.2024 +500
0К - Б2; 1К - А3;
2К - А6, Б4, В3, Г5]]</f>
        <v>142547.10750000001</v>
      </c>
      <c r="CE392" s="93"/>
      <c r="CF392" s="93">
        <f>ППД5[[#This Row],[Наценка 16.09.2024
1К: А1,В7,Г6/7,Г8 - 2%
2К: А4,А5,А6,Б1,Б6,Б3/4,В3,В4,Г4,Г5 - 4%
3К: 4%]]+ППД5[[#This Row],[Фикс 04.09.24]]</f>
        <v>142547.10750000001</v>
      </c>
      <c r="CG392" s="93">
        <f>ППД5[[#This Row],[Фикс 16.09.2024]]*4%</f>
        <v>5701.8843000000006</v>
      </c>
      <c r="CH392" s="93">
        <f>ППД5[[#This Row],[Фикс 16.09.2024]]+ППД5[[#This Row],[Наценка 01.11.24
СТ: 4%
1К: 34-40м 5%; 40м+ 8%; МГН 1%
2К: 55-70м 6%; 70-73м 7%; 73-76м 8% 
3К: 5%]]</f>
        <v>148248.99180000002</v>
      </c>
      <c r="CI392" s="93">
        <f>ППД5[[#This Row],[Фикс 01.11.24]]*13%</f>
        <v>19272.368934000002</v>
      </c>
      <c r="CJ392" s="93">
        <f>ППД5[[#This Row],[Наценка 06.11 13%]]+ППД5[[#This Row],[Фикс 01.11.24]]</f>
        <v>167521.36073400002</v>
      </c>
      <c r="CK392" s="93">
        <v>35</v>
      </c>
      <c r="CL392" s="93">
        <f>ППД5[[#This Row],[Фикс 06.11.24]]+ППД5[[#This Row],[Наценка 18.12.24 распределение КВ]]</f>
        <v>167556.36073400002</v>
      </c>
      <c r="CM392" s="93"/>
      <c r="CN392" s="93">
        <f>ППД5[[#This Row],[Фикс 18.12.24]]+ППД5[[#This Row],[Наценка 10.02.25 +1%
1К: А3
2К: Б3, В3]]</f>
        <v>167556.36073400002</v>
      </c>
      <c r="CO392" s="97">
        <f>ROUND(ППД5[[#This Row],[Фикс 10.02.25]],2)</f>
        <v>167556.35999999999</v>
      </c>
      <c r="CP39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4926200</v>
      </c>
      <c r="CQ392" s="93">
        <f>ROUNDUP(ППД5[[#This Row],[Стоимость до скидки]]+ППД5[[#This Row],[Сумма доплаты]],-2)</f>
        <v>4926200</v>
      </c>
      <c r="CR392" s="68"/>
      <c r="CS392" s="90"/>
      <c r="CT392" s="68">
        <f>ППД5[[#This Row],[Стоимость до скидки]]*ППД5[[#This Row],[Скидка %]]+ППД5[[#This Row],[Скидка фиксированная]]</f>
        <v>0</v>
      </c>
      <c r="CU392" s="3">
        <f>ППД5[[#This Row],[Стоимость ОН без отделки со скидкой]]/ППД5[[#This Row],[Расчетная проектная площадь]]</f>
        <v>167557.82312925172</v>
      </c>
      <c r="CV392" s="3">
        <f>ROUND(ППД5[[#This Row],[Стоимость до скидки]]-ППД5[[#This Row],[Итоговая сумма скидки]],2)</f>
        <v>4926200</v>
      </c>
      <c r="CW39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92" s="197"/>
      <c r="CY392" s="332">
        <f>ППД5[[#This Row],[Расхождение]]/ППД5[[#This Row],[Расчетная проектная площадь]]</f>
        <v>0</v>
      </c>
      <c r="CZ39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6.9999999999998508E-2</v>
      </c>
      <c r="DA392" s="3">
        <f>ППД5[[#This Row],[Цена м2 без отделки со скидкой]]+ППД5[[#This Row],[Стоимость отделки]]</f>
        <v>167557.82312925172</v>
      </c>
      <c r="DB392" s="3">
        <f>ППД5[[#This Row],[Стоимость квартиры с отделкой]]-ППД5[[#This Row],[Стоимость ОН без отделки со скидкой]]</f>
        <v>0</v>
      </c>
      <c r="DC392" s="3">
        <f>ППД5[[#This Row],[Цена м2 с отделкой]]*ППД5[[#This Row],[Расчетная проектная площадь]]</f>
        <v>4926200</v>
      </c>
      <c r="DD392" s="98"/>
      <c r="DE392" s="99"/>
      <c r="DF392" s="155" t="s">
        <v>157</v>
      </c>
      <c r="DG392" s="221" t="s">
        <v>157</v>
      </c>
      <c r="DH392" s="100" t="b">
        <f>EXACT(ППД5[[#This Row],[Статусы CRM]],ППД5[[#This Row],[Статус]])</f>
        <v>1</v>
      </c>
      <c r="DI392" s="213" t="s">
        <v>564</v>
      </c>
      <c r="DJ392" s="204"/>
      <c r="DK392" s="111" t="s">
        <v>763</v>
      </c>
      <c r="DL392" s="216" t="s">
        <v>12</v>
      </c>
      <c r="DM392" s="201" t="b">
        <f>ППД5[[#This Row],[Отделка CRM]]=ППД5[[#This Row],[Отделка]]</f>
        <v>1</v>
      </c>
      <c r="DN392" s="203">
        <v>4926200</v>
      </c>
      <c r="DO39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92" s="207" t="b">
        <f>IF(AND(ППД5[[#This Row],[Статус]]="свободно",ППД5[[#This Row],[Итоговая сумма скидки]]&lt;&gt;0),FALSE,TRUE)</f>
        <v>1</v>
      </c>
      <c r="DQ392" s="240" t="str">
        <f>_xlfn.XLOOKUP(ППД5[[#This Row],[№]],Юрист[№ кв],Юрист[Дата подачи на регистрацию]," ",0,-1)</f>
        <v xml:space="preserve"> </v>
      </c>
      <c r="DR392" s="115" t="str">
        <f>_xlfn.XLOOKUP(ППД5[[#This Row],[№]],Юрист[№ кв],Юрист[МОП],"",0,-1)</f>
        <v/>
      </c>
      <c r="DS392" s="333" t="s">
        <v>3076</v>
      </c>
      <c r="DT392" s="333" t="s">
        <v>3077</v>
      </c>
      <c r="DU392" s="333">
        <v>27.1</v>
      </c>
      <c r="DV392" s="111"/>
    </row>
    <row r="393" spans="1:126" hidden="1" x14ac:dyDescent="0.25">
      <c r="A393" s="112">
        <v>391</v>
      </c>
      <c r="B393" s="111" t="s">
        <v>2</v>
      </c>
      <c r="C393" s="111">
        <v>1</v>
      </c>
      <c r="D393" s="115">
        <v>2</v>
      </c>
      <c r="E393" s="111">
        <v>1</v>
      </c>
      <c r="F393" s="105">
        <v>13.17</v>
      </c>
      <c r="G393" s="105"/>
      <c r="H393" s="105"/>
      <c r="I393" s="94">
        <f>SUM(ППД5[[#This Row],[Комната 1]:[Комната 3]])</f>
        <v>13.17</v>
      </c>
      <c r="J393" s="105">
        <v>16.940000000000001</v>
      </c>
      <c r="K393" s="105">
        <v>3.55</v>
      </c>
      <c r="L393" s="105">
        <v>2.41</v>
      </c>
      <c r="M393" s="105"/>
      <c r="N393" s="105">
        <v>5.8</v>
      </c>
      <c r="O393" s="105">
        <v>2.68</v>
      </c>
      <c r="P393" s="105"/>
      <c r="Q393" s="105"/>
      <c r="R393" s="105">
        <f>SUM(ППД5[[#This Row],[Лоджия 1]:[Лоджия 3]])</f>
        <v>2.68</v>
      </c>
      <c r="S393" s="96">
        <f>ROUND(SUM(ППД5[[#This Row],[Площадь по проекту жилая]:[Лоджия 3]]),2)</f>
        <v>44.55</v>
      </c>
      <c r="T393" s="96">
        <f>ROUND(ППД5[[#This Row],[Площадь по проекту(общая)]]-ППД5[[#This Row],[Летние]],2)</f>
        <v>41.87</v>
      </c>
      <c r="U393" s="91">
        <f>ROUND(ППД5[[#This Row],[Площадь по проекту(общая)]]-(SUM(ППД5[[#This Row],[Лоджия 1]:[Лоджия 3]])/2),2)</f>
        <v>43.21</v>
      </c>
      <c r="V393" s="91">
        <f>IF(ППД5[[#This Row],[Статус]]="продажа",ППД5[[#This Row],[Расчетная проектная площадь]],ППД5[[#This Row],[Расчетная ТП площадь]])</f>
        <v>43.21</v>
      </c>
      <c r="W393" s="91">
        <v>13.1</v>
      </c>
      <c r="X393" s="91"/>
      <c r="Y393" s="91"/>
      <c r="Z393" s="91">
        <f>SUM(ППД5[[#This Row],[ТП Комната 1]:[ТП Комната 3]])</f>
        <v>13.1</v>
      </c>
      <c r="AA393" s="91">
        <v>16.899999999999999</v>
      </c>
      <c r="AB393" s="91">
        <v>2.2000000000000002</v>
      </c>
      <c r="AC393" s="91">
        <v>3.3</v>
      </c>
      <c r="AD393" s="91"/>
      <c r="AE393" s="91">
        <v>5.8</v>
      </c>
      <c r="AF393" s="91">
        <v>1.3</v>
      </c>
      <c r="AG393" s="91"/>
      <c r="AH393" s="91"/>
      <c r="AI393" s="91">
        <f>SUM(ППД5[[#This Row],[ТП Лоджия 1]:[ТП Лоджия 3]])</f>
        <v>1.3</v>
      </c>
      <c r="AJ393" s="95">
        <v>2.6</v>
      </c>
      <c r="AK393" s="95">
        <f>SUM(ППД5[[#This Row],[Площадь по ТП жилая]:[ТП Лоджия 3]])-ППД5[[#This Row],[ТП Летние]]+ППД5[[#This Row],[кроме того прочая
(без коэффициента)]]</f>
        <v>43.9</v>
      </c>
      <c r="AL393" s="95">
        <f>ППД5[[#This Row],[ТП Площадь без летних]]+(ППД5[[#This Row],[ТП Летние]])</f>
        <v>42.599999999999994</v>
      </c>
      <c r="AM393" s="95">
        <f>ППД5[[#This Row],[ТП общая S]]-ППД5[[#This Row],[кроме того прочая
(без коэффициента)]]</f>
        <v>41.3</v>
      </c>
      <c r="AN393" s="95">
        <f>SUM(ППД5[[#This Row],[ТП Кухня]:[ТП Коридор]])</f>
        <v>28.2</v>
      </c>
      <c r="AO393" s="95">
        <f>ППД5[[#This Row],[Расчетная ТП площадь]]-ППД5[[#This Row],[Расчетная проектная площадь]]</f>
        <v>-0.61000000000000654</v>
      </c>
      <c r="AP393" s="335">
        <f>ППД5[[#This Row],[Расчетная ТП площадь]]/ППД5[[#This Row],[Расчетная проектная площадь]]-1</f>
        <v>-1.4117102522564373E-2</v>
      </c>
      <c r="AQ393" s="95">
        <f>ППД5[[#This Row],[% расхождения]]*ППД5[[#This Row],[Стоимость до скидки]]</f>
        <v>-51952.559338116735</v>
      </c>
      <c r="AR393" s="91">
        <f>VLOOKUP(ППД5[[#This Row],[№]],наценкад5[],COLUMN(наценкад5[[#This Row],[Цена м2 с учетом всех K]]),0)</f>
        <v>85168.125</v>
      </c>
      <c r="AS393" s="96"/>
      <c r="AT393" s="96">
        <f>ППД5[[#This Row],[м2 после К]]+ППД5[[#This Row],[Повышение 16.08.23 - 5%]]</f>
        <v>85168.125</v>
      </c>
      <c r="AU393" s="93"/>
      <c r="AV393" s="93">
        <f>ППД5[[#This Row],[Фикс 16.08.23]]+ППД5[[#This Row],[Повышение 29.08.23 - 3%]]</f>
        <v>85168.125</v>
      </c>
      <c r="AW393" s="93"/>
      <c r="AX393" s="93">
        <f>ППД5[[#This Row],[Фикс 29.08.23]]+ППД5[[#This Row],[Повышение 06.09.23 СТ и 1К]]</f>
        <v>85168.125</v>
      </c>
      <c r="AY393" s="93"/>
      <c r="AZ393" s="93">
        <f>ППД5[[#This Row],[Повышение 23.10.23  В4 ]]+ППД5[[#This Row],[Фикс 06.09.23]]</f>
        <v>85168.125</v>
      </c>
      <c r="BA393" s="93"/>
      <c r="BB393" s="93">
        <f>ППД5[[#This Row],[Повышение 8.11.23 1К 5%]]+ППД5[[#This Row],[Фикс 23.10.23]]</f>
        <v>85168.125</v>
      </c>
      <c r="BC393" s="93"/>
      <c r="BD393" s="93">
        <f>ППД5[[#This Row],[Корректировка 24.11.23 - 1К В5, 2К А2, №233]]+ППД5[[#This Row],[Фикс 8.11.23]]</f>
        <v>85168.125</v>
      </c>
      <c r="BE393" s="93"/>
      <c r="BF393" s="93">
        <f>ППД5[[#This Row],[Наценка за отделку 29.12.23 1%]]+ППД5[[#This Row],[Фикс 8.11.24]]</f>
        <v>85168.125</v>
      </c>
      <c r="BG393" s="93"/>
      <c r="BH393" s="93">
        <f>ППД5[[#This Row],[Фикс 29.12.23]]+ППД5[[#This Row],[Наценка 10.01.24 5%]]</f>
        <v>85168.125</v>
      </c>
      <c r="BI393" s="93"/>
      <c r="BJ393" s="93">
        <f>ППД5[[#This Row],[Наценка 26.02.24 1 Этаж]]+ППД5[[#This Row],[Фикс 10.01.24]]</f>
        <v>85168.125</v>
      </c>
      <c r="BK393" s="93"/>
      <c r="BL393" s="93">
        <f>ППД5[[#This Row],[Фикс 26.02.24]]+ППД5[[#This Row],[Наценка 06.03.24
СТ, 1К - 3%
2К, 3К - 2%]]</f>
        <v>85168.125</v>
      </c>
      <c r="BM393" s="93"/>
      <c r="BN393" s="93">
        <f>ППД5[[#This Row],[Фикс 06.03.24]]+ППД5[[#This Row],[Наценка Г2+500]]</f>
        <v>85168.125</v>
      </c>
      <c r="BO393" s="93"/>
      <c r="BP393" s="93">
        <f>ППД5[[#This Row],[Фикс 13.03.25]]+ППД5[[#This Row],[Наценка 20.03.24
2К, 3К - 2%]]</f>
        <v>85168.125</v>
      </c>
      <c r="BQ393" s="93"/>
      <c r="BR393" s="93">
        <f>ППД5[[#This Row],[Фикс 20.03.24]]+ППД5[[#This Row],[Наценка 08.04.24 
2К: В3 - 150
3К: Г7 +1000]]</f>
        <v>85168.125</v>
      </c>
      <c r="BS393" s="93"/>
      <c r="BT393" s="93">
        <f>ППД5[[#This Row],[Фикс 08.04.24]]+ППД5[[#This Row],[Наценка 16.05.24 1%
А4,А6,Б3,Б6,Б7,В2,В3,В5,В6,Г1,Г3-Г5]]</f>
        <v>85168.125</v>
      </c>
      <c r="BU393" s="93"/>
      <c r="BV393" s="93">
        <f>ППД5[[#This Row],[Фикс 16.05.24]]+ППД5[[#This Row],[Наценка 24.05.24
1% - Б4, Б5,Г2,Г6
2% - А1,А3,А5,Б2,Г7]]</f>
        <v>85168.125</v>
      </c>
      <c r="BW393" s="93"/>
      <c r="BX393" s="93">
        <f>ППД5[[#This Row],[Наценка 06.06.24
0К: В2,Г3 +0,5%
1К: А7, Б5/4, Г6 +0,5%
3К: В6 +0,5%
1К: А3 +1%]]+ППД5[[#This Row],[Фикс 24.05.24]]</f>
        <v>85168.125</v>
      </c>
      <c r="BY393" s="93"/>
      <c r="BZ393" s="93">
        <f>ППД5[[#This Row],[Фикс 06.06.24]]+ППД5[[#This Row],[13.06.2024
3К - 2%]]</f>
        <v>85168.125</v>
      </c>
      <c r="CA393" s="93"/>
      <c r="CB393" s="93">
        <f>ППД5[[#This Row],[02.07.2024: Г3 А1 А3 Б5 Б7 Г2 Г6 Б3 Б4 В3 Г7 2,5% ост 0,5-1,5%]]+ППД5[[#This Row],[Фикс 13.06.24]]</f>
        <v>85168.125</v>
      </c>
      <c r="CC393" s="93"/>
      <c r="CD393" s="93">
        <f>ППД5[[#This Row],[Фикс 02.07.24]]+ППД5[[#This Row],[04.09.2024 +500
0К - Б2; 1К - А3;
2К - А6, Б4, В3, Г5]]</f>
        <v>85168.125</v>
      </c>
      <c r="CE393" s="93"/>
      <c r="CF393" s="93">
        <f>ППД5[[#This Row],[Наценка 16.09.2024
1К: А1,В7,Г6/7,Г8 - 2%
2К: А4,А5,А6,Б1,Б6,Б3/4,В3,В4,Г4,Г5 - 4%
3К: 4%]]+ППД5[[#This Row],[Фикс 04.09.24]]</f>
        <v>85168.125</v>
      </c>
      <c r="CG393" s="93"/>
      <c r="CH393" s="93">
        <f>ППД5[[#This Row],[Фикс 16.09.2024]]+ППД5[[#This Row],[Наценка 01.11.24
СТ: 4%
1К: 34-40м 5%; 40м+ 8%; МГН 1%
2К: 55-70м 6%; 70-73м 7%; 73-76м 8% 
3К: 5%]]</f>
        <v>85168.125</v>
      </c>
      <c r="CI393" s="93"/>
      <c r="CJ393" s="93">
        <f>ППД5[[#This Row],[Наценка 06.11 13%]]+ППД5[[#This Row],[Фикс 01.11.24]]</f>
        <v>85168.125</v>
      </c>
      <c r="CK393" s="93"/>
      <c r="CL393" s="93">
        <f>ППД5[[#This Row],[Фикс 06.11.24]]+ППД5[[#This Row],[Наценка 18.12.24 распределение КВ]]</f>
        <v>85168.125</v>
      </c>
      <c r="CM393" s="93"/>
      <c r="CN393" s="93">
        <f>ППД5[[#This Row],[Фикс 18.12.24]]+ППД5[[#This Row],[Наценка 10.02.25 +1%
1К: А3
2К: Б3, В3]]</f>
        <v>85168.125</v>
      </c>
      <c r="CO393" s="97">
        <f>ROUND(ППД5[[#This Row],[Фикс 10.02.25]],2)</f>
        <v>85168.13</v>
      </c>
      <c r="CP39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3680114.9</v>
      </c>
      <c r="CQ393" s="93">
        <f>ROUNDUP(ППД5[[#This Row],[Стоимость до скидки]]+ППД5[[#This Row],[Сумма доплаты]],-2)</f>
        <v>3628200</v>
      </c>
      <c r="CR393" s="68"/>
      <c r="CS393" s="90">
        <v>0.06</v>
      </c>
      <c r="CT393" s="68">
        <f>ППД5[[#This Row],[Стоимость до скидки]]*ППД5[[#This Row],[Скидка %]]+ППД5[[#This Row],[Скидка фиксированная]]</f>
        <v>220806.894</v>
      </c>
      <c r="CU393" s="3">
        <f>ППД5[[#This Row],[Стоимость ОН без отделки со скидкой]]/ППД5[[#This Row],[Расчетная проектная площадь]]</f>
        <v>80058.042351307566</v>
      </c>
      <c r="CV393" s="3">
        <f>ROUND(ППД5[[#This Row],[Стоимость до скидки]]-ППД5[[#This Row],[Итоговая сумма скидки]],2)</f>
        <v>3459308.01</v>
      </c>
      <c r="CW39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393" s="197">
        <v>4500</v>
      </c>
      <c r="CY393" s="332">
        <f>ППД5[[#This Row],[Расхождение]]/ППД5[[#This Row],[Расчетная проектная площадь]]</f>
        <v>-1.4117102522564371E-2</v>
      </c>
      <c r="CZ39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-0.50000000000000355</v>
      </c>
      <c r="DA393" s="3">
        <f>ППД5[[#This Row],[Цена м2 без отделки со скидкой]]+ППД5[[#This Row],[Стоимость отделки]]</f>
        <v>84558.042351307566</v>
      </c>
      <c r="DB393" s="3">
        <f>ППД5[[#This Row],[Стоимость квартиры с отделкой]]-ППД5[[#This Row],[Стоимость ОН без отделки со скидкой]]</f>
        <v>194445</v>
      </c>
      <c r="DC393" s="3">
        <f>ППД5[[#This Row],[Цена м2 с отделкой]]*ППД5[[#This Row],[Расчетная проектная площадь]]</f>
        <v>3653753.01</v>
      </c>
      <c r="DD393" s="98"/>
      <c r="DE393" s="111" t="s">
        <v>162</v>
      </c>
      <c r="DF393" s="199" t="s">
        <v>172</v>
      </c>
      <c r="DG393" s="245" t="s">
        <v>172</v>
      </c>
      <c r="DH393" s="100" t="b">
        <f>EXACT(ППД5[[#This Row],[Статусы CRM]],ППД5[[#This Row],[Статус]])</f>
        <v>1</v>
      </c>
      <c r="DI393" s="213" t="s">
        <v>565</v>
      </c>
      <c r="DJ393" s="204"/>
      <c r="DK393" s="111" t="s">
        <v>76</v>
      </c>
      <c r="DL393" s="216" t="s">
        <v>13</v>
      </c>
      <c r="DM393" s="201" t="b">
        <f>ППД5[[#This Row],[Отделка CRM]]=ППД5[[#This Row],[Отделка]]</f>
        <v>1</v>
      </c>
      <c r="DN393" s="203">
        <v>3653753.01</v>
      </c>
      <c r="DO39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93" s="207" t="b">
        <f>IF(AND(ППД5[[#This Row],[Статус]]="свободно",ППД5[[#This Row],[Итоговая сумма скидки]]&lt;&gt;0),FALSE,TRUE)</f>
        <v>1</v>
      </c>
      <c r="DQ393" s="240">
        <f>_xlfn.XLOOKUP(ППД5[[#This Row],[№]],Юрист[№ кв],Юрист[Дата подачи на регистрацию]," ",0,-1)</f>
        <v>45328</v>
      </c>
      <c r="DR393" s="115" t="str">
        <f>_xlfn.XLOOKUP(ППД5[[#This Row],[№]],Юрист[№ кв],Юрист[МОП],"",0,-1)</f>
        <v>Никишов</v>
      </c>
      <c r="DS393" s="333" t="s">
        <v>3078</v>
      </c>
      <c r="DT393" s="333" t="s">
        <v>3079</v>
      </c>
      <c r="DU393" s="333">
        <v>41.3</v>
      </c>
      <c r="DV393" s="111" t="s">
        <v>844</v>
      </c>
    </row>
    <row r="394" spans="1:126" hidden="1" x14ac:dyDescent="0.25">
      <c r="A394" s="112">
        <v>392</v>
      </c>
      <c r="B394" s="111" t="s">
        <v>2</v>
      </c>
      <c r="C394" s="111">
        <v>1</v>
      </c>
      <c r="D394" s="115">
        <v>3</v>
      </c>
      <c r="E394" s="111">
        <v>0</v>
      </c>
      <c r="F394" s="105">
        <v>7.2</v>
      </c>
      <c r="G394" s="105"/>
      <c r="H394" s="105"/>
      <c r="I394" s="94">
        <f>SUM(ППД5[[#This Row],[Комната 1]:[Комната 3]])</f>
        <v>7.2</v>
      </c>
      <c r="J394" s="105">
        <v>5.17</v>
      </c>
      <c r="K394" s="105">
        <v>3.71</v>
      </c>
      <c r="L394" s="105"/>
      <c r="M394" s="105"/>
      <c r="N394" s="105">
        <v>6.96</v>
      </c>
      <c r="O394" s="105">
        <v>2.92</v>
      </c>
      <c r="P394" s="105"/>
      <c r="Q394" s="105"/>
      <c r="R394" s="105">
        <f>SUM(ППД5[[#This Row],[Лоджия 1]:[Лоджия 3]])</f>
        <v>2.92</v>
      </c>
      <c r="S394" s="96">
        <f>ROUND(SUM(ППД5[[#This Row],[Площадь по проекту жилая]:[Лоджия 3]]),2)</f>
        <v>25.96</v>
      </c>
      <c r="T394" s="96">
        <f>ROUND(ППД5[[#This Row],[Площадь по проекту(общая)]]-ППД5[[#This Row],[Летние]],2)</f>
        <v>23.04</v>
      </c>
      <c r="U394" s="91">
        <f>ROUND(ППД5[[#This Row],[Площадь по проекту(общая)]]-(SUM(ППД5[[#This Row],[Лоджия 1]:[Лоджия 3]])/2),2)</f>
        <v>24.5</v>
      </c>
      <c r="V394" s="91">
        <f>IF(ППД5[[#This Row],[Статус]]="продажа",ППД5[[#This Row],[Расчетная проектная площадь]],ППД5[[#This Row],[Расчетная ТП площадь]])</f>
        <v>24.5</v>
      </c>
      <c r="W394" s="91">
        <v>7.2</v>
      </c>
      <c r="X394" s="91"/>
      <c r="Y394" s="91"/>
      <c r="Z394" s="91">
        <f>SUM(ППД5[[#This Row],[ТП Комната 1]:[ТП Комната 3]])</f>
        <v>7.2</v>
      </c>
      <c r="AA394" s="91">
        <v>5.6</v>
      </c>
      <c r="AB394" s="91">
        <v>3.6</v>
      </c>
      <c r="AC394" s="91"/>
      <c r="AD394" s="91"/>
      <c r="AE394" s="91">
        <v>7</v>
      </c>
      <c r="AF394" s="92">
        <v>1.25</v>
      </c>
      <c r="AG394" s="91"/>
      <c r="AH394" s="91"/>
      <c r="AI394" s="91">
        <f>SUM(ППД5[[#This Row],[ТП Лоджия 1]:[ТП Лоджия 3]])</f>
        <v>1.25</v>
      </c>
      <c r="AJ394" s="95">
        <v>2.5</v>
      </c>
      <c r="AK394" s="95">
        <f>SUM(ППД5[[#This Row],[Площадь по ТП жилая]:[ТП Лоджия 3]])-ППД5[[#This Row],[ТП Летние]]+ППД5[[#This Row],[кроме того прочая
(без коэффициента)]]</f>
        <v>25.900000000000002</v>
      </c>
      <c r="AL394" s="95">
        <f>ППД5[[#This Row],[ТП Площадь без летних]]+(ППД5[[#This Row],[ТП Летние]])</f>
        <v>24.650000000000002</v>
      </c>
      <c r="AM394" s="95">
        <f>ППД5[[#This Row],[ТП общая S]]-ППД5[[#This Row],[кроме того прочая
(без коэффициента)]]</f>
        <v>23.400000000000002</v>
      </c>
      <c r="AN394" s="95">
        <f>SUM(ППД5[[#This Row],[ТП Кухня]:[ТП Коридор]])</f>
        <v>16.2</v>
      </c>
      <c r="AO394" s="95">
        <f>ППД5[[#This Row],[Расчетная ТП площадь]]-ППД5[[#This Row],[Расчетная проектная площадь]]</f>
        <v>0.15000000000000213</v>
      </c>
      <c r="AP394" s="335">
        <f>ППД5[[#This Row],[Расчетная ТП площадь]]/ППД5[[#This Row],[Расчетная проектная площадь]]-1</f>
        <v>6.1224489795919101E-3</v>
      </c>
      <c r="AQ394" s="95">
        <f>ППД5[[#This Row],[% расхождения]]*ППД5[[#This Row],[Стоимость до скидки]]</f>
        <v>16200.71553061244</v>
      </c>
      <c r="AR394" s="91">
        <f>VLOOKUP(ППД5[[#This Row],[№]],наценкад5[],COLUMN(наценкад5[[#This Row],[Цена м2 с учетом всех K]]),0)</f>
        <v>99865.71</v>
      </c>
      <c r="AS394" s="96">
        <f>ППД5[[#This Row],[м2 после К]]*5%</f>
        <v>4993.2855000000009</v>
      </c>
      <c r="AT394" s="96">
        <f>ППД5[[#This Row],[м2 после К]]+ППД5[[#This Row],[Повышение 16.08.23 - 5%]]</f>
        <v>104858.9955</v>
      </c>
      <c r="AU394" s="93">
        <f>ППД5[[#This Row],[Фикс 16.08.23]]*3%</f>
        <v>3145.7698650000002</v>
      </c>
      <c r="AV394" s="93">
        <f>ППД5[[#This Row],[Фикс 16.08.23]]+ППД5[[#This Row],[Повышение 29.08.23 - 3%]]</f>
        <v>108004.765365</v>
      </c>
      <c r="AW394" s="93"/>
      <c r="AX394" s="93">
        <f>ППД5[[#This Row],[Фикс 29.08.23]]+ППД5[[#This Row],[Повышение 06.09.23 СТ и 1К]]</f>
        <v>108004.765365</v>
      </c>
      <c r="AY394" s="93"/>
      <c r="AZ394" s="93">
        <f>ППД5[[#This Row],[Повышение 23.10.23  В4 ]]+ППД5[[#This Row],[Фикс 06.09.23]]</f>
        <v>108004.765365</v>
      </c>
      <c r="BA394" s="93"/>
      <c r="BB394" s="93">
        <f>ППД5[[#This Row],[Повышение 8.11.23 1К 5%]]+ППД5[[#This Row],[Фикс 23.10.23]]</f>
        <v>108004.765365</v>
      </c>
      <c r="BC394" s="93"/>
      <c r="BD394" s="93">
        <f>ППД5[[#This Row],[Корректировка 24.11.23 - 1К В5, 2К А2, №233]]+ППД5[[#This Row],[Фикс 8.11.23]]</f>
        <v>108004.765365</v>
      </c>
      <c r="BE394" s="93"/>
      <c r="BF394" s="93">
        <f>ППД5[[#This Row],[Наценка за отделку 29.12.23 1%]]+ППД5[[#This Row],[Фикс 8.11.24]]</f>
        <v>108004.765365</v>
      </c>
      <c r="BG394" s="93"/>
      <c r="BH394" s="93">
        <f>ППД5[[#This Row],[Фикс 29.12.23]]+ППД5[[#This Row],[Наценка 10.01.24 5%]]</f>
        <v>108004.765365</v>
      </c>
      <c r="BI394" s="93"/>
      <c r="BJ394" s="93">
        <f>ППД5[[#This Row],[Наценка 26.02.24 1 Этаж]]+ППД5[[#This Row],[Фикс 10.01.24]]</f>
        <v>108004.765365</v>
      </c>
      <c r="BK394" s="93"/>
      <c r="BL394" s="93">
        <f>ППД5[[#This Row],[Фикс 26.02.24]]+ППД5[[#This Row],[Наценка 06.03.24
СТ, 1К - 3%
2К, 3К - 2%]]</f>
        <v>108004.765365</v>
      </c>
      <c r="BM394" s="93"/>
      <c r="BN394" s="93">
        <f>ППД5[[#This Row],[Фикс 06.03.24]]+ППД5[[#This Row],[Наценка Г2+500]]</f>
        <v>108004.765365</v>
      </c>
      <c r="BO394" s="93"/>
      <c r="BP394" s="93">
        <f>ППД5[[#This Row],[Фикс 13.03.25]]+ППД5[[#This Row],[Наценка 20.03.24
2К, 3К - 2%]]</f>
        <v>108004.765365</v>
      </c>
      <c r="BQ394" s="93"/>
      <c r="BR394" s="93">
        <f>ППД5[[#This Row],[Фикс 20.03.24]]+ППД5[[#This Row],[Наценка 08.04.24 
2К: В3 - 150
3К: Г7 +1000]]</f>
        <v>108004.765365</v>
      </c>
      <c r="BS394" s="93"/>
      <c r="BT394" s="93">
        <f>ППД5[[#This Row],[Фикс 08.04.24]]+ППД5[[#This Row],[Наценка 16.05.24 1%
А4,А6,Б3,Б6,Б7,В2,В3,В5,В6,Г1,Г3-Г5]]</f>
        <v>108004.765365</v>
      </c>
      <c r="BU394" s="93"/>
      <c r="BV394" s="93">
        <f>ППД5[[#This Row],[Фикс 16.05.24]]+ППД5[[#This Row],[Наценка 24.05.24
1% - Б4, Б5,Г2,Г6
2% - А1,А3,А5,Б2,Г7]]</f>
        <v>108004.765365</v>
      </c>
      <c r="BW394" s="93"/>
      <c r="BX394" s="93">
        <f>ППД5[[#This Row],[Наценка 06.06.24
0К: В2,Г3 +0,5%
1К: А7, Б5/4, Г6 +0,5%
3К: В6 +0,5%
1К: А3 +1%]]+ППД5[[#This Row],[Фикс 24.05.24]]</f>
        <v>108004.765365</v>
      </c>
      <c r="BY394" s="93"/>
      <c r="BZ394" s="93">
        <f>ППД5[[#This Row],[Фикс 06.06.24]]+ППД5[[#This Row],[13.06.2024
3К - 2%]]</f>
        <v>108004.765365</v>
      </c>
      <c r="CA394" s="93"/>
      <c r="CB394" s="93">
        <f>ППД5[[#This Row],[02.07.2024: Г3 А1 А3 Б5 Б7 Г2 Г6 Б3 Б4 В3 Г7 2,5% ост 0,5-1,5%]]+ППД5[[#This Row],[Фикс 13.06.24]]</f>
        <v>108004.765365</v>
      </c>
      <c r="CC394" s="93"/>
      <c r="CD394" s="93">
        <f>ППД5[[#This Row],[Фикс 02.07.24]]+ППД5[[#This Row],[04.09.2024 +500
0К - Б2; 1К - А3;
2К - А6, Б4, В3, Г5]]</f>
        <v>108004.765365</v>
      </c>
      <c r="CE394" s="93"/>
      <c r="CF394" s="93">
        <f>ППД5[[#This Row],[Наценка 16.09.2024
1К: А1,В7,Г6/7,Г8 - 2%
2К: А4,А5,А6,Б1,Б6,Б3/4,В3,В4,Г4,Г5 - 4%
3К: 4%]]+ППД5[[#This Row],[Фикс 04.09.24]]</f>
        <v>108004.765365</v>
      </c>
      <c r="CG394" s="93"/>
      <c r="CH394" s="93">
        <f>ППД5[[#This Row],[Фикс 16.09.2024]]+ППД5[[#This Row],[Наценка 01.11.24
СТ: 4%
1К: 34-40м 5%; 40м+ 8%; МГН 1%
2К: 55-70м 6%; 70-73м 7%; 73-76м 8% 
3К: 5%]]</f>
        <v>108004.765365</v>
      </c>
      <c r="CI394" s="93"/>
      <c r="CJ394" s="93">
        <f>ППД5[[#This Row],[Наценка 06.11 13%]]+ППД5[[#This Row],[Фикс 01.11.24]]</f>
        <v>108004.765365</v>
      </c>
      <c r="CK394" s="93"/>
      <c r="CL394" s="93">
        <f>ППД5[[#This Row],[Фикс 06.11.24]]+ППД5[[#This Row],[Наценка 18.12.24 распределение КВ]]</f>
        <v>108004.765365</v>
      </c>
      <c r="CM394" s="93"/>
      <c r="CN394" s="93">
        <f>ППД5[[#This Row],[Фикс 18.12.24]]+ППД5[[#This Row],[Наценка 10.02.25 +1%
1К: А3
2К: Б3, В3]]</f>
        <v>108004.765365</v>
      </c>
      <c r="CO394" s="97">
        <f>ROUND(ППД5[[#This Row],[Фикс 10.02.25]],2)</f>
        <v>108004.77</v>
      </c>
      <c r="CP39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2646116.87</v>
      </c>
      <c r="CQ394" s="93">
        <f>ROUNDUP(ППД5[[#This Row],[Стоимость до скидки]]+ППД5[[#This Row],[Сумма доплаты]],-2)</f>
        <v>2662400</v>
      </c>
      <c r="CR394" s="68"/>
      <c r="CS394" s="90"/>
      <c r="CT394" s="68">
        <f>ППД5[[#This Row],[Стоимость до скидки]]*ППД5[[#This Row],[Скидка %]]+ППД5[[#This Row],[Скидка фиксированная]]</f>
        <v>0</v>
      </c>
      <c r="CU394" s="3">
        <f>ППД5[[#This Row],[Стоимость ОН без отделки со скидкой]]/ППД5[[#This Row],[Расчетная проектная площадь]]</f>
        <v>108004.77020408164</v>
      </c>
      <c r="CV394" s="3">
        <f>ROUND(ППД5[[#This Row],[Стоимость до скидки]]-ППД5[[#This Row],[Итоговая сумма скидки]],2)</f>
        <v>2646116.87</v>
      </c>
      <c r="CW39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394" s="197">
        <v>5000</v>
      </c>
      <c r="CY394" s="332">
        <f>ППД5[[#This Row],[Расхождение]]/ППД5[[#This Row],[Расчетная проектная площадь]]</f>
        <v>6.122448979591924E-3</v>
      </c>
      <c r="CZ39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0.35999999999999854</v>
      </c>
      <c r="DA394" s="3">
        <f>ППД5[[#This Row],[Цена м2 без отделки со скидкой]]+ППД5[[#This Row],[Стоимость отделки]]</f>
        <v>113004.77020408164</v>
      </c>
      <c r="DB394" s="3">
        <f>ППД5[[#This Row],[Стоимость квартиры с отделкой]]-ППД5[[#This Row],[Стоимость ОН без отделки со скидкой]]</f>
        <v>122500</v>
      </c>
      <c r="DC394" s="3">
        <f>ППД5[[#This Row],[Цена м2 с отделкой]]*ППД5[[#This Row],[Расчетная проектная площадь]]</f>
        <v>2768616.87</v>
      </c>
      <c r="DD394" s="98"/>
      <c r="DE394" s="99"/>
      <c r="DF394" s="199" t="s">
        <v>172</v>
      </c>
      <c r="DG394" s="245" t="s">
        <v>172</v>
      </c>
      <c r="DH394" s="100" t="b">
        <f>EXACT(ППД5[[#This Row],[Статусы CRM]],ППД5[[#This Row],[Статус]])</f>
        <v>1</v>
      </c>
      <c r="DI394" s="213" t="s">
        <v>566</v>
      </c>
      <c r="DJ394" s="204"/>
      <c r="DK394" s="111" t="s">
        <v>76</v>
      </c>
      <c r="DL394" s="216" t="s">
        <v>13</v>
      </c>
      <c r="DM394" s="201" t="b">
        <f>ППД5[[#This Row],[Отделка CRM]]=ППД5[[#This Row],[Отделка]]</f>
        <v>1</v>
      </c>
      <c r="DN394" s="203">
        <v>2768616.87</v>
      </c>
      <c r="DO39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94" s="207" t="b">
        <f>IF(AND(ППД5[[#This Row],[Статус]]="свободно",ППД5[[#This Row],[Итоговая сумма скидки]]&lt;&gt;0),FALSE,TRUE)</f>
        <v>1</v>
      </c>
      <c r="DQ394" s="240">
        <f>_xlfn.XLOOKUP(ППД5[[#This Row],[№]],Юрист[№ кв],Юрист[Дата подачи на регистрацию]," ",0,-1)</f>
        <v>45188</v>
      </c>
      <c r="DR394" s="115" t="str">
        <f>_xlfn.XLOOKUP(ППД5[[#This Row],[№]],Юрист[№ кв],Юрист[МОП],"",0,-1)</f>
        <v>Никишов</v>
      </c>
      <c r="DS394" s="333" t="s">
        <v>3080</v>
      </c>
      <c r="DT394" s="333" t="s">
        <v>3081</v>
      </c>
      <c r="DU394" s="333">
        <v>23.4</v>
      </c>
      <c r="DV394" s="111"/>
    </row>
    <row r="395" spans="1:126" hidden="1" x14ac:dyDescent="0.25">
      <c r="A395" s="112">
        <v>393</v>
      </c>
      <c r="B395" s="111" t="s">
        <v>2</v>
      </c>
      <c r="C395" s="111">
        <v>1</v>
      </c>
      <c r="D395" s="115">
        <v>4</v>
      </c>
      <c r="E395" s="111">
        <v>2</v>
      </c>
      <c r="F395" s="105">
        <v>14.48</v>
      </c>
      <c r="G395" s="105">
        <v>11.42</v>
      </c>
      <c r="H395" s="105"/>
      <c r="I395" s="94">
        <f>SUM(ППД5[[#This Row],[Комната 1]:[Комната 3]])</f>
        <v>25.9</v>
      </c>
      <c r="J395" s="105">
        <v>15.86</v>
      </c>
      <c r="K395" s="105">
        <v>3.01</v>
      </c>
      <c r="L395" s="105">
        <v>2.67</v>
      </c>
      <c r="M395" s="105"/>
      <c r="N395" s="105">
        <v>9.44</v>
      </c>
      <c r="O395" s="105">
        <v>2.72</v>
      </c>
      <c r="P395" s="105"/>
      <c r="Q395" s="105"/>
      <c r="R395" s="105">
        <f>SUM(ППД5[[#This Row],[Лоджия 1]:[Лоджия 3]])</f>
        <v>2.72</v>
      </c>
      <c r="S395" s="96">
        <f>ROUND(SUM(ППД5[[#This Row],[Площадь по проекту жилая]:[Лоджия 3]]),2)</f>
        <v>59.6</v>
      </c>
      <c r="T395" s="96">
        <f>ROUND(ППД5[[#This Row],[Площадь по проекту(общая)]]-ППД5[[#This Row],[Летние]],2)</f>
        <v>56.88</v>
      </c>
      <c r="U395" s="91">
        <f>ROUND(ППД5[[#This Row],[Площадь по проекту(общая)]]-(SUM(ППД5[[#This Row],[Лоджия 1]:[Лоджия 3]])/2),2)</f>
        <v>58.24</v>
      </c>
      <c r="V395" s="91">
        <f>IF(ППД5[[#This Row],[Статус]]="продажа",ППД5[[#This Row],[Расчетная проектная площадь]],ППД5[[#This Row],[Расчетная ТП площадь]])</f>
        <v>58.24</v>
      </c>
      <c r="W395" s="91">
        <v>14.3</v>
      </c>
      <c r="X395" s="91">
        <v>11.3</v>
      </c>
      <c r="Y395" s="91"/>
      <c r="Z395" s="91">
        <f>SUM(ППД5[[#This Row],[ТП Комната 1]:[ТП Комната 3]])</f>
        <v>25.6</v>
      </c>
      <c r="AA395" s="91">
        <v>16</v>
      </c>
      <c r="AB395" s="91">
        <v>2.8</v>
      </c>
      <c r="AC395" s="91">
        <v>3</v>
      </c>
      <c r="AD395" s="91"/>
      <c r="AE395" s="91">
        <v>9.8000000000000007</v>
      </c>
      <c r="AF395" s="91">
        <v>1.35</v>
      </c>
      <c r="AG395" s="91"/>
      <c r="AH395" s="91"/>
      <c r="AI395" s="91">
        <f>SUM(ППД5[[#This Row],[ТП Лоджия 1]:[ТП Лоджия 3]])</f>
        <v>1.35</v>
      </c>
      <c r="AJ395" s="95">
        <v>2.7</v>
      </c>
      <c r="AK395" s="95">
        <f>SUM(ППД5[[#This Row],[Площадь по ТП жилая]:[ТП Лоджия 3]])-ППД5[[#This Row],[ТП Летние]]+ППД5[[#This Row],[кроме того прочая
(без коэффициента)]]</f>
        <v>59.900000000000006</v>
      </c>
      <c r="AL395" s="95">
        <f>ППД5[[#This Row],[ТП Площадь без летних]]+(ППД5[[#This Row],[ТП Летние]])</f>
        <v>58.550000000000004</v>
      </c>
      <c r="AM395" s="95">
        <f>ППД5[[#This Row],[ТП общая S]]-ППД5[[#This Row],[кроме того прочая
(без коэффициента)]]</f>
        <v>57.2</v>
      </c>
      <c r="AN395" s="95">
        <f>SUM(ППД5[[#This Row],[ТП Кухня]:[ТП Коридор]])</f>
        <v>31.6</v>
      </c>
      <c r="AO395" s="95">
        <f>ППД5[[#This Row],[Расчетная ТП площадь]]-ППД5[[#This Row],[Расчетная проектная площадь]]</f>
        <v>0.31000000000000227</v>
      </c>
      <c r="AP395" s="335">
        <f>ППД5[[#This Row],[Расчетная ТП площадь]]/ППД5[[#This Row],[Расчетная проектная площадь]]-1</f>
        <v>5.3228021978022344E-3</v>
      </c>
      <c r="AQ395" s="95">
        <f>ППД5[[#This Row],[% расхождения]]*ППД5[[#This Row],[Стоимость до скидки]]</f>
        <v>32575.017170329895</v>
      </c>
      <c r="AR395" s="91">
        <f>VLOOKUP(ППД5[[#This Row],[№]],наценкад5[],COLUMN(наценкад5[[#This Row],[Цена м2 с учетом всех K]]),0)</f>
        <v>80307.864000000001</v>
      </c>
      <c r="AS395" s="96">
        <f>ППД5[[#This Row],[м2 после К]]*5%</f>
        <v>4015.3932000000004</v>
      </c>
      <c r="AT395" s="96">
        <f>ППД5[[#This Row],[м2 после К]]+ППД5[[#This Row],[Повышение 16.08.23 - 5%]]</f>
        <v>84323.257200000007</v>
      </c>
      <c r="AU395" s="93">
        <f>ППД5[[#This Row],[Фикс 16.08.23]]*3%</f>
        <v>2529.6977160000001</v>
      </c>
      <c r="AV395" s="93">
        <f>ППД5[[#This Row],[Фикс 16.08.23]]+ППД5[[#This Row],[Повышение 29.08.23 - 3%]]</f>
        <v>86852.954916000002</v>
      </c>
      <c r="AW395" s="93"/>
      <c r="AX395" s="93">
        <f>ППД5[[#This Row],[Фикс 29.08.23]]+ППД5[[#This Row],[Повышение 06.09.23 СТ и 1К]]</f>
        <v>86852.954916000002</v>
      </c>
      <c r="AY395" s="93"/>
      <c r="AZ395" s="93">
        <f>ППД5[[#This Row],[Повышение 23.10.23  В4 ]]+ППД5[[#This Row],[Фикс 06.09.23]]</f>
        <v>86852.954916000002</v>
      </c>
      <c r="BA395" s="93"/>
      <c r="BB395" s="93">
        <f>ППД5[[#This Row],[Повышение 8.11.23 1К 5%]]+ППД5[[#This Row],[Фикс 23.10.23]]</f>
        <v>86852.954916000002</v>
      </c>
      <c r="BC395" s="93"/>
      <c r="BD395" s="93">
        <f>ППД5[[#This Row],[Корректировка 24.11.23 - 1К В5, 2К А2, №233]]+ППД5[[#This Row],[Фикс 8.11.23]]</f>
        <v>86852.954916000002</v>
      </c>
      <c r="BE395" s="93">
        <f>ППД5[[#This Row],[Фикс 8.11.24]]*1%</f>
        <v>868.52954915999999</v>
      </c>
      <c r="BF395" s="93">
        <f>ППД5[[#This Row],[Наценка за отделку 29.12.23 1%]]+ППД5[[#This Row],[Фикс 8.11.24]]</f>
        <v>87721.48446516</v>
      </c>
      <c r="BG395" s="93">
        <f>ППД5[[#This Row],[Фикс 29.12.23]]*5%</f>
        <v>4386.0742232580005</v>
      </c>
      <c r="BH395" s="93">
        <f>ППД5[[#This Row],[Фикс 29.12.23]]+ППД5[[#This Row],[Наценка 10.01.24 5%]]</f>
        <v>92107.558688417994</v>
      </c>
      <c r="BI395" s="93">
        <f>100000-ППД5[[#This Row],[Фикс 10.01.24]]</f>
        <v>7892.4413115820062</v>
      </c>
      <c r="BJ395" s="93">
        <f>ППД5[[#This Row],[Наценка 26.02.24 1 Этаж]]+ППД5[[#This Row],[Фикс 10.01.24]]</f>
        <v>100000</v>
      </c>
      <c r="BK395" s="93">
        <f>ППД5[[#This Row],[Фикс 26.02.24]]*2%</f>
        <v>2000</v>
      </c>
      <c r="BL395" s="93">
        <f>ППД5[[#This Row],[Фикс 26.02.24]]+ППД5[[#This Row],[Наценка 06.03.24
СТ, 1К - 3%
2К, 3К - 2%]]</f>
        <v>102000</v>
      </c>
      <c r="BM395" s="93"/>
      <c r="BN395" s="93">
        <f>ППД5[[#This Row],[Фикс 06.03.24]]+ППД5[[#This Row],[Наценка Г2+500]]</f>
        <v>102000</v>
      </c>
      <c r="BO395" s="93">
        <f>ППД5[[#This Row],[Фикс 13.03.25]]*2%</f>
        <v>2040</v>
      </c>
      <c r="BP395" s="93">
        <f>ППД5[[#This Row],[Фикс 13.03.25]]+ППД5[[#This Row],[Наценка 20.03.24
2К, 3К - 2%]]</f>
        <v>104040</v>
      </c>
      <c r="BQ395" s="93"/>
      <c r="BR395" s="93">
        <f>ППД5[[#This Row],[Фикс 20.03.24]]+ППД5[[#This Row],[Наценка 08.04.24 
2К: В3 - 150
3К: Г7 +1000]]</f>
        <v>104040</v>
      </c>
      <c r="BS395" s="93">
        <f>ППД5[[#This Row],[Фикс 08.04.24]]*1%</f>
        <v>1040.4000000000001</v>
      </c>
      <c r="BT395" s="93">
        <f>ППД5[[#This Row],[Фикс 08.04.24]]+ППД5[[#This Row],[Наценка 16.05.24 1%
А4,А6,Б3,Б6,Б7,В2,В3,В5,В6,Г1,Г3-Г5]]</f>
        <v>105080.4</v>
      </c>
      <c r="BU395" s="93"/>
      <c r="BV395" s="93">
        <f>ППД5[[#This Row],[Фикс 16.05.24]]+ППД5[[#This Row],[Наценка 24.05.24
1% - Б4, Б5,Г2,Г6
2% - А1,А3,А5,Б2,Г7]]</f>
        <v>105080.4</v>
      </c>
      <c r="BW395" s="93"/>
      <c r="BX395" s="93">
        <f>ППД5[[#This Row],[Наценка 06.06.24
0К: В2,Г3 +0,5%
1К: А7, Б5/4, Г6 +0,5%
3К: В6 +0,5%
1К: А3 +1%]]+ППД5[[#This Row],[Фикс 24.05.24]]</f>
        <v>105080.4</v>
      </c>
      <c r="BY395" s="93"/>
      <c r="BZ395" s="93">
        <f>ППД5[[#This Row],[Фикс 06.06.24]]+ППД5[[#This Row],[13.06.2024
3К - 2%]]</f>
        <v>105080.4</v>
      </c>
      <c r="CA395" s="93"/>
      <c r="CB395" s="93">
        <f>ППД5[[#This Row],[02.07.2024: Г3 А1 А3 Б5 Б7 Г2 Г6 Б3 Б4 В3 Г7 2,5% ост 0,5-1,5%]]+ППД5[[#This Row],[Фикс 13.06.24]]</f>
        <v>105080.4</v>
      </c>
      <c r="CC395" s="93"/>
      <c r="CD395" s="93">
        <f>ППД5[[#This Row],[Фикс 02.07.24]]+ППД5[[#This Row],[04.09.2024 +500
0К - Б2; 1К - А3;
2К - А6, Б4, В3, Г5]]</f>
        <v>105080.4</v>
      </c>
      <c r="CE395" s="93"/>
      <c r="CF395" s="93">
        <f>ППД5[[#This Row],[Наценка 16.09.2024
1К: А1,В7,Г6/7,Г8 - 2%
2К: А4,А5,А6,Б1,Б6,Б3/4,В3,В4,Г4,Г5 - 4%
3К: 4%]]+ППД5[[#This Row],[Фикс 04.09.24]]</f>
        <v>105080.4</v>
      </c>
      <c r="CG395" s="93"/>
      <c r="CH395" s="93">
        <f>ППД5[[#This Row],[Фикс 16.09.2024]]+ППД5[[#This Row],[Наценка 01.11.24
СТ: 4%
1К: 34-40м 5%; 40м+ 8%; МГН 1%
2К: 55-70м 6%; 70-73м 7%; 73-76м 8% 
3К: 5%]]</f>
        <v>105080.4</v>
      </c>
      <c r="CI395" s="93"/>
      <c r="CJ395" s="93">
        <f>ППД5[[#This Row],[Наценка 06.11 13%]]+ППД5[[#This Row],[Фикс 01.11.24]]</f>
        <v>105080.4</v>
      </c>
      <c r="CK395" s="93"/>
      <c r="CL395" s="93">
        <f>ППД5[[#This Row],[Фикс 06.11.24]]+ППД5[[#This Row],[Наценка 18.12.24 распределение КВ]]</f>
        <v>105080.4</v>
      </c>
      <c r="CM395" s="93"/>
      <c r="CN395" s="93">
        <f>ППД5[[#This Row],[Фикс 18.12.24]]+ППД5[[#This Row],[Наценка 10.02.25 +1%
1К: А3
2К: Б3, В3]]</f>
        <v>105080.4</v>
      </c>
      <c r="CO395" s="97">
        <f>ROUND(ППД5[[#This Row],[Фикс 10.02.25]],2)</f>
        <v>105080.4</v>
      </c>
      <c r="CP39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6119900</v>
      </c>
      <c r="CQ395" s="93">
        <f>ROUNDUP(ППД5[[#This Row],[Стоимость до скидки]]+ППД5[[#This Row],[Сумма доплаты]],-2)</f>
        <v>6152500</v>
      </c>
      <c r="CR395" s="68"/>
      <c r="CS395" s="90"/>
      <c r="CT395" s="68">
        <f>ППД5[[#This Row],[Стоимость до скидки]]*ППД5[[#This Row],[Скидка %]]+ППД5[[#This Row],[Скидка фиксированная]]</f>
        <v>0</v>
      </c>
      <c r="CU395" s="3">
        <f>ППД5[[#This Row],[Стоимость ОН без отделки со скидкой]]/ППД5[[#This Row],[Расчетная проектная площадь]]</f>
        <v>105080.70054945054</v>
      </c>
      <c r="CV395" s="3">
        <f>ROUND(ППД5[[#This Row],[Стоимость до скидки]]-ППД5[[#This Row],[Итоговая сумма скидки]],2)</f>
        <v>6119900</v>
      </c>
      <c r="CW39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95" s="197"/>
      <c r="CY395" s="332">
        <f>ППД5[[#This Row],[Расхождение]]/ППД5[[#This Row],[Расчетная проектная площадь]]</f>
        <v>5.322802197802237E-3</v>
      </c>
      <c r="CZ39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0.62000000000000455</v>
      </c>
      <c r="DA395" s="3">
        <f>ППД5[[#This Row],[Цена м2 без отделки со скидкой]]+ППД5[[#This Row],[Стоимость отделки]]</f>
        <v>105080.70054945054</v>
      </c>
      <c r="DB395" s="3">
        <f>ППД5[[#This Row],[Стоимость квартиры с отделкой]]-ППД5[[#This Row],[Стоимость ОН без отделки со скидкой]]</f>
        <v>0</v>
      </c>
      <c r="DC395" s="3">
        <f>ППД5[[#This Row],[Цена м2 с отделкой]]*ППД5[[#This Row],[Расчетная проектная площадь]]</f>
        <v>6119900</v>
      </c>
      <c r="DD395" s="98"/>
      <c r="DE395" s="99"/>
      <c r="DF395" s="199" t="s">
        <v>172</v>
      </c>
      <c r="DG395" s="245" t="s">
        <v>172</v>
      </c>
      <c r="DH395" s="100" t="b">
        <f>EXACT(ППД5[[#This Row],[Статусы CRM]],ППД5[[#This Row],[Статус]])</f>
        <v>1</v>
      </c>
      <c r="DI395" s="213" t="s">
        <v>567</v>
      </c>
      <c r="DJ395" s="204"/>
      <c r="DK395" s="111" t="s">
        <v>763</v>
      </c>
      <c r="DL395" s="216" t="s">
        <v>12</v>
      </c>
      <c r="DM395" s="201" t="b">
        <f>ППД5[[#This Row],[Отделка CRM]]=ППД5[[#This Row],[Отделка]]</f>
        <v>1</v>
      </c>
      <c r="DN395" s="203">
        <v>6119900</v>
      </c>
      <c r="DO39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95" s="207" t="b">
        <f>IF(AND(ППД5[[#This Row],[Статус]]="свободно",ППД5[[#This Row],[Итоговая сумма скидки]]&lt;&gt;0),FALSE,TRUE)</f>
        <v>1</v>
      </c>
      <c r="DQ395" s="240">
        <f>_xlfn.XLOOKUP(ППД5[[#This Row],[№]],Юрист[№ кв],Юрист[Дата подачи на регистрацию]," ",0,-1)</f>
        <v>45443</v>
      </c>
      <c r="DR395" s="115" t="str">
        <f>_xlfn.XLOOKUP(ППД5[[#This Row],[№]],Юрист[№ кв],Юрист[МОП],"",0,-1)</f>
        <v>Дик</v>
      </c>
      <c r="DS395" s="333" t="s">
        <v>3082</v>
      </c>
      <c r="DT395" s="333" t="s">
        <v>3083</v>
      </c>
      <c r="DU395" s="333">
        <v>57.2</v>
      </c>
      <c r="DV395" s="111"/>
    </row>
    <row r="396" spans="1:126" hidden="1" x14ac:dyDescent="0.25">
      <c r="A396" s="112">
        <v>394</v>
      </c>
      <c r="B396" s="111" t="s">
        <v>2</v>
      </c>
      <c r="C396" s="111">
        <v>1</v>
      </c>
      <c r="D396" s="115">
        <v>5</v>
      </c>
      <c r="E396" s="111">
        <v>1</v>
      </c>
      <c r="F396" s="105">
        <v>12.71</v>
      </c>
      <c r="G396" s="105"/>
      <c r="H396" s="105"/>
      <c r="I396" s="94">
        <f>SUM(ППД5[[#This Row],[Комната 1]:[Комната 3]])</f>
        <v>12.71</v>
      </c>
      <c r="J396" s="105">
        <v>25.96</v>
      </c>
      <c r="K396" s="105">
        <v>4.28</v>
      </c>
      <c r="L396" s="105"/>
      <c r="M396" s="105"/>
      <c r="N396" s="105">
        <v>7.34</v>
      </c>
      <c r="O396" s="105">
        <v>2.84</v>
      </c>
      <c r="P396" s="105"/>
      <c r="Q396" s="105"/>
      <c r="R396" s="105">
        <f>SUM(ППД5[[#This Row],[Лоджия 1]:[Лоджия 3]])</f>
        <v>2.84</v>
      </c>
      <c r="S396" s="8">
        <f>ROUND(SUM(ППД5[[#This Row],[Площадь по проекту жилая]:[Лоджия 3]]),2)</f>
        <v>53.13</v>
      </c>
      <c r="T396" s="8">
        <f>ROUND(ППД5[[#This Row],[Площадь по проекту(общая)]]-ППД5[[#This Row],[Летние]],2)</f>
        <v>50.29</v>
      </c>
      <c r="U396" s="91">
        <f>ROUND(ППД5[[#This Row],[Площадь по проекту(общая)]]-(SUM(ППД5[[#This Row],[Лоджия 1]:[Лоджия 3]])/2),2)</f>
        <v>51.71</v>
      </c>
      <c r="V396" s="91">
        <f>IF(ППД5[[#This Row],[Статус]]="продажа",ППД5[[#This Row],[Расчетная проектная площадь]],ППД5[[#This Row],[Расчетная ТП площадь]])</f>
        <v>51.71</v>
      </c>
      <c r="W396" s="91">
        <v>12.7</v>
      </c>
      <c r="X396" s="91"/>
      <c r="Y396" s="91"/>
      <c r="Z396" s="91">
        <f>SUM(ППД5[[#This Row],[ТП Комната 1]:[ТП Комната 3]])</f>
        <v>12.7</v>
      </c>
      <c r="AA396" s="91">
        <v>26.2</v>
      </c>
      <c r="AB396" s="91">
        <v>4.2</v>
      </c>
      <c r="AC396" s="91"/>
      <c r="AD396" s="91"/>
      <c r="AE396" s="91">
        <v>7.6</v>
      </c>
      <c r="AF396" s="91">
        <v>1.4</v>
      </c>
      <c r="AG396" s="91"/>
      <c r="AH396" s="91"/>
      <c r="AI396" s="91">
        <f>SUM(ППД5[[#This Row],[ТП Лоджия 1]:[ТП Лоджия 3]])</f>
        <v>1.4</v>
      </c>
      <c r="AJ396" s="95">
        <v>2.8</v>
      </c>
      <c r="AK396" s="91">
        <f>SUM(ППД5[[#This Row],[Площадь по ТП жилая]:[ТП Лоджия 3]])-ППД5[[#This Row],[ТП Летние]]+ППД5[[#This Row],[кроме того прочая
(без коэффициента)]]</f>
        <v>53.5</v>
      </c>
      <c r="AL396" s="95">
        <f>ППД5[[#This Row],[ТП Площадь без летних]]+(ППД5[[#This Row],[ТП Летние]])</f>
        <v>52.1</v>
      </c>
      <c r="AM396" s="91">
        <f>ППД5[[#This Row],[ТП общая S]]-ППД5[[#This Row],[кроме того прочая
(без коэффициента)]]</f>
        <v>50.7</v>
      </c>
      <c r="AN396" s="95">
        <f>SUM(ППД5[[#This Row],[ТП Кухня]:[ТП Коридор]])</f>
        <v>38</v>
      </c>
      <c r="AO396" s="91">
        <f>ППД5[[#This Row],[Расчетная ТП площадь]]-ППД5[[#This Row],[Расчетная проектная площадь]]</f>
        <v>0.39000000000000057</v>
      </c>
      <c r="AP396" s="335">
        <f>ППД5[[#This Row],[Расчетная ТП площадь]]/ППД5[[#This Row],[Расчетная проектная площадь]]-1</f>
        <v>7.5420614968091382E-3</v>
      </c>
      <c r="AQ396" s="91">
        <f>ППД5[[#This Row],[% расхождения]]*ППД5[[#This Row],[Стоимость до скидки]]</f>
        <v>36281.863813575757</v>
      </c>
      <c r="AR396" s="91">
        <f>VLOOKUP(ППД5[[#This Row],[№]],наценкад5[],COLUMN(наценкад5[[#This Row],[Цена м2 с учетом всех K]]),0)</f>
        <v>85168.125</v>
      </c>
      <c r="AS396" s="8">
        <f>ППД5[[#This Row],[м2 после К]]*5%</f>
        <v>4258.40625</v>
      </c>
      <c r="AT396" s="8">
        <f>ППД5[[#This Row],[м2 после К]]+ППД5[[#This Row],[Повышение 16.08.23 - 5%]]</f>
        <v>89426.53125</v>
      </c>
      <c r="AU396" s="93">
        <f>ППД5[[#This Row],[Фикс 16.08.23]]*3%</f>
        <v>2682.7959375</v>
      </c>
      <c r="AV396" s="93">
        <f>ППД5[[#This Row],[Фикс 16.08.23]]+ППД5[[#This Row],[Повышение 29.08.23 - 3%]]</f>
        <v>92109.327187500006</v>
      </c>
      <c r="AW396" s="93">
        <f>ППД5[[#This Row],[Фикс 29.08.23]]*1%</f>
        <v>921.09327187500003</v>
      </c>
      <c r="AX396" s="93">
        <f>ППД5[[#This Row],[Фикс 29.08.23]]+ППД5[[#This Row],[Повышение 06.09.23 СТ и 1К]]</f>
        <v>93030.420459375004</v>
      </c>
      <c r="AY396" s="93"/>
      <c r="AZ396" s="93">
        <f>ППД5[[#This Row],[Повышение 23.10.23  В4 ]]+ППД5[[#This Row],[Фикс 06.09.23]]</f>
        <v>93030.420459375004</v>
      </c>
      <c r="BA396" s="93"/>
      <c r="BB396" s="93">
        <f>ППД5[[#This Row],[Повышение 8.11.23 1К 5%]]+ППД5[[#This Row],[Фикс 23.10.23]]</f>
        <v>93030.420459375004</v>
      </c>
      <c r="BC396" s="93"/>
      <c r="BD396" s="93">
        <f>ППД5[[#This Row],[Корректировка 24.11.23 - 1К В5, 2К А2, №233]]+ППД5[[#This Row],[Фикс 8.11.23]]</f>
        <v>93030.420459375004</v>
      </c>
      <c r="BE396" s="93"/>
      <c r="BF396" s="93">
        <f>ППД5[[#This Row],[Наценка за отделку 29.12.23 1%]]+ППД5[[#This Row],[Фикс 8.11.24]]</f>
        <v>93030.420459375004</v>
      </c>
      <c r="BG396" s="93"/>
      <c r="BH396" s="93">
        <f>ППД5[[#This Row],[Фикс 29.12.23]]+ППД5[[#This Row],[Наценка 10.01.24 5%]]</f>
        <v>93030.420459375004</v>
      </c>
      <c r="BI396" s="93"/>
      <c r="BJ396" s="93">
        <f>ППД5[[#This Row],[Наценка 26.02.24 1 Этаж]]+ППД5[[#This Row],[Фикс 10.01.24]]</f>
        <v>93030.420459375004</v>
      </c>
      <c r="BK396" s="93"/>
      <c r="BL396" s="93">
        <f>ППД5[[#This Row],[Фикс 26.02.24]]+ППД5[[#This Row],[Наценка 06.03.24
СТ, 1К - 3%
2К, 3К - 2%]]</f>
        <v>93030.420459375004</v>
      </c>
      <c r="BM396" s="93"/>
      <c r="BN396" s="93">
        <f>ППД5[[#This Row],[Фикс 06.03.24]]+ППД5[[#This Row],[Наценка Г2+500]]</f>
        <v>93030.420459375004</v>
      </c>
      <c r="BO396" s="93"/>
      <c r="BP396" s="93">
        <f>ППД5[[#This Row],[Фикс 13.03.25]]+ППД5[[#This Row],[Наценка 20.03.24
2К, 3К - 2%]]</f>
        <v>93030.420459375004</v>
      </c>
      <c r="BQ396" s="93"/>
      <c r="BR396" s="93">
        <f>ППД5[[#This Row],[Фикс 20.03.24]]+ППД5[[#This Row],[Наценка 08.04.24 
2К: В3 - 150
3К: Г7 +1000]]</f>
        <v>93030.420459375004</v>
      </c>
      <c r="BS396" s="93"/>
      <c r="BT396" s="93">
        <f>ППД5[[#This Row],[Фикс 08.04.24]]+ППД5[[#This Row],[Наценка 16.05.24 1%
А4,А6,Б3,Б6,Б7,В2,В3,В5,В6,Г1,Г3-Г5]]</f>
        <v>93030.420459375004</v>
      </c>
      <c r="BU396" s="93"/>
      <c r="BV396" s="93">
        <f>ППД5[[#This Row],[Фикс 16.05.24]]+ППД5[[#This Row],[Наценка 24.05.24
1% - Б4, Б5,Г2,Г6
2% - А1,А3,А5,Б2,Г7]]</f>
        <v>93030.420459375004</v>
      </c>
      <c r="BW396" s="93"/>
      <c r="BX396" s="93">
        <f>ППД5[[#This Row],[Наценка 06.06.24
0К: В2,Г3 +0,5%
1К: А7, Б5/4, Г6 +0,5%
3К: В6 +0,5%
1К: А3 +1%]]+ППД5[[#This Row],[Фикс 24.05.24]]</f>
        <v>93030.420459375004</v>
      </c>
      <c r="BY396" s="93"/>
      <c r="BZ396" s="93">
        <f>ППД5[[#This Row],[Фикс 06.06.24]]+ППД5[[#This Row],[13.06.2024
3К - 2%]]</f>
        <v>93030.420459375004</v>
      </c>
      <c r="CA396" s="93"/>
      <c r="CB396" s="93">
        <f>ППД5[[#This Row],[02.07.2024: Г3 А1 А3 Б5 Б7 Г2 Г6 Б3 Б4 В3 Г7 2,5% ост 0,5-1,5%]]+ППД5[[#This Row],[Фикс 13.06.24]]</f>
        <v>93030.420459375004</v>
      </c>
      <c r="CC396" s="93"/>
      <c r="CD396" s="93">
        <f>ППД5[[#This Row],[Фикс 02.07.24]]+ППД5[[#This Row],[04.09.2024 +500
0К - Б2; 1К - А3;
2К - А6, Б4, В3, Г5]]</f>
        <v>93030.420459375004</v>
      </c>
      <c r="CE396" s="93"/>
      <c r="CF396" s="93">
        <f>ППД5[[#This Row],[Наценка 16.09.2024
1К: А1,В7,Г6/7,Г8 - 2%
2К: А4,А5,А6,Б1,Б6,Б3/4,В3,В4,Г4,Г5 - 4%
3К: 4%]]+ППД5[[#This Row],[Фикс 04.09.24]]</f>
        <v>93030.420459375004</v>
      </c>
      <c r="CG396" s="93"/>
      <c r="CH396" s="93">
        <f>ППД5[[#This Row],[Фикс 16.09.2024]]+ППД5[[#This Row],[Наценка 01.11.24
СТ: 4%
1К: 34-40м 5%; 40м+ 8%; МГН 1%
2К: 55-70м 6%; 70-73м 7%; 73-76м 8% 
3К: 5%]]</f>
        <v>93030.420459375004</v>
      </c>
      <c r="CI396" s="93"/>
      <c r="CJ396" s="93">
        <f>ППД5[[#This Row],[Наценка 06.11 13%]]+ППД5[[#This Row],[Фикс 01.11.24]]</f>
        <v>93030.420459375004</v>
      </c>
      <c r="CK396" s="93"/>
      <c r="CL396" s="93">
        <f>ППД5[[#This Row],[Фикс 06.11.24]]+ППД5[[#This Row],[Наценка 18.12.24 распределение КВ]]</f>
        <v>93030.420459375004</v>
      </c>
      <c r="CM396" s="93"/>
      <c r="CN396" s="93">
        <f>ППД5[[#This Row],[Фикс 18.12.24]]+ППД5[[#This Row],[Наценка 10.02.25 +1%
1К: А3
2К: Б3, В3]]</f>
        <v>93030.420459375004</v>
      </c>
      <c r="CO396" s="93">
        <f>ROUND(ППД5[[#This Row],[Фикс 10.02.25]],2)</f>
        <v>93030.42</v>
      </c>
      <c r="CP39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4810603.0199999996</v>
      </c>
      <c r="CQ396" s="93">
        <f>ROUNDUP(ППД5[[#This Row],[Стоимость до скидки]]+ППД5[[#This Row],[Сумма доплаты]],-2)</f>
        <v>4846900</v>
      </c>
      <c r="CR396" s="68"/>
      <c r="CS396" s="90"/>
      <c r="CT396" s="68">
        <f>ППД5[[#This Row],[Стоимость до скидки]]*ППД5[[#This Row],[Скидка %]]+ППД5[[#This Row],[Скидка фиксированная]]</f>
        <v>0</v>
      </c>
      <c r="CU396" s="3">
        <f>ППД5[[#This Row],[Стоимость ОН без отделки со скидкой]]/ППД5[[#This Row],[Расчетная проектная площадь]]</f>
        <v>93030.420034809504</v>
      </c>
      <c r="CV396" s="3">
        <f>ROUND(ППД5[[#This Row],[Стоимость до скидки]]-ППД5[[#This Row],[Итоговая сумма скидки]],2)</f>
        <v>4810603.0199999996</v>
      </c>
      <c r="CW39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96" s="197"/>
      <c r="CY396" s="332">
        <f>ППД5[[#This Row],[Расхождение]]/ППД5[[#This Row],[Расчетная проектная площадь]]</f>
        <v>7.542061496809139E-3</v>
      </c>
      <c r="CZ39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0.41999999999999815</v>
      </c>
      <c r="DA396" s="3">
        <f>ППД5[[#This Row],[Цена м2 без отделки со скидкой]]+ППД5[[#This Row],[Стоимость отделки]]</f>
        <v>93030.420034809504</v>
      </c>
      <c r="DB396" s="3">
        <f>ППД5[[#This Row],[Стоимость квартиры с отделкой]]-ППД5[[#This Row],[Стоимость ОН без отделки со скидкой]]</f>
        <v>0</v>
      </c>
      <c r="DC396" s="3">
        <f>ППД5[[#This Row],[Цена м2 с отделкой]]*ППД5[[#This Row],[Расчетная проектная площадь]]</f>
        <v>4810603.0199999996</v>
      </c>
      <c r="DD396" s="3"/>
      <c r="DF396" s="199" t="s">
        <v>172</v>
      </c>
      <c r="DG396" s="245" t="s">
        <v>172</v>
      </c>
      <c r="DH396" s="100" t="b">
        <f>EXACT(ППД5[[#This Row],[Статусы CRM]],ППД5[[#This Row],[Статус]])</f>
        <v>1</v>
      </c>
      <c r="DI396" s="213" t="s">
        <v>568</v>
      </c>
      <c r="DJ396" s="204"/>
      <c r="DK396" s="111" t="s">
        <v>76</v>
      </c>
      <c r="DL396" s="216" t="s">
        <v>12</v>
      </c>
      <c r="DM396" s="201" t="b">
        <f>ППД5[[#This Row],[Отделка CRM]]=ППД5[[#This Row],[Отделка]]</f>
        <v>1</v>
      </c>
      <c r="DN396" s="203">
        <v>4810603.0199999996</v>
      </c>
      <c r="DO39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96" s="207" t="b">
        <f>IF(AND(ППД5[[#This Row],[Статус]]="свободно",ППД5[[#This Row],[Итоговая сумма скидки]]&lt;&gt;0),FALSE,TRUE)</f>
        <v>1</v>
      </c>
      <c r="DQ396" s="240">
        <f>_xlfn.XLOOKUP(ППД5[[#This Row],[№]],Юрист[№ кв],Юрист[Дата подачи на регистрацию]," ",0,-1)</f>
        <v>45211</v>
      </c>
      <c r="DR396" s="115" t="str">
        <f>_xlfn.XLOOKUP(ППД5[[#This Row],[№]],Юрист[№ кв],Юрист[МОП],"",0,-1)</f>
        <v>Никишов</v>
      </c>
      <c r="DS396" s="333" t="s">
        <v>3084</v>
      </c>
      <c r="DT396" s="333" t="s">
        <v>3085</v>
      </c>
      <c r="DU396" s="333">
        <v>50.7</v>
      </c>
      <c r="DV396" s="111"/>
    </row>
    <row r="397" spans="1:126" hidden="1" x14ac:dyDescent="0.25">
      <c r="A397" s="112">
        <v>395</v>
      </c>
      <c r="B397" s="111" t="s">
        <v>2</v>
      </c>
      <c r="C397" s="111">
        <v>1</v>
      </c>
      <c r="D397" s="115">
        <v>6</v>
      </c>
      <c r="E397" s="111">
        <v>3</v>
      </c>
      <c r="F397" s="105">
        <v>14.49</v>
      </c>
      <c r="G397" s="105">
        <v>13.98</v>
      </c>
      <c r="H397" s="105">
        <v>11.42</v>
      </c>
      <c r="I397" s="94">
        <f>SUM(ППД5[[#This Row],[Комната 1]:[Комната 3]])</f>
        <v>39.89</v>
      </c>
      <c r="J397" s="105">
        <v>16.670000000000002</v>
      </c>
      <c r="K397" s="105">
        <v>4.1399999999999997</v>
      </c>
      <c r="L397" s="105">
        <v>1.89</v>
      </c>
      <c r="M397" s="105"/>
      <c r="N397" s="105">
        <v>11.31</v>
      </c>
      <c r="O397" s="105">
        <v>5.42</v>
      </c>
      <c r="P397" s="105">
        <v>2.86</v>
      </c>
      <c r="Q397" s="105">
        <v>2.79</v>
      </c>
      <c r="R397" s="105">
        <f>SUM(ППД5[[#This Row],[Лоджия 1]:[Лоджия 3]])</f>
        <v>11.07</v>
      </c>
      <c r="S397" s="8">
        <f>ROUND(SUM(ППД5[[#This Row],[Площадь по проекту жилая]:[Лоджия 3]]),2)</f>
        <v>84.97</v>
      </c>
      <c r="T397" s="8">
        <f>ROUND(ППД5[[#This Row],[Площадь по проекту(общая)]]-ППД5[[#This Row],[Летние]],2)</f>
        <v>73.900000000000006</v>
      </c>
      <c r="U397" s="91">
        <f>ROUND(ППД5[[#This Row],[Площадь по проекту(общая)]]-(SUM(ППД5[[#This Row],[Лоджия 1]:[Лоджия 3]])/2),2)</f>
        <v>79.44</v>
      </c>
      <c r="V397" s="91">
        <f>IF(ППД5[[#This Row],[Статус]]="продажа",ППД5[[#This Row],[Расчетная проектная площадь]],ППД5[[#This Row],[Расчетная ТП площадь]])</f>
        <v>79.44</v>
      </c>
      <c r="W397" s="91">
        <v>11.4</v>
      </c>
      <c r="X397" s="91">
        <v>14.5</v>
      </c>
      <c r="Y397" s="91">
        <v>14.1</v>
      </c>
      <c r="Z397" s="91">
        <f>SUM(ППД5[[#This Row],[ТП Комната 1]:[ТП Комната 3]])</f>
        <v>40</v>
      </c>
      <c r="AA397" s="91">
        <v>16.3</v>
      </c>
      <c r="AB397" s="91">
        <v>2</v>
      </c>
      <c r="AC397" s="91">
        <v>4.0999999999999996</v>
      </c>
      <c r="AD397" s="91"/>
      <c r="AE397" s="91">
        <v>11</v>
      </c>
      <c r="AF397" s="91">
        <v>1.4</v>
      </c>
      <c r="AG397" s="91">
        <v>2.65</v>
      </c>
      <c r="AH397" s="91">
        <v>1.35</v>
      </c>
      <c r="AI397" s="91">
        <f>SUM(ППД5[[#This Row],[ТП Лоджия 1]:[ТП Лоджия 3]])</f>
        <v>5.4</v>
      </c>
      <c r="AJ397" s="95">
        <v>10.8</v>
      </c>
      <c r="AK397" s="91">
        <f>SUM(ППД5[[#This Row],[Площадь по ТП жилая]:[ТП Лоджия 3]])-ППД5[[#This Row],[ТП Летние]]+ППД5[[#This Row],[кроме того прочая
(без коэффициента)]]</f>
        <v>84.2</v>
      </c>
      <c r="AL397" s="95">
        <f>ППД5[[#This Row],[ТП Площадь без летних]]+(ППД5[[#This Row],[ТП Летние]])</f>
        <v>78.800000000000011</v>
      </c>
      <c r="AM397" s="91">
        <f>ППД5[[#This Row],[ТП общая S]]-ППД5[[#This Row],[кроме того прочая
(без коэффициента)]]</f>
        <v>73.400000000000006</v>
      </c>
      <c r="AN397" s="95">
        <f>SUM(ППД5[[#This Row],[ТП Кухня]:[ТП Коридор]])</f>
        <v>33.4</v>
      </c>
      <c r="AO397" s="91">
        <f>ППД5[[#This Row],[Расчетная ТП площадь]]-ППД5[[#This Row],[Расчетная проектная площадь]]</f>
        <v>-0.63999999999998636</v>
      </c>
      <c r="AP397" s="335">
        <f>ППД5[[#This Row],[Расчетная ТП площадь]]/ППД5[[#This Row],[Расчетная проектная площадь]]-1</f>
        <v>-8.0563947633431887E-3</v>
      </c>
      <c r="AQ397" s="91">
        <f>ППД5[[#This Row],[% расхождения]]*ППД5[[#This Row],[Стоимость до скидки]]</f>
        <v>-69941.591137963886</v>
      </c>
      <c r="AR397" s="91">
        <f>VLOOKUP(ППД5[[#This Row],[№]],наценкад5[],COLUMN(наценкад5[[#This Row],[Цена м2 с учетом всех K]]),0)</f>
        <v>77446.215000000011</v>
      </c>
      <c r="AS397" s="8">
        <f>ППД5[[#This Row],[м2 после К]]*5%</f>
        <v>3872.3107500000006</v>
      </c>
      <c r="AT397" s="8">
        <f>ППД5[[#This Row],[м2 после К]]+ППД5[[#This Row],[Повышение 16.08.23 - 5%]]</f>
        <v>81318.525750000015</v>
      </c>
      <c r="AU397" s="93">
        <f>ППД5[[#This Row],[Фикс 16.08.23]]*3%</f>
        <v>2439.5557725000003</v>
      </c>
      <c r="AV397" s="93">
        <f>ППД5[[#This Row],[Фикс 16.08.23]]+ППД5[[#This Row],[Повышение 29.08.23 - 3%]]</f>
        <v>83758.081522500011</v>
      </c>
      <c r="AW397" s="93"/>
      <c r="AX397" s="93">
        <f>ППД5[[#This Row],[Фикс 29.08.23]]+ППД5[[#This Row],[Повышение 06.09.23 СТ и 1К]]</f>
        <v>83758.081522500011</v>
      </c>
      <c r="AY397" s="93"/>
      <c r="AZ397" s="93">
        <f>ППД5[[#This Row],[Повышение 23.10.23  В4 ]]+ППД5[[#This Row],[Фикс 06.09.23]]</f>
        <v>83758.081522500011</v>
      </c>
      <c r="BA397" s="93"/>
      <c r="BB397" s="93">
        <f>ППД5[[#This Row],[Повышение 8.11.23 1К 5%]]+ППД5[[#This Row],[Фикс 23.10.23]]</f>
        <v>83758.081522500011</v>
      </c>
      <c r="BC397" s="93"/>
      <c r="BD397" s="93">
        <f>ППД5[[#This Row],[Корректировка 24.11.23 - 1К В5, 2К А2, №233]]+ППД5[[#This Row],[Фикс 8.11.23]]</f>
        <v>83758.081522500011</v>
      </c>
      <c r="BE397" s="93">
        <f>ППД5[[#This Row],[Фикс 8.11.24]]*1%</f>
        <v>837.58081522500015</v>
      </c>
      <c r="BF397" s="93">
        <f>ППД5[[#This Row],[Наценка за отделку 29.12.23 1%]]+ППД5[[#This Row],[Фикс 8.11.24]]</f>
        <v>84595.662337725007</v>
      </c>
      <c r="BG397" s="93">
        <f>ППД5[[#This Row],[Фикс 29.12.23]]*5%</f>
        <v>4229.7831168862504</v>
      </c>
      <c r="BH397" s="93">
        <f>ППД5[[#This Row],[Фикс 29.12.23]]+ППД5[[#This Row],[Наценка 10.01.24 5%]]</f>
        <v>88825.445454611254</v>
      </c>
      <c r="BI397" s="93">
        <f>100000-ППД5[[#This Row],[Фикс 10.01.24]]</f>
        <v>11174.554545388746</v>
      </c>
      <c r="BJ397" s="93">
        <f>ППД5[[#This Row],[Наценка 26.02.24 1 Этаж]]+ППД5[[#This Row],[Фикс 10.01.24]]</f>
        <v>100000</v>
      </c>
      <c r="BK397" s="93">
        <f>ППД5[[#This Row],[Фикс 26.02.24]]*2%</f>
        <v>2000</v>
      </c>
      <c r="BL397" s="93">
        <f>ППД5[[#This Row],[Фикс 26.02.24]]+ППД5[[#This Row],[Наценка 06.03.24
СТ, 1К - 3%
2К, 3К - 2%]]</f>
        <v>102000</v>
      </c>
      <c r="BM397" s="93"/>
      <c r="BN397" s="93">
        <f>ППД5[[#This Row],[Фикс 06.03.24]]+ППД5[[#This Row],[Наценка Г2+500]]</f>
        <v>102000</v>
      </c>
      <c r="BO397" s="93">
        <f>ППД5[[#This Row],[Фикс 13.03.25]]*2%</f>
        <v>2040</v>
      </c>
      <c r="BP397" s="93">
        <f>ППД5[[#This Row],[Фикс 13.03.25]]+ППД5[[#This Row],[Наценка 20.03.24
2К, 3К - 2%]]</f>
        <v>104040</v>
      </c>
      <c r="BQ397" s="93">
        <v>1000</v>
      </c>
      <c r="BR397" s="93">
        <f>ППД5[[#This Row],[Фикс 20.03.24]]+ППД5[[#This Row],[Наценка 08.04.24 
2К: В3 - 150
3К: Г7 +1000]]</f>
        <v>105040</v>
      </c>
      <c r="BS397" s="93"/>
      <c r="BT397" s="93">
        <f>ППД5[[#This Row],[Фикс 08.04.24]]+ППД5[[#This Row],[Наценка 16.05.24 1%
А4,А6,Б3,Б6,Б7,В2,В3,В5,В6,Г1,Г3-Г5]]</f>
        <v>105040</v>
      </c>
      <c r="BU397" s="93">
        <f>ППД5[[#This Row],[Фикс 16.05.24]]*2%</f>
        <v>2100.8000000000002</v>
      </c>
      <c r="BV397" s="93">
        <f>ППД5[[#This Row],[Фикс 16.05.24]]+ППД5[[#This Row],[Наценка 24.05.24
1% - Б4, Б5,Г2,Г6
2% - А1,А3,А5,Б2,Г7]]</f>
        <v>107140.8</v>
      </c>
      <c r="BW397" s="93"/>
      <c r="BX397" s="93">
        <f>ППД5[[#This Row],[Наценка 06.06.24
0К: В2,Г3 +0,5%
1К: А7, Б5/4, Г6 +0,5%
3К: В6 +0,5%
1К: А3 +1%]]+ППД5[[#This Row],[Фикс 24.05.24]]</f>
        <v>107140.8</v>
      </c>
      <c r="BY397" s="93">
        <f>ППД5[[#This Row],[Фикс 06.06.24]]*2%</f>
        <v>2142.8160000000003</v>
      </c>
      <c r="BZ397" s="93">
        <f>ППД5[[#This Row],[Фикс 06.06.24]]+ППД5[[#This Row],[13.06.2024
3К - 2%]]</f>
        <v>109283.61600000001</v>
      </c>
      <c r="CA397" s="93"/>
      <c r="CB397" s="93">
        <f>ППД5[[#This Row],[02.07.2024: Г3 А1 А3 Б5 Б7 Г2 Г6 Б3 Б4 В3 Г7 2,5% ост 0,5-1,5%]]+ППД5[[#This Row],[Фикс 13.06.24]]</f>
        <v>109283.61600000001</v>
      </c>
      <c r="CC397" s="93"/>
      <c r="CD397" s="93">
        <f>ППД5[[#This Row],[Фикс 02.07.24]]+ППД5[[#This Row],[04.09.2024 +500
0К - Б2; 1К - А3;
2К - А6, Б4, В3, Г5]]</f>
        <v>109283.61600000001</v>
      </c>
      <c r="CE397" s="93"/>
      <c r="CF397" s="93">
        <f>ППД5[[#This Row],[Наценка 16.09.2024
1К: А1,В7,Г6/7,Г8 - 2%
2К: А4,А5,А6,Б1,Б6,Б3/4,В3,В4,Г4,Г5 - 4%
3К: 4%]]+ППД5[[#This Row],[Фикс 04.09.24]]</f>
        <v>109283.61600000001</v>
      </c>
      <c r="CG397" s="93"/>
      <c r="CH397" s="93">
        <f>ППД5[[#This Row],[Фикс 16.09.2024]]+ППД5[[#This Row],[Наценка 01.11.24
СТ: 4%
1К: 34-40м 5%; 40м+ 8%; МГН 1%
2К: 55-70м 6%; 70-73м 7%; 73-76м 8% 
3К: 5%]]</f>
        <v>109283.61600000001</v>
      </c>
      <c r="CI397" s="93"/>
      <c r="CJ397" s="93">
        <f>ППД5[[#This Row],[Наценка 06.11 13%]]+ППД5[[#This Row],[Фикс 01.11.24]]</f>
        <v>109283.61600000001</v>
      </c>
      <c r="CK397" s="93"/>
      <c r="CL397" s="93">
        <f>ППД5[[#This Row],[Фикс 06.11.24]]+ППД5[[#This Row],[Наценка 18.12.24 распределение КВ]]</f>
        <v>109283.61600000001</v>
      </c>
      <c r="CM397" s="93"/>
      <c r="CN397" s="93">
        <f>ППД5[[#This Row],[Фикс 18.12.24]]+ППД5[[#This Row],[Наценка 10.02.25 +1%
1К: А3
2К: Б3, В3]]</f>
        <v>109283.61600000001</v>
      </c>
      <c r="CO397" s="93">
        <f>ROUND(ППД5[[#This Row],[Фикс 10.02.25]],2)</f>
        <v>109283.62</v>
      </c>
      <c r="CP39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8681500</v>
      </c>
      <c r="CQ397" s="93">
        <f>ROUNDUP(ППД5[[#This Row],[Стоимость до скидки]]+ППД5[[#This Row],[Сумма доплаты]],-2)</f>
        <v>8611600</v>
      </c>
      <c r="CR397" s="68">
        <v>150000</v>
      </c>
      <c r="CS397" s="90"/>
      <c r="CT397" s="68">
        <f>ППД5[[#This Row],[Стоимость до скидки]]*ППД5[[#This Row],[Скидка %]]+ППД5[[#This Row],[Скидка фиксированная]]</f>
        <v>150000</v>
      </c>
      <c r="CU397" s="3">
        <f>ППД5[[#This Row],[Стоимость ОН без отделки со скидкой]]/ППД5[[#This Row],[Расчетная проектная площадь]]</f>
        <v>107395.51863041289</v>
      </c>
      <c r="CV397" s="3">
        <f>ROUND(ППД5[[#This Row],[Стоимость до скидки]]-ППД5[[#This Row],[Итоговая сумма скидки]],2)</f>
        <v>8531500</v>
      </c>
      <c r="CW39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397" s="197"/>
      <c r="CY397" s="332">
        <f>ППД5[[#This Row],[Расхождение]]/ППД5[[#This Row],[Расчетная проектная площадь]]</f>
        <v>-8.0563947633432321E-3</v>
      </c>
      <c r="CZ39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-0.61000000000000654</v>
      </c>
      <c r="DA397" s="3">
        <f>ППД5[[#This Row],[Цена м2 без отделки со скидкой]]+ППД5[[#This Row],[Стоимость отделки]]</f>
        <v>107395.51863041289</v>
      </c>
      <c r="DB397" s="3">
        <f>ППД5[[#This Row],[Стоимость квартиры с отделкой]]-ППД5[[#This Row],[Стоимость ОН без отделки со скидкой]]</f>
        <v>0</v>
      </c>
      <c r="DC397" s="3">
        <f>ППД5[[#This Row],[Цена м2 с отделкой]]*ППД5[[#This Row],[Расчетная проектная площадь]]</f>
        <v>8531500</v>
      </c>
      <c r="DD397" s="3" t="s">
        <v>155</v>
      </c>
      <c r="DE397" s="111" t="s">
        <v>803</v>
      </c>
      <c r="DF397" s="199" t="s">
        <v>172</v>
      </c>
      <c r="DG397" s="245" t="s">
        <v>172</v>
      </c>
      <c r="DH397" s="100" t="b">
        <f>EXACT(ППД5[[#This Row],[Статусы CRM]],ППД5[[#This Row],[Статус]])</f>
        <v>1</v>
      </c>
      <c r="DI397" s="213" t="s">
        <v>569</v>
      </c>
      <c r="DJ397" s="204"/>
      <c r="DK397" s="111" t="s">
        <v>763</v>
      </c>
      <c r="DL397" s="216" t="s">
        <v>12</v>
      </c>
      <c r="DM397" s="201" t="b">
        <f>ППД5[[#This Row],[Отделка CRM]]=ППД5[[#This Row],[Отделка]]</f>
        <v>1</v>
      </c>
      <c r="DN397" s="203">
        <v>8531500</v>
      </c>
      <c r="DO39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97" s="207" t="b">
        <f>IF(AND(ППД5[[#This Row],[Статус]]="свободно",ППД5[[#This Row],[Итоговая сумма скидки]]&lt;&gt;0),FALSE,TRUE)</f>
        <v>1</v>
      </c>
      <c r="DQ397" s="240">
        <f>_xlfn.XLOOKUP(ППД5[[#This Row],[№]],Юрист[№ кв],Юрист[Дата подачи на регистрацию]," ",0,-1)</f>
        <v>45467</v>
      </c>
      <c r="DR397" s="115" t="str">
        <f>_xlfn.XLOOKUP(ППД5[[#This Row],[№]],Юрист[№ кв],Юрист[МОП],"",0,-1)</f>
        <v>Дик</v>
      </c>
      <c r="DS397" s="333" t="s">
        <v>3086</v>
      </c>
      <c r="DT397" s="333" t="s">
        <v>3087</v>
      </c>
      <c r="DU397" s="333">
        <v>73.400000000000006</v>
      </c>
      <c r="DV397" s="111"/>
    </row>
    <row r="398" spans="1:126" hidden="1" x14ac:dyDescent="0.25">
      <c r="A398" s="112">
        <v>396</v>
      </c>
      <c r="B398" s="111" t="s">
        <v>2</v>
      </c>
      <c r="C398" s="111">
        <v>1</v>
      </c>
      <c r="D398" s="115">
        <v>7</v>
      </c>
      <c r="E398" s="111">
        <v>1</v>
      </c>
      <c r="F398" s="105">
        <v>16.79</v>
      </c>
      <c r="G398" s="105"/>
      <c r="H398" s="105"/>
      <c r="I398" s="94">
        <f>SUM(ППД5[[#This Row],[Комната 1]:[Комната 3]])</f>
        <v>16.79</v>
      </c>
      <c r="J398" s="105">
        <v>11.43</v>
      </c>
      <c r="K398" s="105">
        <v>3.56</v>
      </c>
      <c r="L398" s="105"/>
      <c r="M398" s="105"/>
      <c r="N398" s="105">
        <v>6.66</v>
      </c>
      <c r="O398" s="105">
        <v>2.4900000000000002</v>
      </c>
      <c r="P398" s="105"/>
      <c r="Q398" s="105"/>
      <c r="R398" s="105">
        <f>SUM(ППД5[[#This Row],[Лоджия 1]:[Лоджия 3]])</f>
        <v>2.4900000000000002</v>
      </c>
      <c r="S398" s="8">
        <f>ROUND(SUM(ППД5[[#This Row],[Площадь по проекту жилая]:[Лоджия 3]]),2)</f>
        <v>40.93</v>
      </c>
      <c r="T398" s="8">
        <f>ROUND(ППД5[[#This Row],[Площадь по проекту(общая)]]-ППД5[[#This Row],[Летние]],2)</f>
        <v>38.44</v>
      </c>
      <c r="U398" s="91">
        <f>ROUND(ППД5[[#This Row],[Площадь по проекту(общая)]]-(SUM(ППД5[[#This Row],[Лоджия 1]:[Лоджия 3]])/2),2)</f>
        <v>39.69</v>
      </c>
      <c r="V398" s="91">
        <f>IF(ППД5[[#This Row],[Статус]]="продажа",ППД5[[#This Row],[Расчетная проектная площадь]],ППД5[[#This Row],[Расчетная ТП площадь]])</f>
        <v>40.1</v>
      </c>
      <c r="W398" s="91">
        <v>16.899999999999999</v>
      </c>
      <c r="X398" s="91"/>
      <c r="Y398" s="91"/>
      <c r="Z398" s="91">
        <f>SUM(ППД5[[#This Row],[ТП Комната 1]:[ТП Комната 3]])</f>
        <v>16.899999999999999</v>
      </c>
      <c r="AA398" s="91">
        <v>11.4</v>
      </c>
      <c r="AB398" s="91">
        <v>3.7</v>
      </c>
      <c r="AC398" s="91"/>
      <c r="AD398" s="91"/>
      <c r="AE398" s="91">
        <v>6.9</v>
      </c>
      <c r="AF398" s="91">
        <v>1.2</v>
      </c>
      <c r="AG398" s="91"/>
      <c r="AH398" s="91"/>
      <c r="AI398" s="91">
        <f>SUM(ППД5[[#This Row],[ТП Лоджия 1]:[ТП Лоджия 3]])</f>
        <v>1.2</v>
      </c>
      <c r="AJ398" s="95">
        <v>2.4</v>
      </c>
      <c r="AK398" s="91">
        <f>SUM(ППД5[[#This Row],[Площадь по ТП жилая]:[ТП Лоджия 3]])-ППД5[[#This Row],[ТП Летние]]+ППД5[[#This Row],[кроме того прочая
(без коэффициента)]]</f>
        <v>41.3</v>
      </c>
      <c r="AL398" s="95">
        <f>ППД5[[#This Row],[ТП Площадь без летних]]+(ППД5[[#This Row],[ТП Летние]])</f>
        <v>40.1</v>
      </c>
      <c r="AM398" s="91">
        <f>ППД5[[#This Row],[ТП общая S]]-ППД5[[#This Row],[кроме того прочая
(без коэффициента)]]</f>
        <v>38.9</v>
      </c>
      <c r="AN398" s="95">
        <f>SUM(ППД5[[#This Row],[ТП Кухня]:[ТП Коридор]])</f>
        <v>22</v>
      </c>
      <c r="AO398" s="91">
        <f>ППД5[[#This Row],[Расчетная ТП площадь]]-ППД5[[#This Row],[Расчетная проектная площадь]]</f>
        <v>0.41000000000000369</v>
      </c>
      <c r="AP398" s="335">
        <f>ППД5[[#This Row],[Расчетная ТП площадь]]/ППД5[[#This Row],[Расчетная проектная площадь]]-1</f>
        <v>1.0330057949105687E-2</v>
      </c>
      <c r="AQ398" s="91">
        <f>ППД5[[#This Row],[% расхождения]]*ППД5[[#This Row],[Стоимость до скидки]]</f>
        <v>62264.424288234528</v>
      </c>
      <c r="AR398" s="91">
        <f>VLOOKUP(ППД5[[#This Row],[№]],наценкад5[],COLUMN(наценкад5[[#This Row],[Цена м2 с учетом всех K]]),0)</f>
        <v>87195.9375</v>
      </c>
      <c r="AS398" s="8">
        <f>ППД5[[#This Row],[м2 после К]]*5%</f>
        <v>4359.796875</v>
      </c>
      <c r="AT398" s="8">
        <f>ППД5[[#This Row],[м2 после К]]+ППД5[[#This Row],[Повышение 16.08.23 - 5%]]</f>
        <v>91555.734375</v>
      </c>
      <c r="AU398" s="93">
        <f>ППД5[[#This Row],[Фикс 16.08.23]]*3%</f>
        <v>2746.6720312499997</v>
      </c>
      <c r="AV398" s="93">
        <f>ППД5[[#This Row],[Фикс 16.08.23]]+ППД5[[#This Row],[Повышение 29.08.23 - 3%]]</f>
        <v>94302.406406249997</v>
      </c>
      <c r="AW398" s="93">
        <f>ППД5[[#This Row],[Фикс 29.08.23]]*4.5%</f>
        <v>4243.6082882812498</v>
      </c>
      <c r="AX398" s="93">
        <f>ППД5[[#This Row],[Фикс 29.08.23]]+ППД5[[#This Row],[Повышение 06.09.23 СТ и 1К]]</f>
        <v>98546.014694531244</v>
      </c>
      <c r="AY398" s="93"/>
      <c r="AZ398" s="93">
        <f>ППД5[[#This Row],[Повышение 23.10.23  В4 ]]+ППД5[[#This Row],[Фикс 06.09.23]]</f>
        <v>98546.014694531244</v>
      </c>
      <c r="BA398" s="93">
        <f>ППД5[[#This Row],[Фикс 23.10.23]]*5%</f>
        <v>4927.300734726563</v>
      </c>
      <c r="BB398" s="93">
        <f>ППД5[[#This Row],[Повышение 8.11.23 1К 5%]]+ППД5[[#This Row],[Фикс 23.10.23]]</f>
        <v>103473.31542925781</v>
      </c>
      <c r="BC398" s="93"/>
      <c r="BD398" s="93">
        <f>ППД5[[#This Row],[Корректировка 24.11.23 - 1К В5, 2К А2, №233]]+ППД5[[#This Row],[Фикс 8.11.23]]</f>
        <v>103473.31542925781</v>
      </c>
      <c r="BE398" s="93">
        <f>ППД5[[#This Row],[Фикс 8.11.24]]*1%</f>
        <v>1034.7331542925781</v>
      </c>
      <c r="BF398" s="93">
        <f>ППД5[[#This Row],[Наценка за отделку 29.12.23 1%]]+ППД5[[#This Row],[Фикс 8.11.24]]</f>
        <v>104508.04858355039</v>
      </c>
      <c r="BG398" s="93">
        <f>ППД5[[#This Row],[Фикс 29.12.23]]*5%</f>
        <v>5225.4024291775204</v>
      </c>
      <c r="BH398" s="93">
        <f>ППД5[[#This Row],[Фикс 29.12.23]]+ППД5[[#This Row],[Наценка 10.01.24 5%]]</f>
        <v>109733.45101272792</v>
      </c>
      <c r="BI398" s="93">
        <f>120000-ППД5[[#This Row],[Фикс 10.01.24]]</f>
        <v>10266.548987272079</v>
      </c>
      <c r="BJ398" s="93">
        <f>ППД5[[#This Row],[Наценка 26.02.24 1 Этаж]]+ППД5[[#This Row],[Фикс 10.01.24]]</f>
        <v>120000</v>
      </c>
      <c r="BK398" s="93">
        <f>ППД5[[#This Row],[Фикс 26.02.24]]*3%</f>
        <v>3600</v>
      </c>
      <c r="BL398" s="93">
        <f>ППД5[[#This Row],[Фикс 26.02.24]]+ППД5[[#This Row],[Наценка 06.03.24
СТ, 1К - 3%
2К, 3К - 2%]]</f>
        <v>123600</v>
      </c>
      <c r="BM398" s="93"/>
      <c r="BN398" s="93">
        <f>ППД5[[#This Row],[Фикс 06.03.24]]+ППД5[[#This Row],[Наценка Г2+500]]</f>
        <v>123600</v>
      </c>
      <c r="BO398" s="93"/>
      <c r="BP398" s="93">
        <f>ППД5[[#This Row],[Фикс 13.03.25]]+ППД5[[#This Row],[Наценка 20.03.24
2К, 3К - 2%]]</f>
        <v>123600</v>
      </c>
      <c r="BQ398" s="93"/>
      <c r="BR398" s="93">
        <f>ППД5[[#This Row],[Фикс 20.03.24]]+ППД5[[#This Row],[Наценка 08.04.24 
2К: В3 - 150
3К: Г7 +1000]]</f>
        <v>123600</v>
      </c>
      <c r="BS398" s="93"/>
      <c r="BT398" s="93">
        <f>ППД5[[#This Row],[Фикс 08.04.24]]+ППД5[[#This Row],[Наценка 16.05.24 1%
А4,А6,Б3,Б6,Б7,В2,В3,В5,В6,Г1,Г3-Г5]]</f>
        <v>123600</v>
      </c>
      <c r="BU398" s="93"/>
      <c r="BV398" s="93">
        <f>ППД5[[#This Row],[Фикс 16.05.24]]+ППД5[[#This Row],[Наценка 24.05.24
1% - Б4, Б5,Г2,Г6
2% - А1,А3,А5,Б2,Г7]]</f>
        <v>123600</v>
      </c>
      <c r="BW398" s="93"/>
      <c r="BX398" s="93">
        <f>ППД5[[#This Row],[Наценка 06.06.24
0К: В2,Г3 +0,5%
1К: А7, Б5/4, Г6 +0,5%
3К: В6 +0,5%
1К: А3 +1%]]+ППД5[[#This Row],[Фикс 24.05.24]]</f>
        <v>123600</v>
      </c>
      <c r="BY398" s="93"/>
      <c r="BZ398" s="93">
        <f>ППД5[[#This Row],[Фикс 06.06.24]]+ППД5[[#This Row],[13.06.2024
3К - 2%]]</f>
        <v>123600</v>
      </c>
      <c r="CA398" s="93">
        <f>1.5%*ППД5[[#This Row],[Фикс 13.06.24]]</f>
        <v>1854</v>
      </c>
      <c r="CB398" s="93">
        <f>ППД5[[#This Row],[02.07.2024: Г3 А1 А3 Б5 Б7 Г2 Г6 Б3 Б4 В3 Г7 2,5% ост 0,5-1,5%]]+ППД5[[#This Row],[Фикс 13.06.24]]</f>
        <v>125454</v>
      </c>
      <c r="CC398" s="93"/>
      <c r="CD398" s="93">
        <f>ППД5[[#This Row],[Фикс 02.07.24]]+ППД5[[#This Row],[04.09.2024 +500
0К - Б2; 1К - А3;
2К - А6, Б4, В3, Г5]]</f>
        <v>125454</v>
      </c>
      <c r="CE398" s="93">
        <f>ППД5[[#This Row],[Фикс 04.09.24]]*2%</f>
        <v>2509.08</v>
      </c>
      <c r="CF398" s="93">
        <f>ППД5[[#This Row],[Наценка 16.09.2024
1К: А1,В7,Г6/7,Г8 - 2%
2К: А4,А5,А6,Б1,Б6,Б3/4,В3,В4,Г4,Г5 - 4%
3К: 4%]]+ППД5[[#This Row],[Фикс 04.09.24]]</f>
        <v>127963.08</v>
      </c>
      <c r="CG398" s="93">
        <f>ППД5[[#This Row],[Фикс 16.09.2024]]*5%</f>
        <v>6398.1540000000005</v>
      </c>
      <c r="CH398" s="93">
        <f>ППД5[[#This Row],[Фикс 16.09.2024]]+ППД5[[#This Row],[Наценка 01.11.24
СТ: 4%
1К: 34-40м 5%; 40м+ 8%; МГН 1%
2К: 55-70м 6%; 70-73м 7%; 73-76м 8% 
3К: 5%]]</f>
        <v>134361.234</v>
      </c>
      <c r="CI398" s="93">
        <f>ППД5[[#This Row],[Фикс 01.11.24]]*13%</f>
        <v>17466.960419999999</v>
      </c>
      <c r="CJ398" s="93">
        <f>ППД5[[#This Row],[Наценка 06.11 13%]]+ППД5[[#This Row],[Фикс 01.11.24]]</f>
        <v>151828.19441999999</v>
      </c>
      <c r="CK398" s="93">
        <v>35</v>
      </c>
      <c r="CL398" s="93">
        <f>ППД5[[#This Row],[Фикс 06.11.24]]+ППД5[[#This Row],[Наценка 18.12.24 распределение КВ]]</f>
        <v>151863.19441999999</v>
      </c>
      <c r="CM398" s="93"/>
      <c r="CN398" s="93">
        <f>ППД5[[#This Row],[Фикс 18.12.24]]+ППД5[[#This Row],[Наценка 10.02.25 +1%
1К: А3
2К: Б3, В3]]</f>
        <v>151863.19441999999</v>
      </c>
      <c r="CO398" s="93">
        <f>ROUND(ППД5[[#This Row],[Фикс 10.02.25]],2)</f>
        <v>151863.19</v>
      </c>
      <c r="CP39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6027500</v>
      </c>
      <c r="CQ398" s="93">
        <f>ROUNDUP(ППД5[[#This Row],[Стоимость до скидки]]+ППД5[[#This Row],[Сумма доплаты]],-2)</f>
        <v>6089800</v>
      </c>
      <c r="CR398" s="68"/>
      <c r="CS398" s="90"/>
      <c r="CT398" s="68">
        <f>ППД5[[#This Row],[Стоимость до скидки]]*ППД5[[#This Row],[Скидка %]]+ППД5[[#This Row],[Скидка фиксированная]]</f>
        <v>0</v>
      </c>
      <c r="CU398" s="3">
        <f>ППД5[[#This Row],[Стоимость ОН без отделки со скидкой]]/ППД5[[#This Row],[Расчетная проектная площадь]]</f>
        <v>151864.4494834971</v>
      </c>
      <c r="CV398" s="3">
        <f>ROUND(ППД5[[#This Row],[Стоимость до скидки]]-ППД5[[#This Row],[Итоговая сумма скидки]],2)</f>
        <v>6027500</v>
      </c>
      <c r="CW39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398" s="197">
        <v>25000</v>
      </c>
      <c r="CY398" s="332">
        <f>ППД5[[#This Row],[Расхождение]]/ППД5[[#This Row],[Расчетная проектная площадь]]</f>
        <v>1.0330057949105662E-2</v>
      </c>
      <c r="CZ39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0.34999999999999964</v>
      </c>
      <c r="DA398" s="3">
        <f>ППД5[[#This Row],[Цена м2 без отделки со скидкой]]+ППД5[[#This Row],[Стоимость отделки]]</f>
        <v>176864.4494834971</v>
      </c>
      <c r="DB398" s="3">
        <f>ППД5[[#This Row],[Стоимость квартиры с отделкой]]-ППД5[[#This Row],[Стоимость ОН без отделки со скидкой]]</f>
        <v>992249.99999999907</v>
      </c>
      <c r="DC398" s="3">
        <f>ППД5[[#This Row],[Цена м2 с отделкой]]*ППД5[[#This Row],[Расчетная проектная площадь]]</f>
        <v>7019749.9999999991</v>
      </c>
      <c r="DD398" s="3"/>
      <c r="DF398" s="199" t="s">
        <v>157</v>
      </c>
      <c r="DG398" s="245" t="s">
        <v>157</v>
      </c>
      <c r="DH398" s="100" t="b">
        <f>EXACT(ППД5[[#This Row],[Статусы CRM]],ППД5[[#This Row],[Статус]])</f>
        <v>1</v>
      </c>
      <c r="DI398" s="213" t="s">
        <v>570</v>
      </c>
      <c r="DJ398" s="204"/>
      <c r="DK398" s="111" t="s">
        <v>763</v>
      </c>
      <c r="DL398" s="216" t="s">
        <v>14</v>
      </c>
      <c r="DM398" s="201" t="b">
        <f>ППД5[[#This Row],[Отделка CRM]]=ППД5[[#This Row],[Отделка]]</f>
        <v>1</v>
      </c>
      <c r="DN398" s="203">
        <v>7019750</v>
      </c>
      <c r="DO39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9.3132257461547852E-10</v>
      </c>
      <c r="DP398" s="207" t="b">
        <f>IF(AND(ППД5[[#This Row],[Статус]]="свободно",ППД5[[#This Row],[Итоговая сумма скидки]]&lt;&gt;0),FALSE,TRUE)</f>
        <v>1</v>
      </c>
      <c r="DQ398" s="240" t="str">
        <f>_xlfn.XLOOKUP(ППД5[[#This Row],[№]],Юрист[№ кв],Юрист[Дата подачи на регистрацию]," ",0,-1)</f>
        <v xml:space="preserve"> </v>
      </c>
      <c r="DR398" s="115" t="str">
        <f>_xlfn.XLOOKUP(ППД5[[#This Row],[№]],Юрист[№ кв],Юрист[МОП],"",0,-1)</f>
        <v/>
      </c>
      <c r="DS398" s="333" t="s">
        <v>3088</v>
      </c>
      <c r="DT398" s="333" t="s">
        <v>3089</v>
      </c>
      <c r="DU398" s="333">
        <v>38.9</v>
      </c>
      <c r="DV398" s="111"/>
    </row>
    <row r="399" spans="1:126" hidden="1" x14ac:dyDescent="0.25">
      <c r="A399" s="112">
        <v>397</v>
      </c>
      <c r="B399" s="111" t="s">
        <v>2</v>
      </c>
      <c r="C399" s="111">
        <v>2</v>
      </c>
      <c r="D399" s="338">
        <v>1</v>
      </c>
      <c r="E399" s="111">
        <v>0</v>
      </c>
      <c r="F399" s="105">
        <v>13.74</v>
      </c>
      <c r="G399" s="105"/>
      <c r="H399" s="105"/>
      <c r="I399" s="94">
        <f>SUM(ППД5[[#This Row],[Комната 1]:[Комната 3]])</f>
        <v>13.74</v>
      </c>
      <c r="J399" s="105">
        <v>5.84</v>
      </c>
      <c r="K399" s="105">
        <v>3.76</v>
      </c>
      <c r="L399" s="105"/>
      <c r="M399" s="105"/>
      <c r="N399" s="105">
        <v>3.73</v>
      </c>
      <c r="O399" s="105">
        <v>4.6500000000000004</v>
      </c>
      <c r="P399" s="105"/>
      <c r="Q399" s="105"/>
      <c r="R399" s="105">
        <f>SUM(ППД5[[#This Row],[Лоджия 1]:[Лоджия 3]])</f>
        <v>4.6500000000000004</v>
      </c>
      <c r="S399" s="8">
        <f>ROUND(SUM(ППД5[[#This Row],[Площадь по проекту жилая]:[Лоджия 3]]),2)</f>
        <v>31.72</v>
      </c>
      <c r="T399" s="8">
        <f>ROUND(ППД5[[#This Row],[Площадь по проекту(общая)]]-ППД5[[#This Row],[Летние]],2)</f>
        <v>27.07</v>
      </c>
      <c r="U399" s="91">
        <f>ROUND(ППД5[[#This Row],[Площадь по проекту(общая)]]-(SUM(ППД5[[#This Row],[Лоджия 1]:[Лоджия 3]])/2),2)</f>
        <v>29.4</v>
      </c>
      <c r="V399" s="91">
        <f>IF(ППД5[[#This Row],[Статус]]="продажа",ППД5[[#This Row],[Расчетная проектная площадь]],ППД5[[#This Row],[Расчетная ТП площадь]])</f>
        <v>29.4</v>
      </c>
      <c r="W399" s="91">
        <v>13.7</v>
      </c>
      <c r="X399" s="91"/>
      <c r="Y399" s="91"/>
      <c r="Z399" s="91">
        <f>SUM(ППД5[[#This Row],[ТП Комната 1]:[ТП Комната 3]])</f>
        <v>13.7</v>
      </c>
      <c r="AA399" s="91">
        <v>5.8</v>
      </c>
      <c r="AB399" s="91">
        <v>3.8</v>
      </c>
      <c r="AC399" s="91"/>
      <c r="AD399" s="91"/>
      <c r="AE399" s="91">
        <v>3.7</v>
      </c>
      <c r="AF399" s="91">
        <v>2.2999999999999998</v>
      </c>
      <c r="AG399" s="91"/>
      <c r="AH399" s="91"/>
      <c r="AI399" s="91">
        <f>SUM(ППД5[[#This Row],[ТП Лоджия 1]:[ТП Лоджия 3]])</f>
        <v>2.2999999999999998</v>
      </c>
      <c r="AJ399" s="95">
        <v>4.5999999999999996</v>
      </c>
      <c r="AK399" s="91">
        <f>SUM(ППД5[[#This Row],[Площадь по ТП жилая]:[ТП Лоджия 3]])-ППД5[[#This Row],[ТП Летние]]+ППД5[[#This Row],[кроме того прочая
(без коэффициента)]]</f>
        <v>31.6</v>
      </c>
      <c r="AL399" s="95">
        <f>ППД5[[#This Row],[ТП Площадь без летних]]+(ППД5[[#This Row],[ТП Летние]])</f>
        <v>29.3</v>
      </c>
      <c r="AM399" s="91">
        <f>ППД5[[#This Row],[ТП общая S]]-ППД5[[#This Row],[кроме того прочая
(без коэффициента)]]</f>
        <v>27</v>
      </c>
      <c r="AN399" s="95">
        <f>SUM(ППД5[[#This Row],[ТП Кухня]:[ТП Коридор]])</f>
        <v>13.3</v>
      </c>
      <c r="AO399" s="91">
        <f>ППД5[[#This Row],[Расчетная ТП площадь]]-ППД5[[#This Row],[Расчетная проектная площадь]]</f>
        <v>-9.9999999999997868E-2</v>
      </c>
      <c r="AP399" s="335">
        <f>ППД5[[#This Row],[Расчетная ТП площадь]]/ППД5[[#This Row],[Расчетная проектная площадь]]-1</f>
        <v>-3.4013605442175798E-3</v>
      </c>
      <c r="AQ399" s="91">
        <f>ППД5[[#This Row],[% расхождения]]*ППД5[[#This Row],[Стоимость до скидки]]</f>
        <v>-9022.9549999997162</v>
      </c>
      <c r="AR399" s="91">
        <f>VLOOKUP(ППД5[[#This Row],[№]],наценкад5[],COLUMN(наценкад5[[#This Row],[Цена м2 с учетом всех K]]),0)</f>
        <v>90229.544999999998</v>
      </c>
      <c r="AS399" s="8"/>
      <c r="AT399" s="8">
        <f>ППД5[[#This Row],[м2 после К]]+ППД5[[#This Row],[Повышение 16.08.23 - 5%]]</f>
        <v>90229.544999999998</v>
      </c>
      <c r="AU399" s="93"/>
      <c r="AV399" s="93">
        <f>ППД5[[#This Row],[Фикс 16.08.23]]+ППД5[[#This Row],[Повышение 29.08.23 - 3%]]</f>
        <v>90229.544999999998</v>
      </c>
      <c r="AW399" s="93"/>
      <c r="AX399" s="93">
        <f>ППД5[[#This Row],[Фикс 29.08.23]]+ППД5[[#This Row],[Повышение 06.09.23 СТ и 1К]]</f>
        <v>90229.544999999998</v>
      </c>
      <c r="AY399" s="93"/>
      <c r="AZ399" s="93">
        <f>ППД5[[#This Row],[Повышение 23.10.23  В4 ]]+ППД5[[#This Row],[Фикс 06.09.23]]</f>
        <v>90229.544999999998</v>
      </c>
      <c r="BA399" s="93"/>
      <c r="BB399" s="93">
        <f>ППД5[[#This Row],[Повышение 8.11.23 1К 5%]]+ППД5[[#This Row],[Фикс 23.10.23]]</f>
        <v>90229.544999999998</v>
      </c>
      <c r="BC399" s="93"/>
      <c r="BD399" s="93">
        <f>ППД5[[#This Row],[Корректировка 24.11.23 - 1К В5, 2К А2, №233]]+ППД5[[#This Row],[Фикс 8.11.23]]</f>
        <v>90229.544999999998</v>
      </c>
      <c r="BE399" s="93"/>
      <c r="BF399" s="93">
        <f>ППД5[[#This Row],[Наценка за отделку 29.12.23 1%]]+ППД5[[#This Row],[Фикс 8.11.24]]</f>
        <v>90229.544999999998</v>
      </c>
      <c r="BG399" s="93"/>
      <c r="BH399" s="93">
        <f>ППД5[[#This Row],[Фикс 29.12.23]]+ППД5[[#This Row],[Наценка 10.01.24 5%]]</f>
        <v>90229.544999999998</v>
      </c>
      <c r="BI399" s="93"/>
      <c r="BJ399" s="93">
        <f>ППД5[[#This Row],[Наценка 26.02.24 1 Этаж]]+ППД5[[#This Row],[Фикс 10.01.24]]</f>
        <v>90229.544999999998</v>
      </c>
      <c r="BK399" s="93"/>
      <c r="BL399" s="93">
        <f>ППД5[[#This Row],[Фикс 26.02.24]]+ППД5[[#This Row],[Наценка 06.03.24
СТ, 1К - 3%
2К, 3К - 2%]]</f>
        <v>90229.544999999998</v>
      </c>
      <c r="BM399" s="93"/>
      <c r="BN399" s="93">
        <f>ППД5[[#This Row],[Фикс 06.03.24]]+ППД5[[#This Row],[Наценка Г2+500]]</f>
        <v>90229.544999999998</v>
      </c>
      <c r="BO399" s="93"/>
      <c r="BP399" s="93">
        <f>ППД5[[#This Row],[Фикс 13.03.25]]+ППД5[[#This Row],[Наценка 20.03.24
2К, 3К - 2%]]</f>
        <v>90229.544999999998</v>
      </c>
      <c r="BQ399" s="93"/>
      <c r="BR399" s="93">
        <f>ППД5[[#This Row],[Фикс 20.03.24]]+ППД5[[#This Row],[Наценка 08.04.24 
2К: В3 - 150
3К: Г7 +1000]]</f>
        <v>90229.544999999998</v>
      </c>
      <c r="BS399" s="93"/>
      <c r="BT399" s="93">
        <f>ППД5[[#This Row],[Фикс 08.04.24]]+ППД5[[#This Row],[Наценка 16.05.24 1%
А4,А6,Б3,Б6,Б7,В2,В3,В5,В6,Г1,Г3-Г5]]</f>
        <v>90229.544999999998</v>
      </c>
      <c r="BU399" s="93"/>
      <c r="BV399" s="93">
        <f>ППД5[[#This Row],[Фикс 16.05.24]]+ППД5[[#This Row],[Наценка 24.05.24
1% - Б4, Б5,Г2,Г6
2% - А1,А3,А5,Б2,Г7]]</f>
        <v>90229.544999999998</v>
      </c>
      <c r="BW399" s="93"/>
      <c r="BX399" s="93">
        <f>ППД5[[#This Row],[Наценка 06.06.24
0К: В2,Г3 +0,5%
1К: А7, Б5/4, Г6 +0,5%
3К: В6 +0,5%
1К: А3 +1%]]+ППД5[[#This Row],[Фикс 24.05.24]]</f>
        <v>90229.544999999998</v>
      </c>
      <c r="BY399" s="93"/>
      <c r="BZ399" s="93">
        <f>ППД5[[#This Row],[Фикс 06.06.24]]+ППД5[[#This Row],[13.06.2024
3К - 2%]]</f>
        <v>90229.544999999998</v>
      </c>
      <c r="CA399" s="93"/>
      <c r="CB399" s="93">
        <f>ППД5[[#This Row],[02.07.2024: Г3 А1 А3 Б5 Б7 Г2 Г6 Б3 Б4 В3 Г7 2,5% ост 0,5-1,5%]]+ППД5[[#This Row],[Фикс 13.06.24]]</f>
        <v>90229.544999999998</v>
      </c>
      <c r="CC399" s="93"/>
      <c r="CD399" s="93">
        <f>ППД5[[#This Row],[Фикс 02.07.24]]+ППД5[[#This Row],[04.09.2024 +500
0К - Б2; 1К - А3;
2К - А6, Б4, В3, Г5]]</f>
        <v>90229.544999999998</v>
      </c>
      <c r="CE399" s="93"/>
      <c r="CF399" s="93">
        <f>ППД5[[#This Row],[Наценка 16.09.2024
1К: А1,В7,Г6/7,Г8 - 2%
2К: А4,А5,А6,Б1,Б6,Б3/4,В3,В4,Г4,Г5 - 4%
3К: 4%]]+ППД5[[#This Row],[Фикс 04.09.24]]</f>
        <v>90229.544999999998</v>
      </c>
      <c r="CG399" s="93"/>
      <c r="CH399" s="93">
        <f>ППД5[[#This Row],[Фикс 16.09.2024]]+ППД5[[#This Row],[Наценка 01.11.24
СТ: 4%
1К: 34-40м 5%; 40м+ 8%; МГН 1%
2К: 55-70м 6%; 70-73м 7%; 73-76м 8% 
3К: 5%]]</f>
        <v>90229.544999999998</v>
      </c>
      <c r="CI399" s="93"/>
      <c r="CJ399" s="93">
        <f>ППД5[[#This Row],[Наценка 06.11 13%]]+ППД5[[#This Row],[Фикс 01.11.24]]</f>
        <v>90229.544999999998</v>
      </c>
      <c r="CK399" s="93"/>
      <c r="CL399" s="93">
        <f>ППД5[[#This Row],[Фикс 06.11.24]]+ППД5[[#This Row],[Наценка 18.12.24 распределение КВ]]</f>
        <v>90229.544999999998</v>
      </c>
      <c r="CM399" s="93"/>
      <c r="CN399" s="93">
        <f>ППД5[[#This Row],[Фикс 18.12.24]]+ППД5[[#This Row],[Наценка 10.02.25 +1%
1К: А3
2К: Б3, В3]]</f>
        <v>90229.544999999998</v>
      </c>
      <c r="CO399" s="93">
        <f>ROUND(ППД5[[#This Row],[Фикс 10.02.25]],2)</f>
        <v>90229.55</v>
      </c>
      <c r="CP39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2652748.77</v>
      </c>
      <c r="CQ399" s="93">
        <f>ROUNDUP(ППД5[[#This Row],[Стоимость до скидки]]+ППД5[[#This Row],[Сумма доплаты]],-2)</f>
        <v>2643800</v>
      </c>
      <c r="CR399" s="68"/>
      <c r="CS399" s="90"/>
      <c r="CT399" s="68">
        <f>ППД5[[#This Row],[Стоимость до скидки]]*ППД5[[#This Row],[Скидка %]]+ППД5[[#This Row],[Скидка фиксированная]]</f>
        <v>0</v>
      </c>
      <c r="CU399" s="3">
        <f>ППД5[[#This Row],[Стоимость ОН без отделки со скидкой]]/ППД5[[#This Row],[Расчетная проектная площадь]]</f>
        <v>90229.55</v>
      </c>
      <c r="CV399" s="3">
        <f>ROUND(ППД5[[#This Row],[Стоимость до скидки]]-ППД5[[#This Row],[Итоговая сумма скидки]],2)</f>
        <v>2652748.77</v>
      </c>
      <c r="CW39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399" s="197">
        <v>4500</v>
      </c>
      <c r="CY399" s="332">
        <f>ППД5[[#This Row],[Расхождение]]/ППД5[[#This Row],[Расчетная проектная площадь]]</f>
        <v>-3.4013605442176145E-3</v>
      </c>
      <c r="CZ39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-2.9999999999999361E-2</v>
      </c>
      <c r="DA399" s="3">
        <f>ППД5[[#This Row],[Цена м2 без отделки со скидкой]]+ППД5[[#This Row],[Стоимость отделки]]</f>
        <v>94729.55</v>
      </c>
      <c r="DB399" s="3">
        <f>ППД5[[#This Row],[Стоимость квартиры с отделкой]]-ППД5[[#This Row],[Стоимость ОН без отделки со скидкой]]</f>
        <v>132300</v>
      </c>
      <c r="DC399" s="3">
        <f>ППД5[[#This Row],[Цена м2 с отделкой]]*ППД5[[#This Row],[Расчетная проектная площадь]]</f>
        <v>2785048.77</v>
      </c>
      <c r="DD399" s="3"/>
      <c r="DF399" s="199" t="s">
        <v>172</v>
      </c>
      <c r="DG399" s="245" t="s">
        <v>172</v>
      </c>
      <c r="DH399" s="100" t="b">
        <f>EXACT(ППД5[[#This Row],[Статусы CRM]],ППД5[[#This Row],[Статус]])</f>
        <v>1</v>
      </c>
      <c r="DI399" s="213" t="s">
        <v>571</v>
      </c>
      <c r="DJ399" s="204"/>
      <c r="DK399" s="111" t="s">
        <v>76</v>
      </c>
      <c r="DL399" s="216" t="s">
        <v>13</v>
      </c>
      <c r="DM399" s="201" t="b">
        <f>ППД5[[#This Row],[Отделка CRM]]=ППД5[[#This Row],[Отделка]]</f>
        <v>1</v>
      </c>
      <c r="DN399" s="203">
        <v>2785048.77</v>
      </c>
      <c r="DO39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399" s="207" t="b">
        <f>IF(AND(ППД5[[#This Row],[Статус]]="свободно",ППД5[[#This Row],[Итоговая сумма скидки]]&lt;&gt;0),FALSE,TRUE)</f>
        <v>1</v>
      </c>
      <c r="DQ399" s="240">
        <f>_xlfn.XLOOKUP(ППД5[[#This Row],[№]],Юрист[№ кв],Юрист[Дата подачи на регистрацию]," ",0,-1)</f>
        <v>45188</v>
      </c>
      <c r="DR399" s="115" t="str">
        <f>_xlfn.XLOOKUP(ППД5[[#This Row],[№]],Юрист[№ кв],Юрист[МОП],"",0,-1)</f>
        <v>Дик</v>
      </c>
      <c r="DS399" s="333" t="s">
        <v>3090</v>
      </c>
      <c r="DT399" s="333" t="s">
        <v>3091</v>
      </c>
      <c r="DU399" s="333">
        <v>27</v>
      </c>
      <c r="DV399" s="111"/>
    </row>
    <row r="400" spans="1:126" hidden="1" x14ac:dyDescent="0.25">
      <c r="A400" s="112">
        <v>398</v>
      </c>
      <c r="B400" s="111" t="s">
        <v>2</v>
      </c>
      <c r="C400" s="111">
        <v>2</v>
      </c>
      <c r="D400" s="115">
        <v>2</v>
      </c>
      <c r="E400" s="111">
        <v>1</v>
      </c>
      <c r="F400" s="105">
        <v>13.17</v>
      </c>
      <c r="G400" s="105"/>
      <c r="H400" s="105"/>
      <c r="I400" s="94">
        <f>SUM(ППД5[[#This Row],[Комната 1]:[Комната 3]])</f>
        <v>13.17</v>
      </c>
      <c r="J400" s="105">
        <v>16.940000000000001</v>
      </c>
      <c r="K400" s="105">
        <v>3.55</v>
      </c>
      <c r="L400" s="105">
        <v>2.41</v>
      </c>
      <c r="M400" s="105"/>
      <c r="N400" s="105">
        <v>5.8</v>
      </c>
      <c r="O400" s="105">
        <v>2.68</v>
      </c>
      <c r="P400" s="105"/>
      <c r="Q400" s="105"/>
      <c r="R400" s="105">
        <f>SUM(ППД5[[#This Row],[Лоджия 1]:[Лоджия 3]])</f>
        <v>2.68</v>
      </c>
      <c r="S400" s="8">
        <f>ROUND(SUM(ППД5[[#This Row],[Площадь по проекту жилая]:[Лоджия 3]]),2)</f>
        <v>44.55</v>
      </c>
      <c r="T400" s="8">
        <f>ROUND(ППД5[[#This Row],[Площадь по проекту(общая)]]-ППД5[[#This Row],[Летние]],2)</f>
        <v>41.87</v>
      </c>
      <c r="U400" s="91">
        <f>ROUND(ППД5[[#This Row],[Площадь по проекту(общая)]]-(SUM(ППД5[[#This Row],[Лоджия 1]:[Лоджия 3]])/2),2)</f>
        <v>43.21</v>
      </c>
      <c r="V400" s="91">
        <f>IF(ППД5[[#This Row],[Статус]]="продажа",ППД5[[#This Row],[Расчетная проектная площадь]],ППД5[[#This Row],[Расчетная ТП площадь]])</f>
        <v>43.21</v>
      </c>
      <c r="W400" s="91">
        <v>12.9</v>
      </c>
      <c r="X400" s="91"/>
      <c r="Y400" s="91"/>
      <c r="Z400" s="91">
        <f>SUM(ППД5[[#This Row],[ТП Комната 1]:[ТП Комната 3]])</f>
        <v>12.9</v>
      </c>
      <c r="AA400" s="91">
        <v>16.8</v>
      </c>
      <c r="AB400" s="91">
        <v>2.1</v>
      </c>
      <c r="AC400" s="91">
        <v>3.3</v>
      </c>
      <c r="AD400" s="91"/>
      <c r="AE400" s="91">
        <v>5.8</v>
      </c>
      <c r="AF400" s="91">
        <v>1.35</v>
      </c>
      <c r="AG400" s="91"/>
      <c r="AH400" s="91"/>
      <c r="AI400" s="91">
        <f>SUM(ППД5[[#This Row],[ТП Лоджия 1]:[ТП Лоджия 3]])</f>
        <v>1.35</v>
      </c>
      <c r="AJ400" s="95">
        <v>2.7</v>
      </c>
      <c r="AK400" s="91">
        <f>SUM(ППД5[[#This Row],[Площадь по ТП жилая]:[ТП Лоджия 3]])-ППД5[[#This Row],[ТП Летние]]+ППД5[[#This Row],[кроме того прочая
(без коэффициента)]]</f>
        <v>43.6</v>
      </c>
      <c r="AL400" s="95">
        <f>ППД5[[#This Row],[ТП Площадь без летних]]+(ППД5[[#This Row],[ТП Летние]])</f>
        <v>42.25</v>
      </c>
      <c r="AM400" s="91">
        <f>ППД5[[#This Row],[ТП общая S]]-ППД5[[#This Row],[кроме того прочая
(без коэффициента)]]</f>
        <v>40.9</v>
      </c>
      <c r="AN400" s="95">
        <f>SUM(ППД5[[#This Row],[ТП Кухня]:[ТП Коридор]])</f>
        <v>28.000000000000004</v>
      </c>
      <c r="AO400" s="91">
        <f>ППД5[[#This Row],[Расчетная ТП площадь]]-ППД5[[#This Row],[Расчетная проектная площадь]]</f>
        <v>-0.96000000000000085</v>
      </c>
      <c r="AP400" s="335">
        <f>ППД5[[#This Row],[Расчетная ТП площадь]]/ППД5[[#This Row],[Расчетная проектная площадь]]-1</f>
        <v>-2.2217079379773241E-2</v>
      </c>
      <c r="AQ400" s="91">
        <f>ППД5[[#This Row],[% расхождения]]*ППД5[[#This Row],[Стоимость до скидки]]</f>
        <v>-131287.38717889402</v>
      </c>
      <c r="AR400" s="91">
        <f>VLOOKUP(ППД5[[#This Row],[№]],наценкад5[],COLUMN(наценкад5[[#This Row],[Цена м2 с учетом всех K]]),0)</f>
        <v>85979.25</v>
      </c>
      <c r="AS400" s="8">
        <f>ППД5[[#This Row],[м2 после К]]*5%</f>
        <v>4298.9625000000005</v>
      </c>
      <c r="AT400" s="8">
        <f>ППД5[[#This Row],[м2 после К]]+ППД5[[#This Row],[Повышение 16.08.23 - 5%]]</f>
        <v>90278.212499999994</v>
      </c>
      <c r="AU400" s="93">
        <f>ППД5[[#This Row],[Фикс 16.08.23]]*3%</f>
        <v>2708.3463749999996</v>
      </c>
      <c r="AV400" s="93">
        <f>ППД5[[#This Row],[Фикс 16.08.23]]+ППД5[[#This Row],[Повышение 29.08.23 - 3%]]</f>
        <v>92986.558874999988</v>
      </c>
      <c r="AW400" s="93">
        <f>ППД5[[#This Row],[Фикс 29.08.23]]*1%</f>
        <v>929.86558874999992</v>
      </c>
      <c r="AX400" s="93">
        <f>ППД5[[#This Row],[Фикс 29.08.23]]+ППД5[[#This Row],[Повышение 06.09.23 СТ и 1К]]</f>
        <v>93916.424463749994</v>
      </c>
      <c r="AY400" s="93"/>
      <c r="AZ400" s="93">
        <f>ППД5[[#This Row],[Повышение 23.10.23  В4 ]]+ППД5[[#This Row],[Фикс 06.09.23]]</f>
        <v>93916.424463749994</v>
      </c>
      <c r="BA400" s="93">
        <f>ППД5[[#This Row],[Фикс 23.10.23]]*5%</f>
        <v>4695.8212231874995</v>
      </c>
      <c r="BB400" s="93">
        <f>ППД5[[#This Row],[Повышение 8.11.23 1К 5%]]+ППД5[[#This Row],[Фикс 23.10.23]]</f>
        <v>98612.245686937487</v>
      </c>
      <c r="BC400" s="93"/>
      <c r="BD400" s="93">
        <f>ППД5[[#This Row],[Корректировка 24.11.23 - 1К В5, 2К А2, №233]]+ППД5[[#This Row],[Фикс 8.11.23]]</f>
        <v>98612.245686937487</v>
      </c>
      <c r="BE400" s="93">
        <f>ППД5[[#This Row],[Фикс 8.11.24]]*1%</f>
        <v>986.1224568693749</v>
      </c>
      <c r="BF400" s="93">
        <f>ППД5[[#This Row],[Наценка за отделку 29.12.23 1%]]+ППД5[[#This Row],[Фикс 8.11.24]]</f>
        <v>99598.36814380686</v>
      </c>
      <c r="BG400" s="93">
        <f>ППД5[[#This Row],[Фикс 29.12.23]]*5%</f>
        <v>4979.9184071903437</v>
      </c>
      <c r="BH400" s="93">
        <f>ППД5[[#This Row],[Фикс 29.12.23]]+ППД5[[#This Row],[Наценка 10.01.24 5%]]</f>
        <v>104578.2865509972</v>
      </c>
      <c r="BI400" s="93"/>
      <c r="BJ400" s="93">
        <f>ППД5[[#This Row],[Наценка 26.02.24 1 Этаж]]+ППД5[[#This Row],[Фикс 10.01.24]]</f>
        <v>104578.2865509972</v>
      </c>
      <c r="BK400" s="93">
        <f>ППД5[[#This Row],[Фикс 26.02.24]]*3%</f>
        <v>3137.348596529916</v>
      </c>
      <c r="BL400" s="93">
        <f>ППД5[[#This Row],[Фикс 26.02.24]]+ППД5[[#This Row],[Наценка 06.03.24
СТ, 1К - 3%
2К, 3К - 2%]]</f>
        <v>107715.63514752712</v>
      </c>
      <c r="BM400" s="93">
        <v>500</v>
      </c>
      <c r="BN400" s="93">
        <f>ППД5[[#This Row],[Фикс 06.03.24]]+ППД5[[#This Row],[Наценка Г2+500]]</f>
        <v>108215.63514752712</v>
      </c>
      <c r="BO400" s="93"/>
      <c r="BP400" s="93">
        <f>ППД5[[#This Row],[Фикс 13.03.25]]+ППД5[[#This Row],[Наценка 20.03.24
2К, 3К - 2%]]</f>
        <v>108215.63514752712</v>
      </c>
      <c r="BQ400" s="93"/>
      <c r="BR400" s="93">
        <f>ППД5[[#This Row],[Фикс 20.03.24]]+ППД5[[#This Row],[Наценка 08.04.24 
2К: В3 - 150
3К: Г7 +1000]]</f>
        <v>108215.63514752712</v>
      </c>
      <c r="BS400" s="93"/>
      <c r="BT400" s="93">
        <f>ППД5[[#This Row],[Фикс 08.04.24]]+ППД5[[#This Row],[Наценка 16.05.24 1%
А4,А6,Б3,Б6,Б7,В2,В3,В5,В6,Г1,Г3-Г5]]</f>
        <v>108215.63514752712</v>
      </c>
      <c r="BU400" s="93">
        <f>ППД5[[#This Row],[Фикс 16.05.24]]*1%</f>
        <v>1082.1563514752713</v>
      </c>
      <c r="BV400" s="93">
        <f>ППД5[[#This Row],[Фикс 16.05.24]]+ППД5[[#This Row],[Наценка 24.05.24
1% - Б4, Б5,Г2,Г6
2% - А1,А3,А5,Б2,Г7]]</f>
        <v>109297.7914990024</v>
      </c>
      <c r="BW400" s="93"/>
      <c r="BX400" s="93">
        <f>ППД5[[#This Row],[Наценка 06.06.24
0К: В2,Г3 +0,5%
1К: А7, Б5/4, Г6 +0,5%
3К: В6 +0,5%
1К: А3 +1%]]+ППД5[[#This Row],[Фикс 24.05.24]]</f>
        <v>109297.7914990024</v>
      </c>
      <c r="BY400" s="93"/>
      <c r="BZ400" s="93">
        <f>ППД5[[#This Row],[Фикс 06.06.24]]+ППД5[[#This Row],[13.06.2024
3К - 2%]]</f>
        <v>109297.7914990024</v>
      </c>
      <c r="CA400" s="93">
        <f>2.5%*ППД5[[#This Row],[Фикс 13.06.24]]</f>
        <v>2732.4447874750604</v>
      </c>
      <c r="CB400" s="93">
        <f>ППД5[[#This Row],[02.07.2024: Г3 А1 А3 Б5 Б7 Г2 Г6 Б3 Б4 В3 Г7 2,5% ост 0,5-1,5%]]+ППД5[[#This Row],[Фикс 13.06.24]]</f>
        <v>112030.23628647746</v>
      </c>
      <c r="CC400" s="93"/>
      <c r="CD400" s="93">
        <f>ППД5[[#This Row],[Фикс 02.07.24]]+ППД5[[#This Row],[04.09.2024 +500
0К - Б2; 1К - А3;
2К - А6, Б4, В3, Г5]]</f>
        <v>112030.23628647746</v>
      </c>
      <c r="CE400" s="93"/>
      <c r="CF400" s="93">
        <f>ППД5[[#This Row],[Наценка 16.09.2024
1К: А1,В7,Г6/7,Г8 - 2%
2К: А4,А5,А6,Б1,Б6,Б3/4,В3,В4,Г4,Г5 - 4%
3К: 4%]]+ППД5[[#This Row],[Фикс 04.09.24]]</f>
        <v>112030.23628647746</v>
      </c>
      <c r="CG400" s="93">
        <f>ППД5[[#This Row],[Фикс 16.09.2024]]*8%</f>
        <v>8962.418902918198</v>
      </c>
      <c r="CH400" s="93">
        <f>ППД5[[#This Row],[Фикс 16.09.2024]]+ППД5[[#This Row],[Наценка 01.11.24
СТ: 4%
1К: 34-40м 5%; 40м+ 8%; МГН 1%
2К: 55-70м 6%; 70-73м 7%; 73-76м 8% 
3К: 5%]]</f>
        <v>120992.65518939566</v>
      </c>
      <c r="CI400" s="93">
        <f>ППД5[[#This Row],[Фикс 01.11.24]]*13%</f>
        <v>15729.045174621437</v>
      </c>
      <c r="CJ400" s="93">
        <f>ППД5[[#This Row],[Наценка 06.11 13%]]+ППД5[[#This Row],[Фикс 01.11.24]]</f>
        <v>136721.7003640171</v>
      </c>
      <c r="CK400" s="93">
        <v>35</v>
      </c>
      <c r="CL400" s="93">
        <f>ППД5[[#This Row],[Фикс 06.11.24]]+ППД5[[#This Row],[Наценка 18.12.24 распределение КВ]]</f>
        <v>136756.7003640171</v>
      </c>
      <c r="CM400" s="93"/>
      <c r="CN400" s="93">
        <f>ППД5[[#This Row],[Фикс 18.12.24]]+ППД5[[#This Row],[Наценка 10.02.25 +1%
1К: А3
2К: Б3, В3]]</f>
        <v>136756.7003640171</v>
      </c>
      <c r="CO400" s="93">
        <f>ROUND(ППД5[[#This Row],[Фикс 10.02.25]],2)</f>
        <v>136756.70000000001</v>
      </c>
      <c r="CP40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5909300</v>
      </c>
      <c r="CQ400" s="93">
        <f>ROUNDUP(ППД5[[#This Row],[Стоимость до скидки]]+ППД5[[#This Row],[Сумма доплаты]],-2)</f>
        <v>5778100</v>
      </c>
      <c r="CR400" s="68">
        <v>450000</v>
      </c>
      <c r="CS400" s="90"/>
      <c r="CT400" s="68">
        <f>ППД5[[#This Row],[Стоимость до скидки]]*ППД5[[#This Row],[Скидка %]]+ППД5[[#This Row],[Скидка фиксированная]]</f>
        <v>450000</v>
      </c>
      <c r="CU400" s="3">
        <f>ППД5[[#This Row],[Стоимость ОН без отделки со скидкой]]/ППД5[[#This Row],[Расчетная проектная площадь]]</f>
        <v>126343.43901874566</v>
      </c>
      <c r="CV400" s="3">
        <f>ROUND(ППД5[[#This Row],[Стоимость до скидки]]-ППД5[[#This Row],[Итоговая сумма скидки]],2)</f>
        <v>5459300</v>
      </c>
      <c r="CW40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00" s="197"/>
      <c r="CY400" s="332">
        <f>ППД5[[#This Row],[Расхождение]]/ППД5[[#This Row],[Расчетная проектная площадь]]</f>
        <v>-2.2217079379773221E-2</v>
      </c>
      <c r="CZ40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-0.69999999999999929</v>
      </c>
      <c r="DA400" s="3">
        <f>ППД5[[#This Row],[Цена м2 без отделки со скидкой]]+ППД5[[#This Row],[Стоимость отделки]]</f>
        <v>126343.43901874566</v>
      </c>
      <c r="DB400" s="3">
        <f>ППД5[[#This Row],[Стоимость квартиры с отделкой]]-ППД5[[#This Row],[Стоимость ОН без отделки со скидкой]]</f>
        <v>0</v>
      </c>
      <c r="DC400" s="3">
        <f>ППД5[[#This Row],[Цена м2 с отделкой]]*ППД5[[#This Row],[Расчетная проектная площадь]]</f>
        <v>5459300</v>
      </c>
      <c r="DD400" s="3"/>
      <c r="DE400" s="111" t="s">
        <v>767</v>
      </c>
      <c r="DF400" s="155" t="s">
        <v>172</v>
      </c>
      <c r="DG400" s="221" t="s">
        <v>172</v>
      </c>
      <c r="DH400" s="100" t="b">
        <f>EXACT(ППД5[[#This Row],[Статусы CRM]],ППД5[[#This Row],[Статус]])</f>
        <v>1</v>
      </c>
      <c r="DI400" s="213" t="s">
        <v>572</v>
      </c>
      <c r="DJ400" s="204"/>
      <c r="DK400" s="111" t="s">
        <v>763</v>
      </c>
      <c r="DL400" s="216" t="s">
        <v>12</v>
      </c>
      <c r="DM400" s="201" t="b">
        <f>ППД5[[#This Row],[Отделка CRM]]=ППД5[[#This Row],[Отделка]]</f>
        <v>1</v>
      </c>
      <c r="DN400" s="203">
        <v>5459300</v>
      </c>
      <c r="DO40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00" s="207" t="b">
        <f>IF(AND(ППД5[[#This Row],[Статус]]="свободно",ППД5[[#This Row],[Итоговая сумма скидки]]&lt;&gt;0),FALSE,TRUE)</f>
        <v>1</v>
      </c>
      <c r="DQ400" s="240">
        <f>_xlfn.XLOOKUP(ППД5[[#This Row],[№]],Юрист[№ кв],Юрист[Дата подачи на регистрацию]," ",0,-1)</f>
        <v>45792</v>
      </c>
      <c r="DR400" s="115" t="str">
        <f>_xlfn.XLOOKUP(ППД5[[#This Row],[№]],Юрист[№ кв],Юрист[МОП],"",0,-1)</f>
        <v>Нуждина</v>
      </c>
      <c r="DS400" s="333" t="s">
        <v>3092</v>
      </c>
      <c r="DT400" s="333" t="s">
        <v>3093</v>
      </c>
      <c r="DU400" s="333">
        <v>40.9</v>
      </c>
      <c r="DV400" s="111"/>
    </row>
    <row r="401" spans="1:126" hidden="1" x14ac:dyDescent="0.25">
      <c r="A401" s="112">
        <v>399</v>
      </c>
      <c r="B401" s="111" t="s">
        <v>2</v>
      </c>
      <c r="C401" s="111">
        <v>2</v>
      </c>
      <c r="D401" s="115">
        <v>3</v>
      </c>
      <c r="E401" s="111">
        <v>0</v>
      </c>
      <c r="F401" s="105">
        <v>7.2</v>
      </c>
      <c r="G401" s="105"/>
      <c r="H401" s="105"/>
      <c r="I401" s="94">
        <f>SUM(ППД5[[#This Row],[Комната 1]:[Комната 3]])</f>
        <v>7.2</v>
      </c>
      <c r="J401" s="105">
        <v>5.17</v>
      </c>
      <c r="K401" s="105">
        <v>3.71</v>
      </c>
      <c r="L401" s="105"/>
      <c r="M401" s="105"/>
      <c r="N401" s="105">
        <v>6.96</v>
      </c>
      <c r="O401" s="105">
        <v>2.92</v>
      </c>
      <c r="P401" s="105"/>
      <c r="Q401" s="105"/>
      <c r="R401" s="105">
        <f>SUM(ППД5[[#This Row],[Лоджия 1]:[Лоджия 3]])</f>
        <v>2.92</v>
      </c>
      <c r="S401" s="8">
        <f>ROUND(SUM(ППД5[[#This Row],[Площадь по проекту жилая]:[Лоджия 3]]),2)</f>
        <v>25.96</v>
      </c>
      <c r="T401" s="8">
        <f>ROUND(ППД5[[#This Row],[Площадь по проекту(общая)]]-ППД5[[#This Row],[Летние]],2)</f>
        <v>23.04</v>
      </c>
      <c r="U401" s="91">
        <f>ROUND(ППД5[[#This Row],[Площадь по проекту(общая)]]-(SUM(ППД5[[#This Row],[Лоджия 1]:[Лоджия 3]])/2),2)</f>
        <v>24.5</v>
      </c>
      <c r="V401" s="91">
        <f>IF(ППД5[[#This Row],[Статус]]="продажа",ППД5[[#This Row],[Расчетная проектная площадь]],ППД5[[#This Row],[Расчетная ТП площадь]])</f>
        <v>24.5</v>
      </c>
      <c r="W401" s="91">
        <v>7.2</v>
      </c>
      <c r="X401" s="91"/>
      <c r="Y401" s="91"/>
      <c r="Z401" s="91">
        <f>SUM(ППД5[[#This Row],[ТП Комната 1]:[ТП Комната 3]])</f>
        <v>7.2</v>
      </c>
      <c r="AA401" s="91">
        <v>5.5</v>
      </c>
      <c r="AB401" s="91">
        <v>3.6</v>
      </c>
      <c r="AC401" s="91"/>
      <c r="AD401" s="91"/>
      <c r="AE401" s="91">
        <v>6.4</v>
      </c>
      <c r="AF401" s="91">
        <v>1.45</v>
      </c>
      <c r="AG401" s="91"/>
      <c r="AH401" s="91"/>
      <c r="AI401" s="91">
        <f>SUM(ППД5[[#This Row],[ТП Лоджия 1]:[ТП Лоджия 3]])</f>
        <v>1.45</v>
      </c>
      <c r="AJ401" s="95">
        <v>2.9</v>
      </c>
      <c r="AK401" s="91">
        <f>SUM(ППД5[[#This Row],[Площадь по ТП жилая]:[ТП Лоджия 3]])-ППД5[[#This Row],[ТП Летние]]+ППД5[[#This Row],[кроме того прочая
(без коэффициента)]]</f>
        <v>25.6</v>
      </c>
      <c r="AL401" s="95">
        <f>ППД5[[#This Row],[ТП Площадь без летних]]+(ППД5[[#This Row],[ТП Летние]])</f>
        <v>24.150000000000002</v>
      </c>
      <c r="AM401" s="91">
        <f>ППД5[[#This Row],[ТП общая S]]-ППД5[[#This Row],[кроме того прочая
(без коэффициента)]]</f>
        <v>22.700000000000003</v>
      </c>
      <c r="AN401" s="95">
        <f>SUM(ППД5[[#This Row],[ТП Кухня]:[ТП Коридор]])</f>
        <v>15.5</v>
      </c>
      <c r="AO401" s="91">
        <f>ППД5[[#This Row],[Расчетная ТП площадь]]-ППД5[[#This Row],[Расчетная проектная площадь]]</f>
        <v>-0.34999999999999787</v>
      </c>
      <c r="AP401" s="335">
        <f>ППД5[[#This Row],[Расчетная ТП площадь]]/ППД5[[#This Row],[Расчетная проектная площадь]]-1</f>
        <v>-1.4285714285714235E-2</v>
      </c>
      <c r="AQ401" s="91">
        <f>ППД5[[#This Row],[% расхождения]]*ППД5[[#This Row],[Стоимость до скидки]]</f>
        <v>-32193.552999999883</v>
      </c>
      <c r="AR401" s="91">
        <f>VLOOKUP(ППД5[[#This Row],[№]],наценкад5[],COLUMN(наценкад5[[#This Row],[Цена м2 с учетом всех K]]),0)</f>
        <v>91981.574999999997</v>
      </c>
      <c r="AS401" s="8"/>
      <c r="AT401" s="8">
        <f>ППД5[[#This Row],[м2 после К]]+ППД5[[#This Row],[Повышение 16.08.23 - 5%]]</f>
        <v>91981.574999999997</v>
      </c>
      <c r="AU401" s="93"/>
      <c r="AV401" s="93">
        <f>ППД5[[#This Row],[Фикс 16.08.23]]+ППД5[[#This Row],[Повышение 29.08.23 - 3%]]</f>
        <v>91981.574999999997</v>
      </c>
      <c r="AW401" s="93"/>
      <c r="AX401" s="93">
        <f>ППД5[[#This Row],[Фикс 29.08.23]]+ППД5[[#This Row],[Повышение 06.09.23 СТ и 1К]]</f>
        <v>91981.574999999997</v>
      </c>
      <c r="AY401" s="93"/>
      <c r="AZ401" s="93">
        <f>ППД5[[#This Row],[Повышение 23.10.23  В4 ]]+ППД5[[#This Row],[Фикс 06.09.23]]</f>
        <v>91981.574999999997</v>
      </c>
      <c r="BA401" s="93"/>
      <c r="BB401" s="93">
        <f>ППД5[[#This Row],[Повышение 8.11.23 1К 5%]]+ППД5[[#This Row],[Фикс 23.10.23]]</f>
        <v>91981.574999999997</v>
      </c>
      <c r="BC401" s="93"/>
      <c r="BD401" s="93">
        <f>ППД5[[#This Row],[Корректировка 24.11.23 - 1К В5, 2К А2, №233]]+ППД5[[#This Row],[Фикс 8.11.23]]</f>
        <v>91981.574999999997</v>
      </c>
      <c r="BE401" s="93"/>
      <c r="BF401" s="93">
        <f>ППД5[[#This Row],[Наценка за отделку 29.12.23 1%]]+ППД5[[#This Row],[Фикс 8.11.24]]</f>
        <v>91981.574999999997</v>
      </c>
      <c r="BG401" s="93"/>
      <c r="BH401" s="93">
        <f>ППД5[[#This Row],[Фикс 29.12.23]]+ППД5[[#This Row],[Наценка 10.01.24 5%]]</f>
        <v>91981.574999999997</v>
      </c>
      <c r="BI401" s="93"/>
      <c r="BJ401" s="93">
        <f>ППД5[[#This Row],[Наценка 26.02.24 1 Этаж]]+ППД5[[#This Row],[Фикс 10.01.24]]</f>
        <v>91981.574999999997</v>
      </c>
      <c r="BK401" s="93"/>
      <c r="BL401" s="93">
        <f>ППД5[[#This Row],[Фикс 26.02.24]]+ППД5[[#This Row],[Наценка 06.03.24
СТ, 1К - 3%
2К, 3К - 2%]]</f>
        <v>91981.574999999997</v>
      </c>
      <c r="BM401" s="93"/>
      <c r="BN401" s="93">
        <f>ППД5[[#This Row],[Фикс 06.03.24]]+ППД5[[#This Row],[Наценка Г2+500]]</f>
        <v>91981.574999999997</v>
      </c>
      <c r="BO401" s="93"/>
      <c r="BP401" s="93">
        <f>ППД5[[#This Row],[Фикс 13.03.25]]+ППД5[[#This Row],[Наценка 20.03.24
2К, 3К - 2%]]</f>
        <v>91981.574999999997</v>
      </c>
      <c r="BQ401" s="93"/>
      <c r="BR401" s="93">
        <f>ППД5[[#This Row],[Фикс 20.03.24]]+ППД5[[#This Row],[Наценка 08.04.24 
2К: В3 - 150
3К: Г7 +1000]]</f>
        <v>91981.574999999997</v>
      </c>
      <c r="BS401" s="93"/>
      <c r="BT401" s="93">
        <f>ППД5[[#This Row],[Фикс 08.04.24]]+ППД5[[#This Row],[Наценка 16.05.24 1%
А4,А6,Б3,Б6,Б7,В2,В3,В5,В6,Г1,Г3-Г5]]</f>
        <v>91981.574999999997</v>
      </c>
      <c r="BU401" s="93"/>
      <c r="BV401" s="93">
        <f>ППД5[[#This Row],[Фикс 16.05.24]]+ППД5[[#This Row],[Наценка 24.05.24
1% - Б4, Б5,Г2,Г6
2% - А1,А3,А5,Б2,Г7]]</f>
        <v>91981.574999999997</v>
      </c>
      <c r="BW401" s="93"/>
      <c r="BX401" s="93">
        <f>ППД5[[#This Row],[Наценка 06.06.24
0К: В2,Г3 +0,5%
1К: А7, Б5/4, Г6 +0,5%
3К: В6 +0,5%
1К: А3 +1%]]+ППД5[[#This Row],[Фикс 24.05.24]]</f>
        <v>91981.574999999997</v>
      </c>
      <c r="BY401" s="93"/>
      <c r="BZ401" s="93">
        <f>ППД5[[#This Row],[Фикс 06.06.24]]+ППД5[[#This Row],[13.06.2024
3К - 2%]]</f>
        <v>91981.574999999997</v>
      </c>
      <c r="CA401" s="93"/>
      <c r="CB401" s="93">
        <f>ППД5[[#This Row],[02.07.2024: Г3 А1 А3 Б5 Б7 Г2 Г6 Б3 Б4 В3 Г7 2,5% ост 0,5-1,5%]]+ППД5[[#This Row],[Фикс 13.06.24]]</f>
        <v>91981.574999999997</v>
      </c>
      <c r="CC401" s="93"/>
      <c r="CD401" s="93">
        <f>ППД5[[#This Row],[Фикс 02.07.24]]+ППД5[[#This Row],[04.09.2024 +500
0К - Б2; 1К - А3;
2К - А6, Б4, В3, Г5]]</f>
        <v>91981.574999999997</v>
      </c>
      <c r="CE401" s="93"/>
      <c r="CF401" s="93">
        <f>ППД5[[#This Row],[Наценка 16.09.2024
1К: А1,В7,Г6/7,Г8 - 2%
2К: А4,А5,А6,Б1,Б6,Б3/4,В3,В4,Г4,Г5 - 4%
3К: 4%]]+ППД5[[#This Row],[Фикс 04.09.24]]</f>
        <v>91981.574999999997</v>
      </c>
      <c r="CG401" s="93"/>
      <c r="CH401" s="93">
        <f>ППД5[[#This Row],[Фикс 16.09.2024]]+ППД5[[#This Row],[Наценка 01.11.24
СТ: 4%
1К: 34-40м 5%; 40м+ 8%; МГН 1%
2К: 55-70м 6%; 70-73м 7%; 73-76м 8% 
3К: 5%]]</f>
        <v>91981.574999999997</v>
      </c>
      <c r="CI401" s="93"/>
      <c r="CJ401" s="93">
        <f>ППД5[[#This Row],[Наценка 06.11 13%]]+ППД5[[#This Row],[Фикс 01.11.24]]</f>
        <v>91981.574999999997</v>
      </c>
      <c r="CK401" s="93"/>
      <c r="CL401" s="93">
        <f>ППД5[[#This Row],[Фикс 06.11.24]]+ППД5[[#This Row],[Наценка 18.12.24 распределение КВ]]</f>
        <v>91981.574999999997</v>
      </c>
      <c r="CM401" s="93"/>
      <c r="CN401" s="93">
        <f>ППД5[[#This Row],[Фикс 18.12.24]]+ППД5[[#This Row],[Наценка 10.02.25 +1%
1К: А3
2К: Б3, В3]]</f>
        <v>91981.574999999997</v>
      </c>
      <c r="CO401" s="93">
        <f>ROUND(ППД5[[#This Row],[Фикс 10.02.25]],2)</f>
        <v>91981.58</v>
      </c>
      <c r="CP40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2253548.71</v>
      </c>
      <c r="CQ401" s="93">
        <f>ROUNDUP(ППД5[[#This Row],[Стоимость до скидки]]+ППД5[[#This Row],[Сумма доплаты]],-2)</f>
        <v>2221400</v>
      </c>
      <c r="CR401" s="68"/>
      <c r="CS401" s="90"/>
      <c r="CT401" s="68">
        <f>ППД5[[#This Row],[Стоимость до скидки]]*ППД5[[#This Row],[Скидка %]]+ППД5[[#This Row],[Скидка фиксированная]]</f>
        <v>0</v>
      </c>
      <c r="CU401" s="3">
        <f>ППД5[[#This Row],[Стоимость ОН без отделки со скидкой]]/ППД5[[#This Row],[Расчетная проектная площадь]]</f>
        <v>91981.58</v>
      </c>
      <c r="CV401" s="3">
        <f>ROUND(ППД5[[#This Row],[Стоимость до скидки]]-ППД5[[#This Row],[Итоговая сумма скидки]],2)</f>
        <v>2253548.71</v>
      </c>
      <c r="CW40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01" s="197">
        <v>15500</v>
      </c>
      <c r="CY401" s="332">
        <f>ППД5[[#This Row],[Расхождение]]/ППД5[[#This Row],[Расчетная проектная площадь]]</f>
        <v>-1.4285714285714199E-2</v>
      </c>
      <c r="CZ40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-0.34000000000000075</v>
      </c>
      <c r="DA401" s="3">
        <f>ППД5[[#This Row],[Цена м2 без отделки со скидкой]]+ППД5[[#This Row],[Стоимость отделки]]</f>
        <v>107481.58</v>
      </c>
      <c r="DB401" s="3">
        <f>ППД5[[#This Row],[Стоимость квартиры с отделкой]]-ППД5[[#This Row],[Стоимость ОН без отделки со скидкой]]</f>
        <v>379750</v>
      </c>
      <c r="DC401" s="3">
        <f>ППД5[[#This Row],[Цена м2 с отделкой]]*ППД5[[#This Row],[Расчетная проектная площадь]]</f>
        <v>2633298.71</v>
      </c>
      <c r="DD401" s="3"/>
      <c r="DF401" s="199" t="s">
        <v>172</v>
      </c>
      <c r="DG401" s="245" t="s">
        <v>172</v>
      </c>
      <c r="DH401" s="100" t="b">
        <f>EXACT(ППД5[[#This Row],[Статусы CRM]],ППД5[[#This Row],[Статус]])</f>
        <v>1</v>
      </c>
      <c r="DI401" s="213" t="s">
        <v>573</v>
      </c>
      <c r="DJ401" s="204"/>
      <c r="DK401" s="111" t="s">
        <v>76</v>
      </c>
      <c r="DL401" s="216" t="s">
        <v>14</v>
      </c>
      <c r="DM401" s="201" t="b">
        <f>ППД5[[#This Row],[Отделка CRM]]=ППД5[[#This Row],[Отделка]]</f>
        <v>1</v>
      </c>
      <c r="DN401" s="203">
        <v>2633298.71</v>
      </c>
      <c r="DO40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01" s="207" t="b">
        <f>IF(AND(ППД5[[#This Row],[Статус]]="свободно",ППД5[[#This Row],[Итоговая сумма скидки]]&lt;&gt;0),FALSE,TRUE)</f>
        <v>1</v>
      </c>
      <c r="DQ401" s="240">
        <f>_xlfn.XLOOKUP(ППД5[[#This Row],[№]],Юрист[№ кв],Юрист[Дата подачи на регистрацию]," ",0,-1)</f>
        <v>45187</v>
      </c>
      <c r="DR401" s="115" t="str">
        <f>_xlfn.XLOOKUP(ППД5[[#This Row],[№]],Юрист[№ кв],Юрист[МОП],"",0,-1)</f>
        <v>Дик</v>
      </c>
      <c r="DS401" s="333" t="s">
        <v>3094</v>
      </c>
      <c r="DT401" s="333" t="s">
        <v>3095</v>
      </c>
      <c r="DU401" s="333">
        <v>22.7</v>
      </c>
      <c r="DV401" s="111"/>
    </row>
    <row r="402" spans="1:126" hidden="1" x14ac:dyDescent="0.25">
      <c r="A402" s="112">
        <v>400</v>
      </c>
      <c r="B402" s="111" t="s">
        <v>2</v>
      </c>
      <c r="C402" s="111">
        <v>2</v>
      </c>
      <c r="D402" s="115">
        <v>4</v>
      </c>
      <c r="E402" s="111">
        <v>2</v>
      </c>
      <c r="F402" s="105">
        <v>14.48</v>
      </c>
      <c r="G402" s="105">
        <v>11.42</v>
      </c>
      <c r="H402" s="105"/>
      <c r="I402" s="94">
        <f>SUM(ППД5[[#This Row],[Комната 1]:[Комната 3]])</f>
        <v>25.9</v>
      </c>
      <c r="J402" s="105">
        <v>15.86</v>
      </c>
      <c r="K402" s="105">
        <v>3.01</v>
      </c>
      <c r="L402" s="105">
        <v>2.67</v>
      </c>
      <c r="M402" s="105"/>
      <c r="N402" s="105">
        <v>9.44</v>
      </c>
      <c r="O402" s="105">
        <v>2.72</v>
      </c>
      <c r="P402" s="105"/>
      <c r="Q402" s="105"/>
      <c r="R402" s="105">
        <f>SUM(ППД5[[#This Row],[Лоджия 1]:[Лоджия 3]])</f>
        <v>2.72</v>
      </c>
      <c r="S402" s="8">
        <f>ROUND(SUM(ППД5[[#This Row],[Площадь по проекту жилая]:[Лоджия 3]]),2)</f>
        <v>59.6</v>
      </c>
      <c r="T402" s="8">
        <f>ROUND(ППД5[[#This Row],[Площадь по проекту(общая)]]-ППД5[[#This Row],[Летние]],2)</f>
        <v>56.88</v>
      </c>
      <c r="U402" s="91">
        <f>ROUND(ППД5[[#This Row],[Площадь по проекту(общая)]]-(SUM(ППД5[[#This Row],[Лоджия 1]:[Лоджия 3]])/2),2)</f>
        <v>58.24</v>
      </c>
      <c r="V402" s="91">
        <f>IF(ППД5[[#This Row],[Статус]]="продажа",ППД5[[#This Row],[Расчетная проектная площадь]],ППД5[[#This Row],[Расчетная ТП площадь]])</f>
        <v>58.24</v>
      </c>
      <c r="W402" s="91">
        <v>14.4</v>
      </c>
      <c r="X402" s="91">
        <v>11.3</v>
      </c>
      <c r="Y402" s="91"/>
      <c r="Z402" s="91">
        <f>SUM(ППД5[[#This Row],[ТП Комната 1]:[ТП Комната 3]])</f>
        <v>25.700000000000003</v>
      </c>
      <c r="AA402" s="91">
        <v>15.8</v>
      </c>
      <c r="AB402" s="91">
        <v>2.6</v>
      </c>
      <c r="AC402" s="91">
        <v>3.1</v>
      </c>
      <c r="AD402" s="91"/>
      <c r="AE402" s="91">
        <v>9.1999999999999993</v>
      </c>
      <c r="AF402" s="91">
        <v>1.35</v>
      </c>
      <c r="AG402" s="91"/>
      <c r="AH402" s="91"/>
      <c r="AI402" s="91">
        <f>SUM(ППД5[[#This Row],[ТП Лоджия 1]:[ТП Лоджия 3]])</f>
        <v>1.35</v>
      </c>
      <c r="AJ402" s="95">
        <v>2.7</v>
      </c>
      <c r="AK402" s="91">
        <f>SUM(ППД5[[#This Row],[Площадь по ТП жилая]:[ТП Лоджия 3]])-ППД5[[#This Row],[ТП Летние]]+ППД5[[#This Row],[кроме того прочая
(без коэффициента)]]</f>
        <v>59.100000000000009</v>
      </c>
      <c r="AL402" s="95">
        <f>ППД5[[#This Row],[ТП Площадь без летних]]+(ППД5[[#This Row],[ТП Летние]])</f>
        <v>57.750000000000007</v>
      </c>
      <c r="AM402" s="91">
        <f>ППД5[[#This Row],[ТП общая S]]-ППД5[[#This Row],[кроме того прочая
(без коэффициента)]]</f>
        <v>56.400000000000006</v>
      </c>
      <c r="AN402" s="95">
        <f>SUM(ППД5[[#This Row],[ТП Кухня]:[ТП Коридор]])</f>
        <v>30.700000000000003</v>
      </c>
      <c r="AO402" s="91">
        <f>ППД5[[#This Row],[Расчетная ТП площадь]]-ППД5[[#This Row],[Расчетная проектная площадь]]</f>
        <v>-0.48999999999999488</v>
      </c>
      <c r="AP402" s="335">
        <f>ППД5[[#This Row],[Расчетная ТП площадь]]/ППД5[[#This Row],[Расчетная проектная площадь]]-1</f>
        <v>-8.4134615384614531E-3</v>
      </c>
      <c r="AQ402" s="91">
        <f>ППД5[[#This Row],[% расхождения]]*ППД5[[#This Row],[Стоимость до скидки]]</f>
        <v>-59982.09134615324</v>
      </c>
      <c r="AR402" s="91">
        <f>VLOOKUP(ППД5[[#This Row],[№]],наценкад5[],COLUMN(наценкад5[[#This Row],[Цена м2 с учетом всех K]]),0)</f>
        <v>80307.864000000001</v>
      </c>
      <c r="AS402" s="8">
        <f>ППД5[[#This Row],[м2 после К]]*5%</f>
        <v>4015.3932000000004</v>
      </c>
      <c r="AT402" s="8">
        <f>ППД5[[#This Row],[м2 после К]]+ППД5[[#This Row],[Повышение 16.08.23 - 5%]]</f>
        <v>84323.257200000007</v>
      </c>
      <c r="AU402" s="93">
        <f>ППД5[[#This Row],[Фикс 16.08.23]]*3%</f>
        <v>2529.6977160000001</v>
      </c>
      <c r="AV402" s="93">
        <f>ППД5[[#This Row],[Фикс 16.08.23]]+ППД5[[#This Row],[Повышение 29.08.23 - 3%]]</f>
        <v>86852.954916000002</v>
      </c>
      <c r="AW402" s="93"/>
      <c r="AX402" s="93">
        <f>ППД5[[#This Row],[Фикс 29.08.23]]+ППД5[[#This Row],[Повышение 06.09.23 СТ и 1К]]</f>
        <v>86852.954916000002</v>
      </c>
      <c r="AY402" s="93"/>
      <c r="AZ402" s="93">
        <f>ППД5[[#This Row],[Повышение 23.10.23  В4 ]]+ППД5[[#This Row],[Фикс 06.09.23]]</f>
        <v>86852.954916000002</v>
      </c>
      <c r="BA402" s="93"/>
      <c r="BB402" s="93">
        <f>ППД5[[#This Row],[Повышение 8.11.23 1К 5%]]+ППД5[[#This Row],[Фикс 23.10.23]]</f>
        <v>86852.954916000002</v>
      </c>
      <c r="BC402" s="93"/>
      <c r="BD402" s="93">
        <f>ППД5[[#This Row],[Корректировка 24.11.23 - 1К В5, 2К А2, №233]]+ППД5[[#This Row],[Фикс 8.11.23]]</f>
        <v>86852.954916000002</v>
      </c>
      <c r="BE402" s="93">
        <f>ППД5[[#This Row],[Фикс 8.11.24]]*1%</f>
        <v>868.52954915999999</v>
      </c>
      <c r="BF402" s="93">
        <f>ППД5[[#This Row],[Наценка за отделку 29.12.23 1%]]+ППД5[[#This Row],[Фикс 8.11.24]]</f>
        <v>87721.48446516</v>
      </c>
      <c r="BG402" s="93">
        <f>ППД5[[#This Row],[Фикс 29.12.23]]*5%</f>
        <v>4386.0742232580005</v>
      </c>
      <c r="BH402" s="93">
        <f>ППД5[[#This Row],[Фикс 29.12.23]]+ППД5[[#This Row],[Наценка 10.01.24 5%]]</f>
        <v>92107.558688417994</v>
      </c>
      <c r="BI402" s="93"/>
      <c r="BJ402" s="93">
        <f>ППД5[[#This Row],[Наценка 26.02.24 1 Этаж]]+ППД5[[#This Row],[Фикс 10.01.24]]</f>
        <v>92107.558688417994</v>
      </c>
      <c r="BK402" s="93">
        <f>ППД5[[#This Row],[Фикс 26.02.24]]*2%</f>
        <v>1842.15117376836</v>
      </c>
      <c r="BL402" s="93">
        <f>ППД5[[#This Row],[Фикс 26.02.24]]+ППД5[[#This Row],[Наценка 06.03.24
СТ, 1К - 3%
2К, 3К - 2%]]</f>
        <v>93949.709862186355</v>
      </c>
      <c r="BM402" s="93"/>
      <c r="BN402" s="93">
        <f>ППД5[[#This Row],[Фикс 06.03.24]]+ППД5[[#This Row],[Наценка Г2+500]]</f>
        <v>93949.709862186355</v>
      </c>
      <c r="BO402" s="93">
        <f>ППД5[[#This Row],[Фикс 13.03.25]]*2%</f>
        <v>1878.9941972437271</v>
      </c>
      <c r="BP402" s="93">
        <f>ППД5[[#This Row],[Фикс 13.03.25]]+ППД5[[#This Row],[Наценка 20.03.24
2К, 3К - 2%]]</f>
        <v>95828.704059430078</v>
      </c>
      <c r="BQ402" s="93"/>
      <c r="BR402" s="93">
        <f>ППД5[[#This Row],[Фикс 20.03.24]]+ППД5[[#This Row],[Наценка 08.04.24 
2К: В3 - 150
3К: Г7 +1000]]</f>
        <v>95828.704059430078</v>
      </c>
      <c r="BS402" s="93">
        <f>ППД5[[#This Row],[Фикс 08.04.24]]*1%</f>
        <v>958.28704059430083</v>
      </c>
      <c r="BT402" s="93">
        <f>ППД5[[#This Row],[Фикс 08.04.24]]+ППД5[[#This Row],[Наценка 16.05.24 1%
А4,А6,Б3,Б6,Б7,В2,В3,В5,В6,Г1,Г3-Г5]]</f>
        <v>96786.991100024374</v>
      </c>
      <c r="BU402" s="93"/>
      <c r="BV402" s="93">
        <f>ППД5[[#This Row],[Фикс 16.05.24]]+ППД5[[#This Row],[Наценка 24.05.24
1% - Б4, Б5,Г2,Г6
2% - А1,А3,А5,Б2,Г7]]</f>
        <v>96786.991100024374</v>
      </c>
      <c r="BW402" s="93"/>
      <c r="BX402" s="93">
        <f>ППД5[[#This Row],[Наценка 06.06.24
0К: В2,Г3 +0,5%
1К: А7, Б5/4, Г6 +0,5%
3К: В6 +0,5%
1К: А3 +1%]]+ППД5[[#This Row],[Фикс 24.05.24]]</f>
        <v>96786.991100024374</v>
      </c>
      <c r="BY402" s="93"/>
      <c r="BZ402" s="93">
        <f>ППД5[[#This Row],[Фикс 06.06.24]]+ППД5[[#This Row],[13.06.2024
3К - 2%]]</f>
        <v>96786.991100024374</v>
      </c>
      <c r="CA402" s="47">
        <f>1.5%*ППД5[[#This Row],[Фикс 13.06.24]]</f>
        <v>1451.8048665003655</v>
      </c>
      <c r="CB402" s="93">
        <f>ППД5[[#This Row],[02.07.2024: Г3 А1 А3 Б5 Б7 Г2 Г6 Б3 Б4 В3 Г7 2,5% ост 0,5-1,5%]]+ППД5[[#This Row],[Фикс 13.06.24]]</f>
        <v>98238.795966524733</v>
      </c>
      <c r="CC402" s="93"/>
      <c r="CD402" s="93">
        <f>ППД5[[#This Row],[Фикс 02.07.24]]+ППД5[[#This Row],[04.09.2024 +500
0К - Б2; 1К - А3;
2К - А6, Б4, В3, Г5]]</f>
        <v>98238.795966524733</v>
      </c>
      <c r="CE402" s="93">
        <f>ППД5[[#This Row],[Фикс 04.09.24]]*4%</f>
        <v>3929.5518386609892</v>
      </c>
      <c r="CF402" s="93">
        <f>ППД5[[#This Row],[Наценка 16.09.2024
1К: А1,В7,Г6/7,Г8 - 2%
2К: А4,А5,А6,Б1,Б6,Б3/4,В3,В4,Г4,Г5 - 4%
3К: 4%]]+ППД5[[#This Row],[Фикс 04.09.24]]</f>
        <v>102168.34780518572</v>
      </c>
      <c r="CG402" s="93">
        <f>ППД5[[#This Row],[Фикс 16.09.2024]]*6%</f>
        <v>6130.1008683111431</v>
      </c>
      <c r="CH402" s="93">
        <f>ППД5[[#This Row],[Фикс 16.09.2024]]+ППД5[[#This Row],[Наценка 01.11.24
СТ: 4%
1К: 34-40м 5%; 40м+ 8%; МГН 1%
2К: 55-70м 6%; 70-73м 7%; 73-76м 8% 
3К: 5%]]</f>
        <v>108298.44867349687</v>
      </c>
      <c r="CI402" s="93">
        <f>ППД5[[#This Row],[Фикс 01.11.24]]*13%</f>
        <v>14078.798327554594</v>
      </c>
      <c r="CJ402" s="93">
        <f>ППД5[[#This Row],[Наценка 06.11 13%]]+ППД5[[#This Row],[Фикс 01.11.24]]</f>
        <v>122377.24700105147</v>
      </c>
      <c r="CK402" s="93">
        <v>35</v>
      </c>
      <c r="CL402" s="93">
        <f>ППД5[[#This Row],[Фикс 06.11.24]]+ППД5[[#This Row],[Наценка 18.12.24 распределение КВ]]</f>
        <v>122412.24700105147</v>
      </c>
      <c r="CM402" s="93"/>
      <c r="CN402" s="93">
        <f>ППД5[[#This Row],[Фикс 18.12.24]]+ППД5[[#This Row],[Наценка 10.02.25 +1%
1К: А3
2К: Б3, В3]]</f>
        <v>122412.24700105147</v>
      </c>
      <c r="CO402" s="93">
        <f>ROUND(ППД5[[#This Row],[Фикс 10.02.25]],2)</f>
        <v>122412.25</v>
      </c>
      <c r="CP40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7129300</v>
      </c>
      <c r="CQ402" s="93">
        <f>ROUNDUP(ППД5[[#This Row],[Стоимость до скидки]]+ППД5[[#This Row],[Сумма доплаты]],-2)</f>
        <v>7069400</v>
      </c>
      <c r="CR402" s="68"/>
      <c r="CS402" s="90"/>
      <c r="CT402" s="68">
        <f>ППД5[[#This Row],[Стоимость до скидки]]*ППД5[[#This Row],[Скидка %]]+ППД5[[#This Row],[Скидка фиксированная]]</f>
        <v>0</v>
      </c>
      <c r="CU402" s="3">
        <f>ППД5[[#This Row],[Стоимость ОН без отделки со скидкой]]/ППД5[[#This Row],[Расчетная проектная площадь]]</f>
        <v>122412.43131868131</v>
      </c>
      <c r="CV402" s="3">
        <f>ROUND(ППД5[[#This Row],[Стоимость до скидки]]-ППД5[[#This Row],[Итоговая сумма скидки]],2)</f>
        <v>7129300</v>
      </c>
      <c r="CW40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02" s="197"/>
      <c r="CY402" s="332">
        <f>ППД5[[#This Row],[Расхождение]]/ППД5[[#This Row],[Расчетная проектная площадь]]</f>
        <v>-8.4134615384614496E-3</v>
      </c>
      <c r="CZ40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-0.27999999999999581</v>
      </c>
      <c r="DA402" s="3">
        <f>ППД5[[#This Row],[Цена м2 без отделки со скидкой]]+ППД5[[#This Row],[Стоимость отделки]]</f>
        <v>122412.43131868131</v>
      </c>
      <c r="DB402" s="3">
        <f>ППД5[[#This Row],[Стоимость квартиры с отделкой]]-ППД5[[#This Row],[Стоимость ОН без отделки со скидкой]]</f>
        <v>0</v>
      </c>
      <c r="DC402" s="3">
        <f>ППД5[[#This Row],[Цена м2 с отделкой]]*ППД5[[#This Row],[Расчетная проектная площадь]]</f>
        <v>7129300</v>
      </c>
      <c r="DD402" s="3"/>
      <c r="DF402" s="199" t="s">
        <v>172</v>
      </c>
      <c r="DG402" s="245" t="s">
        <v>172</v>
      </c>
      <c r="DH402" s="100" t="b">
        <f>EXACT(ППД5[[#This Row],[Статусы CRM]],ППД5[[#This Row],[Статус]])</f>
        <v>1</v>
      </c>
      <c r="DI402" s="213" t="s">
        <v>574</v>
      </c>
      <c r="DJ402" s="204"/>
      <c r="DK402" s="111" t="s">
        <v>763</v>
      </c>
      <c r="DL402" s="216" t="s">
        <v>12</v>
      </c>
      <c r="DM402" s="201" t="b">
        <f>ППД5[[#This Row],[Отделка CRM]]=ППД5[[#This Row],[Отделка]]</f>
        <v>1</v>
      </c>
      <c r="DN402" s="203">
        <v>7129300</v>
      </c>
      <c r="DO40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02" s="207" t="b">
        <f>IF(AND(ППД5[[#This Row],[Статус]]="свободно",ППД5[[#This Row],[Итоговая сумма скидки]]&lt;&gt;0),FALSE,TRUE)</f>
        <v>1</v>
      </c>
      <c r="DQ402" s="240">
        <f>_xlfn.XLOOKUP(ППД5[[#This Row],[№]],Юрист[№ кв],Юрист[Дата подачи на регистрацию]," ",0,-1)</f>
        <v>45716</v>
      </c>
      <c r="DR402" s="115" t="str">
        <f>_xlfn.XLOOKUP(ППД5[[#This Row],[№]],Юрист[№ кв],Юрист[МОП],"",0,-1)</f>
        <v>Арефьев</v>
      </c>
      <c r="DS402" s="333" t="s">
        <v>3096</v>
      </c>
      <c r="DT402" s="333" t="s">
        <v>3097</v>
      </c>
      <c r="DU402" s="333">
        <v>56.4</v>
      </c>
      <c r="DV402" s="111"/>
    </row>
    <row r="403" spans="1:126" hidden="1" x14ac:dyDescent="0.25">
      <c r="A403" s="112">
        <v>401</v>
      </c>
      <c r="B403" s="111" t="s">
        <v>2</v>
      </c>
      <c r="C403" s="111">
        <v>2</v>
      </c>
      <c r="D403" s="115">
        <v>5</v>
      </c>
      <c r="E403" s="111">
        <v>2</v>
      </c>
      <c r="F403" s="105">
        <v>15.41</v>
      </c>
      <c r="G403" s="105">
        <v>12.78</v>
      </c>
      <c r="H403" s="105"/>
      <c r="I403" s="94">
        <f>SUM(ППД5[[#This Row],[Комната 1]:[Комната 3]])</f>
        <v>28.189999999999998</v>
      </c>
      <c r="J403" s="105">
        <v>13.45</v>
      </c>
      <c r="K403" s="105">
        <v>3.7</v>
      </c>
      <c r="L403" s="105">
        <v>2.72</v>
      </c>
      <c r="M403" s="105"/>
      <c r="N403" s="105">
        <v>8.2200000000000006</v>
      </c>
      <c r="O403" s="105">
        <v>3.03</v>
      </c>
      <c r="P403" s="105"/>
      <c r="Q403" s="105"/>
      <c r="R403" s="105">
        <f>SUM(ППД5[[#This Row],[Лоджия 1]:[Лоджия 3]])</f>
        <v>3.03</v>
      </c>
      <c r="S403" s="8">
        <f>ROUND(SUM(ППД5[[#This Row],[Площадь по проекту жилая]:[Лоджия 3]]),2)</f>
        <v>59.31</v>
      </c>
      <c r="T403" s="8">
        <f>ROUND(ППД5[[#This Row],[Площадь по проекту(общая)]]-ППД5[[#This Row],[Летние]],2)</f>
        <v>56.28</v>
      </c>
      <c r="U403" s="91">
        <f>ROUND(ППД5[[#This Row],[Площадь по проекту(общая)]]-(SUM(ППД5[[#This Row],[Лоджия 1]:[Лоджия 3]])/2),2)</f>
        <v>57.8</v>
      </c>
      <c r="V403" s="91">
        <f>IF(ППД5[[#This Row],[Статус]]="продажа",ППД5[[#This Row],[Расчетная проектная площадь]],ППД5[[#This Row],[Расчетная ТП площадь]])</f>
        <v>57.8</v>
      </c>
      <c r="W403" s="91">
        <v>12.6</v>
      </c>
      <c r="X403" s="91">
        <v>15.3</v>
      </c>
      <c r="Y403" s="91"/>
      <c r="Z403" s="91">
        <f>SUM(ППД5[[#This Row],[ТП Комната 1]:[ТП Комната 3]])</f>
        <v>27.9</v>
      </c>
      <c r="AA403" s="91">
        <v>13.3</v>
      </c>
      <c r="AB403" s="91">
        <v>2.7</v>
      </c>
      <c r="AC403" s="91">
        <v>3.7</v>
      </c>
      <c r="AD403" s="91"/>
      <c r="AE403" s="91">
        <v>8</v>
      </c>
      <c r="AF403" s="91">
        <v>1.5</v>
      </c>
      <c r="AG403" s="91"/>
      <c r="AH403" s="91"/>
      <c r="AI403" s="91">
        <f>SUM(ППД5[[#This Row],[ТП Лоджия 1]:[ТП Лоджия 3]])</f>
        <v>1.5</v>
      </c>
      <c r="AJ403" s="95">
        <v>3</v>
      </c>
      <c r="AK403" s="91">
        <f>SUM(ППД5[[#This Row],[Площадь по ТП жилая]:[ТП Лоджия 3]])-ППД5[[#This Row],[ТП Летние]]+ППД5[[#This Row],[кроме того прочая
(без коэффициента)]]</f>
        <v>58.600000000000009</v>
      </c>
      <c r="AL403" s="95">
        <f>ППД5[[#This Row],[ТП Площадь без летних]]+(ППД5[[#This Row],[ТП Летние]])</f>
        <v>57.100000000000009</v>
      </c>
      <c r="AM403" s="91">
        <f>ППД5[[#This Row],[ТП общая S]]-ППД5[[#This Row],[кроме того прочая
(без коэффициента)]]</f>
        <v>55.600000000000009</v>
      </c>
      <c r="AN403" s="95">
        <f>SUM(ППД5[[#This Row],[ТП Кухня]:[ТП Коридор]])</f>
        <v>27.7</v>
      </c>
      <c r="AO403" s="91">
        <f>ППД5[[#This Row],[Расчетная ТП площадь]]-ППД5[[#This Row],[Расчетная проектная площадь]]</f>
        <v>-0.69999999999998863</v>
      </c>
      <c r="AP403" s="335">
        <f>ППД5[[#This Row],[Расчетная ТП площадь]]/ППД5[[#This Row],[Расчетная проектная площадь]]-1</f>
        <v>-1.2110726643598468E-2</v>
      </c>
      <c r="AQ403" s="91">
        <f>ППД5[[#This Row],[% расхождения]]*ППД5[[#This Row],[Стоимость до скидки]]</f>
        <v>-68787.716262974936</v>
      </c>
      <c r="AR403" s="91">
        <f>VLOOKUP(ППД5[[#This Row],[№]],наценкад5[],COLUMN(наценкад5[[#This Row],[Цена м2 с учетом всех K]]),0)</f>
        <v>79921.768500000006</v>
      </c>
      <c r="AS403" s="8">
        <f>ППД5[[#This Row],[м2 после К]]*5%</f>
        <v>3996.0884250000004</v>
      </c>
      <c r="AT403" s="8">
        <f>ППД5[[#This Row],[м2 после К]]+ППД5[[#This Row],[Повышение 16.08.23 - 5%]]</f>
        <v>83917.856925</v>
      </c>
      <c r="AU403" s="93">
        <f>ППД5[[#This Row],[Фикс 16.08.23]]*3%</f>
        <v>2517.5357077499998</v>
      </c>
      <c r="AV403" s="93">
        <f>ППД5[[#This Row],[Фикс 16.08.23]]+ППД5[[#This Row],[Повышение 29.08.23 - 3%]]</f>
        <v>86435.392632749994</v>
      </c>
      <c r="AW403" s="93"/>
      <c r="AX403" s="93">
        <f>ППД5[[#This Row],[Фикс 29.08.23]]+ППД5[[#This Row],[Повышение 06.09.23 СТ и 1К]]</f>
        <v>86435.392632749994</v>
      </c>
      <c r="AY403" s="93"/>
      <c r="AZ403" s="93">
        <f>ППД5[[#This Row],[Повышение 23.10.23  В4 ]]+ППД5[[#This Row],[Фикс 06.09.23]]</f>
        <v>86435.392632749994</v>
      </c>
      <c r="BA403" s="93"/>
      <c r="BB403" s="93">
        <f>ППД5[[#This Row],[Повышение 8.11.23 1К 5%]]+ППД5[[#This Row],[Фикс 23.10.23]]</f>
        <v>86435.392632749994</v>
      </c>
      <c r="BC403" s="93"/>
      <c r="BD403" s="93">
        <f>ППД5[[#This Row],[Корректировка 24.11.23 - 1К В5, 2К А2, №233]]+ППД5[[#This Row],[Фикс 8.11.23]]</f>
        <v>86435.392632749994</v>
      </c>
      <c r="BE403" s="93">
        <f>ППД5[[#This Row],[Фикс 8.11.24]]*1%</f>
        <v>864.35392632749995</v>
      </c>
      <c r="BF403" s="93">
        <f>ППД5[[#This Row],[Наценка за отделку 29.12.23 1%]]+ППД5[[#This Row],[Фикс 8.11.24]]</f>
        <v>87299.746559077495</v>
      </c>
      <c r="BG403" s="93">
        <f>ППД5[[#This Row],[Фикс 29.12.23]]*5%</f>
        <v>4364.9873279538751</v>
      </c>
      <c r="BH403" s="93">
        <f>ППД5[[#This Row],[Фикс 29.12.23]]+ППД5[[#This Row],[Наценка 10.01.24 5%]]</f>
        <v>91664.733887031369</v>
      </c>
      <c r="BI403" s="93"/>
      <c r="BJ403" s="93">
        <f>ППД5[[#This Row],[Наценка 26.02.24 1 Этаж]]+ППД5[[#This Row],[Фикс 10.01.24]]</f>
        <v>91664.733887031369</v>
      </c>
      <c r="BK403" s="93">
        <f>ППД5[[#This Row],[Фикс 26.02.24]]*2%</f>
        <v>1833.2946777406273</v>
      </c>
      <c r="BL403" s="93">
        <f>ППД5[[#This Row],[Фикс 26.02.24]]+ППД5[[#This Row],[Наценка 06.03.24
СТ, 1К - 3%
2К, 3К - 2%]]</f>
        <v>93498.028564772001</v>
      </c>
      <c r="BM403" s="93"/>
      <c r="BN403" s="93">
        <f>ППД5[[#This Row],[Фикс 06.03.24]]+ППД5[[#This Row],[Наценка Г2+500]]</f>
        <v>93498.028564772001</v>
      </c>
      <c r="BO403" s="93">
        <f>ППД5[[#This Row],[Фикс 13.03.25]]*2%</f>
        <v>1869.9605712954401</v>
      </c>
      <c r="BP403" s="93">
        <f>ППД5[[#This Row],[Фикс 13.03.25]]+ППД5[[#This Row],[Наценка 20.03.24
2К, 3К - 2%]]</f>
        <v>95367.989136067437</v>
      </c>
      <c r="BQ403" s="93"/>
      <c r="BR403" s="93">
        <f>ППД5[[#This Row],[Фикс 20.03.24]]+ППД5[[#This Row],[Наценка 08.04.24 
2К: В3 - 150
3К: Г7 +1000]]</f>
        <v>95367.989136067437</v>
      </c>
      <c r="BS403" s="93">
        <f>ППД5[[#This Row],[Фикс 08.04.24]]*1%</f>
        <v>953.67989136067445</v>
      </c>
      <c r="BT403" s="93">
        <f>ППД5[[#This Row],[Фикс 08.04.24]]+ППД5[[#This Row],[Наценка 16.05.24 1%
А4,А6,Б3,Б6,Б7,В2,В3,В5,В6,Г1,Г3-Г5]]</f>
        <v>96321.669027428114</v>
      </c>
      <c r="BU403" s="93"/>
      <c r="BV403" s="93">
        <f>ППД5[[#This Row],[Фикс 16.05.24]]+ППД5[[#This Row],[Наценка 24.05.24
1% - Б4, Б5,Г2,Г6
2% - А1,А3,А5,Б2,Г7]]</f>
        <v>96321.669027428114</v>
      </c>
      <c r="BW403" s="93"/>
      <c r="BX403" s="93">
        <f>ППД5[[#This Row],[Наценка 06.06.24
0К: В2,Г3 +0,5%
1К: А7, Б5/4, Г6 +0,5%
3К: В6 +0,5%
1К: А3 +1%]]+ППД5[[#This Row],[Фикс 24.05.24]]</f>
        <v>96321.669027428114</v>
      </c>
      <c r="BY403" s="93"/>
      <c r="BZ403" s="93">
        <f>ППД5[[#This Row],[Фикс 06.06.24]]+ППД5[[#This Row],[13.06.2024
3К - 2%]]</f>
        <v>96321.669027428114</v>
      </c>
      <c r="CA403" s="47">
        <f>1.5%*ППД5[[#This Row],[Фикс 13.06.24]]</f>
        <v>1444.8250354114216</v>
      </c>
      <c r="CB403" s="93">
        <f>ППД5[[#This Row],[02.07.2024: Г3 А1 А3 Б5 Б7 Г2 Г6 Б3 Б4 В3 Г7 2,5% ост 0,5-1,5%]]+ППД5[[#This Row],[Фикс 13.06.24]]</f>
        <v>97766.494062839542</v>
      </c>
      <c r="CC403" s="93">
        <v>500</v>
      </c>
      <c r="CD403" s="93">
        <f>ППД5[[#This Row],[Фикс 02.07.24]]+ППД5[[#This Row],[04.09.2024 +500
0К - Б2; 1К - А3;
2К - А6, Б4, В3, Г5]]</f>
        <v>98266.494062839542</v>
      </c>
      <c r="CE403" s="93"/>
      <c r="CF403" s="93">
        <f>ППД5[[#This Row],[Наценка 16.09.2024
1К: А1,В7,Г6/7,Г8 - 2%
2К: А4,А5,А6,Б1,Б6,Б3/4,В3,В4,Г4,Г5 - 4%
3К: 4%]]+ППД5[[#This Row],[Фикс 04.09.24]]</f>
        <v>98266.494062839542</v>
      </c>
      <c r="CG403" s="93"/>
      <c r="CH403" s="93">
        <f>ППД5[[#This Row],[Фикс 16.09.2024]]+ППД5[[#This Row],[Наценка 01.11.24
СТ: 4%
1К: 34-40м 5%; 40м+ 8%; МГН 1%
2К: 55-70м 6%; 70-73м 7%; 73-76м 8% 
3К: 5%]]</f>
        <v>98266.494062839542</v>
      </c>
      <c r="CI403" s="93"/>
      <c r="CJ403" s="93">
        <f>ППД5[[#This Row],[Наценка 06.11 13%]]+ППД5[[#This Row],[Фикс 01.11.24]]</f>
        <v>98266.494062839542</v>
      </c>
      <c r="CK403" s="93"/>
      <c r="CL403" s="93">
        <f>ППД5[[#This Row],[Фикс 06.11.24]]+ППД5[[#This Row],[Наценка 18.12.24 распределение КВ]]</f>
        <v>98266.494062839542</v>
      </c>
      <c r="CM403" s="93"/>
      <c r="CN403" s="93">
        <f>ППД5[[#This Row],[Фикс 18.12.24]]+ППД5[[#This Row],[Наценка 10.02.25 +1%
1К: А3
2К: Б3, В3]]</f>
        <v>98266.494062839542</v>
      </c>
      <c r="CO403" s="93">
        <f>ROUND(ППД5[[#This Row],[Фикс 10.02.25]],2)</f>
        <v>98266.49</v>
      </c>
      <c r="CP40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5679900</v>
      </c>
      <c r="CQ403" s="93">
        <f>ROUNDUP(ППД5[[#This Row],[Стоимость до скидки]]+ППД5[[#This Row],[Сумма доплаты]],-2)</f>
        <v>5611200</v>
      </c>
      <c r="CR403" s="68"/>
      <c r="CS403" s="90"/>
      <c r="CT403" s="68">
        <f>ППД5[[#This Row],[Стоимость до скидки]]*ППД5[[#This Row],[Скидка %]]+ППД5[[#This Row],[Скидка фиксированная]]</f>
        <v>0</v>
      </c>
      <c r="CU403" s="3">
        <f>ППД5[[#This Row],[Стоимость ОН без отделки со скидкой]]/ППД5[[#This Row],[Расчетная проектная площадь]]</f>
        <v>98268.166089965409</v>
      </c>
      <c r="CV403" s="3">
        <f>ROUND(ППД5[[#This Row],[Стоимость до скидки]]-ППД5[[#This Row],[Итоговая сумма скидки]],2)</f>
        <v>5679900</v>
      </c>
      <c r="CW40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03" s="197">
        <v>20000</v>
      </c>
      <c r="CY403" s="332">
        <f>ППД5[[#This Row],[Расхождение]]/ППД5[[#This Row],[Расчетная проектная площадь]]</f>
        <v>-1.211072664359842E-2</v>
      </c>
      <c r="CZ40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-0.39000000000000057</v>
      </c>
      <c r="DA403" s="3">
        <f>ППД5[[#This Row],[Цена м2 без отделки со скидкой]]+ППД5[[#This Row],[Стоимость отделки]]</f>
        <v>118268.16608996541</v>
      </c>
      <c r="DB403" s="3">
        <f>ППД5[[#This Row],[Стоимость квартиры с отделкой]]-ППД5[[#This Row],[Стоимость ОН без отделки со скидкой]]</f>
        <v>1156000</v>
      </c>
      <c r="DC403" s="3">
        <f>ППД5[[#This Row],[Цена м2 с отделкой]]*ППД5[[#This Row],[Расчетная проектная площадь]]</f>
        <v>6835900</v>
      </c>
      <c r="DD403" s="3"/>
      <c r="DE403" s="3"/>
      <c r="DF403" s="199" t="s">
        <v>172</v>
      </c>
      <c r="DG403" s="245" t="s">
        <v>172</v>
      </c>
      <c r="DH403" s="100" t="b">
        <f>EXACT(ППД5[[#This Row],[Статусы CRM]],ППД5[[#This Row],[Статус]])</f>
        <v>1</v>
      </c>
      <c r="DI403" s="213" t="s">
        <v>575</v>
      </c>
      <c r="DJ403" s="204"/>
      <c r="DK403" s="111" t="s">
        <v>763</v>
      </c>
      <c r="DL403" s="216" t="s">
        <v>14</v>
      </c>
      <c r="DM403" s="201" t="b">
        <f>ППД5[[#This Row],[Отделка CRM]]=ППД5[[#This Row],[Отделка]]</f>
        <v>1</v>
      </c>
      <c r="DN403" s="203">
        <v>6835900</v>
      </c>
      <c r="DO40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03" s="207" t="b">
        <f>IF(AND(ППД5[[#This Row],[Статус]]="свободно",ППД5[[#This Row],[Итоговая сумма скидки]]&lt;&gt;0),FALSE,TRUE)</f>
        <v>1</v>
      </c>
      <c r="DQ403" s="240">
        <f>_xlfn.XLOOKUP(ППД5[[#This Row],[№]],Юрист[№ кв],Юрист[Дата подачи на регистрацию]," ",0,-1)</f>
        <v>45554</v>
      </c>
      <c r="DR403" s="115" t="str">
        <f>_xlfn.XLOOKUP(ППД5[[#This Row],[№]],Юрист[№ кв],Юрист[МОП],"",0,-1)</f>
        <v>Полехович</v>
      </c>
      <c r="DS403" s="333" t="s">
        <v>3098</v>
      </c>
      <c r="DT403" s="333" t="s">
        <v>3099</v>
      </c>
      <c r="DU403" s="333">
        <v>55.6</v>
      </c>
      <c r="DV403" s="111"/>
    </row>
    <row r="404" spans="1:126" hidden="1" x14ac:dyDescent="0.25">
      <c r="A404" s="112">
        <v>402</v>
      </c>
      <c r="B404" s="111" t="s">
        <v>2</v>
      </c>
      <c r="C404" s="111">
        <v>2</v>
      </c>
      <c r="D404" s="115">
        <v>6</v>
      </c>
      <c r="E404" s="111">
        <v>1</v>
      </c>
      <c r="F404" s="105">
        <v>12.71</v>
      </c>
      <c r="G404" s="105"/>
      <c r="H404" s="105"/>
      <c r="I404" s="94">
        <f>SUM(ППД5[[#This Row],[Комната 1]:[Комната 3]])</f>
        <v>12.71</v>
      </c>
      <c r="J404" s="105">
        <v>12.55</v>
      </c>
      <c r="K404" s="105">
        <v>4.28</v>
      </c>
      <c r="L404" s="105"/>
      <c r="M404" s="105"/>
      <c r="N404" s="105">
        <v>7.34</v>
      </c>
      <c r="O404" s="105">
        <v>2.84</v>
      </c>
      <c r="P404" s="105"/>
      <c r="Q404" s="105"/>
      <c r="R404" s="105">
        <f>SUM(ППД5[[#This Row],[Лоджия 1]:[Лоджия 3]])</f>
        <v>2.84</v>
      </c>
      <c r="S404" s="8">
        <f>ROUND(SUM(ППД5[[#This Row],[Площадь по проекту жилая]:[Лоджия 3]]),2)</f>
        <v>39.72</v>
      </c>
      <c r="T404" s="8">
        <f>ROUND(ППД5[[#This Row],[Площадь по проекту(общая)]]-ППД5[[#This Row],[Летние]],2)</f>
        <v>36.880000000000003</v>
      </c>
      <c r="U404" s="91">
        <f>ROUND(ППД5[[#This Row],[Площадь по проекту(общая)]]-(SUM(ППД5[[#This Row],[Лоджия 1]:[Лоджия 3]])/2),2)</f>
        <v>38.299999999999997</v>
      </c>
      <c r="V404" s="91">
        <f>IF(ППД5[[#This Row],[Статус]]="продажа",ППД5[[#This Row],[Расчетная проектная площадь]],ППД5[[#This Row],[Расчетная ТП площадь]])</f>
        <v>38.299999999999997</v>
      </c>
      <c r="W404" s="91">
        <v>12.7</v>
      </c>
      <c r="X404" s="91"/>
      <c r="Y404" s="91"/>
      <c r="Z404" s="91">
        <f>SUM(ППД5[[#This Row],[ТП Комната 1]:[ТП Комната 3]])</f>
        <v>12.7</v>
      </c>
      <c r="AA404" s="91">
        <v>12.5</v>
      </c>
      <c r="AB404" s="91">
        <v>4.0999999999999996</v>
      </c>
      <c r="AC404" s="91"/>
      <c r="AD404" s="91"/>
      <c r="AE404" s="91">
        <v>7.3</v>
      </c>
      <c r="AF404" s="91">
        <v>1.4</v>
      </c>
      <c r="AG404" s="91"/>
      <c r="AH404" s="91"/>
      <c r="AI404" s="91">
        <f>SUM(ППД5[[#This Row],[ТП Лоджия 1]:[ТП Лоджия 3]])</f>
        <v>1.4</v>
      </c>
      <c r="AJ404" s="95">
        <v>2.8</v>
      </c>
      <c r="AK404" s="91">
        <f>SUM(ППД5[[#This Row],[Площадь по ТП жилая]:[ТП Лоджия 3]])-ППД5[[#This Row],[ТП Летние]]+ППД5[[#This Row],[кроме того прочая
(без коэффициента)]]</f>
        <v>39.399999999999991</v>
      </c>
      <c r="AL404" s="95">
        <f>ППД5[[#This Row],[ТП Площадь без летних]]+(ППД5[[#This Row],[ТП Летние]])</f>
        <v>37.999999999999993</v>
      </c>
      <c r="AM404" s="91">
        <f>ППД5[[#This Row],[ТП общая S]]-ППД5[[#This Row],[кроме того прочая
(без коэффициента)]]</f>
        <v>36.599999999999994</v>
      </c>
      <c r="AN404" s="95">
        <f>SUM(ППД5[[#This Row],[ТП Кухня]:[ТП Коридор]])</f>
        <v>23.900000000000002</v>
      </c>
      <c r="AO404" s="91">
        <f>ППД5[[#This Row],[Расчетная ТП площадь]]-ППД5[[#This Row],[Расчетная проектная площадь]]</f>
        <v>-0.30000000000000426</v>
      </c>
      <c r="AP404" s="335">
        <f>ППД5[[#This Row],[Расчетная ТП площадь]]/ППД5[[#This Row],[Расчетная проектная площадь]]-1</f>
        <v>-7.8328981723239099E-3</v>
      </c>
      <c r="AQ404" s="91">
        <f>ППД5[[#This Row],[% расхождения]]*ППД5[[#This Row],[Стоимость до скидки]]</f>
        <v>-35264.490861619473</v>
      </c>
      <c r="AR404" s="91">
        <f>VLOOKUP(ППД5[[#This Row],[№]],наценкад5[],COLUMN(наценкад5[[#This Row],[Цена м2 с учетом всех K]]),0)</f>
        <v>88412.625</v>
      </c>
      <c r="AS404" s="8">
        <f>ППД5[[#This Row],[м2 после К]]*5%</f>
        <v>4420.6312500000004</v>
      </c>
      <c r="AT404" s="8">
        <f>ППД5[[#This Row],[м2 после К]]+ППД5[[#This Row],[Повышение 16.08.23 - 5%]]</f>
        <v>92833.256250000006</v>
      </c>
      <c r="AU404" s="93">
        <f>ППД5[[#This Row],[Фикс 16.08.23]]*3%</f>
        <v>2784.9976875000002</v>
      </c>
      <c r="AV404" s="93">
        <f>ППД5[[#This Row],[Фикс 16.08.23]]+ППД5[[#This Row],[Повышение 29.08.23 - 3%]]</f>
        <v>95618.253937500005</v>
      </c>
      <c r="AW404" s="93">
        <f>ППД5[[#This Row],[Фикс 29.08.23]]*1%</f>
        <v>956.18253937500003</v>
      </c>
      <c r="AX404" s="93">
        <f>ППД5[[#This Row],[Фикс 29.08.23]]+ППД5[[#This Row],[Повышение 06.09.23 СТ и 1К]]</f>
        <v>96574.436476875009</v>
      </c>
      <c r="AY404" s="93"/>
      <c r="AZ404" s="93">
        <f>ППД5[[#This Row],[Повышение 23.10.23  В4 ]]+ППД5[[#This Row],[Фикс 06.09.23]]</f>
        <v>96574.436476875009</v>
      </c>
      <c r="BA404" s="93">
        <f>ППД5[[#This Row],[Фикс 23.10.23]]*5%</f>
        <v>4828.7218238437508</v>
      </c>
      <c r="BB404" s="93">
        <f>ППД5[[#This Row],[Повышение 8.11.23 1К 5%]]+ППД5[[#This Row],[Фикс 23.10.23]]</f>
        <v>101403.15830071876</v>
      </c>
      <c r="BC404" s="93"/>
      <c r="BD404" s="93">
        <f>ППД5[[#This Row],[Корректировка 24.11.23 - 1К В5, 2К А2, №233]]+ППД5[[#This Row],[Фикс 8.11.23]]</f>
        <v>101403.15830071876</v>
      </c>
      <c r="BE404" s="93">
        <f>ППД5[[#This Row],[Фикс 8.11.24]]*1%</f>
        <v>1014.0315830071876</v>
      </c>
      <c r="BF404" s="93">
        <f>ППД5[[#This Row],[Наценка за отделку 29.12.23 1%]]+ППД5[[#This Row],[Фикс 8.11.24]]</f>
        <v>102417.18988372595</v>
      </c>
      <c r="BG404" s="93">
        <f>ППД5[[#This Row],[Фикс 29.12.23]]*5%</f>
        <v>5120.8594941862975</v>
      </c>
      <c r="BH404" s="93">
        <f>ППД5[[#This Row],[Фикс 29.12.23]]+ППД5[[#This Row],[Наценка 10.01.24 5%]]</f>
        <v>107538.04937791225</v>
      </c>
      <c r="BI404" s="93"/>
      <c r="BJ404" s="93">
        <f>ППД5[[#This Row],[Наценка 26.02.24 1 Этаж]]+ППД5[[#This Row],[Фикс 10.01.24]]</f>
        <v>107538.04937791225</v>
      </c>
      <c r="BK404" s="93">
        <f>ППД5[[#This Row],[Фикс 26.02.24]]*3%</f>
        <v>3226.1414813373672</v>
      </c>
      <c r="BL404" s="93">
        <f>ППД5[[#This Row],[Фикс 26.02.24]]+ППД5[[#This Row],[Наценка 06.03.24
СТ, 1К - 3%
2К, 3К - 2%]]</f>
        <v>110764.19085924962</v>
      </c>
      <c r="BM404" s="93"/>
      <c r="BN404" s="93">
        <f>ППД5[[#This Row],[Фикс 06.03.24]]+ППД5[[#This Row],[Наценка Г2+500]]</f>
        <v>110764.19085924962</v>
      </c>
      <c r="BO404" s="93"/>
      <c r="BP404" s="93">
        <f>ППД5[[#This Row],[Фикс 13.03.25]]+ППД5[[#This Row],[Наценка 20.03.24
2К, 3К - 2%]]</f>
        <v>110764.19085924962</v>
      </c>
      <c r="BQ404" s="93"/>
      <c r="BR404" s="93">
        <f>ППД5[[#This Row],[Фикс 20.03.24]]+ППД5[[#This Row],[Наценка 08.04.24 
2К: В3 - 150
3К: Г7 +1000]]</f>
        <v>110764.19085924962</v>
      </c>
      <c r="BS404" s="93"/>
      <c r="BT404" s="93">
        <f>ППД5[[#This Row],[Фикс 08.04.24]]+ППД5[[#This Row],[Наценка 16.05.24 1%
А4,А6,Б3,Б6,Б7,В2,В3,В5,В6,Г1,Г3-Г5]]</f>
        <v>110764.19085924962</v>
      </c>
      <c r="BU404" s="93">
        <f>ППД5[[#This Row],[Фикс 16.05.24]]*1%</f>
        <v>1107.6419085924963</v>
      </c>
      <c r="BV404" s="93">
        <f>ППД5[[#This Row],[Фикс 16.05.24]]+ППД5[[#This Row],[Наценка 24.05.24
1% - Б4, Б5,Г2,Г6
2% - А1,А3,А5,Б2,Г7]]</f>
        <v>111871.83276784212</v>
      </c>
      <c r="BW404" s="93">
        <f>ППД5[[#This Row],[Фикс 24.05.24]]*0.5%</f>
        <v>559.35916383921062</v>
      </c>
      <c r="BX404" s="93">
        <f>ППД5[[#This Row],[Наценка 06.06.24
0К: В2,Г3 +0,5%
1К: А7, Б5/4, Г6 +0,5%
3К: В6 +0,5%
1К: А3 +1%]]+ППД5[[#This Row],[Фикс 24.05.24]]</f>
        <v>112431.19193168133</v>
      </c>
      <c r="BY404" s="93"/>
      <c r="BZ404" s="93">
        <f>ППД5[[#This Row],[Фикс 06.06.24]]+ППД5[[#This Row],[13.06.2024
3К - 2%]]</f>
        <v>112431.19193168133</v>
      </c>
      <c r="CA404" s="93">
        <f>2.5%*ППД5[[#This Row],[Фикс 13.06.24]]</f>
        <v>2810.7797982920333</v>
      </c>
      <c r="CB404" s="93">
        <f>ППД5[[#This Row],[02.07.2024: Г3 А1 А3 Б5 Б7 Г2 Г6 Б3 Б4 В3 Г7 2,5% ост 0,5-1,5%]]+ППД5[[#This Row],[Фикс 13.06.24]]</f>
        <v>115241.97172997336</v>
      </c>
      <c r="CC404" s="93"/>
      <c r="CD404" s="93">
        <f>ППД5[[#This Row],[Фикс 02.07.24]]+ППД5[[#This Row],[04.09.2024 +500
0К - Б2; 1К - А3;
2К - А6, Б4, В3, Г5]]</f>
        <v>115241.97172997336</v>
      </c>
      <c r="CE404" s="93">
        <f>ППД5[[#This Row],[Фикс 04.09.24]]*2%</f>
        <v>2304.839434599467</v>
      </c>
      <c r="CF404" s="93">
        <f>ППД5[[#This Row],[Наценка 16.09.2024
1К: А1,В7,Г6/7,Г8 - 2%
2К: А4,А5,А6,Б1,Б6,Б3/4,В3,В4,Г4,Г5 - 4%
3К: 4%]]+ППД5[[#This Row],[Фикс 04.09.24]]</f>
        <v>117546.81116457282</v>
      </c>
      <c r="CG404" s="93"/>
      <c r="CH404" s="93">
        <f>ППД5[[#This Row],[Фикс 16.09.2024]]+ППД5[[#This Row],[Наценка 01.11.24
СТ: 4%
1К: 34-40м 5%; 40м+ 8%; МГН 1%
2К: 55-70м 6%; 70-73м 7%; 73-76м 8% 
3К: 5%]]</f>
        <v>117546.81116457282</v>
      </c>
      <c r="CI404" s="93"/>
      <c r="CJ404" s="93">
        <f>ППД5[[#This Row],[Наценка 06.11 13%]]+ППД5[[#This Row],[Фикс 01.11.24]]</f>
        <v>117546.81116457282</v>
      </c>
      <c r="CK404" s="93"/>
      <c r="CL404" s="93">
        <f>ППД5[[#This Row],[Фикс 06.11.24]]+ППД5[[#This Row],[Наценка 18.12.24 распределение КВ]]</f>
        <v>117546.81116457282</v>
      </c>
      <c r="CM404" s="93"/>
      <c r="CN404" s="93">
        <f>ППД5[[#This Row],[Фикс 18.12.24]]+ППД5[[#This Row],[Наценка 10.02.25 +1%
1К: А3
2К: Б3, В3]]</f>
        <v>117546.81116457282</v>
      </c>
      <c r="CO404" s="93">
        <f>ROUND(ППД5[[#This Row],[Фикс 10.02.25]],2)</f>
        <v>117546.81</v>
      </c>
      <c r="CP40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4502100</v>
      </c>
      <c r="CQ404" s="93">
        <f>ROUNDUP(ППД5[[#This Row],[Стоимость до скидки]]+ППД5[[#This Row],[Сумма доплаты]],-2)</f>
        <v>4466900</v>
      </c>
      <c r="CR404" s="68"/>
      <c r="CS404" s="90">
        <v>0.02</v>
      </c>
      <c r="CT404" s="68">
        <f>ППД5[[#This Row],[Стоимость до скидки]]*ППД5[[#This Row],[Скидка %]]+ППД5[[#This Row],[Скидка фиксированная]]</f>
        <v>90042</v>
      </c>
      <c r="CU404" s="3">
        <f>ППД5[[#This Row],[Стоимость ОН без отделки со скидкой]]/ППД5[[#This Row],[Расчетная проектная площадь]]</f>
        <v>115197.33681462142</v>
      </c>
      <c r="CV404" s="3">
        <f>ROUND(ППД5[[#This Row],[Стоимость до скидки]]-ППД5[[#This Row],[Итоговая сумма скидки]],2)</f>
        <v>4412058</v>
      </c>
      <c r="CW40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04" s="197"/>
      <c r="CY404" s="332">
        <f>ППД5[[#This Row],[Расхождение]]/ППД5[[#This Row],[Расчетная проектная площадь]]</f>
        <v>-7.8328981723238718E-3</v>
      </c>
      <c r="CZ40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-0.26999999999999957</v>
      </c>
      <c r="DA404" s="3">
        <f>ППД5[[#This Row],[Цена м2 без отделки со скидкой]]+ППД5[[#This Row],[Стоимость отделки]]</f>
        <v>115197.33681462142</v>
      </c>
      <c r="DB404" s="3">
        <f>ППД5[[#This Row],[Стоимость квартиры с отделкой]]-ППД5[[#This Row],[Стоимость ОН без отделки со скидкой]]</f>
        <v>0</v>
      </c>
      <c r="DC404" s="3">
        <f>ППД5[[#This Row],[Цена м2 с отделкой]]*ППД5[[#This Row],[Расчетная проектная площадь]]</f>
        <v>4412058</v>
      </c>
      <c r="DD404" s="3"/>
      <c r="DE404" s="111" t="s">
        <v>757</v>
      </c>
      <c r="DF404" s="199" t="s">
        <v>172</v>
      </c>
      <c r="DG404" s="245" t="s">
        <v>172</v>
      </c>
      <c r="DH404" s="100" t="b">
        <f>EXACT(ППД5[[#This Row],[Статусы CRM]],ППД5[[#This Row],[Статус]])</f>
        <v>1</v>
      </c>
      <c r="DI404" s="213" t="s">
        <v>576</v>
      </c>
      <c r="DJ404" s="204"/>
      <c r="DK404" s="111" t="s">
        <v>763</v>
      </c>
      <c r="DL404" s="216" t="s">
        <v>12</v>
      </c>
      <c r="DM404" s="201" t="b">
        <f>ППД5[[#This Row],[Отделка CRM]]=ППД5[[#This Row],[Отделка]]</f>
        <v>1</v>
      </c>
      <c r="DN404" s="203">
        <v>4412058</v>
      </c>
      <c r="DO40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04" s="207" t="b">
        <f>IF(AND(ППД5[[#This Row],[Статус]]="свободно",ППД5[[#This Row],[Итоговая сумма скидки]]&lt;&gt;0),FALSE,TRUE)</f>
        <v>1</v>
      </c>
      <c r="DQ404" s="240">
        <f>_xlfn.XLOOKUP(ППД5[[#This Row],[№]],Юрист[№ кв],Юрист[Дата подачи на регистрацию]," ",0,-1)</f>
        <v>45594</v>
      </c>
      <c r="DR404" s="115" t="str">
        <f>_xlfn.XLOOKUP(ППД5[[#This Row],[№]],Юрист[№ кв],Юрист[МОП],"",0,-1)</f>
        <v>Полехович</v>
      </c>
      <c r="DS404" s="333" t="s">
        <v>3100</v>
      </c>
      <c r="DT404" s="333" t="s">
        <v>3101</v>
      </c>
      <c r="DU404" s="333">
        <v>36.6</v>
      </c>
      <c r="DV404" s="111"/>
    </row>
    <row r="405" spans="1:126" hidden="1" x14ac:dyDescent="0.25">
      <c r="A405" s="112">
        <v>403</v>
      </c>
      <c r="B405" s="111" t="s">
        <v>2</v>
      </c>
      <c r="C405" s="111">
        <v>2</v>
      </c>
      <c r="D405" s="115">
        <v>7</v>
      </c>
      <c r="E405" s="111">
        <v>3</v>
      </c>
      <c r="F405" s="105">
        <v>14.49</v>
      </c>
      <c r="G405" s="105">
        <v>13.98</v>
      </c>
      <c r="H405" s="105">
        <v>11.42</v>
      </c>
      <c r="I405" s="94">
        <f>SUM(ППД5[[#This Row],[Комната 1]:[Комната 3]])</f>
        <v>39.89</v>
      </c>
      <c r="J405" s="105">
        <v>16.670000000000002</v>
      </c>
      <c r="K405" s="105">
        <v>4.1399999999999997</v>
      </c>
      <c r="L405" s="105">
        <v>1.89</v>
      </c>
      <c r="M405" s="105"/>
      <c r="N405" s="105">
        <v>11.31</v>
      </c>
      <c r="O405" s="105">
        <v>2.86</v>
      </c>
      <c r="P405" s="105">
        <v>2.79</v>
      </c>
      <c r="Q405" s="105">
        <v>5.42</v>
      </c>
      <c r="R405" s="105">
        <f>SUM(ППД5[[#This Row],[Лоджия 1]:[Лоджия 3]])</f>
        <v>11.07</v>
      </c>
      <c r="S405" s="8">
        <f>ROUND(SUM(ППД5[[#This Row],[Площадь по проекту жилая]:[Лоджия 3]]),2)</f>
        <v>84.97</v>
      </c>
      <c r="T405" s="8">
        <f>ROUND(ППД5[[#This Row],[Площадь по проекту(общая)]]-ППД5[[#This Row],[Летние]],2)</f>
        <v>73.900000000000006</v>
      </c>
      <c r="U405" s="91">
        <f>ROUND(ППД5[[#This Row],[Площадь по проекту(общая)]]-(SUM(ППД5[[#This Row],[Лоджия 1]:[Лоджия 3]])/2),2)</f>
        <v>79.44</v>
      </c>
      <c r="V405" s="91">
        <f>IF(ППД5[[#This Row],[Статус]]="продажа",ППД5[[#This Row],[Расчетная проектная площадь]],ППД5[[#This Row],[Расчетная ТП площадь]])</f>
        <v>78.59999999999998</v>
      </c>
      <c r="W405" s="91">
        <v>11.5</v>
      </c>
      <c r="X405" s="91">
        <v>14.4</v>
      </c>
      <c r="Y405" s="91">
        <v>13.9</v>
      </c>
      <c r="Z405" s="91">
        <f>SUM(ППД5[[#This Row],[ТП Комната 1]:[ТП Комната 3]])</f>
        <v>39.799999999999997</v>
      </c>
      <c r="AA405" s="91">
        <v>16.3</v>
      </c>
      <c r="AB405" s="91">
        <v>1.9</v>
      </c>
      <c r="AC405" s="91">
        <v>4.0999999999999996</v>
      </c>
      <c r="AD405" s="91"/>
      <c r="AE405" s="91">
        <v>11.1</v>
      </c>
      <c r="AF405" s="91">
        <v>1.45</v>
      </c>
      <c r="AG405" s="91">
        <v>2.6</v>
      </c>
      <c r="AH405" s="91">
        <v>1.35</v>
      </c>
      <c r="AI405" s="91">
        <f>SUM(ППД5[[#This Row],[ТП Лоджия 1]:[ТП Лоджия 3]])</f>
        <v>5.4</v>
      </c>
      <c r="AJ405" s="95">
        <v>10.8</v>
      </c>
      <c r="AK405" s="91">
        <f>SUM(ППД5[[#This Row],[Площадь по ТП жилая]:[ТП Лоджия 3]])-ППД5[[#This Row],[ТП Летние]]+ППД5[[#This Row],[кроме того прочая
(без коэффициента)]]</f>
        <v>83.999999999999972</v>
      </c>
      <c r="AL405" s="95">
        <f>ППД5[[#This Row],[ТП Площадь без летних]]+(ППД5[[#This Row],[ТП Летние]])</f>
        <v>78.59999999999998</v>
      </c>
      <c r="AM405" s="91">
        <f>ППД5[[#This Row],[ТП общая S]]-ППД5[[#This Row],[кроме того прочая
(без коэффициента)]]</f>
        <v>73.199999999999974</v>
      </c>
      <c r="AN405" s="95">
        <f>SUM(ППД5[[#This Row],[ТП Кухня]:[ТП Коридор]])</f>
        <v>33.4</v>
      </c>
      <c r="AO405" s="91">
        <f>ППД5[[#This Row],[Расчетная ТП площадь]]-ППД5[[#This Row],[Расчетная проектная площадь]]</f>
        <v>-0.84000000000001762</v>
      </c>
      <c r="AP405" s="335">
        <f>ППД5[[#This Row],[Расчетная ТП площадь]]/ППД5[[#This Row],[Расчетная проектная площадь]]-1</f>
        <v>-1.0574018126888407E-2</v>
      </c>
      <c r="AQ405" s="91">
        <f>ППД5[[#This Row],[% расхождения]]*ППД5[[#This Row],[Стоимость до скидки]]</f>
        <v>-102815.40785498674</v>
      </c>
      <c r="AR405" s="91">
        <f>VLOOKUP(ППД5[[#This Row],[№]],наценкад5[],COLUMN(наценкад5[[#This Row],[Цена м2 с учетом всех K]]),0)</f>
        <v>77089.320000000022</v>
      </c>
      <c r="AS405" s="8">
        <f>ППД5[[#This Row],[м2 после К]]*5%</f>
        <v>3854.4660000000013</v>
      </c>
      <c r="AT405" s="8">
        <f>ППД5[[#This Row],[м2 после К]]+ППД5[[#This Row],[Повышение 16.08.23 - 5%]]</f>
        <v>80943.786000000022</v>
      </c>
      <c r="AU405" s="93">
        <f>ППД5[[#This Row],[Фикс 16.08.23]]*3%</f>
        <v>2428.3135800000005</v>
      </c>
      <c r="AV405" s="93">
        <f>ППД5[[#This Row],[Фикс 16.08.23]]+ППД5[[#This Row],[Повышение 29.08.23 - 3%]]</f>
        <v>83372.099580000024</v>
      </c>
      <c r="AW405" s="93"/>
      <c r="AX405" s="93">
        <f>ППД5[[#This Row],[Фикс 29.08.23]]+ППД5[[#This Row],[Повышение 06.09.23 СТ и 1К]]</f>
        <v>83372.099580000024</v>
      </c>
      <c r="AY405" s="93"/>
      <c r="AZ405" s="93">
        <f>ППД5[[#This Row],[Повышение 23.10.23  В4 ]]+ППД5[[#This Row],[Фикс 06.09.23]]</f>
        <v>83372.099580000024</v>
      </c>
      <c r="BA405" s="93"/>
      <c r="BB405" s="93">
        <f>ППД5[[#This Row],[Повышение 8.11.23 1К 5%]]+ППД5[[#This Row],[Фикс 23.10.23]]</f>
        <v>83372.099580000024</v>
      </c>
      <c r="BC405" s="93"/>
      <c r="BD405" s="93">
        <f>ППД5[[#This Row],[Корректировка 24.11.23 - 1К В5, 2К А2, №233]]+ППД5[[#This Row],[Фикс 8.11.23]]</f>
        <v>83372.099580000024</v>
      </c>
      <c r="BE405" s="93">
        <f>ППД5[[#This Row],[Фикс 8.11.24]]*1%</f>
        <v>833.72099580000031</v>
      </c>
      <c r="BF405" s="93">
        <f>ППД5[[#This Row],[Наценка за отделку 29.12.23 1%]]+ППД5[[#This Row],[Фикс 8.11.24]]</f>
        <v>84205.820575800026</v>
      </c>
      <c r="BG405" s="93">
        <f>ППД5[[#This Row],[Фикс 29.12.23]]*5%</f>
        <v>4210.2910287900013</v>
      </c>
      <c r="BH405" s="93">
        <f>ППД5[[#This Row],[Фикс 29.12.23]]+ППД5[[#This Row],[Наценка 10.01.24 5%]]</f>
        <v>88416.111604590027</v>
      </c>
      <c r="BI405" s="93"/>
      <c r="BJ405" s="93">
        <f>ППД5[[#This Row],[Наценка 26.02.24 1 Этаж]]+ППД5[[#This Row],[Фикс 10.01.24]]</f>
        <v>88416.111604590027</v>
      </c>
      <c r="BK405" s="93">
        <f>ППД5[[#This Row],[Фикс 26.02.24]]*2%</f>
        <v>1768.3222320918005</v>
      </c>
      <c r="BL405" s="93">
        <f>ППД5[[#This Row],[Фикс 26.02.24]]+ППД5[[#This Row],[Наценка 06.03.24
СТ, 1К - 3%
2К, 3К - 2%]]</f>
        <v>90184.433836681827</v>
      </c>
      <c r="BM405" s="93"/>
      <c r="BN405" s="93">
        <f>ППД5[[#This Row],[Фикс 06.03.24]]+ППД5[[#This Row],[Наценка Г2+500]]</f>
        <v>90184.433836681827</v>
      </c>
      <c r="BO405" s="93">
        <f>ППД5[[#This Row],[Фикс 13.03.25]]*2%</f>
        <v>1803.6886767336366</v>
      </c>
      <c r="BP405" s="93">
        <f>ППД5[[#This Row],[Фикс 13.03.25]]+ППД5[[#This Row],[Наценка 20.03.24
2К, 3К - 2%]]</f>
        <v>91988.122513415467</v>
      </c>
      <c r="BQ405" s="93">
        <v>1000</v>
      </c>
      <c r="BR405" s="93">
        <f>ППД5[[#This Row],[Фикс 20.03.24]]+ППД5[[#This Row],[Наценка 08.04.24 
2К: В3 - 150
3К: Г7 +1000]]</f>
        <v>92988.122513415467</v>
      </c>
      <c r="BS405" s="93"/>
      <c r="BT405" s="93">
        <f>ППД5[[#This Row],[Фикс 08.04.24]]+ППД5[[#This Row],[Наценка 16.05.24 1%
А4,А6,Б3,Б6,Б7,В2,В3,В5,В6,Г1,Г3-Г5]]</f>
        <v>92988.122513415467</v>
      </c>
      <c r="BU405" s="93">
        <f>ППД5[[#This Row],[Фикс 16.05.24]]*2%</f>
        <v>1859.7624502683093</v>
      </c>
      <c r="BV405" s="93">
        <f>ППД5[[#This Row],[Фикс 16.05.24]]+ППД5[[#This Row],[Наценка 24.05.24
1% - Б4, Б5,Г2,Г6
2% - А1,А3,А5,Б2,Г7]]</f>
        <v>94847.884963683769</v>
      </c>
      <c r="BW405" s="93"/>
      <c r="BX405" s="93">
        <f>ППД5[[#This Row],[Наценка 06.06.24
0К: В2,Г3 +0,5%
1К: А7, Б5/4, Г6 +0,5%
3К: В6 +0,5%
1К: А3 +1%]]+ППД5[[#This Row],[Фикс 24.05.24]]</f>
        <v>94847.884963683769</v>
      </c>
      <c r="BY405" s="93">
        <f>ППД5[[#This Row],[Фикс 06.06.24]]*2%</f>
        <v>1896.9576992736754</v>
      </c>
      <c r="BZ405" s="93">
        <f>ППД5[[#This Row],[Фикс 06.06.24]]+ППД5[[#This Row],[13.06.2024
3К - 2%]]</f>
        <v>96744.842662957439</v>
      </c>
      <c r="CA405" s="93">
        <f>2.5%*ППД5[[#This Row],[Фикс 13.06.24]]</f>
        <v>2418.6210665739359</v>
      </c>
      <c r="CB405" s="93">
        <f>ППД5[[#This Row],[02.07.2024: Г3 А1 А3 Б5 Б7 Г2 Г6 Б3 Б4 В3 Г7 2,5% ост 0,5-1,5%]]+ППД5[[#This Row],[Фикс 13.06.24]]</f>
        <v>99163.463729531373</v>
      </c>
      <c r="CC405" s="93"/>
      <c r="CD405" s="93">
        <f>ППД5[[#This Row],[Фикс 02.07.24]]+ППД5[[#This Row],[04.09.2024 +500
0К - Б2; 1К - А3;
2К - А6, Б4, В3, Г5]]</f>
        <v>99163.463729531373</v>
      </c>
      <c r="CE405" s="93">
        <f>ППД5[[#This Row],[Фикс 04.09.24]]*4%</f>
        <v>3966.5385491812549</v>
      </c>
      <c r="CF405" s="93">
        <f>ППД5[[#This Row],[Наценка 16.09.2024
1К: А1,В7,Г6/7,Г8 - 2%
2К: А4,А5,А6,Б1,Б6,Б3/4,В3,В4,Г4,Г5 - 4%
3К: 4%]]+ППД5[[#This Row],[Фикс 04.09.24]]</f>
        <v>103130.00227871262</v>
      </c>
      <c r="CG405" s="93">
        <f>ППД5[[#This Row],[Фикс 16.09.2024]]*5%</f>
        <v>5156.5001139356318</v>
      </c>
      <c r="CH405" s="93">
        <f>ППД5[[#This Row],[Фикс 16.09.2024]]+ППД5[[#This Row],[Наценка 01.11.24
СТ: 4%
1К: 34-40м 5%; 40м+ 8%; МГН 1%
2К: 55-70м 6%; 70-73м 7%; 73-76м 8% 
3К: 5%]]</f>
        <v>108286.50239264825</v>
      </c>
      <c r="CI405" s="93">
        <f>ППД5[[#This Row],[Фикс 01.11.24]]*13%</f>
        <v>14077.245311044273</v>
      </c>
      <c r="CJ405" s="93">
        <f>ППД5[[#This Row],[Наценка 06.11 13%]]+ППД5[[#This Row],[Фикс 01.11.24]]</f>
        <v>122363.74770369253</v>
      </c>
      <c r="CK405" s="93">
        <v>35</v>
      </c>
      <c r="CL405" s="93">
        <f>ППД5[[#This Row],[Фикс 06.11.24]]+ППД5[[#This Row],[Наценка 18.12.24 распределение КВ]]</f>
        <v>122398.74770369253</v>
      </c>
      <c r="CM405" s="93"/>
      <c r="CN405" s="93">
        <f>ППД5[[#This Row],[Фикс 18.12.24]]+ППД5[[#This Row],[Наценка 10.02.25 +1%
1К: А3
2К: Б3, В3]]</f>
        <v>122398.74770369253</v>
      </c>
      <c r="CO405" s="93">
        <f>ROUND(ППД5[[#This Row],[Фикс 10.02.25]],2)</f>
        <v>122398.75</v>
      </c>
      <c r="CP40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9723400</v>
      </c>
      <c r="CQ405" s="93">
        <f>ROUNDUP(ППД5[[#This Row],[Стоимость до скидки]]+ППД5[[#This Row],[Сумма доплаты]],-2)</f>
        <v>9620600</v>
      </c>
      <c r="CR405" s="68"/>
      <c r="CS405" s="90"/>
      <c r="CT405" s="68">
        <f>ППД5[[#This Row],[Стоимость до скидки]]*ППД5[[#This Row],[Скидка %]]+ППД5[[#This Row],[Скидка фиксированная]]</f>
        <v>0</v>
      </c>
      <c r="CU405" s="3">
        <f>ППД5[[#This Row],[Стоимость ОН без отделки со скидкой]]/ППД5[[#This Row],[Расчетная проектная площадь]]</f>
        <v>122399.29506545821</v>
      </c>
      <c r="CV405" s="3">
        <f>ROUND(ППД5[[#This Row],[Стоимость до скидки]]-ППД5[[#This Row],[Итоговая сумма скидки]],2)</f>
        <v>9723400</v>
      </c>
      <c r="CW40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05" s="197"/>
      <c r="CY405" s="332">
        <f>ППД5[[#This Row],[Расхождение]]/ППД5[[#This Row],[Расчетная проектная площадь]]</f>
        <v>-1.057401812688844E-2</v>
      </c>
      <c r="CZ40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-0.61000000000000654</v>
      </c>
      <c r="DA405" s="3">
        <f>ППД5[[#This Row],[Цена м2 без отделки со скидкой]]+ППД5[[#This Row],[Стоимость отделки]]</f>
        <v>122399.29506545821</v>
      </c>
      <c r="DB405" s="3">
        <f>ППД5[[#This Row],[Стоимость квартиры с отделкой]]-ППД5[[#This Row],[Стоимость ОН без отделки со скидкой]]</f>
        <v>0</v>
      </c>
      <c r="DC405" s="3">
        <f>ППД5[[#This Row],[Цена м2 с отделкой]]*ППД5[[#This Row],[Расчетная проектная площадь]]</f>
        <v>9723400</v>
      </c>
      <c r="DD405" s="3" t="s">
        <v>155</v>
      </c>
      <c r="DF405" s="155" t="s">
        <v>157</v>
      </c>
      <c r="DG405" s="221" t="s">
        <v>157</v>
      </c>
      <c r="DH405" s="100" t="b">
        <f>EXACT(ППД5[[#This Row],[Статусы CRM]],ППД5[[#This Row],[Статус]])</f>
        <v>1</v>
      </c>
      <c r="DI405" s="213" t="s">
        <v>577</v>
      </c>
      <c r="DJ405" s="204"/>
      <c r="DK405" s="111" t="s">
        <v>763</v>
      </c>
      <c r="DL405" s="216" t="s">
        <v>12</v>
      </c>
      <c r="DM405" s="201" t="b">
        <f>ППД5[[#This Row],[Отделка CRM]]=ППД5[[#This Row],[Отделка]]</f>
        <v>1</v>
      </c>
      <c r="DN405" s="203">
        <v>9723400</v>
      </c>
      <c r="DO40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05" s="207" t="b">
        <f>IF(AND(ППД5[[#This Row],[Статус]]="свободно",ППД5[[#This Row],[Итоговая сумма скидки]]&lt;&gt;0),FALSE,TRUE)</f>
        <v>1</v>
      </c>
      <c r="DQ405" s="240" t="str">
        <f>_xlfn.XLOOKUP(ППД5[[#This Row],[№]],Юрист[№ кв],Юрист[Дата подачи на регистрацию]," ",0,-1)</f>
        <v xml:space="preserve"> </v>
      </c>
      <c r="DR405" s="115" t="str">
        <f>_xlfn.XLOOKUP(ППД5[[#This Row],[№]],Юрист[№ кв],Юрист[МОП],"",0,-1)</f>
        <v/>
      </c>
      <c r="DS405" s="333" t="s">
        <v>3102</v>
      </c>
      <c r="DT405" s="333" t="s">
        <v>3103</v>
      </c>
      <c r="DU405" s="333">
        <v>73.2</v>
      </c>
      <c r="DV405" s="111"/>
    </row>
    <row r="406" spans="1:126" hidden="1" x14ac:dyDescent="0.25">
      <c r="A406" s="112">
        <v>404</v>
      </c>
      <c r="B406" s="111" t="s">
        <v>2</v>
      </c>
      <c r="C406" s="111">
        <v>2</v>
      </c>
      <c r="D406" s="115">
        <v>8</v>
      </c>
      <c r="E406" s="111">
        <v>1</v>
      </c>
      <c r="F406" s="105">
        <v>16.79</v>
      </c>
      <c r="G406" s="105"/>
      <c r="H406" s="105"/>
      <c r="I406" s="94">
        <f>SUM(ППД5[[#This Row],[Комната 1]:[Комната 3]])</f>
        <v>16.79</v>
      </c>
      <c r="J406" s="105">
        <v>11.43</v>
      </c>
      <c r="K406" s="105">
        <v>3.56</v>
      </c>
      <c r="L406" s="105"/>
      <c r="M406" s="105"/>
      <c r="N406" s="105">
        <v>6.66</v>
      </c>
      <c r="O406" s="105">
        <v>2.4900000000000002</v>
      </c>
      <c r="P406" s="105"/>
      <c r="Q406" s="105"/>
      <c r="R406" s="105">
        <f>SUM(ППД5[[#This Row],[Лоджия 1]:[Лоджия 3]])</f>
        <v>2.4900000000000002</v>
      </c>
      <c r="S406" s="8">
        <f>ROUND(SUM(ППД5[[#This Row],[Площадь по проекту жилая]:[Лоджия 3]]),2)</f>
        <v>40.93</v>
      </c>
      <c r="T406" s="8">
        <f>ROUND(ППД5[[#This Row],[Площадь по проекту(общая)]]-ППД5[[#This Row],[Летние]],2)</f>
        <v>38.44</v>
      </c>
      <c r="U406" s="91">
        <f>ROUND(ППД5[[#This Row],[Площадь по проекту(общая)]]-(SUM(ППД5[[#This Row],[Лоджия 1]:[Лоджия 3]])/2),2)</f>
        <v>39.69</v>
      </c>
      <c r="V406" s="91">
        <f>IF(ППД5[[#This Row],[Статус]]="продажа",ППД5[[#This Row],[Расчетная проектная площадь]],ППД5[[#This Row],[Расчетная ТП площадь]])</f>
        <v>39.69</v>
      </c>
      <c r="W406" s="91">
        <v>16.8</v>
      </c>
      <c r="X406" s="91"/>
      <c r="Y406" s="91"/>
      <c r="Z406" s="91">
        <f>SUM(ППД5[[#This Row],[ТП Комната 1]:[ТП Комната 3]])</f>
        <v>16.8</v>
      </c>
      <c r="AA406" s="91">
        <v>11.4</v>
      </c>
      <c r="AB406" s="91">
        <v>3.5</v>
      </c>
      <c r="AC406" s="91"/>
      <c r="AD406" s="91"/>
      <c r="AE406" s="91">
        <v>6.7</v>
      </c>
      <c r="AF406" s="91">
        <v>1.2</v>
      </c>
      <c r="AG406" s="91"/>
      <c r="AH406" s="91"/>
      <c r="AI406" s="91">
        <f>SUM(ППД5[[#This Row],[ТП Лоджия 1]:[ТП Лоджия 3]])</f>
        <v>1.2</v>
      </c>
      <c r="AJ406" s="95">
        <v>2.4</v>
      </c>
      <c r="AK406" s="91">
        <f>SUM(ППД5[[#This Row],[Площадь по ТП жилая]:[ТП Лоджия 3]])-ППД5[[#This Row],[ТП Летние]]+ППД5[[#This Row],[кроме того прочая
(без коэффициента)]]</f>
        <v>40.800000000000004</v>
      </c>
      <c r="AL406" s="95">
        <f>ППД5[[#This Row],[ТП Площадь без летних]]+(ППД5[[#This Row],[ТП Летние]])</f>
        <v>39.600000000000009</v>
      </c>
      <c r="AM406" s="91">
        <f>ППД5[[#This Row],[ТП общая S]]-ППД5[[#This Row],[кроме того прочая
(без коэффициента)]]</f>
        <v>38.400000000000006</v>
      </c>
      <c r="AN406" s="95">
        <f>SUM(ППД5[[#This Row],[ТП Кухня]:[ТП Коридор]])</f>
        <v>21.6</v>
      </c>
      <c r="AO406" s="91">
        <f>ППД5[[#This Row],[Расчетная ТП площадь]]-ППД5[[#This Row],[Расчетная проектная площадь]]</f>
        <v>-8.99999999999892E-2</v>
      </c>
      <c r="AP406" s="335">
        <f>ППД5[[#This Row],[Расчетная ТП площадь]]/ППД5[[#This Row],[Расчетная проектная площадь]]-1</f>
        <v>-2.2675736961448312E-3</v>
      </c>
      <c r="AQ406" s="91">
        <f>ППД5[[#This Row],[% расхождения]]*ППД5[[#This Row],[Стоимость до скидки]]</f>
        <v>-9983.219954647233</v>
      </c>
      <c r="AR406" s="91">
        <f>VLOOKUP(ППД5[[#This Row],[№]],наценкад5[],COLUMN(наценкад5[[#This Row],[Цена м2 с учетом всех K]]),0)</f>
        <v>85573.6875</v>
      </c>
      <c r="AS406" s="8">
        <f>ППД5[[#This Row],[м2 после К]]*5%</f>
        <v>4278.6843749999998</v>
      </c>
      <c r="AT406" s="8">
        <f>ППД5[[#This Row],[м2 после К]]+ППД5[[#This Row],[Повышение 16.08.23 - 5%]]</f>
        <v>89852.371874999997</v>
      </c>
      <c r="AU406" s="93">
        <f>ППД5[[#This Row],[Фикс 16.08.23]]*3%</f>
        <v>2695.5711562499996</v>
      </c>
      <c r="AV406" s="93">
        <f>ППД5[[#This Row],[Фикс 16.08.23]]+ППД5[[#This Row],[Повышение 29.08.23 - 3%]]</f>
        <v>92547.94303124999</v>
      </c>
      <c r="AW406" s="93">
        <f>ППД5[[#This Row],[Фикс 29.08.23]]*4.5%</f>
        <v>4164.657436406249</v>
      </c>
      <c r="AX406" s="93">
        <f>ППД5[[#This Row],[Фикс 29.08.23]]+ППД5[[#This Row],[Повышение 06.09.23 СТ и 1К]]</f>
        <v>96712.600467656244</v>
      </c>
      <c r="AY406" s="93"/>
      <c r="AZ406" s="93">
        <f>ППД5[[#This Row],[Повышение 23.10.23  В4 ]]+ППД5[[#This Row],[Фикс 06.09.23]]</f>
        <v>96712.600467656244</v>
      </c>
      <c r="BA406" s="93">
        <f>ППД5[[#This Row],[Фикс 23.10.23]]*5%</f>
        <v>4835.6300233828124</v>
      </c>
      <c r="BB406" s="93">
        <f>ППД5[[#This Row],[Повышение 8.11.23 1К 5%]]+ППД5[[#This Row],[Фикс 23.10.23]]</f>
        <v>101548.23049103905</v>
      </c>
      <c r="BC406" s="93"/>
      <c r="BD406" s="93">
        <f>ППД5[[#This Row],[Корректировка 24.11.23 - 1К В5, 2К А2, №233]]+ППД5[[#This Row],[Фикс 8.11.23]]</f>
        <v>101548.23049103905</v>
      </c>
      <c r="BE406" s="93">
        <f>ППД5[[#This Row],[Фикс 8.11.24]]*1%</f>
        <v>1015.4823049103906</v>
      </c>
      <c r="BF406" s="93">
        <f>ППД5[[#This Row],[Наценка за отделку 29.12.23 1%]]+ППД5[[#This Row],[Фикс 8.11.24]]</f>
        <v>102563.71279594944</v>
      </c>
      <c r="BG406" s="93">
        <f>ППД5[[#This Row],[Фикс 29.12.23]]*5%</f>
        <v>5128.1856397974725</v>
      </c>
      <c r="BH406" s="93">
        <f>ППД5[[#This Row],[Фикс 29.12.23]]+ППД5[[#This Row],[Наценка 10.01.24 5%]]</f>
        <v>107691.89843574692</v>
      </c>
      <c r="BI406" s="93"/>
      <c r="BJ406" s="93">
        <f>ППД5[[#This Row],[Наценка 26.02.24 1 Этаж]]+ППД5[[#This Row],[Фикс 10.01.24]]</f>
        <v>107691.89843574692</v>
      </c>
      <c r="BK406" s="93">
        <f>ППД5[[#This Row],[Фикс 26.02.24]]*3%</f>
        <v>3230.7569530724072</v>
      </c>
      <c r="BL406" s="93">
        <f>ППД5[[#This Row],[Фикс 26.02.24]]+ППД5[[#This Row],[Наценка 06.03.24
СТ, 1К - 3%
2К, 3К - 2%]]</f>
        <v>110922.65538881933</v>
      </c>
      <c r="BM406" s="93"/>
      <c r="BN406" s="93">
        <f>ППД5[[#This Row],[Фикс 06.03.24]]+ППД5[[#This Row],[Наценка Г2+500]]</f>
        <v>110922.65538881933</v>
      </c>
      <c r="BO406" s="93"/>
      <c r="BP406" s="93">
        <f>ППД5[[#This Row],[Фикс 13.03.25]]+ППД5[[#This Row],[Наценка 20.03.24
2К, 3К - 2%]]</f>
        <v>110922.65538881933</v>
      </c>
      <c r="BQ406" s="93"/>
      <c r="BR406" s="93">
        <f>ППД5[[#This Row],[Фикс 20.03.24]]+ППД5[[#This Row],[Наценка 08.04.24 
2К: В3 - 150
3К: Г7 +1000]]</f>
        <v>110922.65538881933</v>
      </c>
      <c r="BS406" s="93"/>
      <c r="BT406" s="93">
        <f>ППД5[[#This Row],[Фикс 08.04.24]]+ППД5[[#This Row],[Наценка 16.05.24 1%
А4,А6,Б3,Б6,Б7,В2,В3,В5,В6,Г1,Г3-Г5]]</f>
        <v>110922.65538881933</v>
      </c>
      <c r="BU406" s="93"/>
      <c r="BV406" s="93">
        <f>ППД5[[#This Row],[Фикс 16.05.24]]+ППД5[[#This Row],[Наценка 24.05.24
1% - Б4, Б5,Г2,Г6
2% - А1,А3,А5,Б2,Г7]]</f>
        <v>110922.65538881933</v>
      </c>
      <c r="BW406" s="93"/>
      <c r="BX406" s="93">
        <f>ППД5[[#This Row],[Наценка 06.06.24
0К: В2,Г3 +0,5%
1К: А7, Б5/4, Г6 +0,5%
3К: В6 +0,5%
1К: А3 +1%]]+ППД5[[#This Row],[Фикс 24.05.24]]</f>
        <v>110922.65538881933</v>
      </c>
      <c r="BY406" s="93"/>
      <c r="BZ406" s="93">
        <f>ППД5[[#This Row],[Фикс 06.06.24]]+ППД5[[#This Row],[13.06.2024
3К - 2%]]</f>
        <v>110922.65538881933</v>
      </c>
      <c r="CA406" s="93"/>
      <c r="CB406" s="93">
        <f>ППД5[[#This Row],[02.07.2024: Г3 А1 А3 Б5 Б7 Г2 Г6 Б3 Б4 В3 Г7 2,5% ост 0,5-1,5%]]+ППД5[[#This Row],[Фикс 13.06.24]]</f>
        <v>110922.65538881933</v>
      </c>
      <c r="CC406" s="93"/>
      <c r="CD406" s="93">
        <f>ППД5[[#This Row],[Фикс 02.07.24]]+ППД5[[#This Row],[04.09.2024 +500
0К - Б2; 1К - А3;
2К - А6, Б4, В3, Г5]]</f>
        <v>110922.65538881933</v>
      </c>
      <c r="CE406" s="93"/>
      <c r="CF406" s="93">
        <f>ППД5[[#This Row],[Наценка 16.09.2024
1К: А1,В7,Г6/7,Г8 - 2%
2К: А4,А5,А6,Б1,Б6,Б3/4,В3,В4,Г4,Г5 - 4%
3К: 4%]]+ППД5[[#This Row],[Фикс 04.09.24]]</f>
        <v>110922.65538881933</v>
      </c>
      <c r="CG406" s="93"/>
      <c r="CH406" s="93">
        <f>ППД5[[#This Row],[Фикс 16.09.2024]]+ППД5[[#This Row],[Наценка 01.11.24
СТ: 4%
1К: 34-40м 5%; 40м+ 8%; МГН 1%
2К: 55-70м 6%; 70-73м 7%; 73-76м 8% 
3К: 5%]]</f>
        <v>110922.65538881933</v>
      </c>
      <c r="CI406" s="93"/>
      <c r="CJ406" s="93">
        <f>ППД5[[#This Row],[Наценка 06.11 13%]]+ППД5[[#This Row],[Фикс 01.11.24]]</f>
        <v>110922.65538881933</v>
      </c>
      <c r="CK406" s="93"/>
      <c r="CL406" s="93">
        <f>ППД5[[#This Row],[Фикс 06.11.24]]+ППД5[[#This Row],[Наценка 18.12.24 распределение КВ]]</f>
        <v>110922.65538881933</v>
      </c>
      <c r="CM406" s="93"/>
      <c r="CN406" s="93">
        <f>ППД5[[#This Row],[Фикс 18.12.24]]+ППД5[[#This Row],[Наценка 10.02.25 +1%
1К: А3
2К: Б3, В3]]</f>
        <v>110922.65538881933</v>
      </c>
      <c r="CO406" s="93">
        <f>ROUND(ППД5[[#This Row],[Фикс 10.02.25]],2)</f>
        <v>110922.66</v>
      </c>
      <c r="CP40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4402600</v>
      </c>
      <c r="CQ406" s="93">
        <f>ROUNDUP(ППД5[[#This Row],[Стоимость до скидки]]+ППД5[[#This Row],[Сумма доплаты]],-2)</f>
        <v>4392700</v>
      </c>
      <c r="CR406" s="68"/>
      <c r="CS406" s="90"/>
      <c r="CT406" s="68">
        <f>ППД5[[#This Row],[Стоимость до скидки]]*ППД5[[#This Row],[Скидка %]]+ППД5[[#This Row],[Скидка фиксированная]]</f>
        <v>0</v>
      </c>
      <c r="CU406" s="3">
        <f>ППД5[[#This Row],[Стоимость ОН без отделки со скидкой]]/ППД5[[#This Row],[Расчетная проектная площадь]]</f>
        <v>110924.66616276141</v>
      </c>
      <c r="CV406" s="3">
        <f>ROUND(ППД5[[#This Row],[Стоимость до скидки]]-ППД5[[#This Row],[Итоговая сумма скидки]],2)</f>
        <v>4402600</v>
      </c>
      <c r="CW40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06" s="197">
        <v>20000</v>
      </c>
      <c r="CY406" s="332">
        <f>ППД5[[#This Row],[Расхождение]]/ППД5[[#This Row],[Расчетная проектная площадь]]</f>
        <v>-2.2675736961448529E-3</v>
      </c>
      <c r="CZ40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-4.9999999999998934E-2</v>
      </c>
      <c r="DA406" s="3">
        <f>ППД5[[#This Row],[Цена м2 без отделки со скидкой]]+ППД5[[#This Row],[Стоимость отделки]]</f>
        <v>130924.66616276141</v>
      </c>
      <c r="DB406" s="3">
        <f>ППД5[[#This Row],[Стоимость квартиры с отделкой]]-ППД5[[#This Row],[Стоимость ОН без отделки со скидкой]]</f>
        <v>793800</v>
      </c>
      <c r="DC406" s="3">
        <f>ППД5[[#This Row],[Цена м2 с отделкой]]*ППД5[[#This Row],[Расчетная проектная площадь]]</f>
        <v>5196400</v>
      </c>
      <c r="DD406" s="3"/>
      <c r="DF406" s="199" t="s">
        <v>172</v>
      </c>
      <c r="DG406" s="245" t="s">
        <v>172</v>
      </c>
      <c r="DH406" s="100" t="b">
        <f>EXACT(ППД5[[#This Row],[Статусы CRM]],ППД5[[#This Row],[Статус]])</f>
        <v>1</v>
      </c>
      <c r="DI406" s="213" t="s">
        <v>578</v>
      </c>
      <c r="DJ406" s="204"/>
      <c r="DK406" s="111" t="s">
        <v>763</v>
      </c>
      <c r="DL406" s="216" t="s">
        <v>14</v>
      </c>
      <c r="DM406" s="201" t="b">
        <f>ППД5[[#This Row],[Отделка CRM]]=ППД5[[#This Row],[Отделка]]</f>
        <v>1</v>
      </c>
      <c r="DN406" s="203">
        <v>5196400</v>
      </c>
      <c r="DO40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06" s="207" t="b">
        <f>IF(AND(ППД5[[#This Row],[Статус]]="свободно",ППД5[[#This Row],[Итоговая сумма скидки]]&lt;&gt;0),FALSE,TRUE)</f>
        <v>1</v>
      </c>
      <c r="DQ406" s="240">
        <f>_xlfn.XLOOKUP(ППД5[[#This Row],[№]],Юрист[№ кв],Юрист[Дата подачи на регистрацию]," ",0,-1)</f>
        <v>45453</v>
      </c>
      <c r="DR406" s="115" t="str">
        <f>_xlfn.XLOOKUP(ППД5[[#This Row],[№]],Юрист[№ кв],Юрист[МОП],"",0,-1)</f>
        <v>Полехович</v>
      </c>
      <c r="DS406" s="333" t="s">
        <v>3104</v>
      </c>
      <c r="DT406" s="333" t="s">
        <v>3105</v>
      </c>
      <c r="DU406" s="333">
        <v>38.4</v>
      </c>
      <c r="DV406" s="111"/>
    </row>
    <row r="407" spans="1:126" hidden="1" x14ac:dyDescent="0.25">
      <c r="A407" s="112">
        <v>405</v>
      </c>
      <c r="B407" s="111" t="s">
        <v>2</v>
      </c>
      <c r="C407" s="111">
        <v>3</v>
      </c>
      <c r="D407" s="338">
        <v>1</v>
      </c>
      <c r="E407" s="111">
        <v>0</v>
      </c>
      <c r="F407" s="105">
        <v>13.74</v>
      </c>
      <c r="G407" s="105"/>
      <c r="H407" s="105"/>
      <c r="I407" s="94">
        <f>SUM(ППД5[[#This Row],[Комната 1]:[Комната 3]])</f>
        <v>13.74</v>
      </c>
      <c r="J407" s="105">
        <v>5.84</v>
      </c>
      <c r="K407" s="105">
        <v>3.76</v>
      </c>
      <c r="L407" s="105"/>
      <c r="M407" s="105"/>
      <c r="N407" s="105">
        <v>3.73</v>
      </c>
      <c r="O407" s="105">
        <v>4.6500000000000004</v>
      </c>
      <c r="P407" s="105"/>
      <c r="Q407" s="105"/>
      <c r="R407" s="105">
        <f>SUM(ППД5[[#This Row],[Лоджия 1]:[Лоджия 3]])</f>
        <v>4.6500000000000004</v>
      </c>
      <c r="S407" s="8">
        <f>ROUND(SUM(ППД5[[#This Row],[Площадь по проекту жилая]:[Лоджия 3]]),2)</f>
        <v>31.72</v>
      </c>
      <c r="T407" s="8">
        <f>ROUND(ППД5[[#This Row],[Площадь по проекту(общая)]]-ППД5[[#This Row],[Летние]],2)</f>
        <v>27.07</v>
      </c>
      <c r="U407" s="91">
        <f>ROUND(ППД5[[#This Row],[Площадь по проекту(общая)]]-(SUM(ППД5[[#This Row],[Лоджия 1]:[Лоджия 3]])/2),2)</f>
        <v>29.4</v>
      </c>
      <c r="V407" s="91">
        <f>IF(ППД5[[#This Row],[Статус]]="продажа",ППД5[[#This Row],[Расчетная проектная площадь]],ППД5[[#This Row],[Расчетная ТП площадь]])</f>
        <v>29.4</v>
      </c>
      <c r="W407" s="91">
        <v>13.7</v>
      </c>
      <c r="X407" s="91"/>
      <c r="Y407" s="91"/>
      <c r="Z407" s="91">
        <f>SUM(ППД5[[#This Row],[ТП Комната 1]:[ТП Комната 3]])</f>
        <v>13.7</v>
      </c>
      <c r="AA407" s="91">
        <v>5.8</v>
      </c>
      <c r="AB407" s="91">
        <v>3.7</v>
      </c>
      <c r="AC407" s="91"/>
      <c r="AD407" s="91"/>
      <c r="AE407" s="91">
        <v>3.7</v>
      </c>
      <c r="AF407" s="91">
        <v>2.2999999999999998</v>
      </c>
      <c r="AG407" s="91"/>
      <c r="AH407" s="91"/>
      <c r="AI407" s="91">
        <f>SUM(ППД5[[#This Row],[ТП Лоджия 1]:[ТП Лоджия 3]])</f>
        <v>2.2999999999999998</v>
      </c>
      <c r="AJ407" s="95">
        <v>4.5999999999999996</v>
      </c>
      <c r="AK407" s="91">
        <f>SUM(ППД5[[#This Row],[Площадь по ТП жилая]:[ТП Лоджия 3]])-ППД5[[#This Row],[ТП Летние]]+ППД5[[#This Row],[кроме того прочая
(без коэффициента)]]</f>
        <v>31.5</v>
      </c>
      <c r="AL407" s="95">
        <f>ППД5[[#This Row],[ТП Площадь без летних]]+(ППД5[[#This Row],[ТП Летние]])</f>
        <v>29.2</v>
      </c>
      <c r="AM407" s="91">
        <f>ППД5[[#This Row],[ТП общая S]]-ППД5[[#This Row],[кроме того прочая
(без коэффициента)]]</f>
        <v>26.9</v>
      </c>
      <c r="AN407" s="95">
        <f>SUM(ППД5[[#This Row],[ТП Кухня]:[ТП Коридор]])</f>
        <v>13.2</v>
      </c>
      <c r="AO407" s="91">
        <f>ППД5[[#This Row],[Расчетная ТП площадь]]-ППД5[[#This Row],[Расчетная проектная площадь]]</f>
        <v>-0.19999999999999929</v>
      </c>
      <c r="AP407" s="335">
        <f>ППД5[[#This Row],[Расчетная ТП площадь]]/ППД5[[#This Row],[Расчетная проектная площадь]]-1</f>
        <v>-6.8027210884353817E-3</v>
      </c>
      <c r="AQ407" s="91">
        <f>ППД5[[#This Row],[% расхождения]]*ППД5[[#This Row],[Стоимость до скидки]]</f>
        <v>-23469.387755102067</v>
      </c>
      <c r="AR407" s="91">
        <f>VLOOKUP(ППД5[[#This Row],[№]],наценкад5[],COLUMN(наценкад5[[#This Row],[Цена м2 с учетом всех K]]),0)</f>
        <v>90229.544999999998</v>
      </c>
      <c r="AS407" s="8">
        <f>ППД5[[#This Row],[м2 после К]]*5%</f>
        <v>4511.4772499999999</v>
      </c>
      <c r="AT407" s="8">
        <f>ППД5[[#This Row],[м2 после К]]+ППД5[[#This Row],[Повышение 16.08.23 - 5%]]</f>
        <v>94741.022249999995</v>
      </c>
      <c r="AU407" s="93">
        <f>ППД5[[#This Row],[Фикс 16.08.23]]*3%</f>
        <v>2842.2306674999995</v>
      </c>
      <c r="AV407" s="93">
        <f>ППД5[[#This Row],[Фикс 16.08.23]]+ППД5[[#This Row],[Повышение 29.08.23 - 3%]]</f>
        <v>97583.252917499995</v>
      </c>
      <c r="AW407" s="93">
        <f>ППД5[[#This Row],[Фикс 29.08.23]]*9%</f>
        <v>8782.4927625749988</v>
      </c>
      <c r="AX407" s="93">
        <f>ППД5[[#This Row],[Фикс 29.08.23]]+ППД5[[#This Row],[Повышение 06.09.23 СТ и 1К]]</f>
        <v>106365.74568007499</v>
      </c>
      <c r="AY407" s="93"/>
      <c r="AZ407" s="93">
        <f>ППД5[[#This Row],[Повышение 23.10.23  В4 ]]+ППД5[[#This Row],[Фикс 06.09.23]]</f>
        <v>106365.74568007499</v>
      </c>
      <c r="BA407" s="93"/>
      <c r="BB407" s="93">
        <f>ППД5[[#This Row],[Повышение 8.11.23 1К 5%]]+ППД5[[#This Row],[Фикс 23.10.23]]</f>
        <v>106365.74568007499</v>
      </c>
      <c r="BC407" s="93"/>
      <c r="BD407" s="93">
        <f>ППД5[[#This Row],[Корректировка 24.11.23 - 1К В5, 2К А2, №233]]+ППД5[[#This Row],[Фикс 8.11.23]]</f>
        <v>106365.74568007499</v>
      </c>
      <c r="BE407" s="93">
        <f>ППД5[[#This Row],[Фикс 8.11.24]]*1%</f>
        <v>1063.65745680075</v>
      </c>
      <c r="BF407" s="93">
        <f>ППД5[[#This Row],[Наценка за отделку 29.12.23 1%]]+ППД5[[#This Row],[Фикс 8.11.24]]</f>
        <v>107429.40313687574</v>
      </c>
      <c r="BG407" s="93">
        <f>ППД5[[#This Row],[Фикс 29.12.23]]*5%</f>
        <v>5371.4701568437877</v>
      </c>
      <c r="BH407" s="93">
        <f>ППД5[[#This Row],[Фикс 29.12.23]]+ППД5[[#This Row],[Наценка 10.01.24 5%]]</f>
        <v>112800.87329371953</v>
      </c>
      <c r="BI407" s="93"/>
      <c r="BJ407" s="93">
        <f>ППД5[[#This Row],[Наценка 26.02.24 1 Этаж]]+ППД5[[#This Row],[Фикс 10.01.24]]</f>
        <v>112800.87329371953</v>
      </c>
      <c r="BK407" s="93">
        <f>ППД5[[#This Row],[Фикс 26.02.24]]*3%</f>
        <v>3384.0261988115858</v>
      </c>
      <c r="BL407" s="93">
        <f>ППД5[[#This Row],[Фикс 26.02.24]]+ППД5[[#This Row],[Наценка 06.03.24
СТ, 1К - 3%
2К, 3К - 2%]]</f>
        <v>116184.89949253111</v>
      </c>
      <c r="BM407" s="93"/>
      <c r="BN407" s="93">
        <f>ППД5[[#This Row],[Фикс 06.03.24]]+ППД5[[#This Row],[Наценка Г2+500]]</f>
        <v>116184.89949253111</v>
      </c>
      <c r="BO407" s="93"/>
      <c r="BP407" s="93">
        <f>ППД5[[#This Row],[Фикс 13.03.25]]+ППД5[[#This Row],[Наценка 20.03.24
2К, 3К - 2%]]</f>
        <v>116184.89949253111</v>
      </c>
      <c r="BQ407" s="93"/>
      <c r="BR407" s="93">
        <f>ППД5[[#This Row],[Фикс 20.03.24]]+ППД5[[#This Row],[Наценка 08.04.24 
2К: В3 - 150
3К: Г7 +1000]]</f>
        <v>116184.89949253111</v>
      </c>
      <c r="BS407" s="93">
        <f>ППД5[[#This Row],[Фикс 08.04.24]]*1%</f>
        <v>1161.8489949253112</v>
      </c>
      <c r="BT407" s="93">
        <f>ППД5[[#This Row],[Фикс 08.04.24]]+ППД5[[#This Row],[Наценка 16.05.24 1%
А4,А6,Б3,Б6,Б7,В2,В3,В5,В6,Г1,Г3-Г5]]</f>
        <v>117346.74848745643</v>
      </c>
      <c r="BU407" s="93"/>
      <c r="BV407" s="93">
        <f>ППД5[[#This Row],[Фикс 16.05.24]]+ППД5[[#This Row],[Наценка 24.05.24
1% - Б4, Б5,Г2,Г6
2% - А1,А3,А5,Б2,Г7]]</f>
        <v>117346.74848745643</v>
      </c>
      <c r="BW407" s="93"/>
      <c r="BX407" s="93">
        <f>ППД5[[#This Row],[Наценка 06.06.24
0К: В2,Г3 +0,5%
1К: А7, Б5/4, Г6 +0,5%
3К: В6 +0,5%
1К: А3 +1%]]+ППД5[[#This Row],[Фикс 24.05.24]]</f>
        <v>117346.74848745643</v>
      </c>
      <c r="BY407" s="93"/>
      <c r="BZ407" s="93">
        <f>ППД5[[#This Row],[Фикс 06.06.24]]+ППД5[[#This Row],[13.06.2024
3К - 2%]]</f>
        <v>117346.74848745643</v>
      </c>
      <c r="CA407" s="93"/>
      <c r="CB407" s="93">
        <f>ППД5[[#This Row],[02.07.2024: Г3 А1 А3 Б5 Б7 Г2 Г6 Б3 Б4 В3 Г7 2,5% ост 0,5-1,5%]]+ППД5[[#This Row],[Фикс 13.06.24]]</f>
        <v>117346.74848745643</v>
      </c>
      <c r="CC407" s="93"/>
      <c r="CD407" s="93">
        <f>ППД5[[#This Row],[Фикс 02.07.24]]+ППД5[[#This Row],[04.09.2024 +500
0К - Б2; 1К - А3;
2К - А6, Б4, В3, Г5]]</f>
        <v>117346.74848745643</v>
      </c>
      <c r="CE407" s="93"/>
      <c r="CF407" s="93">
        <f>ППД5[[#This Row],[Наценка 16.09.2024
1К: А1,В7,Г6/7,Г8 - 2%
2К: А4,А5,А6,Б1,Б6,Б3/4,В3,В4,Г4,Г5 - 4%
3К: 4%]]+ППД5[[#This Row],[Фикс 04.09.24]]</f>
        <v>117346.74848745643</v>
      </c>
      <c r="CG407" s="93"/>
      <c r="CH407" s="93">
        <f>ППД5[[#This Row],[Фикс 16.09.2024]]+ППД5[[#This Row],[Наценка 01.11.24
СТ: 4%
1К: 34-40м 5%; 40м+ 8%; МГН 1%
2К: 55-70м 6%; 70-73м 7%; 73-76м 8% 
3К: 5%]]</f>
        <v>117346.74848745643</v>
      </c>
      <c r="CI407" s="93"/>
      <c r="CJ407" s="93">
        <f>ППД5[[#This Row],[Наценка 06.11 13%]]+ППД5[[#This Row],[Фикс 01.11.24]]</f>
        <v>117346.74848745643</v>
      </c>
      <c r="CK407" s="93"/>
      <c r="CL407" s="93">
        <f>ППД5[[#This Row],[Фикс 06.11.24]]+ППД5[[#This Row],[Наценка 18.12.24 распределение КВ]]</f>
        <v>117346.74848745643</v>
      </c>
      <c r="CM407" s="93"/>
      <c r="CN407" s="93">
        <f>ППД5[[#This Row],[Фикс 18.12.24]]+ППД5[[#This Row],[Наценка 10.02.25 +1%
1К: А3
2К: Б3, В3]]</f>
        <v>117346.74848745643</v>
      </c>
      <c r="CO407" s="93">
        <f>ROUND(ППД5[[#This Row],[Фикс 10.02.25]],2)</f>
        <v>117346.75</v>
      </c>
      <c r="CP40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3450000</v>
      </c>
      <c r="CQ407" s="93">
        <f>ROUNDUP(ППД5[[#This Row],[Стоимость до скидки]]+ППД5[[#This Row],[Сумма доплаты]],-2)</f>
        <v>3426600</v>
      </c>
      <c r="CR407" s="68"/>
      <c r="CS407" s="90"/>
      <c r="CT407" s="68">
        <f>ППД5[[#This Row],[Стоимость до скидки]]*ППД5[[#This Row],[Скидка %]]+ППД5[[#This Row],[Скидка фиксированная]]</f>
        <v>0</v>
      </c>
      <c r="CU407" s="3">
        <f>ППД5[[#This Row],[Стоимость ОН без отделки со скидкой]]/ППД5[[#This Row],[Расчетная проектная площадь]]</f>
        <v>117346.93877551021</v>
      </c>
      <c r="CV407" s="3">
        <f>ROUND(ППД5[[#This Row],[Стоимость до скидки]]-ППД5[[#This Row],[Итоговая сумма скидки]],2)</f>
        <v>3450000</v>
      </c>
      <c r="CW40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07" s="197"/>
      <c r="CY407" s="332">
        <f>ППД5[[#This Row],[Расхождение]]/ППД5[[#This Row],[Расчетная проектная площадь]]</f>
        <v>-6.8027210884353505E-3</v>
      </c>
      <c r="CZ40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-0.13000000000000078</v>
      </c>
      <c r="DA407" s="3">
        <f>ППД5[[#This Row],[Цена м2 без отделки со скидкой]]+ППД5[[#This Row],[Стоимость отделки]]</f>
        <v>117346.93877551021</v>
      </c>
      <c r="DB407" s="3">
        <f>ППД5[[#This Row],[Стоимость квартиры с отделкой]]-ППД5[[#This Row],[Стоимость ОН без отделки со скидкой]]</f>
        <v>0</v>
      </c>
      <c r="DC407" s="3">
        <f>ППД5[[#This Row],[Цена м2 с отделкой]]*ППД5[[#This Row],[Расчетная проектная площадь]]</f>
        <v>3450000</v>
      </c>
      <c r="DD407" s="3"/>
      <c r="DF407" s="199" t="s">
        <v>172</v>
      </c>
      <c r="DG407" s="245" t="s">
        <v>172</v>
      </c>
      <c r="DH407" s="100" t="b">
        <f>EXACT(ППД5[[#This Row],[Статусы CRM]],ППД5[[#This Row],[Статус]])</f>
        <v>1</v>
      </c>
      <c r="DI407" s="213" t="s">
        <v>579</v>
      </c>
      <c r="DJ407" s="204"/>
      <c r="DK407" s="111" t="s">
        <v>763</v>
      </c>
      <c r="DL407" s="216" t="s">
        <v>12</v>
      </c>
      <c r="DM407" s="201" t="b">
        <f>ППД5[[#This Row],[Отделка CRM]]=ППД5[[#This Row],[Отделка]]</f>
        <v>1</v>
      </c>
      <c r="DN407" s="203">
        <v>3450000</v>
      </c>
      <c r="DO40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07" s="207" t="b">
        <f>IF(AND(ППД5[[#This Row],[Статус]]="свободно",ППД5[[#This Row],[Итоговая сумма скидки]]&lt;&gt;0),FALSE,TRUE)</f>
        <v>1</v>
      </c>
      <c r="DQ407" s="240">
        <f>_xlfn.XLOOKUP(ППД5[[#This Row],[№]],Юрист[№ кв],Юрист[Дата подачи на регистрацию]," ",0,-1)</f>
        <v>45443</v>
      </c>
      <c r="DR407" s="115" t="str">
        <f>_xlfn.XLOOKUP(ППД5[[#This Row],[№]],Юрист[№ кв],Юрист[МОП],"",0,-1)</f>
        <v>Полехович</v>
      </c>
      <c r="DS407" s="333" t="s">
        <v>3106</v>
      </c>
      <c r="DT407" s="333" t="s">
        <v>3107</v>
      </c>
      <c r="DU407" s="333">
        <v>26.9</v>
      </c>
      <c r="DV407" s="111"/>
    </row>
    <row r="408" spans="1:126" hidden="1" x14ac:dyDescent="0.25">
      <c r="A408" s="112">
        <v>406</v>
      </c>
      <c r="B408" s="111" t="s">
        <v>2</v>
      </c>
      <c r="C408" s="111">
        <v>3</v>
      </c>
      <c r="D408" s="115">
        <v>2</v>
      </c>
      <c r="E408" s="111">
        <v>1</v>
      </c>
      <c r="F408" s="105">
        <v>13.17</v>
      </c>
      <c r="G408" s="105"/>
      <c r="H408" s="105"/>
      <c r="I408" s="94">
        <f>SUM(ППД5[[#This Row],[Комната 1]:[Комната 3]])</f>
        <v>13.17</v>
      </c>
      <c r="J408" s="105">
        <v>16.940000000000001</v>
      </c>
      <c r="K408" s="105">
        <v>3.55</v>
      </c>
      <c r="L408" s="105">
        <v>2.41</v>
      </c>
      <c r="M408" s="105"/>
      <c r="N408" s="105">
        <v>5.8</v>
      </c>
      <c r="O408" s="105">
        <v>2.68</v>
      </c>
      <c r="P408" s="105"/>
      <c r="Q408" s="105"/>
      <c r="R408" s="105">
        <f>SUM(ППД5[[#This Row],[Лоджия 1]:[Лоджия 3]])</f>
        <v>2.68</v>
      </c>
      <c r="S408" s="8">
        <f>ROUND(SUM(ППД5[[#This Row],[Площадь по проекту жилая]:[Лоджия 3]]),2)</f>
        <v>44.55</v>
      </c>
      <c r="T408" s="8">
        <f>ROUND(ППД5[[#This Row],[Площадь по проекту(общая)]]-ППД5[[#This Row],[Летние]],2)</f>
        <v>41.87</v>
      </c>
      <c r="U408" s="91">
        <f>ROUND(ППД5[[#This Row],[Площадь по проекту(общая)]]-(SUM(ППД5[[#This Row],[Лоджия 1]:[Лоджия 3]])/2),2)</f>
        <v>43.21</v>
      </c>
      <c r="V408" s="91">
        <f>IF(ППД5[[#This Row],[Статус]]="продажа",ППД5[[#This Row],[Расчетная проектная площадь]],ППД5[[#This Row],[Расчетная ТП площадь]])</f>
        <v>43.21</v>
      </c>
      <c r="W408" s="91">
        <v>12.9</v>
      </c>
      <c r="X408" s="91"/>
      <c r="Y408" s="91"/>
      <c r="Z408" s="91">
        <f>SUM(ППД5[[#This Row],[ТП Комната 1]:[ТП Комната 3]])</f>
        <v>12.9</v>
      </c>
      <c r="AA408" s="91">
        <v>16.899999999999999</v>
      </c>
      <c r="AB408" s="91">
        <v>2.1</v>
      </c>
      <c r="AC408" s="91">
        <v>3.3</v>
      </c>
      <c r="AD408" s="91"/>
      <c r="AE408" s="91">
        <v>5.8</v>
      </c>
      <c r="AF408" s="91">
        <v>1.3</v>
      </c>
      <c r="AG408" s="91"/>
      <c r="AH408" s="91"/>
      <c r="AI408" s="91">
        <f>SUM(ППД5[[#This Row],[ТП Лоджия 1]:[ТП Лоджия 3]])</f>
        <v>1.3</v>
      </c>
      <c r="AJ408" s="95">
        <v>2.6</v>
      </c>
      <c r="AK408" s="91">
        <f>SUM(ППД5[[#This Row],[Площадь по ТП жилая]:[ТП Лоджия 3]])-ППД5[[#This Row],[ТП Летние]]+ППД5[[#This Row],[кроме того прочая
(без коэффициента)]]</f>
        <v>43.599999999999994</v>
      </c>
      <c r="AL408" s="95">
        <f>ППД5[[#This Row],[ТП Площадь без летних]]+(ППД5[[#This Row],[ТП Летние]])</f>
        <v>42.29999999999999</v>
      </c>
      <c r="AM408" s="91">
        <f>ППД5[[#This Row],[ТП общая S]]-ППД5[[#This Row],[кроме того прочая
(без коэффициента)]]</f>
        <v>40.999999999999993</v>
      </c>
      <c r="AN408" s="95">
        <f>SUM(ППД5[[#This Row],[ТП Кухня]:[ТП Коридор]])</f>
        <v>28.1</v>
      </c>
      <c r="AO408" s="91">
        <f>ППД5[[#This Row],[Расчетная ТП площадь]]-ППД5[[#This Row],[Расчетная проектная площадь]]</f>
        <v>-0.9100000000000108</v>
      </c>
      <c r="AP408" s="335">
        <f>ППД5[[#This Row],[Расчетная ТП площадь]]/ППД5[[#This Row],[Расчетная проектная площадь]]-1</f>
        <v>-2.1059939828743546E-2</v>
      </c>
      <c r="AQ408" s="91">
        <f>ППД5[[#This Row],[% расхождения]]*ППД5[[#This Row],[Стоимость до скидки]]</f>
        <v>-78241.117447350887</v>
      </c>
      <c r="AR408" s="91">
        <f>VLOOKUP(ППД5[[#This Row],[№]],наценкад5[],COLUMN(наценкад5[[#This Row],[Цена м2 с учетом всех K]]),0)</f>
        <v>85979.25</v>
      </c>
      <c r="AS408" s="8"/>
      <c r="AT408" s="8">
        <f>ППД5[[#This Row],[м2 после К]]+ППД5[[#This Row],[Повышение 16.08.23 - 5%]]</f>
        <v>85979.25</v>
      </c>
      <c r="AU408" s="93"/>
      <c r="AV408" s="93">
        <f>ППД5[[#This Row],[Фикс 16.08.23]]+ППД5[[#This Row],[Повышение 29.08.23 - 3%]]</f>
        <v>85979.25</v>
      </c>
      <c r="AW408" s="93"/>
      <c r="AX408" s="93">
        <f>ППД5[[#This Row],[Фикс 29.08.23]]+ППД5[[#This Row],[Повышение 06.09.23 СТ и 1К]]</f>
        <v>85979.25</v>
      </c>
      <c r="AY408" s="93"/>
      <c r="AZ408" s="93">
        <f>ППД5[[#This Row],[Повышение 23.10.23  В4 ]]+ППД5[[#This Row],[Фикс 06.09.23]]</f>
        <v>85979.25</v>
      </c>
      <c r="BA408" s="93"/>
      <c r="BB408" s="93">
        <f>ППД5[[#This Row],[Повышение 8.11.23 1К 5%]]+ППД5[[#This Row],[Фикс 23.10.23]]</f>
        <v>85979.25</v>
      </c>
      <c r="BC408" s="93"/>
      <c r="BD408" s="93">
        <f>ППД5[[#This Row],[Корректировка 24.11.23 - 1К В5, 2К А2, №233]]+ППД5[[#This Row],[Фикс 8.11.23]]</f>
        <v>85979.25</v>
      </c>
      <c r="BE408" s="93"/>
      <c r="BF408" s="93">
        <f>ППД5[[#This Row],[Наценка за отделку 29.12.23 1%]]+ППД5[[#This Row],[Фикс 8.11.24]]</f>
        <v>85979.25</v>
      </c>
      <c r="BG408" s="93"/>
      <c r="BH408" s="93">
        <f>ППД5[[#This Row],[Фикс 29.12.23]]+ППД5[[#This Row],[Наценка 10.01.24 5%]]</f>
        <v>85979.25</v>
      </c>
      <c r="BI408" s="93"/>
      <c r="BJ408" s="93">
        <f>ППД5[[#This Row],[Наценка 26.02.24 1 Этаж]]+ППД5[[#This Row],[Фикс 10.01.24]]</f>
        <v>85979.25</v>
      </c>
      <c r="BK408" s="93"/>
      <c r="BL408" s="93">
        <f>ППД5[[#This Row],[Фикс 26.02.24]]+ППД5[[#This Row],[Наценка 06.03.24
СТ, 1К - 3%
2К, 3К - 2%]]</f>
        <v>85979.25</v>
      </c>
      <c r="BM408" s="93"/>
      <c r="BN408" s="93">
        <f>ППД5[[#This Row],[Фикс 06.03.24]]+ППД5[[#This Row],[Наценка Г2+500]]</f>
        <v>85979.25</v>
      </c>
      <c r="BO408" s="93"/>
      <c r="BP408" s="93">
        <f>ППД5[[#This Row],[Фикс 13.03.25]]+ППД5[[#This Row],[Наценка 20.03.24
2К, 3К - 2%]]</f>
        <v>85979.25</v>
      </c>
      <c r="BQ408" s="93"/>
      <c r="BR408" s="93">
        <f>ППД5[[#This Row],[Фикс 20.03.24]]+ППД5[[#This Row],[Наценка 08.04.24 
2К: В3 - 150
3К: Г7 +1000]]</f>
        <v>85979.25</v>
      </c>
      <c r="BS408" s="93"/>
      <c r="BT408" s="93">
        <f>ППД5[[#This Row],[Фикс 08.04.24]]+ППД5[[#This Row],[Наценка 16.05.24 1%
А4,А6,Б3,Б6,Б7,В2,В3,В5,В6,Г1,Г3-Г5]]</f>
        <v>85979.25</v>
      </c>
      <c r="BU408" s="93"/>
      <c r="BV408" s="93">
        <f>ППД5[[#This Row],[Фикс 16.05.24]]+ППД5[[#This Row],[Наценка 24.05.24
1% - Б4, Б5,Г2,Г6
2% - А1,А3,А5,Б2,Г7]]</f>
        <v>85979.25</v>
      </c>
      <c r="BW408" s="93"/>
      <c r="BX408" s="93">
        <f>ППД5[[#This Row],[Наценка 06.06.24
0К: В2,Г3 +0,5%
1К: А7, Б5/4, Г6 +0,5%
3К: В6 +0,5%
1К: А3 +1%]]+ППД5[[#This Row],[Фикс 24.05.24]]</f>
        <v>85979.25</v>
      </c>
      <c r="BY408" s="93"/>
      <c r="BZ408" s="93">
        <f>ППД5[[#This Row],[Фикс 06.06.24]]+ППД5[[#This Row],[13.06.2024
3К - 2%]]</f>
        <v>85979.25</v>
      </c>
      <c r="CA408" s="93"/>
      <c r="CB408" s="93">
        <f>ППД5[[#This Row],[02.07.2024: Г3 А1 А3 Б5 Б7 Г2 Г6 Б3 Б4 В3 Г7 2,5% ост 0,5-1,5%]]+ППД5[[#This Row],[Фикс 13.06.24]]</f>
        <v>85979.25</v>
      </c>
      <c r="CC408" s="93"/>
      <c r="CD408" s="93">
        <f>ППД5[[#This Row],[Фикс 02.07.24]]+ППД5[[#This Row],[04.09.2024 +500
0К - Б2; 1К - А3;
2К - А6, Б4, В3, Г5]]</f>
        <v>85979.25</v>
      </c>
      <c r="CE408" s="93"/>
      <c r="CF408" s="93">
        <f>ППД5[[#This Row],[Наценка 16.09.2024
1К: А1,В7,Г6/7,Г8 - 2%
2К: А4,А5,А6,Б1,Б6,Б3/4,В3,В4,Г4,Г5 - 4%
3К: 4%]]+ППД5[[#This Row],[Фикс 04.09.24]]</f>
        <v>85979.25</v>
      </c>
      <c r="CG408" s="93"/>
      <c r="CH408" s="93">
        <f>ППД5[[#This Row],[Фикс 16.09.2024]]+ППД5[[#This Row],[Наценка 01.11.24
СТ: 4%
1К: 34-40м 5%; 40м+ 8%; МГН 1%
2К: 55-70м 6%; 70-73м 7%; 73-76м 8% 
3К: 5%]]</f>
        <v>85979.25</v>
      </c>
      <c r="CI408" s="93"/>
      <c r="CJ408" s="93">
        <f>ППД5[[#This Row],[Наценка 06.11 13%]]+ППД5[[#This Row],[Фикс 01.11.24]]</f>
        <v>85979.25</v>
      </c>
      <c r="CK408" s="93"/>
      <c r="CL408" s="93">
        <f>ППД5[[#This Row],[Фикс 06.11.24]]+ППД5[[#This Row],[Наценка 18.12.24 распределение КВ]]</f>
        <v>85979.25</v>
      </c>
      <c r="CM408" s="93"/>
      <c r="CN408" s="93">
        <f>ППД5[[#This Row],[Фикс 18.12.24]]+ППД5[[#This Row],[Наценка 10.02.25 +1%
1К: А3
2К: Б3, В3]]</f>
        <v>85979.25</v>
      </c>
      <c r="CO408" s="93">
        <f>ROUND(ППД5[[#This Row],[Фикс 10.02.25]],2)</f>
        <v>85979.25</v>
      </c>
      <c r="CP40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3715163.39</v>
      </c>
      <c r="CQ408" s="93">
        <f>ROUNDUP(ППД5[[#This Row],[Стоимость до скидки]]+ППД5[[#This Row],[Сумма доплаты]],-2)</f>
        <v>3637000</v>
      </c>
      <c r="CR408" s="68"/>
      <c r="CS408" s="90">
        <v>0.06</v>
      </c>
      <c r="CT408" s="68">
        <f>ППД5[[#This Row],[Стоимость до скидки]]*ППД5[[#This Row],[Скидка %]]+ППД5[[#This Row],[Скидка фиксированная]]</f>
        <v>222909.8034</v>
      </c>
      <c r="CU408" s="3">
        <f>ППД5[[#This Row],[Стоимость ОН без отделки со скидкой]]/ППД5[[#This Row],[Расчетная проектная площадь]]</f>
        <v>80820.495024299918</v>
      </c>
      <c r="CV408" s="3">
        <f>ROUND(ППД5[[#This Row],[Стоимость до скидки]]-ППД5[[#This Row],[Итоговая сумма скидки]],2)</f>
        <v>3492253.59</v>
      </c>
      <c r="CW40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08" s="197">
        <v>15500</v>
      </c>
      <c r="CY408" s="332">
        <f>ППД5[[#This Row],[Расхождение]]/ППД5[[#This Row],[Расчетная проектная площадь]]</f>
        <v>-2.1059939828743594E-2</v>
      </c>
      <c r="CZ40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-0.60000000000000142</v>
      </c>
      <c r="DA408" s="3">
        <f>ППД5[[#This Row],[Цена м2 без отделки со скидкой]]+ППД5[[#This Row],[Стоимость отделки]]</f>
        <v>96320.495024299918</v>
      </c>
      <c r="DB408" s="3">
        <f>ППД5[[#This Row],[Стоимость квартиры с отделкой]]-ППД5[[#This Row],[Стоимость ОН без отделки со скидкой]]</f>
        <v>669754.99999999953</v>
      </c>
      <c r="DC408" s="3">
        <f>ППД5[[#This Row],[Цена м2 с отделкой]]*ППД5[[#This Row],[Расчетная проектная площадь]]</f>
        <v>4162008.5899999994</v>
      </c>
      <c r="DD408" s="3"/>
      <c r="DE408" s="111" t="s">
        <v>162</v>
      </c>
      <c r="DF408" s="199" t="s">
        <v>172</v>
      </c>
      <c r="DG408" s="245" t="s">
        <v>172</v>
      </c>
      <c r="DH408" s="100" t="b">
        <f>EXACT(ППД5[[#This Row],[Статусы CRM]],ППД5[[#This Row],[Статус]])</f>
        <v>1</v>
      </c>
      <c r="DI408" s="213" t="s">
        <v>580</v>
      </c>
      <c r="DJ408" s="204"/>
      <c r="DK408" s="111" t="s">
        <v>76</v>
      </c>
      <c r="DL408" s="216" t="s">
        <v>14</v>
      </c>
      <c r="DM408" s="201" t="b">
        <f>ППД5[[#This Row],[Отделка CRM]]=ППД5[[#This Row],[Отделка]]</f>
        <v>1</v>
      </c>
      <c r="DN408" s="203">
        <v>4162008.59</v>
      </c>
      <c r="DO40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4.6566128730773926E-10</v>
      </c>
      <c r="DP408" s="207" t="b">
        <f>IF(AND(ППД5[[#This Row],[Статус]]="свободно",ППД5[[#This Row],[Итоговая сумма скидки]]&lt;&gt;0),FALSE,TRUE)</f>
        <v>1</v>
      </c>
      <c r="DQ408" s="240">
        <f>_xlfn.XLOOKUP(ППД5[[#This Row],[№]],Юрист[№ кв],Юрист[Дата подачи на регистрацию]," ",0,-1)</f>
        <v>45188</v>
      </c>
      <c r="DR408" s="115" t="str">
        <f>_xlfn.XLOOKUP(ППД5[[#This Row],[№]],Юрист[№ кв],Юрист[МОП],"",0,-1)</f>
        <v>Гайганова</v>
      </c>
      <c r="DS408" s="333" t="s">
        <v>3108</v>
      </c>
      <c r="DT408" s="333" t="s">
        <v>3109</v>
      </c>
      <c r="DU408" s="333">
        <v>41</v>
      </c>
      <c r="DV408" s="111"/>
    </row>
    <row r="409" spans="1:126" hidden="1" x14ac:dyDescent="0.25">
      <c r="A409" s="112">
        <v>407</v>
      </c>
      <c r="B409" s="111" t="s">
        <v>2</v>
      </c>
      <c r="C409" s="111">
        <v>3</v>
      </c>
      <c r="D409" s="115">
        <v>3</v>
      </c>
      <c r="E409" s="111">
        <v>0</v>
      </c>
      <c r="F409" s="105">
        <v>7.2</v>
      </c>
      <c r="G409" s="105"/>
      <c r="H409" s="105"/>
      <c r="I409" s="94">
        <f>SUM(ППД5[[#This Row],[Комната 1]:[Комната 3]])</f>
        <v>7.2</v>
      </c>
      <c r="J409" s="105">
        <v>5.17</v>
      </c>
      <c r="K409" s="105">
        <v>3.71</v>
      </c>
      <c r="L409" s="105"/>
      <c r="M409" s="105"/>
      <c r="N409" s="105">
        <v>6.96</v>
      </c>
      <c r="O409" s="105">
        <v>2.92</v>
      </c>
      <c r="P409" s="105"/>
      <c r="Q409" s="105"/>
      <c r="R409" s="105">
        <f>SUM(ППД5[[#This Row],[Лоджия 1]:[Лоджия 3]])</f>
        <v>2.92</v>
      </c>
      <c r="S409" s="8">
        <f>ROUND(SUM(ППД5[[#This Row],[Площадь по проекту жилая]:[Лоджия 3]]),2)</f>
        <v>25.96</v>
      </c>
      <c r="T409" s="8">
        <f>ROUND(ППД5[[#This Row],[Площадь по проекту(общая)]]-ППД5[[#This Row],[Летние]],2)</f>
        <v>23.04</v>
      </c>
      <c r="U409" s="91">
        <f>ROUND(ППД5[[#This Row],[Площадь по проекту(общая)]]-(SUM(ППД5[[#This Row],[Лоджия 1]:[Лоджия 3]])/2),2)</f>
        <v>24.5</v>
      </c>
      <c r="V409" s="91">
        <f>IF(ППД5[[#This Row],[Статус]]="продажа",ППД5[[#This Row],[Расчетная проектная площадь]],ППД5[[#This Row],[Расчетная ТП площадь]])</f>
        <v>24.5</v>
      </c>
      <c r="W409" s="91">
        <v>7.2</v>
      </c>
      <c r="X409" s="91"/>
      <c r="Y409" s="91"/>
      <c r="Z409" s="91">
        <f>SUM(ППД5[[#This Row],[ТП Комната 1]:[ТП Комната 3]])</f>
        <v>7.2</v>
      </c>
      <c r="AA409" s="91">
        <v>5.4</v>
      </c>
      <c r="AB409" s="91">
        <v>3.7</v>
      </c>
      <c r="AC409" s="91"/>
      <c r="AD409" s="91"/>
      <c r="AE409" s="91">
        <v>6.6</v>
      </c>
      <c r="AF409" s="91">
        <v>1.45</v>
      </c>
      <c r="AG409" s="91"/>
      <c r="AH409" s="91"/>
      <c r="AI409" s="91">
        <f>SUM(ППД5[[#This Row],[ТП Лоджия 1]:[ТП Лоджия 3]])</f>
        <v>1.45</v>
      </c>
      <c r="AJ409" s="95">
        <v>2.9</v>
      </c>
      <c r="AK409" s="91">
        <f>SUM(ППД5[[#This Row],[Площадь по ТП жилая]:[ТП Лоджия 3]])-ППД5[[#This Row],[ТП Летние]]+ППД5[[#This Row],[кроме того прочая
(без коэффициента)]]</f>
        <v>25.799999999999997</v>
      </c>
      <c r="AL409" s="95">
        <f>ППД5[[#This Row],[ТП Площадь без летних]]+(ППД5[[#This Row],[ТП Летние]])</f>
        <v>24.349999999999998</v>
      </c>
      <c r="AM409" s="91">
        <f>ППД5[[#This Row],[ТП общая S]]-ППД5[[#This Row],[кроме того прочая
(без коэффициента)]]</f>
        <v>22.9</v>
      </c>
      <c r="AN409" s="95">
        <f>SUM(ППД5[[#This Row],[ТП Кухня]:[ТП Коридор]])</f>
        <v>15.700000000000001</v>
      </c>
      <c r="AO409" s="91">
        <f>ППД5[[#This Row],[Расчетная ТП площадь]]-ППД5[[#This Row],[Расчетная проектная площадь]]</f>
        <v>-0.15000000000000213</v>
      </c>
      <c r="AP409" s="335">
        <f>ППД5[[#This Row],[Расчетная ТП площадь]]/ППД5[[#This Row],[Расчетная проектная площадь]]-1</f>
        <v>-6.1224489795919101E-3</v>
      </c>
      <c r="AQ409" s="91">
        <f>ППД5[[#This Row],[% расхождения]]*ППД5[[#This Row],[Стоимость до скидки]]</f>
        <v>-13797.237000000165</v>
      </c>
      <c r="AR409" s="91">
        <f>VLOOKUP(ППД5[[#This Row],[№]],наценкад5[],COLUMN(наценкад5[[#This Row],[Цена м2 с учетом всех K]]),0)</f>
        <v>91981.574999999997</v>
      </c>
      <c r="AS409" s="8"/>
      <c r="AT409" s="8">
        <f>ППД5[[#This Row],[м2 после К]]+ППД5[[#This Row],[Повышение 16.08.23 - 5%]]</f>
        <v>91981.574999999997</v>
      </c>
      <c r="AU409" s="93"/>
      <c r="AV409" s="93">
        <f>ППД5[[#This Row],[Фикс 16.08.23]]+ППД5[[#This Row],[Повышение 29.08.23 - 3%]]</f>
        <v>91981.574999999997</v>
      </c>
      <c r="AW409" s="93"/>
      <c r="AX409" s="93">
        <f>ППД5[[#This Row],[Фикс 29.08.23]]+ППД5[[#This Row],[Повышение 06.09.23 СТ и 1К]]</f>
        <v>91981.574999999997</v>
      </c>
      <c r="AY409" s="93"/>
      <c r="AZ409" s="93">
        <f>ППД5[[#This Row],[Повышение 23.10.23  В4 ]]+ППД5[[#This Row],[Фикс 06.09.23]]</f>
        <v>91981.574999999997</v>
      </c>
      <c r="BA409" s="93"/>
      <c r="BB409" s="93">
        <f>ППД5[[#This Row],[Повышение 8.11.23 1К 5%]]+ППД5[[#This Row],[Фикс 23.10.23]]</f>
        <v>91981.574999999997</v>
      </c>
      <c r="BC409" s="93"/>
      <c r="BD409" s="93">
        <f>ППД5[[#This Row],[Корректировка 24.11.23 - 1К В5, 2К А2, №233]]+ППД5[[#This Row],[Фикс 8.11.23]]</f>
        <v>91981.574999999997</v>
      </c>
      <c r="BE409" s="93"/>
      <c r="BF409" s="93">
        <f>ППД5[[#This Row],[Наценка за отделку 29.12.23 1%]]+ППД5[[#This Row],[Фикс 8.11.24]]</f>
        <v>91981.574999999997</v>
      </c>
      <c r="BG409" s="93"/>
      <c r="BH409" s="93">
        <f>ППД5[[#This Row],[Фикс 29.12.23]]+ППД5[[#This Row],[Наценка 10.01.24 5%]]</f>
        <v>91981.574999999997</v>
      </c>
      <c r="BI409" s="93"/>
      <c r="BJ409" s="93">
        <f>ППД5[[#This Row],[Наценка 26.02.24 1 Этаж]]+ППД5[[#This Row],[Фикс 10.01.24]]</f>
        <v>91981.574999999997</v>
      </c>
      <c r="BK409" s="93"/>
      <c r="BL409" s="93">
        <f>ППД5[[#This Row],[Фикс 26.02.24]]+ППД5[[#This Row],[Наценка 06.03.24
СТ, 1К - 3%
2К, 3К - 2%]]</f>
        <v>91981.574999999997</v>
      </c>
      <c r="BM409" s="93"/>
      <c r="BN409" s="93">
        <f>ППД5[[#This Row],[Фикс 06.03.24]]+ППД5[[#This Row],[Наценка Г2+500]]</f>
        <v>91981.574999999997</v>
      </c>
      <c r="BO409" s="93"/>
      <c r="BP409" s="93">
        <f>ППД5[[#This Row],[Фикс 13.03.25]]+ППД5[[#This Row],[Наценка 20.03.24
2К, 3К - 2%]]</f>
        <v>91981.574999999997</v>
      </c>
      <c r="BQ409" s="93"/>
      <c r="BR409" s="93">
        <f>ППД5[[#This Row],[Фикс 20.03.24]]+ППД5[[#This Row],[Наценка 08.04.24 
2К: В3 - 150
3К: Г7 +1000]]</f>
        <v>91981.574999999997</v>
      </c>
      <c r="BS409" s="93"/>
      <c r="BT409" s="93">
        <f>ППД5[[#This Row],[Фикс 08.04.24]]+ППД5[[#This Row],[Наценка 16.05.24 1%
А4,А6,Б3,Б6,Б7,В2,В3,В5,В6,Г1,Г3-Г5]]</f>
        <v>91981.574999999997</v>
      </c>
      <c r="BU409" s="93"/>
      <c r="BV409" s="93">
        <f>ППД5[[#This Row],[Фикс 16.05.24]]+ППД5[[#This Row],[Наценка 24.05.24
1% - Б4, Б5,Г2,Г6
2% - А1,А3,А5,Б2,Г7]]</f>
        <v>91981.574999999997</v>
      </c>
      <c r="BW409" s="93"/>
      <c r="BX409" s="93">
        <f>ППД5[[#This Row],[Наценка 06.06.24
0К: В2,Г3 +0,5%
1К: А7, Б5/4, Г6 +0,5%
3К: В6 +0,5%
1К: А3 +1%]]+ППД5[[#This Row],[Фикс 24.05.24]]</f>
        <v>91981.574999999997</v>
      </c>
      <c r="BY409" s="93"/>
      <c r="BZ409" s="93">
        <f>ППД5[[#This Row],[Фикс 06.06.24]]+ППД5[[#This Row],[13.06.2024
3К - 2%]]</f>
        <v>91981.574999999997</v>
      </c>
      <c r="CA409" s="93"/>
      <c r="CB409" s="93">
        <f>ППД5[[#This Row],[02.07.2024: Г3 А1 А3 Б5 Б7 Г2 Г6 Б3 Б4 В3 Г7 2,5% ост 0,5-1,5%]]+ППД5[[#This Row],[Фикс 13.06.24]]</f>
        <v>91981.574999999997</v>
      </c>
      <c r="CC409" s="93"/>
      <c r="CD409" s="93">
        <f>ППД5[[#This Row],[Фикс 02.07.24]]+ППД5[[#This Row],[04.09.2024 +500
0К - Б2; 1К - А3;
2К - А6, Б4, В3, Г5]]</f>
        <v>91981.574999999997</v>
      </c>
      <c r="CE409" s="93"/>
      <c r="CF409" s="93">
        <f>ППД5[[#This Row],[Наценка 16.09.2024
1К: А1,В7,Г6/7,Г8 - 2%
2К: А4,А5,А6,Б1,Б6,Б3/4,В3,В4,Г4,Г5 - 4%
3К: 4%]]+ППД5[[#This Row],[Фикс 04.09.24]]</f>
        <v>91981.574999999997</v>
      </c>
      <c r="CG409" s="93"/>
      <c r="CH409" s="93">
        <f>ППД5[[#This Row],[Фикс 16.09.2024]]+ППД5[[#This Row],[Наценка 01.11.24
СТ: 4%
1К: 34-40м 5%; 40м+ 8%; МГН 1%
2К: 55-70м 6%; 70-73м 7%; 73-76м 8% 
3К: 5%]]</f>
        <v>91981.574999999997</v>
      </c>
      <c r="CI409" s="93"/>
      <c r="CJ409" s="93">
        <f>ППД5[[#This Row],[Наценка 06.11 13%]]+ППД5[[#This Row],[Фикс 01.11.24]]</f>
        <v>91981.574999999997</v>
      </c>
      <c r="CK409" s="93"/>
      <c r="CL409" s="93">
        <f>ППД5[[#This Row],[Фикс 06.11.24]]+ППД5[[#This Row],[Наценка 18.12.24 распределение КВ]]</f>
        <v>91981.574999999997</v>
      </c>
      <c r="CM409" s="93"/>
      <c r="CN409" s="93">
        <f>ППД5[[#This Row],[Фикс 18.12.24]]+ППД5[[#This Row],[Наценка 10.02.25 +1%
1К: А3
2К: Б3, В3]]</f>
        <v>91981.574999999997</v>
      </c>
      <c r="CO409" s="93">
        <f>ROUND(ППД5[[#This Row],[Фикс 10.02.25]],2)</f>
        <v>91981.58</v>
      </c>
      <c r="CP40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2253548.71</v>
      </c>
      <c r="CQ409" s="93">
        <f>ROUNDUP(ППД5[[#This Row],[Стоимость до скидки]]+ППД5[[#This Row],[Сумма доплаты]],-2)</f>
        <v>2239800</v>
      </c>
      <c r="CR409" s="68"/>
      <c r="CS409" s="90"/>
      <c r="CT409" s="68">
        <f>ППД5[[#This Row],[Стоимость до скидки]]*ППД5[[#This Row],[Скидка %]]+ППД5[[#This Row],[Скидка фиксированная]]</f>
        <v>0</v>
      </c>
      <c r="CU409" s="3">
        <f>ППД5[[#This Row],[Стоимость ОН без отделки со скидкой]]/ППД5[[#This Row],[Расчетная проектная площадь]]</f>
        <v>91981.58</v>
      </c>
      <c r="CV409" s="3">
        <f>ROUND(ППД5[[#This Row],[Стоимость до скидки]]-ППД5[[#This Row],[Итоговая сумма скидки]],2)</f>
        <v>2253548.71</v>
      </c>
      <c r="CW40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09" s="197"/>
      <c r="CY409" s="332">
        <f>ППД5[[#This Row],[Расхождение]]/ППД5[[#This Row],[Расчетная проектная площадь]]</f>
        <v>-6.122448979591924E-3</v>
      </c>
      <c r="CZ40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-0.1399999999999979</v>
      </c>
      <c r="DA409" s="3">
        <f>ППД5[[#This Row],[Цена м2 без отделки со скидкой]]+ППД5[[#This Row],[Стоимость отделки]]</f>
        <v>91981.58</v>
      </c>
      <c r="DB409" s="3">
        <f>ППД5[[#This Row],[Стоимость квартиры с отделкой]]-ППД5[[#This Row],[Стоимость ОН без отделки со скидкой]]</f>
        <v>0</v>
      </c>
      <c r="DC409" s="3">
        <f>ППД5[[#This Row],[Цена м2 с отделкой]]*ППД5[[#This Row],[Расчетная проектная площадь]]</f>
        <v>2253548.71</v>
      </c>
      <c r="DD409" s="3"/>
      <c r="DF409" s="199" t="s">
        <v>172</v>
      </c>
      <c r="DG409" s="245" t="s">
        <v>172</v>
      </c>
      <c r="DH409" s="100" t="b">
        <f>EXACT(ППД5[[#This Row],[Статусы CRM]],ППД5[[#This Row],[Статус]])</f>
        <v>1</v>
      </c>
      <c r="DI409" s="213" t="s">
        <v>581</v>
      </c>
      <c r="DJ409" s="204"/>
      <c r="DK409" s="111" t="s">
        <v>76</v>
      </c>
      <c r="DL409" s="216" t="s">
        <v>12</v>
      </c>
      <c r="DM409" s="201" t="b">
        <f>ППД5[[#This Row],[Отделка CRM]]=ППД5[[#This Row],[Отделка]]</f>
        <v>1</v>
      </c>
      <c r="DN409" s="203">
        <v>2253548.71</v>
      </c>
      <c r="DO40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09" s="207" t="b">
        <f>IF(AND(ППД5[[#This Row],[Статус]]="свободно",ППД5[[#This Row],[Итоговая сумма скидки]]&lt;&gt;0),FALSE,TRUE)</f>
        <v>1</v>
      </c>
      <c r="DQ409" s="240">
        <f>_xlfn.XLOOKUP(ППД5[[#This Row],[№]],Юрист[№ кв],Юрист[Дата подачи на регистрацию]," ",0,-1)</f>
        <v>45188</v>
      </c>
      <c r="DR409" s="115" t="str">
        <f>_xlfn.XLOOKUP(ППД5[[#This Row],[№]],Юрист[№ кв],Юрист[МОП],"",0,-1)</f>
        <v>Калачева</v>
      </c>
      <c r="DS409" s="333" t="s">
        <v>3110</v>
      </c>
      <c r="DT409" s="333" t="s">
        <v>3111</v>
      </c>
      <c r="DU409" s="333">
        <v>22.9</v>
      </c>
      <c r="DV409" s="111"/>
    </row>
    <row r="410" spans="1:126" hidden="1" x14ac:dyDescent="0.25">
      <c r="A410" s="112">
        <v>408</v>
      </c>
      <c r="B410" s="111" t="s">
        <v>2</v>
      </c>
      <c r="C410" s="111">
        <v>3</v>
      </c>
      <c r="D410" s="115">
        <v>4</v>
      </c>
      <c r="E410" s="111">
        <v>2</v>
      </c>
      <c r="F410" s="105">
        <v>14.48</v>
      </c>
      <c r="G410" s="105">
        <v>11.42</v>
      </c>
      <c r="H410" s="105"/>
      <c r="I410" s="94">
        <f>SUM(ППД5[[#This Row],[Комната 1]:[Комната 3]])</f>
        <v>25.9</v>
      </c>
      <c r="J410" s="105">
        <v>15.86</v>
      </c>
      <c r="K410" s="105">
        <v>3.01</v>
      </c>
      <c r="L410" s="105">
        <v>2.67</v>
      </c>
      <c r="M410" s="105"/>
      <c r="N410" s="105">
        <v>9.44</v>
      </c>
      <c r="O410" s="105">
        <v>2.72</v>
      </c>
      <c r="P410" s="105"/>
      <c r="Q410" s="105"/>
      <c r="R410" s="105">
        <f>SUM(ППД5[[#This Row],[Лоджия 1]:[Лоджия 3]])</f>
        <v>2.72</v>
      </c>
      <c r="S410" s="8">
        <f>ROUND(SUM(ППД5[[#This Row],[Площадь по проекту жилая]:[Лоджия 3]]),2)</f>
        <v>59.6</v>
      </c>
      <c r="T410" s="8">
        <f>ROUND(ППД5[[#This Row],[Площадь по проекту(общая)]]-ППД5[[#This Row],[Летние]],2)</f>
        <v>56.88</v>
      </c>
      <c r="U410" s="91">
        <f>ROUND(ППД5[[#This Row],[Площадь по проекту(общая)]]-(SUM(ППД5[[#This Row],[Лоджия 1]:[Лоджия 3]])/2),2)</f>
        <v>58.24</v>
      </c>
      <c r="V410" s="91">
        <f>IF(ППД5[[#This Row],[Статус]]="продажа",ППД5[[#This Row],[Расчетная проектная площадь]],ППД5[[#This Row],[Расчетная ТП площадь]])</f>
        <v>58.24</v>
      </c>
      <c r="W410" s="91">
        <v>14.5</v>
      </c>
      <c r="X410" s="91">
        <v>11.3</v>
      </c>
      <c r="Y410" s="91"/>
      <c r="Z410" s="91">
        <f>SUM(ППД5[[#This Row],[ТП Комната 1]:[ТП Комната 3]])</f>
        <v>25.8</v>
      </c>
      <c r="AA410" s="91">
        <v>15.8</v>
      </c>
      <c r="AB410" s="91">
        <v>2.7</v>
      </c>
      <c r="AC410" s="91">
        <v>3</v>
      </c>
      <c r="AD410" s="91"/>
      <c r="AE410" s="91">
        <v>9.3000000000000007</v>
      </c>
      <c r="AF410" s="91">
        <v>1.35</v>
      </c>
      <c r="AG410" s="91"/>
      <c r="AH410" s="91"/>
      <c r="AI410" s="91">
        <f>SUM(ППД5[[#This Row],[ТП Лоджия 1]:[ТП Лоджия 3]])</f>
        <v>1.35</v>
      </c>
      <c r="AJ410" s="95">
        <v>2.7</v>
      </c>
      <c r="AK410" s="91">
        <f>SUM(ППД5[[#This Row],[Площадь по ТП жилая]:[ТП Лоджия 3]])-ППД5[[#This Row],[ТП Летние]]+ППД5[[#This Row],[кроме того прочая
(без коэффициента)]]</f>
        <v>59.300000000000011</v>
      </c>
      <c r="AL410" s="95">
        <f>ППД5[[#This Row],[ТП Площадь без летних]]+(ППД5[[#This Row],[ТП Летние]])</f>
        <v>57.95000000000001</v>
      </c>
      <c r="AM410" s="91">
        <f>ППД5[[#This Row],[ТП общая S]]-ППД5[[#This Row],[кроме того прочая
(без коэффициента)]]</f>
        <v>56.600000000000009</v>
      </c>
      <c r="AN410" s="95">
        <f>SUM(ППД5[[#This Row],[ТП Кухня]:[ТП Коридор]])</f>
        <v>30.8</v>
      </c>
      <c r="AO410" s="91">
        <f>ППД5[[#This Row],[Расчетная ТП площадь]]-ППД5[[#This Row],[Расчетная проектная площадь]]</f>
        <v>-0.28999999999999204</v>
      </c>
      <c r="AP410" s="335">
        <f>ППД5[[#This Row],[Расчетная ТП площадь]]/ППД5[[#This Row],[Расчетная проектная площадь]]-1</f>
        <v>-4.9793956043954202E-3</v>
      </c>
      <c r="AQ410" s="91">
        <f>ППД5[[#This Row],[% расхождения]]*ППД5[[#This Row],[Стоимость до скидки]]</f>
        <v>-27790.504807691279</v>
      </c>
      <c r="AR410" s="91">
        <f>VLOOKUP(ППД5[[#This Row],[№]],наценкад5[],COLUMN(наценкад5[[#This Row],[Цена м2 с учетом всех K]]),0)</f>
        <v>80307.864000000001</v>
      </c>
      <c r="AS410" s="8">
        <f>ППД5[[#This Row],[м2 после К]]*5%</f>
        <v>4015.3932000000004</v>
      </c>
      <c r="AT410" s="8">
        <f>ППД5[[#This Row],[м2 после К]]+ППД5[[#This Row],[Повышение 16.08.23 - 5%]]</f>
        <v>84323.257200000007</v>
      </c>
      <c r="AU410" s="93">
        <f>ППД5[[#This Row],[Фикс 16.08.23]]*3%</f>
        <v>2529.6977160000001</v>
      </c>
      <c r="AV410" s="93">
        <f>ППД5[[#This Row],[Фикс 16.08.23]]+ППД5[[#This Row],[Повышение 29.08.23 - 3%]]</f>
        <v>86852.954916000002</v>
      </c>
      <c r="AW410" s="93"/>
      <c r="AX410" s="93">
        <f>ППД5[[#This Row],[Фикс 29.08.23]]+ППД5[[#This Row],[Повышение 06.09.23 СТ и 1К]]</f>
        <v>86852.954916000002</v>
      </c>
      <c r="AY410" s="93"/>
      <c r="AZ410" s="93">
        <f>ППД5[[#This Row],[Повышение 23.10.23  В4 ]]+ППД5[[#This Row],[Фикс 06.09.23]]</f>
        <v>86852.954916000002</v>
      </c>
      <c r="BA410" s="93"/>
      <c r="BB410" s="93">
        <f>ППД5[[#This Row],[Повышение 8.11.23 1К 5%]]+ППД5[[#This Row],[Фикс 23.10.23]]</f>
        <v>86852.954916000002</v>
      </c>
      <c r="BC410" s="93"/>
      <c r="BD410" s="93">
        <f>ППД5[[#This Row],[Корректировка 24.11.23 - 1К В5, 2К А2, №233]]+ППД5[[#This Row],[Фикс 8.11.23]]</f>
        <v>86852.954916000002</v>
      </c>
      <c r="BE410" s="93">
        <f>ППД5[[#This Row],[Фикс 8.11.24]]*1%</f>
        <v>868.52954915999999</v>
      </c>
      <c r="BF410" s="93">
        <f>ППД5[[#This Row],[Наценка за отделку 29.12.23 1%]]+ППД5[[#This Row],[Фикс 8.11.24]]</f>
        <v>87721.48446516</v>
      </c>
      <c r="BG410" s="93">
        <f>ППД5[[#This Row],[Фикс 29.12.23]]*5%</f>
        <v>4386.0742232580005</v>
      </c>
      <c r="BH410" s="93">
        <f>ППД5[[#This Row],[Фикс 29.12.23]]+ППД5[[#This Row],[Наценка 10.01.24 5%]]</f>
        <v>92107.558688417994</v>
      </c>
      <c r="BI410" s="93"/>
      <c r="BJ410" s="93">
        <f>ППД5[[#This Row],[Наценка 26.02.24 1 Этаж]]+ППД5[[#This Row],[Фикс 10.01.24]]</f>
        <v>92107.558688417994</v>
      </c>
      <c r="BK410" s="93">
        <f>ППД5[[#This Row],[Фикс 26.02.24]]*2%</f>
        <v>1842.15117376836</v>
      </c>
      <c r="BL410" s="93">
        <f>ППД5[[#This Row],[Фикс 26.02.24]]+ППД5[[#This Row],[Наценка 06.03.24
СТ, 1К - 3%
2К, 3К - 2%]]</f>
        <v>93949.709862186355</v>
      </c>
      <c r="BM410" s="93"/>
      <c r="BN410" s="93">
        <f>ППД5[[#This Row],[Фикс 06.03.24]]+ППД5[[#This Row],[Наценка Г2+500]]</f>
        <v>93949.709862186355</v>
      </c>
      <c r="BO410" s="93">
        <f>ППД5[[#This Row],[Фикс 13.03.25]]*2%</f>
        <v>1878.9941972437271</v>
      </c>
      <c r="BP410" s="93">
        <f>ППД5[[#This Row],[Фикс 13.03.25]]+ППД5[[#This Row],[Наценка 20.03.24
2К, 3К - 2%]]</f>
        <v>95828.704059430078</v>
      </c>
      <c r="BQ410" s="93"/>
      <c r="BR410" s="93">
        <f>ППД5[[#This Row],[Фикс 20.03.24]]+ППД5[[#This Row],[Наценка 08.04.24 
2К: В3 - 150
3К: Г7 +1000]]</f>
        <v>95828.704059430078</v>
      </c>
      <c r="BS410" s="93"/>
      <c r="BT410" s="93">
        <f>ППД5[[#This Row],[Фикс 08.04.24]]+ППД5[[#This Row],[Наценка 16.05.24 1%
А4,А6,Б3,Б6,Б7,В2,В3,В5,В6,Г1,Г3-Г5]]</f>
        <v>95828.704059430078</v>
      </c>
      <c r="BU410" s="93"/>
      <c r="BV410" s="93">
        <f>ППД5[[#This Row],[Фикс 16.05.24]]+ППД5[[#This Row],[Наценка 24.05.24
1% - Б4, Б5,Г2,Г6
2% - А1,А3,А5,Б2,Г7]]</f>
        <v>95828.704059430078</v>
      </c>
      <c r="BW410" s="93"/>
      <c r="BX410" s="93">
        <f>ППД5[[#This Row],[Наценка 06.06.24
0К: В2,Г3 +0,5%
1К: А7, Б5/4, Г6 +0,5%
3К: В6 +0,5%
1К: А3 +1%]]+ППД5[[#This Row],[Фикс 24.05.24]]</f>
        <v>95828.704059430078</v>
      </c>
      <c r="BY410" s="93"/>
      <c r="BZ410" s="93">
        <f>ППД5[[#This Row],[Фикс 06.06.24]]+ППД5[[#This Row],[13.06.2024
3К - 2%]]</f>
        <v>95828.704059430078</v>
      </c>
      <c r="CA410" s="93"/>
      <c r="CB410" s="93">
        <f>ППД5[[#This Row],[02.07.2024: Г3 А1 А3 Б5 Б7 Г2 Г6 Б3 Б4 В3 Г7 2,5% ост 0,5-1,5%]]+ППД5[[#This Row],[Фикс 13.06.24]]</f>
        <v>95828.704059430078</v>
      </c>
      <c r="CC410" s="93"/>
      <c r="CD410" s="93">
        <f>ППД5[[#This Row],[Фикс 02.07.24]]+ППД5[[#This Row],[04.09.2024 +500
0К - Б2; 1К - А3;
2К - А6, Б4, В3, Г5]]</f>
        <v>95828.704059430078</v>
      </c>
      <c r="CE410" s="93"/>
      <c r="CF410" s="93">
        <f>ППД5[[#This Row],[Наценка 16.09.2024
1К: А1,В7,Г6/7,Г8 - 2%
2К: А4,А5,А6,Б1,Б6,Б3/4,В3,В4,Г4,Г5 - 4%
3К: 4%]]+ППД5[[#This Row],[Фикс 04.09.24]]</f>
        <v>95828.704059430078</v>
      </c>
      <c r="CG410" s="93"/>
      <c r="CH410" s="93">
        <f>ППД5[[#This Row],[Фикс 16.09.2024]]+ППД5[[#This Row],[Наценка 01.11.24
СТ: 4%
1К: 34-40м 5%; 40м+ 8%; МГН 1%
2К: 55-70м 6%; 70-73м 7%; 73-76м 8% 
3К: 5%]]</f>
        <v>95828.704059430078</v>
      </c>
      <c r="CI410" s="93"/>
      <c r="CJ410" s="93">
        <f>ППД5[[#This Row],[Наценка 06.11 13%]]+ППД5[[#This Row],[Фикс 01.11.24]]</f>
        <v>95828.704059430078</v>
      </c>
      <c r="CK410" s="93"/>
      <c r="CL410" s="93">
        <f>ППД5[[#This Row],[Фикс 06.11.24]]+ППД5[[#This Row],[Наценка 18.12.24 распределение КВ]]</f>
        <v>95828.704059430078</v>
      </c>
      <c r="CM410" s="93"/>
      <c r="CN410" s="93">
        <f>ППД5[[#This Row],[Фикс 18.12.24]]+ППД5[[#This Row],[Наценка 10.02.25 +1%
1К: А3
2К: Б3, В3]]</f>
        <v>95828.704059430078</v>
      </c>
      <c r="CO410" s="93">
        <f>ROUND(ППД5[[#This Row],[Фикс 10.02.25]],2)</f>
        <v>95828.7</v>
      </c>
      <c r="CP41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5581100</v>
      </c>
      <c r="CQ410" s="93">
        <f>ROUNDUP(ППД5[[#This Row],[Стоимость до скидки]]+ППД5[[#This Row],[Сумма доплаты]],-2)</f>
        <v>5553400</v>
      </c>
      <c r="CR410" s="68">
        <v>90000</v>
      </c>
      <c r="CS410" s="90"/>
      <c r="CT410" s="68">
        <f>ППД5[[#This Row],[Стоимость до скидки]]*ППД5[[#This Row],[Скидка %]]+ППД5[[#This Row],[Скидка фиксированная]]</f>
        <v>90000</v>
      </c>
      <c r="CU410" s="3">
        <f>ППД5[[#This Row],[Стоимость ОН без отделки со скидкой]]/ППД5[[#This Row],[Расчетная проектная площадь]]</f>
        <v>94283.997252747256</v>
      </c>
      <c r="CV410" s="3">
        <f>ROUND(ППД5[[#This Row],[Стоимость до скидки]]-ППД5[[#This Row],[Итоговая сумма скидки]],2)</f>
        <v>5491100</v>
      </c>
      <c r="CW41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10" s="197">
        <v>20000</v>
      </c>
      <c r="CY410" s="332">
        <f>ППД5[[#This Row],[Расхождение]]/ППД5[[#This Row],[Расчетная проектная площадь]]</f>
        <v>-4.9793956043954679E-3</v>
      </c>
      <c r="CZ41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-0.18000000000000149</v>
      </c>
      <c r="DA410" s="3">
        <f>ППД5[[#This Row],[Цена м2 без отделки со скидкой]]+ППД5[[#This Row],[Стоимость отделки]]</f>
        <v>114283.99725274726</v>
      </c>
      <c r="DB410" s="3">
        <f>ППД5[[#This Row],[Стоимость квартиры с отделкой]]-ППД5[[#This Row],[Стоимость ОН без отделки со скидкой]]</f>
        <v>1164800</v>
      </c>
      <c r="DC410" s="3">
        <f>ППД5[[#This Row],[Цена м2 с отделкой]]*ППД5[[#This Row],[Расчетная проектная площадь]]</f>
        <v>6655900</v>
      </c>
      <c r="DD410" s="3"/>
      <c r="DE410" s="111" t="s">
        <v>791</v>
      </c>
      <c r="DF410" s="199" t="s">
        <v>172</v>
      </c>
      <c r="DG410" s="245" t="s">
        <v>172</v>
      </c>
      <c r="DH410" s="100" t="b">
        <f>EXACT(ППД5[[#This Row],[Статусы CRM]],ППД5[[#This Row],[Статус]])</f>
        <v>1</v>
      </c>
      <c r="DI410" s="213" t="s">
        <v>582</v>
      </c>
      <c r="DJ410" s="204"/>
      <c r="DK410" s="111" t="s">
        <v>763</v>
      </c>
      <c r="DL410" s="216" t="s">
        <v>14</v>
      </c>
      <c r="DM410" s="201" t="b">
        <f>ППД5[[#This Row],[Отделка CRM]]=ППД5[[#This Row],[Отделка]]</f>
        <v>1</v>
      </c>
      <c r="DN410" s="203">
        <v>6655900</v>
      </c>
      <c r="DO41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10" s="207" t="b">
        <f>IF(AND(ППД5[[#This Row],[Статус]]="свободно",ППД5[[#This Row],[Итоговая сумма скидки]]&lt;&gt;0),FALSE,TRUE)</f>
        <v>1</v>
      </c>
      <c r="DQ410" s="240">
        <f>_xlfn.XLOOKUP(ППД5[[#This Row],[№]],Юрист[№ кв],Юрист[Дата подачи на регистрацию]," ",0,-1)</f>
        <v>45467</v>
      </c>
      <c r="DR410" s="115" t="str">
        <f>_xlfn.XLOOKUP(ППД5[[#This Row],[№]],Юрист[№ кв],Юрист[МОП],"",0,-1)</f>
        <v>Никишов</v>
      </c>
      <c r="DS410" s="333" t="s">
        <v>3112</v>
      </c>
      <c r="DT410" s="333" t="s">
        <v>3113</v>
      </c>
      <c r="DU410" s="333">
        <v>56.6</v>
      </c>
      <c r="DV410" s="111"/>
    </row>
    <row r="411" spans="1:126" hidden="1" x14ac:dyDescent="0.25">
      <c r="A411" s="112">
        <v>409</v>
      </c>
      <c r="B411" s="111" t="s">
        <v>2</v>
      </c>
      <c r="C411" s="111">
        <v>3</v>
      </c>
      <c r="D411" s="115">
        <v>5</v>
      </c>
      <c r="E411" s="111">
        <v>2</v>
      </c>
      <c r="F411" s="105">
        <v>15.41</v>
      </c>
      <c r="G411" s="105">
        <v>12.78</v>
      </c>
      <c r="H411" s="105"/>
      <c r="I411" s="94">
        <f>SUM(ППД5[[#This Row],[Комната 1]:[Комната 3]])</f>
        <v>28.189999999999998</v>
      </c>
      <c r="J411" s="105">
        <v>13.45</v>
      </c>
      <c r="K411" s="105">
        <v>3.7</v>
      </c>
      <c r="L411" s="105">
        <v>2.72</v>
      </c>
      <c r="M411" s="105"/>
      <c r="N411" s="105">
        <v>8.2200000000000006</v>
      </c>
      <c r="O411" s="105">
        <v>3.03</v>
      </c>
      <c r="P411" s="105"/>
      <c r="Q411" s="105"/>
      <c r="R411" s="105">
        <f>SUM(ППД5[[#This Row],[Лоджия 1]:[Лоджия 3]])</f>
        <v>3.03</v>
      </c>
      <c r="S411" s="8">
        <f>ROUND(SUM(ППД5[[#This Row],[Площадь по проекту жилая]:[Лоджия 3]]),2)</f>
        <v>59.31</v>
      </c>
      <c r="T411" s="8">
        <f>ROUND(ППД5[[#This Row],[Площадь по проекту(общая)]]-ППД5[[#This Row],[Летние]],2)</f>
        <v>56.28</v>
      </c>
      <c r="U411" s="91">
        <f>ROUND(ППД5[[#This Row],[Площадь по проекту(общая)]]-(SUM(ППД5[[#This Row],[Лоджия 1]:[Лоджия 3]])/2),2)</f>
        <v>57.8</v>
      </c>
      <c r="V411" s="91">
        <f>IF(ППД5[[#This Row],[Статус]]="продажа",ППД5[[#This Row],[Расчетная проектная площадь]],ППД5[[#This Row],[Расчетная ТП площадь]])</f>
        <v>57.8</v>
      </c>
      <c r="W411" s="91">
        <v>12.6</v>
      </c>
      <c r="X411" s="91">
        <v>15.3</v>
      </c>
      <c r="Y411" s="91"/>
      <c r="Z411" s="91">
        <f>SUM(ППД5[[#This Row],[ТП Комната 1]:[ТП Комната 3]])</f>
        <v>27.9</v>
      </c>
      <c r="AA411" s="91">
        <v>13.4</v>
      </c>
      <c r="AB411" s="91">
        <v>2.8</v>
      </c>
      <c r="AC411" s="91">
        <v>3.7</v>
      </c>
      <c r="AD411" s="91"/>
      <c r="AE411" s="91">
        <v>8.1</v>
      </c>
      <c r="AF411" s="91">
        <v>1.5</v>
      </c>
      <c r="AG411" s="91"/>
      <c r="AH411" s="91"/>
      <c r="AI411" s="91">
        <f>SUM(ППД5[[#This Row],[ТП Лоджия 1]:[ТП Лоджия 3]])</f>
        <v>1.5</v>
      </c>
      <c r="AJ411" s="95">
        <v>3</v>
      </c>
      <c r="AK411" s="91">
        <f>SUM(ППД5[[#This Row],[Площадь по ТП жилая]:[ТП Лоджия 3]])-ППД5[[#This Row],[ТП Летние]]+ППД5[[#This Row],[кроме того прочая
(без коэффициента)]]</f>
        <v>58.9</v>
      </c>
      <c r="AL411" s="95">
        <f>ППД5[[#This Row],[ТП Площадь без летних]]+(ППД5[[#This Row],[ТП Летние]])</f>
        <v>57.4</v>
      </c>
      <c r="AM411" s="91">
        <f>ППД5[[#This Row],[ТП общая S]]-ППД5[[#This Row],[кроме того прочая
(без коэффициента)]]</f>
        <v>55.9</v>
      </c>
      <c r="AN411" s="95">
        <f>SUM(ППД5[[#This Row],[ТП Кухня]:[ТП Коридор]])</f>
        <v>28</v>
      </c>
      <c r="AO411" s="91">
        <f>ППД5[[#This Row],[Расчетная ТП площадь]]-ППД5[[#This Row],[Расчетная проектная площадь]]</f>
        <v>-0.39999999999999858</v>
      </c>
      <c r="AP411" s="335">
        <f>ППД5[[#This Row],[Расчетная ТП площадь]]/ППД5[[#This Row],[Расчетная проектная площадь]]-1</f>
        <v>-6.9204152249134898E-3</v>
      </c>
      <c r="AQ411" s="91">
        <f>ППД5[[#This Row],[% расхождения]]*ППД5[[#This Row],[Стоимость до скидки]]</f>
        <v>-39107.26643598613</v>
      </c>
      <c r="AR411" s="91">
        <f>VLOOKUP(ППД5[[#This Row],[№]],наценкад5[],COLUMN(наценкад5[[#This Row],[Цена м2 с учетом всех K]]),0)</f>
        <v>79921.768500000006</v>
      </c>
      <c r="AS411" s="8">
        <f>ППД5[[#This Row],[м2 после К]]*5%</f>
        <v>3996.0884250000004</v>
      </c>
      <c r="AT411" s="8">
        <f>ППД5[[#This Row],[м2 после К]]+ППД5[[#This Row],[Повышение 16.08.23 - 5%]]</f>
        <v>83917.856925</v>
      </c>
      <c r="AU411" s="93">
        <f>ППД5[[#This Row],[Фикс 16.08.23]]*3%</f>
        <v>2517.5357077499998</v>
      </c>
      <c r="AV411" s="93">
        <f>ППД5[[#This Row],[Фикс 16.08.23]]+ППД5[[#This Row],[Повышение 29.08.23 - 3%]]</f>
        <v>86435.392632749994</v>
      </c>
      <c r="AW411" s="93"/>
      <c r="AX411" s="93">
        <f>ППД5[[#This Row],[Фикс 29.08.23]]+ППД5[[#This Row],[Повышение 06.09.23 СТ и 1К]]</f>
        <v>86435.392632749994</v>
      </c>
      <c r="AY411" s="93"/>
      <c r="AZ411" s="93">
        <f>ППД5[[#This Row],[Повышение 23.10.23  В4 ]]+ППД5[[#This Row],[Фикс 06.09.23]]</f>
        <v>86435.392632749994</v>
      </c>
      <c r="BA411" s="93"/>
      <c r="BB411" s="93">
        <f>ППД5[[#This Row],[Повышение 8.11.23 1К 5%]]+ППД5[[#This Row],[Фикс 23.10.23]]</f>
        <v>86435.392632749994</v>
      </c>
      <c r="BC411" s="93"/>
      <c r="BD411" s="93">
        <f>ППД5[[#This Row],[Корректировка 24.11.23 - 1К В5, 2К А2, №233]]+ППД5[[#This Row],[Фикс 8.11.23]]</f>
        <v>86435.392632749994</v>
      </c>
      <c r="BE411" s="93">
        <f>ППД5[[#This Row],[Фикс 8.11.24]]*1%</f>
        <v>864.35392632749995</v>
      </c>
      <c r="BF411" s="93">
        <f>ППД5[[#This Row],[Наценка за отделку 29.12.23 1%]]+ППД5[[#This Row],[Фикс 8.11.24]]</f>
        <v>87299.746559077495</v>
      </c>
      <c r="BG411" s="93">
        <f>ППД5[[#This Row],[Фикс 29.12.23]]*5%</f>
        <v>4364.9873279538751</v>
      </c>
      <c r="BH411" s="93">
        <f>ППД5[[#This Row],[Фикс 29.12.23]]+ППД5[[#This Row],[Наценка 10.01.24 5%]]</f>
        <v>91664.733887031369</v>
      </c>
      <c r="BI411" s="93"/>
      <c r="BJ411" s="93">
        <f>ППД5[[#This Row],[Наценка 26.02.24 1 Этаж]]+ППД5[[#This Row],[Фикс 10.01.24]]</f>
        <v>91664.733887031369</v>
      </c>
      <c r="BK411" s="93">
        <f>ППД5[[#This Row],[Фикс 26.02.24]]*2%</f>
        <v>1833.2946777406273</v>
      </c>
      <c r="BL411" s="93">
        <f>ППД5[[#This Row],[Фикс 26.02.24]]+ППД5[[#This Row],[Наценка 06.03.24
СТ, 1К - 3%
2К, 3К - 2%]]</f>
        <v>93498.028564772001</v>
      </c>
      <c r="BM411" s="93"/>
      <c r="BN411" s="93">
        <f>ППД5[[#This Row],[Фикс 06.03.24]]+ППД5[[#This Row],[Наценка Г2+500]]</f>
        <v>93498.028564772001</v>
      </c>
      <c r="BO411" s="93">
        <f>ППД5[[#This Row],[Фикс 13.03.25]]*2%</f>
        <v>1869.9605712954401</v>
      </c>
      <c r="BP411" s="93">
        <f>ППД5[[#This Row],[Фикс 13.03.25]]+ППД5[[#This Row],[Наценка 20.03.24
2К, 3К - 2%]]</f>
        <v>95367.989136067437</v>
      </c>
      <c r="BQ411" s="93"/>
      <c r="BR411" s="93">
        <f>ППД5[[#This Row],[Фикс 20.03.24]]+ППД5[[#This Row],[Наценка 08.04.24 
2К: В3 - 150
3К: Г7 +1000]]</f>
        <v>95367.989136067437</v>
      </c>
      <c r="BS411" s="93">
        <f>ППД5[[#This Row],[Фикс 08.04.24]]*1%</f>
        <v>953.67989136067445</v>
      </c>
      <c r="BT411" s="93">
        <f>ППД5[[#This Row],[Фикс 08.04.24]]+ППД5[[#This Row],[Наценка 16.05.24 1%
А4,А6,Б3,Б6,Б7,В2,В3,В5,В6,Г1,Г3-Г5]]</f>
        <v>96321.669027428114</v>
      </c>
      <c r="BU411" s="93"/>
      <c r="BV411" s="93">
        <f>ППД5[[#This Row],[Фикс 16.05.24]]+ППД5[[#This Row],[Наценка 24.05.24
1% - Б4, Б5,Г2,Г6
2% - А1,А3,А5,Б2,Г7]]</f>
        <v>96321.669027428114</v>
      </c>
      <c r="BW411" s="93"/>
      <c r="BX411" s="93">
        <f>ППД5[[#This Row],[Наценка 06.06.24
0К: В2,Г3 +0,5%
1К: А7, Б5/4, Г6 +0,5%
3К: В6 +0,5%
1К: А3 +1%]]+ППД5[[#This Row],[Фикс 24.05.24]]</f>
        <v>96321.669027428114</v>
      </c>
      <c r="BY411" s="93"/>
      <c r="BZ411" s="93">
        <f>ППД5[[#This Row],[Фикс 06.06.24]]+ППД5[[#This Row],[13.06.2024
3К - 2%]]</f>
        <v>96321.669027428114</v>
      </c>
      <c r="CA411" s="47">
        <f>1.5%*ППД5[[#This Row],[Фикс 13.06.24]]</f>
        <v>1444.8250354114216</v>
      </c>
      <c r="CB411" s="93">
        <f>ППД5[[#This Row],[02.07.2024: Г3 А1 А3 Б5 Б7 Г2 Г6 Б3 Б4 В3 Г7 2,5% ост 0,5-1,5%]]+ППД5[[#This Row],[Фикс 13.06.24]]</f>
        <v>97766.494062839542</v>
      </c>
      <c r="CC411" s="93"/>
      <c r="CD411" s="93">
        <f>ППД5[[#This Row],[Фикс 02.07.24]]+ППД5[[#This Row],[04.09.2024 +500
0К - Б2; 1К - А3;
2К - А6, Б4, В3, Г5]]</f>
        <v>97766.494062839542</v>
      </c>
      <c r="CE411" s="93"/>
      <c r="CF411" s="93">
        <f>ППД5[[#This Row],[Наценка 16.09.2024
1К: А1,В7,Г6/7,Г8 - 2%
2К: А4,А5,А6,Б1,Б6,Б3/4,В3,В4,Г4,Г5 - 4%
3К: 4%]]+ППД5[[#This Row],[Фикс 04.09.24]]</f>
        <v>97766.494062839542</v>
      </c>
      <c r="CG411" s="93"/>
      <c r="CH411" s="93">
        <f>ППД5[[#This Row],[Фикс 16.09.2024]]+ППД5[[#This Row],[Наценка 01.11.24
СТ: 4%
1К: 34-40м 5%; 40м+ 8%; МГН 1%
2К: 55-70м 6%; 70-73м 7%; 73-76м 8% 
3К: 5%]]</f>
        <v>97766.494062839542</v>
      </c>
      <c r="CI411" s="93"/>
      <c r="CJ411" s="93">
        <f>ППД5[[#This Row],[Наценка 06.11 13%]]+ППД5[[#This Row],[Фикс 01.11.24]]</f>
        <v>97766.494062839542</v>
      </c>
      <c r="CK411" s="93"/>
      <c r="CL411" s="93">
        <f>ППД5[[#This Row],[Фикс 06.11.24]]+ППД5[[#This Row],[Наценка 18.12.24 распределение КВ]]</f>
        <v>97766.494062839542</v>
      </c>
      <c r="CM411" s="93"/>
      <c r="CN411" s="93">
        <f>ППД5[[#This Row],[Фикс 18.12.24]]+ППД5[[#This Row],[Наценка 10.02.25 +1%
1К: А3
2К: Б3, В3]]</f>
        <v>97766.494062839542</v>
      </c>
      <c r="CO411" s="93">
        <f>ROUND(ППД5[[#This Row],[Фикс 10.02.25]],2)</f>
        <v>97766.49</v>
      </c>
      <c r="CP41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5651000</v>
      </c>
      <c r="CQ411" s="93">
        <f>ROUNDUP(ППД5[[#This Row],[Стоимость до скидки]]+ППД5[[#This Row],[Сумма доплаты]],-2)</f>
        <v>5611900</v>
      </c>
      <c r="CR411" s="68"/>
      <c r="CS411" s="90">
        <v>0.03</v>
      </c>
      <c r="CT411" s="68">
        <f>ППД5[[#This Row],[Стоимость до скидки]]*ППД5[[#This Row],[Скидка %]]+ППД5[[#This Row],[Скидка фиксированная]]</f>
        <v>169530</v>
      </c>
      <c r="CU411" s="3">
        <f>ППД5[[#This Row],[Стоимость ОН без отделки со скидкой]]/ППД5[[#This Row],[Расчетная проектная площадь]]</f>
        <v>94835.121107266445</v>
      </c>
      <c r="CV411" s="3">
        <f>ROUND(ППД5[[#This Row],[Стоимость до скидки]]-ППД5[[#This Row],[Итоговая сумма скидки]],2)</f>
        <v>5481470</v>
      </c>
      <c r="CW41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411" s="197">
        <v>7000</v>
      </c>
      <c r="CY411" s="332">
        <f>ППД5[[#This Row],[Расхождение]]/ППД5[[#This Row],[Расчетная проектная площадь]]</f>
        <v>-6.9204152249134707E-3</v>
      </c>
      <c r="CZ41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-8.9999999999996305E-2</v>
      </c>
      <c r="DA411" s="3">
        <f>ППД5[[#This Row],[Цена м2 без отделки со скидкой]]+ППД5[[#This Row],[Стоимость отделки]]</f>
        <v>101835.12110726644</v>
      </c>
      <c r="DB411" s="3">
        <f>ППД5[[#This Row],[Стоимость квартиры с отделкой]]-ППД5[[#This Row],[Стоимость ОН без отделки со скидкой]]</f>
        <v>404600</v>
      </c>
      <c r="DC411" s="3">
        <f>ППД5[[#This Row],[Цена м2 с отделкой]]*ППД5[[#This Row],[Расчетная проектная площадь]]</f>
        <v>5886070</v>
      </c>
      <c r="DD411" s="3"/>
      <c r="DE411" s="111" t="s">
        <v>162</v>
      </c>
      <c r="DF411" s="199" t="s">
        <v>172</v>
      </c>
      <c r="DG411" s="245" t="s">
        <v>172</v>
      </c>
      <c r="DH411" s="100" t="b">
        <f>EXACT(ППД5[[#This Row],[Статусы CRM]],ППД5[[#This Row],[Статус]])</f>
        <v>1</v>
      </c>
      <c r="DI411" s="213" t="s">
        <v>583</v>
      </c>
      <c r="DJ411" s="204"/>
      <c r="DK411" s="111" t="s">
        <v>763</v>
      </c>
      <c r="DL411" s="216" t="s">
        <v>780</v>
      </c>
      <c r="DM411" s="201" t="b">
        <f>ППД5[[#This Row],[Отделка CRM]]=ППД5[[#This Row],[Отделка]]</f>
        <v>1</v>
      </c>
      <c r="DN411" s="203">
        <v>5886070</v>
      </c>
      <c r="DO41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11" s="207" t="b">
        <f>IF(AND(ППД5[[#This Row],[Статус]]="свободно",ППД5[[#This Row],[Итоговая сумма скидки]]&lt;&gt;0),FALSE,TRUE)</f>
        <v>1</v>
      </c>
      <c r="DQ411" s="240">
        <f>_xlfn.XLOOKUP(ППД5[[#This Row],[№]],Юрист[№ кв],Юрист[Дата подачи на регистрацию]," ",0,-1)</f>
        <v>45516</v>
      </c>
      <c r="DR411" s="115" t="str">
        <f>_xlfn.XLOOKUP(ППД5[[#This Row],[№]],Юрист[№ кв],Юрист[МОП],"",0,-1)</f>
        <v>Дик</v>
      </c>
      <c r="DS411" s="333" t="s">
        <v>3114</v>
      </c>
      <c r="DT411" s="333" t="s">
        <v>3115</v>
      </c>
      <c r="DU411" s="333">
        <v>55.9</v>
      </c>
      <c r="DV411" s="111"/>
    </row>
    <row r="412" spans="1:126" hidden="1" x14ac:dyDescent="0.25">
      <c r="A412" s="112">
        <v>410</v>
      </c>
      <c r="B412" s="111" t="s">
        <v>2</v>
      </c>
      <c r="C412" s="111">
        <v>3</v>
      </c>
      <c r="D412" s="115">
        <v>6</v>
      </c>
      <c r="E412" s="111">
        <v>1</v>
      </c>
      <c r="F412" s="105">
        <v>12.71</v>
      </c>
      <c r="G412" s="105"/>
      <c r="H412" s="105"/>
      <c r="I412" s="94">
        <f>SUM(ППД5[[#This Row],[Комната 1]:[Комната 3]])</f>
        <v>12.71</v>
      </c>
      <c r="J412" s="105">
        <v>12.55</v>
      </c>
      <c r="K412" s="105">
        <v>4.28</v>
      </c>
      <c r="L412" s="105"/>
      <c r="M412" s="105"/>
      <c r="N412" s="105">
        <v>7.34</v>
      </c>
      <c r="O412" s="105">
        <v>2.84</v>
      </c>
      <c r="P412" s="105"/>
      <c r="Q412" s="105"/>
      <c r="R412" s="105">
        <f>SUM(ППД5[[#This Row],[Лоджия 1]:[Лоджия 3]])</f>
        <v>2.84</v>
      </c>
      <c r="S412" s="8">
        <f>ROUND(SUM(ППД5[[#This Row],[Площадь по проекту жилая]:[Лоджия 3]]),2)</f>
        <v>39.72</v>
      </c>
      <c r="T412" s="8">
        <f>ROUND(ППД5[[#This Row],[Площадь по проекту(общая)]]-ППД5[[#This Row],[Летние]],2)</f>
        <v>36.880000000000003</v>
      </c>
      <c r="U412" s="91">
        <f>ROUND(ППД5[[#This Row],[Площадь по проекту(общая)]]-(SUM(ППД5[[#This Row],[Лоджия 1]:[Лоджия 3]])/2),2)</f>
        <v>38.299999999999997</v>
      </c>
      <c r="V412" s="91">
        <f>IF(ППД5[[#This Row],[Статус]]="продажа",ППД5[[#This Row],[Расчетная проектная площадь]],ППД5[[#This Row],[Расчетная ТП площадь]])</f>
        <v>38.299999999999997</v>
      </c>
      <c r="W412" s="91">
        <v>12.6</v>
      </c>
      <c r="X412" s="91"/>
      <c r="Y412" s="91"/>
      <c r="Z412" s="91">
        <f>SUM(ППД5[[#This Row],[ТП Комната 1]:[ТП Комната 3]])</f>
        <v>12.6</v>
      </c>
      <c r="AA412" s="91">
        <v>12.4</v>
      </c>
      <c r="AB412" s="91">
        <v>4.0999999999999996</v>
      </c>
      <c r="AC412" s="91"/>
      <c r="AD412" s="91"/>
      <c r="AE412" s="91">
        <v>7.3</v>
      </c>
      <c r="AF412" s="91">
        <v>1.4</v>
      </c>
      <c r="AG412" s="91"/>
      <c r="AH412" s="91"/>
      <c r="AI412" s="91">
        <f>SUM(ППД5[[#This Row],[ТП Лоджия 1]:[ТП Лоджия 3]])</f>
        <v>1.4</v>
      </c>
      <c r="AJ412" s="95">
        <v>2.8</v>
      </c>
      <c r="AK412" s="91">
        <f>SUM(ППД5[[#This Row],[Площадь по ТП жилая]:[ТП Лоджия 3]])-ППД5[[#This Row],[ТП Летние]]+ППД5[[#This Row],[кроме того прочая
(без коэффициента)]]</f>
        <v>39.199999999999996</v>
      </c>
      <c r="AL412" s="95">
        <f>ППД5[[#This Row],[ТП Площадь без летних]]+(ППД5[[#This Row],[ТП Летние]])</f>
        <v>37.799999999999997</v>
      </c>
      <c r="AM412" s="91">
        <f>ППД5[[#This Row],[ТП общая S]]-ППД5[[#This Row],[кроме того прочая
(без коэффициента)]]</f>
        <v>36.4</v>
      </c>
      <c r="AN412" s="95">
        <f>SUM(ППД5[[#This Row],[ТП Кухня]:[ТП Коридор]])</f>
        <v>23.8</v>
      </c>
      <c r="AO412" s="91">
        <f>ППД5[[#This Row],[Расчетная ТП площадь]]-ППД5[[#This Row],[Расчетная проектная площадь]]</f>
        <v>-0.5</v>
      </c>
      <c r="AP412" s="335">
        <f>ППД5[[#This Row],[Расчетная ТП площадь]]/ППД5[[#This Row],[Расчетная проектная площадь]]-1</f>
        <v>-1.3054830287206221E-2</v>
      </c>
      <c r="AQ412" s="91">
        <f>ППД5[[#This Row],[% расхождения]]*ППД5[[#This Row],[Стоимость до скидки]]</f>
        <v>-50702.349869451522</v>
      </c>
      <c r="AR412" s="91">
        <f>VLOOKUP(ППД5[[#This Row],[№]],наценкад5[],COLUMN(наценкад5[[#This Row],[Цена м2 с учетом всех K]]),0)</f>
        <v>88412.625</v>
      </c>
      <c r="AS412" s="8">
        <f>ППД5[[#This Row],[м2 после К]]*5%</f>
        <v>4420.6312500000004</v>
      </c>
      <c r="AT412" s="8">
        <f>ППД5[[#This Row],[м2 после К]]+ППД5[[#This Row],[Повышение 16.08.23 - 5%]]</f>
        <v>92833.256250000006</v>
      </c>
      <c r="AU412" s="93">
        <f>ППД5[[#This Row],[Фикс 16.08.23]]*3%</f>
        <v>2784.9976875000002</v>
      </c>
      <c r="AV412" s="93">
        <f>ППД5[[#This Row],[Фикс 16.08.23]]+ППД5[[#This Row],[Повышение 29.08.23 - 3%]]</f>
        <v>95618.253937500005</v>
      </c>
      <c r="AW412" s="93">
        <f>ППД5[[#This Row],[Фикс 29.08.23]]*1%</f>
        <v>956.18253937500003</v>
      </c>
      <c r="AX412" s="93">
        <f>ППД5[[#This Row],[Фикс 29.08.23]]+ППД5[[#This Row],[Повышение 06.09.23 СТ и 1К]]</f>
        <v>96574.436476875009</v>
      </c>
      <c r="AY412" s="93"/>
      <c r="AZ412" s="93">
        <f>ППД5[[#This Row],[Повышение 23.10.23  В4 ]]+ППД5[[#This Row],[Фикс 06.09.23]]</f>
        <v>96574.436476875009</v>
      </c>
      <c r="BA412" s="93">
        <f>ППД5[[#This Row],[Фикс 23.10.23]]*5%</f>
        <v>4828.7218238437508</v>
      </c>
      <c r="BB412" s="93">
        <f>ППД5[[#This Row],[Повышение 8.11.23 1К 5%]]+ППД5[[#This Row],[Фикс 23.10.23]]</f>
        <v>101403.15830071876</v>
      </c>
      <c r="BC412" s="93"/>
      <c r="BD412" s="93">
        <f>ППД5[[#This Row],[Корректировка 24.11.23 - 1К В5, 2К А2, №233]]+ППД5[[#This Row],[Фикс 8.11.23]]</f>
        <v>101403.15830071876</v>
      </c>
      <c r="BE412" s="93"/>
      <c r="BF412" s="93">
        <f>ППД5[[#This Row],[Наценка за отделку 29.12.23 1%]]+ППД5[[#This Row],[Фикс 8.11.24]]</f>
        <v>101403.15830071876</v>
      </c>
      <c r="BG412" s="93"/>
      <c r="BH412" s="93">
        <f>ППД5[[#This Row],[Фикс 29.12.23]]+ППД5[[#This Row],[Наценка 10.01.24 5%]]</f>
        <v>101403.15830071876</v>
      </c>
      <c r="BI412" s="93"/>
      <c r="BJ412" s="93">
        <f>ППД5[[#This Row],[Наценка 26.02.24 1 Этаж]]+ППД5[[#This Row],[Фикс 10.01.24]]</f>
        <v>101403.15830071876</v>
      </c>
      <c r="BK412" s="93"/>
      <c r="BL412" s="93">
        <f>ППД5[[#This Row],[Фикс 26.02.24]]+ППД5[[#This Row],[Наценка 06.03.24
СТ, 1К - 3%
2К, 3К - 2%]]</f>
        <v>101403.15830071876</v>
      </c>
      <c r="BM412" s="93"/>
      <c r="BN412" s="93">
        <f>ППД5[[#This Row],[Фикс 06.03.24]]+ППД5[[#This Row],[Наценка Г2+500]]</f>
        <v>101403.15830071876</v>
      </c>
      <c r="BO412" s="93"/>
      <c r="BP412" s="93">
        <f>ППД5[[#This Row],[Фикс 13.03.25]]+ППД5[[#This Row],[Наценка 20.03.24
2К, 3К - 2%]]</f>
        <v>101403.15830071876</v>
      </c>
      <c r="BQ412" s="93"/>
      <c r="BR412" s="93">
        <f>ППД5[[#This Row],[Фикс 20.03.24]]+ППД5[[#This Row],[Наценка 08.04.24 
2К: В3 - 150
3К: Г7 +1000]]</f>
        <v>101403.15830071876</v>
      </c>
      <c r="BS412" s="93"/>
      <c r="BT412" s="93">
        <f>ППД5[[#This Row],[Фикс 08.04.24]]+ППД5[[#This Row],[Наценка 16.05.24 1%
А4,А6,Б3,Б6,Б7,В2,В3,В5,В6,Г1,Г3-Г5]]</f>
        <v>101403.15830071876</v>
      </c>
      <c r="BU412" s="93"/>
      <c r="BV412" s="93">
        <f>ППД5[[#This Row],[Фикс 16.05.24]]+ППД5[[#This Row],[Наценка 24.05.24
1% - Б4, Б5,Г2,Г6
2% - А1,А3,А5,Б2,Г7]]</f>
        <v>101403.15830071876</v>
      </c>
      <c r="BW412" s="93"/>
      <c r="BX412" s="93">
        <f>ППД5[[#This Row],[Наценка 06.06.24
0К: В2,Г3 +0,5%
1К: А7, Б5/4, Г6 +0,5%
3К: В6 +0,5%
1К: А3 +1%]]+ППД5[[#This Row],[Фикс 24.05.24]]</f>
        <v>101403.15830071876</v>
      </c>
      <c r="BY412" s="93"/>
      <c r="BZ412" s="93">
        <f>ППД5[[#This Row],[Фикс 06.06.24]]+ППД5[[#This Row],[13.06.2024
3К - 2%]]</f>
        <v>101403.15830071876</v>
      </c>
      <c r="CA412" s="93"/>
      <c r="CB412" s="93">
        <f>ППД5[[#This Row],[02.07.2024: Г3 А1 А3 Б5 Б7 Г2 Г6 Б3 Б4 В3 Г7 2,5% ост 0,5-1,5%]]+ППД5[[#This Row],[Фикс 13.06.24]]</f>
        <v>101403.15830071876</v>
      </c>
      <c r="CC412" s="93"/>
      <c r="CD412" s="93">
        <f>ППД5[[#This Row],[Фикс 02.07.24]]+ППД5[[#This Row],[04.09.2024 +500
0К - Б2; 1К - А3;
2К - А6, Б4, В3, Г5]]</f>
        <v>101403.15830071876</v>
      </c>
      <c r="CE412" s="93"/>
      <c r="CF412" s="93">
        <f>ППД5[[#This Row],[Наценка 16.09.2024
1К: А1,В7,Г6/7,Г8 - 2%
2К: А4,А5,А6,Б1,Б6,Б3/4,В3,В4,Г4,Г5 - 4%
3К: 4%]]+ППД5[[#This Row],[Фикс 04.09.24]]</f>
        <v>101403.15830071876</v>
      </c>
      <c r="CG412" s="93"/>
      <c r="CH412" s="93">
        <f>ППД5[[#This Row],[Фикс 16.09.2024]]+ППД5[[#This Row],[Наценка 01.11.24
СТ: 4%
1К: 34-40м 5%; 40м+ 8%; МГН 1%
2К: 55-70м 6%; 70-73м 7%; 73-76м 8% 
3К: 5%]]</f>
        <v>101403.15830071876</v>
      </c>
      <c r="CI412" s="93"/>
      <c r="CJ412" s="93">
        <f>ППД5[[#This Row],[Наценка 06.11 13%]]+ППД5[[#This Row],[Фикс 01.11.24]]</f>
        <v>101403.15830071876</v>
      </c>
      <c r="CK412" s="93"/>
      <c r="CL412" s="93">
        <f>ППД5[[#This Row],[Фикс 06.11.24]]+ППД5[[#This Row],[Наценка 18.12.24 распределение КВ]]</f>
        <v>101403.15830071876</v>
      </c>
      <c r="CM412" s="93"/>
      <c r="CN412" s="93">
        <f>ППД5[[#This Row],[Фикс 18.12.24]]+ППД5[[#This Row],[Наценка 10.02.25 +1%
1К: А3
2К: Б3, В3]]</f>
        <v>101403.15830071876</v>
      </c>
      <c r="CO412" s="93">
        <f>ROUND(ППД5[[#This Row],[Фикс 10.02.25]],2)</f>
        <v>101403.16</v>
      </c>
      <c r="CP41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3883800</v>
      </c>
      <c r="CQ412" s="93">
        <f>ROUNDUP(ППД5[[#This Row],[Стоимость до скидки]]+ППД5[[#This Row],[Сумма доплаты]],-2)</f>
        <v>3833100</v>
      </c>
      <c r="CR412" s="68">
        <v>50000</v>
      </c>
      <c r="CS412" s="90"/>
      <c r="CT412" s="68">
        <f>ППД5[[#This Row],[Стоимость до скидки]]*ППД5[[#This Row],[Скидка %]]+ППД5[[#This Row],[Скидка фиксированная]]</f>
        <v>50000</v>
      </c>
      <c r="CU412" s="3">
        <f>ППД5[[#This Row],[Стоимость ОН без отделки со скидкой]]/ППД5[[#This Row],[Расчетная проектная площадь]]</f>
        <v>100099.21671018278</v>
      </c>
      <c r="CV412" s="3">
        <f>ROUND(ППД5[[#This Row],[Стоимость до скидки]]-ППД5[[#This Row],[Итоговая сумма скидки]],2)</f>
        <v>3833800</v>
      </c>
      <c r="CW41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412" s="197">
        <v>7500</v>
      </c>
      <c r="CY412" s="332">
        <f>ППД5[[#This Row],[Расхождение]]/ППД5[[#This Row],[Расчетная проектная площадь]]</f>
        <v>-1.3054830287206267E-2</v>
      </c>
      <c r="CZ41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-0.37000000000000099</v>
      </c>
      <c r="DA412" s="3">
        <f>ППД5[[#This Row],[Цена м2 без отделки со скидкой]]+ППД5[[#This Row],[Стоимость отделки]]</f>
        <v>107599.21671018278</v>
      </c>
      <c r="DB412" s="3">
        <f>ППД5[[#This Row],[Стоимость квартиры с отделкой]]-ППД5[[#This Row],[Стоимость ОН без отделки со скидкой]]</f>
        <v>287250</v>
      </c>
      <c r="DC412" s="3">
        <f>ППД5[[#This Row],[Цена м2 с отделкой]]*ППД5[[#This Row],[Расчетная проектная площадь]]</f>
        <v>4121050</v>
      </c>
      <c r="DD412" s="3"/>
      <c r="DE412" s="111" t="s">
        <v>766</v>
      </c>
      <c r="DF412" s="199" t="s">
        <v>172</v>
      </c>
      <c r="DG412" s="245" t="s">
        <v>172</v>
      </c>
      <c r="DH412" s="100" t="b">
        <f>EXACT(ППД5[[#This Row],[Статусы CRM]],ППД5[[#This Row],[Статус]])</f>
        <v>1</v>
      </c>
      <c r="DI412" s="213" t="s">
        <v>584</v>
      </c>
      <c r="DJ412" s="204"/>
      <c r="DK412" s="111" t="s">
        <v>763</v>
      </c>
      <c r="DL412" s="216" t="s">
        <v>13</v>
      </c>
      <c r="DM412" s="201" t="b">
        <f>ППД5[[#This Row],[Отделка CRM]]=ППД5[[#This Row],[Отделка]]</f>
        <v>1</v>
      </c>
      <c r="DN412" s="203">
        <v>4121050</v>
      </c>
      <c r="DO41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12" s="207" t="b">
        <f>IF(AND(ППД5[[#This Row],[Статус]]="свободно",ППД5[[#This Row],[Итоговая сумма скидки]]&lt;&gt;0),FALSE,TRUE)</f>
        <v>1</v>
      </c>
      <c r="DQ412" s="240">
        <f>_xlfn.XLOOKUP(ППД5[[#This Row],[№]],Юрист[№ кв],Юрист[Дата подачи на регистрацию]," ",0,-1)</f>
        <v>45281</v>
      </c>
      <c r="DR412" s="115" t="str">
        <f>_xlfn.XLOOKUP(ППД5[[#This Row],[№]],Юрист[№ кв],Юрист[МОП],"",0,-1)</f>
        <v>Никишов</v>
      </c>
      <c r="DS412" s="333" t="s">
        <v>3116</v>
      </c>
      <c r="DT412" s="333" t="s">
        <v>3117</v>
      </c>
      <c r="DU412" s="333">
        <v>36.4</v>
      </c>
      <c r="DV412" s="111"/>
    </row>
    <row r="413" spans="1:126" hidden="1" x14ac:dyDescent="0.25">
      <c r="A413" s="112">
        <v>411</v>
      </c>
      <c r="B413" s="111" t="s">
        <v>2</v>
      </c>
      <c r="C413" s="111">
        <v>3</v>
      </c>
      <c r="D413" s="115">
        <v>7</v>
      </c>
      <c r="E413" s="111">
        <v>3</v>
      </c>
      <c r="F413" s="105">
        <v>14.49</v>
      </c>
      <c r="G413" s="105">
        <v>13.98</v>
      </c>
      <c r="H413" s="105">
        <v>11.42</v>
      </c>
      <c r="I413" s="94">
        <f>SUM(ППД5[[#This Row],[Комната 1]:[Комната 3]])</f>
        <v>39.89</v>
      </c>
      <c r="J413" s="105">
        <v>16.670000000000002</v>
      </c>
      <c r="K413" s="105">
        <v>4.1399999999999997</v>
      </c>
      <c r="L413" s="105">
        <v>1.89</v>
      </c>
      <c r="M413" s="105"/>
      <c r="N413" s="105">
        <v>11.31</v>
      </c>
      <c r="O413" s="105">
        <v>2.86</v>
      </c>
      <c r="P413" s="105">
        <v>2.79</v>
      </c>
      <c r="Q413" s="105">
        <v>5.42</v>
      </c>
      <c r="R413" s="105">
        <f>SUM(ППД5[[#This Row],[Лоджия 1]:[Лоджия 3]])</f>
        <v>11.07</v>
      </c>
      <c r="S413" s="8">
        <f>ROUND(SUM(ППД5[[#This Row],[Площадь по проекту жилая]:[Лоджия 3]]),2)</f>
        <v>84.97</v>
      </c>
      <c r="T413" s="8">
        <f>ROUND(ППД5[[#This Row],[Площадь по проекту(общая)]]-ППД5[[#This Row],[Летние]],2)</f>
        <v>73.900000000000006</v>
      </c>
      <c r="U413" s="91">
        <f>ROUND(ППД5[[#This Row],[Площадь по проекту(общая)]]-(SUM(ППД5[[#This Row],[Лоджия 1]:[Лоджия 3]])/2),2)</f>
        <v>79.44</v>
      </c>
      <c r="V413" s="91">
        <f>IF(ППД5[[#This Row],[Статус]]="продажа",ППД5[[#This Row],[Расчетная проектная площадь]],ППД5[[#This Row],[Расчетная ТП площадь]])</f>
        <v>79.05</v>
      </c>
      <c r="W413" s="91">
        <v>11.4</v>
      </c>
      <c r="X413" s="91">
        <v>14.5</v>
      </c>
      <c r="Y413" s="91">
        <v>14</v>
      </c>
      <c r="Z413" s="91">
        <f>SUM(ППД5[[#This Row],[ТП Комната 1]:[ТП Комната 3]])</f>
        <v>39.9</v>
      </c>
      <c r="AA413" s="91">
        <v>16.3</v>
      </c>
      <c r="AB413" s="91">
        <v>1.9</v>
      </c>
      <c r="AC413" s="91">
        <v>4.0999999999999996</v>
      </c>
      <c r="AD413" s="91"/>
      <c r="AE413" s="91">
        <v>11.4</v>
      </c>
      <c r="AF413" s="91">
        <v>1.45</v>
      </c>
      <c r="AG413" s="91">
        <v>2.65</v>
      </c>
      <c r="AH413" s="91">
        <v>1.35</v>
      </c>
      <c r="AI413" s="91">
        <f>SUM(ППД5[[#This Row],[ТП Лоджия 1]:[ТП Лоджия 3]])</f>
        <v>5.4499999999999993</v>
      </c>
      <c r="AJ413" s="95">
        <v>10.899999999999999</v>
      </c>
      <c r="AK413" s="91">
        <f>SUM(ППД5[[#This Row],[Площадь по ТП жилая]:[ТП Лоджия 3]])-ППД5[[#This Row],[ТП Летние]]+ППД5[[#This Row],[кроме того прочая
(без коэффициента)]]</f>
        <v>84.5</v>
      </c>
      <c r="AL413" s="95">
        <f>ППД5[[#This Row],[ТП Площадь без летних]]+(ППД5[[#This Row],[ТП Летние]])</f>
        <v>79.05</v>
      </c>
      <c r="AM413" s="91">
        <f>ППД5[[#This Row],[ТП общая S]]-ППД5[[#This Row],[кроме того прочая
(без коэффициента)]]</f>
        <v>73.599999999999994</v>
      </c>
      <c r="AN413" s="95">
        <f>SUM(ППД5[[#This Row],[ТП Кухня]:[ТП Коридор]])</f>
        <v>33.699999999999996</v>
      </c>
      <c r="AO413" s="91">
        <f>ППД5[[#This Row],[Расчетная ТП площадь]]-ППД5[[#This Row],[Расчетная проектная площадь]]</f>
        <v>-0.39000000000000057</v>
      </c>
      <c r="AP413" s="335">
        <f>ППД5[[#This Row],[Расчетная ТП площадь]]/ППД5[[#This Row],[Расчетная проектная площадь]]-1</f>
        <v>-4.9093655589124152E-3</v>
      </c>
      <c r="AQ413" s="91">
        <f>ППД5[[#This Row],[% расхождения]]*ППД5[[#This Row],[Стоимость до скидки]]</f>
        <v>-48212.915407855267</v>
      </c>
      <c r="AR413" s="91">
        <f>VLOOKUP(ППД5[[#This Row],[№]],наценкад5[],COLUMN(наценкад5[[#This Row],[Цена м2 с учетом всех K]]),0)</f>
        <v>77089.320000000022</v>
      </c>
      <c r="AS413" s="8">
        <f>ППД5[[#This Row],[м2 после К]]*5%</f>
        <v>3854.4660000000013</v>
      </c>
      <c r="AT413" s="8">
        <f>ППД5[[#This Row],[м2 после К]]+ППД5[[#This Row],[Повышение 16.08.23 - 5%]]</f>
        <v>80943.786000000022</v>
      </c>
      <c r="AU413" s="93">
        <f>ППД5[[#This Row],[Фикс 16.08.23]]*3%</f>
        <v>2428.3135800000005</v>
      </c>
      <c r="AV413" s="93">
        <f>ППД5[[#This Row],[Фикс 16.08.23]]+ППД5[[#This Row],[Повышение 29.08.23 - 3%]]</f>
        <v>83372.099580000024</v>
      </c>
      <c r="AW413" s="93"/>
      <c r="AX413" s="93">
        <f>ППД5[[#This Row],[Фикс 29.08.23]]+ППД5[[#This Row],[Повышение 06.09.23 СТ и 1К]]</f>
        <v>83372.099580000024</v>
      </c>
      <c r="AY413" s="93"/>
      <c r="AZ413" s="93">
        <f>ППД5[[#This Row],[Повышение 23.10.23  В4 ]]+ППД5[[#This Row],[Фикс 06.09.23]]</f>
        <v>83372.099580000024</v>
      </c>
      <c r="BA413" s="93"/>
      <c r="BB413" s="93">
        <f>ППД5[[#This Row],[Повышение 8.11.23 1К 5%]]+ППД5[[#This Row],[Фикс 23.10.23]]</f>
        <v>83372.099580000024</v>
      </c>
      <c r="BC413" s="93"/>
      <c r="BD413" s="93">
        <f>ППД5[[#This Row],[Корректировка 24.11.23 - 1К В5, 2К А2, №233]]+ППД5[[#This Row],[Фикс 8.11.23]]</f>
        <v>83372.099580000024</v>
      </c>
      <c r="BE413" s="93">
        <f>ППД5[[#This Row],[Фикс 8.11.24]]*1%</f>
        <v>833.72099580000031</v>
      </c>
      <c r="BF413" s="93">
        <f>ППД5[[#This Row],[Наценка за отделку 29.12.23 1%]]+ППД5[[#This Row],[Фикс 8.11.24]]</f>
        <v>84205.820575800026</v>
      </c>
      <c r="BG413" s="93">
        <f>ППД5[[#This Row],[Фикс 29.12.23]]*5%</f>
        <v>4210.2910287900013</v>
      </c>
      <c r="BH413" s="93">
        <f>ППД5[[#This Row],[Фикс 29.12.23]]+ППД5[[#This Row],[Наценка 10.01.24 5%]]</f>
        <v>88416.111604590027</v>
      </c>
      <c r="BI413" s="93"/>
      <c r="BJ413" s="93">
        <f>ППД5[[#This Row],[Наценка 26.02.24 1 Этаж]]+ППД5[[#This Row],[Фикс 10.01.24]]</f>
        <v>88416.111604590027</v>
      </c>
      <c r="BK413" s="93">
        <f>ППД5[[#This Row],[Фикс 26.02.24]]*2%</f>
        <v>1768.3222320918005</v>
      </c>
      <c r="BL413" s="93">
        <f>ППД5[[#This Row],[Фикс 26.02.24]]+ППД5[[#This Row],[Наценка 06.03.24
СТ, 1К - 3%
2К, 3К - 2%]]</f>
        <v>90184.433836681827</v>
      </c>
      <c r="BM413" s="93"/>
      <c r="BN413" s="93">
        <f>ППД5[[#This Row],[Фикс 06.03.24]]+ППД5[[#This Row],[Наценка Г2+500]]</f>
        <v>90184.433836681827</v>
      </c>
      <c r="BO413" s="93">
        <f>ППД5[[#This Row],[Фикс 13.03.25]]*2%</f>
        <v>1803.6886767336366</v>
      </c>
      <c r="BP413" s="93">
        <f>ППД5[[#This Row],[Фикс 13.03.25]]+ППД5[[#This Row],[Наценка 20.03.24
2К, 3К - 2%]]</f>
        <v>91988.122513415467</v>
      </c>
      <c r="BQ413" s="93">
        <v>1000</v>
      </c>
      <c r="BR413" s="93">
        <f>ППД5[[#This Row],[Фикс 20.03.24]]+ППД5[[#This Row],[Наценка 08.04.24 
2К: В3 - 150
3К: Г7 +1000]]</f>
        <v>92988.122513415467</v>
      </c>
      <c r="BS413" s="93">
        <f>ППД5[[#This Row],[Фикс 08.04.24]]*1%</f>
        <v>929.88122513415465</v>
      </c>
      <c r="BT413" s="93">
        <f>ППД5[[#This Row],[Фикс 08.04.24]]+ППД5[[#This Row],[Наценка 16.05.24 1%
А4,А6,Б3,Б6,Б7,В2,В3,В5,В6,Г1,Г3-Г5]]</f>
        <v>93918.003738549625</v>
      </c>
      <c r="BU413" s="93">
        <f>ППД5[[#This Row],[Фикс 16.05.24]]*2%</f>
        <v>1878.3600747709925</v>
      </c>
      <c r="BV413" s="93">
        <f>ППД5[[#This Row],[Фикс 16.05.24]]+ППД5[[#This Row],[Наценка 24.05.24
1% - Б4, Б5,Г2,Г6
2% - А1,А3,А5,Б2,Г7]]</f>
        <v>95796.363813320611</v>
      </c>
      <c r="BW413" s="93"/>
      <c r="BX413" s="93">
        <f>ППД5[[#This Row],[Наценка 06.06.24
0К: В2,Г3 +0,5%
1К: А7, Б5/4, Г6 +0,5%
3К: В6 +0,5%
1К: А3 +1%]]+ППД5[[#This Row],[Фикс 24.05.24]]</f>
        <v>95796.363813320611</v>
      </c>
      <c r="BY413" s="93">
        <f>ППД5[[#This Row],[Фикс 06.06.24]]*2%</f>
        <v>1915.9272762664123</v>
      </c>
      <c r="BZ413" s="93">
        <f>ППД5[[#This Row],[Фикс 06.06.24]]+ППД5[[#This Row],[13.06.2024
3К - 2%]]</f>
        <v>97712.29108958703</v>
      </c>
      <c r="CA413" s="93">
        <f>2.5%*ППД5[[#This Row],[Фикс 13.06.24]]</f>
        <v>2442.8072772396758</v>
      </c>
      <c r="CB413" s="93">
        <f>ППД5[[#This Row],[02.07.2024: Г3 А1 А3 Б5 Б7 Г2 Г6 Б3 Б4 В3 Г7 2,5% ост 0,5-1,5%]]+ППД5[[#This Row],[Фикс 13.06.24]]</f>
        <v>100155.0983668267</v>
      </c>
      <c r="CC413" s="93"/>
      <c r="CD413" s="93">
        <f>ППД5[[#This Row],[Фикс 02.07.24]]+ППД5[[#This Row],[04.09.2024 +500
0К - Б2; 1К - А3;
2К - А6, Б4, В3, Г5]]</f>
        <v>100155.0983668267</v>
      </c>
      <c r="CE413" s="93">
        <f>ППД5[[#This Row],[Фикс 04.09.24]]*4%</f>
        <v>4006.203934673068</v>
      </c>
      <c r="CF413" s="93">
        <f>ППД5[[#This Row],[Наценка 16.09.2024
1К: А1,В7,Г6/7,Г8 - 2%
2К: А4,А5,А6,Б1,Б6,Б3/4,В3,В4,Г4,Г5 - 4%
3К: 4%]]+ППД5[[#This Row],[Фикс 04.09.24]]</f>
        <v>104161.30230149977</v>
      </c>
      <c r="CG413" s="93">
        <f>ППД5[[#This Row],[Фикс 16.09.2024]]*5%</f>
        <v>5208.0651150749891</v>
      </c>
      <c r="CH413" s="93">
        <f>ППД5[[#This Row],[Фикс 16.09.2024]]+ППД5[[#This Row],[Наценка 01.11.24
СТ: 4%
1К: 34-40м 5%; 40м+ 8%; МГН 1%
2К: 55-70м 6%; 70-73м 7%; 73-76м 8% 
3К: 5%]]</f>
        <v>109369.36741657477</v>
      </c>
      <c r="CI413" s="93">
        <f>ППД5[[#This Row],[Фикс 01.11.24]]*13%</f>
        <v>14218.01776415472</v>
      </c>
      <c r="CJ413" s="93">
        <f>ППД5[[#This Row],[Наценка 06.11 13%]]+ППД5[[#This Row],[Фикс 01.11.24]]</f>
        <v>123587.38518072949</v>
      </c>
      <c r="CK413" s="93">
        <v>35</v>
      </c>
      <c r="CL413" s="93">
        <f>ППД5[[#This Row],[Фикс 06.11.24]]+ППД5[[#This Row],[Наценка 18.12.24 распределение КВ]]</f>
        <v>123622.38518072949</v>
      </c>
      <c r="CM413" s="93"/>
      <c r="CN413" s="93">
        <f>ППД5[[#This Row],[Фикс 18.12.24]]+ППД5[[#This Row],[Наценка 10.02.25 +1%
1К: А3
2К: Б3, В3]]</f>
        <v>123622.38518072949</v>
      </c>
      <c r="CO413" s="93">
        <f>ROUND(ППД5[[#This Row],[Фикс 10.02.25]],2)</f>
        <v>123622.39</v>
      </c>
      <c r="CP41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9820600</v>
      </c>
      <c r="CQ413" s="93">
        <f>ROUNDUP(ППД5[[#This Row],[Стоимость до скидки]]+ППД5[[#This Row],[Сумма доплаты]],-2)</f>
        <v>9772400</v>
      </c>
      <c r="CR413" s="68"/>
      <c r="CS413" s="90"/>
      <c r="CT413" s="68">
        <f>ППД5[[#This Row],[Стоимость до скидки]]*ППД5[[#This Row],[Скидка %]]+ППД5[[#This Row],[Скидка фиксированная]]</f>
        <v>0</v>
      </c>
      <c r="CU413" s="3">
        <f>ППД5[[#This Row],[Стоимость ОН без отделки со скидкой]]/ППД5[[#This Row],[Расчетная проектная площадь]]</f>
        <v>123622.86002014099</v>
      </c>
      <c r="CV413" s="3">
        <f>ROUND(ППД5[[#This Row],[Стоимость до скидки]]-ППД5[[#This Row],[Итоговая сумма скидки]],2)</f>
        <v>9820600</v>
      </c>
      <c r="CW41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13" s="197"/>
      <c r="CY413" s="332">
        <f>ППД5[[#This Row],[Расхождение]]/ППД5[[#This Row],[Расчетная проектная площадь]]</f>
        <v>-4.9093655589123944E-3</v>
      </c>
      <c r="CZ41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-0.31000000000000938</v>
      </c>
      <c r="DA413" s="3">
        <f>ППД5[[#This Row],[Цена м2 без отделки со скидкой]]+ППД5[[#This Row],[Стоимость отделки]]</f>
        <v>123622.86002014099</v>
      </c>
      <c r="DB413" s="3">
        <f>ППД5[[#This Row],[Стоимость квартиры с отделкой]]-ППД5[[#This Row],[Стоимость ОН без отделки со скидкой]]</f>
        <v>0</v>
      </c>
      <c r="DC413" s="3">
        <f>ППД5[[#This Row],[Цена м2 с отделкой]]*ППД5[[#This Row],[Расчетная проектная площадь]]</f>
        <v>9820600</v>
      </c>
      <c r="DD413" s="3" t="s">
        <v>155</v>
      </c>
      <c r="DF413" s="199" t="s">
        <v>157</v>
      </c>
      <c r="DG413" s="245" t="s">
        <v>157</v>
      </c>
      <c r="DH413" s="100" t="b">
        <f>EXACT(ППД5[[#This Row],[Статусы CRM]],ППД5[[#This Row],[Статус]])</f>
        <v>1</v>
      </c>
      <c r="DI413" s="213" t="s">
        <v>585</v>
      </c>
      <c r="DJ413" s="204"/>
      <c r="DK413" s="111" t="s">
        <v>763</v>
      </c>
      <c r="DL413" s="216" t="s">
        <v>12</v>
      </c>
      <c r="DM413" s="201" t="b">
        <f>ППД5[[#This Row],[Отделка CRM]]=ППД5[[#This Row],[Отделка]]</f>
        <v>1</v>
      </c>
      <c r="DN413" s="203">
        <v>9820600</v>
      </c>
      <c r="DO41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13" s="207" t="b">
        <f>IF(AND(ППД5[[#This Row],[Статус]]="свободно",ППД5[[#This Row],[Итоговая сумма скидки]]&lt;&gt;0),FALSE,TRUE)</f>
        <v>1</v>
      </c>
      <c r="DQ413" s="240" t="str">
        <f>_xlfn.XLOOKUP(ППД5[[#This Row],[№]],Юрист[№ кв],Юрист[Дата подачи на регистрацию]," ",0,-1)</f>
        <v xml:space="preserve"> </v>
      </c>
      <c r="DR413" s="115" t="str">
        <f>_xlfn.XLOOKUP(ППД5[[#This Row],[№]],Юрист[№ кв],Юрист[МОП],"",0,-1)</f>
        <v/>
      </c>
      <c r="DS413" s="333" t="s">
        <v>3118</v>
      </c>
      <c r="DT413" s="333" t="s">
        <v>3119</v>
      </c>
      <c r="DU413" s="333">
        <v>73.599999999999994</v>
      </c>
      <c r="DV413" s="111"/>
    </row>
    <row r="414" spans="1:126" hidden="1" x14ac:dyDescent="0.25">
      <c r="A414" s="112">
        <v>412</v>
      </c>
      <c r="B414" s="111" t="s">
        <v>2</v>
      </c>
      <c r="C414" s="111">
        <v>3</v>
      </c>
      <c r="D414" s="115">
        <v>8</v>
      </c>
      <c r="E414" s="111">
        <v>1</v>
      </c>
      <c r="F414" s="105">
        <v>16.79</v>
      </c>
      <c r="G414" s="105"/>
      <c r="H414" s="105"/>
      <c r="I414" s="94">
        <f>SUM(ППД5[[#This Row],[Комната 1]:[Комната 3]])</f>
        <v>16.79</v>
      </c>
      <c r="J414" s="105">
        <v>11.43</v>
      </c>
      <c r="K414" s="105">
        <v>3.56</v>
      </c>
      <c r="L414" s="105"/>
      <c r="M414" s="105"/>
      <c r="N414" s="105">
        <v>6.66</v>
      </c>
      <c r="O414" s="105">
        <v>2.4900000000000002</v>
      </c>
      <c r="P414" s="105"/>
      <c r="Q414" s="105"/>
      <c r="R414" s="105">
        <f>SUM(ППД5[[#This Row],[Лоджия 1]:[Лоджия 3]])</f>
        <v>2.4900000000000002</v>
      </c>
      <c r="S414" s="8">
        <f>ROUND(SUM(ППД5[[#This Row],[Площадь по проекту жилая]:[Лоджия 3]]),2)</f>
        <v>40.93</v>
      </c>
      <c r="T414" s="8">
        <f>ROUND(ППД5[[#This Row],[Площадь по проекту(общая)]]-ППД5[[#This Row],[Летние]],2)</f>
        <v>38.44</v>
      </c>
      <c r="U414" s="91">
        <f>ROUND(ППД5[[#This Row],[Площадь по проекту(общая)]]-(SUM(ППД5[[#This Row],[Лоджия 1]:[Лоджия 3]])/2),2)</f>
        <v>39.69</v>
      </c>
      <c r="V414" s="91">
        <f>IF(ППД5[[#This Row],[Статус]]="продажа",ППД5[[#This Row],[Расчетная проектная площадь]],ППД5[[#This Row],[Расчетная ТП площадь]])</f>
        <v>39.69</v>
      </c>
      <c r="W414" s="91">
        <v>16.8</v>
      </c>
      <c r="X414" s="91"/>
      <c r="Y414" s="91"/>
      <c r="Z414" s="91">
        <f>SUM(ППД5[[#This Row],[ТП Комната 1]:[ТП Комната 3]])</f>
        <v>16.8</v>
      </c>
      <c r="AA414" s="91">
        <v>11.4</v>
      </c>
      <c r="AB414" s="91">
        <v>3.5</v>
      </c>
      <c r="AC414" s="91"/>
      <c r="AD414" s="91"/>
      <c r="AE414" s="91">
        <v>6.6</v>
      </c>
      <c r="AF414" s="92">
        <v>1.25</v>
      </c>
      <c r="AG414" s="91"/>
      <c r="AH414" s="91"/>
      <c r="AI414" s="91">
        <f>SUM(ППД5[[#This Row],[ТП Лоджия 1]:[ТП Лоджия 3]])</f>
        <v>1.25</v>
      </c>
      <c r="AJ414" s="95">
        <v>2.5</v>
      </c>
      <c r="AK414" s="91">
        <f>SUM(ППД5[[#This Row],[Площадь по ТП жилая]:[ТП Лоджия 3]])-ППД5[[#This Row],[ТП Летние]]+ППД5[[#This Row],[кроме того прочая
(без коэффициента)]]</f>
        <v>40.800000000000004</v>
      </c>
      <c r="AL414" s="95">
        <f>ППД5[[#This Row],[ТП Площадь без летних]]+(ППД5[[#This Row],[ТП Летние]])</f>
        <v>39.550000000000004</v>
      </c>
      <c r="AM414" s="91">
        <f>ППД5[[#This Row],[ТП общая S]]-ППД5[[#This Row],[кроме того прочая
(без коэффициента)]]</f>
        <v>38.300000000000004</v>
      </c>
      <c r="AN414" s="95">
        <f>SUM(ППД5[[#This Row],[ТП Кухня]:[ТП Коридор]])</f>
        <v>21.5</v>
      </c>
      <c r="AO414" s="91">
        <f>ППД5[[#This Row],[Расчетная ТП площадь]]-ППД5[[#This Row],[Расчетная проектная площадь]]</f>
        <v>-0.13999999999999346</v>
      </c>
      <c r="AP414" s="335">
        <f>ППД5[[#This Row],[Расчетная ТП площадь]]/ППД5[[#This Row],[Расчетная проектная площадь]]-1</f>
        <v>-3.5273368606700828E-3</v>
      </c>
      <c r="AQ414" s="91">
        <f>ППД5[[#This Row],[% расхождения]]*ППД5[[#This Row],[Стоимость до скидки]]</f>
        <v>-12956.711604937864</v>
      </c>
      <c r="AR414" s="91">
        <f>VLOOKUP(ППД5[[#This Row],[№]],наценкад5[],COLUMN(наценкад5[[#This Row],[Цена м2 с учетом всех K]]),0)</f>
        <v>85573.6875</v>
      </c>
      <c r="AS414" s="8">
        <f>ППД5[[#This Row],[м2 после К]]*5%</f>
        <v>4278.6843749999998</v>
      </c>
      <c r="AT414" s="8">
        <f>ППД5[[#This Row],[м2 после К]]+ППД5[[#This Row],[Повышение 16.08.23 - 5%]]</f>
        <v>89852.371874999997</v>
      </c>
      <c r="AU414" s="93">
        <f>ППД5[[#This Row],[Фикс 16.08.23]]*3%</f>
        <v>2695.5711562499996</v>
      </c>
      <c r="AV414" s="93">
        <f>ППД5[[#This Row],[Фикс 16.08.23]]+ППД5[[#This Row],[Повышение 29.08.23 - 3%]]</f>
        <v>92547.94303124999</v>
      </c>
      <c r="AW414" s="93"/>
      <c r="AX414" s="93">
        <f>ППД5[[#This Row],[Фикс 29.08.23]]+ППД5[[#This Row],[Повышение 06.09.23 СТ и 1К]]</f>
        <v>92547.94303124999</v>
      </c>
      <c r="AY414" s="93"/>
      <c r="AZ414" s="93">
        <f>ППД5[[#This Row],[Повышение 23.10.23  В4 ]]+ППД5[[#This Row],[Фикс 06.09.23]]</f>
        <v>92547.94303124999</v>
      </c>
      <c r="BA414" s="93"/>
      <c r="BB414" s="93">
        <f>ППД5[[#This Row],[Повышение 8.11.23 1К 5%]]+ППД5[[#This Row],[Фикс 23.10.23]]</f>
        <v>92547.94303124999</v>
      </c>
      <c r="BC414" s="93"/>
      <c r="BD414" s="93">
        <f>ППД5[[#This Row],[Корректировка 24.11.23 - 1К В5, 2К А2, №233]]+ППД5[[#This Row],[Фикс 8.11.23]]</f>
        <v>92547.94303124999</v>
      </c>
      <c r="BE414" s="93"/>
      <c r="BF414" s="93">
        <f>ППД5[[#This Row],[Наценка за отделку 29.12.23 1%]]+ППД5[[#This Row],[Фикс 8.11.24]]</f>
        <v>92547.94303124999</v>
      </c>
      <c r="BG414" s="93"/>
      <c r="BH414" s="93">
        <f>ППД5[[#This Row],[Фикс 29.12.23]]+ППД5[[#This Row],[Наценка 10.01.24 5%]]</f>
        <v>92547.94303124999</v>
      </c>
      <c r="BI414" s="93"/>
      <c r="BJ414" s="93">
        <f>ППД5[[#This Row],[Наценка 26.02.24 1 Этаж]]+ППД5[[#This Row],[Фикс 10.01.24]]</f>
        <v>92547.94303124999</v>
      </c>
      <c r="BK414" s="93"/>
      <c r="BL414" s="93">
        <f>ППД5[[#This Row],[Фикс 26.02.24]]+ППД5[[#This Row],[Наценка 06.03.24
СТ, 1К - 3%
2К, 3К - 2%]]</f>
        <v>92547.94303124999</v>
      </c>
      <c r="BM414" s="93"/>
      <c r="BN414" s="93">
        <f>ППД5[[#This Row],[Фикс 06.03.24]]+ППД5[[#This Row],[Наценка Г2+500]]</f>
        <v>92547.94303124999</v>
      </c>
      <c r="BO414" s="93"/>
      <c r="BP414" s="93">
        <f>ППД5[[#This Row],[Фикс 13.03.25]]+ППД5[[#This Row],[Наценка 20.03.24
2К, 3К - 2%]]</f>
        <v>92547.94303124999</v>
      </c>
      <c r="BQ414" s="93"/>
      <c r="BR414" s="93">
        <f>ППД5[[#This Row],[Фикс 20.03.24]]+ППД5[[#This Row],[Наценка 08.04.24 
2К: В3 - 150
3К: Г7 +1000]]</f>
        <v>92547.94303124999</v>
      </c>
      <c r="BS414" s="93"/>
      <c r="BT414" s="93">
        <f>ППД5[[#This Row],[Фикс 08.04.24]]+ППД5[[#This Row],[Наценка 16.05.24 1%
А4,А6,Б3,Б6,Б7,В2,В3,В5,В6,Г1,Г3-Г5]]</f>
        <v>92547.94303124999</v>
      </c>
      <c r="BU414" s="93"/>
      <c r="BV414" s="93">
        <f>ППД5[[#This Row],[Фикс 16.05.24]]+ППД5[[#This Row],[Наценка 24.05.24
1% - Б4, Б5,Г2,Г6
2% - А1,А3,А5,Б2,Г7]]</f>
        <v>92547.94303124999</v>
      </c>
      <c r="BW414" s="93"/>
      <c r="BX414" s="93">
        <f>ППД5[[#This Row],[Наценка 06.06.24
0К: В2,Г3 +0,5%
1К: А7, Б5/4, Г6 +0,5%
3К: В6 +0,5%
1К: А3 +1%]]+ППД5[[#This Row],[Фикс 24.05.24]]</f>
        <v>92547.94303124999</v>
      </c>
      <c r="BY414" s="93"/>
      <c r="BZ414" s="93">
        <f>ППД5[[#This Row],[Фикс 06.06.24]]+ППД5[[#This Row],[13.06.2024
3К - 2%]]</f>
        <v>92547.94303124999</v>
      </c>
      <c r="CA414" s="93"/>
      <c r="CB414" s="93">
        <f>ППД5[[#This Row],[02.07.2024: Г3 А1 А3 Б5 Б7 Г2 Г6 Б3 Б4 В3 Г7 2,5% ост 0,5-1,5%]]+ППД5[[#This Row],[Фикс 13.06.24]]</f>
        <v>92547.94303124999</v>
      </c>
      <c r="CC414" s="93"/>
      <c r="CD414" s="93">
        <f>ППД5[[#This Row],[Фикс 02.07.24]]+ППД5[[#This Row],[04.09.2024 +500
0К - Б2; 1К - А3;
2К - А6, Б4, В3, Г5]]</f>
        <v>92547.94303124999</v>
      </c>
      <c r="CE414" s="93"/>
      <c r="CF414" s="93">
        <f>ППД5[[#This Row],[Наценка 16.09.2024
1К: А1,В7,Г6/7,Г8 - 2%
2К: А4,А5,А6,Б1,Б6,Б3/4,В3,В4,Г4,Г5 - 4%
3К: 4%]]+ППД5[[#This Row],[Фикс 04.09.24]]</f>
        <v>92547.94303124999</v>
      </c>
      <c r="CG414" s="93"/>
      <c r="CH414" s="93">
        <f>ППД5[[#This Row],[Фикс 16.09.2024]]+ППД5[[#This Row],[Наценка 01.11.24
СТ: 4%
1К: 34-40м 5%; 40м+ 8%; МГН 1%
2К: 55-70м 6%; 70-73м 7%; 73-76м 8% 
3К: 5%]]</f>
        <v>92547.94303124999</v>
      </c>
      <c r="CI414" s="93"/>
      <c r="CJ414" s="93">
        <f>ППД5[[#This Row],[Наценка 06.11 13%]]+ППД5[[#This Row],[Фикс 01.11.24]]</f>
        <v>92547.94303124999</v>
      </c>
      <c r="CK414" s="93"/>
      <c r="CL414" s="93">
        <f>ППД5[[#This Row],[Фикс 06.11.24]]+ППД5[[#This Row],[Наценка 18.12.24 распределение КВ]]</f>
        <v>92547.94303124999</v>
      </c>
      <c r="CM414" s="93"/>
      <c r="CN414" s="93">
        <f>ППД5[[#This Row],[Фикс 18.12.24]]+ППД5[[#This Row],[Наценка 10.02.25 +1%
1К: А3
2К: Б3, В3]]</f>
        <v>92547.94303124999</v>
      </c>
      <c r="CO414" s="93">
        <f>ROUND(ППД5[[#This Row],[Фикс 10.02.25]],2)</f>
        <v>92547.94</v>
      </c>
      <c r="CP41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3673227.74</v>
      </c>
      <c r="CQ414" s="93">
        <f>ROUNDUP(ППД5[[#This Row],[Стоимость до скидки]]+ППД5[[#This Row],[Сумма доплаты]],-2)</f>
        <v>3660300</v>
      </c>
      <c r="CR414" s="68"/>
      <c r="CS414" s="90"/>
      <c r="CT414" s="68">
        <f>ППД5[[#This Row],[Стоимость до скидки]]*ППД5[[#This Row],[Скидка %]]+ППД5[[#This Row],[Скидка фиксированная]]</f>
        <v>0</v>
      </c>
      <c r="CU414" s="3">
        <f>ППД5[[#This Row],[Стоимость ОН без отделки со скидкой]]/ППД5[[#This Row],[Расчетная проектная площадь]]</f>
        <v>92547.940035273379</v>
      </c>
      <c r="CV414" s="3">
        <f>ROUND(ППД5[[#This Row],[Стоимость до скидки]]-ППД5[[#This Row],[Итоговая сумма скидки]],2)</f>
        <v>3673227.74</v>
      </c>
      <c r="CW41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14" s="197"/>
      <c r="CY414" s="332">
        <f>ППД5[[#This Row],[Расхождение]]/ППД5[[#This Row],[Расчетная проектная площадь]]</f>
        <v>-3.5273368606700294E-3</v>
      </c>
      <c r="CZ41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-0.15000000000000036</v>
      </c>
      <c r="DA414" s="3">
        <f>ППД5[[#This Row],[Цена м2 без отделки со скидкой]]+ППД5[[#This Row],[Стоимость отделки]]</f>
        <v>92547.940035273379</v>
      </c>
      <c r="DB414" s="3">
        <f>ППД5[[#This Row],[Стоимость квартиры с отделкой]]-ППД5[[#This Row],[Стоимость ОН без отделки со скидкой]]</f>
        <v>0</v>
      </c>
      <c r="DC414" s="3">
        <f>ППД5[[#This Row],[Цена м2 с отделкой]]*ППД5[[#This Row],[Расчетная проектная площадь]]</f>
        <v>3673227.74</v>
      </c>
      <c r="DD414" s="3"/>
      <c r="DF414" s="199" t="s">
        <v>172</v>
      </c>
      <c r="DG414" s="245" t="s">
        <v>172</v>
      </c>
      <c r="DH414" s="100" t="b">
        <f>EXACT(ППД5[[#This Row],[Статусы CRM]],ППД5[[#This Row],[Статус]])</f>
        <v>1</v>
      </c>
      <c r="DI414" s="213" t="s">
        <v>586</v>
      </c>
      <c r="DJ414" s="204"/>
      <c r="DK414" s="111" t="s">
        <v>76</v>
      </c>
      <c r="DL414" s="216" t="s">
        <v>12</v>
      </c>
      <c r="DM414" s="201" t="b">
        <f>ППД5[[#This Row],[Отделка CRM]]=ППД5[[#This Row],[Отделка]]</f>
        <v>1</v>
      </c>
      <c r="DN414" s="203">
        <v>3673227.74</v>
      </c>
      <c r="DO41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14" s="207" t="b">
        <f>IF(AND(ППД5[[#This Row],[Статус]]="свободно",ППД5[[#This Row],[Итоговая сумма скидки]]&lt;&gt;0),FALSE,TRUE)</f>
        <v>1</v>
      </c>
      <c r="DQ414" s="240">
        <f>_xlfn.XLOOKUP(ППД5[[#This Row],[№]],Юрист[№ кв],Юрист[Дата подачи на регистрацию]," ",0,-1)</f>
        <v>45188</v>
      </c>
      <c r="DR414" s="115" t="str">
        <f>_xlfn.XLOOKUP(ППД5[[#This Row],[№]],Юрист[№ кв],Юрист[МОП],"",0,-1)</f>
        <v>Кофанова</v>
      </c>
      <c r="DS414" s="333" t="s">
        <v>3120</v>
      </c>
      <c r="DT414" s="333" t="s">
        <v>3121</v>
      </c>
      <c r="DU414" s="333">
        <v>38.299999999999997</v>
      </c>
      <c r="DV414" s="111"/>
    </row>
    <row r="415" spans="1:126" hidden="1" x14ac:dyDescent="0.25">
      <c r="A415" s="112">
        <v>413</v>
      </c>
      <c r="B415" s="111" t="s">
        <v>2</v>
      </c>
      <c r="C415" s="111">
        <v>4</v>
      </c>
      <c r="D415" s="338">
        <v>1</v>
      </c>
      <c r="E415" s="111">
        <v>0</v>
      </c>
      <c r="F415" s="105">
        <v>13.74</v>
      </c>
      <c r="G415" s="105"/>
      <c r="H415" s="105"/>
      <c r="I415" s="94">
        <f>SUM(ППД5[[#This Row],[Комната 1]:[Комната 3]])</f>
        <v>13.74</v>
      </c>
      <c r="J415" s="105">
        <v>5.84</v>
      </c>
      <c r="K415" s="105">
        <v>3.76</v>
      </c>
      <c r="L415" s="105"/>
      <c r="M415" s="105"/>
      <c r="N415" s="105">
        <v>3.73</v>
      </c>
      <c r="O415" s="105">
        <v>4.6500000000000004</v>
      </c>
      <c r="P415" s="105"/>
      <c r="Q415" s="105"/>
      <c r="R415" s="105">
        <f>SUM(ППД5[[#This Row],[Лоджия 1]:[Лоджия 3]])</f>
        <v>4.6500000000000004</v>
      </c>
      <c r="S415" s="8">
        <f>ROUND(SUM(ППД5[[#This Row],[Площадь по проекту жилая]:[Лоджия 3]]),2)</f>
        <v>31.72</v>
      </c>
      <c r="T415" s="8">
        <f>ROUND(ППД5[[#This Row],[Площадь по проекту(общая)]]-ППД5[[#This Row],[Летние]],2)</f>
        <v>27.07</v>
      </c>
      <c r="U415" s="91">
        <f>ROUND(ППД5[[#This Row],[Площадь по проекту(общая)]]-(SUM(ППД5[[#This Row],[Лоджия 1]:[Лоджия 3]])/2),2)</f>
        <v>29.4</v>
      </c>
      <c r="V415" s="91">
        <f>IF(ППД5[[#This Row],[Статус]]="продажа",ППД5[[#This Row],[Расчетная проектная площадь]],ППД5[[#This Row],[Расчетная ТП площадь]])</f>
        <v>29.4</v>
      </c>
      <c r="W415" s="91">
        <v>13.7</v>
      </c>
      <c r="X415" s="91"/>
      <c r="Y415" s="91"/>
      <c r="Z415" s="91">
        <f>SUM(ППД5[[#This Row],[ТП Комната 1]:[ТП Комната 3]])</f>
        <v>13.7</v>
      </c>
      <c r="AA415" s="91">
        <v>5.8</v>
      </c>
      <c r="AB415" s="91">
        <v>3.7</v>
      </c>
      <c r="AC415" s="91"/>
      <c r="AD415" s="91"/>
      <c r="AE415" s="91">
        <v>3.7</v>
      </c>
      <c r="AF415" s="91">
        <v>2.2999999999999998</v>
      </c>
      <c r="AG415" s="91"/>
      <c r="AH415" s="91"/>
      <c r="AI415" s="91">
        <f>SUM(ППД5[[#This Row],[ТП Лоджия 1]:[ТП Лоджия 3]])</f>
        <v>2.2999999999999998</v>
      </c>
      <c r="AJ415" s="95">
        <v>4.5999999999999996</v>
      </c>
      <c r="AK415" s="91">
        <f>SUM(ППД5[[#This Row],[Площадь по ТП жилая]:[ТП Лоджия 3]])-ППД5[[#This Row],[ТП Летние]]+ППД5[[#This Row],[кроме того прочая
(без коэффициента)]]</f>
        <v>31.5</v>
      </c>
      <c r="AL415" s="95">
        <f>ППД5[[#This Row],[ТП Площадь без летних]]+(ППД5[[#This Row],[ТП Летние]])</f>
        <v>29.2</v>
      </c>
      <c r="AM415" s="91">
        <f>ППД5[[#This Row],[ТП общая S]]-ППД5[[#This Row],[кроме того прочая
(без коэффициента)]]</f>
        <v>26.9</v>
      </c>
      <c r="AN415" s="95">
        <f>SUM(ППД5[[#This Row],[ТП Кухня]:[ТП Коридор]])</f>
        <v>13.2</v>
      </c>
      <c r="AO415" s="91">
        <f>ППД5[[#This Row],[Расчетная ТП площадь]]-ППД5[[#This Row],[Расчетная проектная площадь]]</f>
        <v>-0.19999999999999929</v>
      </c>
      <c r="AP415" s="335">
        <f>ППД5[[#This Row],[Расчетная ТП площадь]]/ППД5[[#This Row],[Расчетная проектная площадь]]-1</f>
        <v>-6.8027210884353817E-3</v>
      </c>
      <c r="AQ415" s="91">
        <f>ППД5[[#This Row],[% расхождения]]*ППД5[[#This Row],[Стоимость до скидки]]</f>
        <v>-18045.910000000022</v>
      </c>
      <c r="AR415" s="91">
        <f>VLOOKUP(ППД5[[#This Row],[№]],наценкад5[],COLUMN(наценкад5[[#This Row],[Цена м2 с учетом всех K]]),0)</f>
        <v>90229.544999999998</v>
      </c>
      <c r="AS415" s="8"/>
      <c r="AT415" s="8">
        <f>ППД5[[#This Row],[м2 после К]]+ППД5[[#This Row],[Повышение 16.08.23 - 5%]]</f>
        <v>90229.544999999998</v>
      </c>
      <c r="AU415" s="93"/>
      <c r="AV415" s="93">
        <f>ППД5[[#This Row],[Фикс 16.08.23]]+ППД5[[#This Row],[Повышение 29.08.23 - 3%]]</f>
        <v>90229.544999999998</v>
      </c>
      <c r="AW415" s="93"/>
      <c r="AX415" s="93">
        <f>ППД5[[#This Row],[Фикс 29.08.23]]+ППД5[[#This Row],[Повышение 06.09.23 СТ и 1К]]</f>
        <v>90229.544999999998</v>
      </c>
      <c r="AY415" s="93"/>
      <c r="AZ415" s="93">
        <f>ППД5[[#This Row],[Повышение 23.10.23  В4 ]]+ППД5[[#This Row],[Фикс 06.09.23]]</f>
        <v>90229.544999999998</v>
      </c>
      <c r="BA415" s="93"/>
      <c r="BB415" s="93">
        <f>ППД5[[#This Row],[Повышение 8.11.23 1К 5%]]+ППД5[[#This Row],[Фикс 23.10.23]]</f>
        <v>90229.544999999998</v>
      </c>
      <c r="BC415" s="93"/>
      <c r="BD415" s="93">
        <f>ППД5[[#This Row],[Корректировка 24.11.23 - 1К В5, 2К А2, №233]]+ППД5[[#This Row],[Фикс 8.11.23]]</f>
        <v>90229.544999999998</v>
      </c>
      <c r="BE415" s="93"/>
      <c r="BF415" s="93">
        <f>ППД5[[#This Row],[Наценка за отделку 29.12.23 1%]]+ППД5[[#This Row],[Фикс 8.11.24]]</f>
        <v>90229.544999999998</v>
      </c>
      <c r="BG415" s="93"/>
      <c r="BH415" s="93">
        <f>ППД5[[#This Row],[Фикс 29.12.23]]+ППД5[[#This Row],[Наценка 10.01.24 5%]]</f>
        <v>90229.544999999998</v>
      </c>
      <c r="BI415" s="93"/>
      <c r="BJ415" s="93">
        <f>ППД5[[#This Row],[Наценка 26.02.24 1 Этаж]]+ППД5[[#This Row],[Фикс 10.01.24]]</f>
        <v>90229.544999999998</v>
      </c>
      <c r="BK415" s="93"/>
      <c r="BL415" s="93">
        <f>ППД5[[#This Row],[Фикс 26.02.24]]+ППД5[[#This Row],[Наценка 06.03.24
СТ, 1К - 3%
2К, 3К - 2%]]</f>
        <v>90229.544999999998</v>
      </c>
      <c r="BM415" s="93"/>
      <c r="BN415" s="93">
        <f>ППД5[[#This Row],[Фикс 06.03.24]]+ППД5[[#This Row],[Наценка Г2+500]]</f>
        <v>90229.544999999998</v>
      </c>
      <c r="BO415" s="93"/>
      <c r="BP415" s="93">
        <f>ППД5[[#This Row],[Фикс 13.03.25]]+ППД5[[#This Row],[Наценка 20.03.24
2К, 3К - 2%]]</f>
        <v>90229.544999999998</v>
      </c>
      <c r="BQ415" s="93"/>
      <c r="BR415" s="93">
        <f>ППД5[[#This Row],[Фикс 20.03.24]]+ППД5[[#This Row],[Наценка 08.04.24 
2К: В3 - 150
3К: Г7 +1000]]</f>
        <v>90229.544999999998</v>
      </c>
      <c r="BS415" s="93"/>
      <c r="BT415" s="93">
        <f>ППД5[[#This Row],[Фикс 08.04.24]]+ППД5[[#This Row],[Наценка 16.05.24 1%
А4,А6,Б3,Б6,Б7,В2,В3,В5,В6,Г1,Г3-Г5]]</f>
        <v>90229.544999999998</v>
      </c>
      <c r="BU415" s="93"/>
      <c r="BV415" s="93">
        <f>ППД5[[#This Row],[Фикс 16.05.24]]+ППД5[[#This Row],[Наценка 24.05.24
1% - Б4, Б5,Г2,Г6
2% - А1,А3,А5,Б2,Г7]]</f>
        <v>90229.544999999998</v>
      </c>
      <c r="BW415" s="93"/>
      <c r="BX415" s="93">
        <f>ППД5[[#This Row],[Наценка 06.06.24
0К: В2,Г3 +0,5%
1К: А7, Б5/4, Г6 +0,5%
3К: В6 +0,5%
1К: А3 +1%]]+ППД5[[#This Row],[Фикс 24.05.24]]</f>
        <v>90229.544999999998</v>
      </c>
      <c r="BY415" s="93"/>
      <c r="BZ415" s="93">
        <f>ППД5[[#This Row],[Фикс 06.06.24]]+ППД5[[#This Row],[13.06.2024
3К - 2%]]</f>
        <v>90229.544999999998</v>
      </c>
      <c r="CA415" s="93"/>
      <c r="CB415" s="93">
        <f>ППД5[[#This Row],[02.07.2024: Г3 А1 А3 Б5 Б7 Г2 Г6 Б3 Б4 В3 Г7 2,5% ост 0,5-1,5%]]+ППД5[[#This Row],[Фикс 13.06.24]]</f>
        <v>90229.544999999998</v>
      </c>
      <c r="CC415" s="93"/>
      <c r="CD415" s="93">
        <f>ППД5[[#This Row],[Фикс 02.07.24]]+ППД5[[#This Row],[04.09.2024 +500
0К - Б2; 1К - А3;
2К - А6, Б4, В3, Г5]]</f>
        <v>90229.544999999998</v>
      </c>
      <c r="CE415" s="93"/>
      <c r="CF415" s="93">
        <f>ППД5[[#This Row],[Наценка 16.09.2024
1К: А1,В7,Г6/7,Г8 - 2%
2К: А4,А5,А6,Б1,Б6,Б3/4,В3,В4,Г4,Г5 - 4%
3К: 4%]]+ППД5[[#This Row],[Фикс 04.09.24]]</f>
        <v>90229.544999999998</v>
      </c>
      <c r="CG415" s="93"/>
      <c r="CH415" s="93">
        <f>ППД5[[#This Row],[Фикс 16.09.2024]]+ППД5[[#This Row],[Наценка 01.11.24
СТ: 4%
1К: 34-40м 5%; 40м+ 8%; МГН 1%
2К: 55-70м 6%; 70-73м 7%; 73-76м 8% 
3К: 5%]]</f>
        <v>90229.544999999998</v>
      </c>
      <c r="CI415" s="93"/>
      <c r="CJ415" s="93">
        <f>ППД5[[#This Row],[Наценка 06.11 13%]]+ППД5[[#This Row],[Фикс 01.11.24]]</f>
        <v>90229.544999999998</v>
      </c>
      <c r="CK415" s="93"/>
      <c r="CL415" s="93">
        <f>ППД5[[#This Row],[Фикс 06.11.24]]+ППД5[[#This Row],[Наценка 18.12.24 распределение КВ]]</f>
        <v>90229.544999999998</v>
      </c>
      <c r="CM415" s="93"/>
      <c r="CN415" s="93">
        <f>ППД5[[#This Row],[Фикс 18.12.24]]+ППД5[[#This Row],[Наценка 10.02.25 +1%
1К: А3
2К: Б3, В3]]</f>
        <v>90229.544999999998</v>
      </c>
      <c r="CO415" s="93">
        <f>ROUND(ППД5[[#This Row],[Фикс 10.02.25]],2)</f>
        <v>90229.55</v>
      </c>
      <c r="CP41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2652748.77</v>
      </c>
      <c r="CQ415" s="93">
        <f>ROUNDUP(ППД5[[#This Row],[Стоимость до скидки]]+ППД5[[#This Row],[Сумма доплаты]],-2)</f>
        <v>2634800</v>
      </c>
      <c r="CR415" s="68"/>
      <c r="CS415" s="90"/>
      <c r="CT415" s="68">
        <f>ППД5[[#This Row],[Стоимость до скидки]]*ППД5[[#This Row],[Скидка %]]+ППД5[[#This Row],[Скидка фиксированная]]</f>
        <v>0</v>
      </c>
      <c r="CU415" s="3">
        <f>ППД5[[#This Row],[Стоимость ОН без отделки со скидкой]]/ППД5[[#This Row],[Расчетная проектная площадь]]</f>
        <v>90229.55</v>
      </c>
      <c r="CV415" s="3">
        <f>ROUND(ППД5[[#This Row],[Стоимость до скидки]]-ППД5[[#This Row],[Итоговая сумма скидки]],2)</f>
        <v>2652748.77</v>
      </c>
      <c r="CW41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415" s="197">
        <v>4500</v>
      </c>
      <c r="CY415" s="332">
        <f>ППД5[[#This Row],[Расхождение]]/ППД5[[#This Row],[Расчетная проектная площадь]]</f>
        <v>-6.8027210884353505E-3</v>
      </c>
      <c r="CZ41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-0.13000000000000078</v>
      </c>
      <c r="DA415" s="3">
        <f>ППД5[[#This Row],[Цена м2 без отделки со скидкой]]+ППД5[[#This Row],[Стоимость отделки]]</f>
        <v>94729.55</v>
      </c>
      <c r="DB415" s="3">
        <f>ППД5[[#This Row],[Стоимость квартиры с отделкой]]-ППД5[[#This Row],[Стоимость ОН без отделки со скидкой]]</f>
        <v>132300</v>
      </c>
      <c r="DC415" s="3">
        <f>ППД5[[#This Row],[Цена м2 с отделкой]]*ППД5[[#This Row],[Расчетная проектная площадь]]</f>
        <v>2785048.77</v>
      </c>
      <c r="DD415" s="3"/>
      <c r="DF415" s="199" t="s">
        <v>172</v>
      </c>
      <c r="DG415" s="245" t="s">
        <v>172</v>
      </c>
      <c r="DH415" s="100" t="b">
        <f>EXACT(ППД5[[#This Row],[Статусы CRM]],ППД5[[#This Row],[Статус]])</f>
        <v>1</v>
      </c>
      <c r="DI415" s="213" t="s">
        <v>587</v>
      </c>
      <c r="DJ415" s="204"/>
      <c r="DK415" s="111" t="s">
        <v>76</v>
      </c>
      <c r="DL415" s="216" t="s">
        <v>13</v>
      </c>
      <c r="DM415" s="201" t="b">
        <f>ППД5[[#This Row],[Отделка CRM]]=ППД5[[#This Row],[Отделка]]</f>
        <v>1</v>
      </c>
      <c r="DN415" s="203">
        <v>2785048.77</v>
      </c>
      <c r="DO41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15" s="207" t="b">
        <f>IF(AND(ППД5[[#This Row],[Статус]]="свободно",ППД5[[#This Row],[Итоговая сумма скидки]]&lt;&gt;0),FALSE,TRUE)</f>
        <v>1</v>
      </c>
      <c r="DQ415" s="240">
        <f>_xlfn.XLOOKUP(ППД5[[#This Row],[№]],Юрист[№ кв],Юрист[Дата подачи на регистрацию]," ",0,-1)</f>
        <v>45188</v>
      </c>
      <c r="DR415" s="115" t="str">
        <f>_xlfn.XLOOKUP(ППД5[[#This Row],[№]],Юрист[№ кв],Юрист[МОП],"",0,-1)</f>
        <v>Гайганова</v>
      </c>
      <c r="DS415" s="333" t="s">
        <v>3122</v>
      </c>
      <c r="DT415" s="333" t="s">
        <v>3123</v>
      </c>
      <c r="DU415" s="333">
        <v>26.9</v>
      </c>
      <c r="DV415" s="111"/>
    </row>
    <row r="416" spans="1:126" hidden="1" x14ac:dyDescent="0.25">
      <c r="A416" s="112">
        <v>414</v>
      </c>
      <c r="B416" s="111" t="s">
        <v>2</v>
      </c>
      <c r="C416" s="111">
        <v>4</v>
      </c>
      <c r="D416" s="115">
        <v>2</v>
      </c>
      <c r="E416" s="111">
        <v>1</v>
      </c>
      <c r="F416" s="105">
        <v>13.17</v>
      </c>
      <c r="G416" s="105"/>
      <c r="H416" s="105"/>
      <c r="I416" s="94">
        <f>SUM(ППД5[[#This Row],[Комната 1]:[Комната 3]])</f>
        <v>13.17</v>
      </c>
      <c r="J416" s="105">
        <v>16.940000000000001</v>
      </c>
      <c r="K416" s="105">
        <v>3.55</v>
      </c>
      <c r="L416" s="105">
        <v>2.41</v>
      </c>
      <c r="M416" s="105"/>
      <c r="N416" s="105">
        <v>5.8</v>
      </c>
      <c r="O416" s="105">
        <v>2.68</v>
      </c>
      <c r="P416" s="105"/>
      <c r="Q416" s="105"/>
      <c r="R416" s="105">
        <f>SUM(ППД5[[#This Row],[Лоджия 1]:[Лоджия 3]])</f>
        <v>2.68</v>
      </c>
      <c r="S416" s="8">
        <f>ROUND(SUM(ППД5[[#This Row],[Площадь по проекту жилая]:[Лоджия 3]]),2)</f>
        <v>44.55</v>
      </c>
      <c r="T416" s="8">
        <f>ROUND(ППД5[[#This Row],[Площадь по проекту(общая)]]-ППД5[[#This Row],[Летние]],2)</f>
        <v>41.87</v>
      </c>
      <c r="U416" s="91">
        <f>ROUND(ППД5[[#This Row],[Площадь по проекту(общая)]]-(SUM(ППД5[[#This Row],[Лоджия 1]:[Лоджия 3]])/2),2)</f>
        <v>43.21</v>
      </c>
      <c r="V416" s="91">
        <f>IF(ППД5[[#This Row],[Статус]]="продажа",ППД5[[#This Row],[Расчетная проектная площадь]],ППД5[[#This Row],[Расчетная ТП площадь]])</f>
        <v>43.21</v>
      </c>
      <c r="W416" s="91">
        <v>12.9</v>
      </c>
      <c r="X416" s="91"/>
      <c r="Y416" s="91"/>
      <c r="Z416" s="91">
        <f>SUM(ППД5[[#This Row],[ТП Комната 1]:[ТП Комната 3]])</f>
        <v>12.9</v>
      </c>
      <c r="AA416" s="91">
        <v>16.899999999999999</v>
      </c>
      <c r="AB416" s="91">
        <v>2</v>
      </c>
      <c r="AC416" s="91">
        <v>3.4</v>
      </c>
      <c r="AD416" s="91"/>
      <c r="AE416" s="91">
        <v>5.7</v>
      </c>
      <c r="AF416" s="91">
        <v>1.3</v>
      </c>
      <c r="AG416" s="91"/>
      <c r="AH416" s="91"/>
      <c r="AI416" s="91">
        <f>SUM(ППД5[[#This Row],[ТП Лоджия 1]:[ТП Лоджия 3]])</f>
        <v>1.3</v>
      </c>
      <c r="AJ416" s="95">
        <v>2.6</v>
      </c>
      <c r="AK416" s="91">
        <f>SUM(ППД5[[#This Row],[Площадь по ТП жилая]:[ТП Лоджия 3]])-ППД5[[#This Row],[ТП Летние]]+ППД5[[#This Row],[кроме того прочая
(без коэффициента)]]</f>
        <v>43.5</v>
      </c>
      <c r="AL416" s="95">
        <f>ППД5[[#This Row],[ТП Площадь без летних]]+(ППД5[[#This Row],[ТП Летние]])</f>
        <v>42.199999999999996</v>
      </c>
      <c r="AM416" s="91">
        <f>ППД5[[#This Row],[ТП общая S]]-ППД5[[#This Row],[кроме того прочая
(без коэффициента)]]</f>
        <v>40.9</v>
      </c>
      <c r="AN416" s="95">
        <f>SUM(ППД5[[#This Row],[ТП Кухня]:[ТП Коридор]])</f>
        <v>27.999999999999996</v>
      </c>
      <c r="AO416" s="91">
        <f>ППД5[[#This Row],[Расчетная ТП площадь]]-ППД5[[#This Row],[Расчетная проектная площадь]]</f>
        <v>-1.0100000000000051</v>
      </c>
      <c r="AP416" s="335">
        <f>ППД5[[#This Row],[Расчетная ТП площадь]]/ППД5[[#This Row],[Расчетная проектная площадь]]-1</f>
        <v>-2.3374218930803159E-2</v>
      </c>
      <c r="AQ416" s="91">
        <f>ППД5[[#This Row],[% расхождения]]*ППД5[[#This Row],[Стоимость до скидки]]</f>
        <v>-94855.584242074008</v>
      </c>
      <c r="AR416" s="91">
        <f>VLOOKUP(ППД5[[#This Row],[№]],наценкад5[],COLUMN(наценкад5[[#This Row],[Цена м2 с учетом всех K]]),0)</f>
        <v>85979.25</v>
      </c>
      <c r="AS416" s="8">
        <f>ППД5[[#This Row],[м2 после К]]*5%</f>
        <v>4298.9625000000005</v>
      </c>
      <c r="AT416" s="8">
        <f>ППД5[[#This Row],[м2 после К]]+ППД5[[#This Row],[Повышение 16.08.23 - 5%]]</f>
        <v>90278.212499999994</v>
      </c>
      <c r="AU416" s="93">
        <f>ППД5[[#This Row],[Фикс 16.08.23]]*3%</f>
        <v>2708.3463749999996</v>
      </c>
      <c r="AV416" s="93">
        <f>ППД5[[#This Row],[Фикс 16.08.23]]+ППД5[[#This Row],[Повышение 29.08.23 - 3%]]</f>
        <v>92986.558874999988</v>
      </c>
      <c r="AW416" s="93">
        <f>ППД5[[#This Row],[Фикс 29.08.23]]*1%</f>
        <v>929.86558874999992</v>
      </c>
      <c r="AX416" s="93">
        <f>ППД5[[#This Row],[Фикс 29.08.23]]+ППД5[[#This Row],[Повышение 06.09.23 СТ и 1К]]</f>
        <v>93916.424463749994</v>
      </c>
      <c r="AY416" s="93"/>
      <c r="AZ416" s="93">
        <f>ППД5[[#This Row],[Повышение 23.10.23  В4 ]]+ППД5[[#This Row],[Фикс 06.09.23]]</f>
        <v>93916.424463749994</v>
      </c>
      <c r="BA416" s="93"/>
      <c r="BB416" s="93">
        <f>ППД5[[#This Row],[Повышение 8.11.23 1К 5%]]+ППД5[[#This Row],[Фикс 23.10.23]]</f>
        <v>93916.424463749994</v>
      </c>
      <c r="BC416" s="93"/>
      <c r="BD416" s="93">
        <f>ППД5[[#This Row],[Корректировка 24.11.23 - 1К В5, 2К А2, №233]]+ППД5[[#This Row],[Фикс 8.11.23]]</f>
        <v>93916.424463749994</v>
      </c>
      <c r="BE416" s="93"/>
      <c r="BF416" s="93">
        <f>ППД5[[#This Row],[Наценка за отделку 29.12.23 1%]]+ППД5[[#This Row],[Фикс 8.11.24]]</f>
        <v>93916.424463749994</v>
      </c>
      <c r="BG416" s="93"/>
      <c r="BH416" s="93">
        <f>ППД5[[#This Row],[Фикс 29.12.23]]+ППД5[[#This Row],[Наценка 10.01.24 5%]]</f>
        <v>93916.424463749994</v>
      </c>
      <c r="BI416" s="93"/>
      <c r="BJ416" s="93">
        <f>ППД5[[#This Row],[Наценка 26.02.24 1 Этаж]]+ППД5[[#This Row],[Фикс 10.01.24]]</f>
        <v>93916.424463749994</v>
      </c>
      <c r="BK416" s="93"/>
      <c r="BL416" s="93">
        <f>ППД5[[#This Row],[Фикс 26.02.24]]+ППД5[[#This Row],[Наценка 06.03.24
СТ, 1К - 3%
2К, 3К - 2%]]</f>
        <v>93916.424463749994</v>
      </c>
      <c r="BM416" s="93"/>
      <c r="BN416" s="93">
        <f>ППД5[[#This Row],[Фикс 06.03.24]]+ППД5[[#This Row],[Наценка Г2+500]]</f>
        <v>93916.424463749994</v>
      </c>
      <c r="BO416" s="93"/>
      <c r="BP416" s="93">
        <f>ППД5[[#This Row],[Фикс 13.03.25]]+ППД5[[#This Row],[Наценка 20.03.24
2К, 3К - 2%]]</f>
        <v>93916.424463749994</v>
      </c>
      <c r="BQ416" s="93"/>
      <c r="BR416" s="93">
        <f>ППД5[[#This Row],[Фикс 20.03.24]]+ППД5[[#This Row],[Наценка 08.04.24 
2К: В3 - 150
3К: Г7 +1000]]</f>
        <v>93916.424463749994</v>
      </c>
      <c r="BS416" s="93"/>
      <c r="BT416" s="93">
        <f>ППД5[[#This Row],[Фикс 08.04.24]]+ППД5[[#This Row],[Наценка 16.05.24 1%
А4,А6,Б3,Б6,Б7,В2,В3,В5,В6,Г1,Г3-Г5]]</f>
        <v>93916.424463749994</v>
      </c>
      <c r="BU416" s="93"/>
      <c r="BV416" s="93">
        <f>ППД5[[#This Row],[Фикс 16.05.24]]+ППД5[[#This Row],[Наценка 24.05.24
1% - Б4, Б5,Г2,Г6
2% - А1,А3,А5,Б2,Г7]]</f>
        <v>93916.424463749994</v>
      </c>
      <c r="BW416" s="93"/>
      <c r="BX416" s="93">
        <f>ППД5[[#This Row],[Наценка 06.06.24
0К: В2,Г3 +0,5%
1К: А7, Б5/4, Г6 +0,5%
3К: В6 +0,5%
1К: А3 +1%]]+ППД5[[#This Row],[Фикс 24.05.24]]</f>
        <v>93916.424463749994</v>
      </c>
      <c r="BY416" s="93"/>
      <c r="BZ416" s="93">
        <f>ППД5[[#This Row],[Фикс 06.06.24]]+ППД5[[#This Row],[13.06.2024
3К - 2%]]</f>
        <v>93916.424463749994</v>
      </c>
      <c r="CA416" s="93"/>
      <c r="CB416" s="93">
        <f>ППД5[[#This Row],[02.07.2024: Г3 А1 А3 Б5 Б7 Г2 Г6 Б3 Б4 В3 Г7 2,5% ост 0,5-1,5%]]+ППД5[[#This Row],[Фикс 13.06.24]]</f>
        <v>93916.424463749994</v>
      </c>
      <c r="CC416" s="93"/>
      <c r="CD416" s="93">
        <f>ППД5[[#This Row],[Фикс 02.07.24]]+ППД5[[#This Row],[04.09.2024 +500
0К - Б2; 1К - А3;
2К - А6, Б4, В3, Г5]]</f>
        <v>93916.424463749994</v>
      </c>
      <c r="CE416" s="93"/>
      <c r="CF416" s="93">
        <f>ППД5[[#This Row],[Наценка 16.09.2024
1К: А1,В7,Г6/7,Г8 - 2%
2К: А4,А5,А6,Б1,Б6,Б3/4,В3,В4,Г4,Г5 - 4%
3К: 4%]]+ППД5[[#This Row],[Фикс 04.09.24]]</f>
        <v>93916.424463749994</v>
      </c>
      <c r="CG416" s="93"/>
      <c r="CH416" s="93">
        <f>ППД5[[#This Row],[Фикс 16.09.2024]]+ППД5[[#This Row],[Наценка 01.11.24
СТ: 4%
1К: 34-40м 5%; 40м+ 8%; МГН 1%
2К: 55-70м 6%; 70-73м 7%; 73-76м 8% 
3К: 5%]]</f>
        <v>93916.424463749994</v>
      </c>
      <c r="CI416" s="93"/>
      <c r="CJ416" s="93">
        <f>ППД5[[#This Row],[Наценка 06.11 13%]]+ППД5[[#This Row],[Фикс 01.11.24]]</f>
        <v>93916.424463749994</v>
      </c>
      <c r="CK416" s="93"/>
      <c r="CL416" s="93">
        <f>ППД5[[#This Row],[Фикс 06.11.24]]+ППД5[[#This Row],[Наценка 18.12.24 распределение КВ]]</f>
        <v>93916.424463749994</v>
      </c>
      <c r="CM416" s="93"/>
      <c r="CN416" s="93">
        <f>ППД5[[#This Row],[Фикс 18.12.24]]+ППД5[[#This Row],[Наценка 10.02.25 +1%
1К: А3
2К: Б3, В3]]</f>
        <v>93916.424463749994</v>
      </c>
      <c r="CO416" s="93">
        <f>ROUND(ППД5[[#This Row],[Фикс 10.02.25]],2)</f>
        <v>93916.42</v>
      </c>
      <c r="CP41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4058128.51</v>
      </c>
      <c r="CQ416" s="93">
        <f>ROUNDUP(ППД5[[#This Row],[Стоимость до скидки]]+ППД5[[#This Row],[Сумма доплаты]],-2)</f>
        <v>3963300</v>
      </c>
      <c r="CR416" s="68"/>
      <c r="CS416" s="90"/>
      <c r="CT416" s="68">
        <f>ППД5[[#This Row],[Стоимость до скидки]]*ППД5[[#This Row],[Скидка %]]+ППД5[[#This Row],[Скидка фиксированная]]</f>
        <v>0</v>
      </c>
      <c r="CU416" s="3">
        <f>ППД5[[#This Row],[Стоимость ОН без отделки со скидкой]]/ППД5[[#This Row],[Расчетная проектная площадь]]</f>
        <v>93916.420041657024</v>
      </c>
      <c r="CV416" s="3">
        <f>ROUND(ППД5[[#This Row],[Стоимость до скидки]]-ППД5[[#This Row],[Итоговая сумма скидки]],2)</f>
        <v>4058128.51</v>
      </c>
      <c r="CW41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16" s="197"/>
      <c r="CY416" s="332">
        <f>ППД5[[#This Row],[Расхождение]]/ППД5[[#This Row],[Расчетная проектная площадь]]</f>
        <v>-2.3374218930803173E-2</v>
      </c>
      <c r="CZ41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-0.70000000000000639</v>
      </c>
      <c r="DA416" s="3">
        <f>ППД5[[#This Row],[Цена м2 без отделки со скидкой]]+ППД5[[#This Row],[Стоимость отделки]]</f>
        <v>93916.420041657024</v>
      </c>
      <c r="DB416" s="3">
        <f>ППД5[[#This Row],[Стоимость квартиры с отделкой]]-ППД5[[#This Row],[Стоимость ОН без отделки со скидкой]]</f>
        <v>0</v>
      </c>
      <c r="DC416" s="3">
        <f>ППД5[[#This Row],[Цена м2 с отделкой]]*ППД5[[#This Row],[Расчетная проектная площадь]]</f>
        <v>4058128.5100000002</v>
      </c>
      <c r="DD416" s="3"/>
      <c r="DF416" s="199" t="s">
        <v>172</v>
      </c>
      <c r="DG416" s="245" t="s">
        <v>172</v>
      </c>
      <c r="DH416" s="100" t="b">
        <f>EXACT(ППД5[[#This Row],[Статусы CRM]],ППД5[[#This Row],[Статус]])</f>
        <v>1</v>
      </c>
      <c r="DI416" s="213" t="s">
        <v>588</v>
      </c>
      <c r="DJ416" s="204"/>
      <c r="DK416" s="111" t="s">
        <v>76</v>
      </c>
      <c r="DL416" s="216" t="s">
        <v>12</v>
      </c>
      <c r="DM416" s="201" t="b">
        <f>ППД5[[#This Row],[Отделка CRM]]=ППД5[[#This Row],[Отделка]]</f>
        <v>1</v>
      </c>
      <c r="DN416" s="203">
        <v>4058128.51</v>
      </c>
      <c r="DO41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-4.6566128730773926E-10</v>
      </c>
      <c r="DP416" s="207" t="b">
        <f>IF(AND(ППД5[[#This Row],[Статус]]="свободно",ППД5[[#This Row],[Итоговая сумма скидки]]&lt;&gt;0),FALSE,TRUE)</f>
        <v>1</v>
      </c>
      <c r="DQ416" s="240">
        <f>_xlfn.XLOOKUP(ППД5[[#This Row],[№]],Юрист[№ кв],Юрист[Дата подачи на регистрацию]," ",0,-1)</f>
        <v>45188</v>
      </c>
      <c r="DR416" s="115" t="str">
        <f>_xlfn.XLOOKUP(ППД5[[#This Row],[№]],Юрист[№ кв],Юрист[МОП],"",0,-1)</f>
        <v>Полехович</v>
      </c>
      <c r="DS416" s="333" t="s">
        <v>3124</v>
      </c>
      <c r="DT416" s="333" t="s">
        <v>3125</v>
      </c>
      <c r="DU416" s="333">
        <v>40.9</v>
      </c>
      <c r="DV416" s="111"/>
    </row>
    <row r="417" spans="1:126" hidden="1" x14ac:dyDescent="0.25">
      <c r="A417" s="112">
        <v>415</v>
      </c>
      <c r="B417" s="111" t="s">
        <v>2</v>
      </c>
      <c r="C417" s="111">
        <v>4</v>
      </c>
      <c r="D417" s="115">
        <v>3</v>
      </c>
      <c r="E417" s="111">
        <v>0</v>
      </c>
      <c r="F417" s="105">
        <v>7.2</v>
      </c>
      <c r="G417" s="105"/>
      <c r="H417" s="105"/>
      <c r="I417" s="94">
        <f>SUM(ППД5[[#This Row],[Комната 1]:[Комната 3]])</f>
        <v>7.2</v>
      </c>
      <c r="J417" s="105">
        <v>5.17</v>
      </c>
      <c r="K417" s="105">
        <v>3.71</v>
      </c>
      <c r="L417" s="105"/>
      <c r="M417" s="105"/>
      <c r="N417" s="105">
        <v>6.96</v>
      </c>
      <c r="O417" s="105">
        <v>2.92</v>
      </c>
      <c r="P417" s="105"/>
      <c r="Q417" s="105"/>
      <c r="R417" s="105">
        <f>SUM(ППД5[[#This Row],[Лоджия 1]:[Лоджия 3]])</f>
        <v>2.92</v>
      </c>
      <c r="S417" s="8">
        <f>ROUND(SUM(ППД5[[#This Row],[Площадь по проекту жилая]:[Лоджия 3]]),2)</f>
        <v>25.96</v>
      </c>
      <c r="T417" s="8">
        <f>ROUND(ППД5[[#This Row],[Площадь по проекту(общая)]]-ППД5[[#This Row],[Летние]],2)</f>
        <v>23.04</v>
      </c>
      <c r="U417" s="91">
        <f>ROUND(ППД5[[#This Row],[Площадь по проекту(общая)]]-(SUM(ППД5[[#This Row],[Лоджия 1]:[Лоджия 3]])/2),2)</f>
        <v>24.5</v>
      </c>
      <c r="V417" s="91">
        <f>IF(ППД5[[#This Row],[Статус]]="продажа",ППД5[[#This Row],[Расчетная проектная площадь]],ППД5[[#This Row],[Расчетная ТП площадь]])</f>
        <v>24.5</v>
      </c>
      <c r="W417" s="91">
        <v>7.2</v>
      </c>
      <c r="X417" s="91"/>
      <c r="Y417" s="91"/>
      <c r="Z417" s="91">
        <f>SUM(ППД5[[#This Row],[ТП Комната 1]:[ТП Комната 3]])</f>
        <v>7.2</v>
      </c>
      <c r="AA417" s="91">
        <v>5.4</v>
      </c>
      <c r="AB417" s="91">
        <v>3.7</v>
      </c>
      <c r="AC417" s="91"/>
      <c r="AD417" s="91"/>
      <c r="AE417" s="91">
        <v>6.6</v>
      </c>
      <c r="AF417" s="91">
        <v>1.45</v>
      </c>
      <c r="AG417" s="91"/>
      <c r="AH417" s="91"/>
      <c r="AI417" s="91">
        <f>SUM(ППД5[[#This Row],[ТП Лоджия 1]:[ТП Лоджия 3]])</f>
        <v>1.45</v>
      </c>
      <c r="AJ417" s="95">
        <v>2.9</v>
      </c>
      <c r="AK417" s="91">
        <f>SUM(ППД5[[#This Row],[Площадь по ТП жилая]:[ТП Лоджия 3]])-ППД5[[#This Row],[ТП Летние]]+ППД5[[#This Row],[кроме того прочая
(без коэффициента)]]</f>
        <v>25.799999999999997</v>
      </c>
      <c r="AL417" s="95">
        <f>ППД5[[#This Row],[ТП Площадь без летних]]+(ППД5[[#This Row],[ТП Летние]])</f>
        <v>24.349999999999998</v>
      </c>
      <c r="AM417" s="91">
        <f>ППД5[[#This Row],[ТП общая S]]-ППД5[[#This Row],[кроме того прочая
(без коэффициента)]]</f>
        <v>22.9</v>
      </c>
      <c r="AN417" s="95">
        <f>SUM(ППД5[[#This Row],[ТП Кухня]:[ТП Коридор]])</f>
        <v>15.700000000000001</v>
      </c>
      <c r="AO417" s="91">
        <f>ППД5[[#This Row],[Расчетная ТП площадь]]-ППД5[[#This Row],[Расчетная проектная площадь]]</f>
        <v>-0.15000000000000213</v>
      </c>
      <c r="AP417" s="335">
        <f>ППД5[[#This Row],[Расчетная ТП площадь]]/ППД5[[#This Row],[Расчетная проектная площадь]]-1</f>
        <v>-6.1224489795919101E-3</v>
      </c>
      <c r="AQ417" s="91">
        <f>ППД5[[#This Row],[% расхождения]]*ППД5[[#This Row],[Стоимость до скидки]]</f>
        <v>-17944.285714285928</v>
      </c>
      <c r="AR417" s="91">
        <f>VLOOKUP(ППД5[[#This Row],[№]],наценкад5[],COLUMN(наценкад5[[#This Row],[Цена м2 с учетом всех K]]),0)</f>
        <v>91981.574999999997</v>
      </c>
      <c r="AS417" s="8">
        <f>ППД5[[#This Row],[м2 после К]]*5%</f>
        <v>4599.0787499999997</v>
      </c>
      <c r="AT417" s="8">
        <f>ППД5[[#This Row],[м2 после К]]+ППД5[[#This Row],[Повышение 16.08.23 - 5%]]</f>
        <v>96580.653749999998</v>
      </c>
      <c r="AU417" s="93">
        <f>ППД5[[#This Row],[Фикс 16.08.23]]*3%</f>
        <v>2897.4196124999999</v>
      </c>
      <c r="AV417" s="93">
        <f>ППД5[[#This Row],[Фикс 16.08.23]]+ППД5[[#This Row],[Повышение 29.08.23 - 3%]]</f>
        <v>99478.073362499999</v>
      </c>
      <c r="AW417" s="93">
        <f>ППД5[[#This Row],[Фикс 29.08.23]]*9%</f>
        <v>8953.0266026249992</v>
      </c>
      <c r="AX417" s="93">
        <f>ППД5[[#This Row],[Фикс 29.08.23]]+ППД5[[#This Row],[Повышение 06.09.23 СТ и 1К]]</f>
        <v>108431.099965125</v>
      </c>
      <c r="AY417" s="93"/>
      <c r="AZ417" s="93">
        <f>ППД5[[#This Row],[Повышение 23.10.23  В4 ]]+ППД5[[#This Row],[Фикс 06.09.23]]</f>
        <v>108431.099965125</v>
      </c>
      <c r="BA417" s="93"/>
      <c r="BB417" s="93">
        <f>ППД5[[#This Row],[Повышение 8.11.23 1К 5%]]+ППД5[[#This Row],[Фикс 23.10.23]]</f>
        <v>108431.099965125</v>
      </c>
      <c r="BC417" s="93"/>
      <c r="BD417" s="93">
        <f>ППД5[[#This Row],[Корректировка 24.11.23 - 1К В5, 2К А2, №233]]+ППД5[[#This Row],[Фикс 8.11.23]]</f>
        <v>108431.099965125</v>
      </c>
      <c r="BE417" s="93">
        <f>ППД5[[#This Row],[Фикс 8.11.24]]*1%</f>
        <v>1084.3109996512501</v>
      </c>
      <c r="BF417" s="93">
        <f>ППД5[[#This Row],[Наценка за отделку 29.12.23 1%]]+ППД5[[#This Row],[Фикс 8.11.24]]</f>
        <v>109515.41096477625</v>
      </c>
      <c r="BG417" s="93">
        <f>ППД5[[#This Row],[Фикс 29.12.23]]*5%</f>
        <v>5475.7705482388128</v>
      </c>
      <c r="BH417" s="93">
        <f>ППД5[[#This Row],[Фикс 29.12.23]]+ППД5[[#This Row],[Наценка 10.01.24 5%]]</f>
        <v>114991.18151301506</v>
      </c>
      <c r="BI417" s="93"/>
      <c r="BJ417" s="93">
        <f>ППД5[[#This Row],[Наценка 26.02.24 1 Этаж]]+ППД5[[#This Row],[Фикс 10.01.24]]</f>
        <v>114991.18151301506</v>
      </c>
      <c r="BK417" s="93">
        <f>ППД5[[#This Row],[Фикс 26.02.24]]*3%</f>
        <v>3449.7354453904518</v>
      </c>
      <c r="BL417" s="93">
        <f>ППД5[[#This Row],[Фикс 26.02.24]]+ППД5[[#This Row],[Наценка 06.03.24
СТ, 1К - 3%
2К, 3К - 2%]]</f>
        <v>118440.91695840552</v>
      </c>
      <c r="BM417" s="93"/>
      <c r="BN417" s="93">
        <f>ППД5[[#This Row],[Фикс 06.03.24]]+ППД5[[#This Row],[Наценка Г2+500]]</f>
        <v>118440.91695840552</v>
      </c>
      <c r="BO417" s="93"/>
      <c r="BP417" s="93">
        <f>ППД5[[#This Row],[Фикс 13.03.25]]+ППД5[[#This Row],[Наценка 20.03.24
2К, 3К - 2%]]</f>
        <v>118440.91695840552</v>
      </c>
      <c r="BQ417" s="93"/>
      <c r="BR417" s="93">
        <f>ППД5[[#This Row],[Фикс 20.03.24]]+ППД5[[#This Row],[Наценка 08.04.24 
2К: В3 - 150
3К: Г7 +1000]]</f>
        <v>118440.91695840552</v>
      </c>
      <c r="BS417" s="93">
        <f>ППД5[[#This Row],[Фикс 08.04.24]]*1%</f>
        <v>1184.4091695840552</v>
      </c>
      <c r="BT417" s="93">
        <f>ППД5[[#This Row],[Фикс 08.04.24]]+ППД5[[#This Row],[Наценка 16.05.24 1%
А4,А6,Б3,Б6,Б7,В2,В3,В5,В6,Г1,Г3-Г5]]</f>
        <v>119625.32612798958</v>
      </c>
      <c r="BU417" s="93"/>
      <c r="BV417" s="93">
        <f>ППД5[[#This Row],[Фикс 16.05.24]]+ППД5[[#This Row],[Наценка 24.05.24
1% - Б4, Б5,Г2,Г6
2% - А1,А3,А5,Б2,Г7]]</f>
        <v>119625.32612798958</v>
      </c>
      <c r="BW417" s="93"/>
      <c r="BX417" s="93">
        <f>ППД5[[#This Row],[Наценка 06.06.24
0К: В2,Г3 +0,5%
1К: А7, Б5/4, Г6 +0,5%
3К: В6 +0,5%
1К: А3 +1%]]+ППД5[[#This Row],[Фикс 24.05.24]]</f>
        <v>119625.32612798958</v>
      </c>
      <c r="BY417" s="93"/>
      <c r="BZ417" s="93">
        <f>ППД5[[#This Row],[Фикс 06.06.24]]+ППД5[[#This Row],[13.06.2024
3К - 2%]]</f>
        <v>119625.32612798958</v>
      </c>
      <c r="CA417" s="93"/>
      <c r="CB417" s="93">
        <f>ППД5[[#This Row],[02.07.2024: Г3 А1 А3 Б5 Б7 Г2 Г6 Б3 Б4 В3 Г7 2,5% ост 0,5-1,5%]]+ППД5[[#This Row],[Фикс 13.06.24]]</f>
        <v>119625.32612798958</v>
      </c>
      <c r="CC417" s="93"/>
      <c r="CD417" s="93">
        <f>ППД5[[#This Row],[Фикс 02.07.24]]+ППД5[[#This Row],[04.09.2024 +500
0К - Б2; 1К - А3;
2К - А6, Б4, В3, Г5]]</f>
        <v>119625.32612798958</v>
      </c>
      <c r="CE417" s="93"/>
      <c r="CF417" s="93">
        <f>ППД5[[#This Row],[Наценка 16.09.2024
1К: А1,В7,Г6/7,Г8 - 2%
2К: А4,А5,А6,Б1,Б6,Б3/4,В3,В4,Г4,Г5 - 4%
3К: 4%]]+ППД5[[#This Row],[Фикс 04.09.24]]</f>
        <v>119625.32612798958</v>
      </c>
      <c r="CG417" s="93"/>
      <c r="CH417" s="93">
        <f>ППД5[[#This Row],[Фикс 16.09.2024]]+ППД5[[#This Row],[Наценка 01.11.24
СТ: 4%
1К: 34-40м 5%; 40м+ 8%; МГН 1%
2К: 55-70м 6%; 70-73м 7%; 73-76м 8% 
3К: 5%]]</f>
        <v>119625.32612798958</v>
      </c>
      <c r="CI417" s="93"/>
      <c r="CJ417" s="93">
        <f>ППД5[[#This Row],[Наценка 06.11 13%]]+ППД5[[#This Row],[Фикс 01.11.24]]</f>
        <v>119625.32612798958</v>
      </c>
      <c r="CK417" s="93"/>
      <c r="CL417" s="93">
        <f>ППД5[[#This Row],[Фикс 06.11.24]]+ППД5[[#This Row],[Наценка 18.12.24 распределение КВ]]</f>
        <v>119625.32612798958</v>
      </c>
      <c r="CM417" s="93"/>
      <c r="CN417" s="93">
        <f>ППД5[[#This Row],[Фикс 18.12.24]]+ППД5[[#This Row],[Наценка 10.02.25 +1%
1К: А3
2К: Б3, В3]]</f>
        <v>119625.32612798958</v>
      </c>
      <c r="CO417" s="93">
        <f>ROUND(ППД5[[#This Row],[Фикс 10.02.25]],2)</f>
        <v>119625.33</v>
      </c>
      <c r="CP41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2930900</v>
      </c>
      <c r="CQ417" s="93">
        <f>ROUNDUP(ППД5[[#This Row],[Стоимость до скидки]]+ППД5[[#This Row],[Сумма доплаты]],-2)</f>
        <v>2913000</v>
      </c>
      <c r="CR417" s="68"/>
      <c r="CS417" s="90">
        <v>0.03</v>
      </c>
      <c r="CT417" s="68">
        <f>ППД5[[#This Row],[Стоимость до скидки]]*ППД5[[#This Row],[Скидка %]]+ППД5[[#This Row],[Скидка фиксированная]]</f>
        <v>87927</v>
      </c>
      <c r="CU417" s="3">
        <f>ППД5[[#This Row],[Стоимость ОН без отделки со скидкой]]/ППД5[[#This Row],[Расчетная проектная площадь]]</f>
        <v>116039.71428571429</v>
      </c>
      <c r="CV417" s="3">
        <f>ROUND(ППД5[[#This Row],[Стоимость до скидки]]-ППД5[[#This Row],[Итоговая сумма скидки]],2)</f>
        <v>2842973</v>
      </c>
      <c r="CW41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417" s="197">
        <v>7000</v>
      </c>
      <c r="CY417" s="332">
        <f>ППД5[[#This Row],[Расхождение]]/ППД5[[#This Row],[Расчетная проектная площадь]]</f>
        <v>-6.122448979591924E-3</v>
      </c>
      <c r="CZ41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-0.1399999999999979</v>
      </c>
      <c r="DA417" s="3">
        <f>ППД5[[#This Row],[Цена м2 без отделки со скидкой]]+ППД5[[#This Row],[Стоимость отделки]]</f>
        <v>123039.71428571429</v>
      </c>
      <c r="DB417" s="3">
        <f>ППД5[[#This Row],[Стоимость квартиры с отделкой]]-ППД5[[#This Row],[Стоимость ОН без отделки со скидкой]]</f>
        <v>171500</v>
      </c>
      <c r="DC417" s="3">
        <f>ППД5[[#This Row],[Цена м2 с отделкой]]*ППД5[[#This Row],[Расчетная проектная площадь]]</f>
        <v>3014473</v>
      </c>
      <c r="DD417" s="3"/>
      <c r="DE417" s="111" t="s">
        <v>162</v>
      </c>
      <c r="DF417" s="199" t="s">
        <v>172</v>
      </c>
      <c r="DG417" s="245" t="s">
        <v>172</v>
      </c>
      <c r="DH417" s="100" t="b">
        <f>EXACT(ППД5[[#This Row],[Статусы CRM]],ППД5[[#This Row],[Статус]])</f>
        <v>1</v>
      </c>
      <c r="DI417" s="213" t="s">
        <v>589</v>
      </c>
      <c r="DJ417" s="204"/>
      <c r="DK417" s="111" t="s">
        <v>763</v>
      </c>
      <c r="DL417" s="216" t="s">
        <v>780</v>
      </c>
      <c r="DM417" s="201" t="b">
        <f>ППД5[[#This Row],[Отделка CRM]]=ППД5[[#This Row],[Отделка]]</f>
        <v>1</v>
      </c>
      <c r="DN417" s="203">
        <v>3014473</v>
      </c>
      <c r="DO41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17" s="207" t="b">
        <f>IF(AND(ППД5[[#This Row],[Статус]]="свободно",ППД5[[#This Row],[Итоговая сумма скидки]]&lt;&gt;0),FALSE,TRUE)</f>
        <v>1</v>
      </c>
      <c r="DQ417" s="240">
        <f>_xlfn.XLOOKUP(ППД5[[#This Row],[№]],Юрист[№ кв],Юрист[Дата подачи на регистрацию]," ",0,-1)</f>
        <v>45454</v>
      </c>
      <c r="DR417" s="115" t="str">
        <f>_xlfn.XLOOKUP(ППД5[[#This Row],[№]],Юрист[№ кв],Юрист[МОП],"",0,-1)</f>
        <v>Дик</v>
      </c>
      <c r="DS417" s="333" t="s">
        <v>3126</v>
      </c>
      <c r="DT417" s="333" t="s">
        <v>3127</v>
      </c>
      <c r="DU417" s="333">
        <v>22.9</v>
      </c>
      <c r="DV417" s="111"/>
    </row>
    <row r="418" spans="1:126" hidden="1" x14ac:dyDescent="0.25">
      <c r="A418" s="112">
        <v>416</v>
      </c>
      <c r="B418" s="111" t="s">
        <v>2</v>
      </c>
      <c r="C418" s="111">
        <v>4</v>
      </c>
      <c r="D418" s="115">
        <v>4</v>
      </c>
      <c r="E418" s="111">
        <v>2</v>
      </c>
      <c r="F418" s="105">
        <v>14.48</v>
      </c>
      <c r="G418" s="105">
        <v>11.42</v>
      </c>
      <c r="H418" s="105"/>
      <c r="I418" s="94">
        <f>SUM(ППД5[[#This Row],[Комната 1]:[Комната 3]])</f>
        <v>25.9</v>
      </c>
      <c r="J418" s="105">
        <v>15.86</v>
      </c>
      <c r="K418" s="105">
        <v>3.01</v>
      </c>
      <c r="L418" s="105">
        <v>2.67</v>
      </c>
      <c r="M418" s="105"/>
      <c r="N418" s="105">
        <v>9.44</v>
      </c>
      <c r="O418" s="105">
        <v>2.72</v>
      </c>
      <c r="P418" s="105"/>
      <c r="Q418" s="105"/>
      <c r="R418" s="105">
        <f>SUM(ППД5[[#This Row],[Лоджия 1]:[Лоджия 3]])</f>
        <v>2.72</v>
      </c>
      <c r="S418" s="8">
        <f>ROUND(SUM(ППД5[[#This Row],[Площадь по проекту жилая]:[Лоджия 3]]),2)</f>
        <v>59.6</v>
      </c>
      <c r="T418" s="8">
        <f>ROUND(ППД5[[#This Row],[Площадь по проекту(общая)]]-ППД5[[#This Row],[Летние]],2)</f>
        <v>56.88</v>
      </c>
      <c r="U418" s="91">
        <f>ROUND(ППД5[[#This Row],[Площадь по проекту(общая)]]-(SUM(ППД5[[#This Row],[Лоджия 1]:[Лоджия 3]])/2),2)</f>
        <v>58.24</v>
      </c>
      <c r="V418" s="91">
        <f>IF(ППД5[[#This Row],[Статус]]="продажа",ППД5[[#This Row],[Расчетная проектная площадь]],ППД5[[#This Row],[Расчетная ТП площадь]])</f>
        <v>58.24</v>
      </c>
      <c r="W418" s="91">
        <v>14.5</v>
      </c>
      <c r="X418" s="91">
        <v>11.4</v>
      </c>
      <c r="Y418" s="91"/>
      <c r="Z418" s="91">
        <f>SUM(ППД5[[#This Row],[ТП Комната 1]:[ТП Комната 3]])</f>
        <v>25.9</v>
      </c>
      <c r="AA418" s="91">
        <v>15.8</v>
      </c>
      <c r="AB418" s="91">
        <v>2.7</v>
      </c>
      <c r="AC418" s="91">
        <v>3</v>
      </c>
      <c r="AD418" s="91"/>
      <c r="AE418" s="91">
        <v>9.3000000000000007</v>
      </c>
      <c r="AF418" s="91">
        <v>1.35</v>
      </c>
      <c r="AG418" s="91"/>
      <c r="AH418" s="91"/>
      <c r="AI418" s="91">
        <f>SUM(ППД5[[#This Row],[ТП Лоджия 1]:[ТП Лоджия 3]])</f>
        <v>1.35</v>
      </c>
      <c r="AJ418" s="95">
        <v>2.7</v>
      </c>
      <c r="AK418" s="91">
        <f>SUM(ППД5[[#This Row],[Площадь по ТП жилая]:[ТП Лоджия 3]])-ППД5[[#This Row],[ТП Летние]]+ППД5[[#This Row],[кроме того прочая
(без коэффициента)]]</f>
        <v>59.400000000000006</v>
      </c>
      <c r="AL418" s="95">
        <f>ППД5[[#This Row],[ТП Площадь без летних]]+(ППД5[[#This Row],[ТП Летние]])</f>
        <v>58.050000000000004</v>
      </c>
      <c r="AM418" s="91">
        <f>ППД5[[#This Row],[ТП общая S]]-ППД5[[#This Row],[кроме того прочая
(без коэффициента)]]</f>
        <v>56.7</v>
      </c>
      <c r="AN418" s="95">
        <f>SUM(ППД5[[#This Row],[ТП Кухня]:[ТП Коридор]])</f>
        <v>30.8</v>
      </c>
      <c r="AO418" s="91">
        <f>ППД5[[#This Row],[Расчетная ТП площадь]]-ППД5[[#This Row],[Расчетная проектная площадь]]</f>
        <v>-0.18999999999999773</v>
      </c>
      <c r="AP418" s="335">
        <f>ППД5[[#This Row],[Расчетная ТП площадь]]/ППД5[[#This Row],[Расчетная проектная площадь]]-1</f>
        <v>-3.2623626373625703E-3</v>
      </c>
      <c r="AQ418" s="91">
        <f>ППД5[[#This Row],[% расхождения]]*ППД5[[#This Row],[Стоимость до скидки]]</f>
        <v>-17850.669642856778</v>
      </c>
      <c r="AR418" s="91">
        <f>VLOOKUP(ППД5[[#This Row],[№]],наценкад5[],COLUMN(наценкад5[[#This Row],[Цена м2 с учетом всех K]]),0)</f>
        <v>80307.864000000001</v>
      </c>
      <c r="AS418" s="8">
        <f>ППД5[[#This Row],[м2 после К]]*5%</f>
        <v>4015.3932000000004</v>
      </c>
      <c r="AT418" s="8">
        <f>ППД5[[#This Row],[м2 после К]]+ППД5[[#This Row],[Повышение 16.08.23 - 5%]]</f>
        <v>84323.257200000007</v>
      </c>
      <c r="AU418" s="93">
        <f>ППД5[[#This Row],[Фикс 16.08.23]]*3%</f>
        <v>2529.6977160000001</v>
      </c>
      <c r="AV418" s="93">
        <f>ППД5[[#This Row],[Фикс 16.08.23]]+ППД5[[#This Row],[Повышение 29.08.23 - 3%]]</f>
        <v>86852.954916000002</v>
      </c>
      <c r="AW418" s="93"/>
      <c r="AX418" s="93">
        <f>ППД5[[#This Row],[Фикс 29.08.23]]+ППД5[[#This Row],[Повышение 06.09.23 СТ и 1К]]</f>
        <v>86852.954916000002</v>
      </c>
      <c r="AY418" s="93"/>
      <c r="AZ418" s="93">
        <f>ППД5[[#This Row],[Повышение 23.10.23  В4 ]]+ППД5[[#This Row],[Фикс 06.09.23]]</f>
        <v>86852.954916000002</v>
      </c>
      <c r="BA418" s="93"/>
      <c r="BB418" s="93">
        <f>ППД5[[#This Row],[Повышение 8.11.23 1К 5%]]+ППД5[[#This Row],[Фикс 23.10.23]]</f>
        <v>86852.954916000002</v>
      </c>
      <c r="BC418" s="93"/>
      <c r="BD418" s="93">
        <f>ППД5[[#This Row],[Корректировка 24.11.23 - 1К В5, 2К А2, №233]]+ППД5[[#This Row],[Фикс 8.11.23]]</f>
        <v>86852.954916000002</v>
      </c>
      <c r="BE418" s="93">
        <f>ППД5[[#This Row],[Фикс 8.11.24]]*1%</f>
        <v>868.52954915999999</v>
      </c>
      <c r="BF418" s="93">
        <f>ППД5[[#This Row],[Наценка за отделку 29.12.23 1%]]+ППД5[[#This Row],[Фикс 8.11.24]]</f>
        <v>87721.48446516</v>
      </c>
      <c r="BG418" s="93">
        <f>ППД5[[#This Row],[Фикс 29.12.23]]*5%</f>
        <v>4386.0742232580005</v>
      </c>
      <c r="BH418" s="93">
        <f>ППД5[[#This Row],[Фикс 29.12.23]]+ППД5[[#This Row],[Наценка 10.01.24 5%]]</f>
        <v>92107.558688417994</v>
      </c>
      <c r="BI418" s="93"/>
      <c r="BJ418" s="93">
        <f>ППД5[[#This Row],[Наценка 26.02.24 1 Этаж]]+ППД5[[#This Row],[Фикс 10.01.24]]</f>
        <v>92107.558688417994</v>
      </c>
      <c r="BK418" s="93"/>
      <c r="BL418" s="93">
        <f>ППД5[[#This Row],[Фикс 26.02.24]]+ППД5[[#This Row],[Наценка 06.03.24
СТ, 1К - 3%
2К, 3К - 2%]]</f>
        <v>92107.558688417994</v>
      </c>
      <c r="BM418" s="93"/>
      <c r="BN418" s="93">
        <f>ППД5[[#This Row],[Фикс 06.03.24]]+ППД5[[#This Row],[Наценка Г2+500]]</f>
        <v>92107.558688417994</v>
      </c>
      <c r="BO418" s="93">
        <f>ППД5[[#This Row],[Фикс 13.03.25]]*2%</f>
        <v>1842.15117376836</v>
      </c>
      <c r="BP418" s="93">
        <f>ППД5[[#This Row],[Фикс 13.03.25]]+ППД5[[#This Row],[Наценка 20.03.24
2К, 3К - 2%]]</f>
        <v>93949.709862186355</v>
      </c>
      <c r="BQ418" s="93"/>
      <c r="BR418" s="93">
        <f>ППД5[[#This Row],[Фикс 20.03.24]]+ППД5[[#This Row],[Наценка 08.04.24 
2К: В3 - 150
3К: Г7 +1000]]</f>
        <v>93949.709862186355</v>
      </c>
      <c r="BS418" s="93"/>
      <c r="BT418" s="93">
        <f>ППД5[[#This Row],[Фикс 08.04.24]]+ППД5[[#This Row],[Наценка 16.05.24 1%
А4,А6,Б3,Б6,Б7,В2,В3,В5,В6,Г1,Г3-Г5]]</f>
        <v>93949.709862186355</v>
      </c>
      <c r="BU418" s="93"/>
      <c r="BV418" s="93">
        <f>ППД5[[#This Row],[Фикс 16.05.24]]+ППД5[[#This Row],[Наценка 24.05.24
1% - Б4, Б5,Г2,Г6
2% - А1,А3,А5,Б2,Г7]]</f>
        <v>93949.709862186355</v>
      </c>
      <c r="BW418" s="93"/>
      <c r="BX418" s="93">
        <f>ППД5[[#This Row],[Наценка 06.06.24
0К: В2,Г3 +0,5%
1К: А7, Б5/4, Г6 +0,5%
3К: В6 +0,5%
1К: А3 +1%]]+ППД5[[#This Row],[Фикс 24.05.24]]</f>
        <v>93949.709862186355</v>
      </c>
      <c r="BY418" s="93"/>
      <c r="BZ418" s="93">
        <f>ППД5[[#This Row],[Фикс 06.06.24]]+ППД5[[#This Row],[13.06.2024
3К - 2%]]</f>
        <v>93949.709862186355</v>
      </c>
      <c r="CA418" s="93"/>
      <c r="CB418" s="93">
        <f>ППД5[[#This Row],[02.07.2024: Г3 А1 А3 Б5 Б7 Г2 Г6 Б3 Б4 В3 Г7 2,5% ост 0,5-1,5%]]+ППД5[[#This Row],[Фикс 13.06.24]]</f>
        <v>93949.709862186355</v>
      </c>
      <c r="CC418" s="93"/>
      <c r="CD418" s="93">
        <f>ППД5[[#This Row],[Фикс 02.07.24]]+ППД5[[#This Row],[04.09.2024 +500
0К - Б2; 1К - А3;
2К - А6, Б4, В3, Г5]]</f>
        <v>93949.709862186355</v>
      </c>
      <c r="CE418" s="93"/>
      <c r="CF418" s="93">
        <f>ППД5[[#This Row],[Наценка 16.09.2024
1К: А1,В7,Г6/7,Г8 - 2%
2К: А4,А5,А6,Б1,Б6,Б3/4,В3,В4,Г4,Г5 - 4%
3К: 4%]]+ППД5[[#This Row],[Фикс 04.09.24]]</f>
        <v>93949.709862186355</v>
      </c>
      <c r="CG418" s="93"/>
      <c r="CH418" s="93">
        <f>ППД5[[#This Row],[Фикс 16.09.2024]]+ППД5[[#This Row],[Наценка 01.11.24
СТ: 4%
1К: 34-40м 5%; 40м+ 8%; МГН 1%
2К: 55-70м 6%; 70-73м 7%; 73-76м 8% 
3К: 5%]]</f>
        <v>93949.709862186355</v>
      </c>
      <c r="CI418" s="93"/>
      <c r="CJ418" s="93">
        <f>ППД5[[#This Row],[Наценка 06.11 13%]]+ППД5[[#This Row],[Фикс 01.11.24]]</f>
        <v>93949.709862186355</v>
      </c>
      <c r="CK418" s="93"/>
      <c r="CL418" s="93">
        <f>ППД5[[#This Row],[Фикс 06.11.24]]+ППД5[[#This Row],[Наценка 18.12.24 распределение КВ]]</f>
        <v>93949.709862186355</v>
      </c>
      <c r="CM418" s="93"/>
      <c r="CN418" s="93">
        <f>ППД5[[#This Row],[Фикс 18.12.24]]+ППД5[[#This Row],[Наценка 10.02.25 +1%
1К: А3
2К: Б3, В3]]</f>
        <v>93949.709862186355</v>
      </c>
      <c r="CO418" s="93">
        <f>ROUND(ППД5[[#This Row],[Фикс 10.02.25]],2)</f>
        <v>93949.71</v>
      </c>
      <c r="CP41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5471700</v>
      </c>
      <c r="CQ418" s="93">
        <f>ROUNDUP(ППД5[[#This Row],[Стоимость до скидки]]+ППД5[[#This Row],[Сумма доплаты]],-2)</f>
        <v>5453900</v>
      </c>
      <c r="CR418" s="68">
        <v>90000</v>
      </c>
      <c r="CS418" s="90"/>
      <c r="CT418" s="68">
        <f>ППД5[[#This Row],[Стоимость до скидки]]*ППД5[[#This Row],[Скидка %]]+ППД5[[#This Row],[Скидка фиксированная]]</f>
        <v>90000</v>
      </c>
      <c r="CU418" s="3">
        <f>ППД5[[#This Row],[Стоимость ОН без отделки со скидкой]]/ППД5[[#This Row],[Расчетная проектная площадь]]</f>
        <v>92405.56318681319</v>
      </c>
      <c r="CV418" s="3">
        <f>ROUND(ППД5[[#This Row],[Стоимость до скидки]]-ППД5[[#This Row],[Итоговая сумма скидки]],2)</f>
        <v>5381700</v>
      </c>
      <c r="CW41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18" s="197">
        <v>20000</v>
      </c>
      <c r="CY418" s="332">
        <f>ППД5[[#This Row],[Расхождение]]/ППД5[[#This Row],[Расчетная проектная площадь]]</f>
        <v>-3.262362637362598E-3</v>
      </c>
      <c r="CZ41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-0.18000000000000149</v>
      </c>
      <c r="DA418" s="3">
        <f>ППД5[[#This Row],[Цена м2 без отделки со скидкой]]+ППД5[[#This Row],[Стоимость отделки]]</f>
        <v>112405.56318681319</v>
      </c>
      <c r="DB418" s="3">
        <f>ППД5[[#This Row],[Стоимость квартиры с отделкой]]-ППД5[[#This Row],[Стоимость ОН без отделки со скидкой]]</f>
        <v>1164800</v>
      </c>
      <c r="DC418" s="3">
        <f>ППД5[[#This Row],[Цена м2 с отделкой]]*ППД5[[#This Row],[Расчетная проектная площадь]]</f>
        <v>6546500</v>
      </c>
      <c r="DD418" s="3"/>
      <c r="DE418" s="111" t="s">
        <v>791</v>
      </c>
      <c r="DF418" s="199" t="s">
        <v>172</v>
      </c>
      <c r="DG418" s="245" t="s">
        <v>172</v>
      </c>
      <c r="DH418" s="100" t="b">
        <f>EXACT(ППД5[[#This Row],[Статусы CRM]],ППД5[[#This Row],[Статус]])</f>
        <v>1</v>
      </c>
      <c r="DI418" s="213" t="s">
        <v>590</v>
      </c>
      <c r="DJ418" s="204"/>
      <c r="DK418" s="111" t="s">
        <v>763</v>
      </c>
      <c r="DL418" s="216" t="s">
        <v>14</v>
      </c>
      <c r="DM418" s="201" t="b">
        <f>ППД5[[#This Row],[Отделка CRM]]=ППД5[[#This Row],[Отделка]]</f>
        <v>1</v>
      </c>
      <c r="DN418" s="203">
        <v>6546500</v>
      </c>
      <c r="DO41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18" s="207" t="b">
        <f>IF(AND(ППД5[[#This Row],[Статус]]="свободно",ППД5[[#This Row],[Итоговая сумма скидки]]&lt;&gt;0),FALSE,TRUE)</f>
        <v>1</v>
      </c>
      <c r="DQ418" s="240">
        <f>_xlfn.XLOOKUP(ППД5[[#This Row],[№]],Юрист[№ кв],Юрист[Дата подачи на регистрацию]," ",0,-1)</f>
        <v>45397</v>
      </c>
      <c r="DR418" s="115" t="str">
        <f>_xlfn.XLOOKUP(ППД5[[#This Row],[№]],Юрист[№ кв],Юрист[МОП],"",0,-1)</f>
        <v>Полехович</v>
      </c>
      <c r="DS418" s="333" t="s">
        <v>3128</v>
      </c>
      <c r="DT418" s="333" t="s">
        <v>3129</v>
      </c>
      <c r="DU418" s="333">
        <v>56.7</v>
      </c>
      <c r="DV418" s="111"/>
    </row>
    <row r="419" spans="1:126" hidden="1" x14ac:dyDescent="0.25">
      <c r="A419" s="112">
        <v>417</v>
      </c>
      <c r="B419" s="111" t="s">
        <v>2</v>
      </c>
      <c r="C419" s="111">
        <v>4</v>
      </c>
      <c r="D419" s="115">
        <v>5</v>
      </c>
      <c r="E419" s="111">
        <v>2</v>
      </c>
      <c r="F419" s="105">
        <v>15.41</v>
      </c>
      <c r="G419" s="105">
        <v>12.78</v>
      </c>
      <c r="H419" s="105"/>
      <c r="I419" s="94">
        <f>SUM(ППД5[[#This Row],[Комната 1]:[Комната 3]])</f>
        <v>28.189999999999998</v>
      </c>
      <c r="J419" s="105">
        <v>13.45</v>
      </c>
      <c r="K419" s="105">
        <v>3.7</v>
      </c>
      <c r="L419" s="105">
        <v>2.72</v>
      </c>
      <c r="M419" s="105"/>
      <c r="N419" s="105">
        <v>8.2200000000000006</v>
      </c>
      <c r="O419" s="105">
        <v>3.03</v>
      </c>
      <c r="P419" s="105"/>
      <c r="Q419" s="105"/>
      <c r="R419" s="105">
        <f>SUM(ППД5[[#This Row],[Лоджия 1]:[Лоджия 3]])</f>
        <v>3.03</v>
      </c>
      <c r="S419" s="8">
        <f>ROUND(SUM(ППД5[[#This Row],[Площадь по проекту жилая]:[Лоджия 3]]),2)</f>
        <v>59.31</v>
      </c>
      <c r="T419" s="8">
        <f>ROUND(ППД5[[#This Row],[Площадь по проекту(общая)]]-ППД5[[#This Row],[Летние]],2)</f>
        <v>56.28</v>
      </c>
      <c r="U419" s="91">
        <f>ROUND(ППД5[[#This Row],[Площадь по проекту(общая)]]-(SUM(ППД5[[#This Row],[Лоджия 1]:[Лоджия 3]])/2),2)</f>
        <v>57.8</v>
      </c>
      <c r="V419" s="91">
        <f>IF(ППД5[[#This Row],[Статус]]="продажа",ППД5[[#This Row],[Расчетная проектная площадь]],ППД5[[#This Row],[Расчетная ТП площадь]])</f>
        <v>57.8</v>
      </c>
      <c r="W419" s="91">
        <v>12.7</v>
      </c>
      <c r="X419" s="91">
        <v>15.3</v>
      </c>
      <c r="Y419" s="91"/>
      <c r="Z419" s="91">
        <f>SUM(ППД5[[#This Row],[ТП Комната 1]:[ТП Комната 3]])</f>
        <v>28</v>
      </c>
      <c r="AA419" s="91">
        <v>13.5</v>
      </c>
      <c r="AB419" s="91">
        <v>2.7</v>
      </c>
      <c r="AC419" s="91">
        <v>3.7</v>
      </c>
      <c r="AD419" s="91"/>
      <c r="AE419" s="91">
        <v>8.1</v>
      </c>
      <c r="AF419" s="91">
        <v>1.55</v>
      </c>
      <c r="AG419" s="91"/>
      <c r="AH419" s="91"/>
      <c r="AI419" s="91">
        <f>SUM(ППД5[[#This Row],[ТП Лоджия 1]:[ТП Лоджия 3]])</f>
        <v>1.55</v>
      </c>
      <c r="AJ419" s="95">
        <v>3.1</v>
      </c>
      <c r="AK419" s="91">
        <f>SUM(ППД5[[#This Row],[Площадь по ТП жилая]:[ТП Лоджия 3]])-ППД5[[#This Row],[ТП Летние]]+ППД5[[#This Row],[кроме того прочая
(без коэффициента)]]</f>
        <v>59.100000000000009</v>
      </c>
      <c r="AL419" s="95">
        <f>ППД5[[#This Row],[ТП Площадь без летних]]+(ППД5[[#This Row],[ТП Летние]])</f>
        <v>57.550000000000004</v>
      </c>
      <c r="AM419" s="91">
        <f>ППД5[[#This Row],[ТП общая S]]-ППД5[[#This Row],[кроме того прочая
(без коэффициента)]]</f>
        <v>56.000000000000007</v>
      </c>
      <c r="AN419" s="95">
        <f>SUM(ППД5[[#This Row],[ТП Кухня]:[ТП Коридор]])</f>
        <v>28</v>
      </c>
      <c r="AO419" s="91">
        <f>ППД5[[#This Row],[Расчетная ТП площадь]]-ППД5[[#This Row],[Расчетная проектная площадь]]</f>
        <v>-0.24999999999999289</v>
      </c>
      <c r="AP419" s="335">
        <f>ППД5[[#This Row],[Расчетная ТП площадь]]/ППД5[[#This Row],[Расчетная проектная площадь]]-1</f>
        <v>-4.325259515570834E-3</v>
      </c>
      <c r="AQ419" s="91">
        <f>ППД5[[#This Row],[% расхождения]]*ППД5[[#This Row],[Стоимость до скидки]]</f>
        <v>-19980.442517300573</v>
      </c>
      <c r="AR419" s="91">
        <f>VLOOKUP(ППД5[[#This Row],[№]],наценкад5[],COLUMN(наценкад5[[#This Row],[Цена м2 с учетом всех K]]),0)</f>
        <v>79921.768500000006</v>
      </c>
      <c r="AS419" s="8"/>
      <c r="AT419" s="8">
        <f>ППД5[[#This Row],[м2 после К]]+ППД5[[#This Row],[Повышение 16.08.23 - 5%]]</f>
        <v>79921.768500000006</v>
      </c>
      <c r="AU419" s="93"/>
      <c r="AV419" s="93">
        <f>ППД5[[#This Row],[Фикс 16.08.23]]+ППД5[[#This Row],[Повышение 29.08.23 - 3%]]</f>
        <v>79921.768500000006</v>
      </c>
      <c r="AW419" s="93"/>
      <c r="AX419" s="93">
        <f>ППД5[[#This Row],[Фикс 29.08.23]]+ППД5[[#This Row],[Повышение 06.09.23 СТ и 1К]]</f>
        <v>79921.768500000006</v>
      </c>
      <c r="AY419" s="93"/>
      <c r="AZ419" s="93">
        <f>ППД5[[#This Row],[Повышение 23.10.23  В4 ]]+ППД5[[#This Row],[Фикс 06.09.23]]</f>
        <v>79921.768500000006</v>
      </c>
      <c r="BA419" s="93"/>
      <c r="BB419" s="93">
        <f>ППД5[[#This Row],[Повышение 8.11.23 1К 5%]]+ППД5[[#This Row],[Фикс 23.10.23]]</f>
        <v>79921.768500000006</v>
      </c>
      <c r="BC419" s="93"/>
      <c r="BD419" s="93">
        <f>ППД5[[#This Row],[Корректировка 24.11.23 - 1К В5, 2К А2, №233]]+ППД5[[#This Row],[Фикс 8.11.23]]</f>
        <v>79921.768500000006</v>
      </c>
      <c r="BE419" s="93"/>
      <c r="BF419" s="93">
        <f>ППД5[[#This Row],[Наценка за отделку 29.12.23 1%]]+ППД5[[#This Row],[Фикс 8.11.24]]</f>
        <v>79921.768500000006</v>
      </c>
      <c r="BG419" s="93"/>
      <c r="BH419" s="93">
        <f>ППД5[[#This Row],[Фикс 29.12.23]]+ППД5[[#This Row],[Наценка 10.01.24 5%]]</f>
        <v>79921.768500000006</v>
      </c>
      <c r="BI419" s="93"/>
      <c r="BJ419" s="93">
        <f>ППД5[[#This Row],[Наценка 26.02.24 1 Этаж]]+ППД5[[#This Row],[Фикс 10.01.24]]</f>
        <v>79921.768500000006</v>
      </c>
      <c r="BK419" s="93"/>
      <c r="BL419" s="93">
        <f>ППД5[[#This Row],[Фикс 26.02.24]]+ППД5[[#This Row],[Наценка 06.03.24
СТ, 1К - 3%
2К, 3К - 2%]]</f>
        <v>79921.768500000006</v>
      </c>
      <c r="BM419" s="93"/>
      <c r="BN419" s="93">
        <f>ППД5[[#This Row],[Фикс 06.03.24]]+ППД5[[#This Row],[Наценка Г2+500]]</f>
        <v>79921.768500000006</v>
      </c>
      <c r="BO419" s="93"/>
      <c r="BP419" s="93">
        <f>ППД5[[#This Row],[Фикс 13.03.25]]+ППД5[[#This Row],[Наценка 20.03.24
2К, 3К - 2%]]</f>
        <v>79921.768500000006</v>
      </c>
      <c r="BQ419" s="93"/>
      <c r="BR419" s="93">
        <f>ППД5[[#This Row],[Фикс 20.03.24]]+ППД5[[#This Row],[Наценка 08.04.24 
2К: В3 - 150
3К: Г7 +1000]]</f>
        <v>79921.768500000006</v>
      </c>
      <c r="BS419" s="93"/>
      <c r="BT419" s="93">
        <f>ППД5[[#This Row],[Фикс 08.04.24]]+ППД5[[#This Row],[Наценка 16.05.24 1%
А4,А6,Б3,Б6,Б7,В2,В3,В5,В6,Г1,Г3-Г5]]</f>
        <v>79921.768500000006</v>
      </c>
      <c r="BU419" s="93"/>
      <c r="BV419" s="93">
        <f>ППД5[[#This Row],[Фикс 16.05.24]]+ППД5[[#This Row],[Наценка 24.05.24
1% - Б4, Б5,Г2,Г6
2% - А1,А3,А5,Б2,Г7]]</f>
        <v>79921.768500000006</v>
      </c>
      <c r="BW419" s="93"/>
      <c r="BX419" s="93">
        <f>ППД5[[#This Row],[Наценка 06.06.24
0К: В2,Г3 +0,5%
1К: А7, Б5/4, Г6 +0,5%
3К: В6 +0,5%
1К: А3 +1%]]+ППД5[[#This Row],[Фикс 24.05.24]]</f>
        <v>79921.768500000006</v>
      </c>
      <c r="BY419" s="93"/>
      <c r="BZ419" s="93">
        <f>ППД5[[#This Row],[Фикс 06.06.24]]+ППД5[[#This Row],[13.06.2024
3К - 2%]]</f>
        <v>79921.768500000006</v>
      </c>
      <c r="CA419" s="93"/>
      <c r="CB419" s="93">
        <f>ППД5[[#This Row],[02.07.2024: Г3 А1 А3 Б5 Б7 Г2 Г6 Б3 Б4 В3 Г7 2,5% ост 0,5-1,5%]]+ППД5[[#This Row],[Фикс 13.06.24]]</f>
        <v>79921.768500000006</v>
      </c>
      <c r="CC419" s="93"/>
      <c r="CD419" s="93">
        <f>ППД5[[#This Row],[Фикс 02.07.24]]+ППД5[[#This Row],[04.09.2024 +500
0К - Б2; 1К - А3;
2К - А6, Б4, В3, Г5]]</f>
        <v>79921.768500000006</v>
      </c>
      <c r="CE419" s="93"/>
      <c r="CF419" s="93">
        <f>ППД5[[#This Row],[Наценка 16.09.2024
1К: А1,В7,Г6/7,Г8 - 2%
2К: А4,А5,А6,Б1,Б6,Б3/4,В3,В4,Г4,Г5 - 4%
3К: 4%]]+ППД5[[#This Row],[Фикс 04.09.24]]</f>
        <v>79921.768500000006</v>
      </c>
      <c r="CG419" s="93"/>
      <c r="CH419" s="93">
        <f>ППД5[[#This Row],[Фикс 16.09.2024]]+ППД5[[#This Row],[Наценка 01.11.24
СТ: 4%
1К: 34-40м 5%; 40м+ 8%; МГН 1%
2К: 55-70м 6%; 70-73м 7%; 73-76м 8% 
3К: 5%]]</f>
        <v>79921.768500000006</v>
      </c>
      <c r="CI419" s="93"/>
      <c r="CJ419" s="93">
        <f>ППД5[[#This Row],[Наценка 06.11 13%]]+ППД5[[#This Row],[Фикс 01.11.24]]</f>
        <v>79921.768500000006</v>
      </c>
      <c r="CK419" s="93"/>
      <c r="CL419" s="93">
        <f>ППД5[[#This Row],[Фикс 06.11.24]]+ППД5[[#This Row],[Наценка 18.12.24 распределение КВ]]</f>
        <v>79921.768500000006</v>
      </c>
      <c r="CM419" s="93"/>
      <c r="CN419" s="93">
        <f>ППД5[[#This Row],[Фикс 18.12.24]]+ППД5[[#This Row],[Наценка 10.02.25 +1%
1К: А3
2К: Б3, В3]]</f>
        <v>79921.768500000006</v>
      </c>
      <c r="CO419" s="93">
        <f>ROUND(ППД5[[#This Row],[Фикс 10.02.25]],2)</f>
        <v>79921.77</v>
      </c>
      <c r="CP41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4619478.3099999996</v>
      </c>
      <c r="CQ419" s="93">
        <f>ROUNDUP(ППД5[[#This Row],[Стоимость до скидки]]+ППД5[[#This Row],[Сумма доплаты]],-2)</f>
        <v>4599500</v>
      </c>
      <c r="CR419" s="68"/>
      <c r="CS419" s="90"/>
      <c r="CT419" s="68">
        <f>ППД5[[#This Row],[Стоимость до скидки]]*ППД5[[#This Row],[Скидка %]]+ППД5[[#This Row],[Скидка фиксированная]]</f>
        <v>0</v>
      </c>
      <c r="CU419" s="3">
        <f>ППД5[[#This Row],[Стоимость ОН без отделки со скидкой]]/ППД5[[#This Row],[Расчетная проектная площадь]]</f>
        <v>79921.770069204154</v>
      </c>
      <c r="CV419" s="3">
        <f>ROUND(ППД5[[#This Row],[Стоимость до скидки]]-ППД5[[#This Row],[Итоговая сумма скидки]],2)</f>
        <v>4619478.3099999996</v>
      </c>
      <c r="CW41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19" s="197"/>
      <c r="CY419" s="332">
        <f>ППД5[[#This Row],[Расхождение]]/ППД5[[#This Row],[Расчетная проектная площадь]]</f>
        <v>-4.3252595155708114E-3</v>
      </c>
      <c r="CZ41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-8.9999999999996305E-2</v>
      </c>
      <c r="DA419" s="3">
        <f>ППД5[[#This Row],[Цена м2 без отделки со скидкой]]+ППД5[[#This Row],[Стоимость отделки]]</f>
        <v>79921.770069204154</v>
      </c>
      <c r="DB419" s="3">
        <f>ППД5[[#This Row],[Стоимость квартиры с отделкой]]-ППД5[[#This Row],[Стоимость ОН без отделки со скидкой]]</f>
        <v>0</v>
      </c>
      <c r="DC419" s="3">
        <f>ППД5[[#This Row],[Цена м2 с отделкой]]*ППД5[[#This Row],[Расчетная проектная площадь]]</f>
        <v>4619478.3099999996</v>
      </c>
      <c r="DD419" s="3"/>
      <c r="DF419" s="199" t="s">
        <v>172</v>
      </c>
      <c r="DG419" s="245" t="s">
        <v>172</v>
      </c>
      <c r="DH419" s="100" t="b">
        <f>EXACT(ППД5[[#This Row],[Статусы CRM]],ППД5[[#This Row],[Статус]])</f>
        <v>1</v>
      </c>
      <c r="DI419" s="213" t="s">
        <v>591</v>
      </c>
      <c r="DJ419" s="204"/>
      <c r="DK419" s="111" t="s">
        <v>76</v>
      </c>
      <c r="DL419" s="216" t="s">
        <v>12</v>
      </c>
      <c r="DM419" s="201" t="b">
        <f>ППД5[[#This Row],[Отделка CRM]]=ППД5[[#This Row],[Отделка]]</f>
        <v>1</v>
      </c>
      <c r="DN419" s="203">
        <v>4619478.3099999996</v>
      </c>
      <c r="DO41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19" s="207" t="b">
        <f>IF(AND(ППД5[[#This Row],[Статус]]="свободно",ППД5[[#This Row],[Итоговая сумма скидки]]&lt;&gt;0),FALSE,TRUE)</f>
        <v>1</v>
      </c>
      <c r="DQ419" s="240">
        <f>_xlfn.XLOOKUP(ППД5[[#This Row],[№]],Юрист[№ кв],Юрист[Дата подачи на регистрацию]," ",0,-1)</f>
        <v>45187</v>
      </c>
      <c r="DR419" s="115" t="str">
        <f>_xlfn.XLOOKUP(ППД5[[#This Row],[№]],Юрист[№ кв],Юрист[МОП],"",0,-1)</f>
        <v>Дик</v>
      </c>
      <c r="DS419" s="333" t="s">
        <v>3130</v>
      </c>
      <c r="DT419" s="333" t="s">
        <v>3131</v>
      </c>
      <c r="DU419" s="333">
        <v>56</v>
      </c>
      <c r="DV419" s="111"/>
    </row>
    <row r="420" spans="1:126" hidden="1" x14ac:dyDescent="0.25">
      <c r="A420" s="112">
        <v>418</v>
      </c>
      <c r="B420" s="111" t="s">
        <v>2</v>
      </c>
      <c r="C420" s="111">
        <v>4</v>
      </c>
      <c r="D420" s="115">
        <v>6</v>
      </c>
      <c r="E420" s="111">
        <v>1</v>
      </c>
      <c r="F420" s="105">
        <v>12.71</v>
      </c>
      <c r="G420" s="105"/>
      <c r="H420" s="105"/>
      <c r="I420" s="94">
        <f>SUM(ППД5[[#This Row],[Комната 1]:[Комната 3]])</f>
        <v>12.71</v>
      </c>
      <c r="J420" s="105">
        <v>12.55</v>
      </c>
      <c r="K420" s="105">
        <v>4.28</v>
      </c>
      <c r="L420" s="105"/>
      <c r="M420" s="105"/>
      <c r="N420" s="105">
        <v>7.34</v>
      </c>
      <c r="O420" s="105">
        <v>2.84</v>
      </c>
      <c r="P420" s="105"/>
      <c r="Q420" s="105"/>
      <c r="R420" s="105">
        <f>SUM(ППД5[[#This Row],[Лоджия 1]:[Лоджия 3]])</f>
        <v>2.84</v>
      </c>
      <c r="S420" s="8">
        <f>ROUND(SUM(ППД5[[#This Row],[Площадь по проекту жилая]:[Лоджия 3]]),2)</f>
        <v>39.72</v>
      </c>
      <c r="T420" s="8">
        <f>ROUND(ППД5[[#This Row],[Площадь по проекту(общая)]]-ППД5[[#This Row],[Летние]],2)</f>
        <v>36.880000000000003</v>
      </c>
      <c r="U420" s="91">
        <f>ROUND(ППД5[[#This Row],[Площадь по проекту(общая)]]-(SUM(ППД5[[#This Row],[Лоджия 1]:[Лоджия 3]])/2),2)</f>
        <v>38.299999999999997</v>
      </c>
      <c r="V420" s="91">
        <f>IF(ППД5[[#This Row],[Статус]]="продажа",ППД5[[#This Row],[Расчетная проектная площадь]],ППД5[[#This Row],[Расчетная ТП площадь]])</f>
        <v>38.299999999999997</v>
      </c>
      <c r="W420" s="91">
        <v>12.6</v>
      </c>
      <c r="X420" s="91"/>
      <c r="Y420" s="91"/>
      <c r="Z420" s="91">
        <f>SUM(ППД5[[#This Row],[ТП Комната 1]:[ТП Комната 3]])</f>
        <v>12.6</v>
      </c>
      <c r="AA420" s="91">
        <v>12.5</v>
      </c>
      <c r="AB420" s="91">
        <v>3.9</v>
      </c>
      <c r="AC420" s="91"/>
      <c r="AD420" s="91"/>
      <c r="AE420" s="91">
        <v>7.4</v>
      </c>
      <c r="AF420" s="91">
        <v>1.4</v>
      </c>
      <c r="AG420" s="91"/>
      <c r="AH420" s="91"/>
      <c r="AI420" s="91">
        <f>SUM(ППД5[[#This Row],[ТП Лоджия 1]:[ТП Лоджия 3]])</f>
        <v>1.4</v>
      </c>
      <c r="AJ420" s="95">
        <v>2.8</v>
      </c>
      <c r="AK420" s="91">
        <f>SUM(ППД5[[#This Row],[Площадь по ТП жилая]:[ТП Лоджия 3]])-ППД5[[#This Row],[ТП Летние]]+ППД5[[#This Row],[кроме того прочая
(без коэффициента)]]</f>
        <v>39.199999999999996</v>
      </c>
      <c r="AL420" s="95">
        <f>ППД5[[#This Row],[ТП Площадь без летних]]+(ППД5[[#This Row],[ТП Летние]])</f>
        <v>37.799999999999997</v>
      </c>
      <c r="AM420" s="91">
        <f>ППД5[[#This Row],[ТП общая S]]-ППД5[[#This Row],[кроме того прочая
(без коэффициента)]]</f>
        <v>36.4</v>
      </c>
      <c r="AN420" s="95">
        <f>SUM(ППД5[[#This Row],[ТП Кухня]:[ТП Коридор]])</f>
        <v>23.799999999999997</v>
      </c>
      <c r="AO420" s="91">
        <f>ППД5[[#This Row],[Расчетная ТП площадь]]-ППД5[[#This Row],[Расчетная проектная площадь]]</f>
        <v>-0.5</v>
      </c>
      <c r="AP420" s="335">
        <f>ППД5[[#This Row],[Расчетная ТП площадь]]/ППД5[[#This Row],[Расчетная проектная площадь]]-1</f>
        <v>-1.3054830287206221E-2</v>
      </c>
      <c r="AQ420" s="91">
        <f>ППД5[[#This Row],[% расхождения]]*ППД5[[#This Row],[Стоимость до скидки]]</f>
        <v>-47809.125065273984</v>
      </c>
      <c r="AR420" s="91">
        <f>VLOOKUP(ППД5[[#This Row],[№]],наценкад5[],COLUMN(наценкад5[[#This Row],[Цена м2 с учетом всех K]]),0)</f>
        <v>88412.625</v>
      </c>
      <c r="AS420" s="8">
        <f>ППД5[[#This Row],[м2 после К]]*5%</f>
        <v>4420.6312500000004</v>
      </c>
      <c r="AT420" s="8">
        <f>ППД5[[#This Row],[м2 после К]]+ППД5[[#This Row],[Повышение 16.08.23 - 5%]]</f>
        <v>92833.256250000006</v>
      </c>
      <c r="AU420" s="93">
        <f>ППД5[[#This Row],[Фикс 16.08.23]]*3%</f>
        <v>2784.9976875000002</v>
      </c>
      <c r="AV420" s="93">
        <f>ППД5[[#This Row],[Фикс 16.08.23]]+ППД5[[#This Row],[Повышение 29.08.23 - 3%]]</f>
        <v>95618.253937500005</v>
      </c>
      <c r="AW420" s="93"/>
      <c r="AX420" s="93">
        <f>ППД5[[#This Row],[Фикс 29.08.23]]+ППД5[[#This Row],[Повышение 06.09.23 СТ и 1К]]</f>
        <v>95618.253937500005</v>
      </c>
      <c r="AY420" s="93"/>
      <c r="AZ420" s="93">
        <f>ППД5[[#This Row],[Повышение 23.10.23  В4 ]]+ППД5[[#This Row],[Фикс 06.09.23]]</f>
        <v>95618.253937500005</v>
      </c>
      <c r="BA420" s="93"/>
      <c r="BB420" s="93">
        <f>ППД5[[#This Row],[Повышение 8.11.23 1К 5%]]+ППД5[[#This Row],[Фикс 23.10.23]]</f>
        <v>95618.253937500005</v>
      </c>
      <c r="BC420" s="93"/>
      <c r="BD420" s="93">
        <f>ППД5[[#This Row],[Корректировка 24.11.23 - 1К В5, 2К А2, №233]]+ППД5[[#This Row],[Фикс 8.11.23]]</f>
        <v>95618.253937500005</v>
      </c>
      <c r="BE420" s="93"/>
      <c r="BF420" s="93">
        <f>ППД5[[#This Row],[Наценка за отделку 29.12.23 1%]]+ППД5[[#This Row],[Фикс 8.11.24]]</f>
        <v>95618.253937500005</v>
      </c>
      <c r="BG420" s="93"/>
      <c r="BH420" s="93">
        <f>ППД5[[#This Row],[Фикс 29.12.23]]+ППД5[[#This Row],[Наценка 10.01.24 5%]]</f>
        <v>95618.253937500005</v>
      </c>
      <c r="BI420" s="93"/>
      <c r="BJ420" s="93">
        <f>ППД5[[#This Row],[Наценка 26.02.24 1 Этаж]]+ППД5[[#This Row],[Фикс 10.01.24]]</f>
        <v>95618.253937500005</v>
      </c>
      <c r="BK420" s="93"/>
      <c r="BL420" s="93">
        <f>ППД5[[#This Row],[Фикс 26.02.24]]+ППД5[[#This Row],[Наценка 06.03.24
СТ, 1К - 3%
2К, 3К - 2%]]</f>
        <v>95618.253937500005</v>
      </c>
      <c r="BM420" s="93"/>
      <c r="BN420" s="93">
        <f>ППД5[[#This Row],[Фикс 06.03.24]]+ППД5[[#This Row],[Наценка Г2+500]]</f>
        <v>95618.253937500005</v>
      </c>
      <c r="BO420" s="93"/>
      <c r="BP420" s="93">
        <f>ППД5[[#This Row],[Фикс 13.03.25]]+ППД5[[#This Row],[Наценка 20.03.24
2К, 3К - 2%]]</f>
        <v>95618.253937500005</v>
      </c>
      <c r="BQ420" s="93"/>
      <c r="BR420" s="93">
        <f>ППД5[[#This Row],[Фикс 20.03.24]]+ППД5[[#This Row],[Наценка 08.04.24 
2К: В3 - 150
3К: Г7 +1000]]</f>
        <v>95618.253937500005</v>
      </c>
      <c r="BS420" s="93"/>
      <c r="BT420" s="93">
        <f>ППД5[[#This Row],[Фикс 08.04.24]]+ППД5[[#This Row],[Наценка 16.05.24 1%
А4,А6,Б3,Б6,Б7,В2,В3,В5,В6,Г1,Г3-Г5]]</f>
        <v>95618.253937500005</v>
      </c>
      <c r="BU420" s="93"/>
      <c r="BV420" s="93">
        <f>ППД5[[#This Row],[Фикс 16.05.24]]+ППД5[[#This Row],[Наценка 24.05.24
1% - Б4, Б5,Г2,Г6
2% - А1,А3,А5,Б2,Г7]]</f>
        <v>95618.253937500005</v>
      </c>
      <c r="BW420" s="93"/>
      <c r="BX420" s="93">
        <f>ППД5[[#This Row],[Наценка 06.06.24
0К: В2,Г3 +0,5%
1К: А7, Б5/4, Г6 +0,5%
3К: В6 +0,5%
1К: А3 +1%]]+ППД5[[#This Row],[Фикс 24.05.24]]</f>
        <v>95618.253937500005</v>
      </c>
      <c r="BY420" s="93"/>
      <c r="BZ420" s="93">
        <f>ППД5[[#This Row],[Фикс 06.06.24]]+ППД5[[#This Row],[13.06.2024
3К - 2%]]</f>
        <v>95618.253937500005</v>
      </c>
      <c r="CA420" s="93"/>
      <c r="CB420" s="93">
        <f>ППД5[[#This Row],[02.07.2024: Г3 А1 А3 Б5 Б7 Г2 Г6 Б3 Б4 В3 Г7 2,5% ост 0,5-1,5%]]+ППД5[[#This Row],[Фикс 13.06.24]]</f>
        <v>95618.253937500005</v>
      </c>
      <c r="CC420" s="93"/>
      <c r="CD420" s="93">
        <f>ППД5[[#This Row],[Фикс 02.07.24]]+ППД5[[#This Row],[04.09.2024 +500
0К - Б2; 1К - А3;
2К - А6, Б4, В3, Г5]]</f>
        <v>95618.253937500005</v>
      </c>
      <c r="CE420" s="93"/>
      <c r="CF420" s="93">
        <f>ППД5[[#This Row],[Наценка 16.09.2024
1К: А1,В7,Г6/7,Г8 - 2%
2К: А4,А5,А6,Б1,Б6,Б3/4,В3,В4,Г4,Г5 - 4%
3К: 4%]]+ППД5[[#This Row],[Фикс 04.09.24]]</f>
        <v>95618.253937500005</v>
      </c>
      <c r="CG420" s="93"/>
      <c r="CH420" s="93">
        <f>ППД5[[#This Row],[Фикс 16.09.2024]]+ППД5[[#This Row],[Наценка 01.11.24
СТ: 4%
1К: 34-40м 5%; 40м+ 8%; МГН 1%
2К: 55-70м 6%; 70-73м 7%; 73-76м 8% 
3К: 5%]]</f>
        <v>95618.253937500005</v>
      </c>
      <c r="CI420" s="93"/>
      <c r="CJ420" s="93">
        <f>ППД5[[#This Row],[Наценка 06.11 13%]]+ППД5[[#This Row],[Фикс 01.11.24]]</f>
        <v>95618.253937500005</v>
      </c>
      <c r="CK420" s="93"/>
      <c r="CL420" s="93">
        <f>ППД5[[#This Row],[Фикс 06.11.24]]+ППД5[[#This Row],[Наценка 18.12.24 распределение КВ]]</f>
        <v>95618.253937500005</v>
      </c>
      <c r="CM420" s="93"/>
      <c r="CN420" s="93">
        <f>ППД5[[#This Row],[Фикс 18.12.24]]+ППД5[[#This Row],[Наценка 10.02.25 +1%
1К: А3
2К: Б3, В3]]</f>
        <v>95618.253937500005</v>
      </c>
      <c r="CO420" s="93">
        <f>ROUND(ППД5[[#This Row],[Фикс 10.02.25]],2)</f>
        <v>95618.25</v>
      </c>
      <c r="CP42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3662178.98</v>
      </c>
      <c r="CQ420" s="93">
        <f>ROUNDUP(ППД5[[#This Row],[Стоимость до скидки]]+ППД5[[#This Row],[Сумма доплаты]],-2)</f>
        <v>3614400</v>
      </c>
      <c r="CR420" s="68"/>
      <c r="CS420" s="90"/>
      <c r="CT420" s="68">
        <f>ППД5[[#This Row],[Стоимость до скидки]]*ППД5[[#This Row],[Скидка %]]+ППД5[[#This Row],[Скидка фиксированная]]</f>
        <v>0</v>
      </c>
      <c r="CU420" s="3">
        <f>ППД5[[#This Row],[Стоимость ОН без отделки со скидкой]]/ППД5[[#This Row],[Расчетная проектная площадь]]</f>
        <v>95618.250130548317</v>
      </c>
      <c r="CV420" s="3">
        <f>ROUND(ППД5[[#This Row],[Стоимость до скидки]]-ППД5[[#This Row],[Итоговая сумма скидки]],2)</f>
        <v>3662178.98</v>
      </c>
      <c r="CW42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20" s="197"/>
      <c r="CY420" s="332">
        <f>ППД5[[#This Row],[Расхождение]]/ППД5[[#This Row],[Расчетная проектная площадь]]</f>
        <v>-1.3054830287206267E-2</v>
      </c>
      <c r="CZ42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-0.37000000000000455</v>
      </c>
      <c r="DA420" s="3">
        <f>ППД5[[#This Row],[Цена м2 без отделки со скидкой]]+ППД5[[#This Row],[Стоимость отделки]]</f>
        <v>95618.250130548317</v>
      </c>
      <c r="DB420" s="3">
        <f>ППД5[[#This Row],[Стоимость квартиры с отделкой]]-ППД5[[#This Row],[Стоимость ОН без отделки со скидкой]]</f>
        <v>0</v>
      </c>
      <c r="DC420" s="3">
        <f>ППД5[[#This Row],[Цена м2 с отделкой]]*ППД5[[#This Row],[Расчетная проектная площадь]]</f>
        <v>3662178.9800000004</v>
      </c>
      <c r="DD420" s="3"/>
      <c r="DF420" s="199" t="s">
        <v>172</v>
      </c>
      <c r="DG420" s="245" t="s">
        <v>172</v>
      </c>
      <c r="DH420" s="100" t="b">
        <f>EXACT(ППД5[[#This Row],[Статусы CRM]],ППД5[[#This Row],[Статус]])</f>
        <v>1</v>
      </c>
      <c r="DI420" s="213" t="s">
        <v>592</v>
      </c>
      <c r="DJ420" s="204"/>
      <c r="DK420" s="111" t="s">
        <v>76</v>
      </c>
      <c r="DL420" s="216" t="s">
        <v>12</v>
      </c>
      <c r="DM420" s="201" t="b">
        <f>ППД5[[#This Row],[Отделка CRM]]=ППД5[[#This Row],[Отделка]]</f>
        <v>1</v>
      </c>
      <c r="DN420" s="203">
        <v>3662178.98</v>
      </c>
      <c r="DO42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-4.6566128730773926E-10</v>
      </c>
      <c r="DP420" s="207" t="b">
        <f>IF(AND(ППД5[[#This Row],[Статус]]="свободно",ППД5[[#This Row],[Итоговая сумма скидки]]&lt;&gt;0),FALSE,TRUE)</f>
        <v>1</v>
      </c>
      <c r="DQ420" s="240">
        <f>_xlfn.XLOOKUP(ППД5[[#This Row],[№]],Юрист[№ кв],Юрист[Дата подачи на регистрацию]," ",0,-1)</f>
        <v>45188</v>
      </c>
      <c r="DR420" s="115" t="str">
        <f>_xlfn.XLOOKUP(ППД5[[#This Row],[№]],Юрист[№ кв],Юрист[МОП],"",0,-1)</f>
        <v>Калачева</v>
      </c>
      <c r="DS420" s="333" t="s">
        <v>3132</v>
      </c>
      <c r="DT420" s="333" t="s">
        <v>3133</v>
      </c>
      <c r="DU420" s="333">
        <v>36.4</v>
      </c>
      <c r="DV420" s="111"/>
    </row>
    <row r="421" spans="1:126" hidden="1" x14ac:dyDescent="0.25">
      <c r="A421" s="112">
        <v>419</v>
      </c>
      <c r="B421" s="111" t="s">
        <v>2</v>
      </c>
      <c r="C421" s="111">
        <v>4</v>
      </c>
      <c r="D421" s="115">
        <v>7</v>
      </c>
      <c r="E421" s="111">
        <v>3</v>
      </c>
      <c r="F421" s="105">
        <v>14.49</v>
      </c>
      <c r="G421" s="105">
        <v>13.98</v>
      </c>
      <c r="H421" s="105">
        <v>11.42</v>
      </c>
      <c r="I421" s="94">
        <f>SUM(ППД5[[#This Row],[Комната 1]:[Комната 3]])</f>
        <v>39.89</v>
      </c>
      <c r="J421" s="105">
        <v>16.670000000000002</v>
      </c>
      <c r="K421" s="105">
        <v>4.1399999999999997</v>
      </c>
      <c r="L421" s="105">
        <v>1.89</v>
      </c>
      <c r="M421" s="105"/>
      <c r="N421" s="105">
        <v>11.31</v>
      </c>
      <c r="O421" s="105">
        <v>2.86</v>
      </c>
      <c r="P421" s="105">
        <v>2.79</v>
      </c>
      <c r="Q421" s="105">
        <v>5.42</v>
      </c>
      <c r="R421" s="105">
        <f>SUM(ППД5[[#This Row],[Лоджия 1]:[Лоджия 3]])</f>
        <v>11.07</v>
      </c>
      <c r="S421" s="8">
        <f>ROUND(SUM(ППД5[[#This Row],[Площадь по проекту жилая]:[Лоджия 3]]),2)</f>
        <v>84.97</v>
      </c>
      <c r="T421" s="8">
        <f>ROUND(ППД5[[#This Row],[Площадь по проекту(общая)]]-ППД5[[#This Row],[Летние]],2)</f>
        <v>73.900000000000006</v>
      </c>
      <c r="U421" s="91">
        <f>ROUND(ППД5[[#This Row],[Площадь по проекту(общая)]]-(SUM(ППД5[[#This Row],[Лоджия 1]:[Лоджия 3]])/2),2)</f>
        <v>79.44</v>
      </c>
      <c r="V421" s="91">
        <f>IF(ППД5[[#This Row],[Статус]]="продажа",ППД5[[#This Row],[Расчетная проектная площадь]],ППД5[[#This Row],[Расчетная ТП площадь]])</f>
        <v>79.44</v>
      </c>
      <c r="W421" s="91">
        <v>11.4</v>
      </c>
      <c r="X421" s="91">
        <v>14.5</v>
      </c>
      <c r="Y421" s="91">
        <v>14</v>
      </c>
      <c r="Z421" s="91">
        <f>SUM(ППД5[[#This Row],[ТП Комната 1]:[ТП Комната 3]])</f>
        <v>39.9</v>
      </c>
      <c r="AA421" s="91">
        <v>16.3</v>
      </c>
      <c r="AB421" s="91">
        <v>1.9</v>
      </c>
      <c r="AC421" s="91">
        <v>4.0999999999999996</v>
      </c>
      <c r="AD421" s="91"/>
      <c r="AE421" s="91">
        <v>11.4</v>
      </c>
      <c r="AF421" s="91">
        <v>1.45</v>
      </c>
      <c r="AG421" s="91">
        <v>2.6</v>
      </c>
      <c r="AH421" s="91">
        <v>1.35</v>
      </c>
      <c r="AI421" s="91">
        <f>SUM(ППД5[[#This Row],[ТП Лоджия 1]:[ТП Лоджия 3]])</f>
        <v>5.4</v>
      </c>
      <c r="AJ421" s="95">
        <v>10.8</v>
      </c>
      <c r="AK421" s="91">
        <f>SUM(ППД5[[#This Row],[Площадь по ТП жилая]:[ТП Лоджия 3]])-ППД5[[#This Row],[ТП Летние]]+ППД5[[#This Row],[кроме того прочая
(без коэффициента)]]</f>
        <v>84.399999999999991</v>
      </c>
      <c r="AL421" s="95">
        <f>ППД5[[#This Row],[ТП Площадь без летних]]+(ППД5[[#This Row],[ТП Летние]])</f>
        <v>79</v>
      </c>
      <c r="AM421" s="91">
        <f>ППД5[[#This Row],[ТП общая S]]-ППД5[[#This Row],[кроме того прочая
(без коэффициента)]]</f>
        <v>73.599999999999994</v>
      </c>
      <c r="AN421" s="95">
        <f>SUM(ППД5[[#This Row],[ТП Кухня]:[ТП Коридор]])</f>
        <v>33.699999999999996</v>
      </c>
      <c r="AO421" s="91">
        <f>ППД5[[#This Row],[Расчетная ТП площадь]]-ППД5[[#This Row],[Расчетная проектная площадь]]</f>
        <v>-0.43999999999999773</v>
      </c>
      <c r="AP421" s="335">
        <f>ППД5[[#This Row],[Расчетная ТП площадь]]/ППД5[[#This Row],[Расчетная проектная площадь]]-1</f>
        <v>-5.5387713997985255E-3</v>
      </c>
      <c r="AQ421" s="91">
        <f>ППД5[[#This Row],[% расхождения]]*ППД5[[#This Row],[Стоимость до скидки]]</f>
        <v>-40475.125881167703</v>
      </c>
      <c r="AR421" s="91">
        <f>VLOOKUP(ППД5[[#This Row],[№]],наценкад5[],COLUMN(наценкад5[[#This Row],[Цена м2 с учетом всех K]]),0)</f>
        <v>77089.320000000022</v>
      </c>
      <c r="AS421" s="8">
        <f>ППД5[[#This Row],[м2 после К]]*5%</f>
        <v>3854.4660000000013</v>
      </c>
      <c r="AT421" s="8">
        <f>ППД5[[#This Row],[м2 после К]]+ППД5[[#This Row],[Повышение 16.08.23 - 5%]]</f>
        <v>80943.786000000022</v>
      </c>
      <c r="AU421" s="93">
        <f>ППД5[[#This Row],[Фикс 16.08.23]]*3%</f>
        <v>2428.3135800000005</v>
      </c>
      <c r="AV421" s="93">
        <f>ППД5[[#This Row],[Фикс 16.08.23]]+ППД5[[#This Row],[Повышение 29.08.23 - 3%]]</f>
        <v>83372.099580000024</v>
      </c>
      <c r="AW421" s="93"/>
      <c r="AX421" s="93">
        <f>ППД5[[#This Row],[Фикс 29.08.23]]+ППД5[[#This Row],[Повышение 06.09.23 СТ и 1К]]</f>
        <v>83372.099580000024</v>
      </c>
      <c r="AY421" s="93"/>
      <c r="AZ421" s="93">
        <f>ППД5[[#This Row],[Повышение 23.10.23  В4 ]]+ППД5[[#This Row],[Фикс 06.09.23]]</f>
        <v>83372.099580000024</v>
      </c>
      <c r="BA421" s="93"/>
      <c r="BB421" s="93">
        <f>ППД5[[#This Row],[Повышение 8.11.23 1К 5%]]+ППД5[[#This Row],[Фикс 23.10.23]]</f>
        <v>83372.099580000024</v>
      </c>
      <c r="BC421" s="93"/>
      <c r="BD421" s="93">
        <f>ППД5[[#This Row],[Корректировка 24.11.23 - 1К В5, 2К А2, №233]]+ППД5[[#This Row],[Фикс 8.11.23]]</f>
        <v>83372.099580000024</v>
      </c>
      <c r="BE421" s="93">
        <f>ППД5[[#This Row],[Фикс 8.11.24]]*1%</f>
        <v>833.72099580000031</v>
      </c>
      <c r="BF421" s="93">
        <f>ППД5[[#This Row],[Наценка за отделку 29.12.23 1%]]+ППД5[[#This Row],[Фикс 8.11.24]]</f>
        <v>84205.820575800026</v>
      </c>
      <c r="BG421" s="93">
        <f>ППД5[[#This Row],[Фикс 29.12.23]]*5%</f>
        <v>4210.2910287900013</v>
      </c>
      <c r="BH421" s="93">
        <f>ППД5[[#This Row],[Фикс 29.12.23]]+ППД5[[#This Row],[Наценка 10.01.24 5%]]</f>
        <v>88416.111604590027</v>
      </c>
      <c r="BI421" s="93"/>
      <c r="BJ421" s="93">
        <f>ППД5[[#This Row],[Наценка 26.02.24 1 Этаж]]+ППД5[[#This Row],[Фикс 10.01.24]]</f>
        <v>88416.111604590027</v>
      </c>
      <c r="BK421" s="93">
        <f>ППД5[[#This Row],[Фикс 26.02.24]]*2%</f>
        <v>1768.3222320918005</v>
      </c>
      <c r="BL421" s="93">
        <f>ППД5[[#This Row],[Фикс 26.02.24]]+ППД5[[#This Row],[Наценка 06.03.24
СТ, 1К - 3%
2К, 3К - 2%]]</f>
        <v>90184.433836681827</v>
      </c>
      <c r="BM421" s="93"/>
      <c r="BN421" s="93">
        <f>ППД5[[#This Row],[Фикс 06.03.24]]+ППД5[[#This Row],[Наценка Г2+500]]</f>
        <v>90184.433836681827</v>
      </c>
      <c r="BO421" s="93">
        <f>ППД5[[#This Row],[Фикс 13.03.25]]*2%</f>
        <v>1803.6886767336366</v>
      </c>
      <c r="BP421" s="93">
        <f>ППД5[[#This Row],[Фикс 13.03.25]]+ППД5[[#This Row],[Наценка 20.03.24
2К, 3К - 2%]]</f>
        <v>91988.122513415467</v>
      </c>
      <c r="BQ421" s="93"/>
      <c r="BR421" s="93">
        <f>ППД5[[#This Row],[Фикс 20.03.24]]+ППД5[[#This Row],[Наценка 08.04.24 
2К: В3 - 150
3К: Г7 +1000]]</f>
        <v>91988.122513415467</v>
      </c>
      <c r="BS421" s="93"/>
      <c r="BT421" s="93">
        <f>ППД5[[#This Row],[Фикс 08.04.24]]+ППД5[[#This Row],[Наценка 16.05.24 1%
А4,А6,Б3,Б6,Б7,В2,В3,В5,В6,Г1,Г3-Г5]]</f>
        <v>91988.122513415467</v>
      </c>
      <c r="BU421" s="93"/>
      <c r="BV421" s="93">
        <f>ППД5[[#This Row],[Фикс 16.05.24]]+ППД5[[#This Row],[Наценка 24.05.24
1% - Б4, Б5,Г2,Г6
2% - А1,А3,А5,Б2,Г7]]</f>
        <v>91988.122513415467</v>
      </c>
      <c r="BW421" s="93"/>
      <c r="BX421" s="93">
        <f>ППД5[[#This Row],[Наценка 06.06.24
0К: В2,Г3 +0,5%
1К: А7, Б5/4, Г6 +0,5%
3К: В6 +0,5%
1К: А3 +1%]]+ППД5[[#This Row],[Фикс 24.05.24]]</f>
        <v>91988.122513415467</v>
      </c>
      <c r="BY421" s="93"/>
      <c r="BZ421" s="93">
        <f>ППД5[[#This Row],[Фикс 06.06.24]]+ППД5[[#This Row],[13.06.2024
3К - 2%]]</f>
        <v>91988.122513415467</v>
      </c>
      <c r="CA421" s="93"/>
      <c r="CB421" s="93">
        <f>ППД5[[#This Row],[02.07.2024: Г3 А1 А3 Б5 Б7 Г2 Г6 Б3 Б4 В3 Г7 2,5% ост 0,5-1,5%]]+ППД5[[#This Row],[Фикс 13.06.24]]</f>
        <v>91988.122513415467</v>
      </c>
      <c r="CC421" s="93"/>
      <c r="CD421" s="93">
        <f>ППД5[[#This Row],[Фикс 02.07.24]]+ППД5[[#This Row],[04.09.2024 +500
0К - Б2; 1К - А3;
2К - А6, Б4, В3, Г5]]</f>
        <v>91988.122513415467</v>
      </c>
      <c r="CE421" s="93"/>
      <c r="CF421" s="93">
        <f>ППД5[[#This Row],[Наценка 16.09.2024
1К: А1,В7,Г6/7,Г8 - 2%
2К: А4,А5,А6,Б1,Б6,Б3/4,В3,В4,Г4,Г5 - 4%
3К: 4%]]+ППД5[[#This Row],[Фикс 04.09.24]]</f>
        <v>91988.122513415467</v>
      </c>
      <c r="CG421" s="93"/>
      <c r="CH421" s="93">
        <f>ППД5[[#This Row],[Фикс 16.09.2024]]+ППД5[[#This Row],[Наценка 01.11.24
СТ: 4%
1К: 34-40м 5%; 40м+ 8%; МГН 1%
2К: 55-70м 6%; 70-73м 7%; 73-76м 8% 
3К: 5%]]</f>
        <v>91988.122513415467</v>
      </c>
      <c r="CI421" s="93"/>
      <c r="CJ421" s="93">
        <f>ППД5[[#This Row],[Наценка 06.11 13%]]+ППД5[[#This Row],[Фикс 01.11.24]]</f>
        <v>91988.122513415467</v>
      </c>
      <c r="CK421" s="93"/>
      <c r="CL421" s="93">
        <f>ППД5[[#This Row],[Фикс 06.11.24]]+ППД5[[#This Row],[Наценка 18.12.24 распределение КВ]]</f>
        <v>91988.122513415467</v>
      </c>
      <c r="CM421" s="93"/>
      <c r="CN421" s="93">
        <f>ППД5[[#This Row],[Фикс 18.12.24]]+ППД5[[#This Row],[Наценка 10.02.25 +1%
1К: А3
2К: Б3, В3]]</f>
        <v>91988.122513415467</v>
      </c>
      <c r="CO421" s="93">
        <f>ROUND(ППД5[[#This Row],[Фикс 10.02.25]],2)</f>
        <v>91988.12</v>
      </c>
      <c r="CP42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7307600</v>
      </c>
      <c r="CQ421" s="93">
        <f>ROUNDUP(ППД5[[#This Row],[Стоимость до скидки]]+ППД5[[#This Row],[Сумма доплаты]],-2)</f>
        <v>7267200</v>
      </c>
      <c r="CR421" s="68">
        <v>90000</v>
      </c>
      <c r="CS421" s="90"/>
      <c r="CT421" s="68">
        <f>ППД5[[#This Row],[Стоимость до скидки]]*ППД5[[#This Row],[Скидка %]]+ППД5[[#This Row],[Скидка фиксированная]]</f>
        <v>90000</v>
      </c>
      <c r="CU421" s="3">
        <f>ППД5[[#This Row],[Стоимость ОН без отделки со скидкой]]/ППД5[[#This Row],[Расчетная проектная площадь]]</f>
        <v>90855.991943605244</v>
      </c>
      <c r="CV421" s="3">
        <f>ROUND(ППД5[[#This Row],[Стоимость до скидки]]-ППД5[[#This Row],[Итоговая сумма скидки]],2)</f>
        <v>7217600</v>
      </c>
      <c r="CW42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421" s="197">
        <v>7000</v>
      </c>
      <c r="CY421" s="332">
        <f>ППД5[[#This Row],[Расхождение]]/ППД5[[#This Row],[Расчетная проектная площадь]]</f>
        <v>-5.5387713997985619E-3</v>
      </c>
      <c r="CZ42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-0.31000000000000938</v>
      </c>
      <c r="DA421" s="3">
        <f>ППД5[[#This Row],[Цена м2 без отделки со скидкой]]+ППД5[[#This Row],[Стоимость отделки]]</f>
        <v>97855.991943605244</v>
      </c>
      <c r="DB421" s="3">
        <f>ППД5[[#This Row],[Стоимость квартиры с отделкой]]-ППД5[[#This Row],[Стоимость ОН без отделки со скидкой]]</f>
        <v>556080</v>
      </c>
      <c r="DC421" s="3">
        <f>ППД5[[#This Row],[Цена м2 с отделкой]]*ППД5[[#This Row],[Расчетная проектная площадь]]</f>
        <v>7773680</v>
      </c>
      <c r="DD421" s="3" t="s">
        <v>155</v>
      </c>
      <c r="DE421" s="111" t="s">
        <v>791</v>
      </c>
      <c r="DF421" s="199" t="s">
        <v>172</v>
      </c>
      <c r="DG421" s="245" t="s">
        <v>172</v>
      </c>
      <c r="DH421" s="100" t="b">
        <f>EXACT(ППД5[[#This Row],[Статусы CRM]],ППД5[[#This Row],[Статус]])</f>
        <v>1</v>
      </c>
      <c r="DI421" s="213" t="s">
        <v>593</v>
      </c>
      <c r="DJ421" s="204"/>
      <c r="DK421" s="111" t="s">
        <v>763</v>
      </c>
      <c r="DL421" s="216" t="s">
        <v>780</v>
      </c>
      <c r="DM421" s="201" t="b">
        <f>ППД5[[#This Row],[Отделка CRM]]=ППД5[[#This Row],[Отделка]]</f>
        <v>1</v>
      </c>
      <c r="DN421" s="203">
        <v>7773680</v>
      </c>
      <c r="DO42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21" s="207" t="b">
        <f>IF(AND(ППД5[[#This Row],[Статус]]="свободно",ППД5[[#This Row],[Итоговая сумма скидки]]&lt;&gt;0),FALSE,TRUE)</f>
        <v>1</v>
      </c>
      <c r="DQ421" s="240">
        <f>_xlfn.XLOOKUP(ППД5[[#This Row],[№]],Юрист[№ кв],Юрист[Дата подачи на регистрацию]," ",0,-1)</f>
        <v>45401</v>
      </c>
      <c r="DR421" s="115" t="str">
        <f>_xlfn.XLOOKUP(ППД5[[#This Row],[№]],Юрист[№ кв],Юрист[МОП],"",0,-1)</f>
        <v>Никишов</v>
      </c>
      <c r="DS421" s="333" t="s">
        <v>3134</v>
      </c>
      <c r="DT421" s="333" t="s">
        <v>3135</v>
      </c>
      <c r="DU421" s="333">
        <v>73.599999999999994</v>
      </c>
      <c r="DV421" s="111"/>
    </row>
    <row r="422" spans="1:126" hidden="1" x14ac:dyDescent="0.25">
      <c r="A422" s="112">
        <v>420</v>
      </c>
      <c r="B422" s="111" t="s">
        <v>2</v>
      </c>
      <c r="C422" s="111">
        <v>4</v>
      </c>
      <c r="D422" s="115">
        <v>8</v>
      </c>
      <c r="E422" s="111">
        <v>1</v>
      </c>
      <c r="F422" s="105">
        <v>16.79</v>
      </c>
      <c r="G422" s="105"/>
      <c r="H422" s="105"/>
      <c r="I422" s="94">
        <f>SUM(ППД5[[#This Row],[Комната 1]:[Комната 3]])</f>
        <v>16.79</v>
      </c>
      <c r="J422" s="105">
        <v>11.43</v>
      </c>
      <c r="K422" s="105">
        <v>3.56</v>
      </c>
      <c r="L422" s="105"/>
      <c r="M422" s="105"/>
      <c r="N422" s="105">
        <v>6.66</v>
      </c>
      <c r="O422" s="105">
        <v>2.4900000000000002</v>
      </c>
      <c r="P422" s="105"/>
      <c r="Q422" s="105"/>
      <c r="R422" s="105">
        <f>SUM(ППД5[[#This Row],[Лоджия 1]:[Лоджия 3]])</f>
        <v>2.4900000000000002</v>
      </c>
      <c r="S422" s="8">
        <f>ROUND(SUM(ППД5[[#This Row],[Площадь по проекту жилая]:[Лоджия 3]]),2)</f>
        <v>40.93</v>
      </c>
      <c r="T422" s="8">
        <f>ROUND(ППД5[[#This Row],[Площадь по проекту(общая)]]-ППД5[[#This Row],[Летние]],2)</f>
        <v>38.44</v>
      </c>
      <c r="U422" s="91">
        <f>ROUND(ППД5[[#This Row],[Площадь по проекту(общая)]]-(SUM(ППД5[[#This Row],[Лоджия 1]:[Лоджия 3]])/2),2)</f>
        <v>39.69</v>
      </c>
      <c r="V422" s="91">
        <f>IF(ППД5[[#This Row],[Статус]]="продажа",ППД5[[#This Row],[Расчетная проектная площадь]],ППД5[[#This Row],[Расчетная ТП площадь]])</f>
        <v>39.69</v>
      </c>
      <c r="W422" s="91">
        <v>16.8</v>
      </c>
      <c r="X422" s="91"/>
      <c r="Y422" s="91"/>
      <c r="Z422" s="91">
        <f>SUM(ППД5[[#This Row],[ТП Комната 1]:[ТП Комната 3]])</f>
        <v>16.8</v>
      </c>
      <c r="AA422" s="91">
        <v>11.4</v>
      </c>
      <c r="AB422" s="91">
        <v>3.5</v>
      </c>
      <c r="AC422" s="91"/>
      <c r="AD422" s="91"/>
      <c r="AE422" s="91">
        <v>6.6</v>
      </c>
      <c r="AF422" s="92">
        <v>1.25</v>
      </c>
      <c r="AG422" s="91"/>
      <c r="AH422" s="91"/>
      <c r="AI422" s="91">
        <f>SUM(ППД5[[#This Row],[ТП Лоджия 1]:[ТП Лоджия 3]])</f>
        <v>1.25</v>
      </c>
      <c r="AJ422" s="95">
        <v>2.5</v>
      </c>
      <c r="AK422" s="91">
        <f>SUM(ППД5[[#This Row],[Площадь по ТП жилая]:[ТП Лоджия 3]])-ППД5[[#This Row],[ТП Летние]]+ППД5[[#This Row],[кроме того прочая
(без коэффициента)]]</f>
        <v>40.800000000000004</v>
      </c>
      <c r="AL422" s="95">
        <f>ППД5[[#This Row],[ТП Площадь без летних]]+(ППД5[[#This Row],[ТП Летние]])</f>
        <v>39.550000000000004</v>
      </c>
      <c r="AM422" s="91">
        <f>ППД5[[#This Row],[ТП общая S]]-ППД5[[#This Row],[кроме того прочая
(без коэффициента)]]</f>
        <v>38.300000000000004</v>
      </c>
      <c r="AN422" s="95">
        <f>SUM(ППД5[[#This Row],[ТП Кухня]:[ТП Коридор]])</f>
        <v>21.5</v>
      </c>
      <c r="AO422" s="91">
        <f>ППД5[[#This Row],[Расчетная ТП площадь]]-ППД5[[#This Row],[Расчетная проектная площадь]]</f>
        <v>-0.13999999999999346</v>
      </c>
      <c r="AP422" s="335">
        <f>ППД5[[#This Row],[Расчетная ТП площадь]]/ППД5[[#This Row],[Расчетная проектная площадь]]-1</f>
        <v>-3.5273368606700828E-3</v>
      </c>
      <c r="AQ422" s="91">
        <f>ППД5[[#This Row],[% расхождения]]*ППД5[[#This Row],[Стоимость до скидки]]</f>
        <v>-15919.22398589015</v>
      </c>
      <c r="AR422" s="91">
        <f>VLOOKUP(ППД5[[#This Row],[№]],наценкад5[],COLUMN(наценкад5[[#This Row],[Цена м2 с учетом всех K]]),0)</f>
        <v>85573.6875</v>
      </c>
      <c r="AS422" s="8">
        <f>ППД5[[#This Row],[м2 после К]]*5%</f>
        <v>4278.6843749999998</v>
      </c>
      <c r="AT422" s="8">
        <f>ППД5[[#This Row],[м2 после К]]+ППД5[[#This Row],[Повышение 16.08.23 - 5%]]</f>
        <v>89852.371874999997</v>
      </c>
      <c r="AU422" s="93">
        <f>ППД5[[#This Row],[Фикс 16.08.23]]*3%</f>
        <v>2695.5711562499996</v>
      </c>
      <c r="AV422" s="93">
        <f>ППД5[[#This Row],[Фикс 16.08.23]]+ППД5[[#This Row],[Повышение 29.08.23 - 3%]]</f>
        <v>92547.94303124999</v>
      </c>
      <c r="AW422" s="93">
        <f>ППД5[[#This Row],[Фикс 29.08.23]]*4.5%</f>
        <v>4164.657436406249</v>
      </c>
      <c r="AX422" s="93">
        <f>ППД5[[#This Row],[Фикс 29.08.23]]+ППД5[[#This Row],[Повышение 06.09.23 СТ и 1К]]</f>
        <v>96712.600467656244</v>
      </c>
      <c r="AY422" s="93"/>
      <c r="AZ422" s="93">
        <f>ППД5[[#This Row],[Повышение 23.10.23  В4 ]]+ППД5[[#This Row],[Фикс 06.09.23]]</f>
        <v>96712.600467656244</v>
      </c>
      <c r="BA422" s="93">
        <f>ППД5[[#This Row],[Фикс 23.10.23]]*5%</f>
        <v>4835.6300233828124</v>
      </c>
      <c r="BB422" s="93">
        <f>ППД5[[#This Row],[Повышение 8.11.23 1К 5%]]+ППД5[[#This Row],[Фикс 23.10.23]]</f>
        <v>101548.23049103905</v>
      </c>
      <c r="BC422" s="93"/>
      <c r="BD422" s="93">
        <f>ППД5[[#This Row],[Корректировка 24.11.23 - 1К В5, 2К А2, №233]]+ППД5[[#This Row],[Фикс 8.11.23]]</f>
        <v>101548.23049103905</v>
      </c>
      <c r="BE422" s="93">
        <f>ППД5[[#This Row],[Фикс 8.11.24]]*1%</f>
        <v>1015.4823049103906</v>
      </c>
      <c r="BF422" s="93">
        <f>ППД5[[#This Row],[Наценка за отделку 29.12.23 1%]]+ППД5[[#This Row],[Фикс 8.11.24]]</f>
        <v>102563.71279594944</v>
      </c>
      <c r="BG422" s="93">
        <f>ППД5[[#This Row],[Фикс 29.12.23]]*5%</f>
        <v>5128.1856397974725</v>
      </c>
      <c r="BH422" s="93">
        <f>ППД5[[#This Row],[Фикс 29.12.23]]+ППД5[[#This Row],[Наценка 10.01.24 5%]]</f>
        <v>107691.89843574692</v>
      </c>
      <c r="BI422" s="93"/>
      <c r="BJ422" s="93">
        <f>ППД5[[#This Row],[Наценка 26.02.24 1 Этаж]]+ППД5[[#This Row],[Фикс 10.01.24]]</f>
        <v>107691.89843574692</v>
      </c>
      <c r="BK422" s="93">
        <f>ППД5[[#This Row],[Фикс 26.02.24]]*3%</f>
        <v>3230.7569530724072</v>
      </c>
      <c r="BL422" s="93">
        <f>ППД5[[#This Row],[Фикс 26.02.24]]+ППД5[[#This Row],[Наценка 06.03.24
СТ, 1К - 3%
2К, 3К - 2%]]</f>
        <v>110922.65538881933</v>
      </c>
      <c r="BM422" s="93"/>
      <c r="BN422" s="93">
        <f>ППД5[[#This Row],[Фикс 06.03.24]]+ППД5[[#This Row],[Наценка Г2+500]]</f>
        <v>110922.65538881933</v>
      </c>
      <c r="BO422" s="93"/>
      <c r="BP422" s="93">
        <f>ППД5[[#This Row],[Фикс 13.03.25]]+ППД5[[#This Row],[Наценка 20.03.24
2К, 3К - 2%]]</f>
        <v>110922.65538881933</v>
      </c>
      <c r="BQ422" s="93"/>
      <c r="BR422" s="93">
        <f>ППД5[[#This Row],[Фикс 20.03.24]]+ППД5[[#This Row],[Наценка 08.04.24 
2К: В3 - 150
3К: Г7 +1000]]</f>
        <v>110922.65538881933</v>
      </c>
      <c r="BS422" s="93"/>
      <c r="BT422" s="93">
        <f>ППД5[[#This Row],[Фикс 08.04.24]]+ППД5[[#This Row],[Наценка 16.05.24 1%
А4,А6,Б3,Б6,Б7,В2,В3,В5,В6,Г1,Г3-Г5]]</f>
        <v>110922.65538881933</v>
      </c>
      <c r="BU422" s="93"/>
      <c r="BV422" s="93">
        <f>ППД5[[#This Row],[Фикс 16.05.24]]+ППД5[[#This Row],[Наценка 24.05.24
1% - Б4, Б5,Г2,Г6
2% - А1,А3,А5,Б2,Г7]]</f>
        <v>110922.65538881933</v>
      </c>
      <c r="BW422" s="93"/>
      <c r="BX422" s="93">
        <f>ППД5[[#This Row],[Наценка 06.06.24
0К: В2,Г3 +0,5%
1К: А7, Б5/4, Г6 +0,5%
3К: В6 +0,5%
1К: А3 +1%]]+ППД5[[#This Row],[Фикс 24.05.24]]</f>
        <v>110922.65538881933</v>
      </c>
      <c r="BY422" s="93"/>
      <c r="BZ422" s="93">
        <f>ППД5[[#This Row],[Фикс 06.06.24]]+ППД5[[#This Row],[13.06.2024
3К - 2%]]</f>
        <v>110922.65538881933</v>
      </c>
      <c r="CA422" s="93">
        <f>0.5%*ППД5[[#This Row],[Фикс 13.06.24]]</f>
        <v>554.6132769440967</v>
      </c>
      <c r="CB422" s="93">
        <f>ППД5[[#This Row],[02.07.2024: Г3 А1 А3 Б5 Б7 Г2 Г6 Б3 Б4 В3 Г7 2,5% ост 0,5-1,5%]]+ППД5[[#This Row],[Фикс 13.06.24]]</f>
        <v>111477.26866576343</v>
      </c>
      <c r="CC422" s="93"/>
      <c r="CD422" s="93">
        <f>ППД5[[#This Row],[Фикс 02.07.24]]+ППД5[[#This Row],[04.09.2024 +500
0К - Б2; 1К - А3;
2К - А6, Б4, В3, Г5]]</f>
        <v>111477.26866576343</v>
      </c>
      <c r="CE422" s="93">
        <f>ППД5[[#This Row],[Фикс 04.09.24]]*2%</f>
        <v>2229.5453733152685</v>
      </c>
      <c r="CF422" s="93">
        <f>ППД5[[#This Row],[Наценка 16.09.2024
1К: А1,В7,Г6/7,Г8 - 2%
2К: А4,А5,А6,Б1,Б6,Б3/4,В3,В4,Г4,Г5 - 4%
3К: 4%]]+ППД5[[#This Row],[Фикс 04.09.24]]</f>
        <v>113706.8140390787</v>
      </c>
      <c r="CG422" s="93"/>
      <c r="CH422" s="93">
        <f>ППД5[[#This Row],[Фикс 16.09.2024]]+ППД5[[#This Row],[Наценка 01.11.24
СТ: 4%
1К: 34-40м 5%; 40м+ 8%; МГН 1%
2К: 55-70м 6%; 70-73м 7%; 73-76м 8% 
3К: 5%]]</f>
        <v>113706.8140390787</v>
      </c>
      <c r="CI422" s="93"/>
      <c r="CJ422" s="93">
        <f>ППД5[[#This Row],[Наценка 06.11 13%]]+ППД5[[#This Row],[Фикс 01.11.24]]</f>
        <v>113706.8140390787</v>
      </c>
      <c r="CK422" s="93"/>
      <c r="CL422" s="93">
        <f>ППД5[[#This Row],[Фикс 06.11.24]]+ППД5[[#This Row],[Наценка 18.12.24 распределение КВ]]</f>
        <v>113706.8140390787</v>
      </c>
      <c r="CM422" s="93"/>
      <c r="CN422" s="93">
        <f>ППД5[[#This Row],[Фикс 18.12.24]]+ППД5[[#This Row],[Наценка 10.02.25 +1%
1К: А3
2К: Б3, В3]]</f>
        <v>113706.8140390787</v>
      </c>
      <c r="CO422" s="93">
        <f>ROUND(ППД5[[#This Row],[Фикс 10.02.25]],2)</f>
        <v>113706.81</v>
      </c>
      <c r="CP42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4513100</v>
      </c>
      <c r="CQ422" s="93">
        <f>ROUNDUP(ППД5[[#This Row],[Стоимость до скидки]]+ППД5[[#This Row],[Сумма доплаты]],-2)</f>
        <v>4497200</v>
      </c>
      <c r="CR422" s="68"/>
      <c r="CS422" s="90">
        <v>0.02</v>
      </c>
      <c r="CT422" s="68">
        <f>ППД5[[#This Row],[Стоимость до скидки]]*ППД5[[#This Row],[Скидка %]]+ППД5[[#This Row],[Скидка фиксированная]]</f>
        <v>90262</v>
      </c>
      <c r="CU422" s="3">
        <f>ППД5[[#This Row],[Стоимость ОН без отделки со скидкой]]/ППД5[[#This Row],[Расчетная проектная площадь]]</f>
        <v>111434.56790123458</v>
      </c>
      <c r="CV422" s="3">
        <f>ROUND(ППД5[[#This Row],[Стоимость до скидки]]-ППД5[[#This Row],[Итоговая сумма скидки]],2)</f>
        <v>4422838</v>
      </c>
      <c r="CW42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22" s="197">
        <v>24000</v>
      </c>
      <c r="CY422" s="332">
        <f>ППД5[[#This Row],[Расхождение]]/ППД5[[#This Row],[Расчетная проектная площадь]]</f>
        <v>-3.5273368606700294E-3</v>
      </c>
      <c r="CZ42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-0.15000000000000036</v>
      </c>
      <c r="DA422" s="3">
        <f>ППД5[[#This Row],[Цена м2 без отделки со скидкой]]+ППД5[[#This Row],[Стоимость отделки]]</f>
        <v>135434.56790123458</v>
      </c>
      <c r="DB422" s="3">
        <f>ППД5[[#This Row],[Стоимость квартиры с отделкой]]-ППД5[[#This Row],[Стоимость ОН без отделки со скидкой]]</f>
        <v>952560</v>
      </c>
      <c r="DC422" s="3">
        <f>ППД5[[#This Row],[Цена м2 с отделкой]]*ППД5[[#This Row],[Расчетная проектная площадь]]</f>
        <v>5375398</v>
      </c>
      <c r="DD422" s="3"/>
      <c r="DE422" s="111" t="s">
        <v>757</v>
      </c>
      <c r="DF422" s="155" t="s">
        <v>172</v>
      </c>
      <c r="DG422" s="245" t="s">
        <v>172</v>
      </c>
      <c r="DH422" s="100" t="b">
        <f>EXACT(ППД5[[#This Row],[Статусы CRM]],ППД5[[#This Row],[Статус]])</f>
        <v>1</v>
      </c>
      <c r="DI422" s="213" t="s">
        <v>594</v>
      </c>
      <c r="DJ422" s="204"/>
      <c r="DK422" s="111" t="s">
        <v>763</v>
      </c>
      <c r="DL422" s="216" t="s">
        <v>14</v>
      </c>
      <c r="DM422" s="201" t="b">
        <f>ППД5[[#This Row],[Отделка CRM]]=ППД5[[#This Row],[Отделка]]</f>
        <v>1</v>
      </c>
      <c r="DN422" s="203">
        <v>5375398</v>
      </c>
      <c r="DO42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22" s="207" t="b">
        <f>IF(AND(ППД5[[#This Row],[Статус]]="свободно",ППД5[[#This Row],[Итоговая сумма скидки]]&lt;&gt;0),FALSE,TRUE)</f>
        <v>1</v>
      </c>
      <c r="DQ422" s="240">
        <f>_xlfn.XLOOKUP(ППД5[[#This Row],[№]],Юрист[№ кв],Юрист[Дата подачи на регистрацию]," ",0,-1)</f>
        <v>45601</v>
      </c>
      <c r="DR422" s="115" t="str">
        <f>_xlfn.XLOOKUP(ППД5[[#This Row],[№]],Юрист[№ кв],Юрист[МОП],"",0,-1)</f>
        <v>Дик</v>
      </c>
      <c r="DS422" s="333" t="s">
        <v>3136</v>
      </c>
      <c r="DT422" s="333" t="s">
        <v>3137</v>
      </c>
      <c r="DU422" s="333">
        <v>38.299999999999997</v>
      </c>
      <c r="DV422" s="111"/>
    </row>
    <row r="423" spans="1:126" hidden="1" x14ac:dyDescent="0.25">
      <c r="A423" s="112">
        <v>421</v>
      </c>
      <c r="B423" s="111" t="s">
        <v>2</v>
      </c>
      <c r="C423" s="111">
        <v>5</v>
      </c>
      <c r="D423" s="338">
        <v>1</v>
      </c>
      <c r="E423" s="111">
        <v>0</v>
      </c>
      <c r="F423" s="105">
        <v>13.74</v>
      </c>
      <c r="G423" s="105"/>
      <c r="H423" s="105"/>
      <c r="I423" s="94">
        <f>SUM(ППД5[[#This Row],[Комната 1]:[Комната 3]])</f>
        <v>13.74</v>
      </c>
      <c r="J423" s="105">
        <v>5.84</v>
      </c>
      <c r="K423" s="105">
        <v>3.76</v>
      </c>
      <c r="L423" s="105"/>
      <c r="M423" s="105"/>
      <c r="N423" s="105">
        <v>3.73</v>
      </c>
      <c r="O423" s="105">
        <v>4.6500000000000004</v>
      </c>
      <c r="P423" s="105"/>
      <c r="Q423" s="105"/>
      <c r="R423" s="105">
        <f>SUM(ППД5[[#This Row],[Лоджия 1]:[Лоджия 3]])</f>
        <v>4.6500000000000004</v>
      </c>
      <c r="S423" s="8">
        <f>ROUND(SUM(ППД5[[#This Row],[Площадь по проекту жилая]:[Лоджия 3]]),2)</f>
        <v>31.72</v>
      </c>
      <c r="T423" s="8">
        <f>ROUND(ППД5[[#This Row],[Площадь по проекту(общая)]]-ППД5[[#This Row],[Летние]],2)</f>
        <v>27.07</v>
      </c>
      <c r="U423" s="91">
        <f>ROUND(ППД5[[#This Row],[Площадь по проекту(общая)]]-(SUM(ППД5[[#This Row],[Лоджия 1]:[Лоджия 3]])/2),2)</f>
        <v>29.4</v>
      </c>
      <c r="V423" s="91">
        <f>IF(ППД5[[#This Row],[Статус]]="продажа",ППД5[[#This Row],[Расчетная проектная площадь]],ППД5[[#This Row],[Расчетная ТП площадь]])</f>
        <v>29.4</v>
      </c>
      <c r="W423" s="91">
        <v>13.7</v>
      </c>
      <c r="X423" s="91"/>
      <c r="Y423" s="91"/>
      <c r="Z423" s="91">
        <f>SUM(ППД5[[#This Row],[ТП Комната 1]:[ТП Комната 3]])</f>
        <v>13.7</v>
      </c>
      <c r="AA423" s="91">
        <v>5.8</v>
      </c>
      <c r="AB423" s="91">
        <v>3.7</v>
      </c>
      <c r="AC423" s="91"/>
      <c r="AD423" s="91"/>
      <c r="AE423" s="91">
        <v>3.8</v>
      </c>
      <c r="AF423" s="91">
        <v>2.2999999999999998</v>
      </c>
      <c r="AG423" s="91"/>
      <c r="AH423" s="91"/>
      <c r="AI423" s="91">
        <f>SUM(ППД5[[#This Row],[ТП Лоджия 1]:[ТП Лоджия 3]])</f>
        <v>2.2999999999999998</v>
      </c>
      <c r="AJ423" s="95">
        <v>4.5999999999999996</v>
      </c>
      <c r="AK423" s="91">
        <f>SUM(ППД5[[#This Row],[Площадь по ТП жилая]:[ТП Лоджия 3]])-ППД5[[#This Row],[ТП Летние]]+ППД5[[#This Row],[кроме того прочая
(без коэффициента)]]</f>
        <v>31.6</v>
      </c>
      <c r="AL423" s="95">
        <f>ППД5[[#This Row],[ТП Площадь без летних]]+(ППД5[[#This Row],[ТП Летние]])</f>
        <v>29.3</v>
      </c>
      <c r="AM423" s="91">
        <f>ППД5[[#This Row],[ТП общая S]]-ППД5[[#This Row],[кроме того прочая
(без коэффициента)]]</f>
        <v>27</v>
      </c>
      <c r="AN423" s="95">
        <f>SUM(ППД5[[#This Row],[ТП Кухня]:[ТП Коридор]])</f>
        <v>13.3</v>
      </c>
      <c r="AO423" s="91">
        <f>ППД5[[#This Row],[Расчетная ТП площадь]]-ППД5[[#This Row],[Расчетная проектная площадь]]</f>
        <v>-9.9999999999997868E-2</v>
      </c>
      <c r="AP423" s="335">
        <f>ППД5[[#This Row],[Расчетная ТП площадь]]/ППД5[[#This Row],[Расчетная проектная площадь]]-1</f>
        <v>-3.4013605442175798E-3</v>
      </c>
      <c r="AQ423" s="91">
        <f>ППД5[[#This Row],[% расхождения]]*ППД5[[#This Row],[Стоимость до скидки]]</f>
        <v>-11795.238095237723</v>
      </c>
      <c r="AR423" s="91">
        <f>VLOOKUP(ППД5[[#This Row],[№]],наценкад5[],COLUMN(наценкад5[[#This Row],[Цена м2 с учетом всех K]]),0)</f>
        <v>89353.53</v>
      </c>
      <c r="AS423" s="8">
        <f>ППД5[[#This Row],[м2 после К]]*5%</f>
        <v>4467.6765000000005</v>
      </c>
      <c r="AT423" s="8">
        <f>ППД5[[#This Row],[м2 после К]]+ППД5[[#This Row],[Повышение 16.08.23 - 5%]]</f>
        <v>93821.2065</v>
      </c>
      <c r="AU423" s="93">
        <f>ППД5[[#This Row],[Фикс 16.08.23]]*3%</f>
        <v>2814.636195</v>
      </c>
      <c r="AV423" s="93">
        <f>ППД5[[#This Row],[Фикс 16.08.23]]+ППД5[[#This Row],[Повышение 29.08.23 - 3%]]</f>
        <v>96635.842694999999</v>
      </c>
      <c r="AW423" s="93">
        <f>ППД5[[#This Row],[Фикс 29.08.23]]*9%</f>
        <v>8697.2258425500004</v>
      </c>
      <c r="AX423" s="93">
        <f>ППД5[[#This Row],[Фикс 29.08.23]]+ППД5[[#This Row],[Повышение 06.09.23 СТ и 1К]]</f>
        <v>105333.06853755</v>
      </c>
      <c r="AY423" s="93"/>
      <c r="AZ423" s="93">
        <f>ППД5[[#This Row],[Повышение 23.10.23  В4 ]]+ППД5[[#This Row],[Фикс 06.09.23]]</f>
        <v>105333.06853755</v>
      </c>
      <c r="BA423" s="93"/>
      <c r="BB423" s="93">
        <f>ППД5[[#This Row],[Повышение 8.11.23 1К 5%]]+ППД5[[#This Row],[Фикс 23.10.23]]</f>
        <v>105333.06853755</v>
      </c>
      <c r="BC423" s="93"/>
      <c r="BD423" s="93">
        <f>ППД5[[#This Row],[Корректировка 24.11.23 - 1К В5, 2К А2, №233]]+ППД5[[#This Row],[Фикс 8.11.23]]</f>
        <v>105333.06853755</v>
      </c>
      <c r="BE423" s="93">
        <f>ППД5[[#This Row],[Фикс 8.11.24]]*1%</f>
        <v>1053.3306853755</v>
      </c>
      <c r="BF423" s="93">
        <f>ППД5[[#This Row],[Наценка за отделку 29.12.23 1%]]+ППД5[[#This Row],[Фикс 8.11.24]]</f>
        <v>106386.39922292551</v>
      </c>
      <c r="BG423" s="93">
        <f>ППД5[[#This Row],[Фикс 29.12.23]]*5%</f>
        <v>5319.319961146276</v>
      </c>
      <c r="BH423" s="93">
        <f>ППД5[[#This Row],[Фикс 29.12.23]]+ППД5[[#This Row],[Наценка 10.01.24 5%]]</f>
        <v>111705.71918407179</v>
      </c>
      <c r="BI423" s="93"/>
      <c r="BJ423" s="93">
        <f>ППД5[[#This Row],[Наценка 26.02.24 1 Этаж]]+ППД5[[#This Row],[Фикс 10.01.24]]</f>
        <v>111705.71918407179</v>
      </c>
      <c r="BK423" s="93">
        <f>ППД5[[#This Row],[Фикс 26.02.24]]*3%</f>
        <v>3351.1715755221535</v>
      </c>
      <c r="BL423" s="93">
        <f>ППД5[[#This Row],[Фикс 26.02.24]]+ППД5[[#This Row],[Наценка 06.03.24
СТ, 1К - 3%
2К, 3К - 2%]]</f>
        <v>115056.89075959394</v>
      </c>
      <c r="BM423" s="93"/>
      <c r="BN423" s="93">
        <f>ППД5[[#This Row],[Фикс 06.03.24]]+ППД5[[#This Row],[Наценка Г2+500]]</f>
        <v>115056.89075959394</v>
      </c>
      <c r="BO423" s="93"/>
      <c r="BP423" s="93">
        <f>ППД5[[#This Row],[Фикс 13.03.25]]+ППД5[[#This Row],[Наценка 20.03.24
2К, 3К - 2%]]</f>
        <v>115056.89075959394</v>
      </c>
      <c r="BQ423" s="93"/>
      <c r="BR423" s="93">
        <f>ППД5[[#This Row],[Фикс 20.03.24]]+ППД5[[#This Row],[Наценка 08.04.24 
2К: В3 - 150
3К: Г7 +1000]]</f>
        <v>115056.89075959394</v>
      </c>
      <c r="BS423" s="93">
        <f>ППД5[[#This Row],[Фикс 08.04.24]]*1%</f>
        <v>1150.5689075959394</v>
      </c>
      <c r="BT423" s="93">
        <f>ППД5[[#This Row],[Фикс 08.04.24]]+ППД5[[#This Row],[Наценка 16.05.24 1%
А4,А6,Б3,Б6,Б7,В2,В3,В5,В6,Г1,Г3-Г5]]</f>
        <v>116207.45966718988</v>
      </c>
      <c r="BU423" s="93"/>
      <c r="BV423" s="93">
        <f>ППД5[[#This Row],[Фикс 16.05.24]]+ППД5[[#This Row],[Наценка 24.05.24
1% - Б4, Б5,Г2,Г6
2% - А1,А3,А5,Б2,Г7]]</f>
        <v>116207.45966718988</v>
      </c>
      <c r="BW423" s="93"/>
      <c r="BX423" s="93">
        <f>ППД5[[#This Row],[Наценка 06.06.24
0К: В2,Г3 +0,5%
1К: А7, Б5/4, Г6 +0,5%
3К: В6 +0,5%
1К: А3 +1%]]+ППД5[[#This Row],[Фикс 24.05.24]]</f>
        <v>116207.45966718988</v>
      </c>
      <c r="BY423" s="93"/>
      <c r="BZ423" s="93">
        <f>ППД5[[#This Row],[Фикс 06.06.24]]+ППД5[[#This Row],[13.06.2024
3К - 2%]]</f>
        <v>116207.45966718988</v>
      </c>
      <c r="CA423" s="93">
        <f>1.5%*ППД5[[#This Row],[Фикс 13.06.24]]</f>
        <v>1743.111895007848</v>
      </c>
      <c r="CB423" s="93">
        <f>ППД5[[#This Row],[02.07.2024: Г3 А1 А3 Б5 Б7 Г2 Г6 Б3 Б4 В3 Г7 2,5% ост 0,5-1,5%]]+ППД5[[#This Row],[Фикс 13.06.24]]</f>
        <v>117950.57156219773</v>
      </c>
      <c r="CC423" s="93"/>
      <c r="CD423" s="93">
        <f>ППД5[[#This Row],[Фикс 02.07.24]]+ППД5[[#This Row],[04.09.2024 +500
0К - Б2; 1К - А3;
2К - А6, Б4, В3, Г5]]</f>
        <v>117950.57156219773</v>
      </c>
      <c r="CE423" s="93"/>
      <c r="CF423" s="93">
        <f>ППД5[[#This Row],[Наценка 16.09.2024
1К: А1,В7,Г6/7,Г8 - 2%
2К: А4,А5,А6,Б1,Б6,Б3/4,В3,В4,Г4,Г5 - 4%
3К: 4%]]+ППД5[[#This Row],[Фикс 04.09.24]]</f>
        <v>117950.57156219773</v>
      </c>
      <c r="CG423" s="93"/>
      <c r="CH423" s="93">
        <f>ППД5[[#This Row],[Фикс 16.09.2024]]+ППД5[[#This Row],[Наценка 01.11.24
СТ: 4%
1К: 34-40м 5%; 40м+ 8%; МГН 1%
2К: 55-70м 6%; 70-73м 7%; 73-76м 8% 
3К: 5%]]</f>
        <v>117950.57156219773</v>
      </c>
      <c r="CI423" s="93"/>
      <c r="CJ423" s="93">
        <f>ППД5[[#This Row],[Наценка 06.11 13%]]+ППД5[[#This Row],[Фикс 01.11.24]]</f>
        <v>117950.57156219773</v>
      </c>
      <c r="CK423" s="93"/>
      <c r="CL423" s="93">
        <f>ППД5[[#This Row],[Фикс 06.11.24]]+ППД5[[#This Row],[Наценка 18.12.24 распределение КВ]]</f>
        <v>117950.57156219773</v>
      </c>
      <c r="CM423" s="93"/>
      <c r="CN423" s="93">
        <f>ППД5[[#This Row],[Фикс 18.12.24]]+ППД5[[#This Row],[Наценка 10.02.25 +1%
1К: А3
2К: Б3, В3]]</f>
        <v>117950.57156219773</v>
      </c>
      <c r="CO423" s="93">
        <f>ROUND(ППД5[[#This Row],[Фикс 10.02.25]],2)</f>
        <v>117950.57</v>
      </c>
      <c r="CP42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3467800</v>
      </c>
      <c r="CQ423" s="93">
        <f>ROUNDUP(ППД5[[#This Row],[Стоимость до скидки]]+ППД5[[#This Row],[Сумма доплаты]],-2)</f>
        <v>3456100</v>
      </c>
      <c r="CR423" s="68"/>
      <c r="CS423" s="90"/>
      <c r="CT423" s="68">
        <f>ППД5[[#This Row],[Стоимость до скидки]]*ППД5[[#This Row],[Скидка %]]+ППД5[[#This Row],[Скидка фиксированная]]</f>
        <v>0</v>
      </c>
      <c r="CU423" s="3">
        <f>ППД5[[#This Row],[Стоимость ОН без отделки со скидкой]]/ППД5[[#This Row],[Расчетная проектная площадь]]</f>
        <v>117952.38095238096</v>
      </c>
      <c r="CV423" s="3">
        <f>ROUND(ППД5[[#This Row],[Стоимость до скидки]]-ППД5[[#This Row],[Итоговая сумма скидки]],2)</f>
        <v>3467800</v>
      </c>
      <c r="CW42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23" s="197">
        <v>20000</v>
      </c>
      <c r="CY423" s="332">
        <f>ППД5[[#This Row],[Расхождение]]/ППД5[[#This Row],[Расчетная проектная площадь]]</f>
        <v>-3.4013605442176145E-3</v>
      </c>
      <c r="CZ42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-2.9999999999999361E-2</v>
      </c>
      <c r="DA423" s="3">
        <f>ППД5[[#This Row],[Цена м2 без отделки со скидкой]]+ППД5[[#This Row],[Стоимость отделки]]</f>
        <v>137952.38095238095</v>
      </c>
      <c r="DB423" s="3">
        <f>ППД5[[#This Row],[Стоимость квартиры с отделкой]]-ППД5[[#This Row],[Стоимость ОН без отделки со скидкой]]</f>
        <v>587999.99999999953</v>
      </c>
      <c r="DC423" s="3">
        <f>ППД5[[#This Row],[Цена м2 с отделкой]]*ППД5[[#This Row],[Расчетная проектная площадь]]</f>
        <v>4055799.9999999995</v>
      </c>
      <c r="DD423" s="3"/>
      <c r="DF423" s="199" t="s">
        <v>172</v>
      </c>
      <c r="DG423" s="245" t="s">
        <v>172</v>
      </c>
      <c r="DH423" s="100" t="b">
        <f>EXACT(ППД5[[#This Row],[Статусы CRM]],ППД5[[#This Row],[Статус]])</f>
        <v>1</v>
      </c>
      <c r="DI423" s="213" t="s">
        <v>595</v>
      </c>
      <c r="DJ423" s="204"/>
      <c r="DK423" s="111" t="s">
        <v>763</v>
      </c>
      <c r="DL423" s="216" t="s">
        <v>14</v>
      </c>
      <c r="DM423" s="201" t="b">
        <f>ППД5[[#This Row],[Отделка CRM]]=ППД5[[#This Row],[Отделка]]</f>
        <v>1</v>
      </c>
      <c r="DN423" s="203">
        <v>4055800</v>
      </c>
      <c r="DO42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4.6566128730773926E-10</v>
      </c>
      <c r="DP423" s="207" t="b">
        <f>IF(AND(ППД5[[#This Row],[Статус]]="свободно",ППД5[[#This Row],[Итоговая сумма скидки]]&lt;&gt;0),FALSE,TRUE)</f>
        <v>1</v>
      </c>
      <c r="DQ423" s="240">
        <f>_xlfn.XLOOKUP(ППД5[[#This Row],[№]],Юрист[№ кв],Юрист[Дата подачи на регистрацию]," ",0,-1)</f>
        <v>45517</v>
      </c>
      <c r="DR423" s="115" t="str">
        <f>_xlfn.XLOOKUP(ППД5[[#This Row],[№]],Юрист[№ кв],Юрист[МОП],"",0,-1)</f>
        <v>Дик</v>
      </c>
      <c r="DS423" s="333" t="s">
        <v>3138</v>
      </c>
      <c r="DT423" s="333" t="s">
        <v>3139</v>
      </c>
      <c r="DU423" s="333">
        <v>27</v>
      </c>
      <c r="DV423" s="111"/>
    </row>
    <row r="424" spans="1:126" hidden="1" x14ac:dyDescent="0.25">
      <c r="A424" s="112">
        <v>422</v>
      </c>
      <c r="B424" s="111" t="s">
        <v>2</v>
      </c>
      <c r="C424" s="111">
        <v>5</v>
      </c>
      <c r="D424" s="115">
        <v>2</v>
      </c>
      <c r="E424" s="111">
        <v>1</v>
      </c>
      <c r="F424" s="105">
        <v>13.17</v>
      </c>
      <c r="G424" s="105"/>
      <c r="H424" s="105"/>
      <c r="I424" s="94">
        <f>SUM(ППД5[[#This Row],[Комната 1]:[Комната 3]])</f>
        <v>13.17</v>
      </c>
      <c r="J424" s="105">
        <v>16.940000000000001</v>
      </c>
      <c r="K424" s="105">
        <v>3.55</v>
      </c>
      <c r="L424" s="105">
        <v>2.41</v>
      </c>
      <c r="M424" s="105"/>
      <c r="N424" s="105">
        <v>5.8</v>
      </c>
      <c r="O424" s="105">
        <v>2.68</v>
      </c>
      <c r="P424" s="105"/>
      <c r="Q424" s="105"/>
      <c r="R424" s="105">
        <f>SUM(ППД5[[#This Row],[Лоджия 1]:[Лоджия 3]])</f>
        <v>2.68</v>
      </c>
      <c r="S424" s="8">
        <f>ROUND(SUM(ППД5[[#This Row],[Площадь по проекту жилая]:[Лоджия 3]]),2)</f>
        <v>44.55</v>
      </c>
      <c r="T424" s="8">
        <f>ROUND(ППД5[[#This Row],[Площадь по проекту(общая)]]-ППД5[[#This Row],[Летние]],2)</f>
        <v>41.87</v>
      </c>
      <c r="U424" s="91">
        <f>ROUND(ППД5[[#This Row],[Площадь по проекту(общая)]]-(SUM(ППД5[[#This Row],[Лоджия 1]:[Лоджия 3]])/2),2)</f>
        <v>43.21</v>
      </c>
      <c r="V424" s="91">
        <f>IF(ППД5[[#This Row],[Статус]]="продажа",ППД5[[#This Row],[Расчетная проектная площадь]],ППД5[[#This Row],[Расчетная ТП площадь]])</f>
        <v>43.21</v>
      </c>
      <c r="W424" s="91">
        <v>12.9</v>
      </c>
      <c r="X424" s="91"/>
      <c r="Y424" s="91"/>
      <c r="Z424" s="91">
        <f>SUM(ППД5[[#This Row],[ТП Комната 1]:[ТП Комната 3]])</f>
        <v>12.9</v>
      </c>
      <c r="AA424" s="91">
        <v>16.899999999999999</v>
      </c>
      <c r="AB424" s="91">
        <v>2</v>
      </c>
      <c r="AC424" s="91">
        <v>3.3</v>
      </c>
      <c r="AD424" s="91"/>
      <c r="AE424" s="91">
        <v>5.9</v>
      </c>
      <c r="AF424" s="91">
        <v>1.35</v>
      </c>
      <c r="AG424" s="91"/>
      <c r="AH424" s="91"/>
      <c r="AI424" s="91">
        <f>SUM(ППД5[[#This Row],[ТП Лоджия 1]:[ТП Лоджия 3]])</f>
        <v>1.35</v>
      </c>
      <c r="AJ424" s="95">
        <v>2.7</v>
      </c>
      <c r="AK424" s="91">
        <f>SUM(ППД5[[#This Row],[Площадь по ТП жилая]:[ТП Лоджия 3]])-ППД5[[#This Row],[ТП Летние]]+ППД5[[#This Row],[кроме того прочая
(без коэффициента)]]</f>
        <v>43.699999999999996</v>
      </c>
      <c r="AL424" s="95">
        <f>ППД5[[#This Row],[ТП Площадь без летних]]+(ППД5[[#This Row],[ТП Летние]])</f>
        <v>42.349999999999994</v>
      </c>
      <c r="AM424" s="91">
        <f>ППД5[[#This Row],[ТП общая S]]-ППД5[[#This Row],[кроме того прочая
(без коэффициента)]]</f>
        <v>40.999999999999993</v>
      </c>
      <c r="AN424" s="95">
        <f>SUM(ППД5[[#This Row],[ТП Кухня]:[ТП Коридор]])</f>
        <v>28.1</v>
      </c>
      <c r="AO424" s="91">
        <f>ППД5[[#This Row],[Расчетная ТП площадь]]-ППД5[[#This Row],[Расчетная проектная площадь]]</f>
        <v>-0.86000000000000654</v>
      </c>
      <c r="AP424" s="335">
        <f>ППД5[[#This Row],[Расчетная ТП площадь]]/ППД5[[#This Row],[Расчетная проектная площадь]]-1</f>
        <v>-1.9902800277713628E-2</v>
      </c>
      <c r="AQ424" s="91">
        <f>ППД5[[#This Row],[% расхождения]]*ППД5[[#This Row],[Стоимость до скидки]]</f>
        <v>-116507.01226568004</v>
      </c>
      <c r="AR424" s="91">
        <f>VLOOKUP(ППД5[[#This Row],[№]],наценкад5[],COLUMN(наценкад5[[#This Row],[Цена м2 с учетом всех K]]),0)</f>
        <v>85168.125</v>
      </c>
      <c r="AS424" s="8">
        <f>ППД5[[#This Row],[м2 после К]]*5%</f>
        <v>4258.40625</v>
      </c>
      <c r="AT424" s="8">
        <f>ППД5[[#This Row],[м2 после К]]+ППД5[[#This Row],[Повышение 16.08.23 - 5%]]</f>
        <v>89426.53125</v>
      </c>
      <c r="AU424" s="93">
        <f>ППД5[[#This Row],[Фикс 16.08.23]]*3%</f>
        <v>2682.7959375</v>
      </c>
      <c r="AV424" s="93">
        <f>ППД5[[#This Row],[Фикс 16.08.23]]+ППД5[[#This Row],[Повышение 29.08.23 - 3%]]</f>
        <v>92109.327187500006</v>
      </c>
      <c r="AW424" s="93">
        <f>ППД5[[#This Row],[Фикс 29.08.23]]*1%</f>
        <v>921.09327187500003</v>
      </c>
      <c r="AX424" s="93">
        <f>ППД5[[#This Row],[Фикс 29.08.23]]+ППД5[[#This Row],[Повышение 06.09.23 СТ и 1К]]</f>
        <v>93030.420459375004</v>
      </c>
      <c r="AY424" s="93"/>
      <c r="AZ424" s="93">
        <f>ППД5[[#This Row],[Повышение 23.10.23  В4 ]]+ППД5[[#This Row],[Фикс 06.09.23]]</f>
        <v>93030.420459375004</v>
      </c>
      <c r="BA424" s="93">
        <f>ППД5[[#This Row],[Фикс 23.10.23]]*5%</f>
        <v>4651.52102296875</v>
      </c>
      <c r="BB424" s="93">
        <f>ППД5[[#This Row],[Повышение 8.11.23 1К 5%]]+ППД5[[#This Row],[Фикс 23.10.23]]</f>
        <v>97681.941482343755</v>
      </c>
      <c r="BC424" s="93"/>
      <c r="BD424" s="93">
        <f>ППД5[[#This Row],[Корректировка 24.11.23 - 1К В5, 2К А2, №233]]+ППД5[[#This Row],[Фикс 8.11.23]]</f>
        <v>97681.941482343755</v>
      </c>
      <c r="BE424" s="93">
        <f>ППД5[[#This Row],[Фикс 8.11.24]]*1%</f>
        <v>976.81941482343757</v>
      </c>
      <c r="BF424" s="93">
        <f>ППД5[[#This Row],[Наценка за отделку 29.12.23 1%]]+ППД5[[#This Row],[Фикс 8.11.24]]</f>
        <v>98658.760897167187</v>
      </c>
      <c r="BG424" s="93">
        <f>ППД5[[#This Row],[Фикс 29.12.23]]*5%</f>
        <v>4932.9380448583597</v>
      </c>
      <c r="BH424" s="93">
        <f>ППД5[[#This Row],[Фикс 29.12.23]]+ППД5[[#This Row],[Наценка 10.01.24 5%]]</f>
        <v>103591.69894202554</v>
      </c>
      <c r="BI424" s="93"/>
      <c r="BJ424" s="93">
        <f>ППД5[[#This Row],[Наценка 26.02.24 1 Этаж]]+ППД5[[#This Row],[Фикс 10.01.24]]</f>
        <v>103591.69894202554</v>
      </c>
      <c r="BK424" s="93">
        <f>ППД5[[#This Row],[Фикс 26.02.24]]*3%</f>
        <v>3107.7509682607661</v>
      </c>
      <c r="BL424" s="93">
        <f>ППД5[[#This Row],[Фикс 26.02.24]]+ППД5[[#This Row],[Наценка 06.03.24
СТ, 1К - 3%
2К, 3К - 2%]]</f>
        <v>106699.4499102863</v>
      </c>
      <c r="BM424" s="93">
        <v>500</v>
      </c>
      <c r="BN424" s="93">
        <f>ППД5[[#This Row],[Фикс 06.03.24]]+ППД5[[#This Row],[Наценка Г2+500]]</f>
        <v>107199.4499102863</v>
      </c>
      <c r="BO424" s="93"/>
      <c r="BP424" s="93">
        <f>ППД5[[#This Row],[Фикс 13.03.25]]+ППД5[[#This Row],[Наценка 20.03.24
2К, 3К - 2%]]</f>
        <v>107199.4499102863</v>
      </c>
      <c r="BQ424" s="93"/>
      <c r="BR424" s="93">
        <f>ППД5[[#This Row],[Фикс 20.03.24]]+ППД5[[#This Row],[Наценка 08.04.24 
2К: В3 - 150
3К: Г7 +1000]]</f>
        <v>107199.4499102863</v>
      </c>
      <c r="BS424" s="93"/>
      <c r="BT424" s="93">
        <f>ППД5[[#This Row],[Фикс 08.04.24]]+ППД5[[#This Row],[Наценка 16.05.24 1%
А4,А6,Б3,Б6,Б7,В2,В3,В5,В6,Г1,Г3-Г5]]</f>
        <v>107199.4499102863</v>
      </c>
      <c r="BU424" s="93">
        <f>ППД5[[#This Row],[Фикс 16.05.24]]*1%</f>
        <v>1071.9944991028631</v>
      </c>
      <c r="BV424" s="93">
        <f>ППД5[[#This Row],[Фикс 16.05.24]]+ППД5[[#This Row],[Наценка 24.05.24
1% - Б4, Б5,Г2,Г6
2% - А1,А3,А5,Б2,Г7]]</f>
        <v>108271.44440938917</v>
      </c>
      <c r="BW424" s="93"/>
      <c r="BX424" s="93">
        <f>ППД5[[#This Row],[Наценка 06.06.24
0К: В2,Г3 +0,5%
1К: А7, Б5/4, Г6 +0,5%
3К: В6 +0,5%
1К: А3 +1%]]+ППД5[[#This Row],[Фикс 24.05.24]]</f>
        <v>108271.44440938917</v>
      </c>
      <c r="BY424" s="93"/>
      <c r="BZ424" s="93">
        <f>ППД5[[#This Row],[Фикс 06.06.24]]+ППД5[[#This Row],[13.06.2024
3К - 2%]]</f>
        <v>108271.44440938917</v>
      </c>
      <c r="CA424" s="93">
        <f>2.5%*ППД5[[#This Row],[Фикс 13.06.24]]</f>
        <v>2706.7861102347292</v>
      </c>
      <c r="CB424" s="93">
        <f>ППД5[[#This Row],[02.07.2024: Г3 А1 А3 Б5 Б7 Г2 Г6 Б3 Б4 В3 Г7 2,5% ост 0,5-1,5%]]+ППД5[[#This Row],[Фикс 13.06.24]]</f>
        <v>110978.23051962389</v>
      </c>
      <c r="CC424" s="93"/>
      <c r="CD424" s="93">
        <f>ППД5[[#This Row],[Фикс 02.07.24]]+ППД5[[#This Row],[04.09.2024 +500
0К - Б2; 1К - А3;
2К - А6, Б4, В3, Г5]]</f>
        <v>110978.23051962389</v>
      </c>
      <c r="CE424" s="93"/>
      <c r="CF424" s="93">
        <f>ППД5[[#This Row],[Наценка 16.09.2024
1К: А1,В7,Г6/7,Г8 - 2%
2К: А4,А5,А6,Б1,Б6,Б3/4,В3,В4,Г4,Г5 - 4%
3К: 4%]]+ППД5[[#This Row],[Фикс 04.09.24]]</f>
        <v>110978.23051962389</v>
      </c>
      <c r="CG424" s="93">
        <f>ППД5[[#This Row],[Фикс 16.09.2024]]*8%</f>
        <v>8878.2584415699112</v>
      </c>
      <c r="CH424" s="93">
        <f>ППД5[[#This Row],[Фикс 16.09.2024]]+ППД5[[#This Row],[Наценка 01.11.24
СТ: 4%
1К: 34-40м 5%; 40м+ 8%; МГН 1%
2К: 55-70м 6%; 70-73м 7%; 73-76м 8% 
3К: 5%]]</f>
        <v>119856.4889611938</v>
      </c>
      <c r="CI424" s="93">
        <f>ППД5[[#This Row],[Фикс 01.11.24]]*13%</f>
        <v>15581.343564955194</v>
      </c>
      <c r="CJ424" s="93">
        <f>ППД5[[#This Row],[Наценка 06.11 13%]]+ППД5[[#This Row],[Фикс 01.11.24]]</f>
        <v>135437.832526149</v>
      </c>
      <c r="CK424" s="93">
        <v>35</v>
      </c>
      <c r="CL424" s="93">
        <f>ППД5[[#This Row],[Фикс 06.11.24]]+ППД5[[#This Row],[Наценка 18.12.24 распределение КВ]]</f>
        <v>135472.832526149</v>
      </c>
      <c r="CM424" s="93"/>
      <c r="CN424" s="93">
        <f>ППД5[[#This Row],[Фикс 18.12.24]]+ППД5[[#This Row],[Наценка 10.02.25 +1%
1К: А3
2К: Б3, В3]]</f>
        <v>135472.832526149</v>
      </c>
      <c r="CO424" s="93">
        <f>ROUND(ППД5[[#This Row],[Фикс 10.02.25]],2)</f>
        <v>135472.82999999999</v>
      </c>
      <c r="CP42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5853800</v>
      </c>
      <c r="CQ424" s="93">
        <f>ROUNDUP(ППД5[[#This Row],[Стоимость до скидки]]+ППД5[[#This Row],[Сумма доплаты]],-2)</f>
        <v>5737300</v>
      </c>
      <c r="CR424" s="68"/>
      <c r="CS424" s="90">
        <v>0.03</v>
      </c>
      <c r="CT424" s="68">
        <f>ППД5[[#This Row],[Стоимость до скидки]]*ППД5[[#This Row],[Скидка %]]+ППД5[[#This Row],[Скидка фиксированная]]</f>
        <v>175614</v>
      </c>
      <c r="CU424" s="3">
        <f>ППД5[[#This Row],[Стоимость ОН без отделки со скидкой]]/ППД5[[#This Row],[Расчетная проектная площадь]]</f>
        <v>131409.07197408009</v>
      </c>
      <c r="CV424" s="3">
        <f>ROUND(ППД5[[#This Row],[Стоимость до скидки]]-ППД5[[#This Row],[Итоговая сумма скидки]],2)</f>
        <v>5678186</v>
      </c>
      <c r="CW42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24" s="197">
        <v>25000</v>
      </c>
      <c r="CY424" s="332">
        <f>ППД5[[#This Row],[Расхождение]]/ППД5[[#This Row],[Расчетная проектная площадь]]</f>
        <v>-1.9902800277713642E-2</v>
      </c>
      <c r="CZ42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-0.60000000000000142</v>
      </c>
      <c r="DA424" s="3">
        <f>ППД5[[#This Row],[Цена м2 без отделки со скидкой]]+ППД5[[#This Row],[Стоимость отделки]]</f>
        <v>156409.07197408009</v>
      </c>
      <c r="DB424" s="3">
        <f>ППД5[[#This Row],[Стоимость квартиры с отделкой]]-ППД5[[#This Row],[Стоимость ОН без отделки со скидкой]]</f>
        <v>1080250.0000000009</v>
      </c>
      <c r="DC424" s="3">
        <f>ППД5[[#This Row],[Цена м2 с отделкой]]*ППД5[[#This Row],[Расчетная проектная площадь]]</f>
        <v>6758436.0000000009</v>
      </c>
      <c r="DD424" s="3"/>
      <c r="DE424" s="111" t="s">
        <v>167</v>
      </c>
      <c r="DF424" s="199" t="s">
        <v>172</v>
      </c>
      <c r="DG424" s="245" t="s">
        <v>172</v>
      </c>
      <c r="DH424" s="100" t="b">
        <f>EXACT(ППД5[[#This Row],[Статусы CRM]],ППД5[[#This Row],[Статус]])</f>
        <v>1</v>
      </c>
      <c r="DI424" s="213" t="s">
        <v>596</v>
      </c>
      <c r="DJ424" s="204"/>
      <c r="DK424" s="111" t="s">
        <v>763</v>
      </c>
      <c r="DL424" s="216" t="s">
        <v>14</v>
      </c>
      <c r="DM424" s="201" t="b">
        <f>ППД5[[#This Row],[Отделка CRM]]=ППД5[[#This Row],[Отделка]]</f>
        <v>1</v>
      </c>
      <c r="DN424" s="203">
        <v>6758436</v>
      </c>
      <c r="DO42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-9.3132257461547852E-10</v>
      </c>
      <c r="DP424" s="207" t="b">
        <f>IF(AND(ППД5[[#This Row],[Статус]]="свободно",ППД5[[#This Row],[Итоговая сумма скидки]]&lt;&gt;0),FALSE,TRUE)</f>
        <v>1</v>
      </c>
      <c r="DQ424" s="240">
        <f>_xlfn.XLOOKUP(ППД5[[#This Row],[№]],Юрист[№ кв],Юрист[Дата подачи на регистрацию]," ",0,-1)</f>
        <v>45696</v>
      </c>
      <c r="DR424" s="115" t="str">
        <f>_xlfn.XLOOKUP(ППД5[[#This Row],[№]],Юрист[№ кв],Юрист[МОП],"",0,-1)</f>
        <v>Полехович</v>
      </c>
      <c r="DS424" s="333" t="s">
        <v>3140</v>
      </c>
      <c r="DT424" s="333" t="s">
        <v>3141</v>
      </c>
      <c r="DU424" s="333">
        <v>41</v>
      </c>
      <c r="DV424" s="111"/>
    </row>
    <row r="425" spans="1:126" hidden="1" x14ac:dyDescent="0.25">
      <c r="A425" s="112">
        <v>423</v>
      </c>
      <c r="B425" s="111" t="s">
        <v>2</v>
      </c>
      <c r="C425" s="111">
        <v>5</v>
      </c>
      <c r="D425" s="115">
        <v>3</v>
      </c>
      <c r="E425" s="111">
        <v>0</v>
      </c>
      <c r="F425" s="105">
        <v>7.2</v>
      </c>
      <c r="G425" s="105"/>
      <c r="H425" s="105"/>
      <c r="I425" s="94">
        <f>SUM(ППД5[[#This Row],[Комната 1]:[Комната 3]])</f>
        <v>7.2</v>
      </c>
      <c r="J425" s="105">
        <v>5.17</v>
      </c>
      <c r="K425" s="105">
        <v>3.71</v>
      </c>
      <c r="L425" s="105"/>
      <c r="M425" s="105"/>
      <c r="N425" s="105">
        <v>6.96</v>
      </c>
      <c r="O425" s="105">
        <v>2.92</v>
      </c>
      <c r="P425" s="105"/>
      <c r="Q425" s="105"/>
      <c r="R425" s="105">
        <f>SUM(ППД5[[#This Row],[Лоджия 1]:[Лоджия 3]])</f>
        <v>2.92</v>
      </c>
      <c r="S425" s="8">
        <f>ROUND(SUM(ППД5[[#This Row],[Площадь по проекту жилая]:[Лоджия 3]]),2)</f>
        <v>25.96</v>
      </c>
      <c r="T425" s="8">
        <f>ROUND(ППД5[[#This Row],[Площадь по проекту(общая)]]-ППД5[[#This Row],[Летние]],2)</f>
        <v>23.04</v>
      </c>
      <c r="U425" s="91">
        <f>ROUND(ППД5[[#This Row],[Площадь по проекту(общая)]]-(SUM(ППД5[[#This Row],[Лоджия 1]:[Лоджия 3]])/2),2)</f>
        <v>24.5</v>
      </c>
      <c r="V425" s="91">
        <f>IF(ППД5[[#This Row],[Статус]]="продажа",ППД5[[#This Row],[Расчетная проектная площадь]],ППД5[[#This Row],[Расчетная ТП площадь]])</f>
        <v>24.5</v>
      </c>
      <c r="W425" s="91">
        <v>7.2</v>
      </c>
      <c r="X425" s="91"/>
      <c r="Y425" s="91"/>
      <c r="Z425" s="91">
        <f>SUM(ППД5[[#This Row],[ТП Комната 1]:[ТП Комната 3]])</f>
        <v>7.2</v>
      </c>
      <c r="AA425" s="91">
        <v>5.5</v>
      </c>
      <c r="AB425" s="91">
        <v>3.6</v>
      </c>
      <c r="AC425" s="91"/>
      <c r="AD425" s="91"/>
      <c r="AE425" s="91">
        <v>6.5</v>
      </c>
      <c r="AF425" s="91">
        <v>1.45</v>
      </c>
      <c r="AG425" s="91"/>
      <c r="AH425" s="91"/>
      <c r="AI425" s="91">
        <f>SUM(ППД5[[#This Row],[ТП Лоджия 1]:[ТП Лоджия 3]])</f>
        <v>1.45</v>
      </c>
      <c r="AJ425" s="95">
        <v>2.9</v>
      </c>
      <c r="AK425" s="91">
        <f>SUM(ППД5[[#This Row],[Площадь по ТП жилая]:[ТП Лоджия 3]])-ППД5[[#This Row],[ТП Летние]]+ППД5[[#This Row],[кроме того прочая
(без коэффициента)]]</f>
        <v>25.7</v>
      </c>
      <c r="AL425" s="95">
        <f>ППД5[[#This Row],[ТП Площадь без летних]]+(ППД5[[#This Row],[ТП Летние]])</f>
        <v>24.25</v>
      </c>
      <c r="AM425" s="91">
        <f>ППД5[[#This Row],[ТП общая S]]-ППД5[[#This Row],[кроме того прочая
(без коэффициента)]]</f>
        <v>22.8</v>
      </c>
      <c r="AN425" s="95">
        <f>SUM(ППД5[[#This Row],[ТП Кухня]:[ТП Коридор]])</f>
        <v>15.6</v>
      </c>
      <c r="AO425" s="91">
        <f>ППД5[[#This Row],[Расчетная ТП площадь]]-ППД5[[#This Row],[Расчетная проектная площадь]]</f>
        <v>-0.25</v>
      </c>
      <c r="AP425" s="335">
        <f>ППД5[[#This Row],[Расчетная ТП площадь]]/ППД5[[#This Row],[Расчетная проектная площадь]]-1</f>
        <v>-1.0204081632653073E-2</v>
      </c>
      <c r="AQ425" s="91">
        <f>ППД5[[#This Row],[% расхождения]]*ППД5[[#This Row],[Стоимость до скидки]]</f>
        <v>-29770.40816326534</v>
      </c>
      <c r="AR425" s="91">
        <f>VLOOKUP(ППД5[[#This Row],[№]],наценкад5[],COLUMN(наценкад5[[#This Row],[Цена м2 с учетом всех K]]),0)</f>
        <v>91105.56</v>
      </c>
      <c r="AS425" s="8">
        <f>ППД5[[#This Row],[м2 после К]]*5%</f>
        <v>4555.2780000000002</v>
      </c>
      <c r="AT425" s="8">
        <f>ППД5[[#This Row],[м2 после К]]+ППД5[[#This Row],[Повышение 16.08.23 - 5%]]</f>
        <v>95660.838000000003</v>
      </c>
      <c r="AU425" s="93">
        <f>ППД5[[#This Row],[Фикс 16.08.23]]*3%</f>
        <v>2869.8251399999999</v>
      </c>
      <c r="AV425" s="93">
        <f>ППД5[[#This Row],[Фикс 16.08.23]]+ППД5[[#This Row],[Повышение 29.08.23 - 3%]]</f>
        <v>98530.663140000004</v>
      </c>
      <c r="AW425" s="93">
        <f>ППД5[[#This Row],[Фикс 29.08.23]]*9%</f>
        <v>8867.7596826000008</v>
      </c>
      <c r="AX425" s="93">
        <f>ППД5[[#This Row],[Фикс 29.08.23]]+ППД5[[#This Row],[Повышение 06.09.23 СТ и 1К]]</f>
        <v>107398.4228226</v>
      </c>
      <c r="AY425" s="93"/>
      <c r="AZ425" s="93">
        <f>ППД5[[#This Row],[Повышение 23.10.23  В4 ]]+ППД5[[#This Row],[Фикс 06.09.23]]</f>
        <v>107398.4228226</v>
      </c>
      <c r="BA425" s="93"/>
      <c r="BB425" s="93">
        <f>ППД5[[#This Row],[Повышение 8.11.23 1К 5%]]+ППД5[[#This Row],[Фикс 23.10.23]]</f>
        <v>107398.4228226</v>
      </c>
      <c r="BC425" s="93"/>
      <c r="BD425" s="93">
        <f>ППД5[[#This Row],[Корректировка 24.11.23 - 1К В5, 2К А2, №233]]+ППД5[[#This Row],[Фикс 8.11.23]]</f>
        <v>107398.4228226</v>
      </c>
      <c r="BE425" s="93">
        <f>ППД5[[#This Row],[Фикс 8.11.24]]*1%</f>
        <v>1073.9842282259999</v>
      </c>
      <c r="BF425" s="93">
        <f>ППД5[[#This Row],[Наценка за отделку 29.12.23 1%]]+ППД5[[#This Row],[Фикс 8.11.24]]</f>
        <v>108472.407050826</v>
      </c>
      <c r="BG425" s="93">
        <f>ППД5[[#This Row],[Фикс 29.12.23]]*5%</f>
        <v>5423.6203525413002</v>
      </c>
      <c r="BH425" s="93">
        <f>ППД5[[#This Row],[Фикс 29.12.23]]+ППД5[[#This Row],[Наценка 10.01.24 5%]]</f>
        <v>113896.0274033673</v>
      </c>
      <c r="BI425" s="93"/>
      <c r="BJ425" s="93">
        <f>ППД5[[#This Row],[Наценка 26.02.24 1 Этаж]]+ППД5[[#This Row],[Фикс 10.01.24]]</f>
        <v>113896.0274033673</v>
      </c>
      <c r="BK425" s="93">
        <f>ППД5[[#This Row],[Фикс 26.02.24]]*3%</f>
        <v>3416.880822101019</v>
      </c>
      <c r="BL425" s="93">
        <f>ППД5[[#This Row],[Фикс 26.02.24]]+ППД5[[#This Row],[Наценка 06.03.24
СТ, 1К - 3%
2К, 3К - 2%]]</f>
        <v>117312.90822546833</v>
      </c>
      <c r="BM425" s="93"/>
      <c r="BN425" s="93">
        <f>ППД5[[#This Row],[Фикс 06.03.24]]+ППД5[[#This Row],[Наценка Г2+500]]</f>
        <v>117312.90822546833</v>
      </c>
      <c r="BO425" s="93"/>
      <c r="BP425" s="93">
        <f>ППД5[[#This Row],[Фикс 13.03.25]]+ППД5[[#This Row],[Наценка 20.03.24
2К, 3К - 2%]]</f>
        <v>117312.90822546833</v>
      </c>
      <c r="BQ425" s="93"/>
      <c r="BR425" s="93">
        <f>ППД5[[#This Row],[Фикс 20.03.24]]+ППД5[[#This Row],[Наценка 08.04.24 
2К: В3 - 150
3К: Г7 +1000]]</f>
        <v>117312.90822546833</v>
      </c>
      <c r="BS425" s="93">
        <f>ППД5[[#This Row],[Фикс 08.04.24]]*1%</f>
        <v>1173.1290822546832</v>
      </c>
      <c r="BT425" s="93">
        <f>ППД5[[#This Row],[Фикс 08.04.24]]+ППД5[[#This Row],[Наценка 16.05.24 1%
А4,А6,Б3,Б6,Б7,В2,В3,В5,В6,Г1,Г3-Г5]]</f>
        <v>118486.03730772302</v>
      </c>
      <c r="BU425" s="93"/>
      <c r="BV425" s="93">
        <f>ППД5[[#This Row],[Фикс 16.05.24]]+ППД5[[#This Row],[Наценка 24.05.24
1% - Б4, Б5,Г2,Г6
2% - А1,А3,А5,Б2,Г7]]</f>
        <v>118486.03730772302</v>
      </c>
      <c r="BW425" s="93">
        <f>ППД5[[#This Row],[Фикс 24.05.24]]*0.5%</f>
        <v>592.43018653861509</v>
      </c>
      <c r="BX425" s="93">
        <f>ППД5[[#This Row],[Наценка 06.06.24
0К: В2,Г3 +0,5%
1К: А7, Б5/4, Г6 +0,5%
3К: В6 +0,5%
1К: А3 +1%]]+ППД5[[#This Row],[Фикс 24.05.24]]</f>
        <v>119078.46749426163</v>
      </c>
      <c r="BY425" s="93"/>
      <c r="BZ425" s="93">
        <f>ППД5[[#This Row],[Фикс 06.06.24]]+ППД5[[#This Row],[13.06.2024
3К - 2%]]</f>
        <v>119078.46749426163</v>
      </c>
      <c r="CA425" s="93"/>
      <c r="CB425" s="93">
        <f>ППД5[[#This Row],[02.07.2024: Г3 А1 А3 Б5 Б7 Г2 Г6 Б3 Б4 В3 Г7 2,5% ост 0,5-1,5%]]+ППД5[[#This Row],[Фикс 13.06.24]]</f>
        <v>119078.46749426163</v>
      </c>
      <c r="CC425" s="93"/>
      <c r="CD425" s="93">
        <f>ППД5[[#This Row],[Фикс 02.07.24]]+ППД5[[#This Row],[04.09.2024 +500
0К - Б2; 1К - А3;
2К - А6, Б4, В3, Г5]]</f>
        <v>119078.46749426163</v>
      </c>
      <c r="CE425" s="93"/>
      <c r="CF425" s="93">
        <f>ППД5[[#This Row],[Наценка 16.09.2024
1К: А1,В7,Г6/7,Г8 - 2%
2К: А4,А5,А6,Б1,Б6,Б3/4,В3,В4,Г4,Г5 - 4%
3К: 4%]]+ППД5[[#This Row],[Фикс 04.09.24]]</f>
        <v>119078.46749426163</v>
      </c>
      <c r="CG425" s="93"/>
      <c r="CH425" s="93">
        <f>ППД5[[#This Row],[Фикс 16.09.2024]]+ППД5[[#This Row],[Наценка 01.11.24
СТ: 4%
1К: 34-40м 5%; 40м+ 8%; МГН 1%
2К: 55-70м 6%; 70-73м 7%; 73-76м 8% 
3К: 5%]]</f>
        <v>119078.46749426163</v>
      </c>
      <c r="CI425" s="93"/>
      <c r="CJ425" s="93">
        <f>ППД5[[#This Row],[Наценка 06.11 13%]]+ППД5[[#This Row],[Фикс 01.11.24]]</f>
        <v>119078.46749426163</v>
      </c>
      <c r="CK425" s="93"/>
      <c r="CL425" s="93">
        <f>ППД5[[#This Row],[Фикс 06.11.24]]+ППД5[[#This Row],[Наценка 18.12.24 распределение КВ]]</f>
        <v>119078.46749426163</v>
      </c>
      <c r="CM425" s="93"/>
      <c r="CN425" s="93">
        <f>ППД5[[#This Row],[Фикс 18.12.24]]+ППД5[[#This Row],[Наценка 10.02.25 +1%
1К: А3
2К: Б3, В3]]</f>
        <v>119078.46749426163</v>
      </c>
      <c r="CO425" s="93">
        <f>ROUND(ППД5[[#This Row],[Фикс 10.02.25]],2)</f>
        <v>119078.47</v>
      </c>
      <c r="CP42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2917500</v>
      </c>
      <c r="CQ425" s="93">
        <f>ROUNDUP(ППД5[[#This Row],[Стоимость до скидки]]+ППД5[[#This Row],[Сумма доплаты]],-2)</f>
        <v>2887800</v>
      </c>
      <c r="CR425" s="68">
        <v>20000</v>
      </c>
      <c r="CS425" s="90"/>
      <c r="CT425" s="68">
        <f>ППД5[[#This Row],[Стоимость до скидки]]*ППД5[[#This Row],[Скидка %]]+ППД5[[#This Row],[Скидка фиксированная]]</f>
        <v>20000</v>
      </c>
      <c r="CU425" s="3">
        <f>ППД5[[#This Row],[Стоимость ОН без отделки со скидкой]]/ППД5[[#This Row],[Расчетная проектная площадь]]</f>
        <v>118265.30612244898</v>
      </c>
      <c r="CV425" s="3">
        <f>ROUND(ППД5[[#This Row],[Стоимость до скидки]]-ППД5[[#This Row],[Итоговая сумма скидки]],2)</f>
        <v>2897500</v>
      </c>
      <c r="CW42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25" s="197">
        <v>20000</v>
      </c>
      <c r="CY425" s="332">
        <f>ППД5[[#This Row],[Расхождение]]/ППД5[[#This Row],[Расчетная проектная площадь]]</f>
        <v>-1.020408163265306E-2</v>
      </c>
      <c r="CZ42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-0.23999999999999932</v>
      </c>
      <c r="DA425" s="3">
        <f>ППД5[[#This Row],[Цена м2 без отделки со скидкой]]+ППД5[[#This Row],[Стоимость отделки]]</f>
        <v>138265.30612244899</v>
      </c>
      <c r="DB425" s="3">
        <f>ППД5[[#This Row],[Стоимость квартиры с отделкой]]-ППД5[[#This Row],[Стоимость ОН без отделки со скидкой]]</f>
        <v>490000.00000000047</v>
      </c>
      <c r="DC425" s="3">
        <f>ППД5[[#This Row],[Цена м2 с отделкой]]*ППД5[[#This Row],[Расчетная проектная площадь]]</f>
        <v>3387500.0000000005</v>
      </c>
      <c r="DD425" s="3"/>
      <c r="DE425" s="111" t="s">
        <v>159</v>
      </c>
      <c r="DF425" s="199" t="s">
        <v>172</v>
      </c>
      <c r="DG425" s="245" t="s">
        <v>172</v>
      </c>
      <c r="DH425" s="100" t="b">
        <f>EXACT(ППД5[[#This Row],[Статусы CRM]],ППД5[[#This Row],[Статус]])</f>
        <v>1</v>
      </c>
      <c r="DI425" s="213" t="s">
        <v>597</v>
      </c>
      <c r="DJ425" s="204"/>
      <c r="DK425" s="111" t="s">
        <v>763</v>
      </c>
      <c r="DL425" s="216" t="s">
        <v>14</v>
      </c>
      <c r="DM425" s="201" t="b">
        <f>ППД5[[#This Row],[Отделка CRM]]=ППД5[[#This Row],[Отделка]]</f>
        <v>1</v>
      </c>
      <c r="DN425" s="203">
        <v>3387500</v>
      </c>
      <c r="DO42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-4.6566128730773926E-10</v>
      </c>
      <c r="DP425" s="207" t="b">
        <f>IF(AND(ППД5[[#This Row],[Статус]]="свободно",ППД5[[#This Row],[Итоговая сумма скидки]]&lt;&gt;0),FALSE,TRUE)</f>
        <v>1</v>
      </c>
      <c r="DQ425" s="240">
        <f>_xlfn.XLOOKUP(ППД5[[#This Row],[№]],Юрист[№ кв],Юрист[Дата подачи на регистрацию]," ",0,-1)</f>
        <v>45461</v>
      </c>
      <c r="DR425" s="115" t="str">
        <f>_xlfn.XLOOKUP(ППД5[[#This Row],[№]],Юрист[№ кв],Юрист[МОП],"",0,-1)</f>
        <v>Дик</v>
      </c>
      <c r="DS425" s="333" t="s">
        <v>3142</v>
      </c>
      <c r="DT425" s="333" t="s">
        <v>3143</v>
      </c>
      <c r="DU425" s="333">
        <v>22.8</v>
      </c>
      <c r="DV425" s="111"/>
    </row>
    <row r="426" spans="1:126" hidden="1" x14ac:dyDescent="0.25">
      <c r="A426" s="112">
        <v>424</v>
      </c>
      <c r="B426" s="111" t="s">
        <v>2</v>
      </c>
      <c r="C426" s="111">
        <v>5</v>
      </c>
      <c r="D426" s="115">
        <v>4</v>
      </c>
      <c r="E426" s="111">
        <v>2</v>
      </c>
      <c r="F426" s="105">
        <v>14.48</v>
      </c>
      <c r="G426" s="105">
        <v>11.42</v>
      </c>
      <c r="H426" s="105"/>
      <c r="I426" s="94">
        <f>SUM(ППД5[[#This Row],[Комната 1]:[Комната 3]])</f>
        <v>25.9</v>
      </c>
      <c r="J426" s="105">
        <v>15.86</v>
      </c>
      <c r="K426" s="105">
        <v>3.01</v>
      </c>
      <c r="L426" s="105">
        <v>2.67</v>
      </c>
      <c r="M426" s="105"/>
      <c r="N426" s="105">
        <v>9.44</v>
      </c>
      <c r="O426" s="105">
        <v>2.72</v>
      </c>
      <c r="P426" s="105"/>
      <c r="Q426" s="105"/>
      <c r="R426" s="105">
        <f>SUM(ППД5[[#This Row],[Лоджия 1]:[Лоджия 3]])</f>
        <v>2.72</v>
      </c>
      <c r="S426" s="8">
        <f>ROUND(SUM(ППД5[[#This Row],[Площадь по проекту жилая]:[Лоджия 3]]),2)</f>
        <v>59.6</v>
      </c>
      <c r="T426" s="8">
        <f>ROUND(ППД5[[#This Row],[Площадь по проекту(общая)]]-ППД5[[#This Row],[Летние]],2)</f>
        <v>56.88</v>
      </c>
      <c r="U426" s="91">
        <f>ROUND(ППД5[[#This Row],[Площадь по проекту(общая)]]-(SUM(ППД5[[#This Row],[Лоджия 1]:[Лоджия 3]])/2),2)</f>
        <v>58.24</v>
      </c>
      <c r="V426" s="91">
        <f>IF(ППД5[[#This Row],[Статус]]="продажа",ППД5[[#This Row],[Расчетная проектная площадь]],ППД5[[#This Row],[Расчетная ТП площадь]])</f>
        <v>58.24</v>
      </c>
      <c r="W426" s="91">
        <v>14.4</v>
      </c>
      <c r="X426" s="91">
        <v>11.5</v>
      </c>
      <c r="Y426" s="91"/>
      <c r="Z426" s="91">
        <f>SUM(ППД5[[#This Row],[ТП Комната 1]:[ТП Комната 3]])</f>
        <v>25.9</v>
      </c>
      <c r="AA426" s="91">
        <v>15.8</v>
      </c>
      <c r="AB426" s="91">
        <v>2.7</v>
      </c>
      <c r="AC426" s="91">
        <v>3</v>
      </c>
      <c r="AD426" s="91"/>
      <c r="AE426" s="91">
        <v>9.3000000000000007</v>
      </c>
      <c r="AF426" s="91">
        <v>1.35</v>
      </c>
      <c r="AG426" s="91"/>
      <c r="AH426" s="91"/>
      <c r="AI426" s="91">
        <f>SUM(ППД5[[#This Row],[ТП Лоджия 1]:[ТП Лоджия 3]])</f>
        <v>1.35</v>
      </c>
      <c r="AJ426" s="95">
        <v>2.7</v>
      </c>
      <c r="AK426" s="91">
        <f>SUM(ППД5[[#This Row],[Площадь по ТП жилая]:[ТП Лоджия 3]])-ППД5[[#This Row],[ТП Летние]]+ППД5[[#This Row],[кроме того прочая
(без коэффициента)]]</f>
        <v>59.400000000000006</v>
      </c>
      <c r="AL426" s="95">
        <f>ППД5[[#This Row],[ТП Площадь без летних]]+(ППД5[[#This Row],[ТП Летние]])</f>
        <v>58.050000000000004</v>
      </c>
      <c r="AM426" s="91">
        <f>ППД5[[#This Row],[ТП общая S]]-ППД5[[#This Row],[кроме того прочая
(без коэффициента)]]</f>
        <v>56.7</v>
      </c>
      <c r="AN426" s="95">
        <f>SUM(ППД5[[#This Row],[ТП Кухня]:[ТП Коридор]])</f>
        <v>30.8</v>
      </c>
      <c r="AO426" s="91">
        <f>ППД5[[#This Row],[Расчетная ТП площадь]]-ППД5[[#This Row],[Расчетная проектная площадь]]</f>
        <v>-0.18999999999999773</v>
      </c>
      <c r="AP426" s="335">
        <f>ППД5[[#This Row],[Расчетная ТП площадь]]/ППД5[[#This Row],[Расчетная проектная площадь]]-1</f>
        <v>-3.2623626373625703E-3</v>
      </c>
      <c r="AQ426" s="91">
        <f>ППД5[[#This Row],[% расхождения]]*ППД5[[#This Row],[Стоимость до скидки]]</f>
        <v>-16343.387702609554</v>
      </c>
      <c r="AR426" s="91">
        <f>VLOOKUP(ППД5[[#This Row],[№]],наценкад5[],COLUMN(наценкад5[[#This Row],[Цена м2 с учетом всех K]]),0)</f>
        <v>79535.67300000001</v>
      </c>
      <c r="AS426" s="8">
        <f>ППД5[[#This Row],[м2 после К]]*5%</f>
        <v>3976.7836500000008</v>
      </c>
      <c r="AT426" s="8">
        <f>ППД5[[#This Row],[м2 после К]]+ППД5[[#This Row],[Повышение 16.08.23 - 5%]]</f>
        <v>83512.456650000007</v>
      </c>
      <c r="AU426" s="93">
        <f>ППД5[[#This Row],[Фикс 16.08.23]]*3%</f>
        <v>2505.3736994999999</v>
      </c>
      <c r="AV426" s="93">
        <f>ППД5[[#This Row],[Фикс 16.08.23]]+ППД5[[#This Row],[Повышение 29.08.23 - 3%]]</f>
        <v>86017.8303495</v>
      </c>
      <c r="AW426" s="93"/>
      <c r="AX426" s="93">
        <f>ППД5[[#This Row],[Фикс 29.08.23]]+ППД5[[#This Row],[Повышение 06.09.23 СТ и 1К]]</f>
        <v>86017.8303495</v>
      </c>
      <c r="AY426" s="93"/>
      <c r="AZ426" s="93">
        <f>ППД5[[#This Row],[Повышение 23.10.23  В4 ]]+ППД5[[#This Row],[Фикс 06.09.23]]</f>
        <v>86017.8303495</v>
      </c>
      <c r="BA426" s="93"/>
      <c r="BB426" s="93">
        <f>ППД5[[#This Row],[Повышение 8.11.23 1К 5%]]+ППД5[[#This Row],[Фикс 23.10.23]]</f>
        <v>86017.8303495</v>
      </c>
      <c r="BC426" s="93"/>
      <c r="BD426" s="93">
        <f>ППД5[[#This Row],[Корректировка 24.11.23 - 1К В5, 2К А2, №233]]+ППД5[[#This Row],[Фикс 8.11.23]]</f>
        <v>86017.8303495</v>
      </c>
      <c r="BE426" s="93"/>
      <c r="BF426" s="93">
        <f>ППД5[[#This Row],[Наценка за отделку 29.12.23 1%]]+ППД5[[#This Row],[Фикс 8.11.24]]</f>
        <v>86017.8303495</v>
      </c>
      <c r="BG426" s="93"/>
      <c r="BH426" s="93">
        <f>ППД5[[#This Row],[Фикс 29.12.23]]+ППД5[[#This Row],[Наценка 10.01.24 5%]]</f>
        <v>86017.8303495</v>
      </c>
      <c r="BI426" s="93"/>
      <c r="BJ426" s="93">
        <f>ППД5[[#This Row],[Наценка 26.02.24 1 Этаж]]+ППД5[[#This Row],[Фикс 10.01.24]]</f>
        <v>86017.8303495</v>
      </c>
      <c r="BK426" s="93"/>
      <c r="BL426" s="93">
        <f>ППД5[[#This Row],[Фикс 26.02.24]]+ППД5[[#This Row],[Наценка 06.03.24
СТ, 1К - 3%
2К, 3К - 2%]]</f>
        <v>86017.8303495</v>
      </c>
      <c r="BM426" s="93"/>
      <c r="BN426" s="93">
        <f>ППД5[[#This Row],[Фикс 06.03.24]]+ППД5[[#This Row],[Наценка Г2+500]]</f>
        <v>86017.8303495</v>
      </c>
      <c r="BO426" s="93"/>
      <c r="BP426" s="93">
        <f>ППД5[[#This Row],[Фикс 13.03.25]]+ППД5[[#This Row],[Наценка 20.03.24
2К, 3К - 2%]]</f>
        <v>86017.8303495</v>
      </c>
      <c r="BQ426" s="93"/>
      <c r="BR426" s="93">
        <f>ППД5[[#This Row],[Фикс 20.03.24]]+ППД5[[#This Row],[Наценка 08.04.24 
2К: В3 - 150
3К: Г7 +1000]]</f>
        <v>86017.8303495</v>
      </c>
      <c r="BS426" s="93"/>
      <c r="BT426" s="93">
        <f>ППД5[[#This Row],[Фикс 08.04.24]]+ППД5[[#This Row],[Наценка 16.05.24 1%
А4,А6,Б3,Б6,Б7,В2,В3,В5,В6,Г1,Г3-Г5]]</f>
        <v>86017.8303495</v>
      </c>
      <c r="BU426" s="93"/>
      <c r="BV426" s="93">
        <f>ППД5[[#This Row],[Фикс 16.05.24]]+ППД5[[#This Row],[Наценка 24.05.24
1% - Б4, Б5,Г2,Г6
2% - А1,А3,А5,Б2,Г7]]</f>
        <v>86017.8303495</v>
      </c>
      <c r="BW426" s="93"/>
      <c r="BX426" s="93">
        <f>ППД5[[#This Row],[Наценка 06.06.24
0К: В2,Г3 +0,5%
1К: А7, Б5/4, Г6 +0,5%
3К: В6 +0,5%
1К: А3 +1%]]+ППД5[[#This Row],[Фикс 24.05.24]]</f>
        <v>86017.8303495</v>
      </c>
      <c r="BY426" s="93"/>
      <c r="BZ426" s="93">
        <f>ППД5[[#This Row],[Фикс 06.06.24]]+ППД5[[#This Row],[13.06.2024
3К - 2%]]</f>
        <v>86017.8303495</v>
      </c>
      <c r="CA426" s="93"/>
      <c r="CB426" s="93">
        <f>ППД5[[#This Row],[02.07.2024: Г3 А1 А3 Б5 Б7 Г2 Г6 Б3 Б4 В3 Г7 2,5% ост 0,5-1,5%]]+ППД5[[#This Row],[Фикс 13.06.24]]</f>
        <v>86017.8303495</v>
      </c>
      <c r="CC426" s="93"/>
      <c r="CD426" s="93">
        <f>ППД5[[#This Row],[Фикс 02.07.24]]+ППД5[[#This Row],[04.09.2024 +500
0К - Б2; 1К - А3;
2К - А6, Б4, В3, Г5]]</f>
        <v>86017.8303495</v>
      </c>
      <c r="CE426" s="93"/>
      <c r="CF426" s="93">
        <f>ППД5[[#This Row],[Наценка 16.09.2024
1К: А1,В7,Г6/7,Г8 - 2%
2К: А4,А5,А6,Б1,Б6,Б3/4,В3,В4,Г4,Г5 - 4%
3К: 4%]]+ППД5[[#This Row],[Фикс 04.09.24]]</f>
        <v>86017.8303495</v>
      </c>
      <c r="CG426" s="93"/>
      <c r="CH426" s="93">
        <f>ППД5[[#This Row],[Фикс 16.09.2024]]+ППД5[[#This Row],[Наценка 01.11.24
СТ: 4%
1К: 34-40м 5%; 40м+ 8%; МГН 1%
2К: 55-70м 6%; 70-73м 7%; 73-76м 8% 
3К: 5%]]</f>
        <v>86017.8303495</v>
      </c>
      <c r="CI426" s="93"/>
      <c r="CJ426" s="93">
        <f>ППД5[[#This Row],[Наценка 06.11 13%]]+ППД5[[#This Row],[Фикс 01.11.24]]</f>
        <v>86017.8303495</v>
      </c>
      <c r="CK426" s="93"/>
      <c r="CL426" s="93">
        <f>ППД5[[#This Row],[Фикс 06.11.24]]+ППД5[[#This Row],[Наценка 18.12.24 распределение КВ]]</f>
        <v>86017.8303495</v>
      </c>
      <c r="CM426" s="93"/>
      <c r="CN426" s="93">
        <f>ППД5[[#This Row],[Фикс 18.12.24]]+ППД5[[#This Row],[Наценка 10.02.25 +1%
1К: А3
2К: Б3, В3]]</f>
        <v>86017.8303495</v>
      </c>
      <c r="CO426" s="93">
        <f>ROUND(ППД5[[#This Row],[Фикс 10.02.25]],2)</f>
        <v>86017.83</v>
      </c>
      <c r="CP42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5009678.42</v>
      </c>
      <c r="CQ426" s="93">
        <f>ROUNDUP(ППД5[[#This Row],[Стоимость до скидки]]+ППД5[[#This Row],[Сумма доплаты]],-2)</f>
        <v>4993400</v>
      </c>
      <c r="CR426" s="68"/>
      <c r="CS426" s="90">
        <v>0.02</v>
      </c>
      <c r="CT426" s="68">
        <f>ППД5[[#This Row],[Стоимость до скидки]]*ППД5[[#This Row],[Скидка %]]+ППД5[[#This Row],[Скидка фиксированная]]</f>
        <v>100193.5684</v>
      </c>
      <c r="CU426" s="3">
        <f>ППД5[[#This Row],[Стоимость ОН без отделки со скидкой]]/ППД5[[#This Row],[Расчетная проектная площадь]]</f>
        <v>84297.473385988997</v>
      </c>
      <c r="CV426" s="3">
        <f>ROUND(ППД5[[#This Row],[Стоимость до скидки]]-ППД5[[#This Row],[Итоговая сумма скидки]],2)</f>
        <v>4909484.8499999996</v>
      </c>
      <c r="CW42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426" s="197">
        <v>7500</v>
      </c>
      <c r="CY426" s="332">
        <f>ППД5[[#This Row],[Расхождение]]/ППД5[[#This Row],[Расчетная проектная площадь]]</f>
        <v>-3.262362637362598E-3</v>
      </c>
      <c r="CZ42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-0.18000000000000149</v>
      </c>
      <c r="DA426" s="3">
        <f>ППД5[[#This Row],[Цена м2 без отделки со скидкой]]+ППД5[[#This Row],[Стоимость отделки]]</f>
        <v>91797.473385988997</v>
      </c>
      <c r="DB426" s="3">
        <f>ППД5[[#This Row],[Стоимость квартиры с отделкой]]-ППД5[[#This Row],[Стоимость ОН без отделки со скидкой]]</f>
        <v>436800</v>
      </c>
      <c r="DC426" s="3">
        <f>ППД5[[#This Row],[Цена м2 с отделкой]]*ППД5[[#This Row],[Расчетная проектная площадь]]</f>
        <v>5346284.8499999996</v>
      </c>
      <c r="DD426" s="3"/>
      <c r="DE426" s="111" t="s">
        <v>757</v>
      </c>
      <c r="DF426" s="199" t="s">
        <v>172</v>
      </c>
      <c r="DG426" s="245" t="s">
        <v>172</v>
      </c>
      <c r="DH426" s="100" t="b">
        <f>EXACT(ППД5[[#This Row],[Статусы CRM]],ППД5[[#This Row],[Статус]])</f>
        <v>1</v>
      </c>
      <c r="DI426" s="213" t="s">
        <v>598</v>
      </c>
      <c r="DJ426" s="204"/>
      <c r="DK426" s="111" t="s">
        <v>76</v>
      </c>
      <c r="DL426" s="216" t="s">
        <v>13</v>
      </c>
      <c r="DM426" s="201" t="b">
        <f>ППД5[[#This Row],[Отделка CRM]]=ППД5[[#This Row],[Отделка]]</f>
        <v>1</v>
      </c>
      <c r="DN426" s="203">
        <v>5346284.8499999996</v>
      </c>
      <c r="DO42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26" s="207" t="b">
        <f>IF(AND(ППД5[[#This Row],[Статус]]="свободно",ППД5[[#This Row],[Итоговая сумма скидки]]&lt;&gt;0),FALSE,TRUE)</f>
        <v>1</v>
      </c>
      <c r="DQ426" s="240">
        <f>_xlfn.XLOOKUP(ППД5[[#This Row],[№]],Юрист[№ кв],Юрист[Дата подачи на регистрацию]," ",0,-1)</f>
        <v>45261</v>
      </c>
      <c r="DR426" s="115" t="str">
        <f>_xlfn.XLOOKUP(ППД5[[#This Row],[№]],Юрист[№ кв],Юрист[МОП],"",0,-1)</f>
        <v>Никишов</v>
      </c>
      <c r="DS426" s="333" t="s">
        <v>3144</v>
      </c>
      <c r="DT426" s="333" t="s">
        <v>3145</v>
      </c>
      <c r="DU426" s="333">
        <v>56.7</v>
      </c>
      <c r="DV426" s="111"/>
    </row>
    <row r="427" spans="1:126" hidden="1" x14ac:dyDescent="0.25">
      <c r="A427" s="112">
        <v>425</v>
      </c>
      <c r="B427" s="111" t="s">
        <v>2</v>
      </c>
      <c r="C427" s="111">
        <v>5</v>
      </c>
      <c r="D427" s="115">
        <v>5</v>
      </c>
      <c r="E427" s="111">
        <v>2</v>
      </c>
      <c r="F427" s="105">
        <v>15.41</v>
      </c>
      <c r="G427" s="105">
        <v>12.78</v>
      </c>
      <c r="H427" s="105"/>
      <c r="I427" s="94">
        <f>SUM(ППД5[[#This Row],[Комната 1]:[Комната 3]])</f>
        <v>28.189999999999998</v>
      </c>
      <c r="J427" s="105">
        <v>13.45</v>
      </c>
      <c r="K427" s="105">
        <v>3.7</v>
      </c>
      <c r="L427" s="105">
        <v>2.72</v>
      </c>
      <c r="M427" s="105"/>
      <c r="N427" s="105">
        <v>8.2200000000000006</v>
      </c>
      <c r="O427" s="105">
        <v>3.03</v>
      </c>
      <c r="P427" s="105"/>
      <c r="Q427" s="105"/>
      <c r="R427" s="105">
        <f>SUM(ППД5[[#This Row],[Лоджия 1]:[Лоджия 3]])</f>
        <v>3.03</v>
      </c>
      <c r="S427" s="8">
        <f>ROUND(SUM(ППД5[[#This Row],[Площадь по проекту жилая]:[Лоджия 3]]),2)</f>
        <v>59.31</v>
      </c>
      <c r="T427" s="8">
        <f>ROUND(ППД5[[#This Row],[Площадь по проекту(общая)]]-ППД5[[#This Row],[Летние]],2)</f>
        <v>56.28</v>
      </c>
      <c r="U427" s="91">
        <f>ROUND(ППД5[[#This Row],[Площадь по проекту(общая)]]-(SUM(ППД5[[#This Row],[Лоджия 1]:[Лоджия 3]])/2),2)</f>
        <v>57.8</v>
      </c>
      <c r="V427" s="91">
        <f>IF(ППД5[[#This Row],[Статус]]="продажа",ППД5[[#This Row],[Расчетная проектная площадь]],ППД5[[#This Row],[Расчетная ТП площадь]])</f>
        <v>57.8</v>
      </c>
      <c r="W427" s="91">
        <v>12.6</v>
      </c>
      <c r="X427" s="91">
        <v>15.4</v>
      </c>
      <c r="Y427" s="91"/>
      <c r="Z427" s="91">
        <f>SUM(ППД5[[#This Row],[ТП Комната 1]:[ТП Комната 3]])</f>
        <v>28</v>
      </c>
      <c r="AA427" s="91">
        <v>13.6</v>
      </c>
      <c r="AB427" s="91">
        <v>2.7</v>
      </c>
      <c r="AC427" s="91">
        <v>3.7</v>
      </c>
      <c r="AD427" s="91"/>
      <c r="AE427" s="91">
        <v>8.1999999999999993</v>
      </c>
      <c r="AF427" s="91">
        <v>1.55</v>
      </c>
      <c r="AG427" s="91"/>
      <c r="AH427" s="91"/>
      <c r="AI427" s="91">
        <f>SUM(ППД5[[#This Row],[ТП Лоджия 1]:[ТП Лоджия 3]])</f>
        <v>1.55</v>
      </c>
      <c r="AJ427" s="95">
        <v>3.1</v>
      </c>
      <c r="AK427" s="91">
        <f>SUM(ППД5[[#This Row],[Площадь по ТП жилая]:[ТП Лоджия 3]])-ППД5[[#This Row],[ТП Летние]]+ППД5[[#This Row],[кроме того прочая
(без коэффициента)]]</f>
        <v>59.300000000000004</v>
      </c>
      <c r="AL427" s="95">
        <f>ППД5[[#This Row],[ТП Площадь без летних]]+(ППД5[[#This Row],[ТП Летние]])</f>
        <v>57.75</v>
      </c>
      <c r="AM427" s="91">
        <f>ППД5[[#This Row],[ТП общая S]]-ППД5[[#This Row],[кроме того прочая
(без коэффициента)]]</f>
        <v>56.2</v>
      </c>
      <c r="AN427" s="95">
        <f>SUM(ППД5[[#This Row],[ТП Кухня]:[ТП Коридор]])</f>
        <v>28.2</v>
      </c>
      <c r="AO427" s="91">
        <f>ППД5[[#This Row],[Расчетная ТП площадь]]-ППД5[[#This Row],[Расчетная проектная площадь]]</f>
        <v>-4.9999999999997158E-2</v>
      </c>
      <c r="AP427" s="335">
        <f>ППД5[[#This Row],[Расчетная ТП площадь]]/ППД5[[#This Row],[Расчетная проектная площадь]]-1</f>
        <v>-8.6505190311414459E-4</v>
      </c>
      <c r="AQ427" s="91">
        <f>ППД5[[#This Row],[% расхождения]]*ППД5[[#This Row],[Стоимость до скидки]]</f>
        <v>-4841.1764705879987</v>
      </c>
      <c r="AR427" s="91">
        <f>VLOOKUP(ППД5[[#This Row],[№]],наценкад5[],COLUMN(наценкад5[[#This Row],[Цена м2 с учетом всех K]]),0)</f>
        <v>79149.577499999999</v>
      </c>
      <c r="AS427" s="8">
        <f>ППД5[[#This Row],[м2 после К]]*5%</f>
        <v>3957.4788750000002</v>
      </c>
      <c r="AT427" s="8">
        <f>ППД5[[#This Row],[м2 после К]]+ППД5[[#This Row],[Повышение 16.08.23 - 5%]]</f>
        <v>83107.056375</v>
      </c>
      <c r="AU427" s="93">
        <f>ППД5[[#This Row],[Фикс 16.08.23]]*3%</f>
        <v>2493.2116912500001</v>
      </c>
      <c r="AV427" s="93">
        <f>ППД5[[#This Row],[Фикс 16.08.23]]+ППД5[[#This Row],[Повышение 29.08.23 - 3%]]</f>
        <v>85600.268066250006</v>
      </c>
      <c r="AW427" s="93"/>
      <c r="AX427" s="93">
        <f>ППД5[[#This Row],[Фикс 29.08.23]]+ППД5[[#This Row],[Повышение 06.09.23 СТ и 1К]]</f>
        <v>85600.268066250006</v>
      </c>
      <c r="AY427" s="93"/>
      <c r="AZ427" s="93">
        <f>ППД5[[#This Row],[Повышение 23.10.23  В4 ]]+ППД5[[#This Row],[Фикс 06.09.23]]</f>
        <v>85600.268066250006</v>
      </c>
      <c r="BA427" s="93"/>
      <c r="BB427" s="93">
        <f>ППД5[[#This Row],[Повышение 8.11.23 1К 5%]]+ППД5[[#This Row],[Фикс 23.10.23]]</f>
        <v>85600.268066250006</v>
      </c>
      <c r="BC427" s="93"/>
      <c r="BD427" s="93">
        <f>ППД5[[#This Row],[Корректировка 24.11.23 - 1К В5, 2К А2, №233]]+ППД5[[#This Row],[Фикс 8.11.23]]</f>
        <v>85600.268066250006</v>
      </c>
      <c r="BE427" s="93">
        <f>ППД5[[#This Row],[Фикс 8.11.24]]*1%</f>
        <v>856.0026806625001</v>
      </c>
      <c r="BF427" s="93">
        <f>ППД5[[#This Row],[Наценка за отделку 29.12.23 1%]]+ППД5[[#This Row],[Фикс 8.11.24]]</f>
        <v>86456.270746912502</v>
      </c>
      <c r="BG427" s="93">
        <f>ППД5[[#This Row],[Фикс 29.12.23]]*5%</f>
        <v>4322.8135373456253</v>
      </c>
      <c r="BH427" s="93">
        <f>ППД5[[#This Row],[Фикс 29.12.23]]+ППД5[[#This Row],[Наценка 10.01.24 5%]]</f>
        <v>90779.084284258133</v>
      </c>
      <c r="BI427" s="93"/>
      <c r="BJ427" s="93">
        <f>ППД5[[#This Row],[Наценка 26.02.24 1 Этаж]]+ППД5[[#This Row],[Фикс 10.01.24]]</f>
        <v>90779.084284258133</v>
      </c>
      <c r="BK427" s="93">
        <f>ППД5[[#This Row],[Фикс 26.02.24]]*2%</f>
        <v>1815.5816856851627</v>
      </c>
      <c r="BL427" s="93">
        <f>ППД5[[#This Row],[Фикс 26.02.24]]+ППД5[[#This Row],[Наценка 06.03.24
СТ, 1К - 3%
2К, 3К - 2%]]</f>
        <v>92594.665969943293</v>
      </c>
      <c r="BM427" s="93"/>
      <c r="BN427" s="93">
        <f>ППД5[[#This Row],[Фикс 06.03.24]]+ППД5[[#This Row],[Наценка Г2+500]]</f>
        <v>92594.665969943293</v>
      </c>
      <c r="BO427" s="93">
        <f>ППД5[[#This Row],[Фикс 13.03.25]]*2%</f>
        <v>1851.893319398866</v>
      </c>
      <c r="BP427" s="93">
        <f>ППД5[[#This Row],[Фикс 13.03.25]]+ППД5[[#This Row],[Наценка 20.03.24
2К, 3К - 2%]]</f>
        <v>94446.559289342156</v>
      </c>
      <c r="BQ427" s="93"/>
      <c r="BR427" s="93">
        <f>ППД5[[#This Row],[Фикс 20.03.24]]+ППД5[[#This Row],[Наценка 08.04.24 
2К: В3 - 150
3К: Г7 +1000]]</f>
        <v>94446.559289342156</v>
      </c>
      <c r="BS427" s="93">
        <f>ППД5[[#This Row],[Фикс 08.04.24]]*1%</f>
        <v>944.46559289342156</v>
      </c>
      <c r="BT427" s="93">
        <f>ППД5[[#This Row],[Фикс 08.04.24]]+ППД5[[#This Row],[Наценка 16.05.24 1%
А4,А6,Б3,Б6,Б7,В2,В3,В5,В6,Г1,Г3-Г5]]</f>
        <v>95391.024882235579</v>
      </c>
      <c r="BU427" s="93"/>
      <c r="BV427" s="93">
        <f>ППД5[[#This Row],[Фикс 16.05.24]]+ППД5[[#This Row],[Наценка 24.05.24
1% - Б4, Б5,Г2,Г6
2% - А1,А3,А5,Б2,Г7]]</f>
        <v>95391.024882235579</v>
      </c>
      <c r="BW427" s="93"/>
      <c r="BX427" s="93">
        <f>ППД5[[#This Row],[Наценка 06.06.24
0К: В2,Г3 +0,5%
1К: А7, Б5/4, Г6 +0,5%
3К: В6 +0,5%
1К: А3 +1%]]+ППД5[[#This Row],[Фикс 24.05.24]]</f>
        <v>95391.024882235579</v>
      </c>
      <c r="BY427" s="93"/>
      <c r="BZ427" s="93">
        <f>ППД5[[#This Row],[Фикс 06.06.24]]+ППД5[[#This Row],[13.06.2024
3К - 2%]]</f>
        <v>95391.024882235579</v>
      </c>
      <c r="CA427" s="47">
        <f>1.5%*ППД5[[#This Row],[Фикс 13.06.24]]</f>
        <v>1430.8653732335335</v>
      </c>
      <c r="CB427" s="93">
        <f>ППД5[[#This Row],[02.07.2024: Г3 А1 А3 Б5 Б7 Г2 Г6 Б3 Б4 В3 Г7 2,5% ост 0,5-1,5%]]+ППД5[[#This Row],[Фикс 13.06.24]]</f>
        <v>96821.890255469116</v>
      </c>
      <c r="CC427" s="93"/>
      <c r="CD427" s="93">
        <f>ППД5[[#This Row],[Фикс 02.07.24]]+ППД5[[#This Row],[04.09.2024 +500
0К - Б2; 1К - А3;
2К - А6, Б4, В3, Г5]]</f>
        <v>96821.890255469116</v>
      </c>
      <c r="CE427" s="93"/>
      <c r="CF427" s="93">
        <f>ППД5[[#This Row],[Наценка 16.09.2024
1К: А1,В7,Г6/7,Г8 - 2%
2К: А4,А5,А6,Б1,Б6,Б3/4,В3,В4,Г4,Г5 - 4%
3К: 4%]]+ППД5[[#This Row],[Фикс 04.09.24]]</f>
        <v>96821.890255469116</v>
      </c>
      <c r="CG427" s="93"/>
      <c r="CH427" s="93">
        <f>ППД5[[#This Row],[Фикс 16.09.2024]]+ППД5[[#This Row],[Наценка 01.11.24
СТ: 4%
1К: 34-40м 5%; 40м+ 8%; МГН 1%
2К: 55-70м 6%; 70-73м 7%; 73-76м 8% 
3К: 5%]]</f>
        <v>96821.890255469116</v>
      </c>
      <c r="CI427" s="93"/>
      <c r="CJ427" s="93">
        <f>ППД5[[#This Row],[Наценка 06.11 13%]]+ППД5[[#This Row],[Фикс 01.11.24]]</f>
        <v>96821.890255469116</v>
      </c>
      <c r="CK427" s="93"/>
      <c r="CL427" s="93">
        <f>ППД5[[#This Row],[Фикс 06.11.24]]+ППД5[[#This Row],[Наценка 18.12.24 распределение КВ]]</f>
        <v>96821.890255469116</v>
      </c>
      <c r="CM427" s="93"/>
      <c r="CN427" s="93">
        <f>ППД5[[#This Row],[Фикс 18.12.24]]+ППД5[[#This Row],[Наценка 10.02.25 +1%
1К: А3
2К: Б3, В3]]</f>
        <v>96821.890255469116</v>
      </c>
      <c r="CO427" s="93">
        <f>ROUND(ППД5[[#This Row],[Фикс 10.02.25]],2)</f>
        <v>96821.89</v>
      </c>
      <c r="CP42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5596400</v>
      </c>
      <c r="CQ427" s="93">
        <f>ROUNDUP(ППД5[[#This Row],[Стоимость до скидки]]+ППД5[[#This Row],[Сумма доплаты]],-2)</f>
        <v>5591600</v>
      </c>
      <c r="CR427" s="68"/>
      <c r="CS427" s="90"/>
      <c r="CT427" s="68">
        <f>ППД5[[#This Row],[Стоимость до скидки]]*ППД5[[#This Row],[Скидка %]]+ППД5[[#This Row],[Скидка фиксированная]]</f>
        <v>0</v>
      </c>
      <c r="CU427" s="3">
        <f>ППД5[[#This Row],[Стоимость ОН без отделки со скидкой]]/ППД5[[#This Row],[Расчетная проектная площадь]]</f>
        <v>96823.529411764714</v>
      </c>
      <c r="CV427" s="3">
        <f>ROUND(ППД5[[#This Row],[Стоимость до скидки]]-ППД5[[#This Row],[Итоговая сумма скидки]],2)</f>
        <v>5596400</v>
      </c>
      <c r="CW42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27" s="197"/>
      <c r="CY427" s="332">
        <f>ППД5[[#This Row],[Расхождение]]/ППД5[[#This Row],[Расчетная проектная площадь]]</f>
        <v>-8.6505190311413776E-4</v>
      </c>
      <c r="CZ42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0.10999999999999943</v>
      </c>
      <c r="DA427" s="3">
        <f>ППД5[[#This Row],[Цена м2 без отделки со скидкой]]+ППД5[[#This Row],[Стоимость отделки]]</f>
        <v>96823.529411764714</v>
      </c>
      <c r="DB427" s="3">
        <f>ППД5[[#This Row],[Стоимость квартиры с отделкой]]-ППД5[[#This Row],[Стоимость ОН без отделки со скидкой]]</f>
        <v>0</v>
      </c>
      <c r="DC427" s="3">
        <f>ППД5[[#This Row],[Цена м2 с отделкой]]*ППД5[[#This Row],[Расчетная проектная площадь]]</f>
        <v>5596400</v>
      </c>
      <c r="DD427" s="3"/>
      <c r="DF427" s="199" t="s">
        <v>172</v>
      </c>
      <c r="DG427" s="245" t="s">
        <v>172</v>
      </c>
      <c r="DH427" s="100" t="b">
        <f>EXACT(ППД5[[#This Row],[Статусы CRM]],ППД5[[#This Row],[Статус]])</f>
        <v>1</v>
      </c>
      <c r="DI427" s="213" t="s">
        <v>599</v>
      </c>
      <c r="DJ427" s="204"/>
      <c r="DK427" s="111" t="s">
        <v>763</v>
      </c>
      <c r="DL427" s="216" t="s">
        <v>12</v>
      </c>
      <c r="DM427" s="201" t="b">
        <f>ППД5[[#This Row],[Отделка CRM]]=ППД5[[#This Row],[Отделка]]</f>
        <v>1</v>
      </c>
      <c r="DN427" s="203">
        <v>5596400</v>
      </c>
      <c r="DO42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27" s="207" t="b">
        <f>IF(AND(ППД5[[#This Row],[Статус]]="свободно",ППД5[[#This Row],[Итоговая сумма скидки]]&lt;&gt;0),FALSE,TRUE)</f>
        <v>1</v>
      </c>
      <c r="DQ427" s="240">
        <f>_xlfn.XLOOKUP(ППД5[[#This Row],[№]],Юрист[№ кв],Юрист[Дата подачи на регистрацию]," ",0,-1)</f>
        <v>45516</v>
      </c>
      <c r="DR427" s="115" t="str">
        <f>_xlfn.XLOOKUP(ППД5[[#This Row],[№]],Юрист[№ кв],Юрист[МОП],"",0,-1)</f>
        <v>Дик</v>
      </c>
      <c r="DS427" s="333" t="s">
        <v>3146</v>
      </c>
      <c r="DT427" s="333" t="s">
        <v>3147</v>
      </c>
      <c r="DU427" s="333">
        <v>56.2</v>
      </c>
      <c r="DV427" s="111"/>
    </row>
    <row r="428" spans="1:126" hidden="1" x14ac:dyDescent="0.25">
      <c r="A428" s="112">
        <v>426</v>
      </c>
      <c r="B428" s="111" t="s">
        <v>2</v>
      </c>
      <c r="C428" s="111">
        <v>5</v>
      </c>
      <c r="D428" s="115">
        <v>6</v>
      </c>
      <c r="E428" s="111">
        <v>1</v>
      </c>
      <c r="F428" s="105">
        <v>12.71</v>
      </c>
      <c r="G428" s="105"/>
      <c r="H428" s="105"/>
      <c r="I428" s="94">
        <f>SUM(ППД5[[#This Row],[Комната 1]:[Комната 3]])</f>
        <v>12.71</v>
      </c>
      <c r="J428" s="105">
        <v>12.55</v>
      </c>
      <c r="K428" s="105">
        <v>4.28</v>
      </c>
      <c r="L428" s="105"/>
      <c r="M428" s="105"/>
      <c r="N428" s="105">
        <v>7.34</v>
      </c>
      <c r="O428" s="105">
        <v>2.84</v>
      </c>
      <c r="P428" s="105"/>
      <c r="Q428" s="105"/>
      <c r="R428" s="105">
        <f>SUM(ППД5[[#This Row],[Лоджия 1]:[Лоджия 3]])</f>
        <v>2.84</v>
      </c>
      <c r="S428" s="8">
        <f>ROUND(SUM(ППД5[[#This Row],[Площадь по проекту жилая]:[Лоджия 3]]),2)</f>
        <v>39.72</v>
      </c>
      <c r="T428" s="8">
        <f>ROUND(ППД5[[#This Row],[Площадь по проекту(общая)]]-ППД5[[#This Row],[Летние]],2)</f>
        <v>36.880000000000003</v>
      </c>
      <c r="U428" s="91">
        <f>ROUND(ППД5[[#This Row],[Площадь по проекту(общая)]]-(SUM(ППД5[[#This Row],[Лоджия 1]:[Лоджия 3]])/2),2)</f>
        <v>38.299999999999997</v>
      </c>
      <c r="V428" s="91">
        <f>IF(ППД5[[#This Row],[Статус]]="продажа",ППД5[[#This Row],[Расчетная проектная площадь]],ППД5[[#This Row],[Расчетная ТП площадь]])</f>
        <v>38.299999999999997</v>
      </c>
      <c r="W428" s="91">
        <v>12.6</v>
      </c>
      <c r="X428" s="91"/>
      <c r="Y428" s="91"/>
      <c r="Z428" s="91">
        <f>SUM(ППД5[[#This Row],[ТП Комната 1]:[ТП Комната 3]])</f>
        <v>12.6</v>
      </c>
      <c r="AA428" s="91">
        <v>12.5</v>
      </c>
      <c r="AB428" s="91">
        <v>4.0999999999999996</v>
      </c>
      <c r="AC428" s="91"/>
      <c r="AD428" s="91"/>
      <c r="AE428" s="91">
        <v>7.3</v>
      </c>
      <c r="AF428" s="91">
        <v>1.4</v>
      </c>
      <c r="AG428" s="91"/>
      <c r="AH428" s="91"/>
      <c r="AI428" s="91">
        <f>SUM(ППД5[[#This Row],[ТП Лоджия 1]:[ТП Лоджия 3]])</f>
        <v>1.4</v>
      </c>
      <c r="AJ428" s="95">
        <v>2.8</v>
      </c>
      <c r="AK428" s="91">
        <f>SUM(ППД5[[#This Row],[Площадь по ТП жилая]:[ТП Лоджия 3]])-ППД5[[#This Row],[ТП Летние]]+ППД5[[#This Row],[кроме того прочая
(без коэффициента)]]</f>
        <v>39.299999999999997</v>
      </c>
      <c r="AL428" s="95">
        <f>ППД5[[#This Row],[ТП Площадь без летних]]+(ППД5[[#This Row],[ТП Летние]])</f>
        <v>37.9</v>
      </c>
      <c r="AM428" s="91">
        <f>ППД5[[#This Row],[ТП общая S]]-ППД5[[#This Row],[кроме того прочая
(без коэффициента)]]</f>
        <v>36.5</v>
      </c>
      <c r="AN428" s="95">
        <f>SUM(ППД5[[#This Row],[ТП Кухня]:[ТП Коридор]])</f>
        <v>23.900000000000002</v>
      </c>
      <c r="AO428" s="91">
        <f>ППД5[[#This Row],[Расчетная ТП площадь]]-ППД5[[#This Row],[Расчетная проектная площадь]]</f>
        <v>-0.39999999999999858</v>
      </c>
      <c r="AP428" s="335">
        <f>ППД5[[#This Row],[Расчетная ТП площадь]]/ППД5[[#This Row],[Расчетная проектная площадь]]-1</f>
        <v>-1.0443864229764954E-2</v>
      </c>
      <c r="AQ428" s="91">
        <f>ППД5[[#This Row],[% расхождения]]*ППД5[[#This Row],[Стоимость до скидки]]</f>
        <v>-43899.738903394005</v>
      </c>
      <c r="AR428" s="91">
        <f>VLOOKUP(ППД5[[#This Row],[№]],наценкад5[],COLUMN(наценкад5[[#This Row],[Цена м2 с учетом всех K]]),0)</f>
        <v>87601.5</v>
      </c>
      <c r="AS428" s="8">
        <f>ППД5[[#This Row],[м2 после К]]*5%</f>
        <v>4380.0749999999998</v>
      </c>
      <c r="AT428" s="8">
        <f>ППД5[[#This Row],[м2 после К]]+ППД5[[#This Row],[Повышение 16.08.23 - 5%]]</f>
        <v>91981.574999999997</v>
      </c>
      <c r="AU428" s="93">
        <f>ППД5[[#This Row],[Фикс 16.08.23]]*3%</f>
        <v>2759.4472499999997</v>
      </c>
      <c r="AV428" s="93">
        <f>ППД5[[#This Row],[Фикс 16.08.23]]+ППД5[[#This Row],[Повышение 29.08.23 - 3%]]</f>
        <v>94741.022249999995</v>
      </c>
      <c r="AW428" s="93">
        <f>ППД5[[#This Row],[Фикс 29.08.23]]*1%</f>
        <v>947.41022249999992</v>
      </c>
      <c r="AX428" s="93">
        <f>ППД5[[#This Row],[Фикс 29.08.23]]+ППД5[[#This Row],[Повышение 06.09.23 СТ и 1К]]</f>
        <v>95688.43247249999</v>
      </c>
      <c r="AY428" s="93"/>
      <c r="AZ428" s="93">
        <f>ППД5[[#This Row],[Повышение 23.10.23  В4 ]]+ППД5[[#This Row],[Фикс 06.09.23]]</f>
        <v>95688.43247249999</v>
      </c>
      <c r="BA428" s="93">
        <f>ППД5[[#This Row],[Фикс 23.10.23]]*5%</f>
        <v>4784.4216236249995</v>
      </c>
      <c r="BB428" s="93">
        <f>ППД5[[#This Row],[Повышение 8.11.23 1К 5%]]+ППД5[[#This Row],[Фикс 23.10.23]]</f>
        <v>100472.854096125</v>
      </c>
      <c r="BC428" s="93"/>
      <c r="BD428" s="93">
        <f>ППД5[[#This Row],[Корректировка 24.11.23 - 1К В5, 2К А2, №233]]+ППД5[[#This Row],[Фикс 8.11.23]]</f>
        <v>100472.854096125</v>
      </c>
      <c r="BE428" s="93">
        <f>ППД5[[#This Row],[Фикс 8.11.24]]*1%</f>
        <v>1004.72854096125</v>
      </c>
      <c r="BF428" s="93">
        <f>ППД5[[#This Row],[Наценка за отделку 29.12.23 1%]]+ППД5[[#This Row],[Фикс 8.11.24]]</f>
        <v>101477.58263708625</v>
      </c>
      <c r="BG428" s="93">
        <f>ППД5[[#This Row],[Фикс 29.12.23]]*5%</f>
        <v>5073.8791318543126</v>
      </c>
      <c r="BH428" s="93">
        <f>ППД5[[#This Row],[Фикс 29.12.23]]+ППД5[[#This Row],[Наценка 10.01.24 5%]]</f>
        <v>106551.46176894056</v>
      </c>
      <c r="BI428" s="93"/>
      <c r="BJ428" s="93">
        <f>ППД5[[#This Row],[Наценка 26.02.24 1 Этаж]]+ППД5[[#This Row],[Фикс 10.01.24]]</f>
        <v>106551.46176894056</v>
      </c>
      <c r="BK428" s="93">
        <f>ППД5[[#This Row],[Фикс 26.02.24]]*3%</f>
        <v>3196.5438530682168</v>
      </c>
      <c r="BL428" s="93">
        <f>ППД5[[#This Row],[Фикс 26.02.24]]+ППД5[[#This Row],[Наценка 06.03.24
СТ, 1К - 3%
2К, 3К - 2%]]</f>
        <v>109748.00562200877</v>
      </c>
      <c r="BM428" s="93"/>
      <c r="BN428" s="93">
        <f>ППД5[[#This Row],[Фикс 06.03.24]]+ППД5[[#This Row],[Наценка Г2+500]]</f>
        <v>109748.00562200877</v>
      </c>
      <c r="BO428" s="93"/>
      <c r="BP428" s="93">
        <f>ППД5[[#This Row],[Фикс 13.03.25]]+ППД5[[#This Row],[Наценка 20.03.24
2К, 3К - 2%]]</f>
        <v>109748.00562200877</v>
      </c>
      <c r="BQ428" s="93"/>
      <c r="BR428" s="93">
        <f>ППД5[[#This Row],[Фикс 20.03.24]]+ППД5[[#This Row],[Наценка 08.04.24 
2К: В3 - 150
3К: Г7 +1000]]</f>
        <v>109748.00562200877</v>
      </c>
      <c r="BS428" s="93"/>
      <c r="BT428" s="93">
        <f>ППД5[[#This Row],[Фикс 08.04.24]]+ППД5[[#This Row],[Наценка 16.05.24 1%
А4,А6,Б3,Б6,Б7,В2,В3,В5,В6,Г1,Г3-Г5]]</f>
        <v>109748.00562200877</v>
      </c>
      <c r="BU428" s="93"/>
      <c r="BV428" s="93">
        <f>ППД5[[#This Row],[Фикс 16.05.24]]+ППД5[[#This Row],[Наценка 24.05.24
1% - Б4, Б5,Г2,Г6
2% - А1,А3,А5,Б2,Г7]]</f>
        <v>109748.00562200877</v>
      </c>
      <c r="BW428" s="93"/>
      <c r="BX428" s="93">
        <f>ППД5[[#This Row],[Наценка 06.06.24
0К: В2,Г3 +0,5%
1К: А7, Б5/4, Г6 +0,5%
3К: В6 +0,5%
1К: А3 +1%]]+ППД5[[#This Row],[Фикс 24.05.24]]</f>
        <v>109748.00562200877</v>
      </c>
      <c r="BY428" s="93"/>
      <c r="BZ428" s="93">
        <f>ППД5[[#This Row],[Фикс 06.06.24]]+ППД5[[#This Row],[13.06.2024
3К - 2%]]</f>
        <v>109748.00562200877</v>
      </c>
      <c r="CA428" s="93"/>
      <c r="CB428" s="93">
        <f>ППД5[[#This Row],[02.07.2024: Г3 А1 А3 Б5 Б7 Г2 Г6 Б3 Б4 В3 Г7 2,5% ост 0,5-1,5%]]+ППД5[[#This Row],[Фикс 13.06.24]]</f>
        <v>109748.00562200877</v>
      </c>
      <c r="CC428" s="93"/>
      <c r="CD428" s="93">
        <f>ППД5[[#This Row],[Фикс 02.07.24]]+ППД5[[#This Row],[04.09.2024 +500
0К - Б2; 1К - А3;
2К - А6, Б4, В3, Г5]]</f>
        <v>109748.00562200877</v>
      </c>
      <c r="CE428" s="93"/>
      <c r="CF428" s="93">
        <f>ППД5[[#This Row],[Наценка 16.09.2024
1К: А1,В7,Г6/7,Г8 - 2%
2К: А4,А5,А6,Б1,Б6,Б3/4,В3,В4,Г4,Г5 - 4%
3К: 4%]]+ППД5[[#This Row],[Фикс 04.09.24]]</f>
        <v>109748.00562200877</v>
      </c>
      <c r="CG428" s="93"/>
      <c r="CH428" s="93">
        <f>ППД5[[#This Row],[Фикс 16.09.2024]]+ППД5[[#This Row],[Наценка 01.11.24
СТ: 4%
1К: 34-40м 5%; 40м+ 8%; МГН 1%
2К: 55-70м 6%; 70-73м 7%; 73-76м 8% 
3К: 5%]]</f>
        <v>109748.00562200877</v>
      </c>
      <c r="CI428" s="93"/>
      <c r="CJ428" s="93">
        <f>ППД5[[#This Row],[Наценка 06.11 13%]]+ППД5[[#This Row],[Фикс 01.11.24]]</f>
        <v>109748.00562200877</v>
      </c>
      <c r="CK428" s="93"/>
      <c r="CL428" s="93">
        <f>ППД5[[#This Row],[Фикс 06.11.24]]+ППД5[[#This Row],[Наценка 18.12.24 распределение КВ]]</f>
        <v>109748.00562200877</v>
      </c>
      <c r="CM428" s="93"/>
      <c r="CN428" s="93">
        <f>ППД5[[#This Row],[Фикс 18.12.24]]+ППД5[[#This Row],[Наценка 10.02.25 +1%
1К: А3
2К: Б3, В3]]</f>
        <v>109748.00562200877</v>
      </c>
      <c r="CO428" s="93">
        <f>ROUND(ППД5[[#This Row],[Фикс 10.02.25]],2)</f>
        <v>109748.01</v>
      </c>
      <c r="CP42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4203400</v>
      </c>
      <c r="CQ428" s="93">
        <f>ROUNDUP(ППД5[[#This Row],[Стоимость до скидки]]+ППД5[[#This Row],[Сумма доплаты]],-2)</f>
        <v>4159600</v>
      </c>
      <c r="CR428" s="68">
        <v>88888</v>
      </c>
      <c r="CS428" s="90"/>
      <c r="CT428" s="68">
        <f>ППД5[[#This Row],[Стоимость до скидки]]*ППД5[[#This Row],[Скидка %]]+ППД5[[#This Row],[Скидка фиксированная]]</f>
        <v>88888</v>
      </c>
      <c r="CU428" s="3">
        <f>ППД5[[#This Row],[Стоимость ОН без отделки со скидкой]]/ППД5[[#This Row],[Расчетная проектная площадь]]</f>
        <v>107428.51174934726</v>
      </c>
      <c r="CV428" s="3">
        <f>ROUND(ППД5[[#This Row],[Стоимость до скидки]]-ППД5[[#This Row],[Итоговая сумма скидки]],2)</f>
        <v>4114512</v>
      </c>
      <c r="CW42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428" s="197">
        <v>7000</v>
      </c>
      <c r="CY428" s="332">
        <f>ППД5[[#This Row],[Расхождение]]/ППД5[[#This Row],[Расчетная проектная площадь]]</f>
        <v>-1.0443864229764977E-2</v>
      </c>
      <c r="CZ42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-0.26999999999999957</v>
      </c>
      <c r="DA428" s="3">
        <f>ППД5[[#This Row],[Цена м2 без отделки со скидкой]]+ППД5[[#This Row],[Стоимость отделки]]</f>
        <v>114428.51174934726</v>
      </c>
      <c r="DB428" s="3">
        <f>ППД5[[#This Row],[Стоимость квартиры с отделкой]]-ППД5[[#This Row],[Стоимость ОН без отделки со скидкой]]</f>
        <v>268100</v>
      </c>
      <c r="DC428" s="3">
        <f>ППД5[[#This Row],[Цена м2 с отделкой]]*ППД5[[#This Row],[Расчетная проектная площадь]]</f>
        <v>4382612</v>
      </c>
      <c r="DD428" s="3"/>
      <c r="DE428" s="111" t="s">
        <v>781</v>
      </c>
      <c r="DF428" s="199" t="s">
        <v>172</v>
      </c>
      <c r="DG428" s="245" t="s">
        <v>172</v>
      </c>
      <c r="DH428" s="100" t="b">
        <f>EXACT(ППД5[[#This Row],[Статусы CRM]],ППД5[[#This Row],[Статус]])</f>
        <v>1</v>
      </c>
      <c r="DI428" s="213" t="s">
        <v>600</v>
      </c>
      <c r="DJ428" s="204"/>
      <c r="DK428" s="111" t="s">
        <v>763</v>
      </c>
      <c r="DL428" s="216" t="s">
        <v>780</v>
      </c>
      <c r="DM428" s="201" t="b">
        <f>ППД5[[#This Row],[Отделка CRM]]=ППД5[[#This Row],[Отделка]]</f>
        <v>1</v>
      </c>
      <c r="DN428" s="203">
        <v>4382612</v>
      </c>
      <c r="DO42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28" s="207" t="b">
        <f>IF(AND(ППД5[[#This Row],[Статус]]="свободно",ППД5[[#This Row],[Итоговая сумма скидки]]&lt;&gt;0),FALSE,TRUE)</f>
        <v>1</v>
      </c>
      <c r="DQ428" s="240">
        <f>_xlfn.XLOOKUP(ППД5[[#This Row],[№]],Юрист[№ кв],Юрист[Дата подачи на регистрацию]," ",0,-1)</f>
        <v>45393</v>
      </c>
      <c r="DR428" s="115" t="str">
        <f>_xlfn.XLOOKUP(ППД5[[#This Row],[№]],Юрист[№ кв],Юрист[МОП],"",0,-1)</f>
        <v>Никишов</v>
      </c>
      <c r="DS428" s="333" t="s">
        <v>3148</v>
      </c>
      <c r="DT428" s="333" t="s">
        <v>3149</v>
      </c>
      <c r="DU428" s="333">
        <v>36.5</v>
      </c>
      <c r="DV428" s="111"/>
    </row>
    <row r="429" spans="1:126" hidden="1" x14ac:dyDescent="0.25">
      <c r="A429" s="112">
        <v>427</v>
      </c>
      <c r="B429" s="111" t="s">
        <v>2</v>
      </c>
      <c r="C429" s="111">
        <v>5</v>
      </c>
      <c r="D429" s="115">
        <v>7</v>
      </c>
      <c r="E429" s="111">
        <v>3</v>
      </c>
      <c r="F429" s="105">
        <v>14.49</v>
      </c>
      <c r="G429" s="105">
        <v>13.98</v>
      </c>
      <c r="H429" s="105">
        <v>11.42</v>
      </c>
      <c r="I429" s="94">
        <f>SUM(ППД5[[#This Row],[Комната 1]:[Комната 3]])</f>
        <v>39.89</v>
      </c>
      <c r="J429" s="105">
        <v>16.670000000000002</v>
      </c>
      <c r="K429" s="105">
        <v>4.1399999999999997</v>
      </c>
      <c r="L429" s="105">
        <v>1.89</v>
      </c>
      <c r="M429" s="105"/>
      <c r="N429" s="105">
        <v>11.31</v>
      </c>
      <c r="O429" s="105">
        <v>2.86</v>
      </c>
      <c r="P429" s="105">
        <v>2.79</v>
      </c>
      <c r="Q429" s="105">
        <v>5.42</v>
      </c>
      <c r="R429" s="105">
        <f>SUM(ППД5[[#This Row],[Лоджия 1]:[Лоджия 3]])</f>
        <v>11.07</v>
      </c>
      <c r="S429" s="8">
        <f>ROUND(SUM(ППД5[[#This Row],[Площадь по проекту жилая]:[Лоджия 3]]),2)</f>
        <v>84.97</v>
      </c>
      <c r="T429" s="8">
        <f>ROUND(ППД5[[#This Row],[Площадь по проекту(общая)]]-ППД5[[#This Row],[Летние]],2)</f>
        <v>73.900000000000006</v>
      </c>
      <c r="U429" s="91">
        <f>ROUND(ППД5[[#This Row],[Площадь по проекту(общая)]]-(SUM(ППД5[[#This Row],[Лоджия 1]:[Лоджия 3]])/2),2)</f>
        <v>79.44</v>
      </c>
      <c r="V429" s="91">
        <f>IF(ППД5[[#This Row],[Статус]]="продажа",ППД5[[#This Row],[Расчетная проектная площадь]],ППД5[[#This Row],[Расчетная ТП площадь]])</f>
        <v>79.44</v>
      </c>
      <c r="W429" s="91">
        <v>11.3</v>
      </c>
      <c r="X429" s="91">
        <v>14.4</v>
      </c>
      <c r="Y429" s="91">
        <v>13.9</v>
      </c>
      <c r="Z429" s="91">
        <f>SUM(ППД5[[#This Row],[ТП Комната 1]:[ТП Комната 3]])</f>
        <v>39.6</v>
      </c>
      <c r="AA429" s="91">
        <v>16.3</v>
      </c>
      <c r="AB429" s="91">
        <v>2</v>
      </c>
      <c r="AC429" s="91">
        <v>4.0999999999999996</v>
      </c>
      <c r="AD429" s="91"/>
      <c r="AE429" s="91">
        <v>11.1</v>
      </c>
      <c r="AF429" s="91">
        <v>1.45</v>
      </c>
      <c r="AG429" s="91">
        <v>2.6</v>
      </c>
      <c r="AH429" s="91">
        <v>1.35</v>
      </c>
      <c r="AI429" s="91">
        <f>SUM(ППД5[[#This Row],[ТП Лоджия 1]:[ТП Лоджия 3]])</f>
        <v>5.4</v>
      </c>
      <c r="AJ429" s="95">
        <v>10.8</v>
      </c>
      <c r="AK429" s="91">
        <f>SUM(ППД5[[#This Row],[Площадь по ТП жилая]:[ТП Лоджия 3]])-ППД5[[#This Row],[ТП Летние]]+ППД5[[#This Row],[кроме того прочая
(без коэффициента)]]</f>
        <v>83.899999999999991</v>
      </c>
      <c r="AL429" s="95">
        <f>ППД5[[#This Row],[ТП Площадь без летних]]+(ППД5[[#This Row],[ТП Летние]])</f>
        <v>78.5</v>
      </c>
      <c r="AM429" s="91">
        <f>ППД5[[#This Row],[ТП общая S]]-ППД5[[#This Row],[кроме того прочая
(без коэффициента)]]</f>
        <v>73.099999999999994</v>
      </c>
      <c r="AN429" s="95">
        <f>SUM(ППД5[[#This Row],[ТП Кухня]:[ТП Коридор]])</f>
        <v>33.5</v>
      </c>
      <c r="AO429" s="91">
        <f>ППД5[[#This Row],[Расчетная ТП площадь]]-ППД5[[#This Row],[Расчетная проектная площадь]]</f>
        <v>-0.93999999999999773</v>
      </c>
      <c r="AP429" s="335">
        <f>ППД5[[#This Row],[Расчетная ТП площадь]]/ППД5[[#This Row],[Расчетная проектная площадь]]-1</f>
        <v>-1.1832829808660628E-2</v>
      </c>
      <c r="AQ429" s="91">
        <f>ППД5[[#This Row],[% расхождения]]*ППД5[[#This Row],[Стоимость до скидки]]</f>
        <v>-114002.21550855995</v>
      </c>
      <c r="AR429" s="91">
        <f>VLOOKUP(ППД5[[#This Row],[№]],наценкад5[],COLUMN(наценкад5[[#This Row],[Цена м2 с учетом всех K]]),0)</f>
        <v>76375.530000000013</v>
      </c>
      <c r="AS429" s="8">
        <f>ППД5[[#This Row],[м2 после К]]*5%</f>
        <v>3818.7765000000009</v>
      </c>
      <c r="AT429" s="8">
        <f>ППД5[[#This Row],[м2 после К]]+ППД5[[#This Row],[Повышение 16.08.23 - 5%]]</f>
        <v>80194.306500000021</v>
      </c>
      <c r="AU429" s="93">
        <f>ППД5[[#This Row],[Фикс 16.08.23]]*3%</f>
        <v>2405.8291950000007</v>
      </c>
      <c r="AV429" s="93">
        <f>ППД5[[#This Row],[Фикс 16.08.23]]+ППД5[[#This Row],[Повышение 29.08.23 - 3%]]</f>
        <v>82600.135695000019</v>
      </c>
      <c r="AW429" s="93"/>
      <c r="AX429" s="93">
        <f>ППД5[[#This Row],[Фикс 29.08.23]]+ППД5[[#This Row],[Повышение 06.09.23 СТ и 1К]]</f>
        <v>82600.135695000019</v>
      </c>
      <c r="AY429" s="93"/>
      <c r="AZ429" s="93">
        <f>ППД5[[#This Row],[Повышение 23.10.23  В4 ]]+ППД5[[#This Row],[Фикс 06.09.23]]</f>
        <v>82600.135695000019</v>
      </c>
      <c r="BA429" s="93"/>
      <c r="BB429" s="93">
        <f>ППД5[[#This Row],[Повышение 8.11.23 1К 5%]]+ППД5[[#This Row],[Фикс 23.10.23]]</f>
        <v>82600.135695000019</v>
      </c>
      <c r="BC429" s="93"/>
      <c r="BD429" s="93">
        <f>ППД5[[#This Row],[Корректировка 24.11.23 - 1К В5, 2К А2, №233]]+ППД5[[#This Row],[Фикс 8.11.23]]</f>
        <v>82600.135695000019</v>
      </c>
      <c r="BE429" s="93">
        <f>ППД5[[#This Row],[Фикс 8.11.24]]*1%</f>
        <v>826.00135695000017</v>
      </c>
      <c r="BF429" s="93">
        <f>ППД5[[#This Row],[Наценка за отделку 29.12.23 1%]]+ППД5[[#This Row],[Фикс 8.11.24]]</f>
        <v>83426.13705195002</v>
      </c>
      <c r="BG429" s="93">
        <f>ППД5[[#This Row],[Фикс 29.12.23]]*5%</f>
        <v>4171.3068525975013</v>
      </c>
      <c r="BH429" s="93">
        <f>ППД5[[#This Row],[Фикс 29.12.23]]+ППД5[[#This Row],[Наценка 10.01.24 5%]]</f>
        <v>87597.443904547516</v>
      </c>
      <c r="BI429" s="93"/>
      <c r="BJ429" s="93">
        <f>ППД5[[#This Row],[Наценка 26.02.24 1 Этаж]]+ППД5[[#This Row],[Фикс 10.01.24]]</f>
        <v>87597.443904547516</v>
      </c>
      <c r="BK429" s="93">
        <f>ППД5[[#This Row],[Фикс 26.02.24]]*2%</f>
        <v>1751.9488780909503</v>
      </c>
      <c r="BL429" s="93">
        <f>ППД5[[#This Row],[Фикс 26.02.24]]+ППД5[[#This Row],[Наценка 06.03.24
СТ, 1К - 3%
2К, 3К - 2%]]</f>
        <v>89349.392782638461</v>
      </c>
      <c r="BM429" s="93"/>
      <c r="BN429" s="93">
        <f>ППД5[[#This Row],[Фикс 06.03.24]]+ППД5[[#This Row],[Наценка Г2+500]]</f>
        <v>89349.392782638461</v>
      </c>
      <c r="BO429" s="93">
        <f>ППД5[[#This Row],[Фикс 13.03.25]]*2%</f>
        <v>1786.9878556527692</v>
      </c>
      <c r="BP429" s="93">
        <f>ППД5[[#This Row],[Фикс 13.03.25]]+ППД5[[#This Row],[Наценка 20.03.24
2К, 3К - 2%]]</f>
        <v>91136.38063829123</v>
      </c>
      <c r="BQ429" s="93">
        <v>1000</v>
      </c>
      <c r="BR429" s="93">
        <f>ППД5[[#This Row],[Фикс 20.03.24]]+ППД5[[#This Row],[Наценка 08.04.24 
2К: В3 - 150
3К: Г7 +1000]]</f>
        <v>92136.38063829123</v>
      </c>
      <c r="BS429" s="93"/>
      <c r="BT429" s="93">
        <f>ППД5[[#This Row],[Фикс 08.04.24]]+ППД5[[#This Row],[Наценка 16.05.24 1%
А4,А6,Б3,Б6,Б7,В2,В3,В5,В6,Г1,Г3-Г5]]</f>
        <v>92136.38063829123</v>
      </c>
      <c r="BU429" s="93">
        <f>ППД5[[#This Row],[Фикс 16.05.24]]*2%</f>
        <v>1842.7276127658247</v>
      </c>
      <c r="BV429" s="93">
        <f>ППД5[[#This Row],[Фикс 16.05.24]]+ППД5[[#This Row],[Наценка 24.05.24
1% - Б4, Б5,Г2,Г6
2% - А1,А3,А5,Б2,Г7]]</f>
        <v>93979.108251057056</v>
      </c>
      <c r="BW429" s="93"/>
      <c r="BX429" s="93">
        <f>ППД5[[#This Row],[Наценка 06.06.24
0К: В2,Г3 +0,5%
1К: А7, Б5/4, Г6 +0,5%
3К: В6 +0,5%
1К: А3 +1%]]+ППД5[[#This Row],[Фикс 24.05.24]]</f>
        <v>93979.108251057056</v>
      </c>
      <c r="BY429" s="93">
        <f>ППД5[[#This Row],[Фикс 06.06.24]]*2%</f>
        <v>1879.5821650211412</v>
      </c>
      <c r="BZ429" s="93">
        <f>ППД5[[#This Row],[Фикс 06.06.24]]+ППД5[[#This Row],[13.06.2024
3К - 2%]]</f>
        <v>95858.6904160782</v>
      </c>
      <c r="CA429" s="93">
        <f>2.5%*ППД5[[#This Row],[Фикс 13.06.24]]</f>
        <v>2396.4672604019552</v>
      </c>
      <c r="CB429" s="93">
        <f>ППД5[[#This Row],[02.07.2024: Г3 А1 А3 Б5 Б7 Г2 Г6 Б3 Б4 В3 Г7 2,5% ост 0,5-1,5%]]+ППД5[[#This Row],[Фикс 13.06.24]]</f>
        <v>98255.157676480158</v>
      </c>
      <c r="CC429" s="93"/>
      <c r="CD429" s="93">
        <f>ППД5[[#This Row],[Фикс 02.07.24]]+ППД5[[#This Row],[04.09.2024 +500
0К - Б2; 1К - А3;
2К - А6, Б4, В3, Г5]]</f>
        <v>98255.157676480158</v>
      </c>
      <c r="CE429" s="93">
        <f>ППД5[[#This Row],[Фикс 04.09.24]]*4%</f>
        <v>3930.2063070592062</v>
      </c>
      <c r="CF429" s="93">
        <f>ППД5[[#This Row],[Наценка 16.09.2024
1К: А1,В7,Г6/7,Г8 - 2%
2К: А4,А5,А6,Б1,Б6,Б3/4,В3,В4,Г4,Г5 - 4%
3К: 4%]]+ППД5[[#This Row],[Фикс 04.09.24]]</f>
        <v>102185.36398353937</v>
      </c>
      <c r="CG429" s="93">
        <f>ППД5[[#This Row],[Фикс 16.09.2024]]*5%</f>
        <v>5109.2681991769687</v>
      </c>
      <c r="CH429" s="93">
        <f>ППД5[[#This Row],[Фикс 16.09.2024]]+ППД5[[#This Row],[Наценка 01.11.24
СТ: 4%
1К: 34-40м 5%; 40м+ 8%; МГН 1%
2К: 55-70м 6%; 70-73м 7%; 73-76м 8% 
3К: 5%]]</f>
        <v>107294.63218271633</v>
      </c>
      <c r="CI429" s="93">
        <f>ППД5[[#This Row],[Фикс 01.11.24]]*13%</f>
        <v>13948.302183753123</v>
      </c>
      <c r="CJ429" s="93">
        <f>ППД5[[#This Row],[Наценка 06.11 13%]]+ППД5[[#This Row],[Фикс 01.11.24]]</f>
        <v>121242.93436646946</v>
      </c>
      <c r="CK429" s="93">
        <v>35</v>
      </c>
      <c r="CL429" s="93">
        <f>ППД5[[#This Row],[Фикс 06.11.24]]+ППД5[[#This Row],[Наценка 18.12.24 распределение КВ]]</f>
        <v>121277.93436646946</v>
      </c>
      <c r="CM429" s="93"/>
      <c r="CN429" s="93">
        <f>ППД5[[#This Row],[Фикс 18.12.24]]+ППД5[[#This Row],[Наценка 10.02.25 +1%
1К: А3
2К: Б3, В3]]</f>
        <v>121277.93436646946</v>
      </c>
      <c r="CO429" s="93">
        <f>ROUND(ППД5[[#This Row],[Фикс 10.02.25]],2)</f>
        <v>121277.93</v>
      </c>
      <c r="CP42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9634400</v>
      </c>
      <c r="CQ429" s="93">
        <f>ROUNDUP(ППД5[[#This Row],[Стоимость до скидки]]+ППД5[[#This Row],[Сумма доплаты]],-2)</f>
        <v>9520400</v>
      </c>
      <c r="CR429" s="68">
        <v>400000</v>
      </c>
      <c r="CS429" s="90">
        <v>0.03</v>
      </c>
      <c r="CT429" s="68">
        <f>ППД5[[#This Row],[Стоимость до скидки]]*ППД5[[#This Row],[Скидка %]]+ППД5[[#This Row],[Скидка фиксированная]]</f>
        <v>689032</v>
      </c>
      <c r="CU429" s="3">
        <f>ППД5[[#This Row],[Стоимость ОН без отделки со скидкой]]/ППД5[[#This Row],[Расчетная проектная площадь]]</f>
        <v>112605.33736153072</v>
      </c>
      <c r="CV429" s="3">
        <f>ROUND(ППД5[[#This Row],[Стоимость до скидки]]-ППД5[[#This Row],[Итоговая сумма скидки]],2)</f>
        <v>8945368</v>
      </c>
      <c r="CW42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29" s="197">
        <v>25000</v>
      </c>
      <c r="CY429" s="332">
        <f>ППД5[[#This Row],[Расхождение]]/ППД5[[#This Row],[Расчетная проектная площадь]]</f>
        <v>-1.1832829808660596E-2</v>
      </c>
      <c r="CZ42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-0.51000000000000512</v>
      </c>
      <c r="DA429" s="3">
        <f>ППД5[[#This Row],[Цена м2 без отделки со скидкой]]+ППД5[[#This Row],[Стоимость отделки]]</f>
        <v>137605.33736153072</v>
      </c>
      <c r="DB429" s="3">
        <f>ППД5[[#This Row],[Стоимость квартиры с отделкой]]-ППД5[[#This Row],[Стоимость ОН без отделки со скидкой]]</f>
        <v>1986000</v>
      </c>
      <c r="DC429" s="3">
        <f>ППД5[[#This Row],[Цена м2 с отделкой]]*ППД5[[#This Row],[Расчетная проектная площадь]]</f>
        <v>10931368</v>
      </c>
      <c r="DD429" s="3" t="s">
        <v>155</v>
      </c>
      <c r="DE429" s="111" t="s">
        <v>2161</v>
      </c>
      <c r="DF429" s="155" t="s">
        <v>172</v>
      </c>
      <c r="DG429" s="221" t="s">
        <v>172</v>
      </c>
      <c r="DH429" s="100" t="b">
        <f>EXACT(ППД5[[#This Row],[Статусы CRM]],ППД5[[#This Row],[Статус]])</f>
        <v>1</v>
      </c>
      <c r="DI429" s="213" t="s">
        <v>601</v>
      </c>
      <c r="DJ429" s="204"/>
      <c r="DK429" s="111" t="s">
        <v>763</v>
      </c>
      <c r="DL429" s="216" t="s">
        <v>14</v>
      </c>
      <c r="DM429" s="201" t="b">
        <f>ППД5[[#This Row],[Отделка CRM]]=ППД5[[#This Row],[Отделка]]</f>
        <v>1</v>
      </c>
      <c r="DN429" s="203">
        <v>10931368</v>
      </c>
      <c r="DO42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29" s="207" t="b">
        <f>IF(AND(ППД5[[#This Row],[Статус]]="свободно",ППД5[[#This Row],[Итоговая сумма скидки]]&lt;&gt;0),FALSE,TRUE)</f>
        <v>1</v>
      </c>
      <c r="DQ429" s="240">
        <f>_xlfn.XLOOKUP(ППД5[[#This Row],[№]],Юрист[№ кв],Юрист[Дата подачи на регистрацию]," ",0,-1)</f>
        <v>45806</v>
      </c>
      <c r="DR429" s="115" t="str">
        <f>_xlfn.XLOOKUP(ППД5[[#This Row],[№]],Юрист[№ кв],Юрист[МОП],"",0,-1)</f>
        <v>Полехович</v>
      </c>
      <c r="DS429" s="333" t="s">
        <v>3150</v>
      </c>
      <c r="DT429" s="333" t="s">
        <v>3151</v>
      </c>
      <c r="DU429" s="333">
        <v>73.099999999999994</v>
      </c>
      <c r="DV429" s="111"/>
    </row>
    <row r="430" spans="1:126" hidden="1" x14ac:dyDescent="0.25">
      <c r="A430" s="112">
        <v>428</v>
      </c>
      <c r="B430" s="111" t="s">
        <v>2</v>
      </c>
      <c r="C430" s="111">
        <v>5</v>
      </c>
      <c r="D430" s="115">
        <v>8</v>
      </c>
      <c r="E430" s="111">
        <v>1</v>
      </c>
      <c r="F430" s="105">
        <v>16.79</v>
      </c>
      <c r="G430" s="105"/>
      <c r="H430" s="105"/>
      <c r="I430" s="94">
        <f>SUM(ППД5[[#This Row],[Комната 1]:[Комната 3]])</f>
        <v>16.79</v>
      </c>
      <c r="J430" s="105">
        <v>11.43</v>
      </c>
      <c r="K430" s="105">
        <v>3.56</v>
      </c>
      <c r="L430" s="105"/>
      <c r="M430" s="105"/>
      <c r="N430" s="105">
        <v>6.66</v>
      </c>
      <c r="O430" s="105">
        <v>2.4900000000000002</v>
      </c>
      <c r="P430" s="105"/>
      <c r="Q430" s="105"/>
      <c r="R430" s="105">
        <f>SUM(ППД5[[#This Row],[Лоджия 1]:[Лоджия 3]])</f>
        <v>2.4900000000000002</v>
      </c>
      <c r="S430" s="8">
        <f>ROUND(SUM(ППД5[[#This Row],[Площадь по проекту жилая]:[Лоджия 3]]),2)</f>
        <v>40.93</v>
      </c>
      <c r="T430" s="8">
        <f>ROUND(ППД5[[#This Row],[Площадь по проекту(общая)]]-ППД5[[#This Row],[Летние]],2)</f>
        <v>38.44</v>
      </c>
      <c r="U430" s="91">
        <f>ROUND(ППД5[[#This Row],[Площадь по проекту(общая)]]-(SUM(ППД5[[#This Row],[Лоджия 1]:[Лоджия 3]])/2),2)</f>
        <v>39.69</v>
      </c>
      <c r="V430" s="91">
        <f>IF(ППД5[[#This Row],[Статус]]="продажа",ППД5[[#This Row],[Расчетная проектная площадь]],ППД5[[#This Row],[Расчетная ТП площадь]])</f>
        <v>39.69</v>
      </c>
      <c r="W430" s="91">
        <v>16.8</v>
      </c>
      <c r="X430" s="91"/>
      <c r="Y430" s="91"/>
      <c r="Z430" s="91">
        <f>SUM(ППД5[[#This Row],[ТП Комната 1]:[ТП Комната 3]])</f>
        <v>16.8</v>
      </c>
      <c r="AA430" s="91">
        <v>11.4</v>
      </c>
      <c r="AB430" s="91">
        <v>3.5</v>
      </c>
      <c r="AC430" s="91"/>
      <c r="AD430" s="91"/>
      <c r="AE430" s="91">
        <v>6.6</v>
      </c>
      <c r="AF430" s="92">
        <v>1.25</v>
      </c>
      <c r="AG430" s="91"/>
      <c r="AH430" s="91"/>
      <c r="AI430" s="91">
        <f>SUM(ППД5[[#This Row],[ТП Лоджия 1]:[ТП Лоджия 3]])</f>
        <v>1.25</v>
      </c>
      <c r="AJ430" s="95">
        <v>2.5</v>
      </c>
      <c r="AK430" s="91">
        <f>SUM(ППД5[[#This Row],[Площадь по ТП жилая]:[ТП Лоджия 3]])-ППД5[[#This Row],[ТП Летние]]+ППД5[[#This Row],[кроме того прочая
(без коэффициента)]]</f>
        <v>40.800000000000004</v>
      </c>
      <c r="AL430" s="95">
        <f>ППД5[[#This Row],[ТП Площадь без летних]]+(ППД5[[#This Row],[ТП Летние]])</f>
        <v>39.550000000000004</v>
      </c>
      <c r="AM430" s="91">
        <f>ППД5[[#This Row],[ТП общая S]]-ППД5[[#This Row],[кроме того прочая
(без коэффициента)]]</f>
        <v>38.300000000000004</v>
      </c>
      <c r="AN430" s="95">
        <f>SUM(ППД5[[#This Row],[ТП Кухня]:[ТП Коридор]])</f>
        <v>21.5</v>
      </c>
      <c r="AO430" s="91">
        <f>ППД5[[#This Row],[Расчетная ТП площадь]]-ППД5[[#This Row],[Расчетная проектная площадь]]</f>
        <v>-0.13999999999999346</v>
      </c>
      <c r="AP430" s="335">
        <f>ППД5[[#This Row],[Расчетная ТП площадь]]/ППД5[[#This Row],[Расчетная проектная площадь]]-1</f>
        <v>-3.5273368606700828E-3</v>
      </c>
      <c r="AQ430" s="91">
        <f>ППД5[[#This Row],[% расхождения]]*ППД5[[#This Row],[Стоимость до скидки]]</f>
        <v>-15382.010582010096</v>
      </c>
      <c r="AR430" s="91">
        <f>VLOOKUP(ППД5[[#This Row],[№]],наценкад5[],COLUMN(наценкад5[[#This Row],[Цена м2 с учетом всех K]]),0)</f>
        <v>84762.5625</v>
      </c>
      <c r="AS430" s="8">
        <f>ППД5[[#This Row],[м2 после К]]*5%</f>
        <v>4238.1281250000002</v>
      </c>
      <c r="AT430" s="8">
        <f>ППД5[[#This Row],[м2 после К]]+ППД5[[#This Row],[Повышение 16.08.23 - 5%]]</f>
        <v>89000.690625000003</v>
      </c>
      <c r="AU430" s="93">
        <f>ППД5[[#This Row],[Фикс 16.08.23]]*3%</f>
        <v>2670.02071875</v>
      </c>
      <c r="AV430" s="93">
        <f>ППД5[[#This Row],[Фикс 16.08.23]]+ППД5[[#This Row],[Повышение 29.08.23 - 3%]]</f>
        <v>91670.711343750008</v>
      </c>
      <c r="AW430" s="93">
        <f>ППД5[[#This Row],[Фикс 29.08.23]]*4.5%</f>
        <v>4125.1820104687504</v>
      </c>
      <c r="AX430" s="93">
        <f>ППД5[[#This Row],[Фикс 29.08.23]]+ППД5[[#This Row],[Повышение 06.09.23 СТ и 1К]]</f>
        <v>95795.893354218759</v>
      </c>
      <c r="AY430" s="93"/>
      <c r="AZ430" s="93">
        <f>ППД5[[#This Row],[Повышение 23.10.23  В4 ]]+ППД5[[#This Row],[Фикс 06.09.23]]</f>
        <v>95795.893354218759</v>
      </c>
      <c r="BA430" s="93">
        <f>ППД5[[#This Row],[Фикс 23.10.23]]*5%</f>
        <v>4789.7946677109385</v>
      </c>
      <c r="BB430" s="93">
        <f>ППД5[[#This Row],[Повышение 8.11.23 1К 5%]]+ППД5[[#This Row],[Фикс 23.10.23]]</f>
        <v>100585.6880219297</v>
      </c>
      <c r="BC430" s="93"/>
      <c r="BD430" s="93">
        <f>ППД5[[#This Row],[Корректировка 24.11.23 - 1К В5, 2К А2, №233]]+ППД5[[#This Row],[Фикс 8.11.23]]</f>
        <v>100585.6880219297</v>
      </c>
      <c r="BE430" s="93">
        <f>ППД5[[#This Row],[Фикс 8.11.24]]*1%</f>
        <v>1005.8568802192971</v>
      </c>
      <c r="BF430" s="93">
        <f>ППД5[[#This Row],[Наценка за отделку 29.12.23 1%]]+ППД5[[#This Row],[Фикс 8.11.24]]</f>
        <v>101591.54490214901</v>
      </c>
      <c r="BG430" s="93">
        <f>ППД5[[#This Row],[Фикс 29.12.23]]*5%</f>
        <v>5079.5772451074508</v>
      </c>
      <c r="BH430" s="93">
        <f>ППД5[[#This Row],[Фикс 29.12.23]]+ППД5[[#This Row],[Наценка 10.01.24 5%]]</f>
        <v>106671.12214725645</v>
      </c>
      <c r="BI430" s="93"/>
      <c r="BJ430" s="93">
        <f>ППД5[[#This Row],[Наценка 26.02.24 1 Этаж]]+ППД5[[#This Row],[Фикс 10.01.24]]</f>
        <v>106671.12214725645</v>
      </c>
      <c r="BK430" s="93">
        <f>ППД5[[#This Row],[Фикс 26.02.24]]*3%</f>
        <v>3200.1336644176936</v>
      </c>
      <c r="BL430" s="93">
        <f>ППД5[[#This Row],[Фикс 26.02.24]]+ППД5[[#This Row],[Наценка 06.03.24
СТ, 1К - 3%
2К, 3К - 2%]]</f>
        <v>109871.25581167414</v>
      </c>
      <c r="BM430" s="93"/>
      <c r="BN430" s="93">
        <f>ППД5[[#This Row],[Фикс 06.03.24]]+ППД5[[#This Row],[Наценка Г2+500]]</f>
        <v>109871.25581167414</v>
      </c>
      <c r="BO430" s="93"/>
      <c r="BP430" s="93">
        <f>ППД5[[#This Row],[Фикс 13.03.25]]+ППД5[[#This Row],[Наценка 20.03.24
2К, 3К - 2%]]</f>
        <v>109871.25581167414</v>
      </c>
      <c r="BQ430" s="93"/>
      <c r="BR430" s="93">
        <f>ППД5[[#This Row],[Фикс 20.03.24]]+ППД5[[#This Row],[Наценка 08.04.24 
2К: В3 - 150
3К: Г7 +1000]]</f>
        <v>109871.25581167414</v>
      </c>
      <c r="BS430" s="93"/>
      <c r="BT430" s="93">
        <f>ППД5[[#This Row],[Фикс 08.04.24]]+ППД5[[#This Row],[Наценка 16.05.24 1%
А4,А6,Б3,Б6,Б7,В2,В3,В5,В6,Г1,Г3-Г5]]</f>
        <v>109871.25581167414</v>
      </c>
      <c r="BU430" s="93"/>
      <c r="BV430" s="93">
        <f>ППД5[[#This Row],[Фикс 16.05.24]]+ППД5[[#This Row],[Наценка 24.05.24
1% - Б4, Б5,Г2,Г6
2% - А1,А3,А5,Б2,Г7]]</f>
        <v>109871.25581167414</v>
      </c>
      <c r="BW430" s="93"/>
      <c r="BX430" s="93">
        <f>ППД5[[#This Row],[Наценка 06.06.24
0К: В2,Г3 +0,5%
1К: А7, Б5/4, Г6 +0,5%
3К: В6 +0,5%
1К: А3 +1%]]+ППД5[[#This Row],[Фикс 24.05.24]]</f>
        <v>109871.25581167414</v>
      </c>
      <c r="BY430" s="93"/>
      <c r="BZ430" s="93">
        <f>ППД5[[#This Row],[Фикс 06.06.24]]+ППД5[[#This Row],[13.06.2024
3К - 2%]]</f>
        <v>109871.25581167414</v>
      </c>
      <c r="CA430" s="93"/>
      <c r="CB430" s="93">
        <f>ППД5[[#This Row],[02.07.2024: Г3 А1 А3 Б5 Б7 Г2 Г6 Б3 Б4 В3 Г7 2,5% ост 0,5-1,5%]]+ППД5[[#This Row],[Фикс 13.06.24]]</f>
        <v>109871.25581167414</v>
      </c>
      <c r="CC430" s="93"/>
      <c r="CD430" s="93">
        <f>ППД5[[#This Row],[Фикс 02.07.24]]+ППД5[[#This Row],[04.09.2024 +500
0К - Б2; 1К - А3;
2К - А6, Б4, В3, Г5]]</f>
        <v>109871.25581167414</v>
      </c>
      <c r="CE430" s="93"/>
      <c r="CF430" s="93">
        <f>ППД5[[#This Row],[Наценка 16.09.2024
1К: А1,В7,Г6/7,Г8 - 2%
2К: А4,А5,А6,Б1,Б6,Б3/4,В3,В4,Г4,Г5 - 4%
3К: 4%]]+ППД5[[#This Row],[Фикс 04.09.24]]</f>
        <v>109871.25581167414</v>
      </c>
      <c r="CG430" s="93"/>
      <c r="CH430" s="93">
        <f>ППД5[[#This Row],[Фикс 16.09.2024]]+ППД5[[#This Row],[Наценка 01.11.24
СТ: 4%
1К: 34-40м 5%; 40м+ 8%; МГН 1%
2К: 55-70м 6%; 70-73м 7%; 73-76м 8% 
3К: 5%]]</f>
        <v>109871.25581167414</v>
      </c>
      <c r="CI430" s="93"/>
      <c r="CJ430" s="93">
        <f>ППД5[[#This Row],[Наценка 06.11 13%]]+ППД5[[#This Row],[Фикс 01.11.24]]</f>
        <v>109871.25581167414</v>
      </c>
      <c r="CK430" s="93"/>
      <c r="CL430" s="93">
        <f>ППД5[[#This Row],[Фикс 06.11.24]]+ППД5[[#This Row],[Наценка 18.12.24 распределение КВ]]</f>
        <v>109871.25581167414</v>
      </c>
      <c r="CM430" s="93"/>
      <c r="CN430" s="93">
        <f>ППД5[[#This Row],[Фикс 18.12.24]]+ППД5[[#This Row],[Наценка 10.02.25 +1%
1К: А3
2К: Б3, В3]]</f>
        <v>109871.25581167414</v>
      </c>
      <c r="CO430" s="93">
        <f>ROUND(ППД5[[#This Row],[Фикс 10.02.25]],2)</f>
        <v>109871.26</v>
      </c>
      <c r="CP43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4360800</v>
      </c>
      <c r="CQ430" s="93">
        <f>ROUNDUP(ППД5[[#This Row],[Стоимость до скидки]]+ППД5[[#This Row],[Сумма доплаты]],-2)</f>
        <v>4345500</v>
      </c>
      <c r="CR430" s="68"/>
      <c r="CS430" s="90"/>
      <c r="CT430" s="68">
        <f>ППД5[[#This Row],[Стоимость до скидки]]*ППД5[[#This Row],[Скидка %]]+ППД5[[#This Row],[Скидка фиксированная]]</f>
        <v>0</v>
      </c>
      <c r="CU430" s="3">
        <f>ППД5[[#This Row],[Стоимость ОН без отделки со скидкой]]/ППД5[[#This Row],[Расчетная проектная площадь]]</f>
        <v>109871.50415721846</v>
      </c>
      <c r="CV430" s="3">
        <f>ROUND(ППД5[[#This Row],[Стоимость до скидки]]-ППД5[[#This Row],[Итоговая сумма скидки]],2)</f>
        <v>4360800</v>
      </c>
      <c r="CW43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30" s="197">
        <v>20000</v>
      </c>
      <c r="CY430" s="332">
        <f>ППД5[[#This Row],[Расхождение]]/ППД5[[#This Row],[Расчетная проектная площадь]]</f>
        <v>-3.5273368606700294E-3</v>
      </c>
      <c r="CZ43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-0.15000000000000036</v>
      </c>
      <c r="DA430" s="3">
        <f>ППД5[[#This Row],[Цена м2 без отделки со скидкой]]+ППД5[[#This Row],[Стоимость отделки]]</f>
        <v>129871.50415721846</v>
      </c>
      <c r="DB430" s="3">
        <f>ППД5[[#This Row],[Стоимость квартиры с отделкой]]-ППД5[[#This Row],[Стоимость ОН без отделки со скидкой]]</f>
        <v>793800</v>
      </c>
      <c r="DC430" s="3">
        <f>ППД5[[#This Row],[Цена м2 с отделкой]]*ППД5[[#This Row],[Расчетная проектная площадь]]</f>
        <v>5154600</v>
      </c>
      <c r="DD430" s="3"/>
      <c r="DF430" s="155" t="s">
        <v>172</v>
      </c>
      <c r="DG430" s="245" t="s">
        <v>172</v>
      </c>
      <c r="DH430" s="100" t="b">
        <f>EXACT(ППД5[[#This Row],[Статусы CRM]],ППД5[[#This Row],[Статус]])</f>
        <v>1</v>
      </c>
      <c r="DI430" s="213" t="s">
        <v>602</v>
      </c>
      <c r="DJ430" s="204"/>
      <c r="DK430" s="111" t="s">
        <v>763</v>
      </c>
      <c r="DL430" s="216" t="s">
        <v>14</v>
      </c>
      <c r="DM430" s="201" t="b">
        <f>ППД5[[#This Row],[Отделка CRM]]=ППД5[[#This Row],[Отделка]]</f>
        <v>1</v>
      </c>
      <c r="DN430" s="203">
        <v>5154600</v>
      </c>
      <c r="DO43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30" s="207" t="b">
        <f>IF(AND(ППД5[[#This Row],[Статус]]="свободно",ППД5[[#This Row],[Итоговая сумма скидки]]&lt;&gt;0),FALSE,TRUE)</f>
        <v>1</v>
      </c>
      <c r="DQ430" s="240">
        <f>_xlfn.XLOOKUP(ППД5[[#This Row],[№]],Юрист[№ кв],Юрист[Дата подачи на регистрацию]," ",0,-1)</f>
        <v>45505</v>
      </c>
      <c r="DR430" s="115" t="str">
        <f>_xlfn.XLOOKUP(ППД5[[#This Row],[№]],Юрист[№ кв],Юрист[МОП],"",0,-1)</f>
        <v>Никишов</v>
      </c>
      <c r="DS430" s="333" t="s">
        <v>3152</v>
      </c>
      <c r="DT430" s="333" t="s">
        <v>3153</v>
      </c>
      <c r="DU430" s="333">
        <v>38.299999999999997</v>
      </c>
      <c r="DV430" s="111" t="s">
        <v>844</v>
      </c>
    </row>
    <row r="431" spans="1:126" hidden="1" x14ac:dyDescent="0.25">
      <c r="A431" s="112">
        <v>429</v>
      </c>
      <c r="B431" s="111" t="s">
        <v>2</v>
      </c>
      <c r="C431" s="111">
        <v>6</v>
      </c>
      <c r="D431" s="338">
        <v>1</v>
      </c>
      <c r="E431" s="111">
        <v>0</v>
      </c>
      <c r="F431" s="105">
        <v>13.74</v>
      </c>
      <c r="G431" s="105"/>
      <c r="H431" s="105"/>
      <c r="I431" s="94">
        <f>SUM(ППД5[[#This Row],[Комната 1]:[Комната 3]])</f>
        <v>13.74</v>
      </c>
      <c r="J431" s="105">
        <v>5.84</v>
      </c>
      <c r="K431" s="105">
        <v>3.76</v>
      </c>
      <c r="L431" s="105"/>
      <c r="M431" s="105"/>
      <c r="N431" s="105">
        <v>3.73</v>
      </c>
      <c r="O431" s="105">
        <v>4.6500000000000004</v>
      </c>
      <c r="P431" s="105"/>
      <c r="Q431" s="105"/>
      <c r="R431" s="105">
        <f>SUM(ППД5[[#This Row],[Лоджия 1]:[Лоджия 3]])</f>
        <v>4.6500000000000004</v>
      </c>
      <c r="S431" s="8">
        <f>ROUND(SUM(ППД5[[#This Row],[Площадь по проекту жилая]:[Лоджия 3]]),2)</f>
        <v>31.72</v>
      </c>
      <c r="T431" s="8">
        <f>ROUND(ППД5[[#This Row],[Площадь по проекту(общая)]]-ППД5[[#This Row],[Летние]],2)</f>
        <v>27.07</v>
      </c>
      <c r="U431" s="91">
        <f>ROUND(ППД5[[#This Row],[Площадь по проекту(общая)]]-(SUM(ППД5[[#This Row],[Лоджия 1]:[Лоджия 3]])/2),2)</f>
        <v>29.4</v>
      </c>
      <c r="V431" s="91">
        <f>IF(ППД5[[#This Row],[Статус]]="продажа",ППД5[[#This Row],[Расчетная проектная площадь]],ППД5[[#This Row],[Расчетная ТП площадь]])</f>
        <v>29.4</v>
      </c>
      <c r="W431" s="91">
        <v>13.7</v>
      </c>
      <c r="X431" s="91"/>
      <c r="Y431" s="91"/>
      <c r="Z431" s="91">
        <f>SUM(ППД5[[#This Row],[ТП Комната 1]:[ТП Комната 3]])</f>
        <v>13.7</v>
      </c>
      <c r="AA431" s="91">
        <v>5.8</v>
      </c>
      <c r="AB431" s="91">
        <v>3.8</v>
      </c>
      <c r="AC431" s="91"/>
      <c r="AD431" s="91"/>
      <c r="AE431" s="91">
        <v>3.7</v>
      </c>
      <c r="AF431" s="91">
        <v>2.2999999999999998</v>
      </c>
      <c r="AG431" s="91"/>
      <c r="AH431" s="91"/>
      <c r="AI431" s="91">
        <f>SUM(ППД5[[#This Row],[ТП Лоджия 1]:[ТП Лоджия 3]])</f>
        <v>2.2999999999999998</v>
      </c>
      <c r="AJ431" s="95">
        <v>4.5999999999999996</v>
      </c>
      <c r="AK431" s="91">
        <f>SUM(ППД5[[#This Row],[Площадь по ТП жилая]:[ТП Лоджия 3]])-ППД5[[#This Row],[ТП Летние]]+ППД5[[#This Row],[кроме того прочая
(без коэффициента)]]</f>
        <v>31.6</v>
      </c>
      <c r="AL431" s="95">
        <f>ППД5[[#This Row],[ТП Площадь без летних]]+(ППД5[[#This Row],[ТП Летние]])</f>
        <v>29.3</v>
      </c>
      <c r="AM431" s="91">
        <f>ППД5[[#This Row],[ТП общая S]]-ППД5[[#This Row],[кроме того прочая
(без коэффициента)]]</f>
        <v>27</v>
      </c>
      <c r="AN431" s="95">
        <f>SUM(ППД5[[#This Row],[ТП Кухня]:[ТП Коридор]])</f>
        <v>13.3</v>
      </c>
      <c r="AO431" s="91">
        <f>ППД5[[#This Row],[Расчетная ТП площадь]]-ППД5[[#This Row],[Расчетная проектная площадь]]</f>
        <v>-9.9999999999997868E-2</v>
      </c>
      <c r="AP431" s="335">
        <f>ППД5[[#This Row],[Расчетная ТП площадь]]/ППД5[[#This Row],[Расчетная проектная площадь]]-1</f>
        <v>-3.4013605442175798E-3</v>
      </c>
      <c r="AQ431" s="91">
        <f>ППД5[[#This Row],[% расхождения]]*ППД5[[#This Row],[Стоимость до скидки]]</f>
        <v>-8935.352993196997</v>
      </c>
      <c r="AR431" s="91">
        <f>VLOOKUP(ППД5[[#This Row],[№]],наценкад5[],COLUMN(наценкад5[[#This Row],[Цена м2 с учетом всех K]]),0)</f>
        <v>89353.53</v>
      </c>
      <c r="AS431" s="8"/>
      <c r="AT431" s="8">
        <f>ППД5[[#This Row],[м2 после К]]+ППД5[[#This Row],[Повышение 16.08.23 - 5%]]</f>
        <v>89353.53</v>
      </c>
      <c r="AU431" s="93"/>
      <c r="AV431" s="93">
        <f>ППД5[[#This Row],[Фикс 16.08.23]]+ППД5[[#This Row],[Повышение 29.08.23 - 3%]]</f>
        <v>89353.53</v>
      </c>
      <c r="AW431" s="93"/>
      <c r="AX431" s="93">
        <f>ППД5[[#This Row],[Фикс 29.08.23]]+ППД5[[#This Row],[Повышение 06.09.23 СТ и 1К]]</f>
        <v>89353.53</v>
      </c>
      <c r="AY431" s="93"/>
      <c r="AZ431" s="93">
        <f>ППД5[[#This Row],[Повышение 23.10.23  В4 ]]+ППД5[[#This Row],[Фикс 06.09.23]]</f>
        <v>89353.53</v>
      </c>
      <c r="BA431" s="93"/>
      <c r="BB431" s="93">
        <f>ППД5[[#This Row],[Повышение 8.11.23 1К 5%]]+ППД5[[#This Row],[Фикс 23.10.23]]</f>
        <v>89353.53</v>
      </c>
      <c r="BC431" s="93"/>
      <c r="BD431" s="93">
        <f>ППД5[[#This Row],[Корректировка 24.11.23 - 1К В5, 2К А2, №233]]+ППД5[[#This Row],[Фикс 8.11.23]]</f>
        <v>89353.53</v>
      </c>
      <c r="BE431" s="93"/>
      <c r="BF431" s="93">
        <f>ППД5[[#This Row],[Наценка за отделку 29.12.23 1%]]+ППД5[[#This Row],[Фикс 8.11.24]]</f>
        <v>89353.53</v>
      </c>
      <c r="BG431" s="93"/>
      <c r="BH431" s="93">
        <f>ППД5[[#This Row],[Фикс 29.12.23]]+ППД5[[#This Row],[Наценка 10.01.24 5%]]</f>
        <v>89353.53</v>
      </c>
      <c r="BI431" s="93"/>
      <c r="BJ431" s="93">
        <f>ППД5[[#This Row],[Наценка 26.02.24 1 Этаж]]+ППД5[[#This Row],[Фикс 10.01.24]]</f>
        <v>89353.53</v>
      </c>
      <c r="BK431" s="93"/>
      <c r="BL431" s="93">
        <f>ППД5[[#This Row],[Фикс 26.02.24]]+ППД5[[#This Row],[Наценка 06.03.24
СТ, 1К - 3%
2К, 3К - 2%]]</f>
        <v>89353.53</v>
      </c>
      <c r="BM431" s="93"/>
      <c r="BN431" s="93">
        <f>ППД5[[#This Row],[Фикс 06.03.24]]+ППД5[[#This Row],[Наценка Г2+500]]</f>
        <v>89353.53</v>
      </c>
      <c r="BO431" s="93"/>
      <c r="BP431" s="93">
        <f>ППД5[[#This Row],[Фикс 13.03.25]]+ППД5[[#This Row],[Наценка 20.03.24
2К, 3К - 2%]]</f>
        <v>89353.53</v>
      </c>
      <c r="BQ431" s="93"/>
      <c r="BR431" s="93">
        <f>ППД5[[#This Row],[Фикс 20.03.24]]+ППД5[[#This Row],[Наценка 08.04.24 
2К: В3 - 150
3К: Г7 +1000]]</f>
        <v>89353.53</v>
      </c>
      <c r="BS431" s="93"/>
      <c r="BT431" s="93">
        <f>ППД5[[#This Row],[Фикс 08.04.24]]+ППД5[[#This Row],[Наценка 16.05.24 1%
А4,А6,Б3,Б6,Б7,В2,В3,В5,В6,Г1,Г3-Г5]]</f>
        <v>89353.53</v>
      </c>
      <c r="BU431" s="93"/>
      <c r="BV431" s="93">
        <f>ППД5[[#This Row],[Фикс 16.05.24]]+ППД5[[#This Row],[Наценка 24.05.24
1% - Б4, Б5,Г2,Г6
2% - А1,А3,А5,Б2,Г7]]</f>
        <v>89353.53</v>
      </c>
      <c r="BW431" s="93"/>
      <c r="BX431" s="93">
        <f>ППД5[[#This Row],[Наценка 06.06.24
0К: В2,Г3 +0,5%
1К: А7, Б5/4, Г6 +0,5%
3К: В6 +0,5%
1К: А3 +1%]]+ППД5[[#This Row],[Фикс 24.05.24]]</f>
        <v>89353.53</v>
      </c>
      <c r="BY431" s="93"/>
      <c r="BZ431" s="93">
        <f>ППД5[[#This Row],[Фикс 06.06.24]]+ППД5[[#This Row],[13.06.2024
3К - 2%]]</f>
        <v>89353.53</v>
      </c>
      <c r="CA431" s="93"/>
      <c r="CB431" s="93">
        <f>ППД5[[#This Row],[02.07.2024: Г3 А1 А3 Б5 Б7 Г2 Г6 Б3 Б4 В3 Г7 2,5% ост 0,5-1,5%]]+ППД5[[#This Row],[Фикс 13.06.24]]</f>
        <v>89353.53</v>
      </c>
      <c r="CC431" s="93"/>
      <c r="CD431" s="93">
        <f>ППД5[[#This Row],[Фикс 02.07.24]]+ППД5[[#This Row],[04.09.2024 +500
0К - Б2; 1К - А3;
2К - А6, Б4, В3, Г5]]</f>
        <v>89353.53</v>
      </c>
      <c r="CE431" s="93"/>
      <c r="CF431" s="93">
        <f>ППД5[[#This Row],[Наценка 16.09.2024
1К: А1,В7,Г6/7,Г8 - 2%
2К: А4,А5,А6,Б1,Б6,Б3/4,В3,В4,Г4,Г5 - 4%
3К: 4%]]+ППД5[[#This Row],[Фикс 04.09.24]]</f>
        <v>89353.53</v>
      </c>
      <c r="CG431" s="93"/>
      <c r="CH431" s="93">
        <f>ППД5[[#This Row],[Фикс 16.09.2024]]+ППД5[[#This Row],[Наценка 01.11.24
СТ: 4%
1К: 34-40м 5%; 40м+ 8%; МГН 1%
2К: 55-70м 6%; 70-73м 7%; 73-76м 8% 
3К: 5%]]</f>
        <v>89353.53</v>
      </c>
      <c r="CI431" s="93"/>
      <c r="CJ431" s="93">
        <f>ППД5[[#This Row],[Наценка 06.11 13%]]+ППД5[[#This Row],[Фикс 01.11.24]]</f>
        <v>89353.53</v>
      </c>
      <c r="CK431" s="93"/>
      <c r="CL431" s="93">
        <f>ППД5[[#This Row],[Фикс 06.11.24]]+ППД5[[#This Row],[Наценка 18.12.24 распределение КВ]]</f>
        <v>89353.53</v>
      </c>
      <c r="CM431" s="93"/>
      <c r="CN431" s="93">
        <f>ППД5[[#This Row],[Фикс 18.12.24]]+ППД5[[#This Row],[Наценка 10.02.25 +1%
1К: А3
2К: Б3, В3]]</f>
        <v>89353.53</v>
      </c>
      <c r="CO431" s="93">
        <f>ROUND(ППД5[[#This Row],[Фикс 10.02.25]],2)</f>
        <v>89353.53</v>
      </c>
      <c r="CP43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2626993.7799999998</v>
      </c>
      <c r="CQ431" s="93">
        <f>ROUNDUP(ППД5[[#This Row],[Стоимость до скидки]]+ППД5[[#This Row],[Сумма доплаты]],-2)</f>
        <v>2618100</v>
      </c>
      <c r="CR431" s="68"/>
      <c r="CS431" s="90"/>
      <c r="CT431" s="68">
        <f>ППД5[[#This Row],[Стоимость до скидки]]*ППД5[[#This Row],[Скидка %]]+ППД5[[#This Row],[Скидка фиксированная]]</f>
        <v>0</v>
      </c>
      <c r="CU431" s="3">
        <f>ППД5[[#This Row],[Стоимость ОН без отделки со скидкой]]/ППД5[[#This Row],[Расчетная проектная площадь]]</f>
        <v>89353.529931972793</v>
      </c>
      <c r="CV431" s="3">
        <f>ROUND(ППД5[[#This Row],[Стоимость до скидки]]-ППД5[[#This Row],[Итоговая сумма скидки]],2)</f>
        <v>2626993.7799999998</v>
      </c>
      <c r="CW43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431" s="197">
        <v>4500</v>
      </c>
      <c r="CY431" s="332">
        <f>ППД5[[#This Row],[Расхождение]]/ППД5[[#This Row],[Расчетная проектная площадь]]</f>
        <v>-3.4013605442176145E-3</v>
      </c>
      <c r="CZ43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-2.9999999999999361E-2</v>
      </c>
      <c r="DA431" s="3">
        <f>ППД5[[#This Row],[Цена м2 без отделки со скидкой]]+ППД5[[#This Row],[Стоимость отделки]]</f>
        <v>93853.529931972793</v>
      </c>
      <c r="DB431" s="3">
        <f>ППД5[[#This Row],[Стоимость квартиры с отделкой]]-ППД5[[#This Row],[Стоимость ОН без отделки со скидкой]]</f>
        <v>132300</v>
      </c>
      <c r="DC431" s="3">
        <f>ППД5[[#This Row],[Цена м2 с отделкой]]*ППД5[[#This Row],[Расчетная проектная площадь]]</f>
        <v>2759293.78</v>
      </c>
      <c r="DD431" s="3"/>
      <c r="DF431" s="199" t="s">
        <v>172</v>
      </c>
      <c r="DG431" s="245" t="s">
        <v>172</v>
      </c>
      <c r="DH431" s="100" t="b">
        <f>EXACT(ППД5[[#This Row],[Статусы CRM]],ППД5[[#This Row],[Статус]])</f>
        <v>1</v>
      </c>
      <c r="DI431" s="213" t="s">
        <v>603</v>
      </c>
      <c r="DJ431" s="204"/>
      <c r="DK431" s="111" t="s">
        <v>76</v>
      </c>
      <c r="DL431" s="216" t="s">
        <v>13</v>
      </c>
      <c r="DM431" s="201" t="b">
        <f>ППД5[[#This Row],[Отделка CRM]]=ППД5[[#This Row],[Отделка]]</f>
        <v>1</v>
      </c>
      <c r="DN431" s="203">
        <v>2759293.78</v>
      </c>
      <c r="DO43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31" s="207" t="b">
        <f>IF(AND(ППД5[[#This Row],[Статус]]="свободно",ППД5[[#This Row],[Итоговая сумма скидки]]&lt;&gt;0),FALSE,TRUE)</f>
        <v>1</v>
      </c>
      <c r="DQ431" s="240">
        <f>_xlfn.XLOOKUP(ППД5[[#This Row],[№]],Юрист[№ кв],Юрист[Дата подачи на регистрацию]," ",0,-1)</f>
        <v>45187</v>
      </c>
      <c r="DR431" s="115" t="str">
        <f>_xlfn.XLOOKUP(ППД5[[#This Row],[№]],Юрист[№ кв],Юрист[МОП],"",0,-1)</f>
        <v>Дик</v>
      </c>
      <c r="DS431" s="333" t="s">
        <v>3154</v>
      </c>
      <c r="DT431" s="333" t="s">
        <v>3155</v>
      </c>
      <c r="DU431" s="333">
        <v>27</v>
      </c>
      <c r="DV431" s="111"/>
    </row>
    <row r="432" spans="1:126" hidden="1" x14ac:dyDescent="0.25">
      <c r="A432" s="112">
        <v>430</v>
      </c>
      <c r="B432" s="111" t="s">
        <v>2</v>
      </c>
      <c r="C432" s="111">
        <v>6</v>
      </c>
      <c r="D432" s="115">
        <v>2</v>
      </c>
      <c r="E432" s="111">
        <v>1</v>
      </c>
      <c r="F432" s="105">
        <v>13.17</v>
      </c>
      <c r="G432" s="105"/>
      <c r="H432" s="105"/>
      <c r="I432" s="94">
        <f>SUM(ППД5[[#This Row],[Комната 1]:[Комната 3]])</f>
        <v>13.17</v>
      </c>
      <c r="J432" s="105">
        <v>16.940000000000001</v>
      </c>
      <c r="K432" s="105">
        <v>3.55</v>
      </c>
      <c r="L432" s="105">
        <v>2.41</v>
      </c>
      <c r="M432" s="105"/>
      <c r="N432" s="105">
        <v>5.8</v>
      </c>
      <c r="O432" s="105">
        <v>2.68</v>
      </c>
      <c r="P432" s="105"/>
      <c r="Q432" s="105"/>
      <c r="R432" s="105">
        <f>SUM(ППД5[[#This Row],[Лоджия 1]:[Лоджия 3]])</f>
        <v>2.68</v>
      </c>
      <c r="S432" s="8">
        <f>ROUND(SUM(ППД5[[#This Row],[Площадь по проекту жилая]:[Лоджия 3]]),2)</f>
        <v>44.55</v>
      </c>
      <c r="T432" s="8">
        <f>ROUND(ППД5[[#This Row],[Площадь по проекту(общая)]]-ППД5[[#This Row],[Летние]],2)</f>
        <v>41.87</v>
      </c>
      <c r="U432" s="91">
        <f>ROUND(ППД5[[#This Row],[Площадь по проекту(общая)]]-(SUM(ППД5[[#This Row],[Лоджия 1]:[Лоджия 3]])/2),2)</f>
        <v>43.21</v>
      </c>
      <c r="V432" s="91">
        <f>IF(ППД5[[#This Row],[Статус]]="продажа",ППД5[[#This Row],[Расчетная проектная площадь]],ППД5[[#This Row],[Расчетная ТП площадь]])</f>
        <v>43.21</v>
      </c>
      <c r="W432" s="91">
        <v>12.9</v>
      </c>
      <c r="X432" s="91"/>
      <c r="Y432" s="91"/>
      <c r="Z432" s="91">
        <f>SUM(ППД5[[#This Row],[ТП Комната 1]:[ТП Комната 3]])</f>
        <v>12.9</v>
      </c>
      <c r="AA432" s="91">
        <v>16.899999999999999</v>
      </c>
      <c r="AB432" s="91">
        <v>2.1</v>
      </c>
      <c r="AC432" s="91">
        <v>3.3</v>
      </c>
      <c r="AD432" s="91"/>
      <c r="AE432" s="91">
        <v>5.9</v>
      </c>
      <c r="AF432" s="91">
        <v>1.35</v>
      </c>
      <c r="AG432" s="91"/>
      <c r="AH432" s="91"/>
      <c r="AI432" s="91">
        <f>SUM(ППД5[[#This Row],[ТП Лоджия 1]:[ТП Лоджия 3]])</f>
        <v>1.35</v>
      </c>
      <c r="AJ432" s="95">
        <v>2.7</v>
      </c>
      <c r="AK432" s="91">
        <f>SUM(ППД5[[#This Row],[Площадь по ТП жилая]:[ТП Лоджия 3]])-ППД5[[#This Row],[ТП Летние]]+ППД5[[#This Row],[кроме того прочая
(без коэффициента)]]</f>
        <v>43.8</v>
      </c>
      <c r="AL432" s="95">
        <f>ППД5[[#This Row],[ТП Площадь без летних]]+(ППД5[[#This Row],[ТП Летние]])</f>
        <v>42.449999999999996</v>
      </c>
      <c r="AM432" s="91">
        <f>ППД5[[#This Row],[ТП общая S]]-ППД5[[#This Row],[кроме того прочая
(без коэффициента)]]</f>
        <v>41.099999999999994</v>
      </c>
      <c r="AN432" s="95">
        <f>SUM(ППД5[[#This Row],[ТП Кухня]:[ТП Коридор]])</f>
        <v>28.200000000000003</v>
      </c>
      <c r="AO432" s="91">
        <f>ППД5[[#This Row],[Расчетная ТП площадь]]-ППД5[[#This Row],[Расчетная проектная площадь]]</f>
        <v>-0.76000000000000512</v>
      </c>
      <c r="AP432" s="335">
        <f>ППД5[[#This Row],[Расчетная ТП площадь]]/ППД5[[#This Row],[Расчетная проектная площадь]]-1</f>
        <v>-1.7588521175653904E-2</v>
      </c>
      <c r="AQ432" s="91">
        <f>ППД5[[#This Row],[% расхождения]]*ППД5[[#This Row],[Стоимость до скидки]]</f>
        <v>-82287.896320296786</v>
      </c>
      <c r="AR432" s="91">
        <f>VLOOKUP(ППД5[[#This Row],[№]],наценкад5[],COLUMN(наценкад5[[#This Row],[Цена м2 с учетом всех K]]),0)</f>
        <v>85168.125</v>
      </c>
      <c r="AS432" s="8">
        <f>ППД5[[#This Row],[м2 после К]]*5%</f>
        <v>4258.40625</v>
      </c>
      <c r="AT432" s="8">
        <f>ППД5[[#This Row],[м2 после К]]+ППД5[[#This Row],[Повышение 16.08.23 - 5%]]</f>
        <v>89426.53125</v>
      </c>
      <c r="AU432" s="93">
        <f>ППД5[[#This Row],[Фикс 16.08.23]]*3%</f>
        <v>2682.7959375</v>
      </c>
      <c r="AV432" s="93">
        <f>ППД5[[#This Row],[Фикс 16.08.23]]+ППД5[[#This Row],[Повышение 29.08.23 - 3%]]</f>
        <v>92109.327187500006</v>
      </c>
      <c r="AW432" s="93">
        <f>ППД5[[#This Row],[Фикс 29.08.23]]*1%</f>
        <v>921.09327187500003</v>
      </c>
      <c r="AX432" s="93">
        <f>ППД5[[#This Row],[Фикс 29.08.23]]+ППД5[[#This Row],[Повышение 06.09.23 СТ и 1К]]</f>
        <v>93030.420459375004</v>
      </c>
      <c r="AY432" s="93"/>
      <c r="AZ432" s="93">
        <f>ППД5[[#This Row],[Повышение 23.10.23  В4 ]]+ППД5[[#This Row],[Фикс 06.09.23]]</f>
        <v>93030.420459375004</v>
      </c>
      <c r="BA432" s="93">
        <f>ППД5[[#This Row],[Фикс 23.10.23]]*5%</f>
        <v>4651.52102296875</v>
      </c>
      <c r="BB432" s="93">
        <f>ППД5[[#This Row],[Повышение 8.11.23 1К 5%]]+ППД5[[#This Row],[Фикс 23.10.23]]</f>
        <v>97681.941482343755</v>
      </c>
      <c r="BC432" s="93"/>
      <c r="BD432" s="93">
        <f>ППД5[[#This Row],[Корректировка 24.11.23 - 1К В5, 2К А2, №233]]+ППД5[[#This Row],[Фикс 8.11.23]]</f>
        <v>97681.941482343755</v>
      </c>
      <c r="BE432" s="93">
        <f>ППД5[[#This Row],[Фикс 8.11.24]]*1%</f>
        <v>976.81941482343757</v>
      </c>
      <c r="BF432" s="93">
        <f>ППД5[[#This Row],[Наценка за отделку 29.12.23 1%]]+ППД5[[#This Row],[Фикс 8.11.24]]</f>
        <v>98658.760897167187</v>
      </c>
      <c r="BG432" s="93">
        <f>ППД5[[#This Row],[Фикс 29.12.23]]*5%</f>
        <v>4932.9380448583597</v>
      </c>
      <c r="BH432" s="93">
        <f>ППД5[[#This Row],[Фикс 29.12.23]]+ППД5[[#This Row],[Наценка 10.01.24 5%]]</f>
        <v>103591.69894202554</v>
      </c>
      <c r="BI432" s="93"/>
      <c r="BJ432" s="93">
        <f>ППД5[[#This Row],[Наценка 26.02.24 1 Этаж]]+ППД5[[#This Row],[Фикс 10.01.24]]</f>
        <v>103591.69894202554</v>
      </c>
      <c r="BK432" s="93">
        <f>ППД5[[#This Row],[Фикс 26.02.24]]*3%</f>
        <v>3107.7509682607661</v>
      </c>
      <c r="BL432" s="93">
        <f>ППД5[[#This Row],[Фикс 26.02.24]]+ППД5[[#This Row],[Наценка 06.03.24
СТ, 1К - 3%
2К, 3К - 2%]]</f>
        <v>106699.4499102863</v>
      </c>
      <c r="BM432" s="93">
        <v>500</v>
      </c>
      <c r="BN432" s="93">
        <f>ППД5[[#This Row],[Фикс 06.03.24]]+ППД5[[#This Row],[Наценка Г2+500]]</f>
        <v>107199.4499102863</v>
      </c>
      <c r="BO432" s="93"/>
      <c r="BP432" s="93">
        <f>ППД5[[#This Row],[Фикс 13.03.25]]+ППД5[[#This Row],[Наценка 20.03.24
2К, 3К - 2%]]</f>
        <v>107199.4499102863</v>
      </c>
      <c r="BQ432" s="93"/>
      <c r="BR432" s="93">
        <f>ППД5[[#This Row],[Фикс 20.03.24]]+ППД5[[#This Row],[Наценка 08.04.24 
2К: В3 - 150
3К: Г7 +1000]]</f>
        <v>107199.4499102863</v>
      </c>
      <c r="BS432" s="93"/>
      <c r="BT432" s="93">
        <f>ППД5[[#This Row],[Фикс 08.04.24]]+ППД5[[#This Row],[Наценка 16.05.24 1%
А4,А6,Б3,Б6,Б7,В2,В3,В5,В6,Г1,Г3-Г5]]</f>
        <v>107199.4499102863</v>
      </c>
      <c r="BU432" s="93">
        <f>ППД5[[#This Row],[Фикс 16.05.24]]*1%</f>
        <v>1071.9944991028631</v>
      </c>
      <c r="BV432" s="93">
        <f>ППД5[[#This Row],[Фикс 16.05.24]]+ППД5[[#This Row],[Наценка 24.05.24
1% - Б4, Б5,Г2,Г6
2% - А1,А3,А5,Б2,Г7]]</f>
        <v>108271.44440938917</v>
      </c>
      <c r="BW432" s="93"/>
      <c r="BX432" s="93">
        <f>ППД5[[#This Row],[Наценка 06.06.24
0К: В2,Г3 +0,5%
1К: А7, Б5/4, Г6 +0,5%
3К: В6 +0,5%
1К: А3 +1%]]+ППД5[[#This Row],[Фикс 24.05.24]]</f>
        <v>108271.44440938917</v>
      </c>
      <c r="BY432" s="93"/>
      <c r="BZ432" s="93">
        <f>ППД5[[#This Row],[Фикс 06.06.24]]+ППД5[[#This Row],[13.06.2024
3К - 2%]]</f>
        <v>108271.44440938917</v>
      </c>
      <c r="CA432" s="93"/>
      <c r="CB432" s="93">
        <f>ППД5[[#This Row],[02.07.2024: Г3 А1 А3 Б5 Б7 Г2 Г6 Б3 Б4 В3 Г7 2,5% ост 0,5-1,5%]]+ППД5[[#This Row],[Фикс 13.06.24]]</f>
        <v>108271.44440938917</v>
      </c>
      <c r="CC432" s="93"/>
      <c r="CD432" s="93">
        <f>ППД5[[#This Row],[Фикс 02.07.24]]+ППД5[[#This Row],[04.09.2024 +500
0К - Б2; 1К - А3;
2К - А6, Б4, В3, Г5]]</f>
        <v>108271.44440938917</v>
      </c>
      <c r="CE432" s="93"/>
      <c r="CF432" s="93">
        <f>ППД5[[#This Row],[Наценка 16.09.2024
1К: А1,В7,Г6/7,Г8 - 2%
2К: А4,А5,А6,Б1,Б6,Б3/4,В3,В4,Г4,Г5 - 4%
3К: 4%]]+ППД5[[#This Row],[Фикс 04.09.24]]</f>
        <v>108271.44440938917</v>
      </c>
      <c r="CG432" s="93"/>
      <c r="CH432" s="93">
        <f>ППД5[[#This Row],[Фикс 16.09.2024]]+ППД5[[#This Row],[Наценка 01.11.24
СТ: 4%
1К: 34-40м 5%; 40м+ 8%; МГН 1%
2К: 55-70м 6%; 70-73м 7%; 73-76м 8% 
3К: 5%]]</f>
        <v>108271.44440938917</v>
      </c>
      <c r="CI432" s="93"/>
      <c r="CJ432" s="93">
        <f>ППД5[[#This Row],[Наценка 06.11 13%]]+ППД5[[#This Row],[Фикс 01.11.24]]</f>
        <v>108271.44440938917</v>
      </c>
      <c r="CK432" s="93"/>
      <c r="CL432" s="93">
        <f>ППД5[[#This Row],[Фикс 06.11.24]]+ППД5[[#This Row],[Наценка 18.12.24 распределение КВ]]</f>
        <v>108271.44440938917</v>
      </c>
      <c r="CM432" s="93"/>
      <c r="CN432" s="93">
        <f>ППД5[[#This Row],[Фикс 18.12.24]]+ППД5[[#This Row],[Наценка 10.02.25 +1%
1К: А3
2К: Б3, В3]]</f>
        <v>108271.44440938917</v>
      </c>
      <c r="CO432" s="93">
        <f>ROUND(ППД5[[#This Row],[Фикс 10.02.25]],2)</f>
        <v>108271.44</v>
      </c>
      <c r="CP43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4678500</v>
      </c>
      <c r="CQ432" s="93">
        <f>ROUNDUP(ППД5[[#This Row],[Стоимость до скидки]]+ППД5[[#This Row],[Сумма доплаты]],-2)</f>
        <v>4596300</v>
      </c>
      <c r="CR432" s="68"/>
      <c r="CS432" s="90"/>
      <c r="CT432" s="68">
        <f>ППД5[[#This Row],[Стоимость до скидки]]*ППД5[[#This Row],[Скидка %]]+ППД5[[#This Row],[Скидка фиксированная]]</f>
        <v>0</v>
      </c>
      <c r="CU432" s="3">
        <f>ППД5[[#This Row],[Стоимость ОН без отделки со скидкой]]/ППД5[[#This Row],[Расчетная проектная площадь]]</f>
        <v>108273.54778986346</v>
      </c>
      <c r="CV432" s="3">
        <f>ROUND(ППД5[[#This Row],[Стоимость до скидки]]-ППД5[[#This Row],[Итоговая сумма скидки]],2)</f>
        <v>4678500</v>
      </c>
      <c r="CW43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432" s="197">
        <v>7000</v>
      </c>
      <c r="CY432" s="332">
        <f>ППД5[[#This Row],[Расхождение]]/ППД5[[#This Row],[Расчетная проектная площадь]]</f>
        <v>-1.75885211756539E-2</v>
      </c>
      <c r="CZ43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-0.5</v>
      </c>
      <c r="DA432" s="3">
        <f>ППД5[[#This Row],[Цена м2 без отделки со скидкой]]+ППД5[[#This Row],[Стоимость отделки]]</f>
        <v>115273.54778986346</v>
      </c>
      <c r="DB432" s="3">
        <f>ППД5[[#This Row],[Стоимость квартиры с отделкой]]-ППД5[[#This Row],[Стоимость ОН без отделки со скидкой]]</f>
        <v>302470</v>
      </c>
      <c r="DC432" s="3">
        <f>ППД5[[#This Row],[Цена м2 с отделкой]]*ППД5[[#This Row],[Расчетная проектная площадь]]</f>
        <v>4980970</v>
      </c>
      <c r="DD432" s="3"/>
      <c r="DF432" s="199" t="s">
        <v>172</v>
      </c>
      <c r="DG432" s="245" t="s">
        <v>172</v>
      </c>
      <c r="DH432" s="100" t="b">
        <f>EXACT(ППД5[[#This Row],[Статусы CRM]],ППД5[[#This Row],[Статус]])</f>
        <v>1</v>
      </c>
      <c r="DI432" s="213" t="s">
        <v>604</v>
      </c>
      <c r="DJ432" s="204"/>
      <c r="DK432" s="111" t="s">
        <v>763</v>
      </c>
      <c r="DL432" s="216" t="s">
        <v>780</v>
      </c>
      <c r="DM432" s="201" t="b">
        <f>ППД5[[#This Row],[Отделка CRM]]=ППД5[[#This Row],[Отделка]]</f>
        <v>1</v>
      </c>
      <c r="DN432" s="203">
        <v>4980970</v>
      </c>
      <c r="DO43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32" s="207" t="b">
        <f>IF(AND(ППД5[[#This Row],[Статус]]="свободно",ППД5[[#This Row],[Итоговая сумма скидки]]&lt;&gt;0),FALSE,TRUE)</f>
        <v>1</v>
      </c>
      <c r="DQ432" s="240">
        <f>_xlfn.XLOOKUP(ППД5[[#This Row],[№]],Юрист[№ кв],Юрист[Дата подачи на регистрацию]," ",0,-1)</f>
        <v>45447</v>
      </c>
      <c r="DR432" s="115" t="str">
        <f>_xlfn.XLOOKUP(ППД5[[#This Row],[№]],Юрист[№ кв],Юрист[МОП],"",0,-1)</f>
        <v>Дик</v>
      </c>
      <c r="DS432" s="333" t="s">
        <v>3156</v>
      </c>
      <c r="DT432" s="333" t="s">
        <v>3157</v>
      </c>
      <c r="DU432" s="333">
        <v>41.1</v>
      </c>
      <c r="DV432" s="111"/>
    </row>
    <row r="433" spans="1:126" hidden="1" x14ac:dyDescent="0.25">
      <c r="A433" s="112">
        <v>431</v>
      </c>
      <c r="B433" s="111" t="s">
        <v>2</v>
      </c>
      <c r="C433" s="111">
        <v>6</v>
      </c>
      <c r="D433" s="115">
        <v>3</v>
      </c>
      <c r="E433" s="111">
        <v>0</v>
      </c>
      <c r="F433" s="105">
        <v>7.2</v>
      </c>
      <c r="G433" s="105"/>
      <c r="H433" s="105"/>
      <c r="I433" s="94">
        <f>SUM(ППД5[[#This Row],[Комната 1]:[Комната 3]])</f>
        <v>7.2</v>
      </c>
      <c r="J433" s="105">
        <v>5.17</v>
      </c>
      <c r="K433" s="105">
        <v>3.71</v>
      </c>
      <c r="L433" s="105"/>
      <c r="M433" s="105"/>
      <c r="N433" s="105">
        <v>6.96</v>
      </c>
      <c r="O433" s="105">
        <v>2.92</v>
      </c>
      <c r="P433" s="105"/>
      <c r="Q433" s="105"/>
      <c r="R433" s="105">
        <f>SUM(ППД5[[#This Row],[Лоджия 1]:[Лоджия 3]])</f>
        <v>2.92</v>
      </c>
      <c r="S433" s="8">
        <f>ROUND(SUM(ППД5[[#This Row],[Площадь по проекту жилая]:[Лоджия 3]]),2)</f>
        <v>25.96</v>
      </c>
      <c r="T433" s="8">
        <f>ROUND(ППД5[[#This Row],[Площадь по проекту(общая)]]-ППД5[[#This Row],[Летние]],2)</f>
        <v>23.04</v>
      </c>
      <c r="U433" s="91">
        <f>ROUND(ППД5[[#This Row],[Площадь по проекту(общая)]]-(SUM(ППД5[[#This Row],[Лоджия 1]:[Лоджия 3]])/2),2)</f>
        <v>24.5</v>
      </c>
      <c r="V433" s="91">
        <f>IF(ППД5[[#This Row],[Статус]]="продажа",ППД5[[#This Row],[Расчетная проектная площадь]],ППД5[[#This Row],[Расчетная ТП площадь]])</f>
        <v>24.5</v>
      </c>
      <c r="W433" s="91">
        <v>7.2</v>
      </c>
      <c r="X433" s="91"/>
      <c r="Y433" s="91"/>
      <c r="Z433" s="91">
        <f>SUM(ППД5[[#This Row],[ТП Комната 1]:[ТП Комната 3]])</f>
        <v>7.2</v>
      </c>
      <c r="AA433" s="91">
        <v>5.6</v>
      </c>
      <c r="AB433" s="91">
        <v>3.7</v>
      </c>
      <c r="AC433" s="91"/>
      <c r="AD433" s="91"/>
      <c r="AE433" s="91">
        <v>6.6</v>
      </c>
      <c r="AF433" s="91">
        <v>1.45</v>
      </c>
      <c r="AG433" s="91"/>
      <c r="AH433" s="91"/>
      <c r="AI433" s="91">
        <f>SUM(ППД5[[#This Row],[ТП Лоджия 1]:[ТП Лоджия 3]])</f>
        <v>1.45</v>
      </c>
      <c r="AJ433" s="95">
        <v>2.9</v>
      </c>
      <c r="AK433" s="91">
        <f>SUM(ППД5[[#This Row],[Площадь по ТП жилая]:[ТП Лоджия 3]])-ППД5[[#This Row],[ТП Летние]]+ППД5[[#This Row],[кроме того прочая
(без коэффициента)]]</f>
        <v>26</v>
      </c>
      <c r="AL433" s="95">
        <f>ППД5[[#This Row],[ТП Площадь без летних]]+(ППД5[[#This Row],[ТП Летние]])</f>
        <v>24.55</v>
      </c>
      <c r="AM433" s="91">
        <f>ППД5[[#This Row],[ТП общая S]]-ППД5[[#This Row],[кроме того прочая
(без коэффициента)]]</f>
        <v>23.1</v>
      </c>
      <c r="AN433" s="95">
        <f>SUM(ППД5[[#This Row],[ТП Кухня]:[ТП Коридор]])</f>
        <v>15.9</v>
      </c>
      <c r="AO433" s="91">
        <f>ППД5[[#This Row],[Расчетная ТП площадь]]-ППД5[[#This Row],[Расчетная проектная площадь]]</f>
        <v>5.0000000000000711E-2</v>
      </c>
      <c r="AP433" s="335">
        <f>ППД5[[#This Row],[Расчетная ТП площадь]]/ППД5[[#This Row],[Расчетная проектная площадь]]-1</f>
        <v>2.0408163265306367E-3</v>
      </c>
      <c r="AQ433" s="91">
        <f>ППД5[[#This Row],[% расхождения]]*ППД5[[#This Row],[Стоимость до скидки]]</f>
        <v>4555.2780000000548</v>
      </c>
      <c r="AR433" s="91">
        <f>VLOOKUP(ППД5[[#This Row],[№]],наценкад5[],COLUMN(наценкад5[[#This Row],[Цена м2 с учетом всех K]]),0)</f>
        <v>91105.56</v>
      </c>
      <c r="AS433" s="8"/>
      <c r="AT433" s="8">
        <f>ППД5[[#This Row],[м2 после К]]+ППД5[[#This Row],[Повышение 16.08.23 - 5%]]</f>
        <v>91105.56</v>
      </c>
      <c r="AU433" s="93"/>
      <c r="AV433" s="93">
        <f>ППД5[[#This Row],[Фикс 16.08.23]]+ППД5[[#This Row],[Повышение 29.08.23 - 3%]]</f>
        <v>91105.56</v>
      </c>
      <c r="AW433" s="93"/>
      <c r="AX433" s="93">
        <f>ППД5[[#This Row],[Фикс 29.08.23]]+ППД5[[#This Row],[Повышение 06.09.23 СТ и 1К]]</f>
        <v>91105.56</v>
      </c>
      <c r="AY433" s="93"/>
      <c r="AZ433" s="93">
        <f>ППД5[[#This Row],[Повышение 23.10.23  В4 ]]+ППД5[[#This Row],[Фикс 06.09.23]]</f>
        <v>91105.56</v>
      </c>
      <c r="BA433" s="93"/>
      <c r="BB433" s="93">
        <f>ППД5[[#This Row],[Повышение 8.11.23 1К 5%]]+ППД5[[#This Row],[Фикс 23.10.23]]</f>
        <v>91105.56</v>
      </c>
      <c r="BC433" s="93"/>
      <c r="BD433" s="93">
        <f>ППД5[[#This Row],[Корректировка 24.11.23 - 1К В5, 2К А2, №233]]+ППД5[[#This Row],[Фикс 8.11.23]]</f>
        <v>91105.56</v>
      </c>
      <c r="BE433" s="93"/>
      <c r="BF433" s="93">
        <f>ППД5[[#This Row],[Наценка за отделку 29.12.23 1%]]+ППД5[[#This Row],[Фикс 8.11.24]]</f>
        <v>91105.56</v>
      </c>
      <c r="BG433" s="93"/>
      <c r="BH433" s="93">
        <f>ППД5[[#This Row],[Фикс 29.12.23]]+ППД5[[#This Row],[Наценка 10.01.24 5%]]</f>
        <v>91105.56</v>
      </c>
      <c r="BI433" s="93"/>
      <c r="BJ433" s="93">
        <f>ППД5[[#This Row],[Наценка 26.02.24 1 Этаж]]+ППД5[[#This Row],[Фикс 10.01.24]]</f>
        <v>91105.56</v>
      </c>
      <c r="BK433" s="93"/>
      <c r="BL433" s="93">
        <f>ППД5[[#This Row],[Фикс 26.02.24]]+ППД5[[#This Row],[Наценка 06.03.24
СТ, 1К - 3%
2К, 3К - 2%]]</f>
        <v>91105.56</v>
      </c>
      <c r="BM433" s="93"/>
      <c r="BN433" s="93">
        <f>ППД5[[#This Row],[Фикс 06.03.24]]+ППД5[[#This Row],[Наценка Г2+500]]</f>
        <v>91105.56</v>
      </c>
      <c r="BO433" s="93"/>
      <c r="BP433" s="93">
        <f>ППД5[[#This Row],[Фикс 13.03.25]]+ППД5[[#This Row],[Наценка 20.03.24
2К, 3К - 2%]]</f>
        <v>91105.56</v>
      </c>
      <c r="BQ433" s="93"/>
      <c r="BR433" s="93">
        <f>ППД5[[#This Row],[Фикс 20.03.24]]+ППД5[[#This Row],[Наценка 08.04.24 
2К: В3 - 150
3К: Г7 +1000]]</f>
        <v>91105.56</v>
      </c>
      <c r="BS433" s="93"/>
      <c r="BT433" s="93">
        <f>ППД5[[#This Row],[Фикс 08.04.24]]+ППД5[[#This Row],[Наценка 16.05.24 1%
А4,А6,Б3,Б6,Б7,В2,В3,В5,В6,Г1,Г3-Г5]]</f>
        <v>91105.56</v>
      </c>
      <c r="BU433" s="93"/>
      <c r="BV433" s="93">
        <f>ППД5[[#This Row],[Фикс 16.05.24]]+ППД5[[#This Row],[Наценка 24.05.24
1% - Б4, Б5,Г2,Г6
2% - А1,А3,А5,Б2,Г7]]</f>
        <v>91105.56</v>
      </c>
      <c r="BW433" s="93"/>
      <c r="BX433" s="93">
        <f>ППД5[[#This Row],[Наценка 06.06.24
0К: В2,Г3 +0,5%
1К: А7, Б5/4, Г6 +0,5%
3К: В6 +0,5%
1К: А3 +1%]]+ППД5[[#This Row],[Фикс 24.05.24]]</f>
        <v>91105.56</v>
      </c>
      <c r="BY433" s="93"/>
      <c r="BZ433" s="93">
        <f>ППД5[[#This Row],[Фикс 06.06.24]]+ППД5[[#This Row],[13.06.2024
3К - 2%]]</f>
        <v>91105.56</v>
      </c>
      <c r="CA433" s="93"/>
      <c r="CB433" s="93">
        <f>ППД5[[#This Row],[02.07.2024: Г3 А1 А3 Б5 Б7 Г2 Г6 Б3 Б4 В3 Г7 2,5% ост 0,5-1,5%]]+ППД5[[#This Row],[Фикс 13.06.24]]</f>
        <v>91105.56</v>
      </c>
      <c r="CC433" s="93"/>
      <c r="CD433" s="93">
        <f>ППД5[[#This Row],[Фикс 02.07.24]]+ППД5[[#This Row],[04.09.2024 +500
0К - Б2; 1К - А3;
2К - А6, Б4, В3, Г5]]</f>
        <v>91105.56</v>
      </c>
      <c r="CE433" s="93"/>
      <c r="CF433" s="93">
        <f>ППД5[[#This Row],[Наценка 16.09.2024
1К: А1,В7,Г6/7,Г8 - 2%
2К: А4,А5,А6,Б1,Б6,Б3/4,В3,В4,Г4,Г5 - 4%
3К: 4%]]+ППД5[[#This Row],[Фикс 04.09.24]]</f>
        <v>91105.56</v>
      </c>
      <c r="CG433" s="93"/>
      <c r="CH433" s="93">
        <f>ППД5[[#This Row],[Фикс 16.09.2024]]+ППД5[[#This Row],[Наценка 01.11.24
СТ: 4%
1К: 34-40м 5%; 40м+ 8%; МГН 1%
2К: 55-70м 6%; 70-73м 7%; 73-76м 8% 
3К: 5%]]</f>
        <v>91105.56</v>
      </c>
      <c r="CI433" s="93"/>
      <c r="CJ433" s="93">
        <f>ППД5[[#This Row],[Наценка 06.11 13%]]+ППД5[[#This Row],[Фикс 01.11.24]]</f>
        <v>91105.56</v>
      </c>
      <c r="CK433" s="93"/>
      <c r="CL433" s="93">
        <f>ППД5[[#This Row],[Фикс 06.11.24]]+ППД5[[#This Row],[Наценка 18.12.24 распределение КВ]]</f>
        <v>91105.56</v>
      </c>
      <c r="CM433" s="93"/>
      <c r="CN433" s="93">
        <f>ППД5[[#This Row],[Фикс 18.12.24]]+ППД5[[#This Row],[Наценка 10.02.25 +1%
1К: А3
2К: Б3, В3]]</f>
        <v>91105.56</v>
      </c>
      <c r="CO433" s="93">
        <f>ROUND(ППД5[[#This Row],[Фикс 10.02.25]],2)</f>
        <v>91105.56</v>
      </c>
      <c r="CP43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2232086.2200000002</v>
      </c>
      <c r="CQ433" s="93">
        <f>ROUNDUP(ППД5[[#This Row],[Стоимость до скидки]]+ППД5[[#This Row],[Сумма доплаты]],-2)</f>
        <v>2236700</v>
      </c>
      <c r="CR433" s="68">
        <v>350000</v>
      </c>
      <c r="CS433" s="90"/>
      <c r="CT433" s="68">
        <f>ППД5[[#This Row],[Стоимость до скидки]]*ППД5[[#This Row],[Скидка %]]+ППД5[[#This Row],[Скидка фиксированная]]</f>
        <v>350000</v>
      </c>
      <c r="CU433" s="3">
        <f>ППД5[[#This Row],[Стоимость ОН без отделки со скидкой]]/ППД5[[#This Row],[Расчетная проектная площадь]]</f>
        <v>76819.845714285708</v>
      </c>
      <c r="CV433" s="3">
        <f>ROUND(ППД5[[#This Row],[Стоимость до скидки]]-ППД5[[#This Row],[Итоговая сумма скидки]],2)</f>
        <v>1882086.22</v>
      </c>
      <c r="CW43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33" s="197"/>
      <c r="CY433" s="332">
        <f>ППД5[[#This Row],[Расхождение]]/ППД5[[#This Row],[Расчетная проектная площадь]]</f>
        <v>2.0408163265306411E-3</v>
      </c>
      <c r="CZ43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6.0000000000001386E-2</v>
      </c>
      <c r="DA433" s="3">
        <f>ППД5[[#This Row],[Цена м2 без отделки со скидкой]]+ППД5[[#This Row],[Стоимость отделки]]</f>
        <v>76819.845714285708</v>
      </c>
      <c r="DB433" s="3">
        <f>ППД5[[#This Row],[Стоимость квартиры с отделкой]]-ППД5[[#This Row],[Стоимость ОН без отделки со скидкой]]</f>
        <v>0</v>
      </c>
      <c r="DC433" s="3">
        <f>ППД5[[#This Row],[Цена м2 с отделкой]]*ППД5[[#This Row],[Расчетная проектная площадь]]</f>
        <v>1882086.2199999997</v>
      </c>
      <c r="DD433" s="3"/>
      <c r="DE433" s="111" t="s">
        <v>163</v>
      </c>
      <c r="DF433" s="199" t="s">
        <v>172</v>
      </c>
      <c r="DG433" s="245" t="s">
        <v>172</v>
      </c>
      <c r="DH433" s="100" t="b">
        <f>EXACT(ППД5[[#This Row],[Статусы CRM]],ППД5[[#This Row],[Статус]])</f>
        <v>1</v>
      </c>
      <c r="DI433" s="213" t="s">
        <v>605</v>
      </c>
      <c r="DJ433" s="204"/>
      <c r="DK433" s="111" t="s">
        <v>76</v>
      </c>
      <c r="DL433" s="216" t="s">
        <v>12</v>
      </c>
      <c r="DM433" s="201" t="b">
        <f>ППД5[[#This Row],[Отделка CRM]]=ППД5[[#This Row],[Отделка]]</f>
        <v>1</v>
      </c>
      <c r="DN433" s="203">
        <v>1882086.22</v>
      </c>
      <c r="DO43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2.3283064365386963E-10</v>
      </c>
      <c r="DP433" s="207" t="b">
        <f>IF(AND(ППД5[[#This Row],[Статус]]="свободно",ППД5[[#This Row],[Итоговая сумма скидки]]&lt;&gt;0),FALSE,TRUE)</f>
        <v>1</v>
      </c>
      <c r="DQ433" s="240">
        <f>_xlfn.XLOOKUP(ППД5[[#This Row],[№]],Юрист[№ кв],Юрист[Дата подачи на регистрацию]," ",0,-1)</f>
        <v>45194</v>
      </c>
      <c r="DR433" s="115" t="str">
        <f>_xlfn.XLOOKUP(ППД5[[#This Row],[№]],Юрист[№ кв],Юрист[МОП],"",0,-1)</f>
        <v>Кофанова</v>
      </c>
      <c r="DS433" s="333" t="s">
        <v>3158</v>
      </c>
      <c r="DT433" s="333" t="s">
        <v>3159</v>
      </c>
      <c r="DU433" s="333">
        <v>23.1</v>
      </c>
      <c r="DV433" s="111"/>
    </row>
    <row r="434" spans="1:126" hidden="1" x14ac:dyDescent="0.25">
      <c r="A434" s="112">
        <v>432</v>
      </c>
      <c r="B434" s="111" t="s">
        <v>2</v>
      </c>
      <c r="C434" s="111">
        <v>6</v>
      </c>
      <c r="D434" s="115">
        <v>4</v>
      </c>
      <c r="E434" s="111">
        <v>2</v>
      </c>
      <c r="F434" s="105">
        <v>14.48</v>
      </c>
      <c r="G434" s="105">
        <v>11.42</v>
      </c>
      <c r="H434" s="105"/>
      <c r="I434" s="94">
        <f>SUM(ППД5[[#This Row],[Комната 1]:[Комната 3]])</f>
        <v>25.9</v>
      </c>
      <c r="J434" s="105">
        <v>15.86</v>
      </c>
      <c r="K434" s="105">
        <v>3.01</v>
      </c>
      <c r="L434" s="105">
        <v>2.67</v>
      </c>
      <c r="M434" s="105"/>
      <c r="N434" s="105">
        <v>9.44</v>
      </c>
      <c r="O434" s="105">
        <v>2.72</v>
      </c>
      <c r="P434" s="105"/>
      <c r="Q434" s="105"/>
      <c r="R434" s="105">
        <f>SUM(ППД5[[#This Row],[Лоджия 1]:[Лоджия 3]])</f>
        <v>2.72</v>
      </c>
      <c r="S434" s="8">
        <f>ROUND(SUM(ППД5[[#This Row],[Площадь по проекту жилая]:[Лоджия 3]]),2)</f>
        <v>59.6</v>
      </c>
      <c r="T434" s="8">
        <f>ROUND(ППД5[[#This Row],[Площадь по проекту(общая)]]-ППД5[[#This Row],[Летние]],2)</f>
        <v>56.88</v>
      </c>
      <c r="U434" s="91">
        <f>ROUND(ППД5[[#This Row],[Площадь по проекту(общая)]]-(SUM(ППД5[[#This Row],[Лоджия 1]:[Лоджия 3]])/2),2)</f>
        <v>58.24</v>
      </c>
      <c r="V434" s="91">
        <f>IF(ППД5[[#This Row],[Статус]]="продажа",ППД5[[#This Row],[Расчетная проектная площадь]],ППД5[[#This Row],[Расчетная ТП площадь]])</f>
        <v>58.24</v>
      </c>
      <c r="W434" s="91">
        <v>14.4</v>
      </c>
      <c r="X434" s="91">
        <v>11.3</v>
      </c>
      <c r="Y434" s="91"/>
      <c r="Z434" s="91">
        <f>SUM(ППД5[[#This Row],[ТП Комната 1]:[ТП Комната 3]])</f>
        <v>25.700000000000003</v>
      </c>
      <c r="AA434" s="91">
        <v>15.7</v>
      </c>
      <c r="AB434" s="91">
        <v>2.7</v>
      </c>
      <c r="AC434" s="91">
        <v>3</v>
      </c>
      <c r="AD434" s="91"/>
      <c r="AE434" s="91">
        <v>9.3000000000000007</v>
      </c>
      <c r="AF434" s="91">
        <v>1.35</v>
      </c>
      <c r="AG434" s="91"/>
      <c r="AH434" s="91"/>
      <c r="AI434" s="91">
        <f>SUM(ППД5[[#This Row],[ТП Лоджия 1]:[ТП Лоджия 3]])</f>
        <v>1.35</v>
      </c>
      <c r="AJ434" s="95">
        <v>2.7</v>
      </c>
      <c r="AK434" s="91">
        <f>SUM(ППД5[[#This Row],[Площадь по ТП жилая]:[ТП Лоджия 3]])-ППД5[[#This Row],[ТП Летние]]+ППД5[[#This Row],[кроме того прочая
(без коэффициента)]]</f>
        <v>59.100000000000009</v>
      </c>
      <c r="AL434" s="95">
        <f>ППД5[[#This Row],[ТП Площадь без летних]]+(ППД5[[#This Row],[ТП Летние]])</f>
        <v>57.750000000000007</v>
      </c>
      <c r="AM434" s="91">
        <f>ППД5[[#This Row],[ТП общая S]]-ППД5[[#This Row],[кроме того прочая
(без коэффициента)]]</f>
        <v>56.400000000000006</v>
      </c>
      <c r="AN434" s="95">
        <f>SUM(ППД5[[#This Row],[ТП Кухня]:[ТП Коридор]])</f>
        <v>30.7</v>
      </c>
      <c r="AO434" s="91">
        <f>ППД5[[#This Row],[Расчетная ТП площадь]]-ППД5[[#This Row],[Расчетная проектная площадь]]</f>
        <v>-0.48999999999999488</v>
      </c>
      <c r="AP434" s="335">
        <f>ППД5[[#This Row],[Расчетная ТП площадь]]/ППД5[[#This Row],[Расчетная проектная площадь]]-1</f>
        <v>-8.4134615384614531E-3</v>
      </c>
      <c r="AQ434" s="91">
        <f>ППД5[[#This Row],[% расхождения]]*ППД5[[#This Row],[Стоимость до скидки]]</f>
        <v>-44699.03846153801</v>
      </c>
      <c r="AR434" s="91">
        <f>VLOOKUP(ППД5[[#This Row],[№]],наценкад5[],COLUMN(наценкад5[[#This Row],[Цена м2 с учетом всех K]]),0)</f>
        <v>79535.67300000001</v>
      </c>
      <c r="AS434" s="8">
        <f>ППД5[[#This Row],[м2 после К]]*5%</f>
        <v>3976.7836500000008</v>
      </c>
      <c r="AT434" s="8">
        <f>ППД5[[#This Row],[м2 после К]]+ППД5[[#This Row],[Повышение 16.08.23 - 5%]]</f>
        <v>83512.456650000007</v>
      </c>
      <c r="AU434" s="93">
        <f>ППД5[[#This Row],[Фикс 16.08.23]]*3%</f>
        <v>2505.3736994999999</v>
      </c>
      <c r="AV434" s="93">
        <f>ППД5[[#This Row],[Фикс 16.08.23]]+ППД5[[#This Row],[Повышение 29.08.23 - 3%]]</f>
        <v>86017.8303495</v>
      </c>
      <c r="AW434" s="93"/>
      <c r="AX434" s="93">
        <f>ППД5[[#This Row],[Фикс 29.08.23]]+ППД5[[#This Row],[Повышение 06.09.23 СТ и 1К]]</f>
        <v>86017.8303495</v>
      </c>
      <c r="AY434" s="93"/>
      <c r="AZ434" s="93">
        <f>ППД5[[#This Row],[Повышение 23.10.23  В4 ]]+ППД5[[#This Row],[Фикс 06.09.23]]</f>
        <v>86017.8303495</v>
      </c>
      <c r="BA434" s="93"/>
      <c r="BB434" s="93">
        <f>ППД5[[#This Row],[Повышение 8.11.23 1К 5%]]+ППД5[[#This Row],[Фикс 23.10.23]]</f>
        <v>86017.8303495</v>
      </c>
      <c r="BC434" s="93"/>
      <c r="BD434" s="93">
        <f>ППД5[[#This Row],[Корректировка 24.11.23 - 1К В5, 2К А2, №233]]+ППД5[[#This Row],[Фикс 8.11.23]]</f>
        <v>86017.8303495</v>
      </c>
      <c r="BE434" s="93">
        <f>ППД5[[#This Row],[Фикс 8.11.24]]*1%</f>
        <v>860.17830349500002</v>
      </c>
      <c r="BF434" s="93">
        <f>ППД5[[#This Row],[Наценка за отделку 29.12.23 1%]]+ППД5[[#This Row],[Фикс 8.11.24]]</f>
        <v>86878.008652995006</v>
      </c>
      <c r="BG434" s="93">
        <f>ППД5[[#This Row],[Фикс 29.12.23]]*5%</f>
        <v>4343.9004326497507</v>
      </c>
      <c r="BH434" s="93">
        <f>ППД5[[#This Row],[Фикс 29.12.23]]+ППД5[[#This Row],[Наценка 10.01.24 5%]]</f>
        <v>91221.909085644758</v>
      </c>
      <c r="BI434" s="93"/>
      <c r="BJ434" s="93">
        <f>ППД5[[#This Row],[Наценка 26.02.24 1 Этаж]]+ППД5[[#This Row],[Фикс 10.01.24]]</f>
        <v>91221.909085644758</v>
      </c>
      <c r="BK434" s="93"/>
      <c r="BL434" s="93">
        <f>ППД5[[#This Row],[Фикс 26.02.24]]+ППД5[[#This Row],[Наценка 06.03.24
СТ, 1К - 3%
2К, 3К - 2%]]</f>
        <v>91221.909085644758</v>
      </c>
      <c r="BM434" s="93"/>
      <c r="BN434" s="93">
        <f>ППД5[[#This Row],[Фикс 06.03.24]]+ППД5[[#This Row],[Наценка Г2+500]]</f>
        <v>91221.909085644758</v>
      </c>
      <c r="BO434" s="93"/>
      <c r="BP434" s="93">
        <f>ППД5[[#This Row],[Фикс 13.03.25]]+ППД5[[#This Row],[Наценка 20.03.24
2К, 3К - 2%]]</f>
        <v>91221.909085644758</v>
      </c>
      <c r="BQ434" s="93"/>
      <c r="BR434" s="93">
        <f>ППД5[[#This Row],[Фикс 20.03.24]]+ППД5[[#This Row],[Наценка 08.04.24 
2К: В3 - 150
3К: Г7 +1000]]</f>
        <v>91221.909085644758</v>
      </c>
      <c r="BS434" s="93"/>
      <c r="BT434" s="93">
        <f>ППД5[[#This Row],[Фикс 08.04.24]]+ППД5[[#This Row],[Наценка 16.05.24 1%
А4,А6,Б3,Б6,Б7,В2,В3,В5,В6,Г1,Г3-Г5]]</f>
        <v>91221.909085644758</v>
      </c>
      <c r="BU434" s="93"/>
      <c r="BV434" s="93">
        <f>ППД5[[#This Row],[Фикс 16.05.24]]+ППД5[[#This Row],[Наценка 24.05.24
1% - Б4, Б5,Г2,Г6
2% - А1,А3,А5,Б2,Г7]]</f>
        <v>91221.909085644758</v>
      </c>
      <c r="BW434" s="93"/>
      <c r="BX434" s="93">
        <f>ППД5[[#This Row],[Наценка 06.06.24
0К: В2,Г3 +0,5%
1К: А7, Б5/4, Г6 +0,5%
3К: В6 +0,5%
1К: А3 +1%]]+ППД5[[#This Row],[Фикс 24.05.24]]</f>
        <v>91221.909085644758</v>
      </c>
      <c r="BY434" s="93"/>
      <c r="BZ434" s="93">
        <f>ППД5[[#This Row],[Фикс 06.06.24]]+ППД5[[#This Row],[13.06.2024
3К - 2%]]</f>
        <v>91221.909085644758</v>
      </c>
      <c r="CA434" s="93"/>
      <c r="CB434" s="93">
        <f>ППД5[[#This Row],[02.07.2024: Г3 А1 А3 Б5 Б7 Г2 Г6 Б3 Б4 В3 Г7 2,5% ост 0,5-1,5%]]+ППД5[[#This Row],[Фикс 13.06.24]]</f>
        <v>91221.909085644758</v>
      </c>
      <c r="CC434" s="93"/>
      <c r="CD434" s="93">
        <f>ППД5[[#This Row],[Фикс 02.07.24]]+ППД5[[#This Row],[04.09.2024 +500
0К - Б2; 1К - А3;
2К - А6, Б4, В3, Г5]]</f>
        <v>91221.909085644758</v>
      </c>
      <c r="CE434" s="93"/>
      <c r="CF434" s="93">
        <f>ППД5[[#This Row],[Наценка 16.09.2024
1К: А1,В7,Г6/7,Г8 - 2%
2К: А4,А5,А6,Б1,Б6,Б3/4,В3,В4,Г4,Г5 - 4%
3К: 4%]]+ППД5[[#This Row],[Фикс 04.09.24]]</f>
        <v>91221.909085644758</v>
      </c>
      <c r="CG434" s="93"/>
      <c r="CH434" s="93">
        <f>ППД5[[#This Row],[Фикс 16.09.2024]]+ППД5[[#This Row],[Наценка 01.11.24
СТ: 4%
1К: 34-40м 5%; 40м+ 8%; МГН 1%
2К: 55-70м 6%; 70-73м 7%; 73-76м 8% 
3К: 5%]]</f>
        <v>91221.909085644758</v>
      </c>
      <c r="CI434" s="93"/>
      <c r="CJ434" s="93">
        <f>ППД5[[#This Row],[Наценка 06.11 13%]]+ППД5[[#This Row],[Фикс 01.11.24]]</f>
        <v>91221.909085644758</v>
      </c>
      <c r="CK434" s="93"/>
      <c r="CL434" s="93">
        <f>ППД5[[#This Row],[Фикс 06.11.24]]+ППД5[[#This Row],[Наценка 18.12.24 распределение КВ]]</f>
        <v>91221.909085644758</v>
      </c>
      <c r="CM434" s="93"/>
      <c r="CN434" s="93">
        <f>ППД5[[#This Row],[Фикс 18.12.24]]+ППД5[[#This Row],[Наценка 10.02.25 +1%
1К: А3
2К: Б3, В3]]</f>
        <v>91221.909085644758</v>
      </c>
      <c r="CO434" s="93">
        <f>ROUND(ППД5[[#This Row],[Фикс 10.02.25]],2)</f>
        <v>91221.91</v>
      </c>
      <c r="CP43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5312800</v>
      </c>
      <c r="CQ434" s="93">
        <f>ROUNDUP(ППД5[[#This Row],[Стоимость до скидки]]+ППД5[[#This Row],[Сумма доплаты]],-2)</f>
        <v>5268200</v>
      </c>
      <c r="CR434" s="68"/>
      <c r="CS434" s="90">
        <v>0.02</v>
      </c>
      <c r="CT434" s="68">
        <f>ППД5[[#This Row],[Стоимость до скидки]]*ППД5[[#This Row],[Скидка %]]+ППД5[[#This Row],[Скидка фиксированная]]</f>
        <v>106256</v>
      </c>
      <c r="CU434" s="3">
        <f>ППД5[[#This Row],[Стоимость ОН без отделки со скидкой]]/ППД5[[#This Row],[Расчетная проектная площадь]]</f>
        <v>89398.076923076922</v>
      </c>
      <c r="CV434" s="3">
        <f>ROUND(ППД5[[#This Row],[Стоимость до скидки]]-ППД5[[#This Row],[Итоговая сумма скидки]],2)</f>
        <v>5206544</v>
      </c>
      <c r="CW43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434" s="197">
        <v>7000</v>
      </c>
      <c r="CY434" s="332">
        <f>ППД5[[#This Row],[Расхождение]]/ППД5[[#This Row],[Расчетная проектная площадь]]</f>
        <v>-8.4134615384614496E-3</v>
      </c>
      <c r="CZ43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-0.28000000000000291</v>
      </c>
      <c r="DA434" s="3">
        <f>ППД5[[#This Row],[Цена м2 без отделки со скидкой]]+ППД5[[#This Row],[Стоимость отделки]]</f>
        <v>96398.076923076922</v>
      </c>
      <c r="DB434" s="3">
        <f>ППД5[[#This Row],[Стоимость квартиры с отделкой]]-ППД5[[#This Row],[Стоимость ОН без отделки со скидкой]]</f>
        <v>407680</v>
      </c>
      <c r="DC434" s="3">
        <f>ППД5[[#This Row],[Цена м2 с отделкой]]*ППД5[[#This Row],[Расчетная проектная площадь]]</f>
        <v>5614224</v>
      </c>
      <c r="DD434" s="3"/>
      <c r="DE434" s="111" t="s">
        <v>757</v>
      </c>
      <c r="DF434" s="199" t="s">
        <v>172</v>
      </c>
      <c r="DG434" s="245" t="s">
        <v>172</v>
      </c>
      <c r="DH434" s="100" t="b">
        <f>EXACT(ППД5[[#This Row],[Статусы CRM]],ППД5[[#This Row],[Статус]])</f>
        <v>1</v>
      </c>
      <c r="DI434" s="213" t="s">
        <v>606</v>
      </c>
      <c r="DJ434" s="204"/>
      <c r="DK434" s="111" t="s">
        <v>763</v>
      </c>
      <c r="DL434" s="216" t="s">
        <v>780</v>
      </c>
      <c r="DM434" s="201" t="b">
        <f>ППД5[[#This Row],[Отделка CRM]]=ППД5[[#This Row],[Отделка]]</f>
        <v>1</v>
      </c>
      <c r="DN434" s="203">
        <v>5614224</v>
      </c>
      <c r="DO43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34" s="207" t="b">
        <f>IF(AND(ППД5[[#This Row],[Статус]]="свободно",ППД5[[#This Row],[Итоговая сумма скидки]]&lt;&gt;0),FALSE,TRUE)</f>
        <v>1</v>
      </c>
      <c r="DQ434" s="240">
        <f>_xlfn.XLOOKUP(ППД5[[#This Row],[№]],Юрист[№ кв],Юрист[Дата подачи на регистрацию]," ",0,-1)</f>
        <v>45309</v>
      </c>
      <c r="DR434" s="115" t="str">
        <f>_xlfn.XLOOKUP(ППД5[[#This Row],[№]],Юрист[№ кв],Юрист[МОП],"",0,-1)</f>
        <v>Полехович</v>
      </c>
      <c r="DS434" s="333" t="s">
        <v>3160</v>
      </c>
      <c r="DT434" s="333" t="s">
        <v>3161</v>
      </c>
      <c r="DU434" s="333">
        <v>56.4</v>
      </c>
      <c r="DV434" s="111"/>
    </row>
    <row r="435" spans="1:126" hidden="1" x14ac:dyDescent="0.25">
      <c r="A435" s="112">
        <v>433</v>
      </c>
      <c r="B435" s="111" t="s">
        <v>2</v>
      </c>
      <c r="C435" s="111">
        <v>6</v>
      </c>
      <c r="D435" s="115">
        <v>5</v>
      </c>
      <c r="E435" s="111">
        <v>2</v>
      </c>
      <c r="F435" s="105">
        <v>15.41</v>
      </c>
      <c r="G435" s="105">
        <v>12.78</v>
      </c>
      <c r="H435" s="105"/>
      <c r="I435" s="94">
        <f>SUM(ППД5[[#This Row],[Комната 1]:[Комната 3]])</f>
        <v>28.189999999999998</v>
      </c>
      <c r="J435" s="105">
        <v>13.45</v>
      </c>
      <c r="K435" s="105">
        <v>3.7</v>
      </c>
      <c r="L435" s="105">
        <v>2.72</v>
      </c>
      <c r="M435" s="105"/>
      <c r="N435" s="105">
        <v>8.2200000000000006</v>
      </c>
      <c r="O435" s="105">
        <v>3.03</v>
      </c>
      <c r="P435" s="105"/>
      <c r="Q435" s="105"/>
      <c r="R435" s="105">
        <f>SUM(ППД5[[#This Row],[Лоджия 1]:[Лоджия 3]])</f>
        <v>3.03</v>
      </c>
      <c r="S435" s="8">
        <f>ROUND(SUM(ППД5[[#This Row],[Площадь по проекту жилая]:[Лоджия 3]]),2)</f>
        <v>59.31</v>
      </c>
      <c r="T435" s="8">
        <f>ROUND(ППД5[[#This Row],[Площадь по проекту(общая)]]-ППД5[[#This Row],[Летние]],2)</f>
        <v>56.28</v>
      </c>
      <c r="U435" s="91">
        <f>ROUND(ППД5[[#This Row],[Площадь по проекту(общая)]]-(SUM(ППД5[[#This Row],[Лоджия 1]:[Лоджия 3]])/2),2)</f>
        <v>57.8</v>
      </c>
      <c r="V435" s="91">
        <f>IF(ППД5[[#This Row],[Статус]]="продажа",ППД5[[#This Row],[Расчетная проектная площадь]],ППД5[[#This Row],[Расчетная ТП площадь]])</f>
        <v>57.8</v>
      </c>
      <c r="W435" s="91">
        <v>12.6</v>
      </c>
      <c r="X435" s="91">
        <v>15.4</v>
      </c>
      <c r="Y435" s="91"/>
      <c r="Z435" s="91">
        <f>SUM(ППД5[[#This Row],[ТП Комната 1]:[ТП Комната 3]])</f>
        <v>28</v>
      </c>
      <c r="AA435" s="91">
        <v>13.6</v>
      </c>
      <c r="AB435" s="91">
        <v>2.7</v>
      </c>
      <c r="AC435" s="91">
        <v>3.7</v>
      </c>
      <c r="AD435" s="91"/>
      <c r="AE435" s="91">
        <v>8.3000000000000007</v>
      </c>
      <c r="AF435" s="91">
        <v>1.55</v>
      </c>
      <c r="AG435" s="91"/>
      <c r="AH435" s="91"/>
      <c r="AI435" s="91">
        <f>SUM(ППД5[[#This Row],[ТП Лоджия 1]:[ТП Лоджия 3]])</f>
        <v>1.55</v>
      </c>
      <c r="AJ435" s="95">
        <v>3.1</v>
      </c>
      <c r="AK435" s="91">
        <f>SUM(ППД5[[#This Row],[Площадь по ТП жилая]:[ТП Лоджия 3]])-ППД5[[#This Row],[ТП Летние]]+ППД5[[#This Row],[кроме того прочая
(без коэффициента)]]</f>
        <v>59.400000000000013</v>
      </c>
      <c r="AL435" s="95">
        <f>ППД5[[#This Row],[ТП Площадь без летних]]+(ППД5[[#This Row],[ТП Летние]])</f>
        <v>57.850000000000009</v>
      </c>
      <c r="AM435" s="91">
        <f>ППД5[[#This Row],[ТП общая S]]-ППД5[[#This Row],[кроме того прочая
(без коэффициента)]]</f>
        <v>56.300000000000011</v>
      </c>
      <c r="AN435" s="95">
        <f>SUM(ППД5[[#This Row],[ТП Кухня]:[ТП Коридор]])</f>
        <v>28.3</v>
      </c>
      <c r="AO435" s="91">
        <f>ППД5[[#This Row],[Расчетная ТП площадь]]-ППД5[[#This Row],[Расчетная проектная площадь]]</f>
        <v>5.0000000000011369E-2</v>
      </c>
      <c r="AP435" s="335">
        <f>ППД5[[#This Row],[Расчетная ТП площадь]]/ППД5[[#This Row],[Расчетная проектная площадь]]-1</f>
        <v>8.6505190311436664E-4</v>
      </c>
      <c r="AQ435" s="91">
        <f>ППД5[[#This Row],[% расхождения]]*ППД5[[#This Row],[Стоимость до скидки]]</f>
        <v>4280.0173010389517</v>
      </c>
      <c r="AR435" s="91">
        <f>VLOOKUP(ППД5[[#This Row],[№]],наценкад5[],COLUMN(наценкад5[[#This Row],[Цена м2 с учетом всех K]]),0)</f>
        <v>79149.577499999999</v>
      </c>
      <c r="AS435" s="8">
        <f>ППД5[[#This Row],[м2 после К]]*5%</f>
        <v>3957.4788750000002</v>
      </c>
      <c r="AT435" s="8">
        <f>ППД5[[#This Row],[м2 после К]]+ППД5[[#This Row],[Повышение 16.08.23 - 5%]]</f>
        <v>83107.056375</v>
      </c>
      <c r="AU435" s="93">
        <f>ППД5[[#This Row],[Фикс 16.08.23]]*3%</f>
        <v>2493.2116912500001</v>
      </c>
      <c r="AV435" s="93">
        <f>ППД5[[#This Row],[Фикс 16.08.23]]+ППД5[[#This Row],[Повышение 29.08.23 - 3%]]</f>
        <v>85600.268066250006</v>
      </c>
      <c r="AW435" s="93"/>
      <c r="AX435" s="93">
        <f>ППД5[[#This Row],[Фикс 29.08.23]]+ППД5[[#This Row],[Повышение 06.09.23 СТ и 1К]]</f>
        <v>85600.268066250006</v>
      </c>
      <c r="AY435" s="93"/>
      <c r="AZ435" s="93">
        <f>ППД5[[#This Row],[Повышение 23.10.23  В4 ]]+ППД5[[#This Row],[Фикс 06.09.23]]</f>
        <v>85600.268066250006</v>
      </c>
      <c r="BA435" s="93"/>
      <c r="BB435" s="93">
        <f>ППД5[[#This Row],[Повышение 8.11.23 1К 5%]]+ППД5[[#This Row],[Фикс 23.10.23]]</f>
        <v>85600.268066250006</v>
      </c>
      <c r="BC435" s="93"/>
      <c r="BD435" s="93">
        <f>ППД5[[#This Row],[Корректировка 24.11.23 - 1К В5, 2К А2, №233]]+ППД5[[#This Row],[Фикс 8.11.23]]</f>
        <v>85600.268066250006</v>
      </c>
      <c r="BE435" s="93"/>
      <c r="BF435" s="93">
        <f>ППД5[[#This Row],[Наценка за отделку 29.12.23 1%]]+ППД5[[#This Row],[Фикс 8.11.24]]</f>
        <v>85600.268066250006</v>
      </c>
      <c r="BG435" s="93"/>
      <c r="BH435" s="93">
        <f>ППД5[[#This Row],[Фикс 29.12.23]]+ППД5[[#This Row],[Наценка 10.01.24 5%]]</f>
        <v>85600.268066250006</v>
      </c>
      <c r="BI435" s="93"/>
      <c r="BJ435" s="93">
        <f>ППД5[[#This Row],[Наценка 26.02.24 1 Этаж]]+ППД5[[#This Row],[Фикс 10.01.24]]</f>
        <v>85600.268066250006</v>
      </c>
      <c r="BK435" s="93"/>
      <c r="BL435" s="93">
        <f>ППД5[[#This Row],[Фикс 26.02.24]]+ППД5[[#This Row],[Наценка 06.03.24
СТ, 1К - 3%
2К, 3К - 2%]]</f>
        <v>85600.268066250006</v>
      </c>
      <c r="BM435" s="93"/>
      <c r="BN435" s="93">
        <f>ППД5[[#This Row],[Фикс 06.03.24]]+ППД5[[#This Row],[Наценка Г2+500]]</f>
        <v>85600.268066250006</v>
      </c>
      <c r="BO435" s="93"/>
      <c r="BP435" s="93">
        <f>ППД5[[#This Row],[Фикс 13.03.25]]+ППД5[[#This Row],[Наценка 20.03.24
2К, 3К - 2%]]</f>
        <v>85600.268066250006</v>
      </c>
      <c r="BQ435" s="93"/>
      <c r="BR435" s="93">
        <f>ППД5[[#This Row],[Фикс 20.03.24]]+ППД5[[#This Row],[Наценка 08.04.24 
2К: В3 - 150
3К: Г7 +1000]]</f>
        <v>85600.268066250006</v>
      </c>
      <c r="BS435" s="93"/>
      <c r="BT435" s="93">
        <f>ППД5[[#This Row],[Фикс 08.04.24]]+ППД5[[#This Row],[Наценка 16.05.24 1%
А4,А6,Б3,Б6,Б7,В2,В3,В5,В6,Г1,Г3-Г5]]</f>
        <v>85600.268066250006</v>
      </c>
      <c r="BU435" s="93"/>
      <c r="BV435" s="93">
        <f>ППД5[[#This Row],[Фикс 16.05.24]]+ППД5[[#This Row],[Наценка 24.05.24
1% - Б4, Б5,Г2,Г6
2% - А1,А3,А5,Б2,Г7]]</f>
        <v>85600.268066250006</v>
      </c>
      <c r="BW435" s="93"/>
      <c r="BX435" s="93">
        <f>ППД5[[#This Row],[Наценка 06.06.24
0К: В2,Г3 +0,5%
1К: А7, Б5/4, Г6 +0,5%
3К: В6 +0,5%
1К: А3 +1%]]+ППД5[[#This Row],[Фикс 24.05.24]]</f>
        <v>85600.268066250006</v>
      </c>
      <c r="BY435" s="93"/>
      <c r="BZ435" s="93">
        <f>ППД5[[#This Row],[Фикс 06.06.24]]+ППД5[[#This Row],[13.06.2024
3К - 2%]]</f>
        <v>85600.268066250006</v>
      </c>
      <c r="CA435" s="93"/>
      <c r="CB435" s="93">
        <f>ППД5[[#This Row],[02.07.2024: Г3 А1 А3 Б5 Б7 Г2 Г6 Б3 Б4 В3 Г7 2,5% ост 0,5-1,5%]]+ППД5[[#This Row],[Фикс 13.06.24]]</f>
        <v>85600.268066250006</v>
      </c>
      <c r="CC435" s="93"/>
      <c r="CD435" s="93">
        <f>ППД5[[#This Row],[Фикс 02.07.24]]+ППД5[[#This Row],[04.09.2024 +500
0К - Б2; 1К - А3;
2К - А6, Б4, В3, Г5]]</f>
        <v>85600.268066250006</v>
      </c>
      <c r="CE435" s="93"/>
      <c r="CF435" s="93">
        <f>ППД5[[#This Row],[Наценка 16.09.2024
1К: А1,В7,Г6/7,Г8 - 2%
2К: А4,А5,А6,Б1,Б6,Б3/4,В3,В4,Г4,Г5 - 4%
3К: 4%]]+ППД5[[#This Row],[Фикс 04.09.24]]</f>
        <v>85600.268066250006</v>
      </c>
      <c r="CG435" s="93"/>
      <c r="CH435" s="93">
        <f>ППД5[[#This Row],[Фикс 16.09.2024]]+ППД5[[#This Row],[Наценка 01.11.24
СТ: 4%
1К: 34-40м 5%; 40м+ 8%; МГН 1%
2К: 55-70м 6%; 70-73м 7%; 73-76м 8% 
3К: 5%]]</f>
        <v>85600.268066250006</v>
      </c>
      <c r="CI435" s="93"/>
      <c r="CJ435" s="93">
        <f>ППД5[[#This Row],[Наценка 06.11 13%]]+ППД5[[#This Row],[Фикс 01.11.24]]</f>
        <v>85600.268066250006</v>
      </c>
      <c r="CK435" s="93"/>
      <c r="CL435" s="93">
        <f>ППД5[[#This Row],[Фикс 06.11.24]]+ППД5[[#This Row],[Наценка 18.12.24 распределение КВ]]</f>
        <v>85600.268066250006</v>
      </c>
      <c r="CM435" s="93"/>
      <c r="CN435" s="93">
        <f>ППД5[[#This Row],[Фикс 18.12.24]]+ППД5[[#This Row],[Наценка 10.02.25 +1%
1К: А3
2К: Б3, В3]]</f>
        <v>85600.268066250006</v>
      </c>
      <c r="CO435" s="93">
        <f>ROUND(ППД5[[#This Row],[Фикс 10.02.25]],2)</f>
        <v>85600.27</v>
      </c>
      <c r="CP43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4947700</v>
      </c>
      <c r="CQ435" s="93">
        <f>ROUNDUP(ППД5[[#This Row],[Стоимость до скидки]]+ППД5[[#This Row],[Сумма доплаты]],-2)</f>
        <v>4952000</v>
      </c>
      <c r="CR435" s="68"/>
      <c r="CS435" s="90">
        <v>0.02</v>
      </c>
      <c r="CT435" s="68">
        <f>ППД5[[#This Row],[Стоимость до скидки]]*ППД5[[#This Row],[Скидка %]]+ППД5[[#This Row],[Скидка фиксированная]]</f>
        <v>98954</v>
      </c>
      <c r="CU435" s="3">
        <f>ППД5[[#This Row],[Стоимость ОН без отделки со скидкой]]/ППД5[[#This Row],[Расчетная проектная площадь]]</f>
        <v>83888.339100346027</v>
      </c>
      <c r="CV435" s="3">
        <f>ROUND(ППД5[[#This Row],[Стоимость до скидки]]-ППД5[[#This Row],[Итоговая сумма скидки]],2)</f>
        <v>4848746</v>
      </c>
      <c r="CW43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435" s="197">
        <v>7500</v>
      </c>
      <c r="CY435" s="332">
        <f>ППД5[[#This Row],[Расхождение]]/ППД5[[#This Row],[Расчетная проектная площадь]]</f>
        <v>8.6505190311438355E-4</v>
      </c>
      <c r="CZ43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0.21000000000000085</v>
      </c>
      <c r="DA435" s="3">
        <f>ППД5[[#This Row],[Цена м2 без отделки со скидкой]]+ППД5[[#This Row],[Стоимость отделки]]</f>
        <v>91388.339100346027</v>
      </c>
      <c r="DB435" s="3">
        <f>ППД5[[#This Row],[Стоимость квартиры с отделкой]]-ППД5[[#This Row],[Стоимость ОН без отделки со скидкой]]</f>
        <v>433500</v>
      </c>
      <c r="DC435" s="3">
        <f>ППД5[[#This Row],[Цена м2 с отделкой]]*ППД5[[#This Row],[Расчетная проектная площадь]]</f>
        <v>5282246</v>
      </c>
      <c r="DD435" s="3"/>
      <c r="DE435" s="111" t="s">
        <v>170</v>
      </c>
      <c r="DF435" s="199" t="s">
        <v>172</v>
      </c>
      <c r="DG435" s="245" t="s">
        <v>172</v>
      </c>
      <c r="DH435" s="100" t="b">
        <f>EXACT(ППД5[[#This Row],[Статусы CRM]],ППД5[[#This Row],[Статус]])</f>
        <v>1</v>
      </c>
      <c r="DI435" s="213" t="s">
        <v>607</v>
      </c>
      <c r="DJ435" s="204"/>
      <c r="DK435" s="111" t="s">
        <v>763</v>
      </c>
      <c r="DL435" s="216" t="s">
        <v>13</v>
      </c>
      <c r="DM435" s="201" t="b">
        <f>ППД5[[#This Row],[Отделка CRM]]=ППД5[[#This Row],[Отделка]]</f>
        <v>1</v>
      </c>
      <c r="DN435" s="203">
        <v>5282246</v>
      </c>
      <c r="DO43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35" s="207" t="b">
        <f>IF(AND(ППД5[[#This Row],[Статус]]="свободно",ППД5[[#This Row],[Итоговая сумма скидки]]&lt;&gt;0),FALSE,TRUE)</f>
        <v>1</v>
      </c>
      <c r="DQ435" s="240">
        <f>_xlfn.XLOOKUP(ППД5[[#This Row],[№]],Юрист[№ кв],Юрист[Дата подачи на регистрацию]," ",0,-1)</f>
        <v>45259</v>
      </c>
      <c r="DR435" s="115" t="str">
        <f>_xlfn.XLOOKUP(ППД5[[#This Row],[№]],Юрист[№ кв],Юрист[МОП],"",0,-1)</f>
        <v>Дик</v>
      </c>
      <c r="DS435" s="333" t="s">
        <v>3162</v>
      </c>
      <c r="DT435" s="333" t="s">
        <v>3163</v>
      </c>
      <c r="DU435" s="333">
        <v>56.3</v>
      </c>
      <c r="DV435" s="111"/>
    </row>
    <row r="436" spans="1:126" hidden="1" x14ac:dyDescent="0.25">
      <c r="A436" s="112">
        <v>434</v>
      </c>
      <c r="B436" s="111" t="s">
        <v>2</v>
      </c>
      <c r="C436" s="111">
        <v>6</v>
      </c>
      <c r="D436" s="115">
        <v>6</v>
      </c>
      <c r="E436" s="111">
        <v>1</v>
      </c>
      <c r="F436" s="105">
        <v>12.71</v>
      </c>
      <c r="G436" s="105"/>
      <c r="H436" s="105"/>
      <c r="I436" s="94">
        <f>SUM(ППД5[[#This Row],[Комната 1]:[Комната 3]])</f>
        <v>12.71</v>
      </c>
      <c r="J436" s="105">
        <v>12.55</v>
      </c>
      <c r="K436" s="105">
        <v>4.28</v>
      </c>
      <c r="L436" s="105"/>
      <c r="M436" s="105"/>
      <c r="N436" s="105">
        <v>7.34</v>
      </c>
      <c r="O436" s="105">
        <v>2.84</v>
      </c>
      <c r="P436" s="105"/>
      <c r="Q436" s="105"/>
      <c r="R436" s="105">
        <f>SUM(ППД5[[#This Row],[Лоджия 1]:[Лоджия 3]])</f>
        <v>2.84</v>
      </c>
      <c r="S436" s="8">
        <f>ROUND(SUM(ППД5[[#This Row],[Площадь по проекту жилая]:[Лоджия 3]]),2)</f>
        <v>39.72</v>
      </c>
      <c r="T436" s="8">
        <f>ROUND(ППД5[[#This Row],[Площадь по проекту(общая)]]-ППД5[[#This Row],[Летние]],2)</f>
        <v>36.880000000000003</v>
      </c>
      <c r="U436" s="91">
        <f>ROUND(ППД5[[#This Row],[Площадь по проекту(общая)]]-(SUM(ППД5[[#This Row],[Лоджия 1]:[Лоджия 3]])/2),2)</f>
        <v>38.299999999999997</v>
      </c>
      <c r="V436" s="91">
        <f>IF(ППД5[[#This Row],[Статус]]="продажа",ППД5[[#This Row],[Расчетная проектная площадь]],ППД5[[#This Row],[Расчетная ТП площадь]])</f>
        <v>38.299999999999997</v>
      </c>
      <c r="W436" s="91">
        <v>12.6</v>
      </c>
      <c r="X436" s="91"/>
      <c r="Y436" s="91"/>
      <c r="Z436" s="91">
        <f>SUM(ППД5[[#This Row],[ТП Комната 1]:[ТП Комната 3]])</f>
        <v>12.6</v>
      </c>
      <c r="AA436" s="91">
        <v>12.5</v>
      </c>
      <c r="AB436" s="91">
        <v>4.0999999999999996</v>
      </c>
      <c r="AC436" s="91"/>
      <c r="AD436" s="91"/>
      <c r="AE436" s="91">
        <v>7.3</v>
      </c>
      <c r="AF436" s="91">
        <v>1.45</v>
      </c>
      <c r="AG436" s="91"/>
      <c r="AH436" s="91"/>
      <c r="AI436" s="91">
        <f>SUM(ППД5[[#This Row],[ТП Лоджия 1]:[ТП Лоджия 3]])</f>
        <v>1.45</v>
      </c>
      <c r="AJ436" s="95">
        <v>2.9</v>
      </c>
      <c r="AK436" s="91">
        <f>SUM(ППД5[[#This Row],[Площадь по ТП жилая]:[ТП Лоджия 3]])-ППД5[[#This Row],[ТП Летние]]+ППД5[[#This Row],[кроме того прочая
(без коэффициента)]]</f>
        <v>39.4</v>
      </c>
      <c r="AL436" s="95">
        <f>ППД5[[#This Row],[ТП Площадь без летних]]+(ППД5[[#This Row],[ТП Летние]])</f>
        <v>37.950000000000003</v>
      </c>
      <c r="AM436" s="91">
        <f>ППД5[[#This Row],[ТП общая S]]-ППД5[[#This Row],[кроме того прочая
(без коэффициента)]]</f>
        <v>36.5</v>
      </c>
      <c r="AN436" s="95">
        <f>SUM(ППД5[[#This Row],[ТП Кухня]:[ТП Коридор]])</f>
        <v>23.900000000000002</v>
      </c>
      <c r="AO436" s="91">
        <f>ППД5[[#This Row],[Расчетная ТП площадь]]-ППД5[[#This Row],[Расчетная проектная площадь]]</f>
        <v>-0.34999999999999432</v>
      </c>
      <c r="AP436" s="335">
        <f>ППД5[[#This Row],[Расчетная ТП площадь]]/ППД5[[#This Row],[Расчетная проектная площадь]]-1</f>
        <v>-9.1383812010442655E-3</v>
      </c>
      <c r="AQ436" s="91">
        <f>ППД5[[#This Row],[% расхождения]]*ППД5[[#This Row],[Стоимость до скидки]]</f>
        <v>-32193.552963446047</v>
      </c>
      <c r="AR436" s="91">
        <f>VLOOKUP(ППД5[[#This Row],[№]],наценкад5[],COLUMN(наценкад5[[#This Row],[Цена м2 с учетом всех K]]),0)</f>
        <v>87601.5</v>
      </c>
      <c r="AS436" s="8">
        <f>ППД5[[#This Row],[м2 после К]]*5%</f>
        <v>4380.0749999999998</v>
      </c>
      <c r="AT436" s="8">
        <f>ППД5[[#This Row],[м2 после К]]+ППД5[[#This Row],[Повышение 16.08.23 - 5%]]</f>
        <v>91981.574999999997</v>
      </c>
      <c r="AU436" s="93"/>
      <c r="AV436" s="93">
        <f>ППД5[[#This Row],[Фикс 16.08.23]]+ППД5[[#This Row],[Повышение 29.08.23 - 3%]]</f>
        <v>91981.574999999997</v>
      </c>
      <c r="AW436" s="93"/>
      <c r="AX436" s="93">
        <f>ППД5[[#This Row],[Фикс 29.08.23]]+ППД5[[#This Row],[Повышение 06.09.23 СТ и 1К]]</f>
        <v>91981.574999999997</v>
      </c>
      <c r="AY436" s="93"/>
      <c r="AZ436" s="93">
        <f>ППД5[[#This Row],[Повышение 23.10.23  В4 ]]+ППД5[[#This Row],[Фикс 06.09.23]]</f>
        <v>91981.574999999997</v>
      </c>
      <c r="BA436" s="93"/>
      <c r="BB436" s="93">
        <f>ППД5[[#This Row],[Повышение 8.11.23 1К 5%]]+ППД5[[#This Row],[Фикс 23.10.23]]</f>
        <v>91981.574999999997</v>
      </c>
      <c r="BC436" s="93"/>
      <c r="BD436" s="93">
        <f>ППД5[[#This Row],[Корректировка 24.11.23 - 1К В5, 2К А2, №233]]+ППД5[[#This Row],[Фикс 8.11.23]]</f>
        <v>91981.574999999997</v>
      </c>
      <c r="BE436" s="93"/>
      <c r="BF436" s="93">
        <f>ППД5[[#This Row],[Наценка за отделку 29.12.23 1%]]+ППД5[[#This Row],[Фикс 8.11.24]]</f>
        <v>91981.574999999997</v>
      </c>
      <c r="BG436" s="93"/>
      <c r="BH436" s="93">
        <f>ППД5[[#This Row],[Фикс 29.12.23]]+ППД5[[#This Row],[Наценка 10.01.24 5%]]</f>
        <v>91981.574999999997</v>
      </c>
      <c r="BI436" s="93"/>
      <c r="BJ436" s="93">
        <f>ППД5[[#This Row],[Наценка 26.02.24 1 Этаж]]+ППД5[[#This Row],[Фикс 10.01.24]]</f>
        <v>91981.574999999997</v>
      </c>
      <c r="BK436" s="93"/>
      <c r="BL436" s="93">
        <f>ППД5[[#This Row],[Фикс 26.02.24]]+ППД5[[#This Row],[Наценка 06.03.24
СТ, 1К - 3%
2К, 3К - 2%]]</f>
        <v>91981.574999999997</v>
      </c>
      <c r="BM436" s="93"/>
      <c r="BN436" s="93">
        <f>ППД5[[#This Row],[Фикс 06.03.24]]+ППД5[[#This Row],[Наценка Г2+500]]</f>
        <v>91981.574999999997</v>
      </c>
      <c r="BO436" s="93"/>
      <c r="BP436" s="93">
        <f>ППД5[[#This Row],[Фикс 13.03.25]]+ППД5[[#This Row],[Наценка 20.03.24
2К, 3К - 2%]]</f>
        <v>91981.574999999997</v>
      </c>
      <c r="BQ436" s="93"/>
      <c r="BR436" s="93">
        <f>ППД5[[#This Row],[Фикс 20.03.24]]+ППД5[[#This Row],[Наценка 08.04.24 
2К: В3 - 150
3К: Г7 +1000]]</f>
        <v>91981.574999999997</v>
      </c>
      <c r="BS436" s="93"/>
      <c r="BT436" s="93">
        <f>ППД5[[#This Row],[Фикс 08.04.24]]+ППД5[[#This Row],[Наценка 16.05.24 1%
А4,А6,Б3,Б6,Б7,В2,В3,В5,В6,Г1,Г3-Г5]]</f>
        <v>91981.574999999997</v>
      </c>
      <c r="BU436" s="93"/>
      <c r="BV436" s="93">
        <f>ППД5[[#This Row],[Фикс 16.05.24]]+ППД5[[#This Row],[Наценка 24.05.24
1% - Б4, Б5,Г2,Г6
2% - А1,А3,А5,Б2,Г7]]</f>
        <v>91981.574999999997</v>
      </c>
      <c r="BW436" s="93"/>
      <c r="BX436" s="93">
        <f>ППД5[[#This Row],[Наценка 06.06.24
0К: В2,Г3 +0,5%
1К: А7, Б5/4, Г6 +0,5%
3К: В6 +0,5%
1К: А3 +1%]]+ППД5[[#This Row],[Фикс 24.05.24]]</f>
        <v>91981.574999999997</v>
      </c>
      <c r="BY436" s="93"/>
      <c r="BZ436" s="93">
        <f>ППД5[[#This Row],[Фикс 06.06.24]]+ППД5[[#This Row],[13.06.2024
3К - 2%]]</f>
        <v>91981.574999999997</v>
      </c>
      <c r="CA436" s="93"/>
      <c r="CB436" s="93">
        <f>ППД5[[#This Row],[02.07.2024: Г3 А1 А3 Б5 Б7 Г2 Г6 Б3 Б4 В3 Г7 2,5% ост 0,5-1,5%]]+ППД5[[#This Row],[Фикс 13.06.24]]</f>
        <v>91981.574999999997</v>
      </c>
      <c r="CC436" s="93"/>
      <c r="CD436" s="93">
        <f>ППД5[[#This Row],[Фикс 02.07.24]]+ППД5[[#This Row],[04.09.2024 +500
0К - Б2; 1К - А3;
2К - А6, Б4, В3, Г5]]</f>
        <v>91981.574999999997</v>
      </c>
      <c r="CE436" s="93"/>
      <c r="CF436" s="93">
        <f>ППД5[[#This Row],[Наценка 16.09.2024
1К: А1,В7,Г6/7,Г8 - 2%
2К: А4,А5,А6,Б1,Б6,Б3/4,В3,В4,Г4,Г5 - 4%
3К: 4%]]+ППД5[[#This Row],[Фикс 04.09.24]]</f>
        <v>91981.574999999997</v>
      </c>
      <c r="CG436" s="93"/>
      <c r="CH436" s="93">
        <f>ППД5[[#This Row],[Фикс 16.09.2024]]+ППД5[[#This Row],[Наценка 01.11.24
СТ: 4%
1К: 34-40м 5%; 40м+ 8%; МГН 1%
2К: 55-70м 6%; 70-73м 7%; 73-76м 8% 
3К: 5%]]</f>
        <v>91981.574999999997</v>
      </c>
      <c r="CI436" s="93"/>
      <c r="CJ436" s="93">
        <f>ППД5[[#This Row],[Наценка 06.11 13%]]+ППД5[[#This Row],[Фикс 01.11.24]]</f>
        <v>91981.574999999997</v>
      </c>
      <c r="CK436" s="93"/>
      <c r="CL436" s="93">
        <f>ППД5[[#This Row],[Фикс 06.11.24]]+ППД5[[#This Row],[Наценка 18.12.24 распределение КВ]]</f>
        <v>91981.574999999997</v>
      </c>
      <c r="CM436" s="93"/>
      <c r="CN436" s="93">
        <f>ППД5[[#This Row],[Фикс 18.12.24]]+ППД5[[#This Row],[Наценка 10.02.25 +1%
1К: А3
2К: Б3, В3]]</f>
        <v>91981.574999999997</v>
      </c>
      <c r="CO436" s="93">
        <f>ROUND(ППД5[[#This Row],[Фикс 10.02.25]],2)</f>
        <v>91981.58</v>
      </c>
      <c r="CP43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3522894.51</v>
      </c>
      <c r="CQ436" s="93">
        <f>ROUNDUP(ППД5[[#This Row],[Стоимость до скидки]]+ППД5[[#This Row],[Сумма доплаты]],-2)</f>
        <v>3490800</v>
      </c>
      <c r="CR436" s="68"/>
      <c r="CS436" s="90"/>
      <c r="CT436" s="68">
        <f>ППД5[[#This Row],[Стоимость до скидки]]*ППД5[[#This Row],[Скидка %]]+ППД5[[#This Row],[Скидка фиксированная]]</f>
        <v>0</v>
      </c>
      <c r="CU436" s="3">
        <f>ППД5[[#This Row],[Стоимость ОН без отделки со скидкой]]/ППД5[[#This Row],[Расчетная проектная площадь]]</f>
        <v>91981.579895561357</v>
      </c>
      <c r="CV436" s="3">
        <f>ROUND(ППД5[[#This Row],[Стоимость до скидки]]-ППД5[[#This Row],[Итоговая сумма скидки]],2)</f>
        <v>3522894.51</v>
      </c>
      <c r="CW43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36" s="197"/>
      <c r="CY436" s="332">
        <f>ППД5[[#This Row],[Расхождение]]/ППД5[[#This Row],[Расчетная проектная площадь]]</f>
        <v>-9.1383812010442395E-3</v>
      </c>
      <c r="CZ43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-0.26999999999999957</v>
      </c>
      <c r="DA436" s="3">
        <f>ППД5[[#This Row],[Цена м2 без отделки со скидкой]]+ППД5[[#This Row],[Стоимость отделки]]</f>
        <v>91981.579895561357</v>
      </c>
      <c r="DB436" s="3">
        <f>ППД5[[#This Row],[Стоимость квартиры с отделкой]]-ППД5[[#This Row],[Стоимость ОН без отделки со скидкой]]</f>
        <v>0</v>
      </c>
      <c r="DC436" s="3">
        <f>ППД5[[#This Row],[Цена м2 с отделкой]]*ППД5[[#This Row],[Расчетная проектная площадь]]</f>
        <v>3522894.51</v>
      </c>
      <c r="DD436" s="3"/>
      <c r="DF436" s="199" t="s">
        <v>172</v>
      </c>
      <c r="DG436" s="245" t="s">
        <v>172</v>
      </c>
      <c r="DH436" s="100" t="b">
        <f>EXACT(ППД5[[#This Row],[Статусы CRM]],ППД5[[#This Row],[Статус]])</f>
        <v>1</v>
      </c>
      <c r="DI436" s="213" t="s">
        <v>608</v>
      </c>
      <c r="DJ436" s="204"/>
      <c r="DK436" s="111" t="s">
        <v>76</v>
      </c>
      <c r="DL436" s="216" t="s">
        <v>12</v>
      </c>
      <c r="DM436" s="201" t="b">
        <f>ППД5[[#This Row],[Отделка CRM]]=ППД5[[#This Row],[Отделка]]</f>
        <v>1</v>
      </c>
      <c r="DN436" s="203">
        <v>3522894.51</v>
      </c>
      <c r="DO43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36" s="207" t="b">
        <f>IF(AND(ППД5[[#This Row],[Статус]]="свободно",ППД5[[#This Row],[Итоговая сумма скидки]]&lt;&gt;0),FALSE,TRUE)</f>
        <v>1</v>
      </c>
      <c r="DQ436" s="240">
        <f>_xlfn.XLOOKUP(ППД5[[#This Row],[№]],Юрист[№ кв],Юрист[Дата подачи на регистрацию]," ",0,-1)</f>
        <v>45187</v>
      </c>
      <c r="DR436" s="115" t="str">
        <f>_xlfn.XLOOKUP(ППД5[[#This Row],[№]],Юрист[№ кв],Юрист[МОП],"",0,-1)</f>
        <v>Калачева</v>
      </c>
      <c r="DS436" s="333" t="s">
        <v>3164</v>
      </c>
      <c r="DT436" s="333" t="s">
        <v>3165</v>
      </c>
      <c r="DU436" s="333">
        <v>36.5</v>
      </c>
      <c r="DV436" s="111"/>
    </row>
    <row r="437" spans="1:126" hidden="1" x14ac:dyDescent="0.25">
      <c r="A437" s="112">
        <v>435</v>
      </c>
      <c r="B437" s="111" t="s">
        <v>2</v>
      </c>
      <c r="C437" s="111">
        <v>6</v>
      </c>
      <c r="D437" s="115">
        <v>7</v>
      </c>
      <c r="E437" s="111">
        <v>3</v>
      </c>
      <c r="F437" s="105">
        <v>14.49</v>
      </c>
      <c r="G437" s="105">
        <v>13.98</v>
      </c>
      <c r="H437" s="105">
        <v>11.42</v>
      </c>
      <c r="I437" s="94">
        <f>SUM(ППД5[[#This Row],[Комната 1]:[Комната 3]])</f>
        <v>39.89</v>
      </c>
      <c r="J437" s="105">
        <v>16.670000000000002</v>
      </c>
      <c r="K437" s="105">
        <v>4.1399999999999997</v>
      </c>
      <c r="L437" s="105">
        <v>1.89</v>
      </c>
      <c r="M437" s="105"/>
      <c r="N437" s="105">
        <v>11.31</v>
      </c>
      <c r="O437" s="105">
        <v>2.86</v>
      </c>
      <c r="P437" s="105">
        <v>2.79</v>
      </c>
      <c r="Q437" s="105">
        <v>5.42</v>
      </c>
      <c r="R437" s="105">
        <f>SUM(ППД5[[#This Row],[Лоджия 1]:[Лоджия 3]])</f>
        <v>11.07</v>
      </c>
      <c r="S437" s="8">
        <f>ROUND(SUM(ППД5[[#This Row],[Площадь по проекту жилая]:[Лоджия 3]]),2)</f>
        <v>84.97</v>
      </c>
      <c r="T437" s="8">
        <f>ROUND(ППД5[[#This Row],[Площадь по проекту(общая)]]-ППД5[[#This Row],[Летние]],2)</f>
        <v>73.900000000000006</v>
      </c>
      <c r="U437" s="91">
        <f>ROUND(ППД5[[#This Row],[Площадь по проекту(общая)]]-(SUM(ППД5[[#This Row],[Лоджия 1]:[Лоджия 3]])/2),2)</f>
        <v>79.44</v>
      </c>
      <c r="V437" s="91">
        <f>IF(ППД5[[#This Row],[Статус]]="продажа",ППД5[[#This Row],[Расчетная проектная площадь]],ППД5[[#This Row],[Расчетная ТП площадь]])</f>
        <v>79.44</v>
      </c>
      <c r="W437" s="91">
        <v>11.4</v>
      </c>
      <c r="X437" s="91">
        <v>14.5</v>
      </c>
      <c r="Y437" s="91">
        <v>13.9</v>
      </c>
      <c r="Z437" s="91">
        <f>SUM(ППД5[[#This Row],[ТП Комната 1]:[ТП Комната 3]])</f>
        <v>39.799999999999997</v>
      </c>
      <c r="AA437" s="91">
        <v>16.399999999999999</v>
      </c>
      <c r="AB437" s="91">
        <v>1.9</v>
      </c>
      <c r="AC437" s="91">
        <v>4</v>
      </c>
      <c r="AD437" s="91"/>
      <c r="AE437" s="91">
        <v>11.2</v>
      </c>
      <c r="AF437" s="91">
        <v>1.4</v>
      </c>
      <c r="AG437" s="91">
        <v>2.65</v>
      </c>
      <c r="AH437" s="91">
        <v>1.4</v>
      </c>
      <c r="AI437" s="91">
        <f>SUM(ППД5[[#This Row],[ТП Лоджия 1]:[ТП Лоджия 3]])</f>
        <v>5.4499999999999993</v>
      </c>
      <c r="AJ437" s="95">
        <v>10.899999999999999</v>
      </c>
      <c r="AK437" s="91">
        <f>SUM(ППД5[[#This Row],[Площадь по ТП жилая]:[ТП Лоджия 3]])-ППД5[[#This Row],[ТП Летние]]+ППД5[[#This Row],[кроме того прочая
(без коэффициента)]]</f>
        <v>84.200000000000017</v>
      </c>
      <c r="AL437" s="95">
        <f>ППД5[[#This Row],[ТП Площадь без летних]]+(ППД5[[#This Row],[ТП Летние]])</f>
        <v>78.750000000000014</v>
      </c>
      <c r="AM437" s="91">
        <f>ППД5[[#This Row],[ТП общая S]]-ППД5[[#This Row],[кроме того прочая
(без коэффициента)]]</f>
        <v>73.300000000000011</v>
      </c>
      <c r="AN437" s="95">
        <f>SUM(ППД5[[#This Row],[ТП Кухня]:[ТП Коридор]])</f>
        <v>33.5</v>
      </c>
      <c r="AO437" s="91">
        <f>ППД5[[#This Row],[Расчетная ТП площадь]]-ППД5[[#This Row],[Расчетная проектная площадь]]</f>
        <v>-0.68999999999998352</v>
      </c>
      <c r="AP437" s="335">
        <f>ППД5[[#This Row],[Расчетная ТП площадь]]/ППД5[[#This Row],[Расчетная проектная площадь]]-1</f>
        <v>-8.68580060422941E-3</v>
      </c>
      <c r="AQ437" s="91">
        <f>ППД5[[#This Row],[% расхождения]]*ППД5[[#This Row],[Стоимость до скидки]]</f>
        <v>-83682.477341387828</v>
      </c>
      <c r="AR437" s="91">
        <f>VLOOKUP(ППД5[[#This Row],[№]],наценкад5[],COLUMN(наценкад5[[#This Row],[Цена м2 с учетом всех K]]),0)</f>
        <v>76375.530000000013</v>
      </c>
      <c r="AS437" s="8">
        <f>ППД5[[#This Row],[м2 после К]]*5%</f>
        <v>3818.7765000000009</v>
      </c>
      <c r="AT437" s="8">
        <f>ППД5[[#This Row],[м2 после К]]+ППД5[[#This Row],[Повышение 16.08.23 - 5%]]</f>
        <v>80194.306500000021</v>
      </c>
      <c r="AU437" s="93">
        <f>ППД5[[#This Row],[Фикс 16.08.23]]*3%</f>
        <v>2405.8291950000007</v>
      </c>
      <c r="AV437" s="93">
        <f>ППД5[[#This Row],[Фикс 16.08.23]]+ППД5[[#This Row],[Повышение 29.08.23 - 3%]]</f>
        <v>82600.135695000019</v>
      </c>
      <c r="AW437" s="93"/>
      <c r="AX437" s="93">
        <f>ППД5[[#This Row],[Фикс 29.08.23]]+ППД5[[#This Row],[Повышение 06.09.23 СТ и 1К]]</f>
        <v>82600.135695000019</v>
      </c>
      <c r="AY437" s="93"/>
      <c r="AZ437" s="93">
        <f>ППД5[[#This Row],[Повышение 23.10.23  В4 ]]+ППД5[[#This Row],[Фикс 06.09.23]]</f>
        <v>82600.135695000019</v>
      </c>
      <c r="BA437" s="93"/>
      <c r="BB437" s="93">
        <f>ППД5[[#This Row],[Повышение 8.11.23 1К 5%]]+ППД5[[#This Row],[Фикс 23.10.23]]</f>
        <v>82600.135695000019</v>
      </c>
      <c r="BC437" s="93"/>
      <c r="BD437" s="93">
        <f>ППД5[[#This Row],[Корректировка 24.11.23 - 1К В5, 2К А2, №233]]+ППД5[[#This Row],[Фикс 8.11.23]]</f>
        <v>82600.135695000019</v>
      </c>
      <c r="BE437" s="93">
        <f>ППД5[[#This Row],[Фикс 8.11.24]]*1%</f>
        <v>826.00135695000017</v>
      </c>
      <c r="BF437" s="93">
        <f>ППД5[[#This Row],[Наценка за отделку 29.12.23 1%]]+ППД5[[#This Row],[Фикс 8.11.24]]</f>
        <v>83426.13705195002</v>
      </c>
      <c r="BG437" s="93">
        <f>ППД5[[#This Row],[Фикс 29.12.23]]*5%</f>
        <v>4171.3068525975013</v>
      </c>
      <c r="BH437" s="93">
        <f>ППД5[[#This Row],[Фикс 29.12.23]]+ППД5[[#This Row],[Наценка 10.01.24 5%]]</f>
        <v>87597.443904547516</v>
      </c>
      <c r="BI437" s="93"/>
      <c r="BJ437" s="93">
        <f>ППД5[[#This Row],[Наценка 26.02.24 1 Этаж]]+ППД5[[#This Row],[Фикс 10.01.24]]</f>
        <v>87597.443904547516</v>
      </c>
      <c r="BK437" s="93">
        <f>ППД5[[#This Row],[Фикс 26.02.24]]*2%</f>
        <v>1751.9488780909503</v>
      </c>
      <c r="BL437" s="93">
        <f>ППД5[[#This Row],[Фикс 26.02.24]]+ППД5[[#This Row],[Наценка 06.03.24
СТ, 1К - 3%
2К, 3К - 2%]]</f>
        <v>89349.392782638461</v>
      </c>
      <c r="BM437" s="93"/>
      <c r="BN437" s="93">
        <f>ППД5[[#This Row],[Фикс 06.03.24]]+ППД5[[#This Row],[Наценка Г2+500]]</f>
        <v>89349.392782638461</v>
      </c>
      <c r="BO437" s="93">
        <f>ППД5[[#This Row],[Фикс 13.03.25]]*2%</f>
        <v>1786.9878556527692</v>
      </c>
      <c r="BP437" s="93">
        <f>ППД5[[#This Row],[Фикс 13.03.25]]+ППД5[[#This Row],[Наценка 20.03.24
2К, 3К - 2%]]</f>
        <v>91136.38063829123</v>
      </c>
      <c r="BQ437" s="93">
        <v>1000</v>
      </c>
      <c r="BR437" s="93">
        <f>ППД5[[#This Row],[Фикс 20.03.24]]+ППД5[[#This Row],[Наценка 08.04.24 
2К: В3 - 150
3К: Г7 +1000]]</f>
        <v>92136.38063829123</v>
      </c>
      <c r="BS437" s="93"/>
      <c r="BT437" s="93">
        <f>ППД5[[#This Row],[Фикс 08.04.24]]+ППД5[[#This Row],[Наценка 16.05.24 1%
А4,А6,Б3,Б6,Б7,В2,В3,В5,В6,Г1,Г3-Г5]]</f>
        <v>92136.38063829123</v>
      </c>
      <c r="BU437" s="93">
        <f>ППД5[[#This Row],[Фикс 16.05.24]]*2%</f>
        <v>1842.7276127658247</v>
      </c>
      <c r="BV437" s="93">
        <f>ППД5[[#This Row],[Фикс 16.05.24]]+ППД5[[#This Row],[Наценка 24.05.24
1% - Б4, Б5,Г2,Г6
2% - А1,А3,А5,Б2,Г7]]</f>
        <v>93979.108251057056</v>
      </c>
      <c r="BW437" s="93"/>
      <c r="BX437" s="93">
        <f>ППД5[[#This Row],[Наценка 06.06.24
0К: В2,Г3 +0,5%
1К: А7, Б5/4, Г6 +0,5%
3К: В6 +0,5%
1К: А3 +1%]]+ППД5[[#This Row],[Фикс 24.05.24]]</f>
        <v>93979.108251057056</v>
      </c>
      <c r="BY437" s="93">
        <f>ППД5[[#This Row],[Фикс 06.06.24]]*2%</f>
        <v>1879.5821650211412</v>
      </c>
      <c r="BZ437" s="93">
        <f>ППД5[[#This Row],[Фикс 06.06.24]]+ППД5[[#This Row],[13.06.2024
3К - 2%]]</f>
        <v>95858.6904160782</v>
      </c>
      <c r="CA437" s="93">
        <f>2.5%*ППД5[[#This Row],[Фикс 13.06.24]]</f>
        <v>2396.4672604019552</v>
      </c>
      <c r="CB437" s="93">
        <f>ППД5[[#This Row],[02.07.2024: Г3 А1 А3 Б5 Б7 Г2 Г6 Б3 Б4 В3 Г7 2,5% ост 0,5-1,5%]]+ППД5[[#This Row],[Фикс 13.06.24]]</f>
        <v>98255.157676480158</v>
      </c>
      <c r="CC437" s="93"/>
      <c r="CD437" s="93">
        <f>ППД5[[#This Row],[Фикс 02.07.24]]+ППД5[[#This Row],[04.09.2024 +500
0К - Б2; 1К - А3;
2К - А6, Б4, В3, Г5]]</f>
        <v>98255.157676480158</v>
      </c>
      <c r="CE437" s="93">
        <f>ППД5[[#This Row],[Фикс 04.09.24]]*4%</f>
        <v>3930.2063070592062</v>
      </c>
      <c r="CF437" s="93">
        <f>ППД5[[#This Row],[Наценка 16.09.2024
1К: А1,В7,Г6/7,Г8 - 2%
2К: А4,А5,А6,Б1,Б6,Б3/4,В3,В4,Г4,Г5 - 4%
3К: 4%]]+ППД5[[#This Row],[Фикс 04.09.24]]</f>
        <v>102185.36398353937</v>
      </c>
      <c r="CG437" s="93">
        <f>ППД5[[#This Row],[Фикс 16.09.2024]]*5%</f>
        <v>5109.2681991769687</v>
      </c>
      <c r="CH437" s="93">
        <f>ППД5[[#This Row],[Фикс 16.09.2024]]+ППД5[[#This Row],[Наценка 01.11.24
СТ: 4%
1К: 34-40м 5%; 40м+ 8%; МГН 1%
2К: 55-70м 6%; 70-73м 7%; 73-76м 8% 
3К: 5%]]</f>
        <v>107294.63218271633</v>
      </c>
      <c r="CI437" s="93">
        <f>ППД5[[#This Row],[Фикс 01.11.24]]*13%</f>
        <v>13948.302183753123</v>
      </c>
      <c r="CJ437" s="93">
        <f>ППД5[[#This Row],[Наценка 06.11 13%]]+ППД5[[#This Row],[Фикс 01.11.24]]</f>
        <v>121242.93436646946</v>
      </c>
      <c r="CK437" s="93">
        <v>35</v>
      </c>
      <c r="CL437" s="93">
        <f>ППД5[[#This Row],[Фикс 06.11.24]]+ППД5[[#This Row],[Наценка 18.12.24 распределение КВ]]</f>
        <v>121277.93436646946</v>
      </c>
      <c r="CM437" s="93"/>
      <c r="CN437" s="93">
        <f>ППД5[[#This Row],[Фикс 18.12.24]]+ППД5[[#This Row],[Наценка 10.02.25 +1%
1К: А3
2К: Б3, В3]]</f>
        <v>121277.93436646946</v>
      </c>
      <c r="CO437" s="93">
        <f>ROUND(ППД5[[#This Row],[Фикс 10.02.25]],2)</f>
        <v>121277.93</v>
      </c>
      <c r="CP43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9634400</v>
      </c>
      <c r="CQ437" s="93">
        <f>ROUNDUP(ППД5[[#This Row],[Стоимость до скидки]]+ППД5[[#This Row],[Сумма доплаты]],-2)</f>
        <v>9550800</v>
      </c>
      <c r="CR437" s="68">
        <v>400000</v>
      </c>
      <c r="CS437" s="90"/>
      <c r="CT437" s="68">
        <f>ППД5[[#This Row],[Стоимость до скидки]]*ППД5[[#This Row],[Скидка %]]+ППД5[[#This Row],[Скидка фиксированная]]</f>
        <v>400000</v>
      </c>
      <c r="CU437" s="3">
        <f>ППД5[[#This Row],[Стоимость ОН без отделки со скидкой]]/ППД5[[#This Row],[Расчетная проектная площадь]]</f>
        <v>116243.70594159114</v>
      </c>
      <c r="CV437" s="3">
        <f>ROUND(ППД5[[#This Row],[Стоимость до скидки]]-ППД5[[#This Row],[Итоговая сумма скидки]],2)</f>
        <v>9234400</v>
      </c>
      <c r="CW43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37" s="197"/>
      <c r="CY437" s="332">
        <f>ППД5[[#This Row],[Расхождение]]/ППД5[[#This Row],[Расчетная проектная площадь]]</f>
        <v>-8.6858006042293996E-3</v>
      </c>
      <c r="CZ43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-0.51000000000000512</v>
      </c>
      <c r="DA437" s="3">
        <f>ППД5[[#This Row],[Цена м2 без отделки со скидкой]]+ППД5[[#This Row],[Стоимость отделки]]</f>
        <v>116243.70594159114</v>
      </c>
      <c r="DB437" s="3">
        <f>ППД5[[#This Row],[Стоимость квартиры с отделкой]]-ППД5[[#This Row],[Стоимость ОН без отделки со скидкой]]</f>
        <v>0</v>
      </c>
      <c r="DC437" s="3">
        <f>ППД5[[#This Row],[Цена м2 с отделкой]]*ППД5[[#This Row],[Расчетная проектная площадь]]</f>
        <v>9234400</v>
      </c>
      <c r="DD437" s="3" t="s">
        <v>155</v>
      </c>
      <c r="DE437" s="111" t="s">
        <v>2114</v>
      </c>
      <c r="DF437" s="155" t="s">
        <v>172</v>
      </c>
      <c r="DG437" s="245" t="s">
        <v>172</v>
      </c>
      <c r="DH437" s="100" t="b">
        <f>EXACT(ППД5[[#This Row],[Статусы CRM]],ППД5[[#This Row],[Статус]])</f>
        <v>1</v>
      </c>
      <c r="DI437" s="213" t="s">
        <v>609</v>
      </c>
      <c r="DJ437" s="204"/>
      <c r="DK437" s="111" t="s">
        <v>763</v>
      </c>
      <c r="DL437" s="216" t="s">
        <v>12</v>
      </c>
      <c r="DM437" s="201" t="b">
        <f>ППД5[[#This Row],[Отделка CRM]]=ППД5[[#This Row],[Отделка]]</f>
        <v>1</v>
      </c>
      <c r="DN437" s="203">
        <v>9234400</v>
      </c>
      <c r="DO43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37" s="207" t="b">
        <f>IF(AND(ППД5[[#This Row],[Статус]]="свободно",ППД5[[#This Row],[Итоговая сумма скидки]]&lt;&gt;0),FALSE,TRUE)</f>
        <v>1</v>
      </c>
      <c r="DQ437" s="240">
        <f>_xlfn.XLOOKUP(ППД5[[#This Row],[№]],Юрист[№ кв],Юрист[Дата подачи на регистрацию]," ",0,-1)</f>
        <v>45769</v>
      </c>
      <c r="DR437" s="115" t="str">
        <f>_xlfn.XLOOKUP(ППД5[[#This Row],[№]],Юрист[№ кв],Юрист[МОП],"",0,-1)</f>
        <v>Никишов</v>
      </c>
      <c r="DS437" s="333" t="s">
        <v>3166</v>
      </c>
      <c r="DT437" s="333" t="s">
        <v>3167</v>
      </c>
      <c r="DU437" s="333">
        <v>73.3</v>
      </c>
      <c r="DV437" s="111"/>
    </row>
    <row r="438" spans="1:126" hidden="1" x14ac:dyDescent="0.25">
      <c r="A438" s="112">
        <v>436</v>
      </c>
      <c r="B438" s="111" t="s">
        <v>2</v>
      </c>
      <c r="C438" s="111">
        <v>6</v>
      </c>
      <c r="D438" s="115">
        <v>8</v>
      </c>
      <c r="E438" s="111">
        <v>1</v>
      </c>
      <c r="F438" s="105">
        <v>16.79</v>
      </c>
      <c r="G438" s="105"/>
      <c r="H438" s="105"/>
      <c r="I438" s="94">
        <f>SUM(ППД5[[#This Row],[Комната 1]:[Комната 3]])</f>
        <v>16.79</v>
      </c>
      <c r="J438" s="105">
        <v>11.43</v>
      </c>
      <c r="K438" s="105">
        <v>3.56</v>
      </c>
      <c r="L438" s="105"/>
      <c r="M438" s="105"/>
      <c r="N438" s="105">
        <v>6.66</v>
      </c>
      <c r="O438" s="105">
        <v>2.4900000000000002</v>
      </c>
      <c r="P438" s="105"/>
      <c r="Q438" s="105"/>
      <c r="R438" s="105">
        <f>SUM(ППД5[[#This Row],[Лоджия 1]:[Лоджия 3]])</f>
        <v>2.4900000000000002</v>
      </c>
      <c r="S438" s="8">
        <f>ROUND(SUM(ППД5[[#This Row],[Площадь по проекту жилая]:[Лоджия 3]]),2)</f>
        <v>40.93</v>
      </c>
      <c r="T438" s="8">
        <f>ROUND(ППД5[[#This Row],[Площадь по проекту(общая)]]-ППД5[[#This Row],[Летние]],2)</f>
        <v>38.44</v>
      </c>
      <c r="U438" s="91">
        <f>ROUND(ППД5[[#This Row],[Площадь по проекту(общая)]]-(SUM(ППД5[[#This Row],[Лоджия 1]:[Лоджия 3]])/2),2)</f>
        <v>39.69</v>
      </c>
      <c r="V438" s="91">
        <f>IF(ППД5[[#This Row],[Статус]]="продажа",ППД5[[#This Row],[Расчетная проектная площадь]],ППД5[[#This Row],[Расчетная ТП площадь]])</f>
        <v>39.69</v>
      </c>
      <c r="W438" s="91">
        <v>16.8</v>
      </c>
      <c r="X438" s="91"/>
      <c r="Y438" s="91"/>
      <c r="Z438" s="91">
        <f>SUM(ППД5[[#This Row],[ТП Комната 1]:[ТП Комната 3]])</f>
        <v>16.8</v>
      </c>
      <c r="AA438" s="91">
        <v>11.4</v>
      </c>
      <c r="AB438" s="91">
        <v>3.5</v>
      </c>
      <c r="AC438" s="91"/>
      <c r="AD438" s="91"/>
      <c r="AE438" s="91">
        <v>6.6</v>
      </c>
      <c r="AF438" s="92">
        <v>1.25</v>
      </c>
      <c r="AG438" s="91"/>
      <c r="AH438" s="91"/>
      <c r="AI438" s="91">
        <f>SUM(ППД5[[#This Row],[ТП Лоджия 1]:[ТП Лоджия 3]])</f>
        <v>1.25</v>
      </c>
      <c r="AJ438" s="95">
        <v>2.5</v>
      </c>
      <c r="AK438" s="91">
        <f>SUM(ППД5[[#This Row],[Площадь по ТП жилая]:[ТП Лоджия 3]])-ППД5[[#This Row],[ТП Летние]]+ППД5[[#This Row],[кроме того прочая
(без коэффициента)]]</f>
        <v>40.800000000000004</v>
      </c>
      <c r="AL438" s="95">
        <f>ППД5[[#This Row],[ТП Площадь без летних]]+(ППД5[[#This Row],[ТП Летние]])</f>
        <v>39.550000000000004</v>
      </c>
      <c r="AM438" s="91">
        <f>ППД5[[#This Row],[ТП общая S]]-ППД5[[#This Row],[кроме того прочая
(без коэффициента)]]</f>
        <v>38.300000000000004</v>
      </c>
      <c r="AN438" s="95">
        <f>SUM(ППД5[[#This Row],[ТП Кухня]:[ТП Коридор]])</f>
        <v>21.5</v>
      </c>
      <c r="AO438" s="91">
        <f>ППД5[[#This Row],[Расчетная ТП площадь]]-ППД5[[#This Row],[Расчетная проектная площадь]]</f>
        <v>-0.13999999999999346</v>
      </c>
      <c r="AP438" s="335">
        <f>ППД5[[#This Row],[Расчетная ТП площадь]]/ППД5[[#This Row],[Расчетная проектная площадь]]-1</f>
        <v>-3.5273368606700828E-3</v>
      </c>
      <c r="AQ438" s="91">
        <f>ППД5[[#This Row],[% расхождения]]*ППД5[[#This Row],[Стоимость до скидки]]</f>
        <v>-15382.010582010096</v>
      </c>
      <c r="AR438" s="91">
        <f>VLOOKUP(ППД5[[#This Row],[№]],наценкад5[],COLUMN(наценкад5[[#This Row],[Цена м2 с учетом всех K]]),0)</f>
        <v>84762.5625</v>
      </c>
      <c r="AS438" s="8">
        <f>ППД5[[#This Row],[м2 после К]]*5%</f>
        <v>4238.1281250000002</v>
      </c>
      <c r="AT438" s="8">
        <f>ППД5[[#This Row],[м2 после К]]+ППД5[[#This Row],[Повышение 16.08.23 - 5%]]</f>
        <v>89000.690625000003</v>
      </c>
      <c r="AU438" s="93">
        <f>ППД5[[#This Row],[Фикс 16.08.23]]*3%</f>
        <v>2670.02071875</v>
      </c>
      <c r="AV438" s="93">
        <f>ППД5[[#This Row],[Фикс 16.08.23]]+ППД5[[#This Row],[Повышение 29.08.23 - 3%]]</f>
        <v>91670.711343750008</v>
      </c>
      <c r="AW438" s="93">
        <f>ППД5[[#This Row],[Фикс 29.08.23]]*4.5%</f>
        <v>4125.1820104687504</v>
      </c>
      <c r="AX438" s="93">
        <f>ППД5[[#This Row],[Фикс 29.08.23]]+ППД5[[#This Row],[Повышение 06.09.23 СТ и 1К]]</f>
        <v>95795.893354218759</v>
      </c>
      <c r="AY438" s="93"/>
      <c r="AZ438" s="93">
        <f>ППД5[[#This Row],[Повышение 23.10.23  В4 ]]+ППД5[[#This Row],[Фикс 06.09.23]]</f>
        <v>95795.893354218759</v>
      </c>
      <c r="BA438" s="93">
        <f>ППД5[[#This Row],[Фикс 23.10.23]]*5%</f>
        <v>4789.7946677109385</v>
      </c>
      <c r="BB438" s="93">
        <f>ППД5[[#This Row],[Повышение 8.11.23 1К 5%]]+ППД5[[#This Row],[Фикс 23.10.23]]</f>
        <v>100585.6880219297</v>
      </c>
      <c r="BC438" s="93"/>
      <c r="BD438" s="93">
        <f>ППД5[[#This Row],[Корректировка 24.11.23 - 1К В5, 2К А2, №233]]+ППД5[[#This Row],[Фикс 8.11.23]]</f>
        <v>100585.6880219297</v>
      </c>
      <c r="BE438" s="93">
        <f>ППД5[[#This Row],[Фикс 8.11.24]]*1%</f>
        <v>1005.8568802192971</v>
      </c>
      <c r="BF438" s="93">
        <f>ППД5[[#This Row],[Наценка за отделку 29.12.23 1%]]+ППД5[[#This Row],[Фикс 8.11.24]]</f>
        <v>101591.54490214901</v>
      </c>
      <c r="BG438" s="93">
        <f>ППД5[[#This Row],[Фикс 29.12.23]]*5%</f>
        <v>5079.5772451074508</v>
      </c>
      <c r="BH438" s="93">
        <f>ППД5[[#This Row],[Фикс 29.12.23]]+ППД5[[#This Row],[Наценка 10.01.24 5%]]</f>
        <v>106671.12214725645</v>
      </c>
      <c r="BI438" s="93"/>
      <c r="BJ438" s="93">
        <f>ППД5[[#This Row],[Наценка 26.02.24 1 Этаж]]+ППД5[[#This Row],[Фикс 10.01.24]]</f>
        <v>106671.12214725645</v>
      </c>
      <c r="BK438" s="93">
        <f>ППД5[[#This Row],[Фикс 26.02.24]]*3%</f>
        <v>3200.1336644176936</v>
      </c>
      <c r="BL438" s="93">
        <f>ППД5[[#This Row],[Фикс 26.02.24]]+ППД5[[#This Row],[Наценка 06.03.24
СТ, 1К - 3%
2К, 3К - 2%]]</f>
        <v>109871.25581167414</v>
      </c>
      <c r="BM438" s="93"/>
      <c r="BN438" s="93">
        <f>ППД5[[#This Row],[Фикс 06.03.24]]+ППД5[[#This Row],[Наценка Г2+500]]</f>
        <v>109871.25581167414</v>
      </c>
      <c r="BO438" s="93"/>
      <c r="BP438" s="93">
        <f>ППД5[[#This Row],[Фикс 13.03.25]]+ППД5[[#This Row],[Наценка 20.03.24
2К, 3К - 2%]]</f>
        <v>109871.25581167414</v>
      </c>
      <c r="BQ438" s="93"/>
      <c r="BR438" s="93">
        <f>ППД5[[#This Row],[Фикс 20.03.24]]+ППД5[[#This Row],[Наценка 08.04.24 
2К: В3 - 150
3К: Г7 +1000]]</f>
        <v>109871.25581167414</v>
      </c>
      <c r="BS438" s="93"/>
      <c r="BT438" s="93">
        <f>ППД5[[#This Row],[Фикс 08.04.24]]+ППД5[[#This Row],[Наценка 16.05.24 1%
А4,А6,Б3,Б6,Б7,В2,В3,В5,В6,Г1,Г3-Г5]]</f>
        <v>109871.25581167414</v>
      </c>
      <c r="BU438" s="93"/>
      <c r="BV438" s="93">
        <f>ППД5[[#This Row],[Фикс 16.05.24]]+ППД5[[#This Row],[Наценка 24.05.24
1% - Б4, Б5,Г2,Г6
2% - А1,А3,А5,Б2,Г7]]</f>
        <v>109871.25581167414</v>
      </c>
      <c r="BW438" s="93"/>
      <c r="BX438" s="93">
        <f>ППД5[[#This Row],[Наценка 06.06.24
0К: В2,Г3 +0,5%
1К: А7, Б5/4, Г6 +0,5%
3К: В6 +0,5%
1К: А3 +1%]]+ППД5[[#This Row],[Фикс 24.05.24]]</f>
        <v>109871.25581167414</v>
      </c>
      <c r="BY438" s="93"/>
      <c r="BZ438" s="93">
        <f>ППД5[[#This Row],[Фикс 06.06.24]]+ППД5[[#This Row],[13.06.2024
3К - 2%]]</f>
        <v>109871.25581167414</v>
      </c>
      <c r="CA438" s="93"/>
      <c r="CB438" s="93">
        <f>ППД5[[#This Row],[02.07.2024: Г3 А1 А3 Б5 Б7 Г2 Г6 Б3 Б4 В3 Г7 2,5% ост 0,5-1,5%]]+ППД5[[#This Row],[Фикс 13.06.24]]</f>
        <v>109871.25581167414</v>
      </c>
      <c r="CC438" s="93"/>
      <c r="CD438" s="93">
        <f>ППД5[[#This Row],[Фикс 02.07.24]]+ППД5[[#This Row],[04.09.2024 +500
0К - Б2; 1К - А3;
2К - А6, Б4, В3, Г5]]</f>
        <v>109871.25581167414</v>
      </c>
      <c r="CE438" s="93"/>
      <c r="CF438" s="93">
        <f>ППД5[[#This Row],[Наценка 16.09.2024
1К: А1,В7,Г6/7,Г8 - 2%
2К: А4,А5,А6,Б1,Б6,Б3/4,В3,В4,Г4,Г5 - 4%
3К: 4%]]+ППД5[[#This Row],[Фикс 04.09.24]]</f>
        <v>109871.25581167414</v>
      </c>
      <c r="CG438" s="93"/>
      <c r="CH438" s="93">
        <f>ППД5[[#This Row],[Фикс 16.09.2024]]+ППД5[[#This Row],[Наценка 01.11.24
СТ: 4%
1К: 34-40м 5%; 40м+ 8%; МГН 1%
2К: 55-70м 6%; 70-73м 7%; 73-76м 8% 
3К: 5%]]</f>
        <v>109871.25581167414</v>
      </c>
      <c r="CI438" s="93"/>
      <c r="CJ438" s="93">
        <f>ППД5[[#This Row],[Наценка 06.11 13%]]+ППД5[[#This Row],[Фикс 01.11.24]]</f>
        <v>109871.25581167414</v>
      </c>
      <c r="CK438" s="93"/>
      <c r="CL438" s="93">
        <f>ППД5[[#This Row],[Фикс 06.11.24]]+ППД5[[#This Row],[Наценка 18.12.24 распределение КВ]]</f>
        <v>109871.25581167414</v>
      </c>
      <c r="CM438" s="93"/>
      <c r="CN438" s="93">
        <f>ППД5[[#This Row],[Фикс 18.12.24]]+ППД5[[#This Row],[Наценка 10.02.25 +1%
1К: А3
2К: Б3, В3]]</f>
        <v>109871.25581167414</v>
      </c>
      <c r="CO438" s="93">
        <f>ROUND(ППД5[[#This Row],[Фикс 10.02.25]],2)</f>
        <v>109871.26</v>
      </c>
      <c r="CP43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4360800</v>
      </c>
      <c r="CQ438" s="93">
        <f>ROUNDUP(ППД5[[#This Row],[Стоимость до скидки]]+ППД5[[#This Row],[Сумма доплаты]],-2)</f>
        <v>4345500</v>
      </c>
      <c r="CR438" s="68"/>
      <c r="CS438" s="90"/>
      <c r="CT438" s="68">
        <f>ППД5[[#This Row],[Стоимость до скидки]]*ППД5[[#This Row],[Скидка %]]+ППД5[[#This Row],[Скидка фиксированная]]</f>
        <v>0</v>
      </c>
      <c r="CU438" s="3">
        <f>ППД5[[#This Row],[Стоимость ОН без отделки со скидкой]]/ППД5[[#This Row],[Расчетная проектная площадь]]</f>
        <v>109871.50415721846</v>
      </c>
      <c r="CV438" s="3">
        <f>ROUND(ППД5[[#This Row],[Стоимость до скидки]]-ППД5[[#This Row],[Итоговая сумма скидки]],2)</f>
        <v>4360800</v>
      </c>
      <c r="CW43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38" s="197">
        <v>20000</v>
      </c>
      <c r="CY438" s="332">
        <f>ППД5[[#This Row],[Расхождение]]/ППД5[[#This Row],[Расчетная проектная площадь]]</f>
        <v>-3.5273368606700294E-3</v>
      </c>
      <c r="CZ43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-0.15000000000000036</v>
      </c>
      <c r="DA438" s="3">
        <f>ППД5[[#This Row],[Цена м2 без отделки со скидкой]]+ППД5[[#This Row],[Стоимость отделки]]</f>
        <v>129871.50415721846</v>
      </c>
      <c r="DB438" s="3">
        <f>ППД5[[#This Row],[Стоимость квартиры с отделкой]]-ППД5[[#This Row],[Стоимость ОН без отделки со скидкой]]</f>
        <v>793800</v>
      </c>
      <c r="DC438" s="3">
        <f>ППД5[[#This Row],[Цена м2 с отделкой]]*ППД5[[#This Row],[Расчетная проектная площадь]]</f>
        <v>5154600</v>
      </c>
      <c r="DD438" s="3"/>
      <c r="DF438" s="199" t="s">
        <v>172</v>
      </c>
      <c r="DG438" s="245" t="s">
        <v>172</v>
      </c>
      <c r="DH438" s="100" t="b">
        <f>EXACT(ППД5[[#This Row],[Статусы CRM]],ППД5[[#This Row],[Статус]])</f>
        <v>1</v>
      </c>
      <c r="DI438" s="213" t="s">
        <v>610</v>
      </c>
      <c r="DJ438" s="204"/>
      <c r="DK438" s="111" t="s">
        <v>763</v>
      </c>
      <c r="DL438" s="216" t="s">
        <v>14</v>
      </c>
      <c r="DM438" s="201" t="b">
        <f>ППД5[[#This Row],[Отделка CRM]]=ППД5[[#This Row],[Отделка]]</f>
        <v>1</v>
      </c>
      <c r="DN438" s="203">
        <v>5154600</v>
      </c>
      <c r="DO43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38" s="207" t="b">
        <f>IF(AND(ППД5[[#This Row],[Статус]]="свободно",ППД5[[#This Row],[Итоговая сумма скидки]]&lt;&gt;0),FALSE,TRUE)</f>
        <v>1</v>
      </c>
      <c r="DQ438" s="240">
        <f>_xlfn.XLOOKUP(ППД5[[#This Row],[№]],Юрист[№ кв],Юрист[Дата подачи на регистрацию]," ",0,-1)</f>
        <v>45464</v>
      </c>
      <c r="DR438" s="115" t="str">
        <f>_xlfn.XLOOKUP(ППД5[[#This Row],[№]],Юрист[№ кв],Юрист[МОП],"",0,-1)</f>
        <v>Дик</v>
      </c>
      <c r="DS438" s="333" t="s">
        <v>3168</v>
      </c>
      <c r="DT438" s="333" t="s">
        <v>3169</v>
      </c>
      <c r="DU438" s="333">
        <v>38.299999999999997</v>
      </c>
      <c r="DV438" s="111"/>
    </row>
    <row r="439" spans="1:126" hidden="1" x14ac:dyDescent="0.25">
      <c r="A439" s="112">
        <v>437</v>
      </c>
      <c r="B439" s="111" t="s">
        <v>2</v>
      </c>
      <c r="C439" s="111">
        <v>7</v>
      </c>
      <c r="D439" s="338">
        <v>1</v>
      </c>
      <c r="E439" s="111">
        <v>0</v>
      </c>
      <c r="F439" s="105">
        <v>13.74</v>
      </c>
      <c r="G439" s="105"/>
      <c r="H439" s="105"/>
      <c r="I439" s="94">
        <f>SUM(ППД5[[#This Row],[Комната 1]:[Комната 3]])</f>
        <v>13.74</v>
      </c>
      <c r="J439" s="105">
        <v>5.84</v>
      </c>
      <c r="K439" s="105">
        <v>3.76</v>
      </c>
      <c r="L439" s="105"/>
      <c r="M439" s="105"/>
      <c r="N439" s="105">
        <v>3.73</v>
      </c>
      <c r="O439" s="105">
        <v>4.6500000000000004</v>
      </c>
      <c r="P439" s="105"/>
      <c r="Q439" s="105"/>
      <c r="R439" s="105">
        <f>SUM(ППД5[[#This Row],[Лоджия 1]:[Лоджия 3]])</f>
        <v>4.6500000000000004</v>
      </c>
      <c r="S439" s="8">
        <f>ROUND(SUM(ППД5[[#This Row],[Площадь по проекту жилая]:[Лоджия 3]]),2)</f>
        <v>31.72</v>
      </c>
      <c r="T439" s="8">
        <f>ROUND(ППД5[[#This Row],[Площадь по проекту(общая)]]-ППД5[[#This Row],[Летние]],2)</f>
        <v>27.07</v>
      </c>
      <c r="U439" s="91">
        <f>ROUND(ППД5[[#This Row],[Площадь по проекту(общая)]]-(SUM(ППД5[[#This Row],[Лоджия 1]:[Лоджия 3]])/2),2)</f>
        <v>29.4</v>
      </c>
      <c r="V439" s="91">
        <f>IF(ППД5[[#This Row],[Статус]]="продажа",ППД5[[#This Row],[Расчетная проектная площадь]],ППД5[[#This Row],[Расчетная ТП площадь]])</f>
        <v>29.4</v>
      </c>
      <c r="W439" s="91">
        <v>13.7</v>
      </c>
      <c r="X439" s="91"/>
      <c r="Y439" s="91"/>
      <c r="Z439" s="91">
        <f>SUM(ППД5[[#This Row],[ТП Комната 1]:[ТП Комната 3]])</f>
        <v>13.7</v>
      </c>
      <c r="AA439" s="91">
        <v>5.7</v>
      </c>
      <c r="AB439" s="91">
        <v>3.7</v>
      </c>
      <c r="AC439" s="91"/>
      <c r="AD439" s="91"/>
      <c r="AE439" s="91">
        <v>3.7</v>
      </c>
      <c r="AF439" s="91">
        <v>2.2999999999999998</v>
      </c>
      <c r="AG439" s="91"/>
      <c r="AH439" s="91"/>
      <c r="AI439" s="91">
        <f>SUM(ППД5[[#This Row],[ТП Лоджия 1]:[ТП Лоджия 3]])</f>
        <v>2.2999999999999998</v>
      </c>
      <c r="AJ439" s="95">
        <v>4.5999999999999996</v>
      </c>
      <c r="AK439" s="91">
        <f>SUM(ППД5[[#This Row],[Площадь по ТП жилая]:[ТП Лоджия 3]])-ППД5[[#This Row],[ТП Летние]]+ППД5[[#This Row],[кроме того прочая
(без коэффициента)]]</f>
        <v>31.4</v>
      </c>
      <c r="AL439" s="95">
        <f>ППД5[[#This Row],[ТП Площадь без летних]]+(ППД5[[#This Row],[ТП Летние]])</f>
        <v>29.099999999999998</v>
      </c>
      <c r="AM439" s="91">
        <f>ППД5[[#This Row],[ТП общая S]]-ППД5[[#This Row],[кроме того прочая
(без коэффициента)]]</f>
        <v>26.799999999999997</v>
      </c>
      <c r="AN439" s="95">
        <f>SUM(ППД5[[#This Row],[ТП Кухня]:[ТП Коридор]])</f>
        <v>13.100000000000001</v>
      </c>
      <c r="AO439" s="91">
        <f>ППД5[[#This Row],[Расчетная ТП площадь]]-ППД5[[#This Row],[Расчетная проектная площадь]]</f>
        <v>-0.30000000000000071</v>
      </c>
      <c r="AP439" s="335">
        <f>ППД5[[#This Row],[Расчетная ТП площадь]]/ППД5[[#This Row],[Расчетная проектная площадь]]-1</f>
        <v>-1.0204081632653073E-2</v>
      </c>
      <c r="AQ439" s="91">
        <f>ППД5[[#This Row],[% расхождения]]*ППД5[[#This Row],[Стоимость до скидки]]</f>
        <v>-41595.918367346982</v>
      </c>
      <c r="AR439" s="91">
        <f>VLOOKUP(ППД5[[#This Row],[№]],наценкад5[],COLUMN(наценкад5[[#This Row],[Цена м2 с учетом всех K]]),0)</f>
        <v>89353.53</v>
      </c>
      <c r="AS439" s="8">
        <f>ППД5[[#This Row],[м2 после К]]*5%</f>
        <v>4467.6765000000005</v>
      </c>
      <c r="AT439" s="8">
        <f>ППД5[[#This Row],[м2 после К]]+ППД5[[#This Row],[Повышение 16.08.23 - 5%]]</f>
        <v>93821.2065</v>
      </c>
      <c r="AU439" s="93">
        <f>ППД5[[#This Row],[Фикс 16.08.23]]*3%</f>
        <v>2814.636195</v>
      </c>
      <c r="AV439" s="93">
        <f>ППД5[[#This Row],[Фикс 16.08.23]]+ППД5[[#This Row],[Повышение 29.08.23 - 3%]]</f>
        <v>96635.842694999999</v>
      </c>
      <c r="AW439" s="93">
        <f>ППД5[[#This Row],[Фикс 29.08.23]]*9%</f>
        <v>8697.2258425500004</v>
      </c>
      <c r="AX439" s="93">
        <f>ППД5[[#This Row],[Фикс 29.08.23]]+ППД5[[#This Row],[Повышение 06.09.23 СТ и 1К]]</f>
        <v>105333.06853755</v>
      </c>
      <c r="AY439" s="93"/>
      <c r="AZ439" s="93">
        <f>ППД5[[#This Row],[Повышение 23.10.23  В4 ]]+ППД5[[#This Row],[Фикс 06.09.23]]</f>
        <v>105333.06853755</v>
      </c>
      <c r="BA439" s="93"/>
      <c r="BB439" s="93">
        <f>ППД5[[#This Row],[Повышение 8.11.23 1К 5%]]+ППД5[[#This Row],[Фикс 23.10.23]]</f>
        <v>105333.06853755</v>
      </c>
      <c r="BC439" s="93"/>
      <c r="BD439" s="93">
        <f>ППД5[[#This Row],[Корректировка 24.11.23 - 1К В5, 2К А2, №233]]+ППД5[[#This Row],[Фикс 8.11.23]]</f>
        <v>105333.06853755</v>
      </c>
      <c r="BE439" s="93">
        <f>ППД5[[#This Row],[Фикс 8.11.24]]*1%</f>
        <v>1053.3306853755</v>
      </c>
      <c r="BF439" s="93">
        <f>ППД5[[#This Row],[Наценка за отделку 29.12.23 1%]]+ППД5[[#This Row],[Фикс 8.11.24]]</f>
        <v>106386.39922292551</v>
      </c>
      <c r="BG439" s="93">
        <f>ППД5[[#This Row],[Фикс 29.12.23]]*5%</f>
        <v>5319.319961146276</v>
      </c>
      <c r="BH439" s="93">
        <f>ППД5[[#This Row],[Фикс 29.12.23]]+ППД5[[#This Row],[Наценка 10.01.24 5%]]</f>
        <v>111705.71918407179</v>
      </c>
      <c r="BI439" s="93"/>
      <c r="BJ439" s="93">
        <f>ППД5[[#This Row],[Наценка 26.02.24 1 Этаж]]+ППД5[[#This Row],[Фикс 10.01.24]]</f>
        <v>111705.71918407179</v>
      </c>
      <c r="BK439" s="93">
        <f>ППД5[[#This Row],[Фикс 26.02.24]]*3%</f>
        <v>3351.1715755221535</v>
      </c>
      <c r="BL439" s="93">
        <f>ППД5[[#This Row],[Фикс 26.02.24]]+ППД5[[#This Row],[Наценка 06.03.24
СТ, 1К - 3%
2К, 3К - 2%]]</f>
        <v>115056.89075959394</v>
      </c>
      <c r="BM439" s="93"/>
      <c r="BN439" s="93">
        <f>ППД5[[#This Row],[Фикс 06.03.24]]+ППД5[[#This Row],[Наценка Г2+500]]</f>
        <v>115056.89075959394</v>
      </c>
      <c r="BO439" s="93"/>
      <c r="BP439" s="93">
        <f>ППД5[[#This Row],[Фикс 13.03.25]]+ППД5[[#This Row],[Наценка 20.03.24
2К, 3К - 2%]]</f>
        <v>115056.89075959394</v>
      </c>
      <c r="BQ439" s="93"/>
      <c r="BR439" s="93">
        <f>ППД5[[#This Row],[Фикс 20.03.24]]+ППД5[[#This Row],[Наценка 08.04.24 
2К: В3 - 150
3К: Г7 +1000]]</f>
        <v>115056.89075959394</v>
      </c>
      <c r="BS439" s="93">
        <f>ППД5[[#This Row],[Фикс 08.04.24]]*1%</f>
        <v>1150.5689075959394</v>
      </c>
      <c r="BT439" s="93">
        <f>ППД5[[#This Row],[Фикс 08.04.24]]+ППД5[[#This Row],[Наценка 16.05.24 1%
А4,А6,Б3,Б6,Б7,В2,В3,В5,В6,Г1,Г3-Г5]]</f>
        <v>116207.45966718988</v>
      </c>
      <c r="BU439" s="93"/>
      <c r="BV439" s="93">
        <f>ППД5[[#This Row],[Фикс 16.05.24]]+ППД5[[#This Row],[Наценка 24.05.24
1% - Б4, Б5,Г2,Г6
2% - А1,А3,А5,Б2,Г7]]</f>
        <v>116207.45966718988</v>
      </c>
      <c r="BW439" s="93"/>
      <c r="BX439" s="93">
        <f>ППД5[[#This Row],[Наценка 06.06.24
0К: В2,Г3 +0,5%
1К: А7, Б5/4, Г6 +0,5%
3К: В6 +0,5%
1К: А3 +1%]]+ППД5[[#This Row],[Фикс 24.05.24]]</f>
        <v>116207.45966718988</v>
      </c>
      <c r="BY439" s="93"/>
      <c r="BZ439" s="93">
        <f>ППД5[[#This Row],[Фикс 06.06.24]]+ППД5[[#This Row],[13.06.2024
3К - 2%]]</f>
        <v>116207.45966718988</v>
      </c>
      <c r="CA439" s="93">
        <f>1.5%*ППД5[[#This Row],[Фикс 13.06.24]]</f>
        <v>1743.111895007848</v>
      </c>
      <c r="CB439" s="93">
        <f>ППД5[[#This Row],[02.07.2024: Г3 А1 А3 Б5 Б7 Г2 Г6 Б3 Б4 В3 Г7 2,5% ост 0,5-1,5%]]+ППД5[[#This Row],[Фикс 13.06.24]]</f>
        <v>117950.57156219773</v>
      </c>
      <c r="CC439" s="93"/>
      <c r="CD439" s="93">
        <f>ППД5[[#This Row],[Фикс 02.07.24]]+ППД5[[#This Row],[04.09.2024 +500
0К - Б2; 1К - А3;
2К - А6, Б4, В3, Г5]]</f>
        <v>117950.57156219773</v>
      </c>
      <c r="CE439" s="93"/>
      <c r="CF439" s="93">
        <f>ППД5[[#This Row],[Наценка 16.09.2024
1К: А1,В7,Г6/7,Г8 - 2%
2К: А4,А5,А6,Б1,Б6,Б3/4,В3,В4,Г4,Г5 - 4%
3К: 4%]]+ППД5[[#This Row],[Фикс 04.09.24]]</f>
        <v>117950.57156219773</v>
      </c>
      <c r="CG439" s="93">
        <f>ППД5[[#This Row],[Фикс 16.09.2024]]*4%</f>
        <v>4718.0228624879092</v>
      </c>
      <c r="CH439" s="93">
        <f>ППД5[[#This Row],[Фикс 16.09.2024]]+ППД5[[#This Row],[Наценка 01.11.24
СТ: 4%
1К: 34-40м 5%; 40м+ 8%; МГН 1%
2К: 55-70м 6%; 70-73м 7%; 73-76м 8% 
3К: 5%]]</f>
        <v>122668.59442468564</v>
      </c>
      <c r="CI439" s="93">
        <f>ППД5[[#This Row],[Фикс 01.11.24]]*13%</f>
        <v>15946.917275209133</v>
      </c>
      <c r="CJ439" s="93">
        <f>ППД5[[#This Row],[Наценка 06.11 13%]]+ППД5[[#This Row],[Фикс 01.11.24]]</f>
        <v>138615.51169989476</v>
      </c>
      <c r="CK439" s="93">
        <v>35</v>
      </c>
      <c r="CL439" s="93">
        <f>ППД5[[#This Row],[Фикс 06.11.24]]+ППД5[[#This Row],[Наценка 18.12.24 распределение КВ]]</f>
        <v>138650.51169989476</v>
      </c>
      <c r="CM439" s="93"/>
      <c r="CN439" s="93">
        <f>ППД5[[#This Row],[Фикс 18.12.24]]+ППД5[[#This Row],[Наценка 10.02.25 +1%
1К: А3
2К: Б3, В3]]</f>
        <v>138650.51169989476</v>
      </c>
      <c r="CO439" s="93">
        <f>ROUND(ППД5[[#This Row],[Фикс 10.02.25]],2)</f>
        <v>138650.51</v>
      </c>
      <c r="CP43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4076400</v>
      </c>
      <c r="CQ439" s="93">
        <f>ROUNDUP(ППД5[[#This Row],[Стоимость до скидки]]+ППД5[[#This Row],[Сумма доплаты]],-2)</f>
        <v>4034900</v>
      </c>
      <c r="CR439" s="68"/>
      <c r="CS439" s="90">
        <v>0.02</v>
      </c>
      <c r="CT439" s="68">
        <f>ППД5[[#This Row],[Стоимость до скидки]]*ППД5[[#This Row],[Скидка %]]+ППД5[[#This Row],[Скидка фиксированная]]</f>
        <v>81528</v>
      </c>
      <c r="CU439" s="3">
        <f>ППД5[[#This Row],[Стоимость ОН без отделки со скидкой]]/ППД5[[#This Row],[Расчетная проектная площадь]]</f>
        <v>135880</v>
      </c>
      <c r="CV439" s="3">
        <f>ROUND(ППД5[[#This Row],[Стоимость до скидки]]-ППД5[[#This Row],[Итоговая сумма скидки]],2)</f>
        <v>3994872</v>
      </c>
      <c r="CW43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39" s="197">
        <v>25000</v>
      </c>
      <c r="CY439" s="332">
        <f>ППД5[[#This Row],[Расхождение]]/ППД5[[#This Row],[Расчетная проектная площадь]]</f>
        <v>-1.0204081632653086E-2</v>
      </c>
      <c r="CZ43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-0.22999999999999865</v>
      </c>
      <c r="DA439" s="3">
        <f>ППД5[[#This Row],[Цена м2 без отделки со скидкой]]+ППД5[[#This Row],[Стоимость отделки]]</f>
        <v>160880</v>
      </c>
      <c r="DB439" s="3">
        <f>ППД5[[#This Row],[Стоимость квартиры с отделкой]]-ППД5[[#This Row],[Стоимость ОН без отделки со скидкой]]</f>
        <v>735000</v>
      </c>
      <c r="DC439" s="3">
        <f>ППД5[[#This Row],[Цена м2 с отделкой]]*ППД5[[#This Row],[Расчетная проектная площадь]]</f>
        <v>4729872</v>
      </c>
      <c r="DD439" s="3"/>
      <c r="DE439" s="111" t="s">
        <v>757</v>
      </c>
      <c r="DF439" s="199" t="s">
        <v>172</v>
      </c>
      <c r="DG439" s="245" t="s">
        <v>172</v>
      </c>
      <c r="DH439" s="100" t="b">
        <f>EXACT(ППД5[[#This Row],[Статусы CRM]],ППД5[[#This Row],[Статус]])</f>
        <v>1</v>
      </c>
      <c r="DI439" s="213" t="s">
        <v>611</v>
      </c>
      <c r="DJ439" s="204"/>
      <c r="DK439" s="111" t="s">
        <v>763</v>
      </c>
      <c r="DL439" s="216" t="s">
        <v>14</v>
      </c>
      <c r="DM439" s="201" t="b">
        <f>ППД5[[#This Row],[Отделка CRM]]=ППД5[[#This Row],[Отделка]]</f>
        <v>1</v>
      </c>
      <c r="DN439" s="203">
        <v>4729872</v>
      </c>
      <c r="DO43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39" s="207" t="b">
        <f>IF(AND(ППД5[[#This Row],[Статус]]="свободно",ППД5[[#This Row],[Итоговая сумма скидки]]&lt;&gt;0),FALSE,TRUE)</f>
        <v>1</v>
      </c>
      <c r="DQ439" s="240">
        <f>_xlfn.XLOOKUP(ППД5[[#This Row],[№]],Юрист[№ кв],Юрист[Дата подачи на регистрацию]," ",0,-1)</f>
        <v>45706</v>
      </c>
      <c r="DR439" s="115" t="str">
        <f>_xlfn.XLOOKUP(ППД5[[#This Row],[№]],Юрист[№ кв],Юрист[МОП],"",0,-1)</f>
        <v>Дик</v>
      </c>
      <c r="DS439" s="333" t="s">
        <v>3170</v>
      </c>
      <c r="DT439" s="333" t="s">
        <v>3171</v>
      </c>
      <c r="DU439" s="333">
        <v>26.8</v>
      </c>
      <c r="DV439" s="111"/>
    </row>
    <row r="440" spans="1:126" hidden="1" x14ac:dyDescent="0.25">
      <c r="A440" s="112">
        <v>438</v>
      </c>
      <c r="B440" s="111" t="s">
        <v>2</v>
      </c>
      <c r="C440" s="111">
        <v>7</v>
      </c>
      <c r="D440" s="115">
        <v>2</v>
      </c>
      <c r="E440" s="111">
        <v>1</v>
      </c>
      <c r="F440" s="105">
        <v>13.17</v>
      </c>
      <c r="G440" s="105"/>
      <c r="H440" s="105"/>
      <c r="I440" s="94">
        <f>SUM(ППД5[[#This Row],[Комната 1]:[Комната 3]])</f>
        <v>13.17</v>
      </c>
      <c r="J440" s="105">
        <v>16.940000000000001</v>
      </c>
      <c r="K440" s="105">
        <v>3.55</v>
      </c>
      <c r="L440" s="105">
        <v>2.41</v>
      </c>
      <c r="M440" s="105"/>
      <c r="N440" s="105">
        <v>5.8</v>
      </c>
      <c r="O440" s="105">
        <v>2.68</v>
      </c>
      <c r="P440" s="105"/>
      <c r="Q440" s="105"/>
      <c r="R440" s="105">
        <f>SUM(ППД5[[#This Row],[Лоджия 1]:[Лоджия 3]])</f>
        <v>2.68</v>
      </c>
      <c r="S440" s="8">
        <f>ROUND(SUM(ППД5[[#This Row],[Площадь по проекту жилая]:[Лоджия 3]]),2)</f>
        <v>44.55</v>
      </c>
      <c r="T440" s="8">
        <f>ROUND(ППД5[[#This Row],[Площадь по проекту(общая)]]-ППД5[[#This Row],[Летние]],2)</f>
        <v>41.87</v>
      </c>
      <c r="U440" s="91">
        <f>ROUND(ППД5[[#This Row],[Площадь по проекту(общая)]]-(SUM(ППД5[[#This Row],[Лоджия 1]:[Лоджия 3]])/2),2)</f>
        <v>43.21</v>
      </c>
      <c r="V440" s="91">
        <f>IF(ППД5[[#This Row],[Статус]]="продажа",ППД5[[#This Row],[Расчетная проектная площадь]],ППД5[[#This Row],[Расчетная ТП площадь]])</f>
        <v>43.21</v>
      </c>
      <c r="W440" s="91">
        <v>13</v>
      </c>
      <c r="X440" s="91"/>
      <c r="Y440" s="91"/>
      <c r="Z440" s="91">
        <f>SUM(ППД5[[#This Row],[ТП Комната 1]:[ТП Комната 3]])</f>
        <v>13</v>
      </c>
      <c r="AA440" s="91">
        <v>16.8</v>
      </c>
      <c r="AB440" s="91">
        <v>2</v>
      </c>
      <c r="AC440" s="91">
        <v>3.3</v>
      </c>
      <c r="AD440" s="91"/>
      <c r="AE440" s="91">
        <v>5.9</v>
      </c>
      <c r="AF440" s="91">
        <v>1.3</v>
      </c>
      <c r="AG440" s="91"/>
      <c r="AH440" s="91"/>
      <c r="AI440" s="91">
        <f>SUM(ППД5[[#This Row],[ТП Лоджия 1]:[ТП Лоджия 3]])</f>
        <v>1.3</v>
      </c>
      <c r="AJ440" s="95">
        <v>2.6</v>
      </c>
      <c r="AK440" s="91">
        <f>SUM(ППД5[[#This Row],[Площадь по ТП жилая]:[ТП Лоджия 3]])-ППД5[[#This Row],[ТП Летние]]+ППД5[[#This Row],[кроме того прочая
(без коэффициента)]]</f>
        <v>43.6</v>
      </c>
      <c r="AL440" s="95">
        <f>ППД5[[#This Row],[ТП Площадь без летних]]+(ППД5[[#This Row],[ТП Летние]])</f>
        <v>42.3</v>
      </c>
      <c r="AM440" s="91">
        <f>ППД5[[#This Row],[ТП общая S]]-ППД5[[#This Row],[кроме того прочая
(без коэффициента)]]</f>
        <v>41</v>
      </c>
      <c r="AN440" s="95">
        <f>SUM(ППД5[[#This Row],[ТП Кухня]:[ТП Коридор]])</f>
        <v>28</v>
      </c>
      <c r="AO440" s="91">
        <f>ППД5[[#This Row],[Расчетная ТП площадь]]-ППД5[[#This Row],[Расчетная проектная площадь]]</f>
        <v>-0.91000000000000369</v>
      </c>
      <c r="AP440" s="335">
        <f>ППД5[[#This Row],[Расчетная ТП площадь]]/ППД5[[#This Row],[Расчетная проектная площадь]]-1</f>
        <v>-2.1059939828743435E-2</v>
      </c>
      <c r="AQ440" s="91">
        <f>ППД5[[#This Row],[% расхождения]]*ППД5[[#This Row],[Стоимость до скидки]]</f>
        <v>-88891.900023143156</v>
      </c>
      <c r="AR440" s="91">
        <f>VLOOKUP(ППД5[[#This Row],[№]],наценкад5[],COLUMN(наценкад5[[#This Row],[Цена м2 с учетом всех K]]),0)</f>
        <v>85168.125</v>
      </c>
      <c r="AS440" s="8">
        <f>ППД5[[#This Row],[м2 после К]]*5%</f>
        <v>4258.40625</v>
      </c>
      <c r="AT440" s="8">
        <f>ППД5[[#This Row],[м2 после К]]+ППД5[[#This Row],[Повышение 16.08.23 - 5%]]</f>
        <v>89426.53125</v>
      </c>
      <c r="AU440" s="93">
        <f>ППД5[[#This Row],[Фикс 16.08.23]]*3%</f>
        <v>2682.7959375</v>
      </c>
      <c r="AV440" s="93">
        <f>ППД5[[#This Row],[Фикс 16.08.23]]+ППД5[[#This Row],[Повышение 29.08.23 - 3%]]</f>
        <v>92109.327187500006</v>
      </c>
      <c r="AW440" s="93">
        <f>ППД5[[#This Row],[Фикс 29.08.23]]*1%</f>
        <v>921.09327187500003</v>
      </c>
      <c r="AX440" s="93">
        <f>ППД5[[#This Row],[Фикс 29.08.23]]+ППД5[[#This Row],[Повышение 06.09.23 СТ и 1К]]</f>
        <v>93030.420459375004</v>
      </c>
      <c r="AY440" s="93"/>
      <c r="AZ440" s="93">
        <f>ППД5[[#This Row],[Повышение 23.10.23  В4 ]]+ППД5[[#This Row],[Фикс 06.09.23]]</f>
        <v>93030.420459375004</v>
      </c>
      <c r="BA440" s="93">
        <f>ППД5[[#This Row],[Фикс 23.10.23]]*5%</f>
        <v>4651.52102296875</v>
      </c>
      <c r="BB440" s="93">
        <f>ППД5[[#This Row],[Повышение 8.11.23 1К 5%]]+ППД5[[#This Row],[Фикс 23.10.23]]</f>
        <v>97681.941482343755</v>
      </c>
      <c r="BC440" s="93"/>
      <c r="BD440" s="93">
        <f>ППД5[[#This Row],[Корректировка 24.11.23 - 1К В5, 2К А2, №233]]+ППД5[[#This Row],[Фикс 8.11.23]]</f>
        <v>97681.941482343755</v>
      </c>
      <c r="BE440" s="93"/>
      <c r="BF440" s="93">
        <f>ППД5[[#This Row],[Наценка за отделку 29.12.23 1%]]+ППД5[[#This Row],[Фикс 8.11.24]]</f>
        <v>97681.941482343755</v>
      </c>
      <c r="BG440" s="93"/>
      <c r="BH440" s="93">
        <f>ППД5[[#This Row],[Фикс 29.12.23]]+ППД5[[#This Row],[Наценка 10.01.24 5%]]</f>
        <v>97681.941482343755</v>
      </c>
      <c r="BI440" s="93"/>
      <c r="BJ440" s="93">
        <f>ППД5[[#This Row],[Наценка 26.02.24 1 Этаж]]+ППД5[[#This Row],[Фикс 10.01.24]]</f>
        <v>97681.941482343755</v>
      </c>
      <c r="BK440" s="93"/>
      <c r="BL440" s="93">
        <f>ППД5[[#This Row],[Фикс 26.02.24]]+ППД5[[#This Row],[Наценка 06.03.24
СТ, 1К - 3%
2К, 3К - 2%]]</f>
        <v>97681.941482343755</v>
      </c>
      <c r="BM440" s="93"/>
      <c r="BN440" s="93">
        <f>ППД5[[#This Row],[Фикс 06.03.24]]+ППД5[[#This Row],[Наценка Г2+500]]</f>
        <v>97681.941482343755</v>
      </c>
      <c r="BO440" s="93"/>
      <c r="BP440" s="93">
        <f>ППД5[[#This Row],[Фикс 13.03.25]]+ППД5[[#This Row],[Наценка 20.03.24
2К, 3К - 2%]]</f>
        <v>97681.941482343755</v>
      </c>
      <c r="BQ440" s="93"/>
      <c r="BR440" s="93">
        <f>ППД5[[#This Row],[Фикс 20.03.24]]+ППД5[[#This Row],[Наценка 08.04.24 
2К: В3 - 150
3К: Г7 +1000]]</f>
        <v>97681.941482343755</v>
      </c>
      <c r="BS440" s="93"/>
      <c r="BT440" s="93">
        <f>ППД5[[#This Row],[Фикс 08.04.24]]+ППД5[[#This Row],[Наценка 16.05.24 1%
А4,А6,Б3,Б6,Б7,В2,В3,В5,В6,Г1,Г3-Г5]]</f>
        <v>97681.941482343755</v>
      </c>
      <c r="BU440" s="93"/>
      <c r="BV440" s="93">
        <f>ППД5[[#This Row],[Фикс 16.05.24]]+ППД5[[#This Row],[Наценка 24.05.24
1% - Б4, Б5,Г2,Г6
2% - А1,А3,А5,Б2,Г7]]</f>
        <v>97681.941482343755</v>
      </c>
      <c r="BW440" s="93"/>
      <c r="BX440" s="93">
        <f>ППД5[[#This Row],[Наценка 06.06.24
0К: В2,Г3 +0,5%
1К: А7, Б5/4, Г6 +0,5%
3К: В6 +0,5%
1К: А3 +1%]]+ППД5[[#This Row],[Фикс 24.05.24]]</f>
        <v>97681.941482343755</v>
      </c>
      <c r="BY440" s="93"/>
      <c r="BZ440" s="93">
        <f>ППД5[[#This Row],[Фикс 06.06.24]]+ППД5[[#This Row],[13.06.2024
3К - 2%]]</f>
        <v>97681.941482343755</v>
      </c>
      <c r="CA440" s="93"/>
      <c r="CB440" s="93">
        <f>ППД5[[#This Row],[02.07.2024: Г3 А1 А3 Б5 Б7 Г2 Г6 Б3 Б4 В3 Г7 2,5% ост 0,5-1,5%]]+ППД5[[#This Row],[Фикс 13.06.24]]</f>
        <v>97681.941482343755</v>
      </c>
      <c r="CC440" s="93"/>
      <c r="CD440" s="93">
        <f>ППД5[[#This Row],[Фикс 02.07.24]]+ППД5[[#This Row],[04.09.2024 +500
0К - Б2; 1К - А3;
2К - А6, Б4, В3, Г5]]</f>
        <v>97681.941482343755</v>
      </c>
      <c r="CE440" s="93"/>
      <c r="CF440" s="93">
        <f>ППД5[[#This Row],[Наценка 16.09.2024
1К: А1,В7,Г6/7,Г8 - 2%
2К: А4,А5,А6,Б1,Б6,Б3/4,В3,В4,Г4,Г5 - 4%
3К: 4%]]+ППД5[[#This Row],[Фикс 04.09.24]]</f>
        <v>97681.941482343755</v>
      </c>
      <c r="CG440" s="93"/>
      <c r="CH440" s="93">
        <f>ППД5[[#This Row],[Фикс 16.09.2024]]+ППД5[[#This Row],[Наценка 01.11.24
СТ: 4%
1К: 34-40м 5%; 40м+ 8%; МГН 1%
2К: 55-70м 6%; 70-73м 7%; 73-76м 8% 
3К: 5%]]</f>
        <v>97681.941482343755</v>
      </c>
      <c r="CI440" s="93"/>
      <c r="CJ440" s="93">
        <f>ППД5[[#This Row],[Наценка 06.11 13%]]+ППД5[[#This Row],[Фикс 01.11.24]]</f>
        <v>97681.941482343755</v>
      </c>
      <c r="CK440" s="93"/>
      <c r="CL440" s="93">
        <f>ППД5[[#This Row],[Фикс 06.11.24]]+ППД5[[#This Row],[Наценка 18.12.24 распределение КВ]]</f>
        <v>97681.941482343755</v>
      </c>
      <c r="CM440" s="93"/>
      <c r="CN440" s="93">
        <f>ППД5[[#This Row],[Фикс 18.12.24]]+ППД5[[#This Row],[Наценка 10.02.25 +1%
1К: А3
2К: Б3, В3]]</f>
        <v>97681.941482343755</v>
      </c>
      <c r="CO440" s="93">
        <f>ROUND(ППД5[[#This Row],[Фикс 10.02.25]],2)</f>
        <v>97681.94</v>
      </c>
      <c r="CP44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4220900</v>
      </c>
      <c r="CQ440" s="93">
        <f>ROUNDUP(ППД5[[#This Row],[Стоимость до скидки]]+ППД5[[#This Row],[Сумма доплаты]],-2)</f>
        <v>4132100</v>
      </c>
      <c r="CR440" s="68"/>
      <c r="CS440" s="90"/>
      <c r="CT440" s="68">
        <f>ППД5[[#This Row],[Стоимость до скидки]]*ППД5[[#This Row],[Скидка %]]+ППД5[[#This Row],[Скидка фиксированная]]</f>
        <v>0</v>
      </c>
      <c r="CU440" s="3">
        <f>ППД5[[#This Row],[Стоимость ОН без отделки со скидкой]]/ППД5[[#This Row],[Расчетная проектная площадь]]</f>
        <v>97683.406618838228</v>
      </c>
      <c r="CV440" s="3">
        <f>ROUND(ППД5[[#This Row],[Стоимость до скидки]]-ППД5[[#This Row],[Итоговая сумма скидки]],2)</f>
        <v>4220900</v>
      </c>
      <c r="CW44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40" s="197"/>
      <c r="CY440" s="332">
        <f>ППД5[[#This Row],[Расхождение]]/ППД5[[#This Row],[Расчетная проектная площадь]]</f>
        <v>-2.1059939828743431E-2</v>
      </c>
      <c r="CZ44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-0.70000000000000284</v>
      </c>
      <c r="DA440" s="3">
        <f>ППД5[[#This Row],[Цена м2 без отделки со скидкой]]+ППД5[[#This Row],[Стоимость отделки]]</f>
        <v>97683.406618838228</v>
      </c>
      <c r="DB440" s="3">
        <f>ППД5[[#This Row],[Стоимость квартиры с отделкой]]-ППД5[[#This Row],[Стоимость ОН без отделки со скидкой]]</f>
        <v>0</v>
      </c>
      <c r="DC440" s="3">
        <f>ППД5[[#This Row],[Цена м2 с отделкой]]*ППД5[[#This Row],[Расчетная проектная площадь]]</f>
        <v>4220900</v>
      </c>
      <c r="DD440" s="3"/>
      <c r="DF440" s="199" t="s">
        <v>172</v>
      </c>
      <c r="DG440" s="245" t="s">
        <v>172</v>
      </c>
      <c r="DH440" s="100" t="b">
        <f>EXACT(ППД5[[#This Row],[Статусы CRM]],ППД5[[#This Row],[Статус]])</f>
        <v>1</v>
      </c>
      <c r="DI440" s="213" t="s">
        <v>612</v>
      </c>
      <c r="DJ440" s="204"/>
      <c r="DK440" s="111" t="s">
        <v>763</v>
      </c>
      <c r="DL440" s="216" t="s">
        <v>12</v>
      </c>
      <c r="DM440" s="201" t="b">
        <f>ППД5[[#This Row],[Отделка CRM]]=ППД5[[#This Row],[Отделка]]</f>
        <v>1</v>
      </c>
      <c r="DN440" s="203">
        <v>4220900</v>
      </c>
      <c r="DO44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40" s="207" t="b">
        <f>IF(AND(ППД5[[#This Row],[Статус]]="свободно",ППД5[[#This Row],[Итоговая сумма скидки]]&lt;&gt;0),FALSE,TRUE)</f>
        <v>1</v>
      </c>
      <c r="DQ440" s="240">
        <f>_xlfn.XLOOKUP(ППД5[[#This Row],[№]],Юрист[№ кв],Юрист[Дата подачи на регистрацию]," ",0,-1)</f>
        <v>45260</v>
      </c>
      <c r="DR440" s="115" t="str">
        <f>_xlfn.XLOOKUP(ППД5[[#This Row],[№]],Юрист[№ кв],Юрист[МОП],"",0,-1)</f>
        <v>Дик</v>
      </c>
      <c r="DS440" s="333" t="s">
        <v>3172</v>
      </c>
      <c r="DT440" s="333" t="s">
        <v>3173</v>
      </c>
      <c r="DU440" s="333">
        <v>41</v>
      </c>
      <c r="DV440" s="111"/>
    </row>
    <row r="441" spans="1:126" hidden="1" x14ac:dyDescent="0.25">
      <c r="A441" s="112">
        <v>439</v>
      </c>
      <c r="B441" s="111" t="s">
        <v>2</v>
      </c>
      <c r="C441" s="111">
        <v>7</v>
      </c>
      <c r="D441" s="115">
        <v>3</v>
      </c>
      <c r="E441" s="111">
        <v>0</v>
      </c>
      <c r="F441" s="105">
        <v>7.2</v>
      </c>
      <c r="G441" s="105"/>
      <c r="H441" s="105"/>
      <c r="I441" s="94">
        <f>SUM(ППД5[[#This Row],[Комната 1]:[Комната 3]])</f>
        <v>7.2</v>
      </c>
      <c r="J441" s="105">
        <v>5.17</v>
      </c>
      <c r="K441" s="105">
        <v>3.71</v>
      </c>
      <c r="L441" s="105"/>
      <c r="M441" s="105"/>
      <c r="N441" s="105">
        <v>6.96</v>
      </c>
      <c r="O441" s="105">
        <v>2.92</v>
      </c>
      <c r="P441" s="105"/>
      <c r="Q441" s="105"/>
      <c r="R441" s="105">
        <f>SUM(ППД5[[#This Row],[Лоджия 1]:[Лоджия 3]])</f>
        <v>2.92</v>
      </c>
      <c r="S441" s="8">
        <f>ROUND(SUM(ППД5[[#This Row],[Площадь по проекту жилая]:[Лоджия 3]]),2)</f>
        <v>25.96</v>
      </c>
      <c r="T441" s="8">
        <f>ROUND(ППД5[[#This Row],[Площадь по проекту(общая)]]-ППД5[[#This Row],[Летние]],2)</f>
        <v>23.04</v>
      </c>
      <c r="U441" s="91">
        <f>ROUND(ППД5[[#This Row],[Площадь по проекту(общая)]]-(SUM(ППД5[[#This Row],[Лоджия 1]:[Лоджия 3]])/2),2)</f>
        <v>24.5</v>
      </c>
      <c r="V441" s="91">
        <f>IF(ППД5[[#This Row],[Статус]]="продажа",ППД5[[#This Row],[Расчетная проектная площадь]],ППД5[[#This Row],[Расчетная ТП площадь]])</f>
        <v>24.5</v>
      </c>
      <c r="W441" s="91">
        <v>7.2</v>
      </c>
      <c r="X441" s="91"/>
      <c r="Y441" s="91"/>
      <c r="Z441" s="91">
        <f>SUM(ППД5[[#This Row],[ТП Комната 1]:[ТП Комната 3]])</f>
        <v>7.2</v>
      </c>
      <c r="AA441" s="91">
        <v>5.6</v>
      </c>
      <c r="AB441" s="91">
        <v>3.7</v>
      </c>
      <c r="AC441" s="91"/>
      <c r="AD441" s="91"/>
      <c r="AE441" s="91">
        <v>6.4</v>
      </c>
      <c r="AF441" s="91">
        <v>1.45</v>
      </c>
      <c r="AG441" s="91"/>
      <c r="AH441" s="91"/>
      <c r="AI441" s="91">
        <f>SUM(ППД5[[#This Row],[ТП Лоджия 1]:[ТП Лоджия 3]])</f>
        <v>1.45</v>
      </c>
      <c r="AJ441" s="95">
        <v>2.9</v>
      </c>
      <c r="AK441" s="91">
        <f>SUM(ППД5[[#This Row],[Площадь по ТП жилая]:[ТП Лоджия 3]])-ППД5[[#This Row],[ТП Летние]]+ППД5[[#This Row],[кроме того прочая
(без коэффициента)]]</f>
        <v>25.799999999999997</v>
      </c>
      <c r="AL441" s="95">
        <f>ППД5[[#This Row],[ТП Площадь без летних]]+(ППД5[[#This Row],[ТП Летние]])</f>
        <v>24.349999999999998</v>
      </c>
      <c r="AM441" s="91">
        <f>ППД5[[#This Row],[ТП общая S]]-ППД5[[#This Row],[кроме того прочая
(без коэффициента)]]</f>
        <v>22.9</v>
      </c>
      <c r="AN441" s="95">
        <f>SUM(ППД5[[#This Row],[ТП Кухня]:[ТП Коридор]])</f>
        <v>15.700000000000001</v>
      </c>
      <c r="AO441" s="91">
        <f>ППД5[[#This Row],[Расчетная ТП площадь]]-ППД5[[#This Row],[Расчетная проектная площадь]]</f>
        <v>-0.15000000000000213</v>
      </c>
      <c r="AP441" s="335">
        <f>ППД5[[#This Row],[Расчетная ТП площадь]]/ППД5[[#This Row],[Расчетная проектная площадь]]-1</f>
        <v>-6.1224489795919101E-3</v>
      </c>
      <c r="AQ441" s="91">
        <f>ППД5[[#This Row],[% расхождения]]*ППД5[[#This Row],[Стоимость до скидки]]</f>
        <v>-21521.632653061482</v>
      </c>
      <c r="AR441" s="91">
        <f>VLOOKUP(ППД5[[#This Row],[№]],наценкад5[],COLUMN(наценкад5[[#This Row],[Цена м2 с учетом всех K]]),0)</f>
        <v>91105.56</v>
      </c>
      <c r="AS441" s="8">
        <f>ППД5[[#This Row],[м2 после К]]*5%</f>
        <v>4555.2780000000002</v>
      </c>
      <c r="AT441" s="8">
        <f>ППД5[[#This Row],[м2 после К]]+ППД5[[#This Row],[Повышение 16.08.23 - 5%]]</f>
        <v>95660.838000000003</v>
      </c>
      <c r="AU441" s="93">
        <f>ППД5[[#This Row],[Фикс 16.08.23]]*3%</f>
        <v>2869.8251399999999</v>
      </c>
      <c r="AV441" s="93">
        <f>ППД5[[#This Row],[Фикс 16.08.23]]+ППД5[[#This Row],[Повышение 29.08.23 - 3%]]</f>
        <v>98530.663140000004</v>
      </c>
      <c r="AW441" s="93">
        <f>ППД5[[#This Row],[Фикс 29.08.23]]*9%</f>
        <v>8867.7596826000008</v>
      </c>
      <c r="AX441" s="93">
        <f>ППД5[[#This Row],[Фикс 29.08.23]]+ППД5[[#This Row],[Повышение 06.09.23 СТ и 1К]]</f>
        <v>107398.4228226</v>
      </c>
      <c r="AY441" s="93"/>
      <c r="AZ441" s="93">
        <f>ППД5[[#This Row],[Повышение 23.10.23  В4 ]]+ППД5[[#This Row],[Фикс 06.09.23]]</f>
        <v>107398.4228226</v>
      </c>
      <c r="BA441" s="93"/>
      <c r="BB441" s="93">
        <f>ППД5[[#This Row],[Повышение 8.11.23 1К 5%]]+ППД5[[#This Row],[Фикс 23.10.23]]</f>
        <v>107398.4228226</v>
      </c>
      <c r="BC441" s="93"/>
      <c r="BD441" s="93">
        <f>ППД5[[#This Row],[Корректировка 24.11.23 - 1К В5, 2К А2, №233]]+ППД5[[#This Row],[Фикс 8.11.23]]</f>
        <v>107398.4228226</v>
      </c>
      <c r="BE441" s="93">
        <f>ППД5[[#This Row],[Фикс 8.11.24]]*1%</f>
        <v>1073.9842282259999</v>
      </c>
      <c r="BF441" s="93">
        <f>ППД5[[#This Row],[Наценка за отделку 29.12.23 1%]]+ППД5[[#This Row],[Фикс 8.11.24]]</f>
        <v>108472.407050826</v>
      </c>
      <c r="BG441" s="93">
        <f>ППД5[[#This Row],[Фикс 29.12.23]]*5%</f>
        <v>5423.6203525413002</v>
      </c>
      <c r="BH441" s="93">
        <f>ППД5[[#This Row],[Фикс 29.12.23]]+ППД5[[#This Row],[Наценка 10.01.24 5%]]</f>
        <v>113896.0274033673</v>
      </c>
      <c r="BI441" s="93"/>
      <c r="BJ441" s="93">
        <f>ППД5[[#This Row],[Наценка 26.02.24 1 Этаж]]+ППД5[[#This Row],[Фикс 10.01.24]]</f>
        <v>113896.0274033673</v>
      </c>
      <c r="BK441" s="93">
        <f>ППД5[[#This Row],[Фикс 26.02.24]]*3%</f>
        <v>3416.880822101019</v>
      </c>
      <c r="BL441" s="93">
        <f>ППД5[[#This Row],[Фикс 26.02.24]]+ППД5[[#This Row],[Наценка 06.03.24
СТ, 1К - 3%
2К, 3К - 2%]]</f>
        <v>117312.90822546833</v>
      </c>
      <c r="BM441" s="93"/>
      <c r="BN441" s="93">
        <f>ППД5[[#This Row],[Фикс 06.03.24]]+ППД5[[#This Row],[Наценка Г2+500]]</f>
        <v>117312.90822546833</v>
      </c>
      <c r="BO441" s="93"/>
      <c r="BP441" s="93">
        <f>ППД5[[#This Row],[Фикс 13.03.25]]+ППД5[[#This Row],[Наценка 20.03.24
2К, 3К - 2%]]</f>
        <v>117312.90822546833</v>
      </c>
      <c r="BQ441" s="93"/>
      <c r="BR441" s="93">
        <f>ППД5[[#This Row],[Фикс 20.03.24]]+ППД5[[#This Row],[Наценка 08.04.24 
2К: В3 - 150
3К: Г7 +1000]]</f>
        <v>117312.90822546833</v>
      </c>
      <c r="BS441" s="93">
        <f>ППД5[[#This Row],[Фикс 08.04.24]]*1%</f>
        <v>1173.1290822546832</v>
      </c>
      <c r="BT441" s="93">
        <f>ППД5[[#This Row],[Фикс 08.04.24]]+ППД5[[#This Row],[Наценка 16.05.24 1%
А4,А6,Б3,Б6,Б7,В2,В3,В5,В6,Г1,Г3-Г5]]</f>
        <v>118486.03730772302</v>
      </c>
      <c r="BU441" s="93"/>
      <c r="BV441" s="93">
        <f>ППД5[[#This Row],[Фикс 16.05.24]]+ППД5[[#This Row],[Наценка 24.05.24
1% - Б4, Б5,Г2,Г6
2% - А1,А3,А5,Б2,Г7]]</f>
        <v>118486.03730772302</v>
      </c>
      <c r="BW441" s="93">
        <f>ППД5[[#This Row],[Фикс 24.05.24]]*0.5%</f>
        <v>592.43018653861509</v>
      </c>
      <c r="BX441" s="93">
        <f>ППД5[[#This Row],[Наценка 06.06.24
0К: В2,Г3 +0,5%
1К: А7, Б5/4, Г6 +0,5%
3К: В6 +0,5%
1К: А3 +1%]]+ППД5[[#This Row],[Фикс 24.05.24]]</f>
        <v>119078.46749426163</v>
      </c>
      <c r="BY441" s="93"/>
      <c r="BZ441" s="93">
        <f>ППД5[[#This Row],[Фикс 06.06.24]]+ППД5[[#This Row],[13.06.2024
3К - 2%]]</f>
        <v>119078.46749426163</v>
      </c>
      <c r="CA441" s="93">
        <f>2.5%*ППД5[[#This Row],[Фикс 13.06.24]]</f>
        <v>2976.961687356541</v>
      </c>
      <c r="CB441" s="93">
        <f>ППД5[[#This Row],[02.07.2024: Г3 А1 А3 Б5 Б7 Г2 Г6 Б3 Б4 В3 Г7 2,5% ост 0,5-1,5%]]+ППД5[[#This Row],[Фикс 13.06.24]]</f>
        <v>122055.42918161816</v>
      </c>
      <c r="CC441" s="93"/>
      <c r="CD441" s="93">
        <f>ППД5[[#This Row],[Фикс 02.07.24]]+ППД5[[#This Row],[04.09.2024 +500
0К - Б2; 1К - А3;
2К - А6, Б4, В3, Г5]]</f>
        <v>122055.42918161816</v>
      </c>
      <c r="CE441" s="93"/>
      <c r="CF441" s="93">
        <f>ППД5[[#This Row],[Наценка 16.09.2024
1К: А1,В7,Г6/7,Г8 - 2%
2К: А4,А5,А6,Б1,Б6,Б3/4,В3,В4,Г4,Г5 - 4%
3К: 4%]]+ППД5[[#This Row],[Фикс 04.09.24]]</f>
        <v>122055.42918161816</v>
      </c>
      <c r="CG441" s="93">
        <f>ППД5[[#This Row],[Фикс 16.09.2024]]*4%</f>
        <v>4882.2171672647264</v>
      </c>
      <c r="CH441" s="93">
        <f>ППД5[[#This Row],[Фикс 16.09.2024]]+ППД5[[#This Row],[Наценка 01.11.24
СТ: 4%
1К: 34-40м 5%; 40м+ 8%; МГН 1%
2К: 55-70м 6%; 70-73м 7%; 73-76м 8% 
3К: 5%]]</f>
        <v>126937.64634888289</v>
      </c>
      <c r="CI441" s="93">
        <f>ППД5[[#This Row],[Фикс 01.11.24]]*13%</f>
        <v>16501.894025354777</v>
      </c>
      <c r="CJ441" s="93">
        <f>ППД5[[#This Row],[Наценка 06.11 13%]]+ППД5[[#This Row],[Фикс 01.11.24]]</f>
        <v>143439.54037423767</v>
      </c>
      <c r="CK441" s="93">
        <v>35</v>
      </c>
      <c r="CL441" s="93">
        <f>ППД5[[#This Row],[Фикс 06.11.24]]+ППД5[[#This Row],[Наценка 18.12.24 распределение КВ]]</f>
        <v>143474.54037423767</v>
      </c>
      <c r="CM441" s="93"/>
      <c r="CN441" s="93">
        <f>ППД5[[#This Row],[Фикс 18.12.24]]+ППД5[[#This Row],[Наценка 10.02.25 +1%
1К: А3
2К: Б3, В3]]</f>
        <v>143474.54037423767</v>
      </c>
      <c r="CO441" s="93">
        <f>ROUND(ППД5[[#This Row],[Фикс 10.02.25]],2)</f>
        <v>143474.54</v>
      </c>
      <c r="CP44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3515200</v>
      </c>
      <c r="CQ441" s="93">
        <f>ROUNDUP(ППД5[[#This Row],[Стоимость до скидки]]+ППД5[[#This Row],[Сумма доплаты]],-2)</f>
        <v>3493700</v>
      </c>
      <c r="CR441" s="68"/>
      <c r="CS441" s="90"/>
      <c r="CT441" s="68">
        <f>ППД5[[#This Row],[Стоимость до скидки]]*ППД5[[#This Row],[Скидка %]]+ППД5[[#This Row],[Скидка фиксированная]]</f>
        <v>0</v>
      </c>
      <c r="CU441" s="3">
        <f>ППД5[[#This Row],[Стоимость ОН без отделки со скидкой]]/ППД5[[#This Row],[Расчетная проектная площадь]]</f>
        <v>143477.55102040817</v>
      </c>
      <c r="CV441" s="3">
        <f>ROUND(ППД5[[#This Row],[Стоимость до скидки]]-ППД5[[#This Row],[Итоговая сумма скидки]],2)</f>
        <v>3515200</v>
      </c>
      <c r="CW44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41" s="197"/>
      <c r="CY441" s="332">
        <f>ППД5[[#This Row],[Расхождение]]/ППД5[[#This Row],[Расчетная проектная площадь]]</f>
        <v>-6.122448979591924E-3</v>
      </c>
      <c r="CZ44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-0.1399999999999979</v>
      </c>
      <c r="DA441" s="3">
        <f>ППД5[[#This Row],[Цена м2 без отделки со скидкой]]+ППД5[[#This Row],[Стоимость отделки]]</f>
        <v>143477.55102040817</v>
      </c>
      <c r="DB441" s="3">
        <f>ППД5[[#This Row],[Стоимость квартиры с отделкой]]-ППД5[[#This Row],[Стоимость ОН без отделки со скидкой]]</f>
        <v>0</v>
      </c>
      <c r="DC441" s="3">
        <f>ППД5[[#This Row],[Цена м2 с отделкой]]*ППД5[[#This Row],[Расчетная проектная площадь]]</f>
        <v>3515200</v>
      </c>
      <c r="DD441" s="3"/>
      <c r="DF441" s="155" t="s">
        <v>172</v>
      </c>
      <c r="DG441" s="221" t="s">
        <v>172</v>
      </c>
      <c r="DH441" s="100" t="b">
        <f>EXACT(ППД5[[#This Row],[Статусы CRM]],ППД5[[#This Row],[Статус]])</f>
        <v>1</v>
      </c>
      <c r="DI441" s="213" t="s">
        <v>613</v>
      </c>
      <c r="DJ441" s="204"/>
      <c r="DK441" s="111" t="s">
        <v>763</v>
      </c>
      <c r="DL441" s="216" t="s">
        <v>12</v>
      </c>
      <c r="DM441" s="201" t="b">
        <f>ППД5[[#This Row],[Отделка CRM]]=ППД5[[#This Row],[Отделка]]</f>
        <v>1</v>
      </c>
      <c r="DN441" s="203">
        <v>3515200</v>
      </c>
      <c r="DO44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41" s="207" t="b">
        <f>IF(AND(ППД5[[#This Row],[Статус]]="свободно",ППД5[[#This Row],[Итоговая сумма скидки]]&lt;&gt;0),FALSE,TRUE)</f>
        <v>1</v>
      </c>
      <c r="DQ441" s="240">
        <f>_xlfn.XLOOKUP(ППД5[[#This Row],[№]],Юрист[№ кв],Юрист[Дата подачи на регистрацию]," ",0,-1)</f>
        <v>45742</v>
      </c>
      <c r="DR441" s="115" t="str">
        <f>_xlfn.XLOOKUP(ППД5[[#This Row],[№]],Юрист[№ кв],Юрист[МОП],"",0,-1)</f>
        <v>Нуждина</v>
      </c>
      <c r="DS441" s="333" t="s">
        <v>3174</v>
      </c>
      <c r="DT441" s="333" t="s">
        <v>3175</v>
      </c>
      <c r="DU441" s="333">
        <v>22.9</v>
      </c>
      <c r="DV441" s="111"/>
    </row>
    <row r="442" spans="1:126" hidden="1" x14ac:dyDescent="0.25">
      <c r="A442" s="112">
        <v>440</v>
      </c>
      <c r="B442" s="111" t="s">
        <v>2</v>
      </c>
      <c r="C442" s="111">
        <v>7</v>
      </c>
      <c r="D442" s="115">
        <v>4</v>
      </c>
      <c r="E442" s="111">
        <v>2</v>
      </c>
      <c r="F442" s="105">
        <v>14.48</v>
      </c>
      <c r="G442" s="105">
        <v>11.42</v>
      </c>
      <c r="H442" s="105"/>
      <c r="I442" s="94">
        <f>SUM(ППД5[[#This Row],[Комната 1]:[Комната 3]])</f>
        <v>25.9</v>
      </c>
      <c r="J442" s="105">
        <v>15.86</v>
      </c>
      <c r="K442" s="105">
        <v>3.01</v>
      </c>
      <c r="L442" s="105">
        <v>2.67</v>
      </c>
      <c r="M442" s="105"/>
      <c r="N442" s="105">
        <v>9.44</v>
      </c>
      <c r="O442" s="105">
        <v>2.72</v>
      </c>
      <c r="P442" s="105"/>
      <c r="Q442" s="105"/>
      <c r="R442" s="105">
        <f>SUM(ППД5[[#This Row],[Лоджия 1]:[Лоджия 3]])</f>
        <v>2.72</v>
      </c>
      <c r="S442" s="8">
        <f>ROUND(SUM(ППД5[[#This Row],[Площадь по проекту жилая]:[Лоджия 3]]),2)</f>
        <v>59.6</v>
      </c>
      <c r="T442" s="8">
        <f>ROUND(ППД5[[#This Row],[Площадь по проекту(общая)]]-ППД5[[#This Row],[Летние]],2)</f>
        <v>56.88</v>
      </c>
      <c r="U442" s="91">
        <f>ROUND(ППД5[[#This Row],[Площадь по проекту(общая)]]-(SUM(ППД5[[#This Row],[Лоджия 1]:[Лоджия 3]])/2),2)</f>
        <v>58.24</v>
      </c>
      <c r="V442" s="91">
        <f>IF(ППД5[[#This Row],[Статус]]="продажа",ППД5[[#This Row],[Расчетная проектная площадь]],ППД5[[#This Row],[Расчетная ТП площадь]])</f>
        <v>58.24</v>
      </c>
      <c r="W442" s="91">
        <v>14.3</v>
      </c>
      <c r="X442" s="91">
        <v>11.2</v>
      </c>
      <c r="Y442" s="91"/>
      <c r="Z442" s="91">
        <f>SUM(ППД5[[#This Row],[ТП Комната 1]:[ТП Комната 3]])</f>
        <v>25.5</v>
      </c>
      <c r="AA442" s="91">
        <v>15.8</v>
      </c>
      <c r="AB442" s="91">
        <v>2.7</v>
      </c>
      <c r="AC442" s="91">
        <v>3.1</v>
      </c>
      <c r="AD442" s="91"/>
      <c r="AE442" s="91">
        <v>9.3000000000000007</v>
      </c>
      <c r="AF442" s="91">
        <v>1.3</v>
      </c>
      <c r="AG442" s="91"/>
      <c r="AH442" s="91"/>
      <c r="AI442" s="91">
        <f>SUM(ППД5[[#This Row],[ТП Лоджия 1]:[ТП Лоджия 3]])</f>
        <v>1.3</v>
      </c>
      <c r="AJ442" s="95">
        <v>2.6</v>
      </c>
      <c r="AK442" s="91">
        <f>SUM(ППД5[[#This Row],[Площадь по ТП жилая]:[ТП Лоджия 3]])-ППД5[[#This Row],[ТП Летние]]+ППД5[[#This Row],[кроме того прочая
(без коэффициента)]]</f>
        <v>59.000000000000007</v>
      </c>
      <c r="AL442" s="95">
        <f>ППД5[[#This Row],[ТП Площадь без летних]]+(ППД5[[#This Row],[ТП Летние]])</f>
        <v>57.7</v>
      </c>
      <c r="AM442" s="91">
        <f>ППД5[[#This Row],[ТП общая S]]-ППД5[[#This Row],[кроме того прочая
(без коэффициента)]]</f>
        <v>56.400000000000006</v>
      </c>
      <c r="AN442" s="95">
        <f>SUM(ППД5[[#This Row],[ТП Кухня]:[ТП Коридор]])</f>
        <v>30.900000000000002</v>
      </c>
      <c r="AO442" s="91">
        <f>ППД5[[#This Row],[Расчетная ТП площадь]]-ППД5[[#This Row],[Расчетная проектная площадь]]</f>
        <v>-0.53999999999999915</v>
      </c>
      <c r="AP442" s="335">
        <f>ППД5[[#This Row],[Расчетная ТП площадь]]/ППД5[[#This Row],[Расчетная проектная площадь]]-1</f>
        <v>-9.271978021977989E-3</v>
      </c>
      <c r="AQ442" s="91">
        <f>ППД5[[#This Row],[% расхождения]]*ППД5[[#This Row],[Стоимость до скидки]]</f>
        <v>-65449.038461538228</v>
      </c>
      <c r="AR442" s="91">
        <f>VLOOKUP(ППД5[[#This Row],[№]],наценкад5[],COLUMN(наценкад5[[#This Row],[Цена м2 с учетом всех K]]),0)</f>
        <v>79535.67300000001</v>
      </c>
      <c r="AS442" s="8">
        <f>ППД5[[#This Row],[м2 после К]]*5%</f>
        <v>3976.7836500000008</v>
      </c>
      <c r="AT442" s="8">
        <f>ППД5[[#This Row],[м2 после К]]+ППД5[[#This Row],[Повышение 16.08.23 - 5%]]</f>
        <v>83512.456650000007</v>
      </c>
      <c r="AU442" s="93">
        <f>ППД5[[#This Row],[Фикс 16.08.23]]*3%</f>
        <v>2505.3736994999999</v>
      </c>
      <c r="AV442" s="93">
        <f>ППД5[[#This Row],[Фикс 16.08.23]]+ППД5[[#This Row],[Повышение 29.08.23 - 3%]]</f>
        <v>86017.8303495</v>
      </c>
      <c r="AW442" s="93"/>
      <c r="AX442" s="93">
        <f>ППД5[[#This Row],[Фикс 29.08.23]]+ППД5[[#This Row],[Повышение 06.09.23 СТ и 1К]]</f>
        <v>86017.8303495</v>
      </c>
      <c r="AY442" s="93"/>
      <c r="AZ442" s="93">
        <f>ППД5[[#This Row],[Повышение 23.10.23  В4 ]]+ППД5[[#This Row],[Фикс 06.09.23]]</f>
        <v>86017.8303495</v>
      </c>
      <c r="BA442" s="93"/>
      <c r="BB442" s="93">
        <f>ППД5[[#This Row],[Повышение 8.11.23 1К 5%]]+ППД5[[#This Row],[Фикс 23.10.23]]</f>
        <v>86017.8303495</v>
      </c>
      <c r="BC442" s="93"/>
      <c r="BD442" s="93">
        <f>ППД5[[#This Row],[Корректировка 24.11.23 - 1К В5, 2К А2, №233]]+ППД5[[#This Row],[Фикс 8.11.23]]</f>
        <v>86017.8303495</v>
      </c>
      <c r="BE442" s="93">
        <f>ППД5[[#This Row],[Фикс 8.11.24]]*1%</f>
        <v>860.17830349500002</v>
      </c>
      <c r="BF442" s="93">
        <f>ППД5[[#This Row],[Наценка за отделку 29.12.23 1%]]+ППД5[[#This Row],[Фикс 8.11.24]]</f>
        <v>86878.008652995006</v>
      </c>
      <c r="BG442" s="93">
        <f>ППД5[[#This Row],[Фикс 29.12.23]]*5%</f>
        <v>4343.9004326497507</v>
      </c>
      <c r="BH442" s="93">
        <f>ППД5[[#This Row],[Фикс 29.12.23]]+ППД5[[#This Row],[Наценка 10.01.24 5%]]</f>
        <v>91221.909085644758</v>
      </c>
      <c r="BI442" s="93"/>
      <c r="BJ442" s="93">
        <f>ППД5[[#This Row],[Наценка 26.02.24 1 Этаж]]+ППД5[[#This Row],[Фикс 10.01.24]]</f>
        <v>91221.909085644758</v>
      </c>
      <c r="BK442" s="93">
        <f>ППД5[[#This Row],[Фикс 26.02.24]]*2%</f>
        <v>1824.4381817128951</v>
      </c>
      <c r="BL442" s="93">
        <f>ППД5[[#This Row],[Фикс 26.02.24]]+ППД5[[#This Row],[Наценка 06.03.24
СТ, 1К - 3%
2К, 3К - 2%]]</f>
        <v>93046.347267357647</v>
      </c>
      <c r="BM442" s="93"/>
      <c r="BN442" s="93">
        <f>ППД5[[#This Row],[Фикс 06.03.24]]+ППД5[[#This Row],[Наценка Г2+500]]</f>
        <v>93046.347267357647</v>
      </c>
      <c r="BO442" s="93">
        <f>ППД5[[#This Row],[Фикс 13.03.25]]*2%</f>
        <v>1860.9269453471529</v>
      </c>
      <c r="BP442" s="93">
        <f>ППД5[[#This Row],[Фикс 13.03.25]]+ППД5[[#This Row],[Наценка 20.03.24
2К, 3К - 2%]]</f>
        <v>94907.274212704797</v>
      </c>
      <c r="BQ442" s="93"/>
      <c r="BR442" s="93">
        <f>ППД5[[#This Row],[Фикс 20.03.24]]+ППД5[[#This Row],[Наценка 08.04.24 
2К: В3 - 150
3К: Г7 +1000]]</f>
        <v>94907.274212704797</v>
      </c>
      <c r="BS442" s="93">
        <f>ППД5[[#This Row],[Фикс 08.04.24]]*1%</f>
        <v>949.07274212704795</v>
      </c>
      <c r="BT442" s="93">
        <f>ППД5[[#This Row],[Фикс 08.04.24]]+ППД5[[#This Row],[Наценка 16.05.24 1%
А4,А6,Б3,Б6,Б7,В2,В3,В5,В6,Г1,Г3-Г5]]</f>
        <v>95856.346954831839</v>
      </c>
      <c r="BU442" s="93"/>
      <c r="BV442" s="93">
        <f>ППД5[[#This Row],[Фикс 16.05.24]]+ППД5[[#This Row],[Наценка 24.05.24
1% - Б4, Б5,Г2,Г6
2% - А1,А3,А5,Б2,Г7]]</f>
        <v>95856.346954831839</v>
      </c>
      <c r="BW442" s="93"/>
      <c r="BX442" s="93">
        <f>ППД5[[#This Row],[Наценка 06.06.24
0К: В2,Г3 +0,5%
1К: А7, Б5/4, Г6 +0,5%
3К: В6 +0,5%
1К: А3 +1%]]+ППД5[[#This Row],[Фикс 24.05.24]]</f>
        <v>95856.346954831839</v>
      </c>
      <c r="BY442" s="93"/>
      <c r="BZ442" s="93">
        <f>ППД5[[#This Row],[Фикс 06.06.24]]+ППД5[[#This Row],[13.06.2024
3К - 2%]]</f>
        <v>95856.346954831839</v>
      </c>
      <c r="CA442" s="47">
        <f>1.5%*ППД5[[#This Row],[Фикс 13.06.24]]</f>
        <v>1437.8452043224775</v>
      </c>
      <c r="CB442" s="93">
        <f>ППД5[[#This Row],[02.07.2024: Г3 А1 А3 Б5 Б7 Г2 Г6 Б3 Б4 В3 Г7 2,5% ост 0,5-1,5%]]+ППД5[[#This Row],[Фикс 13.06.24]]</f>
        <v>97294.192159154321</v>
      </c>
      <c r="CC442" s="93"/>
      <c r="CD442" s="93">
        <f>ППД5[[#This Row],[Фикс 02.07.24]]+ППД5[[#This Row],[04.09.2024 +500
0К - Б2; 1К - А3;
2К - А6, Б4, В3, Г5]]</f>
        <v>97294.192159154321</v>
      </c>
      <c r="CE442" s="93">
        <f>ППД5[[#This Row],[Фикс 04.09.24]]*4%</f>
        <v>3891.7676863661727</v>
      </c>
      <c r="CF442" s="93">
        <f>ППД5[[#This Row],[Наценка 16.09.2024
1К: А1,В7,Г6/7,Г8 - 2%
2К: А4,А5,А6,Б1,Б6,Б3/4,В3,В4,Г4,Г5 - 4%
3К: 4%]]+ППД5[[#This Row],[Фикс 04.09.24]]</f>
        <v>101185.9598455205</v>
      </c>
      <c r="CG442" s="93">
        <f>ППД5[[#This Row],[Фикс 16.09.2024]]*6%</f>
        <v>6071.1575907312299</v>
      </c>
      <c r="CH442" s="93">
        <f>ППД5[[#This Row],[Фикс 16.09.2024]]+ППД5[[#This Row],[Наценка 01.11.24
СТ: 4%
1К: 34-40м 5%; 40м+ 8%; МГН 1%
2К: 55-70м 6%; 70-73м 7%; 73-76м 8% 
3К: 5%]]</f>
        <v>107257.11743625173</v>
      </c>
      <c r="CI442" s="93">
        <f>ППД5[[#This Row],[Фикс 01.11.24]]*13%</f>
        <v>13943.425266712726</v>
      </c>
      <c r="CJ442" s="93">
        <f>ППД5[[#This Row],[Наценка 06.11 13%]]+ППД5[[#This Row],[Фикс 01.11.24]]</f>
        <v>121200.54270296446</v>
      </c>
      <c r="CK442" s="93"/>
      <c r="CL442" s="93">
        <f>ППД5[[#This Row],[Фикс 06.11.24]]+ППД5[[#This Row],[Наценка 18.12.24 распределение КВ]]</f>
        <v>121200.54270296446</v>
      </c>
      <c r="CM442" s="93"/>
      <c r="CN442" s="93">
        <f>ППД5[[#This Row],[Фикс 18.12.24]]+ППД5[[#This Row],[Наценка 10.02.25 +1%
1К: А3
2К: Б3, В3]]</f>
        <v>121200.54270296446</v>
      </c>
      <c r="CO442" s="93">
        <f>ROUND(ППД5[[#This Row],[Фикс 10.02.25]],2)</f>
        <v>121200.54</v>
      </c>
      <c r="CP44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7058800</v>
      </c>
      <c r="CQ442" s="93">
        <f>ROUNDUP(ППД5[[#This Row],[Стоимость до скидки]]+ППД5[[#This Row],[Сумма доплаты]],-2)</f>
        <v>6993400</v>
      </c>
      <c r="CR442" s="68"/>
      <c r="CS442" s="90">
        <v>0.03</v>
      </c>
      <c r="CT442" s="68">
        <f>ППД5[[#This Row],[Стоимость до скидки]]*ППД5[[#This Row],[Скидка %]]+ППД5[[#This Row],[Скидка фиксированная]]</f>
        <v>211764</v>
      </c>
      <c r="CU442" s="3">
        <f>ППД5[[#This Row],[Стоимость ОН без отделки со скидкой]]/ППД5[[#This Row],[Расчетная проектная площадь]]</f>
        <v>117565.86538461538</v>
      </c>
      <c r="CV442" s="3">
        <f>ROUND(ППД5[[#This Row],[Стоимость до скидки]]-ППД5[[#This Row],[Итоговая сумма скидки]],2)</f>
        <v>6847036</v>
      </c>
      <c r="CW44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442" s="197">
        <v>8000</v>
      </c>
      <c r="CY442" s="332">
        <f>ППД5[[#This Row],[Расхождение]]/ППД5[[#This Row],[Расчетная проектная площадь]]</f>
        <v>-9.2719780219780064E-3</v>
      </c>
      <c r="CZ44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-8.0000000000000071E-2</v>
      </c>
      <c r="DA442" s="3">
        <f>ППД5[[#This Row],[Цена м2 без отделки со скидкой]]+ППД5[[#This Row],[Стоимость отделки]]</f>
        <v>125565.86538461538</v>
      </c>
      <c r="DB442" s="3">
        <f>ППД5[[#This Row],[Стоимость квартиры с отделкой]]-ППД5[[#This Row],[Стоимость ОН без отделки со скидкой]]</f>
        <v>465920</v>
      </c>
      <c r="DC442" s="3">
        <f>ППД5[[#This Row],[Цена м2 с отделкой]]*ППД5[[#This Row],[Расчетная проектная площадь]]</f>
        <v>7312956</v>
      </c>
      <c r="DD442" s="3"/>
      <c r="DE442" s="111" t="s">
        <v>162</v>
      </c>
      <c r="DF442" s="215" t="s">
        <v>172</v>
      </c>
      <c r="DG442" s="245" t="s">
        <v>172</v>
      </c>
      <c r="DH442" s="100" t="b">
        <f>EXACT(ППД5[[#This Row],[Статусы CRM]],ППД5[[#This Row],[Статус]])</f>
        <v>1</v>
      </c>
      <c r="DI442" s="213" t="s">
        <v>614</v>
      </c>
      <c r="DJ442" s="204"/>
      <c r="DK442" s="111" t="s">
        <v>763</v>
      </c>
      <c r="DL442" s="216" t="s">
        <v>780</v>
      </c>
      <c r="DM442" s="201" t="b">
        <f>ППД5[[#This Row],[Отделка CRM]]=ППД5[[#This Row],[Отделка]]</f>
        <v>1</v>
      </c>
      <c r="DN442" s="203">
        <v>7312956</v>
      </c>
      <c r="DO44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42" s="207" t="b">
        <f>IF(AND(ППД5[[#This Row],[Статус]]="свободно",ППД5[[#This Row],[Итоговая сумма скидки]]&lt;&gt;0),FALSE,TRUE)</f>
        <v>1</v>
      </c>
      <c r="DQ442" s="240">
        <f>_xlfn.XLOOKUP(ППД5[[#This Row],[№]],Юрист[№ кв],Юрист[Дата подачи на регистрацию]," ",0,-1)</f>
        <v>45616</v>
      </c>
      <c r="DR442" s="115" t="str">
        <f>_xlfn.XLOOKUP(ППД5[[#This Row],[№]],Юрист[№ кв],Юрист[МОП],"",0,-1)</f>
        <v>Никишов</v>
      </c>
      <c r="DS442" s="333" t="s">
        <v>3176</v>
      </c>
      <c r="DT442" s="333" t="s">
        <v>3177</v>
      </c>
      <c r="DU442" s="333">
        <v>56.4</v>
      </c>
      <c r="DV442" s="111"/>
    </row>
    <row r="443" spans="1:126" hidden="1" x14ac:dyDescent="0.25">
      <c r="A443" s="112">
        <v>441</v>
      </c>
      <c r="B443" s="111" t="s">
        <v>2</v>
      </c>
      <c r="C443" s="111">
        <v>7</v>
      </c>
      <c r="D443" s="115">
        <v>5</v>
      </c>
      <c r="E443" s="111">
        <v>2</v>
      </c>
      <c r="F443" s="105">
        <v>15.41</v>
      </c>
      <c r="G443" s="105">
        <v>12.78</v>
      </c>
      <c r="H443" s="105"/>
      <c r="I443" s="94">
        <f>SUM(ППД5[[#This Row],[Комната 1]:[Комната 3]])</f>
        <v>28.189999999999998</v>
      </c>
      <c r="J443" s="105">
        <v>13.45</v>
      </c>
      <c r="K443" s="105">
        <v>3.7</v>
      </c>
      <c r="L443" s="105">
        <v>2.72</v>
      </c>
      <c r="M443" s="105"/>
      <c r="N443" s="105">
        <v>8.2200000000000006</v>
      </c>
      <c r="O443" s="105">
        <v>3.03</v>
      </c>
      <c r="P443" s="105"/>
      <c r="Q443" s="105"/>
      <c r="R443" s="105">
        <f>SUM(ППД5[[#This Row],[Лоджия 1]:[Лоджия 3]])</f>
        <v>3.03</v>
      </c>
      <c r="S443" s="8">
        <f>ROUND(SUM(ППД5[[#This Row],[Площадь по проекту жилая]:[Лоджия 3]]),2)</f>
        <v>59.31</v>
      </c>
      <c r="T443" s="8">
        <f>ROUND(ППД5[[#This Row],[Площадь по проекту(общая)]]-ППД5[[#This Row],[Летние]],2)</f>
        <v>56.28</v>
      </c>
      <c r="U443" s="91">
        <f>ROUND(ППД5[[#This Row],[Площадь по проекту(общая)]]-(SUM(ППД5[[#This Row],[Лоджия 1]:[Лоджия 3]])/2),2)</f>
        <v>57.8</v>
      </c>
      <c r="V443" s="91">
        <f>IF(ППД5[[#This Row],[Статус]]="продажа",ППД5[[#This Row],[Расчетная проектная площадь]],ППД5[[#This Row],[Расчетная ТП площадь]])</f>
        <v>57.8</v>
      </c>
      <c r="W443" s="91">
        <v>12.5</v>
      </c>
      <c r="X443" s="91">
        <v>15.4</v>
      </c>
      <c r="Y443" s="91"/>
      <c r="Z443" s="91">
        <f>SUM(ППД5[[#This Row],[ТП Комната 1]:[ТП Комната 3]])</f>
        <v>27.9</v>
      </c>
      <c r="AA443" s="91">
        <v>13.6</v>
      </c>
      <c r="AB443" s="91">
        <v>2.7</v>
      </c>
      <c r="AC443" s="91">
        <v>3.7</v>
      </c>
      <c r="AD443" s="91"/>
      <c r="AE443" s="91">
        <v>8</v>
      </c>
      <c r="AF443" s="91">
        <v>1.5</v>
      </c>
      <c r="AG443" s="91"/>
      <c r="AH443" s="91"/>
      <c r="AI443" s="91">
        <f>SUM(ППД5[[#This Row],[ТП Лоджия 1]:[ТП Лоджия 3]])</f>
        <v>1.5</v>
      </c>
      <c r="AJ443" s="95">
        <v>3</v>
      </c>
      <c r="AK443" s="91">
        <f>SUM(ППД5[[#This Row],[Площадь по ТП жилая]:[ТП Лоджия 3]])-ППД5[[#This Row],[ТП Летние]]+ППД5[[#This Row],[кроме того прочая
(без коэффициента)]]</f>
        <v>58.900000000000006</v>
      </c>
      <c r="AL443" s="95">
        <f>ППД5[[#This Row],[ТП Площадь без летних]]+(ППД5[[#This Row],[ТП Летние]])</f>
        <v>57.400000000000006</v>
      </c>
      <c r="AM443" s="91">
        <f>ППД5[[#This Row],[ТП общая S]]-ППД5[[#This Row],[кроме того прочая
(без коэффициента)]]</f>
        <v>55.900000000000006</v>
      </c>
      <c r="AN443" s="95">
        <f>SUM(ППД5[[#This Row],[ТП Кухня]:[ТП Коридор]])</f>
        <v>28</v>
      </c>
      <c r="AO443" s="91">
        <f>ППД5[[#This Row],[Расчетная ТП площадь]]-ППД5[[#This Row],[Расчетная проектная площадь]]</f>
        <v>-0.39999999999999147</v>
      </c>
      <c r="AP443" s="335">
        <f>ППД5[[#This Row],[Расчетная ТП площадь]]/ППД5[[#This Row],[Расчетная проектная площадь]]-1</f>
        <v>-6.9204152249133788E-3</v>
      </c>
      <c r="AQ443" s="91">
        <f>ППД5[[#This Row],[% расхождения]]*ППД5[[#This Row],[Стоимость до скидки]]</f>
        <v>-38729.411764705234</v>
      </c>
      <c r="AR443" s="91">
        <f>VLOOKUP(ППД5[[#This Row],[№]],наценкад5[],COLUMN(наценкад5[[#This Row],[Цена м2 с учетом всех K]]),0)</f>
        <v>79149.577499999999</v>
      </c>
      <c r="AS443" s="8">
        <f>ППД5[[#This Row],[м2 после К]]*5%</f>
        <v>3957.4788750000002</v>
      </c>
      <c r="AT443" s="8">
        <f>ППД5[[#This Row],[м2 после К]]+ППД5[[#This Row],[Повышение 16.08.23 - 5%]]</f>
        <v>83107.056375</v>
      </c>
      <c r="AU443" s="93">
        <f>ППД5[[#This Row],[Фикс 16.08.23]]*3%</f>
        <v>2493.2116912500001</v>
      </c>
      <c r="AV443" s="93">
        <f>ППД5[[#This Row],[Фикс 16.08.23]]+ППД5[[#This Row],[Повышение 29.08.23 - 3%]]</f>
        <v>85600.268066250006</v>
      </c>
      <c r="AW443" s="93"/>
      <c r="AX443" s="93">
        <f>ППД5[[#This Row],[Фикс 29.08.23]]+ППД5[[#This Row],[Повышение 06.09.23 СТ и 1К]]</f>
        <v>85600.268066250006</v>
      </c>
      <c r="AY443" s="93"/>
      <c r="AZ443" s="93">
        <f>ППД5[[#This Row],[Повышение 23.10.23  В4 ]]+ППД5[[#This Row],[Фикс 06.09.23]]</f>
        <v>85600.268066250006</v>
      </c>
      <c r="BA443" s="93"/>
      <c r="BB443" s="93">
        <f>ППД5[[#This Row],[Повышение 8.11.23 1К 5%]]+ППД5[[#This Row],[Фикс 23.10.23]]</f>
        <v>85600.268066250006</v>
      </c>
      <c r="BC443" s="93"/>
      <c r="BD443" s="93">
        <f>ППД5[[#This Row],[Корректировка 24.11.23 - 1К В5, 2К А2, №233]]+ППД5[[#This Row],[Фикс 8.11.23]]</f>
        <v>85600.268066250006</v>
      </c>
      <c r="BE443" s="93">
        <f>ППД5[[#This Row],[Фикс 8.11.24]]*1%</f>
        <v>856.0026806625001</v>
      </c>
      <c r="BF443" s="93">
        <f>ППД5[[#This Row],[Наценка за отделку 29.12.23 1%]]+ППД5[[#This Row],[Фикс 8.11.24]]</f>
        <v>86456.270746912502</v>
      </c>
      <c r="BG443" s="93">
        <f>ППД5[[#This Row],[Фикс 29.12.23]]*5%</f>
        <v>4322.8135373456253</v>
      </c>
      <c r="BH443" s="93">
        <f>ППД5[[#This Row],[Фикс 29.12.23]]+ППД5[[#This Row],[Наценка 10.01.24 5%]]</f>
        <v>90779.084284258133</v>
      </c>
      <c r="BI443" s="93"/>
      <c r="BJ443" s="93">
        <f>ППД5[[#This Row],[Наценка 26.02.24 1 Этаж]]+ППД5[[#This Row],[Фикс 10.01.24]]</f>
        <v>90779.084284258133</v>
      </c>
      <c r="BK443" s="93">
        <f>ППД5[[#This Row],[Фикс 26.02.24]]*2%</f>
        <v>1815.5816856851627</v>
      </c>
      <c r="BL443" s="93">
        <f>ППД5[[#This Row],[Фикс 26.02.24]]+ППД5[[#This Row],[Наценка 06.03.24
СТ, 1К - 3%
2К, 3К - 2%]]</f>
        <v>92594.665969943293</v>
      </c>
      <c r="BM443" s="93"/>
      <c r="BN443" s="93">
        <f>ППД5[[#This Row],[Фикс 06.03.24]]+ППД5[[#This Row],[Наценка Г2+500]]</f>
        <v>92594.665969943293</v>
      </c>
      <c r="BO443" s="93">
        <f>ППД5[[#This Row],[Фикс 13.03.25]]*2%</f>
        <v>1851.893319398866</v>
      </c>
      <c r="BP443" s="93">
        <f>ППД5[[#This Row],[Фикс 13.03.25]]+ППД5[[#This Row],[Наценка 20.03.24
2К, 3К - 2%]]</f>
        <v>94446.559289342156</v>
      </c>
      <c r="BQ443" s="93"/>
      <c r="BR443" s="93">
        <f>ППД5[[#This Row],[Фикс 20.03.24]]+ППД5[[#This Row],[Наценка 08.04.24 
2К: В3 - 150
3К: Г7 +1000]]</f>
        <v>94446.559289342156</v>
      </c>
      <c r="BS443" s="93">
        <f>ППД5[[#This Row],[Фикс 08.04.24]]*1%</f>
        <v>944.46559289342156</v>
      </c>
      <c r="BT443" s="93">
        <f>ППД5[[#This Row],[Фикс 08.04.24]]+ППД5[[#This Row],[Наценка 16.05.24 1%
А4,А6,Б3,Б6,Б7,В2,В3,В5,В6,Г1,Г3-Г5]]</f>
        <v>95391.024882235579</v>
      </c>
      <c r="BU443" s="93"/>
      <c r="BV443" s="93">
        <f>ППД5[[#This Row],[Фикс 16.05.24]]+ППД5[[#This Row],[Наценка 24.05.24
1% - Б4, Б5,Г2,Г6
2% - А1,А3,А5,Б2,Г7]]</f>
        <v>95391.024882235579</v>
      </c>
      <c r="BW443" s="93"/>
      <c r="BX443" s="93">
        <f>ППД5[[#This Row],[Наценка 06.06.24
0К: В2,Г3 +0,5%
1К: А7, Б5/4, Г6 +0,5%
3К: В6 +0,5%
1К: А3 +1%]]+ППД5[[#This Row],[Фикс 24.05.24]]</f>
        <v>95391.024882235579</v>
      </c>
      <c r="BY443" s="93"/>
      <c r="BZ443" s="93">
        <f>ППД5[[#This Row],[Фикс 06.06.24]]+ППД5[[#This Row],[13.06.2024
3К - 2%]]</f>
        <v>95391.024882235579</v>
      </c>
      <c r="CA443" s="47">
        <f>1.5%*ППД5[[#This Row],[Фикс 13.06.24]]</f>
        <v>1430.8653732335335</v>
      </c>
      <c r="CB443" s="93">
        <f>ППД5[[#This Row],[02.07.2024: Г3 А1 А3 Б5 Б7 Г2 Г6 Б3 Б4 В3 Г7 2,5% ост 0,5-1,5%]]+ППД5[[#This Row],[Фикс 13.06.24]]</f>
        <v>96821.890255469116</v>
      </c>
      <c r="CC443" s="93"/>
      <c r="CD443" s="93">
        <f>ППД5[[#This Row],[Фикс 02.07.24]]+ППД5[[#This Row],[04.09.2024 +500
0К - Б2; 1К - А3;
2К - А6, Б4, В3, Г5]]</f>
        <v>96821.890255469116</v>
      </c>
      <c r="CE443" s="93"/>
      <c r="CF443" s="93">
        <f>ППД5[[#This Row],[Наценка 16.09.2024
1К: А1,В7,Г6/7,Г8 - 2%
2К: А4,А5,А6,Б1,Б6,Б3/4,В3,В4,Г4,Г5 - 4%
3К: 4%]]+ППД5[[#This Row],[Фикс 04.09.24]]</f>
        <v>96821.890255469116</v>
      </c>
      <c r="CG443" s="93"/>
      <c r="CH443" s="93">
        <f>ППД5[[#This Row],[Фикс 16.09.2024]]+ППД5[[#This Row],[Наценка 01.11.24
СТ: 4%
1К: 34-40м 5%; 40м+ 8%; МГН 1%
2К: 55-70м 6%; 70-73м 7%; 73-76м 8% 
3К: 5%]]</f>
        <v>96821.890255469116</v>
      </c>
      <c r="CI443" s="93"/>
      <c r="CJ443" s="93">
        <f>ППД5[[#This Row],[Наценка 06.11 13%]]+ППД5[[#This Row],[Фикс 01.11.24]]</f>
        <v>96821.890255469116</v>
      </c>
      <c r="CK443" s="93"/>
      <c r="CL443" s="93">
        <f>ППД5[[#This Row],[Фикс 06.11.24]]+ППД5[[#This Row],[Наценка 18.12.24 распределение КВ]]</f>
        <v>96821.890255469116</v>
      </c>
      <c r="CM443" s="93"/>
      <c r="CN443" s="93">
        <f>ППД5[[#This Row],[Фикс 18.12.24]]+ППД5[[#This Row],[Наценка 10.02.25 +1%
1К: А3
2К: Б3, В3]]</f>
        <v>96821.890255469116</v>
      </c>
      <c r="CO443" s="93">
        <f>ROUND(ППД5[[#This Row],[Фикс 10.02.25]],2)</f>
        <v>96821.89</v>
      </c>
      <c r="CP44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5596400</v>
      </c>
      <c r="CQ443" s="93">
        <f>ROUNDUP(ППД5[[#This Row],[Стоимость до скидки]]+ППД5[[#This Row],[Сумма доплаты]],-2)</f>
        <v>5557700</v>
      </c>
      <c r="CR443" s="68"/>
      <c r="CS443" s="90"/>
      <c r="CT443" s="68">
        <f>ППД5[[#This Row],[Стоимость до скидки]]*ППД5[[#This Row],[Скидка %]]+ППД5[[#This Row],[Скидка фиксированная]]</f>
        <v>0</v>
      </c>
      <c r="CU443" s="3">
        <f>ППД5[[#This Row],[Стоимость ОН без отделки со скидкой]]/ППД5[[#This Row],[Расчетная проектная площадь]]</f>
        <v>96823.529411764714</v>
      </c>
      <c r="CV443" s="3">
        <f>ROUND(ППД5[[#This Row],[Стоимость до скидки]]-ППД5[[#This Row],[Итоговая сумма скидки]],2)</f>
        <v>5596400</v>
      </c>
      <c r="CW44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443" s="197">
        <v>7000</v>
      </c>
      <c r="CY443" s="332">
        <f>ППД5[[#This Row],[Расхождение]]/ППД5[[#This Row],[Расчетная проектная площадь]]</f>
        <v>-6.9204152249133476E-3</v>
      </c>
      <c r="CZ44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-8.9999999999996305E-2</v>
      </c>
      <c r="DA443" s="3">
        <f>ППД5[[#This Row],[Цена м2 без отделки со скидкой]]+ППД5[[#This Row],[Стоимость отделки]]</f>
        <v>103823.52941176471</v>
      </c>
      <c r="DB443" s="3">
        <f>ППД5[[#This Row],[Стоимость квартиры с отделкой]]-ППД5[[#This Row],[Стоимость ОН без отделки со скидкой]]</f>
        <v>404600</v>
      </c>
      <c r="DC443" s="3">
        <f>ППД5[[#This Row],[Цена м2 с отделкой]]*ППД5[[#This Row],[Расчетная проектная площадь]]</f>
        <v>6001000</v>
      </c>
      <c r="DD443" s="3"/>
      <c r="DF443" s="199" t="s">
        <v>172</v>
      </c>
      <c r="DG443" s="245" t="s">
        <v>172</v>
      </c>
      <c r="DH443" s="100" t="b">
        <f>EXACT(ППД5[[#This Row],[Статусы CRM]],ППД5[[#This Row],[Статус]])</f>
        <v>1</v>
      </c>
      <c r="DI443" s="213" t="s">
        <v>615</v>
      </c>
      <c r="DJ443" s="204"/>
      <c r="DK443" s="111" t="s">
        <v>763</v>
      </c>
      <c r="DL443" s="216" t="s">
        <v>780</v>
      </c>
      <c r="DM443" s="201" t="b">
        <f>ППД5[[#This Row],[Отделка CRM]]=ППД5[[#This Row],[Отделка]]</f>
        <v>1</v>
      </c>
      <c r="DN443" s="203">
        <v>6001000</v>
      </c>
      <c r="DO44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43" s="207" t="b">
        <f>IF(AND(ППД5[[#This Row],[Статус]]="свободно",ППД5[[#This Row],[Итоговая сумма скидки]]&lt;&gt;0),FALSE,TRUE)</f>
        <v>1</v>
      </c>
      <c r="DQ443" s="240">
        <f>_xlfn.XLOOKUP(ППД5[[#This Row],[№]],Юрист[№ кв],Юрист[Дата подачи на регистрацию]," ",0,-1)</f>
        <v>45502</v>
      </c>
      <c r="DR443" s="115" t="str">
        <f>_xlfn.XLOOKUP(ППД5[[#This Row],[№]],Юрист[№ кв],Юрист[МОП],"",0,-1)</f>
        <v>Дик</v>
      </c>
      <c r="DS443" s="333" t="s">
        <v>3178</v>
      </c>
      <c r="DT443" s="333" t="s">
        <v>3179</v>
      </c>
      <c r="DU443" s="333">
        <v>55.9</v>
      </c>
      <c r="DV443" s="111"/>
    </row>
    <row r="444" spans="1:126" hidden="1" x14ac:dyDescent="0.25">
      <c r="A444" s="112">
        <v>442</v>
      </c>
      <c r="B444" s="111" t="s">
        <v>2</v>
      </c>
      <c r="C444" s="111">
        <v>7</v>
      </c>
      <c r="D444" s="115">
        <v>6</v>
      </c>
      <c r="E444" s="111">
        <v>1</v>
      </c>
      <c r="F444" s="105">
        <v>12.71</v>
      </c>
      <c r="G444" s="105"/>
      <c r="H444" s="105"/>
      <c r="I444" s="94">
        <f>SUM(ППД5[[#This Row],[Комната 1]:[Комната 3]])</f>
        <v>12.71</v>
      </c>
      <c r="J444" s="105">
        <v>12.55</v>
      </c>
      <c r="K444" s="105">
        <v>4.28</v>
      </c>
      <c r="L444" s="105"/>
      <c r="M444" s="105"/>
      <c r="N444" s="105">
        <v>7.34</v>
      </c>
      <c r="O444" s="105">
        <v>2.84</v>
      </c>
      <c r="P444" s="105"/>
      <c r="Q444" s="105"/>
      <c r="R444" s="105">
        <f>SUM(ППД5[[#This Row],[Лоджия 1]:[Лоджия 3]])</f>
        <v>2.84</v>
      </c>
      <c r="S444" s="8">
        <f>ROUND(SUM(ППД5[[#This Row],[Площадь по проекту жилая]:[Лоджия 3]]),2)</f>
        <v>39.72</v>
      </c>
      <c r="T444" s="8">
        <f>ROUND(ППД5[[#This Row],[Площадь по проекту(общая)]]-ППД5[[#This Row],[Летние]],2)</f>
        <v>36.880000000000003</v>
      </c>
      <c r="U444" s="91">
        <f>ROUND(ППД5[[#This Row],[Площадь по проекту(общая)]]-(SUM(ППД5[[#This Row],[Лоджия 1]:[Лоджия 3]])/2),2)</f>
        <v>38.299999999999997</v>
      </c>
      <c r="V444" s="91">
        <f>IF(ППД5[[#This Row],[Статус]]="продажа",ППД5[[#This Row],[Расчетная проектная площадь]],ППД5[[#This Row],[Расчетная ТП площадь]])</f>
        <v>38.299999999999997</v>
      </c>
      <c r="W444" s="91">
        <v>12.6</v>
      </c>
      <c r="X444" s="91"/>
      <c r="Y444" s="91"/>
      <c r="Z444" s="91">
        <f>SUM(ППД5[[#This Row],[ТП Комната 1]:[ТП Комната 3]])</f>
        <v>12.6</v>
      </c>
      <c r="AA444" s="91">
        <v>12.5</v>
      </c>
      <c r="AB444" s="91">
        <v>4.0999999999999996</v>
      </c>
      <c r="AC444" s="91"/>
      <c r="AD444" s="91"/>
      <c r="AE444" s="91">
        <v>7.3</v>
      </c>
      <c r="AF444" s="91">
        <v>1.35</v>
      </c>
      <c r="AG444" s="91"/>
      <c r="AH444" s="91"/>
      <c r="AI444" s="91">
        <f>SUM(ППД5[[#This Row],[ТП Лоджия 1]:[ТП Лоджия 3]])</f>
        <v>1.35</v>
      </c>
      <c r="AJ444" s="95">
        <v>2.7</v>
      </c>
      <c r="AK444" s="91">
        <f>SUM(ППД5[[#This Row],[Площадь по ТП жилая]:[ТП Лоджия 3]])-ППД5[[#This Row],[ТП Летние]]+ППД5[[#This Row],[кроме того прочая
(без коэффициента)]]</f>
        <v>39.200000000000003</v>
      </c>
      <c r="AL444" s="95">
        <f>ППД5[[#This Row],[ТП Площадь без летних]]+(ППД5[[#This Row],[ТП Летние]])</f>
        <v>37.85</v>
      </c>
      <c r="AM444" s="91">
        <f>ППД5[[#This Row],[ТП общая S]]-ППД5[[#This Row],[кроме того прочая
(без коэффициента)]]</f>
        <v>36.5</v>
      </c>
      <c r="AN444" s="95">
        <f>SUM(ППД5[[#This Row],[ТП Кухня]:[ТП Коридор]])</f>
        <v>23.900000000000002</v>
      </c>
      <c r="AO444" s="91">
        <f>ППД5[[#This Row],[Расчетная ТП площадь]]-ППД5[[#This Row],[Расчетная проектная площадь]]</f>
        <v>-0.44999999999999574</v>
      </c>
      <c r="AP444" s="335">
        <f>ППД5[[#This Row],[Расчетная ТП площадь]]/ППД5[[#This Row],[Расчетная проектная площадь]]-1</f>
        <v>-1.1749347258485532E-2</v>
      </c>
      <c r="AQ444" s="91">
        <f>ППД5[[#This Row],[% расхождения]]*ППД5[[#This Row],[Стоимость до скидки]]</f>
        <v>-47949.086161879459</v>
      </c>
      <c r="AR444" s="91">
        <f>VLOOKUP(ППД5[[#This Row],[№]],наценкад5[],COLUMN(наценкад5[[#This Row],[Цена м2 с учетом всех K]]),0)</f>
        <v>87601.5</v>
      </c>
      <c r="AS444" s="8">
        <f>ППД5[[#This Row],[м2 после К]]*5%</f>
        <v>4380.0749999999998</v>
      </c>
      <c r="AT444" s="8">
        <f>ППД5[[#This Row],[м2 после К]]+ППД5[[#This Row],[Повышение 16.08.23 - 5%]]</f>
        <v>91981.574999999997</v>
      </c>
      <c r="AU444" s="93">
        <f>ППД5[[#This Row],[Фикс 16.08.23]]*3%</f>
        <v>2759.4472499999997</v>
      </c>
      <c r="AV444" s="93">
        <f>ППД5[[#This Row],[Фикс 16.08.23]]+ППД5[[#This Row],[Повышение 29.08.23 - 3%]]</f>
        <v>94741.022249999995</v>
      </c>
      <c r="AW444" s="93">
        <f>ППД5[[#This Row],[Фикс 29.08.23]]*1%</f>
        <v>947.41022249999992</v>
      </c>
      <c r="AX444" s="93">
        <f>ППД5[[#This Row],[Фикс 29.08.23]]+ППД5[[#This Row],[Повышение 06.09.23 СТ и 1К]]</f>
        <v>95688.43247249999</v>
      </c>
      <c r="AY444" s="93"/>
      <c r="AZ444" s="93">
        <f>ППД5[[#This Row],[Повышение 23.10.23  В4 ]]+ППД5[[#This Row],[Фикс 06.09.23]]</f>
        <v>95688.43247249999</v>
      </c>
      <c r="BA444" s="93">
        <f>ППД5[[#This Row],[Фикс 23.10.23]]*5%</f>
        <v>4784.4216236249995</v>
      </c>
      <c r="BB444" s="93">
        <f>ППД5[[#This Row],[Повышение 8.11.23 1К 5%]]+ППД5[[#This Row],[Фикс 23.10.23]]</f>
        <v>100472.854096125</v>
      </c>
      <c r="BC444" s="93"/>
      <c r="BD444" s="93">
        <f>ППД5[[#This Row],[Корректировка 24.11.23 - 1К В5, 2К А2, №233]]+ППД5[[#This Row],[Фикс 8.11.23]]</f>
        <v>100472.854096125</v>
      </c>
      <c r="BE444" s="93">
        <f>ППД5[[#This Row],[Фикс 8.11.24]]*1%</f>
        <v>1004.72854096125</v>
      </c>
      <c r="BF444" s="93">
        <f>ППД5[[#This Row],[Наценка за отделку 29.12.23 1%]]+ППД5[[#This Row],[Фикс 8.11.24]]</f>
        <v>101477.58263708625</v>
      </c>
      <c r="BG444" s="93">
        <f>ППД5[[#This Row],[Фикс 29.12.23]]*5%</f>
        <v>5073.8791318543126</v>
      </c>
      <c r="BH444" s="93">
        <f>ППД5[[#This Row],[Фикс 29.12.23]]+ППД5[[#This Row],[Наценка 10.01.24 5%]]</f>
        <v>106551.46176894056</v>
      </c>
      <c r="BI444" s="93"/>
      <c r="BJ444" s="93">
        <f>ППД5[[#This Row],[Наценка 26.02.24 1 Этаж]]+ППД5[[#This Row],[Фикс 10.01.24]]</f>
        <v>106551.46176894056</v>
      </c>
      <c r="BK444" s="93"/>
      <c r="BL444" s="93">
        <f>ППД5[[#This Row],[Фикс 26.02.24]]+ППД5[[#This Row],[Наценка 06.03.24
СТ, 1К - 3%
2К, 3К - 2%]]</f>
        <v>106551.46176894056</v>
      </c>
      <c r="BM444" s="93"/>
      <c r="BN444" s="93">
        <f>ППД5[[#This Row],[Фикс 06.03.24]]+ППД5[[#This Row],[Наценка Г2+500]]</f>
        <v>106551.46176894056</v>
      </c>
      <c r="BO444" s="93"/>
      <c r="BP444" s="93">
        <f>ППД5[[#This Row],[Фикс 13.03.25]]+ППД5[[#This Row],[Наценка 20.03.24
2К, 3К - 2%]]</f>
        <v>106551.46176894056</v>
      </c>
      <c r="BQ444" s="93"/>
      <c r="BR444" s="93">
        <f>ППД5[[#This Row],[Фикс 20.03.24]]+ППД5[[#This Row],[Наценка 08.04.24 
2К: В3 - 150
3К: Г7 +1000]]</f>
        <v>106551.46176894056</v>
      </c>
      <c r="BS444" s="93"/>
      <c r="BT444" s="93">
        <f>ППД5[[#This Row],[Фикс 08.04.24]]+ППД5[[#This Row],[Наценка 16.05.24 1%
А4,А6,Б3,Б6,Б7,В2,В3,В5,В6,Г1,Г3-Г5]]</f>
        <v>106551.46176894056</v>
      </c>
      <c r="BU444" s="93"/>
      <c r="BV444" s="93">
        <f>ППД5[[#This Row],[Фикс 16.05.24]]+ППД5[[#This Row],[Наценка 24.05.24
1% - Б4, Б5,Г2,Г6
2% - А1,А3,А5,Б2,Г7]]</f>
        <v>106551.46176894056</v>
      </c>
      <c r="BW444" s="93"/>
      <c r="BX444" s="93">
        <f>ППД5[[#This Row],[Наценка 06.06.24
0К: В2,Г3 +0,5%
1К: А7, Б5/4, Г6 +0,5%
3К: В6 +0,5%
1К: А3 +1%]]+ППД5[[#This Row],[Фикс 24.05.24]]</f>
        <v>106551.46176894056</v>
      </c>
      <c r="BY444" s="93"/>
      <c r="BZ444" s="93">
        <f>ППД5[[#This Row],[Фикс 06.06.24]]+ППД5[[#This Row],[13.06.2024
3К - 2%]]</f>
        <v>106551.46176894056</v>
      </c>
      <c r="CA444" s="93"/>
      <c r="CB444" s="93">
        <f>ППД5[[#This Row],[02.07.2024: Г3 А1 А3 Б5 Б7 Г2 Г6 Б3 Б4 В3 Г7 2,5% ост 0,5-1,5%]]+ППД5[[#This Row],[Фикс 13.06.24]]</f>
        <v>106551.46176894056</v>
      </c>
      <c r="CC444" s="93"/>
      <c r="CD444" s="93">
        <f>ППД5[[#This Row],[Фикс 02.07.24]]+ППД5[[#This Row],[04.09.2024 +500
0К - Б2; 1К - А3;
2К - А6, Б4, В3, Г5]]</f>
        <v>106551.46176894056</v>
      </c>
      <c r="CE444" s="93"/>
      <c r="CF444" s="93">
        <f>ППД5[[#This Row],[Наценка 16.09.2024
1К: А1,В7,Г6/7,Г8 - 2%
2К: А4,А5,А6,Б1,Б6,Б3/4,В3,В4,Г4,Г5 - 4%
3К: 4%]]+ППД5[[#This Row],[Фикс 04.09.24]]</f>
        <v>106551.46176894056</v>
      </c>
      <c r="CG444" s="93"/>
      <c r="CH444" s="93">
        <f>ППД5[[#This Row],[Фикс 16.09.2024]]+ППД5[[#This Row],[Наценка 01.11.24
СТ: 4%
1К: 34-40м 5%; 40м+ 8%; МГН 1%
2К: 55-70м 6%; 70-73м 7%; 73-76м 8% 
3К: 5%]]</f>
        <v>106551.46176894056</v>
      </c>
      <c r="CI444" s="93"/>
      <c r="CJ444" s="93">
        <f>ППД5[[#This Row],[Наценка 06.11 13%]]+ППД5[[#This Row],[Фикс 01.11.24]]</f>
        <v>106551.46176894056</v>
      </c>
      <c r="CK444" s="93"/>
      <c r="CL444" s="93">
        <f>ППД5[[#This Row],[Фикс 06.11.24]]+ППД5[[#This Row],[Наценка 18.12.24 распределение КВ]]</f>
        <v>106551.46176894056</v>
      </c>
      <c r="CM444" s="93"/>
      <c r="CN444" s="93">
        <f>ППД5[[#This Row],[Фикс 18.12.24]]+ППД5[[#This Row],[Наценка 10.02.25 +1%
1К: А3
2К: Б3, В3]]</f>
        <v>106551.46176894056</v>
      </c>
      <c r="CO444" s="93">
        <f>ROUND(ППД5[[#This Row],[Фикс 10.02.25]],2)</f>
        <v>106551.46</v>
      </c>
      <c r="CP44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4081000</v>
      </c>
      <c r="CQ444" s="93">
        <f>ROUNDUP(ППД5[[#This Row],[Стоимость до скидки]]+ППД5[[#This Row],[Сумма доплаты]],-2)</f>
        <v>4033100</v>
      </c>
      <c r="CR444" s="68"/>
      <c r="CS444" s="90"/>
      <c r="CT444" s="68">
        <f>ППД5[[#This Row],[Стоимость до скидки]]*ППД5[[#This Row],[Скидка %]]+ППД5[[#This Row],[Скидка фиксированная]]</f>
        <v>0</v>
      </c>
      <c r="CU444" s="3">
        <f>ППД5[[#This Row],[Стоимость ОН без отделки со скидкой]]/ППД5[[#This Row],[Расчетная проектная площадь]]</f>
        <v>106553.52480417755</v>
      </c>
      <c r="CV444" s="3">
        <f>ROUND(ППД5[[#This Row],[Стоимость до скидки]]-ППД5[[#This Row],[Итоговая сумма скидки]],2)</f>
        <v>4081000</v>
      </c>
      <c r="CW44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444" s="197">
        <v>7000</v>
      </c>
      <c r="CY444" s="332">
        <f>ППД5[[#This Row],[Расхождение]]/ППД5[[#This Row],[Расчетная проектная площадь]]</f>
        <v>-1.1749347258485528E-2</v>
      </c>
      <c r="CZ44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-0.26999999999999957</v>
      </c>
      <c r="DA444" s="3">
        <f>ППД5[[#This Row],[Цена м2 без отделки со скидкой]]+ППД5[[#This Row],[Стоимость отделки]]</f>
        <v>113553.52480417755</v>
      </c>
      <c r="DB444" s="3">
        <f>ППД5[[#This Row],[Стоимость квартиры с отделкой]]-ППД5[[#This Row],[Стоимость ОН без отделки со скидкой]]</f>
        <v>268100</v>
      </c>
      <c r="DC444" s="3">
        <f>ППД5[[#This Row],[Цена м2 с отделкой]]*ППД5[[#This Row],[Расчетная проектная площадь]]</f>
        <v>4349100</v>
      </c>
      <c r="DD444" s="3"/>
      <c r="DF444" s="199" t="s">
        <v>172</v>
      </c>
      <c r="DG444" s="245" t="s">
        <v>172</v>
      </c>
      <c r="DH444" s="100" t="b">
        <f>EXACT(ППД5[[#This Row],[Статусы CRM]],ППД5[[#This Row],[Статус]])</f>
        <v>1</v>
      </c>
      <c r="DI444" s="213" t="s">
        <v>616</v>
      </c>
      <c r="DJ444" s="204"/>
      <c r="DK444" s="111" t="s">
        <v>763</v>
      </c>
      <c r="DL444" s="216" t="s">
        <v>780</v>
      </c>
      <c r="DM444" s="201" t="b">
        <f>ППД5[[#This Row],[Отделка CRM]]=ППД5[[#This Row],[Отделка]]</f>
        <v>1</v>
      </c>
      <c r="DN444" s="203">
        <v>4349100</v>
      </c>
      <c r="DO44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44" s="207" t="b">
        <f>IF(AND(ППД5[[#This Row],[Статус]]="свободно",ППД5[[#This Row],[Итоговая сумма скидки]]&lt;&gt;0),FALSE,TRUE)</f>
        <v>1</v>
      </c>
      <c r="DQ444" s="240">
        <f>_xlfn.XLOOKUP(ППД5[[#This Row],[№]],Юрист[№ кв],Юрист[Дата подачи на регистрацию]," ",0,-1)</f>
        <v>45351</v>
      </c>
      <c r="DR444" s="115" t="str">
        <f>_xlfn.XLOOKUP(ППД5[[#This Row],[№]],Юрист[№ кв],Юрист[МОП],"",0,-1)</f>
        <v>Полехович</v>
      </c>
      <c r="DS444" s="333" t="s">
        <v>3180</v>
      </c>
      <c r="DT444" s="333" t="s">
        <v>3181</v>
      </c>
      <c r="DU444" s="333">
        <v>36.5</v>
      </c>
      <c r="DV444" s="111"/>
    </row>
    <row r="445" spans="1:126" hidden="1" x14ac:dyDescent="0.25">
      <c r="A445" s="112">
        <v>443</v>
      </c>
      <c r="B445" s="111" t="s">
        <v>2</v>
      </c>
      <c r="C445" s="111">
        <v>7</v>
      </c>
      <c r="D445" s="115">
        <v>7</v>
      </c>
      <c r="E445" s="111">
        <v>3</v>
      </c>
      <c r="F445" s="105">
        <v>14.49</v>
      </c>
      <c r="G445" s="105">
        <v>13.98</v>
      </c>
      <c r="H445" s="105">
        <v>11.42</v>
      </c>
      <c r="I445" s="94">
        <f>SUM(ППД5[[#This Row],[Комната 1]:[Комната 3]])</f>
        <v>39.89</v>
      </c>
      <c r="J445" s="105">
        <v>16.670000000000002</v>
      </c>
      <c r="K445" s="105">
        <v>4.1399999999999997</v>
      </c>
      <c r="L445" s="105">
        <v>1.89</v>
      </c>
      <c r="M445" s="105"/>
      <c r="N445" s="105">
        <v>11.31</v>
      </c>
      <c r="O445" s="105">
        <v>2.86</v>
      </c>
      <c r="P445" s="105">
        <v>2.79</v>
      </c>
      <c r="Q445" s="105">
        <v>5.42</v>
      </c>
      <c r="R445" s="105">
        <f>SUM(ППД5[[#This Row],[Лоджия 1]:[Лоджия 3]])</f>
        <v>11.07</v>
      </c>
      <c r="S445" s="8">
        <f>ROUND(SUM(ППД5[[#This Row],[Площадь по проекту жилая]:[Лоджия 3]]),2)</f>
        <v>84.97</v>
      </c>
      <c r="T445" s="8">
        <f>ROUND(ППД5[[#This Row],[Площадь по проекту(общая)]]-ППД5[[#This Row],[Летние]],2)</f>
        <v>73.900000000000006</v>
      </c>
      <c r="U445" s="91">
        <f>ROUND(ППД5[[#This Row],[Площадь по проекту(общая)]]-(SUM(ППД5[[#This Row],[Лоджия 1]:[Лоджия 3]])/2),2)</f>
        <v>79.44</v>
      </c>
      <c r="V445" s="91">
        <f>IF(ППД5[[#This Row],[Статус]]="продажа",ППД5[[#This Row],[Расчетная проектная площадь]],ППД5[[#This Row],[Расчетная ТП площадь]])</f>
        <v>79.44</v>
      </c>
      <c r="W445" s="91">
        <v>11.4</v>
      </c>
      <c r="X445" s="91">
        <v>14.4</v>
      </c>
      <c r="Y445" s="91">
        <v>13.9</v>
      </c>
      <c r="Z445" s="91">
        <f>SUM(ППД5[[#This Row],[ТП Комната 1]:[ТП Комната 3]])</f>
        <v>39.700000000000003</v>
      </c>
      <c r="AA445" s="91">
        <v>16.399999999999999</v>
      </c>
      <c r="AB445" s="91">
        <v>1.9</v>
      </c>
      <c r="AC445" s="91">
        <v>4</v>
      </c>
      <c r="AD445" s="91"/>
      <c r="AE445" s="91">
        <v>11</v>
      </c>
      <c r="AF445" s="91">
        <v>1.4</v>
      </c>
      <c r="AG445" s="91">
        <v>2.65</v>
      </c>
      <c r="AH445" s="91">
        <v>1.35</v>
      </c>
      <c r="AI445" s="91">
        <f>SUM(ППД5[[#This Row],[ТП Лоджия 1]:[ТП Лоджия 3]])</f>
        <v>5.4</v>
      </c>
      <c r="AJ445" s="95">
        <v>10.8</v>
      </c>
      <c r="AK445" s="91">
        <f>SUM(ППД5[[#This Row],[Площадь по ТП жилая]:[ТП Лоджия 3]])-ППД5[[#This Row],[ТП Летние]]+ППД5[[#This Row],[кроме того прочая
(без коэффициента)]]</f>
        <v>83.8</v>
      </c>
      <c r="AL445" s="95">
        <f>ППД5[[#This Row],[ТП Площадь без летних]]+(ППД5[[#This Row],[ТП Летние]])</f>
        <v>78.400000000000006</v>
      </c>
      <c r="AM445" s="91">
        <f>ППД5[[#This Row],[ТП общая S]]-ППД5[[#This Row],[кроме того прочая
(без коэффициента)]]</f>
        <v>73</v>
      </c>
      <c r="AN445" s="95">
        <f>SUM(ППД5[[#This Row],[ТП Кухня]:[ТП Коридор]])</f>
        <v>33.299999999999997</v>
      </c>
      <c r="AO445" s="91">
        <f>ППД5[[#This Row],[Расчетная ТП площадь]]-ППД5[[#This Row],[Расчетная проектная площадь]]</f>
        <v>-1.039999999999992</v>
      </c>
      <c r="AP445" s="335">
        <f>ППД5[[#This Row],[Расчетная ТП площадь]]/ППД5[[#This Row],[Расчетная проектная площадь]]-1</f>
        <v>-1.3091641490432959E-2</v>
      </c>
      <c r="AQ445" s="91">
        <f>ППД5[[#This Row],[% расхождения]]*ППД5[[#This Row],[Стоимость до скидки]]</f>
        <v>-94782.175226585576</v>
      </c>
      <c r="AR445" s="91">
        <f>VLOOKUP(ППД5[[#This Row],[№]],наценкад5[],COLUMN(наценкад5[[#This Row],[Цена м2 с учетом всех K]]),0)</f>
        <v>76375.530000000013</v>
      </c>
      <c r="AS445" s="8">
        <f>ППД5[[#This Row],[м2 после К]]*5%</f>
        <v>3818.7765000000009</v>
      </c>
      <c r="AT445" s="8">
        <f>ППД5[[#This Row],[м2 после К]]+ППД5[[#This Row],[Повышение 16.08.23 - 5%]]</f>
        <v>80194.306500000021</v>
      </c>
      <c r="AU445" s="93">
        <f>ППД5[[#This Row],[Фикс 16.08.23]]*3%</f>
        <v>2405.8291950000007</v>
      </c>
      <c r="AV445" s="93">
        <f>ППД5[[#This Row],[Фикс 16.08.23]]+ППД5[[#This Row],[Повышение 29.08.23 - 3%]]</f>
        <v>82600.135695000019</v>
      </c>
      <c r="AW445" s="93"/>
      <c r="AX445" s="93">
        <f>ППД5[[#This Row],[Фикс 29.08.23]]+ППД5[[#This Row],[Повышение 06.09.23 СТ и 1К]]</f>
        <v>82600.135695000019</v>
      </c>
      <c r="AY445" s="93"/>
      <c r="AZ445" s="93">
        <f>ППД5[[#This Row],[Повышение 23.10.23  В4 ]]+ППД5[[#This Row],[Фикс 06.09.23]]</f>
        <v>82600.135695000019</v>
      </c>
      <c r="BA445" s="93"/>
      <c r="BB445" s="93">
        <f>ППД5[[#This Row],[Повышение 8.11.23 1К 5%]]+ППД5[[#This Row],[Фикс 23.10.23]]</f>
        <v>82600.135695000019</v>
      </c>
      <c r="BC445" s="93"/>
      <c r="BD445" s="93">
        <f>ППД5[[#This Row],[Корректировка 24.11.23 - 1К В5, 2К А2, №233]]+ППД5[[#This Row],[Фикс 8.11.23]]</f>
        <v>82600.135695000019</v>
      </c>
      <c r="BE445" s="93">
        <f>ППД5[[#This Row],[Фикс 8.11.24]]*1%</f>
        <v>826.00135695000017</v>
      </c>
      <c r="BF445" s="93">
        <f>ППД5[[#This Row],[Наценка за отделку 29.12.23 1%]]+ППД5[[#This Row],[Фикс 8.11.24]]</f>
        <v>83426.13705195002</v>
      </c>
      <c r="BG445" s="93">
        <f>ППД5[[#This Row],[Фикс 29.12.23]]*5%</f>
        <v>4171.3068525975013</v>
      </c>
      <c r="BH445" s="93">
        <f>ППД5[[#This Row],[Фикс 29.12.23]]+ППД5[[#This Row],[Наценка 10.01.24 5%]]</f>
        <v>87597.443904547516</v>
      </c>
      <c r="BI445" s="93"/>
      <c r="BJ445" s="93">
        <f>ППД5[[#This Row],[Наценка 26.02.24 1 Этаж]]+ППД5[[#This Row],[Фикс 10.01.24]]</f>
        <v>87597.443904547516</v>
      </c>
      <c r="BK445" s="93">
        <f>ППД5[[#This Row],[Фикс 26.02.24]]*2%</f>
        <v>1751.9488780909503</v>
      </c>
      <c r="BL445" s="93">
        <f>ППД5[[#This Row],[Фикс 26.02.24]]+ППД5[[#This Row],[Наценка 06.03.24
СТ, 1К - 3%
2К, 3К - 2%]]</f>
        <v>89349.392782638461</v>
      </c>
      <c r="BM445" s="93"/>
      <c r="BN445" s="93">
        <f>ППД5[[#This Row],[Фикс 06.03.24]]+ППД5[[#This Row],[Наценка Г2+500]]</f>
        <v>89349.392782638461</v>
      </c>
      <c r="BO445" s="93">
        <f>ППД5[[#This Row],[Фикс 13.03.25]]*2%</f>
        <v>1786.9878556527692</v>
      </c>
      <c r="BP445" s="93">
        <f>ППД5[[#This Row],[Фикс 13.03.25]]+ППД5[[#This Row],[Наценка 20.03.24
2К, 3К - 2%]]</f>
        <v>91136.38063829123</v>
      </c>
      <c r="BQ445" s="93"/>
      <c r="BR445" s="93">
        <f>ППД5[[#This Row],[Фикс 20.03.24]]+ППД5[[#This Row],[Наценка 08.04.24 
2К: В3 - 150
3К: Г7 +1000]]</f>
        <v>91136.38063829123</v>
      </c>
      <c r="BS445" s="93"/>
      <c r="BT445" s="93">
        <f>ППД5[[#This Row],[Фикс 08.04.24]]+ППД5[[#This Row],[Наценка 16.05.24 1%
А4,А6,Б3,Б6,Б7,В2,В3,В5,В6,Г1,Г3-Г5]]</f>
        <v>91136.38063829123</v>
      </c>
      <c r="BU445" s="93"/>
      <c r="BV445" s="93">
        <f>ППД5[[#This Row],[Фикс 16.05.24]]+ППД5[[#This Row],[Наценка 24.05.24
1% - Б4, Б5,Г2,Г6
2% - А1,А3,А5,Б2,Г7]]</f>
        <v>91136.38063829123</v>
      </c>
      <c r="BW445" s="93"/>
      <c r="BX445" s="93">
        <f>ППД5[[#This Row],[Наценка 06.06.24
0К: В2,Г3 +0,5%
1К: А7, Б5/4, Г6 +0,5%
3К: В6 +0,5%
1К: А3 +1%]]+ППД5[[#This Row],[Фикс 24.05.24]]</f>
        <v>91136.38063829123</v>
      </c>
      <c r="BY445" s="93"/>
      <c r="BZ445" s="93">
        <f>ППД5[[#This Row],[Фикс 06.06.24]]+ППД5[[#This Row],[13.06.2024
3К - 2%]]</f>
        <v>91136.38063829123</v>
      </c>
      <c r="CA445" s="93"/>
      <c r="CB445" s="93">
        <f>ППД5[[#This Row],[02.07.2024: Г3 А1 А3 Б5 Б7 Г2 Г6 Б3 Б4 В3 Г7 2,5% ост 0,5-1,5%]]+ППД5[[#This Row],[Фикс 13.06.24]]</f>
        <v>91136.38063829123</v>
      </c>
      <c r="CC445" s="93"/>
      <c r="CD445" s="93">
        <f>ППД5[[#This Row],[Фикс 02.07.24]]+ППД5[[#This Row],[04.09.2024 +500
0К - Б2; 1К - А3;
2К - А6, Б4, В3, Г5]]</f>
        <v>91136.38063829123</v>
      </c>
      <c r="CE445" s="93"/>
      <c r="CF445" s="93">
        <f>ППД5[[#This Row],[Наценка 16.09.2024
1К: А1,В7,Г6/7,Г8 - 2%
2К: А4,А5,А6,Б1,Б6,Б3/4,В3,В4,Г4,Г5 - 4%
3К: 4%]]+ППД5[[#This Row],[Фикс 04.09.24]]</f>
        <v>91136.38063829123</v>
      </c>
      <c r="CG445" s="93"/>
      <c r="CH445" s="93">
        <f>ППД5[[#This Row],[Фикс 16.09.2024]]+ППД5[[#This Row],[Наценка 01.11.24
СТ: 4%
1К: 34-40м 5%; 40м+ 8%; МГН 1%
2К: 55-70м 6%; 70-73м 7%; 73-76м 8% 
3К: 5%]]</f>
        <v>91136.38063829123</v>
      </c>
      <c r="CI445" s="93"/>
      <c r="CJ445" s="93">
        <f>ППД5[[#This Row],[Наценка 06.11 13%]]+ППД5[[#This Row],[Фикс 01.11.24]]</f>
        <v>91136.38063829123</v>
      </c>
      <c r="CK445" s="93"/>
      <c r="CL445" s="93">
        <f>ППД5[[#This Row],[Фикс 06.11.24]]+ППД5[[#This Row],[Наценка 18.12.24 распределение КВ]]</f>
        <v>91136.38063829123</v>
      </c>
      <c r="CM445" s="93"/>
      <c r="CN445" s="93">
        <f>ППД5[[#This Row],[Фикс 18.12.24]]+ППД5[[#This Row],[Наценка 10.02.25 +1%
1К: А3
2К: Б3, В3]]</f>
        <v>91136.38063829123</v>
      </c>
      <c r="CO445" s="93">
        <f>ROUND(ППД5[[#This Row],[Фикс 10.02.25]],2)</f>
        <v>91136.38</v>
      </c>
      <c r="CP44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7239900</v>
      </c>
      <c r="CQ445" s="93">
        <f>ROUNDUP(ППД5[[#This Row],[Стоимость до скидки]]+ППД5[[#This Row],[Сумма доплаты]],-2)</f>
        <v>7145200</v>
      </c>
      <c r="CR445" s="68">
        <v>90000</v>
      </c>
      <c r="CS445" s="90"/>
      <c r="CT445" s="68">
        <f>ППД5[[#This Row],[Стоимость до скидки]]*ППД5[[#This Row],[Скидка %]]+ППД5[[#This Row],[Скидка фиксированная]]</f>
        <v>90000</v>
      </c>
      <c r="CU445" s="3">
        <f>ППД5[[#This Row],[Стоимость ОН без отделки со скидкой]]/ППД5[[#This Row],[Расчетная проектная площадь]]</f>
        <v>90003.776435045322</v>
      </c>
      <c r="CV445" s="3">
        <f>ROUND(ППД5[[#This Row],[Стоимость до скидки]]-ППД5[[#This Row],[Итоговая сумма скидки]],2)</f>
        <v>7149900</v>
      </c>
      <c r="CW44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45" s="197">
        <v>20000</v>
      </c>
      <c r="CY445" s="332">
        <f>ППД5[[#This Row],[Расхождение]]/ППД5[[#This Row],[Расчетная проектная площадь]]</f>
        <v>-1.3091641490432931E-2</v>
      </c>
      <c r="CZ44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-0.71000000000000796</v>
      </c>
      <c r="DA445" s="3">
        <f>ППД5[[#This Row],[Цена м2 без отделки со скидкой]]+ППД5[[#This Row],[Стоимость отделки]]</f>
        <v>110003.77643504532</v>
      </c>
      <c r="DB445" s="3">
        <f>ППД5[[#This Row],[Стоимость квартиры с отделкой]]-ППД5[[#This Row],[Стоимость ОН без отделки со скидкой]]</f>
        <v>1588800</v>
      </c>
      <c r="DC445" s="3">
        <f>ППД5[[#This Row],[Цена м2 с отделкой]]*ППД5[[#This Row],[Расчетная проектная площадь]]</f>
        <v>8738700</v>
      </c>
      <c r="DD445" s="3" t="s">
        <v>155</v>
      </c>
      <c r="DE445" s="111" t="s">
        <v>791</v>
      </c>
      <c r="DF445" s="199" t="s">
        <v>172</v>
      </c>
      <c r="DG445" s="245" t="s">
        <v>172</v>
      </c>
      <c r="DH445" s="100" t="b">
        <f>EXACT(ППД5[[#This Row],[Статусы CRM]],ППД5[[#This Row],[Статус]])</f>
        <v>1</v>
      </c>
      <c r="DI445" s="213" t="s">
        <v>617</v>
      </c>
      <c r="DJ445" s="204"/>
      <c r="DK445" s="111" t="s">
        <v>763</v>
      </c>
      <c r="DL445" s="216" t="s">
        <v>14</v>
      </c>
      <c r="DM445" s="201" t="b">
        <f>ППД5[[#This Row],[Отделка CRM]]=ППД5[[#This Row],[Отделка]]</f>
        <v>1</v>
      </c>
      <c r="DN445" s="203">
        <v>8738700</v>
      </c>
      <c r="DO44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45" s="207" t="b">
        <f>IF(AND(ППД5[[#This Row],[Статус]]="свободно",ППД5[[#This Row],[Итоговая сумма скидки]]&lt;&gt;0),FALSE,TRUE)</f>
        <v>1</v>
      </c>
      <c r="DQ445" s="240">
        <f>_xlfn.XLOOKUP(ППД5[[#This Row],[№]],Юрист[№ кв],Юрист[Дата подачи на регистрацию]," ",0,-1)</f>
        <v>45433</v>
      </c>
      <c r="DR445" s="115" t="str">
        <f>_xlfn.XLOOKUP(ППД5[[#This Row],[№]],Юрист[№ кв],Юрист[МОП],"",0,-1)</f>
        <v>Дик</v>
      </c>
      <c r="DS445" s="333" t="s">
        <v>3182</v>
      </c>
      <c r="DT445" s="333" t="s">
        <v>3183</v>
      </c>
      <c r="DU445" s="333">
        <v>73</v>
      </c>
      <c r="DV445" s="111"/>
    </row>
    <row r="446" spans="1:126" hidden="1" x14ac:dyDescent="0.25">
      <c r="A446" s="112">
        <v>444</v>
      </c>
      <c r="B446" s="111" t="s">
        <v>2</v>
      </c>
      <c r="C446" s="111">
        <v>7</v>
      </c>
      <c r="D446" s="115">
        <v>8</v>
      </c>
      <c r="E446" s="111">
        <v>1</v>
      </c>
      <c r="F446" s="105">
        <v>16.79</v>
      </c>
      <c r="G446" s="105"/>
      <c r="H446" s="105"/>
      <c r="I446" s="94">
        <f>SUM(ППД5[[#This Row],[Комната 1]:[Комната 3]])</f>
        <v>16.79</v>
      </c>
      <c r="J446" s="105">
        <v>11.43</v>
      </c>
      <c r="K446" s="105">
        <v>3.56</v>
      </c>
      <c r="L446" s="105"/>
      <c r="M446" s="105"/>
      <c r="N446" s="105">
        <v>6.66</v>
      </c>
      <c r="O446" s="105">
        <v>2.4900000000000002</v>
      </c>
      <c r="P446" s="105"/>
      <c r="Q446" s="105"/>
      <c r="R446" s="105">
        <f>SUM(ППД5[[#This Row],[Лоджия 1]:[Лоджия 3]])</f>
        <v>2.4900000000000002</v>
      </c>
      <c r="S446" s="8">
        <f>ROUND(SUM(ППД5[[#This Row],[Площадь по проекту жилая]:[Лоджия 3]]),2)</f>
        <v>40.93</v>
      </c>
      <c r="T446" s="8">
        <f>ROUND(ППД5[[#This Row],[Площадь по проекту(общая)]]-ППД5[[#This Row],[Летние]],2)</f>
        <v>38.44</v>
      </c>
      <c r="U446" s="91">
        <f>ROUND(ППД5[[#This Row],[Площадь по проекту(общая)]]-(SUM(ППД5[[#This Row],[Лоджия 1]:[Лоджия 3]])/2),2)</f>
        <v>39.69</v>
      </c>
      <c r="V446" s="91">
        <f>IF(ППД5[[#This Row],[Статус]]="продажа",ППД5[[#This Row],[Расчетная проектная площадь]],ППД5[[#This Row],[Расчетная ТП площадь]])</f>
        <v>39.69</v>
      </c>
      <c r="W446" s="91">
        <v>16.7</v>
      </c>
      <c r="X446" s="91"/>
      <c r="Y446" s="91"/>
      <c r="Z446" s="91">
        <f>SUM(ППД5[[#This Row],[ТП Комната 1]:[ТП Комната 3]])</f>
        <v>16.7</v>
      </c>
      <c r="AA446" s="91">
        <v>11.3</v>
      </c>
      <c r="AB446" s="91">
        <v>3.5</v>
      </c>
      <c r="AC446" s="91"/>
      <c r="AD446" s="91"/>
      <c r="AE446" s="91">
        <v>6.3</v>
      </c>
      <c r="AF446" s="92">
        <v>1.25</v>
      </c>
      <c r="AG446" s="91"/>
      <c r="AH446" s="91"/>
      <c r="AI446" s="91">
        <f>SUM(ППД5[[#This Row],[ТП Лоджия 1]:[ТП Лоджия 3]])</f>
        <v>1.25</v>
      </c>
      <c r="AJ446" s="95">
        <v>2.5</v>
      </c>
      <c r="AK446" s="91">
        <f>SUM(ППД5[[#This Row],[Площадь по ТП жилая]:[ТП Лоджия 3]])-ППД5[[#This Row],[ТП Летние]]+ППД5[[#This Row],[кроме того прочая
(без коэффициента)]]</f>
        <v>40.299999999999997</v>
      </c>
      <c r="AL446" s="95">
        <f>ППД5[[#This Row],[ТП Площадь без летних]]+(ППД5[[#This Row],[ТП Летние]])</f>
        <v>39.049999999999997</v>
      </c>
      <c r="AM446" s="91">
        <f>ППД5[[#This Row],[ТП общая S]]-ППД5[[#This Row],[кроме того прочая
(без коэффициента)]]</f>
        <v>37.799999999999997</v>
      </c>
      <c r="AN446" s="95">
        <f>SUM(ППД5[[#This Row],[ТП Кухня]:[ТП Коридор]])</f>
        <v>21.1</v>
      </c>
      <c r="AO446" s="91">
        <f>ППД5[[#This Row],[Расчетная ТП площадь]]-ППД5[[#This Row],[Расчетная проектная площадь]]</f>
        <v>-0.64000000000000057</v>
      </c>
      <c r="AP446" s="335">
        <f>ППД5[[#This Row],[Расчетная ТП площадь]]/ППД5[[#This Row],[Расчетная проектная площадь]]-1</f>
        <v>-1.6124968505920934E-2</v>
      </c>
      <c r="AQ446" s="91">
        <f>ППД5[[#This Row],[% расхождения]]*ППД5[[#This Row],[Стоимость до скидки]]</f>
        <v>-70317.762660620006</v>
      </c>
      <c r="AR446" s="91">
        <f>VLOOKUP(ППД5[[#This Row],[№]],наценкад5[],COLUMN(наценкад5[[#This Row],[Цена м2 с учетом всех K]]),0)</f>
        <v>84762.5625</v>
      </c>
      <c r="AS446" s="8">
        <f>ППД5[[#This Row],[м2 после К]]*5%</f>
        <v>4238.1281250000002</v>
      </c>
      <c r="AT446" s="8">
        <f>ППД5[[#This Row],[м2 после К]]+ППД5[[#This Row],[Повышение 16.08.23 - 5%]]</f>
        <v>89000.690625000003</v>
      </c>
      <c r="AU446" s="93">
        <f>ППД5[[#This Row],[Фикс 16.08.23]]*3%</f>
        <v>2670.02071875</v>
      </c>
      <c r="AV446" s="93">
        <f>ППД5[[#This Row],[Фикс 16.08.23]]+ППД5[[#This Row],[Повышение 29.08.23 - 3%]]</f>
        <v>91670.711343750008</v>
      </c>
      <c r="AW446" s="93">
        <f>ППД5[[#This Row],[Фикс 29.08.23]]*4.5%</f>
        <v>4125.1820104687504</v>
      </c>
      <c r="AX446" s="93">
        <f>ППД5[[#This Row],[Фикс 29.08.23]]+ППД5[[#This Row],[Повышение 06.09.23 СТ и 1К]]</f>
        <v>95795.893354218759</v>
      </c>
      <c r="AY446" s="93"/>
      <c r="AZ446" s="93">
        <f>ППД5[[#This Row],[Повышение 23.10.23  В4 ]]+ППД5[[#This Row],[Фикс 06.09.23]]</f>
        <v>95795.893354218759</v>
      </c>
      <c r="BA446" s="93">
        <f>ППД5[[#This Row],[Фикс 23.10.23]]*5%</f>
        <v>4789.7946677109385</v>
      </c>
      <c r="BB446" s="93">
        <f>ППД5[[#This Row],[Повышение 8.11.23 1К 5%]]+ППД5[[#This Row],[Фикс 23.10.23]]</f>
        <v>100585.6880219297</v>
      </c>
      <c r="BC446" s="93"/>
      <c r="BD446" s="93">
        <f>ППД5[[#This Row],[Корректировка 24.11.23 - 1К В5, 2К А2, №233]]+ППД5[[#This Row],[Фикс 8.11.23]]</f>
        <v>100585.6880219297</v>
      </c>
      <c r="BE446" s="93">
        <f>ППД5[[#This Row],[Фикс 8.11.24]]*1%</f>
        <v>1005.8568802192971</v>
      </c>
      <c r="BF446" s="93">
        <f>ППД5[[#This Row],[Наценка за отделку 29.12.23 1%]]+ППД5[[#This Row],[Фикс 8.11.24]]</f>
        <v>101591.54490214901</v>
      </c>
      <c r="BG446" s="93">
        <f>ППД5[[#This Row],[Фикс 29.12.23]]*5%</f>
        <v>5079.5772451074508</v>
      </c>
      <c r="BH446" s="93">
        <f>ППД5[[#This Row],[Фикс 29.12.23]]+ППД5[[#This Row],[Наценка 10.01.24 5%]]</f>
        <v>106671.12214725645</v>
      </c>
      <c r="BI446" s="93"/>
      <c r="BJ446" s="93">
        <f>ППД5[[#This Row],[Наценка 26.02.24 1 Этаж]]+ППД5[[#This Row],[Фикс 10.01.24]]</f>
        <v>106671.12214725645</v>
      </c>
      <c r="BK446" s="93">
        <f>ППД5[[#This Row],[Фикс 26.02.24]]*3%</f>
        <v>3200.1336644176936</v>
      </c>
      <c r="BL446" s="93">
        <f>ППД5[[#This Row],[Фикс 26.02.24]]+ППД5[[#This Row],[Наценка 06.03.24
СТ, 1К - 3%
2К, 3К - 2%]]</f>
        <v>109871.25581167414</v>
      </c>
      <c r="BM446" s="93"/>
      <c r="BN446" s="93">
        <f>ППД5[[#This Row],[Фикс 06.03.24]]+ППД5[[#This Row],[Наценка Г2+500]]</f>
        <v>109871.25581167414</v>
      </c>
      <c r="BO446" s="93"/>
      <c r="BP446" s="93">
        <f>ППД5[[#This Row],[Фикс 13.03.25]]+ППД5[[#This Row],[Наценка 20.03.24
2К, 3К - 2%]]</f>
        <v>109871.25581167414</v>
      </c>
      <c r="BQ446" s="93"/>
      <c r="BR446" s="93">
        <f>ППД5[[#This Row],[Фикс 20.03.24]]+ППД5[[#This Row],[Наценка 08.04.24 
2К: В3 - 150
3К: Г7 +1000]]</f>
        <v>109871.25581167414</v>
      </c>
      <c r="BS446" s="93"/>
      <c r="BT446" s="93">
        <f>ППД5[[#This Row],[Фикс 08.04.24]]+ППД5[[#This Row],[Наценка 16.05.24 1%
А4,А6,Б3,Б6,Б7,В2,В3,В5,В6,Г1,Г3-Г5]]</f>
        <v>109871.25581167414</v>
      </c>
      <c r="BU446" s="93"/>
      <c r="BV446" s="93">
        <f>ППД5[[#This Row],[Фикс 16.05.24]]+ППД5[[#This Row],[Наценка 24.05.24
1% - Б4, Б5,Г2,Г6
2% - А1,А3,А5,Б2,Г7]]</f>
        <v>109871.25581167414</v>
      </c>
      <c r="BW446" s="93"/>
      <c r="BX446" s="93">
        <f>ППД5[[#This Row],[Наценка 06.06.24
0К: В2,Г3 +0,5%
1К: А7, Б5/4, Г6 +0,5%
3К: В6 +0,5%
1К: А3 +1%]]+ППД5[[#This Row],[Фикс 24.05.24]]</f>
        <v>109871.25581167414</v>
      </c>
      <c r="BY446" s="93"/>
      <c r="BZ446" s="93">
        <f>ППД5[[#This Row],[Фикс 06.06.24]]+ППД5[[#This Row],[13.06.2024
3К - 2%]]</f>
        <v>109871.25581167414</v>
      </c>
      <c r="CA446" s="93"/>
      <c r="CB446" s="93">
        <f>ППД5[[#This Row],[02.07.2024: Г3 А1 А3 Б5 Б7 Г2 Г6 Б3 Б4 В3 Г7 2,5% ост 0,5-1,5%]]+ППД5[[#This Row],[Фикс 13.06.24]]</f>
        <v>109871.25581167414</v>
      </c>
      <c r="CC446" s="93"/>
      <c r="CD446" s="93">
        <f>ППД5[[#This Row],[Фикс 02.07.24]]+ППД5[[#This Row],[04.09.2024 +500
0К - Б2; 1К - А3;
2К - А6, Б4, В3, Г5]]</f>
        <v>109871.25581167414</v>
      </c>
      <c r="CE446" s="93"/>
      <c r="CF446" s="93">
        <f>ППД5[[#This Row],[Наценка 16.09.2024
1К: А1,В7,Г6/7,Г8 - 2%
2К: А4,А5,А6,Б1,Б6,Б3/4,В3,В4,Г4,Г5 - 4%
3К: 4%]]+ППД5[[#This Row],[Фикс 04.09.24]]</f>
        <v>109871.25581167414</v>
      </c>
      <c r="CG446" s="93"/>
      <c r="CH446" s="93">
        <f>ППД5[[#This Row],[Фикс 16.09.2024]]+ППД5[[#This Row],[Наценка 01.11.24
СТ: 4%
1К: 34-40м 5%; 40м+ 8%; МГН 1%
2К: 55-70м 6%; 70-73м 7%; 73-76м 8% 
3К: 5%]]</f>
        <v>109871.25581167414</v>
      </c>
      <c r="CI446" s="93"/>
      <c r="CJ446" s="93">
        <f>ППД5[[#This Row],[Наценка 06.11 13%]]+ППД5[[#This Row],[Фикс 01.11.24]]</f>
        <v>109871.25581167414</v>
      </c>
      <c r="CK446" s="93"/>
      <c r="CL446" s="93">
        <f>ППД5[[#This Row],[Фикс 06.11.24]]+ППД5[[#This Row],[Наценка 18.12.24 распределение КВ]]</f>
        <v>109871.25581167414</v>
      </c>
      <c r="CM446" s="93"/>
      <c r="CN446" s="93">
        <f>ППД5[[#This Row],[Фикс 18.12.24]]+ППД5[[#This Row],[Наценка 10.02.25 +1%
1К: А3
2К: Б3, В3]]</f>
        <v>109871.25581167414</v>
      </c>
      <c r="CO446" s="93">
        <f>ROUND(ППД5[[#This Row],[Фикс 10.02.25]],2)</f>
        <v>109871.26</v>
      </c>
      <c r="CP44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4360800</v>
      </c>
      <c r="CQ446" s="93">
        <f>ROUNDUP(ППД5[[#This Row],[Стоимость до скидки]]+ППД5[[#This Row],[Сумма доплаты]],-2)</f>
        <v>4290500</v>
      </c>
      <c r="CR446" s="68"/>
      <c r="CS446" s="90"/>
      <c r="CT446" s="68">
        <f>ППД5[[#This Row],[Стоимость до скидки]]*ППД5[[#This Row],[Скидка %]]+ППД5[[#This Row],[Скидка фиксированная]]</f>
        <v>0</v>
      </c>
      <c r="CU446" s="3">
        <f>ППД5[[#This Row],[Стоимость ОН без отделки со скидкой]]/ППД5[[#This Row],[Расчетная проектная площадь]]</f>
        <v>109871.50415721846</v>
      </c>
      <c r="CV446" s="3">
        <f>ROUND(ППД5[[#This Row],[Стоимость до скидки]]-ППД5[[#This Row],[Итоговая сумма скидки]],2)</f>
        <v>4360800</v>
      </c>
      <c r="CW44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446" s="197">
        <v>7000</v>
      </c>
      <c r="CY446" s="332">
        <f>ППД5[[#This Row],[Расхождение]]/ППД5[[#This Row],[Расчетная проектная площадь]]</f>
        <v>-1.6124968505920902E-2</v>
      </c>
      <c r="CZ44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-0.54999999999999893</v>
      </c>
      <c r="DA446" s="3">
        <f>ППД5[[#This Row],[Цена м2 без отделки со скидкой]]+ППД5[[#This Row],[Стоимость отделки]]</f>
        <v>116871.50415721846</v>
      </c>
      <c r="DB446" s="3">
        <f>ППД5[[#This Row],[Стоимость квартиры с отделкой]]-ППД5[[#This Row],[Стоимость ОН без отделки со скидкой]]</f>
        <v>277830</v>
      </c>
      <c r="DC446" s="3">
        <f>ППД5[[#This Row],[Цена м2 с отделкой]]*ППД5[[#This Row],[Расчетная проектная площадь]]</f>
        <v>4638630</v>
      </c>
      <c r="DD446" s="3"/>
      <c r="DF446" s="199" t="s">
        <v>172</v>
      </c>
      <c r="DG446" s="245" t="s">
        <v>172</v>
      </c>
      <c r="DH446" s="100" t="b">
        <f>EXACT(ППД5[[#This Row],[Статусы CRM]],ППД5[[#This Row],[Статус]])</f>
        <v>1</v>
      </c>
      <c r="DI446" s="213" t="s">
        <v>618</v>
      </c>
      <c r="DJ446" s="204"/>
      <c r="DK446" s="111" t="s">
        <v>763</v>
      </c>
      <c r="DL446" s="216" t="s">
        <v>780</v>
      </c>
      <c r="DM446" s="201" t="b">
        <f>ППД5[[#This Row],[Отделка CRM]]=ППД5[[#This Row],[Отделка]]</f>
        <v>1</v>
      </c>
      <c r="DN446" s="203">
        <v>4638630</v>
      </c>
      <c r="DO44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46" s="207" t="b">
        <f>IF(AND(ППД5[[#This Row],[Статус]]="свободно",ППД5[[#This Row],[Итоговая сумма скидки]]&lt;&gt;0),FALSE,TRUE)</f>
        <v>1</v>
      </c>
      <c r="DQ446" s="240">
        <f>_xlfn.XLOOKUP(ППД5[[#This Row],[№]],Юрист[№ кв],Юрист[Дата подачи на регистрацию]," ",0,-1)</f>
        <v>45441</v>
      </c>
      <c r="DR446" s="115" t="str">
        <f>_xlfn.XLOOKUP(ППД5[[#This Row],[№]],Юрист[№ кв],Юрист[МОП],"",0,-1)</f>
        <v>Никишов</v>
      </c>
      <c r="DS446" s="333" t="s">
        <v>3184</v>
      </c>
      <c r="DT446" s="333" t="s">
        <v>3185</v>
      </c>
      <c r="DU446" s="333">
        <v>37.799999999999997</v>
      </c>
      <c r="DV446" s="111"/>
    </row>
    <row r="447" spans="1:126" hidden="1" x14ac:dyDescent="0.25">
      <c r="A447" s="112">
        <v>445</v>
      </c>
      <c r="B447" s="111" t="s">
        <v>2</v>
      </c>
      <c r="C447" s="111">
        <v>8</v>
      </c>
      <c r="D447" s="338">
        <v>1</v>
      </c>
      <c r="E447" s="111">
        <v>0</v>
      </c>
      <c r="F447" s="105">
        <v>13.74</v>
      </c>
      <c r="G447" s="105"/>
      <c r="H447" s="105"/>
      <c r="I447" s="94">
        <f>SUM(ППД5[[#This Row],[Комната 1]:[Комната 3]])</f>
        <v>13.74</v>
      </c>
      <c r="J447" s="105">
        <v>5.84</v>
      </c>
      <c r="K447" s="105">
        <v>3.76</v>
      </c>
      <c r="L447" s="105"/>
      <c r="M447" s="105"/>
      <c r="N447" s="105">
        <v>3.73</v>
      </c>
      <c r="O447" s="105">
        <v>4.6500000000000004</v>
      </c>
      <c r="P447" s="105"/>
      <c r="Q447" s="105"/>
      <c r="R447" s="105">
        <f>SUM(ППД5[[#This Row],[Лоджия 1]:[Лоджия 3]])</f>
        <v>4.6500000000000004</v>
      </c>
      <c r="S447" s="8">
        <f>ROUND(SUM(ППД5[[#This Row],[Площадь по проекту жилая]:[Лоджия 3]]),2)</f>
        <v>31.72</v>
      </c>
      <c r="T447" s="8">
        <f>ROUND(ППД5[[#This Row],[Площадь по проекту(общая)]]-ППД5[[#This Row],[Летние]],2)</f>
        <v>27.07</v>
      </c>
      <c r="U447" s="91">
        <f>ROUND(ППД5[[#This Row],[Площадь по проекту(общая)]]-(SUM(ППД5[[#This Row],[Лоджия 1]:[Лоджия 3]])/2),2)</f>
        <v>29.4</v>
      </c>
      <c r="V447" s="91">
        <f>IF(ППД5[[#This Row],[Статус]]="продажа",ППД5[[#This Row],[Расчетная проектная площадь]],ППД5[[#This Row],[Расчетная ТП площадь]])</f>
        <v>29.4</v>
      </c>
      <c r="W447" s="91">
        <v>13.7</v>
      </c>
      <c r="X447" s="91"/>
      <c r="Y447" s="91"/>
      <c r="Z447" s="91">
        <f>SUM(ППД5[[#This Row],[ТП Комната 1]:[ТП Комната 3]])</f>
        <v>13.7</v>
      </c>
      <c r="AA447" s="91">
        <v>5.8</v>
      </c>
      <c r="AB447" s="91">
        <v>3.7</v>
      </c>
      <c r="AC447" s="91"/>
      <c r="AD447" s="91"/>
      <c r="AE447" s="91">
        <v>3.7</v>
      </c>
      <c r="AF447" s="91">
        <v>2.2999999999999998</v>
      </c>
      <c r="AG447" s="91"/>
      <c r="AH447" s="91"/>
      <c r="AI447" s="91">
        <f>SUM(ППД5[[#This Row],[ТП Лоджия 1]:[ТП Лоджия 3]])</f>
        <v>2.2999999999999998</v>
      </c>
      <c r="AJ447" s="95">
        <v>4.5999999999999996</v>
      </c>
      <c r="AK447" s="91">
        <f>SUM(ППД5[[#This Row],[Площадь по ТП жилая]:[ТП Лоджия 3]])-ППД5[[#This Row],[ТП Летние]]+ППД5[[#This Row],[кроме того прочая
(без коэффициента)]]</f>
        <v>31.5</v>
      </c>
      <c r="AL447" s="95">
        <f>ППД5[[#This Row],[ТП Площадь без летних]]+(ППД5[[#This Row],[ТП Летние]])</f>
        <v>29.2</v>
      </c>
      <c r="AM447" s="91">
        <f>ППД5[[#This Row],[ТП общая S]]-ППД5[[#This Row],[кроме того прочая
(без коэффициента)]]</f>
        <v>26.9</v>
      </c>
      <c r="AN447" s="95">
        <f>SUM(ППД5[[#This Row],[ТП Кухня]:[ТП Коридор]])</f>
        <v>13.2</v>
      </c>
      <c r="AO447" s="91">
        <f>ППД5[[#This Row],[Расчетная ТП площадь]]-ППД5[[#This Row],[Расчетная проектная площадь]]</f>
        <v>-0.19999999999999929</v>
      </c>
      <c r="AP447" s="335">
        <f>ППД5[[#This Row],[Расчетная ТП площадь]]/ППД5[[#This Row],[Расчетная проектная площадь]]-1</f>
        <v>-6.8027210884353817E-3</v>
      </c>
      <c r="AQ447" s="91">
        <f>ППД5[[#This Row],[% расхождения]]*ППД5[[#This Row],[Стоимость до скидки]]</f>
        <v>-23590.476190476216</v>
      </c>
      <c r="AR447" s="91">
        <f>VLOOKUP(ППД5[[#This Row],[№]],наценкад5[],COLUMN(наценкад5[[#This Row],[Цена м2 с учетом всех K]]),0)</f>
        <v>89353.53</v>
      </c>
      <c r="AS447" s="8">
        <f>ППД5[[#This Row],[м2 после К]]*5%</f>
        <v>4467.6765000000005</v>
      </c>
      <c r="AT447" s="8">
        <f>ППД5[[#This Row],[м2 после К]]+ППД5[[#This Row],[Повышение 16.08.23 - 5%]]</f>
        <v>93821.2065</v>
      </c>
      <c r="AU447" s="93">
        <f>ППД5[[#This Row],[Фикс 16.08.23]]*3%</f>
        <v>2814.636195</v>
      </c>
      <c r="AV447" s="93">
        <f>ППД5[[#This Row],[Фикс 16.08.23]]+ППД5[[#This Row],[Повышение 29.08.23 - 3%]]</f>
        <v>96635.842694999999</v>
      </c>
      <c r="AW447" s="93">
        <f>ППД5[[#This Row],[Фикс 29.08.23]]*9%</f>
        <v>8697.2258425500004</v>
      </c>
      <c r="AX447" s="93">
        <f>ППД5[[#This Row],[Фикс 29.08.23]]+ППД5[[#This Row],[Повышение 06.09.23 СТ и 1К]]</f>
        <v>105333.06853755</v>
      </c>
      <c r="AY447" s="93"/>
      <c r="AZ447" s="93">
        <f>ППД5[[#This Row],[Повышение 23.10.23  В4 ]]+ППД5[[#This Row],[Фикс 06.09.23]]</f>
        <v>105333.06853755</v>
      </c>
      <c r="BA447" s="93"/>
      <c r="BB447" s="93">
        <f>ППД5[[#This Row],[Повышение 8.11.23 1К 5%]]+ППД5[[#This Row],[Фикс 23.10.23]]</f>
        <v>105333.06853755</v>
      </c>
      <c r="BC447" s="93"/>
      <c r="BD447" s="93">
        <f>ППД5[[#This Row],[Корректировка 24.11.23 - 1К В5, 2К А2, №233]]+ППД5[[#This Row],[Фикс 8.11.23]]</f>
        <v>105333.06853755</v>
      </c>
      <c r="BE447" s="93">
        <f>ППД5[[#This Row],[Фикс 8.11.24]]*1%</f>
        <v>1053.3306853755</v>
      </c>
      <c r="BF447" s="93">
        <f>ППД5[[#This Row],[Наценка за отделку 29.12.23 1%]]+ППД5[[#This Row],[Фикс 8.11.24]]</f>
        <v>106386.39922292551</v>
      </c>
      <c r="BG447" s="93">
        <f>ППД5[[#This Row],[Фикс 29.12.23]]*5%</f>
        <v>5319.319961146276</v>
      </c>
      <c r="BH447" s="93">
        <f>ППД5[[#This Row],[Фикс 29.12.23]]+ППД5[[#This Row],[Наценка 10.01.24 5%]]</f>
        <v>111705.71918407179</v>
      </c>
      <c r="BI447" s="93"/>
      <c r="BJ447" s="93">
        <f>ППД5[[#This Row],[Наценка 26.02.24 1 Этаж]]+ППД5[[#This Row],[Фикс 10.01.24]]</f>
        <v>111705.71918407179</v>
      </c>
      <c r="BK447" s="93">
        <f>ППД5[[#This Row],[Фикс 26.02.24]]*3%</f>
        <v>3351.1715755221535</v>
      </c>
      <c r="BL447" s="93">
        <f>ППД5[[#This Row],[Фикс 26.02.24]]+ППД5[[#This Row],[Наценка 06.03.24
СТ, 1К - 3%
2К, 3К - 2%]]</f>
        <v>115056.89075959394</v>
      </c>
      <c r="BM447" s="93"/>
      <c r="BN447" s="93">
        <f>ППД5[[#This Row],[Фикс 06.03.24]]+ППД5[[#This Row],[Наценка Г2+500]]</f>
        <v>115056.89075959394</v>
      </c>
      <c r="BO447" s="93"/>
      <c r="BP447" s="93">
        <f>ППД5[[#This Row],[Фикс 13.03.25]]+ППД5[[#This Row],[Наценка 20.03.24
2К, 3К - 2%]]</f>
        <v>115056.89075959394</v>
      </c>
      <c r="BQ447" s="93"/>
      <c r="BR447" s="93">
        <f>ППД5[[#This Row],[Фикс 20.03.24]]+ППД5[[#This Row],[Наценка 08.04.24 
2К: В3 - 150
3К: Г7 +1000]]</f>
        <v>115056.89075959394</v>
      </c>
      <c r="BS447" s="93">
        <f>ППД5[[#This Row],[Фикс 08.04.24]]*1%</f>
        <v>1150.5689075959394</v>
      </c>
      <c r="BT447" s="93">
        <f>ППД5[[#This Row],[Фикс 08.04.24]]+ППД5[[#This Row],[Наценка 16.05.24 1%
А4,А6,Б3,Б6,Б7,В2,В3,В5,В6,Г1,Г3-Г5]]</f>
        <v>116207.45966718988</v>
      </c>
      <c r="BU447" s="93"/>
      <c r="BV447" s="93">
        <f>ППД5[[#This Row],[Фикс 16.05.24]]+ППД5[[#This Row],[Наценка 24.05.24
1% - Б4, Б5,Г2,Г6
2% - А1,А3,А5,Б2,Г7]]</f>
        <v>116207.45966718988</v>
      </c>
      <c r="BW447" s="93"/>
      <c r="BX447" s="93">
        <f>ППД5[[#This Row],[Наценка 06.06.24
0К: В2,Г3 +0,5%
1К: А7, Б5/4, Г6 +0,5%
3К: В6 +0,5%
1К: А3 +1%]]+ППД5[[#This Row],[Фикс 24.05.24]]</f>
        <v>116207.45966718988</v>
      </c>
      <c r="BY447" s="93"/>
      <c r="BZ447" s="93">
        <f>ППД5[[#This Row],[Фикс 06.06.24]]+ППД5[[#This Row],[13.06.2024
3К - 2%]]</f>
        <v>116207.45966718988</v>
      </c>
      <c r="CA447" s="93">
        <f>1.5%*ППД5[[#This Row],[Фикс 13.06.24]]</f>
        <v>1743.111895007848</v>
      </c>
      <c r="CB447" s="93">
        <f>ППД5[[#This Row],[02.07.2024: Г3 А1 А3 Б5 Б7 Г2 Г6 Б3 Б4 В3 Г7 2,5% ост 0,5-1,5%]]+ППД5[[#This Row],[Фикс 13.06.24]]</f>
        <v>117950.57156219773</v>
      </c>
      <c r="CC447" s="93"/>
      <c r="CD447" s="93">
        <f>ППД5[[#This Row],[Фикс 02.07.24]]+ППД5[[#This Row],[04.09.2024 +500
0К - Б2; 1К - А3;
2К - А6, Б4, В3, Г5]]</f>
        <v>117950.57156219773</v>
      </c>
      <c r="CE447" s="93"/>
      <c r="CF447" s="93">
        <f>ППД5[[#This Row],[Наценка 16.09.2024
1К: А1,В7,Г6/7,Г8 - 2%
2К: А4,А5,А6,Б1,Б6,Б3/4,В3,В4,Г4,Г5 - 4%
3К: 4%]]+ППД5[[#This Row],[Фикс 04.09.24]]</f>
        <v>117950.57156219773</v>
      </c>
      <c r="CG447" s="93"/>
      <c r="CH447" s="93">
        <f>ППД5[[#This Row],[Фикс 16.09.2024]]+ППД5[[#This Row],[Наценка 01.11.24
СТ: 4%
1К: 34-40м 5%; 40м+ 8%; МГН 1%
2К: 55-70м 6%; 70-73м 7%; 73-76м 8% 
3К: 5%]]</f>
        <v>117950.57156219773</v>
      </c>
      <c r="CI447" s="93"/>
      <c r="CJ447" s="93">
        <f>ППД5[[#This Row],[Наценка 06.11 13%]]+ППД5[[#This Row],[Фикс 01.11.24]]</f>
        <v>117950.57156219773</v>
      </c>
      <c r="CK447" s="93"/>
      <c r="CL447" s="93">
        <f>ППД5[[#This Row],[Фикс 06.11.24]]+ППД5[[#This Row],[Наценка 18.12.24 распределение КВ]]</f>
        <v>117950.57156219773</v>
      </c>
      <c r="CM447" s="93"/>
      <c r="CN447" s="93">
        <f>ППД5[[#This Row],[Фикс 18.12.24]]+ППД5[[#This Row],[Наценка 10.02.25 +1%
1К: А3
2К: Б3, В3]]</f>
        <v>117950.57156219773</v>
      </c>
      <c r="CO447" s="93">
        <f>ROUND(ППД5[[#This Row],[Фикс 10.02.25]],2)</f>
        <v>117950.57</v>
      </c>
      <c r="CP44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3467800</v>
      </c>
      <c r="CQ447" s="93">
        <f>ROUNDUP(ППД5[[#This Row],[Стоимость до скидки]]+ППД5[[#This Row],[Сумма доплаты]],-2)</f>
        <v>3444300</v>
      </c>
      <c r="CR447" s="68"/>
      <c r="CS447" s="90"/>
      <c r="CT447" s="68">
        <f>ППД5[[#This Row],[Стоимость до скидки]]*ППД5[[#This Row],[Скидка %]]+ППД5[[#This Row],[Скидка фиксированная]]</f>
        <v>0</v>
      </c>
      <c r="CU447" s="3">
        <f>ППД5[[#This Row],[Стоимость ОН без отделки со скидкой]]/ППД5[[#This Row],[Расчетная проектная площадь]]</f>
        <v>117952.38095238096</v>
      </c>
      <c r="CV447" s="3">
        <f>ROUND(ППД5[[#This Row],[Стоимость до скидки]]-ППД5[[#This Row],[Итоговая сумма скидки]],2)</f>
        <v>3467800</v>
      </c>
      <c r="CW44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447" s="218">
        <v>8000</v>
      </c>
      <c r="CY447" s="332">
        <f>ППД5[[#This Row],[Расхождение]]/ППД5[[#This Row],[Расчетная проектная площадь]]</f>
        <v>-6.8027210884353505E-3</v>
      </c>
      <c r="CZ447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-0.13000000000000078</v>
      </c>
      <c r="DA447" s="3">
        <f>ППД5[[#This Row],[Цена м2 без отделки со скидкой]]+ППД5[[#This Row],[Стоимость отделки]]</f>
        <v>125952.38095238096</v>
      </c>
      <c r="DB447" s="3">
        <f>ППД5[[#This Row],[Стоимость квартиры с отделкой]]-ППД5[[#This Row],[Стоимость ОН без отделки со скидкой]]</f>
        <v>235200</v>
      </c>
      <c r="DC447" s="3">
        <f>ППД5[[#This Row],[Цена м2 с отделкой]]*ППД5[[#This Row],[Расчетная проектная площадь]]</f>
        <v>3703000</v>
      </c>
      <c r="DD447" s="3"/>
      <c r="DF447" s="199" t="s">
        <v>172</v>
      </c>
      <c r="DG447" s="245" t="s">
        <v>172</v>
      </c>
      <c r="DH447" s="100" t="b">
        <f>EXACT(ППД5[[#This Row],[Статусы CRM]],ППД5[[#This Row],[Статус]])</f>
        <v>1</v>
      </c>
      <c r="DI447" s="213" t="s">
        <v>619</v>
      </c>
      <c r="DJ447" s="204"/>
      <c r="DK447" s="111" t="s">
        <v>763</v>
      </c>
      <c r="DL447" s="216" t="s">
        <v>780</v>
      </c>
      <c r="DM447" s="201" t="b">
        <f>ППД5[[#This Row],[Отделка CRM]]=ППД5[[#This Row],[Отделка]]</f>
        <v>1</v>
      </c>
      <c r="DN447" s="203">
        <v>3703000</v>
      </c>
      <c r="DO44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47" s="207" t="b">
        <f>IF(AND(ППД5[[#This Row],[Статус]]="свободно",ППД5[[#This Row],[Итоговая сумма скидки]]&lt;&gt;0),FALSE,TRUE)</f>
        <v>1</v>
      </c>
      <c r="DQ447" s="240">
        <f>_xlfn.XLOOKUP(ППД5[[#This Row],[№]],Юрист[№ кв],Юрист[Дата подачи на регистрацию]," ",0,-1)</f>
        <v>45595</v>
      </c>
      <c r="DR447" s="115" t="str">
        <f>_xlfn.XLOOKUP(ППД5[[#This Row],[№]],Юрист[№ кв],Юрист[МОП],"",0,-1)</f>
        <v>Дик</v>
      </c>
      <c r="DS447" s="333" t="s">
        <v>3186</v>
      </c>
      <c r="DT447" s="333" t="s">
        <v>3187</v>
      </c>
      <c r="DU447" s="333">
        <v>26.9</v>
      </c>
      <c r="DV447" s="111"/>
    </row>
    <row r="448" spans="1:126" hidden="1" x14ac:dyDescent="0.25">
      <c r="A448" s="112">
        <v>446</v>
      </c>
      <c r="B448" s="111" t="s">
        <v>2</v>
      </c>
      <c r="C448" s="111">
        <v>8</v>
      </c>
      <c r="D448" s="115">
        <v>2</v>
      </c>
      <c r="E448" s="111">
        <v>1</v>
      </c>
      <c r="F448" s="105">
        <v>13.17</v>
      </c>
      <c r="G448" s="105"/>
      <c r="H448" s="105"/>
      <c r="I448" s="94">
        <f>SUM(ППД5[[#This Row],[Комната 1]:[Комната 3]])</f>
        <v>13.17</v>
      </c>
      <c r="J448" s="105">
        <v>16.940000000000001</v>
      </c>
      <c r="K448" s="105">
        <v>3.55</v>
      </c>
      <c r="L448" s="105">
        <v>2.41</v>
      </c>
      <c r="M448" s="105"/>
      <c r="N448" s="105">
        <v>5.8</v>
      </c>
      <c r="O448" s="105">
        <v>2.68</v>
      </c>
      <c r="P448" s="105"/>
      <c r="Q448" s="105"/>
      <c r="R448" s="105">
        <f>SUM(ППД5[[#This Row],[Лоджия 1]:[Лоджия 3]])</f>
        <v>2.68</v>
      </c>
      <c r="S448" s="8">
        <f>ROUND(SUM(ППД5[[#This Row],[Площадь по проекту жилая]:[Лоджия 3]]),2)</f>
        <v>44.55</v>
      </c>
      <c r="T448" s="8">
        <f>ROUND(ППД5[[#This Row],[Площадь по проекту(общая)]]-ППД5[[#This Row],[Летние]],2)</f>
        <v>41.87</v>
      </c>
      <c r="U448" s="91">
        <f>ROUND(ППД5[[#This Row],[Площадь по проекту(общая)]]-(SUM(ППД5[[#This Row],[Лоджия 1]:[Лоджия 3]])/2),2)</f>
        <v>43.21</v>
      </c>
      <c r="V448" s="91">
        <f>IF(ППД5[[#This Row],[Статус]]="продажа",ППД5[[#This Row],[Расчетная проектная площадь]],ППД5[[#This Row],[Расчетная ТП площадь]])</f>
        <v>43.21</v>
      </c>
      <c r="W448" s="91">
        <v>12.9</v>
      </c>
      <c r="X448" s="91"/>
      <c r="Y448" s="91"/>
      <c r="Z448" s="91">
        <f>SUM(ППД5[[#This Row],[ТП Комната 1]:[ТП Комната 3]])</f>
        <v>12.9</v>
      </c>
      <c r="AA448" s="91">
        <v>16.7</v>
      </c>
      <c r="AB448" s="91">
        <v>2.1</v>
      </c>
      <c r="AC448" s="91">
        <v>3.3</v>
      </c>
      <c r="AD448" s="91"/>
      <c r="AE448" s="91">
        <v>5.8</v>
      </c>
      <c r="AF448" s="91">
        <v>1.3</v>
      </c>
      <c r="AG448" s="91"/>
      <c r="AH448" s="91"/>
      <c r="AI448" s="91">
        <f>SUM(ППД5[[#This Row],[ТП Лоджия 1]:[ТП Лоджия 3]])</f>
        <v>1.3</v>
      </c>
      <c r="AJ448" s="95">
        <v>2.6</v>
      </c>
      <c r="AK448" s="91">
        <f>SUM(ППД5[[#This Row],[Площадь по ТП жилая]:[ТП Лоджия 3]])-ППД5[[#This Row],[ТП Летние]]+ППД5[[#This Row],[кроме того прочая
(без коэффициента)]]</f>
        <v>43.4</v>
      </c>
      <c r="AL448" s="95">
        <f>ППД5[[#This Row],[ТП Площадь без летних]]+(ППД5[[#This Row],[ТП Летние]])</f>
        <v>42.099999999999994</v>
      </c>
      <c r="AM448" s="91">
        <f>ППД5[[#This Row],[ТП общая S]]-ППД5[[#This Row],[кроме того прочая
(без коэффициента)]]</f>
        <v>40.799999999999997</v>
      </c>
      <c r="AN448" s="95">
        <f>SUM(ППД5[[#This Row],[ТП Кухня]:[ТП Коридор]])</f>
        <v>27.900000000000002</v>
      </c>
      <c r="AO448" s="91">
        <f>ППД5[[#This Row],[Расчетная ТП площадь]]-ППД5[[#This Row],[Расчетная проектная площадь]]</f>
        <v>-1.1100000000000065</v>
      </c>
      <c r="AP448" s="335">
        <f>ППД5[[#This Row],[Расчетная ТП площадь]]/ППД5[[#This Row],[Расчетная проектная площадь]]-1</f>
        <v>-2.5688498032862883E-2</v>
      </c>
      <c r="AQ448" s="91">
        <f>ППД5[[#This Row],[% расхождения]]*ППД5[[#This Row],[Стоимость до скидки]]</f>
        <v>-123186.62346679067</v>
      </c>
      <c r="AR448" s="91">
        <f>VLOOKUP(ППД5[[#This Row],[№]],наценкад5[],COLUMN(наценкад5[[#This Row],[Цена м2 с учетом всех K]]),0)</f>
        <v>85168.125</v>
      </c>
      <c r="AS448" s="8">
        <f>ППД5[[#This Row],[м2 после К]]*5%</f>
        <v>4258.40625</v>
      </c>
      <c r="AT448" s="8">
        <f>ППД5[[#This Row],[м2 после К]]+ППД5[[#This Row],[Повышение 16.08.23 - 5%]]</f>
        <v>89426.53125</v>
      </c>
      <c r="AU448" s="93">
        <f>ППД5[[#This Row],[Фикс 16.08.23]]*3%</f>
        <v>2682.7959375</v>
      </c>
      <c r="AV448" s="93">
        <f>ППД5[[#This Row],[Фикс 16.08.23]]+ППД5[[#This Row],[Повышение 29.08.23 - 3%]]</f>
        <v>92109.327187500006</v>
      </c>
      <c r="AW448" s="93">
        <f>ППД5[[#This Row],[Фикс 29.08.23]]*1%</f>
        <v>921.09327187500003</v>
      </c>
      <c r="AX448" s="93">
        <f>ППД5[[#This Row],[Фикс 29.08.23]]+ППД5[[#This Row],[Повышение 06.09.23 СТ и 1К]]</f>
        <v>93030.420459375004</v>
      </c>
      <c r="AY448" s="93"/>
      <c r="AZ448" s="93">
        <f>ППД5[[#This Row],[Повышение 23.10.23  В4 ]]+ППД5[[#This Row],[Фикс 06.09.23]]</f>
        <v>93030.420459375004</v>
      </c>
      <c r="BA448" s="93">
        <f>ППД5[[#This Row],[Фикс 23.10.23]]*5%</f>
        <v>4651.52102296875</v>
      </c>
      <c r="BB448" s="93">
        <f>ППД5[[#This Row],[Повышение 8.11.23 1К 5%]]+ППД5[[#This Row],[Фикс 23.10.23]]</f>
        <v>97681.941482343755</v>
      </c>
      <c r="BC448" s="93"/>
      <c r="BD448" s="93">
        <f>ППД5[[#This Row],[Корректировка 24.11.23 - 1К В5, 2К А2, №233]]+ППД5[[#This Row],[Фикс 8.11.23]]</f>
        <v>97681.941482343755</v>
      </c>
      <c r="BE448" s="93">
        <f>ППД5[[#This Row],[Фикс 8.11.24]]*1%</f>
        <v>976.81941482343757</v>
      </c>
      <c r="BF448" s="93">
        <f>ППД5[[#This Row],[Наценка за отделку 29.12.23 1%]]+ППД5[[#This Row],[Фикс 8.11.24]]</f>
        <v>98658.760897167187</v>
      </c>
      <c r="BG448" s="93">
        <f>ППД5[[#This Row],[Фикс 29.12.23]]*5%</f>
        <v>4932.9380448583597</v>
      </c>
      <c r="BH448" s="93">
        <f>ППД5[[#This Row],[Фикс 29.12.23]]+ППД5[[#This Row],[Наценка 10.01.24 5%]]</f>
        <v>103591.69894202554</v>
      </c>
      <c r="BI448" s="93"/>
      <c r="BJ448" s="93">
        <f>ППД5[[#This Row],[Наценка 26.02.24 1 Этаж]]+ППД5[[#This Row],[Фикс 10.01.24]]</f>
        <v>103591.69894202554</v>
      </c>
      <c r="BK448" s="93">
        <f>ППД5[[#This Row],[Фикс 26.02.24]]*3%</f>
        <v>3107.7509682607661</v>
      </c>
      <c r="BL448" s="93">
        <f>ППД5[[#This Row],[Фикс 26.02.24]]+ППД5[[#This Row],[Наценка 06.03.24
СТ, 1К - 3%
2К, 3К - 2%]]</f>
        <v>106699.4499102863</v>
      </c>
      <c r="BM448" s="93">
        <v>500</v>
      </c>
      <c r="BN448" s="93">
        <f>ППД5[[#This Row],[Фикс 06.03.24]]+ППД5[[#This Row],[Наценка Г2+500]]</f>
        <v>107199.4499102863</v>
      </c>
      <c r="BO448" s="93"/>
      <c r="BP448" s="93">
        <f>ППД5[[#This Row],[Фикс 13.03.25]]+ППД5[[#This Row],[Наценка 20.03.24
2К, 3К - 2%]]</f>
        <v>107199.4499102863</v>
      </c>
      <c r="BQ448" s="93"/>
      <c r="BR448" s="93">
        <f>ППД5[[#This Row],[Фикс 20.03.24]]+ППД5[[#This Row],[Наценка 08.04.24 
2К: В3 - 150
3К: Г7 +1000]]</f>
        <v>107199.4499102863</v>
      </c>
      <c r="BS448" s="93"/>
      <c r="BT448" s="93">
        <f>ППД5[[#This Row],[Фикс 08.04.24]]+ППД5[[#This Row],[Наценка 16.05.24 1%
А4,А6,Б3,Б6,Б7,В2,В3,В5,В6,Г1,Г3-Г5]]</f>
        <v>107199.4499102863</v>
      </c>
      <c r="BU448" s="93">
        <f>ППД5[[#This Row],[Фикс 16.05.24]]*1%</f>
        <v>1071.9944991028631</v>
      </c>
      <c r="BV448" s="93">
        <f>ППД5[[#This Row],[Фикс 16.05.24]]+ППД5[[#This Row],[Наценка 24.05.24
1% - Б4, Б5,Г2,Г6
2% - А1,А3,А5,Б2,Г7]]</f>
        <v>108271.44440938917</v>
      </c>
      <c r="BW448" s="93"/>
      <c r="BX448" s="93">
        <f>ППД5[[#This Row],[Наценка 06.06.24
0К: В2,Г3 +0,5%
1К: А7, Б5/4, Г6 +0,5%
3К: В6 +0,5%
1К: А3 +1%]]+ППД5[[#This Row],[Фикс 24.05.24]]</f>
        <v>108271.44440938917</v>
      </c>
      <c r="BY448" s="93"/>
      <c r="BZ448" s="93">
        <f>ППД5[[#This Row],[Фикс 06.06.24]]+ППД5[[#This Row],[13.06.2024
3К - 2%]]</f>
        <v>108271.44440938917</v>
      </c>
      <c r="CA448" s="93">
        <f>2.5%*ППД5[[#This Row],[Фикс 13.06.24]]</f>
        <v>2706.7861102347292</v>
      </c>
      <c r="CB448" s="93">
        <f>ППД5[[#This Row],[02.07.2024: Г3 А1 А3 Б5 Б7 Г2 Г6 Б3 Б4 В3 Г7 2,5% ост 0,5-1,5%]]+ППД5[[#This Row],[Фикс 13.06.24]]</f>
        <v>110978.23051962389</v>
      </c>
      <c r="CC448" s="93"/>
      <c r="CD448" s="93">
        <f>ППД5[[#This Row],[Фикс 02.07.24]]+ППД5[[#This Row],[04.09.2024 +500
0К - Б2; 1К - А3;
2К - А6, Б4, В3, Г5]]</f>
        <v>110978.23051962389</v>
      </c>
      <c r="CE448" s="93"/>
      <c r="CF448" s="93">
        <f>ППД5[[#This Row],[Наценка 16.09.2024
1К: А1,В7,Г6/7,Г8 - 2%
2К: А4,А5,А6,Б1,Б6,Б3/4,В3,В4,Г4,Г5 - 4%
3К: 4%]]+ППД5[[#This Row],[Фикс 04.09.24]]</f>
        <v>110978.23051962389</v>
      </c>
      <c r="CG448" s="93"/>
      <c r="CH448" s="93">
        <f>ППД5[[#This Row],[Фикс 16.09.2024]]+ППД5[[#This Row],[Наценка 01.11.24
СТ: 4%
1К: 34-40м 5%; 40м+ 8%; МГН 1%
2К: 55-70м 6%; 70-73м 7%; 73-76м 8% 
3К: 5%]]</f>
        <v>110978.23051962389</v>
      </c>
      <c r="CI448" s="93"/>
      <c r="CJ448" s="93">
        <f>ППД5[[#This Row],[Наценка 06.11 13%]]+ППД5[[#This Row],[Фикс 01.11.24]]</f>
        <v>110978.23051962389</v>
      </c>
      <c r="CK448" s="93"/>
      <c r="CL448" s="93">
        <f>ППД5[[#This Row],[Фикс 06.11.24]]+ППД5[[#This Row],[Наценка 18.12.24 распределение КВ]]</f>
        <v>110978.23051962389</v>
      </c>
      <c r="CM448" s="93"/>
      <c r="CN448" s="93">
        <f>ППД5[[#This Row],[Фикс 18.12.24]]+ППД5[[#This Row],[Наценка 10.02.25 +1%
1К: А3
2К: Б3, В3]]</f>
        <v>110978.23051962389</v>
      </c>
      <c r="CO448" s="93">
        <f>ROUND(ППД5[[#This Row],[Фикс 10.02.25]],2)</f>
        <v>110978.23</v>
      </c>
      <c r="CP44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4795400</v>
      </c>
      <c r="CQ448" s="93">
        <f>ROUNDUP(ППД5[[#This Row],[Стоимость до скидки]]+ППД5[[#This Row],[Сумма доплаты]],-2)</f>
        <v>4672300</v>
      </c>
      <c r="CR448" s="68"/>
      <c r="CS448" s="90"/>
      <c r="CT448" s="68">
        <f>ППД5[[#This Row],[Стоимость до скидки]]*ППД5[[#This Row],[Скидка %]]+ППД5[[#This Row],[Скидка фиксированная]]</f>
        <v>0</v>
      </c>
      <c r="CU448" s="3">
        <f>ППД5[[#This Row],[Стоимость ОН без отделки со скидкой]]/ППД5[[#This Row],[Расчетная проектная площадь]]</f>
        <v>110978.94006017126</v>
      </c>
      <c r="CV448" s="3">
        <f>ROUND(ППД5[[#This Row],[Стоимость до скидки]]-ППД5[[#This Row],[Итоговая сумма скидки]],2)</f>
        <v>4795400</v>
      </c>
      <c r="CW44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48" s="197">
        <v>20000</v>
      </c>
      <c r="CY448" s="332">
        <f>ППД5[[#This Row],[Расхождение]]/ППД5[[#This Row],[Расчетная проектная площадь]]</f>
        <v>-2.5688498032862914E-2</v>
      </c>
      <c r="CZ44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-0.80000000000000071</v>
      </c>
      <c r="DA448" s="3">
        <f>ППД5[[#This Row],[Цена м2 без отделки со скидкой]]+ППД5[[#This Row],[Стоимость отделки]]</f>
        <v>130978.94006017126</v>
      </c>
      <c r="DB448" s="3">
        <f>ППД5[[#This Row],[Стоимость квартиры с отделкой]]-ППД5[[#This Row],[Стоимость ОН без отделки со скидкой]]</f>
        <v>864200</v>
      </c>
      <c r="DC448" s="3">
        <f>ППД5[[#This Row],[Цена м2 с отделкой]]*ППД5[[#This Row],[Расчетная проектная площадь]]</f>
        <v>5659600</v>
      </c>
      <c r="DD448" s="3"/>
      <c r="DF448" s="199" t="s">
        <v>172</v>
      </c>
      <c r="DG448" s="245" t="s">
        <v>172</v>
      </c>
      <c r="DH448" s="100" t="b">
        <f>EXACT(ППД5[[#This Row],[Статусы CRM]],ППД5[[#This Row],[Статус]])</f>
        <v>1</v>
      </c>
      <c r="DI448" s="213" t="s">
        <v>620</v>
      </c>
      <c r="DJ448" s="204"/>
      <c r="DK448" s="111" t="s">
        <v>763</v>
      </c>
      <c r="DL448" s="216" t="s">
        <v>14</v>
      </c>
      <c r="DM448" s="201" t="b">
        <f>ППД5[[#This Row],[Отделка CRM]]=ППД5[[#This Row],[Отделка]]</f>
        <v>1</v>
      </c>
      <c r="DN448" s="203">
        <v>5659600</v>
      </c>
      <c r="DO44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48" s="207" t="b">
        <f>IF(AND(ППД5[[#This Row],[Статус]]="свободно",ППД5[[#This Row],[Итоговая сумма скидки]]&lt;&gt;0),FALSE,TRUE)</f>
        <v>1</v>
      </c>
      <c r="DQ448" s="240">
        <f>_xlfn.XLOOKUP(ППД5[[#This Row],[№]],Юрист[№ кв],Юрист[Дата подачи на регистрацию]," ",0,-1)</f>
        <v>45533</v>
      </c>
      <c r="DR448" s="115" t="str">
        <f>_xlfn.XLOOKUP(ППД5[[#This Row],[№]],Юрист[№ кв],Юрист[МОП],"",0,-1)</f>
        <v>Никишов</v>
      </c>
      <c r="DS448" s="333" t="s">
        <v>3188</v>
      </c>
      <c r="DT448" s="333" t="s">
        <v>3189</v>
      </c>
      <c r="DU448" s="333">
        <v>40.799999999999997</v>
      </c>
      <c r="DV448" s="111"/>
    </row>
    <row r="449" spans="1:126" hidden="1" x14ac:dyDescent="0.25">
      <c r="A449" s="112">
        <v>447</v>
      </c>
      <c r="B449" s="111" t="s">
        <v>2</v>
      </c>
      <c r="C449" s="111">
        <v>8</v>
      </c>
      <c r="D449" s="115">
        <v>3</v>
      </c>
      <c r="E449" s="111">
        <v>0</v>
      </c>
      <c r="F449" s="105">
        <v>7.2</v>
      </c>
      <c r="G449" s="105"/>
      <c r="H449" s="105"/>
      <c r="I449" s="94">
        <f>SUM(ППД5[[#This Row],[Комната 1]:[Комната 3]])</f>
        <v>7.2</v>
      </c>
      <c r="J449" s="105">
        <v>5.17</v>
      </c>
      <c r="K449" s="105">
        <v>3.71</v>
      </c>
      <c r="L449" s="105"/>
      <c r="M449" s="105"/>
      <c r="N449" s="105">
        <v>6.96</v>
      </c>
      <c r="O449" s="105">
        <v>2.92</v>
      </c>
      <c r="P449" s="105"/>
      <c r="Q449" s="105"/>
      <c r="R449" s="105">
        <f>SUM(ППД5[[#This Row],[Лоджия 1]:[Лоджия 3]])</f>
        <v>2.92</v>
      </c>
      <c r="S449" s="8">
        <f>ROUND(SUM(ППД5[[#This Row],[Площадь по проекту жилая]:[Лоджия 3]]),2)</f>
        <v>25.96</v>
      </c>
      <c r="T449" s="8">
        <f>ROUND(ППД5[[#This Row],[Площадь по проекту(общая)]]-ППД5[[#This Row],[Летние]],2)</f>
        <v>23.04</v>
      </c>
      <c r="U449" s="91">
        <f>ROUND(ППД5[[#This Row],[Площадь по проекту(общая)]]-(SUM(ППД5[[#This Row],[Лоджия 1]:[Лоджия 3]])/2),2)</f>
        <v>24.5</v>
      </c>
      <c r="V449" s="91">
        <f>IF(ППД5[[#This Row],[Статус]]="продажа",ППД5[[#This Row],[Расчетная проектная площадь]],ППД5[[#This Row],[Расчетная ТП площадь]])</f>
        <v>24.5</v>
      </c>
      <c r="W449" s="91">
        <v>7.2</v>
      </c>
      <c r="X449" s="91"/>
      <c r="Y449" s="91"/>
      <c r="Z449" s="91">
        <f>SUM(ППД5[[#This Row],[ТП Комната 1]:[ТП Комната 3]])</f>
        <v>7.2</v>
      </c>
      <c r="AA449" s="91">
        <v>5.6</v>
      </c>
      <c r="AB449" s="91">
        <v>3.7</v>
      </c>
      <c r="AC449" s="91"/>
      <c r="AD449" s="91"/>
      <c r="AE449" s="91">
        <v>6.5</v>
      </c>
      <c r="AF449" s="91">
        <v>1.45</v>
      </c>
      <c r="AG449" s="91"/>
      <c r="AH449" s="91"/>
      <c r="AI449" s="91">
        <f>SUM(ППД5[[#This Row],[ТП Лоджия 1]:[ТП Лоджия 3]])</f>
        <v>1.45</v>
      </c>
      <c r="AJ449" s="95">
        <v>2.9</v>
      </c>
      <c r="AK449" s="91">
        <f>SUM(ППД5[[#This Row],[Площадь по ТП жилая]:[ТП Лоджия 3]])-ППД5[[#This Row],[ТП Летние]]+ППД5[[#This Row],[кроме того прочая
(без коэффициента)]]</f>
        <v>25.9</v>
      </c>
      <c r="AL449" s="95">
        <f>ППД5[[#This Row],[ТП Площадь без летних]]+(ППД5[[#This Row],[ТП Летние]])</f>
        <v>24.45</v>
      </c>
      <c r="AM449" s="91">
        <f>ППД5[[#This Row],[ТП общая S]]-ППД5[[#This Row],[кроме того прочая
(без коэффициента)]]</f>
        <v>23</v>
      </c>
      <c r="AN449" s="95">
        <f>SUM(ППД5[[#This Row],[ТП Кухня]:[ТП Коридор]])</f>
        <v>15.8</v>
      </c>
      <c r="AO449" s="91">
        <f>ППД5[[#This Row],[Расчетная ТП площадь]]-ППД5[[#This Row],[Расчетная проектная площадь]]</f>
        <v>-5.0000000000000711E-2</v>
      </c>
      <c r="AP449" s="335">
        <f>ППД5[[#This Row],[Расчетная ТП площадь]]/ППД5[[#This Row],[Расчетная проектная площадь]]-1</f>
        <v>-2.0408163265306367E-3</v>
      </c>
      <c r="AQ449" s="91">
        <f>ППД5[[#This Row],[% расхождения]]*ППД5[[#This Row],[Стоимость до скидки]]</f>
        <v>-5865.7142857143563</v>
      </c>
      <c r="AR449" s="91">
        <f>VLOOKUP(ППД5[[#This Row],[№]],наценкад5[],COLUMN(наценкад5[[#This Row],[Цена м2 с учетом всех K]]),0)</f>
        <v>91105.56</v>
      </c>
      <c r="AS449" s="8">
        <f>ППД5[[#This Row],[м2 после К]]*5%</f>
        <v>4555.2780000000002</v>
      </c>
      <c r="AT449" s="8">
        <f>ППД5[[#This Row],[м2 после К]]+ППД5[[#This Row],[Повышение 16.08.23 - 5%]]</f>
        <v>95660.838000000003</v>
      </c>
      <c r="AU449" s="93">
        <f>ППД5[[#This Row],[Фикс 16.08.23]]*3%</f>
        <v>2869.8251399999999</v>
      </c>
      <c r="AV449" s="93">
        <f>ППД5[[#This Row],[Фикс 16.08.23]]+ППД5[[#This Row],[Повышение 29.08.23 - 3%]]</f>
        <v>98530.663140000004</v>
      </c>
      <c r="AW449" s="93">
        <f>ППД5[[#This Row],[Фикс 29.08.23]]*9%</f>
        <v>8867.7596826000008</v>
      </c>
      <c r="AX449" s="93">
        <f>ППД5[[#This Row],[Фикс 29.08.23]]+ППД5[[#This Row],[Повышение 06.09.23 СТ и 1К]]</f>
        <v>107398.4228226</v>
      </c>
      <c r="AY449" s="93"/>
      <c r="AZ449" s="93">
        <f>ППД5[[#This Row],[Повышение 23.10.23  В4 ]]+ППД5[[#This Row],[Фикс 06.09.23]]</f>
        <v>107398.4228226</v>
      </c>
      <c r="BA449" s="93"/>
      <c r="BB449" s="93">
        <f>ППД5[[#This Row],[Повышение 8.11.23 1К 5%]]+ППД5[[#This Row],[Фикс 23.10.23]]</f>
        <v>107398.4228226</v>
      </c>
      <c r="BC449" s="93"/>
      <c r="BD449" s="93">
        <f>ППД5[[#This Row],[Корректировка 24.11.23 - 1К В5, 2К А2, №233]]+ППД5[[#This Row],[Фикс 8.11.23]]</f>
        <v>107398.4228226</v>
      </c>
      <c r="BE449" s="93">
        <f>ППД5[[#This Row],[Фикс 8.11.24]]*1%</f>
        <v>1073.9842282259999</v>
      </c>
      <c r="BF449" s="93">
        <f>ППД5[[#This Row],[Наценка за отделку 29.12.23 1%]]+ППД5[[#This Row],[Фикс 8.11.24]]</f>
        <v>108472.407050826</v>
      </c>
      <c r="BG449" s="93">
        <f>ППД5[[#This Row],[Фикс 29.12.23]]*5%</f>
        <v>5423.6203525413002</v>
      </c>
      <c r="BH449" s="93">
        <f>ППД5[[#This Row],[Фикс 29.12.23]]+ППД5[[#This Row],[Наценка 10.01.24 5%]]</f>
        <v>113896.0274033673</v>
      </c>
      <c r="BI449" s="93"/>
      <c r="BJ449" s="93">
        <f>ППД5[[#This Row],[Наценка 26.02.24 1 Этаж]]+ППД5[[#This Row],[Фикс 10.01.24]]</f>
        <v>113896.0274033673</v>
      </c>
      <c r="BK449" s="93">
        <f>ППД5[[#This Row],[Фикс 26.02.24]]*3%</f>
        <v>3416.880822101019</v>
      </c>
      <c r="BL449" s="93">
        <f>ППД5[[#This Row],[Фикс 26.02.24]]+ППД5[[#This Row],[Наценка 06.03.24
СТ, 1К - 3%
2К, 3К - 2%]]</f>
        <v>117312.90822546833</v>
      </c>
      <c r="BM449" s="93"/>
      <c r="BN449" s="93">
        <f>ППД5[[#This Row],[Фикс 06.03.24]]+ППД5[[#This Row],[Наценка Г2+500]]</f>
        <v>117312.90822546833</v>
      </c>
      <c r="BO449" s="93"/>
      <c r="BP449" s="93">
        <f>ППД5[[#This Row],[Фикс 13.03.25]]+ППД5[[#This Row],[Наценка 20.03.24
2К, 3К - 2%]]</f>
        <v>117312.90822546833</v>
      </c>
      <c r="BQ449" s="93"/>
      <c r="BR449" s="93">
        <f>ППД5[[#This Row],[Фикс 20.03.24]]+ППД5[[#This Row],[Наценка 08.04.24 
2К: В3 - 150
3К: Г7 +1000]]</f>
        <v>117312.90822546833</v>
      </c>
      <c r="BS449" s="93"/>
      <c r="BT449" s="93">
        <f>ППД5[[#This Row],[Фикс 08.04.24]]+ППД5[[#This Row],[Наценка 16.05.24 1%
А4,А6,Б3,Б6,Б7,В2,В3,В5,В6,Г1,Г3-Г5]]</f>
        <v>117312.90822546833</v>
      </c>
      <c r="BU449" s="93"/>
      <c r="BV449" s="93">
        <f>ППД5[[#This Row],[Фикс 16.05.24]]+ППД5[[#This Row],[Наценка 24.05.24
1% - Б4, Б5,Г2,Г6
2% - А1,А3,А5,Б2,Г7]]</f>
        <v>117312.90822546833</v>
      </c>
      <c r="BW449" s="93"/>
      <c r="BX449" s="93">
        <f>ППД5[[#This Row],[Наценка 06.06.24
0К: В2,Г3 +0,5%
1К: А7, Б5/4, Г6 +0,5%
3К: В6 +0,5%
1К: А3 +1%]]+ППД5[[#This Row],[Фикс 24.05.24]]</f>
        <v>117312.90822546833</v>
      </c>
      <c r="BY449" s="93"/>
      <c r="BZ449" s="93">
        <f>ППД5[[#This Row],[Фикс 06.06.24]]+ППД5[[#This Row],[13.06.2024
3К - 2%]]</f>
        <v>117312.90822546833</v>
      </c>
      <c r="CA449" s="93"/>
      <c r="CB449" s="93">
        <f>ППД5[[#This Row],[02.07.2024: Г3 А1 А3 Б5 Б7 Г2 Г6 Б3 Б4 В3 Г7 2,5% ост 0,5-1,5%]]+ППД5[[#This Row],[Фикс 13.06.24]]</f>
        <v>117312.90822546833</v>
      </c>
      <c r="CC449" s="93"/>
      <c r="CD449" s="93">
        <f>ППД5[[#This Row],[Фикс 02.07.24]]+ППД5[[#This Row],[04.09.2024 +500
0К - Б2; 1К - А3;
2К - А6, Б4, В3, Г5]]</f>
        <v>117312.90822546833</v>
      </c>
      <c r="CE449" s="93"/>
      <c r="CF449" s="93">
        <f>ППД5[[#This Row],[Наценка 16.09.2024
1К: А1,В7,Г6/7,Г8 - 2%
2К: А4,А5,А6,Б1,Б6,Б3/4,В3,В4,Г4,Г5 - 4%
3К: 4%]]+ППД5[[#This Row],[Фикс 04.09.24]]</f>
        <v>117312.90822546833</v>
      </c>
      <c r="CG449" s="93"/>
      <c r="CH449" s="93">
        <f>ППД5[[#This Row],[Фикс 16.09.2024]]+ППД5[[#This Row],[Наценка 01.11.24
СТ: 4%
1К: 34-40м 5%; 40м+ 8%; МГН 1%
2К: 55-70м 6%; 70-73м 7%; 73-76м 8% 
3К: 5%]]</f>
        <v>117312.90822546833</v>
      </c>
      <c r="CI449" s="93"/>
      <c r="CJ449" s="93">
        <f>ППД5[[#This Row],[Наценка 06.11 13%]]+ППД5[[#This Row],[Фикс 01.11.24]]</f>
        <v>117312.90822546833</v>
      </c>
      <c r="CK449" s="93"/>
      <c r="CL449" s="93">
        <f>ППД5[[#This Row],[Фикс 06.11.24]]+ППД5[[#This Row],[Наценка 18.12.24 распределение КВ]]</f>
        <v>117312.90822546833</v>
      </c>
      <c r="CM449" s="93"/>
      <c r="CN449" s="93">
        <f>ППД5[[#This Row],[Фикс 18.12.24]]+ППД5[[#This Row],[Наценка 10.02.25 +1%
1К: А3
2К: Б3, В3]]</f>
        <v>117312.90822546833</v>
      </c>
      <c r="CO449" s="93">
        <f>ROUND(ППД5[[#This Row],[Фикс 10.02.25]],2)</f>
        <v>117312.91</v>
      </c>
      <c r="CP44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2874200</v>
      </c>
      <c r="CQ449" s="93">
        <f>ROUNDUP(ППД5[[#This Row],[Стоимость до скидки]]+ППД5[[#This Row],[Сумма доплаты]],-2)</f>
        <v>2868400</v>
      </c>
      <c r="CR449" s="68"/>
      <c r="CS449" s="90"/>
      <c r="CT449" s="68">
        <f>ППД5[[#This Row],[Стоимость до скидки]]*ППД5[[#This Row],[Скидка %]]+ППД5[[#This Row],[Скидка фиксированная]]</f>
        <v>0</v>
      </c>
      <c r="CU449" s="3">
        <f>ППД5[[#This Row],[Стоимость ОН без отделки со скидкой]]/ППД5[[#This Row],[Расчетная проектная площадь]]</f>
        <v>117314.28571428571</v>
      </c>
      <c r="CV449" s="3">
        <f>ROUND(ППД5[[#This Row],[Стоимость до скидки]]-ППД5[[#This Row],[Итоговая сумма скидки]],2)</f>
        <v>2874200</v>
      </c>
      <c r="CW44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449" s="197">
        <v>7000</v>
      </c>
      <c r="CY449" s="332">
        <f>ППД5[[#This Row],[Расхождение]]/ППД5[[#This Row],[Расчетная проектная площадь]]</f>
        <v>-2.0408163265306411E-3</v>
      </c>
      <c r="CZ44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-4.0000000000000036E-2</v>
      </c>
      <c r="DA449" s="3">
        <f>ППД5[[#This Row],[Цена м2 без отделки со скидкой]]+ППД5[[#This Row],[Стоимость отделки]]</f>
        <v>124314.28571428571</v>
      </c>
      <c r="DB449" s="3">
        <f>ППД5[[#This Row],[Стоимость квартиры с отделкой]]-ППД5[[#This Row],[Стоимость ОН без отделки со скидкой]]</f>
        <v>171500</v>
      </c>
      <c r="DC449" s="3">
        <f>ППД5[[#This Row],[Цена м2 с отделкой]]*ППД5[[#This Row],[Расчетная проектная площадь]]</f>
        <v>3045700</v>
      </c>
      <c r="DD449" s="3"/>
      <c r="DF449" s="199" t="s">
        <v>172</v>
      </c>
      <c r="DG449" s="245" t="s">
        <v>172</v>
      </c>
      <c r="DH449" s="100" t="b">
        <f>EXACT(ППД5[[#This Row],[Статусы CRM]],ППД5[[#This Row],[Статус]])</f>
        <v>1</v>
      </c>
      <c r="DI449" s="213" t="s">
        <v>621</v>
      </c>
      <c r="DJ449" s="204"/>
      <c r="DK449" s="111" t="s">
        <v>763</v>
      </c>
      <c r="DL449" s="216" t="s">
        <v>780</v>
      </c>
      <c r="DM449" s="201" t="b">
        <f>ППД5[[#This Row],[Отделка CRM]]=ППД5[[#This Row],[Отделка]]</f>
        <v>1</v>
      </c>
      <c r="DN449" s="203">
        <v>3045700</v>
      </c>
      <c r="DO44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49" s="207" t="b">
        <f>IF(AND(ППД5[[#This Row],[Статус]]="свободно",ППД5[[#This Row],[Итоговая сумма скидки]]&lt;&gt;0),FALSE,TRUE)</f>
        <v>1</v>
      </c>
      <c r="DQ449" s="240">
        <f>_xlfn.XLOOKUP(ППД5[[#This Row],[№]],Юрист[№ кв],Юрист[Дата подачи на регистрацию]," ",0,-1)</f>
        <v>45407</v>
      </c>
      <c r="DR449" s="115" t="str">
        <f>_xlfn.XLOOKUP(ППД5[[#This Row],[№]],Юрист[№ кв],Юрист[МОП],"",0,-1)</f>
        <v>Голенко</v>
      </c>
      <c r="DS449" s="333" t="s">
        <v>3190</v>
      </c>
      <c r="DT449" s="333" t="s">
        <v>3191</v>
      </c>
      <c r="DU449" s="333">
        <v>23</v>
      </c>
      <c r="DV449" s="111"/>
    </row>
    <row r="450" spans="1:126" hidden="1" x14ac:dyDescent="0.25">
      <c r="A450" s="112">
        <v>448</v>
      </c>
      <c r="B450" s="111" t="s">
        <v>2</v>
      </c>
      <c r="C450" s="111">
        <v>8</v>
      </c>
      <c r="D450" s="115">
        <v>4</v>
      </c>
      <c r="E450" s="111">
        <v>2</v>
      </c>
      <c r="F450" s="105">
        <v>14.48</v>
      </c>
      <c r="G450" s="105">
        <v>11.42</v>
      </c>
      <c r="H450" s="105"/>
      <c r="I450" s="94">
        <f>SUM(ППД5[[#This Row],[Комната 1]:[Комната 3]])</f>
        <v>25.9</v>
      </c>
      <c r="J450" s="105">
        <v>15.86</v>
      </c>
      <c r="K450" s="105">
        <v>3.01</v>
      </c>
      <c r="L450" s="105">
        <v>2.67</v>
      </c>
      <c r="M450" s="105"/>
      <c r="N450" s="105">
        <v>9.44</v>
      </c>
      <c r="O450" s="105">
        <v>2.72</v>
      </c>
      <c r="P450" s="105"/>
      <c r="Q450" s="105"/>
      <c r="R450" s="105">
        <f>SUM(ППД5[[#This Row],[Лоджия 1]:[Лоджия 3]])</f>
        <v>2.72</v>
      </c>
      <c r="S450" s="8">
        <f>ROUND(SUM(ППД5[[#This Row],[Площадь по проекту жилая]:[Лоджия 3]]),2)</f>
        <v>59.6</v>
      </c>
      <c r="T450" s="8">
        <f>ROUND(ППД5[[#This Row],[Площадь по проекту(общая)]]-ППД5[[#This Row],[Летние]],2)</f>
        <v>56.88</v>
      </c>
      <c r="U450" s="91">
        <f>ROUND(ППД5[[#This Row],[Площадь по проекту(общая)]]-(SUM(ППД5[[#This Row],[Лоджия 1]:[Лоджия 3]])/2),2)</f>
        <v>58.24</v>
      </c>
      <c r="V450" s="91">
        <f>IF(ППД5[[#This Row],[Статус]]="продажа",ППД5[[#This Row],[Расчетная проектная площадь]],ППД5[[#This Row],[Расчетная ТП площадь]])</f>
        <v>58.24</v>
      </c>
      <c r="W450" s="91">
        <v>14.3</v>
      </c>
      <c r="X450" s="91">
        <v>11.2</v>
      </c>
      <c r="Y450" s="91"/>
      <c r="Z450" s="91">
        <f>SUM(ППД5[[#This Row],[ТП Комната 1]:[ТП Комната 3]])</f>
        <v>25.5</v>
      </c>
      <c r="AA450" s="91">
        <v>15.7</v>
      </c>
      <c r="AB450" s="91">
        <v>2.7</v>
      </c>
      <c r="AC450" s="91">
        <v>3</v>
      </c>
      <c r="AD450" s="91"/>
      <c r="AE450" s="91">
        <v>9.5</v>
      </c>
      <c r="AF450" s="91">
        <v>1.35</v>
      </c>
      <c r="AG450" s="91"/>
      <c r="AH450" s="91"/>
      <c r="AI450" s="91">
        <f>SUM(ППД5[[#This Row],[ТП Лоджия 1]:[ТП Лоджия 3]])</f>
        <v>1.35</v>
      </c>
      <c r="AJ450" s="95">
        <v>2.7</v>
      </c>
      <c r="AK450" s="91">
        <f>SUM(ППД5[[#This Row],[Площадь по ТП жилая]:[ТП Лоджия 3]])-ППД5[[#This Row],[ТП Летние]]+ППД5[[#This Row],[кроме того прочая
(без коэффициента)]]</f>
        <v>59.100000000000009</v>
      </c>
      <c r="AL450" s="95">
        <f>ППД5[[#This Row],[ТП Площадь без летних]]+(ППД5[[#This Row],[ТП Летние]])</f>
        <v>57.750000000000007</v>
      </c>
      <c r="AM450" s="91">
        <f>ППД5[[#This Row],[ТП общая S]]-ППД5[[#This Row],[кроме того прочая
(без коэффициента)]]</f>
        <v>56.400000000000006</v>
      </c>
      <c r="AN450" s="95">
        <f>SUM(ППД5[[#This Row],[ТП Кухня]:[ТП Коридор]])</f>
        <v>30.9</v>
      </c>
      <c r="AO450" s="91">
        <f>ППД5[[#This Row],[Расчетная ТП площадь]]-ППД5[[#This Row],[Расчетная проектная площадь]]</f>
        <v>-0.48999999999999488</v>
      </c>
      <c r="AP450" s="335">
        <f>ППД5[[#This Row],[Расчетная ТП площадь]]/ППД5[[#This Row],[Расчетная проектная площадь]]-1</f>
        <v>-8.4134615384614531E-3</v>
      </c>
      <c r="AQ450" s="91">
        <f>ППД5[[#This Row],[% расхождения]]*ППД5[[#This Row],[Стоимость до скидки]]</f>
        <v>-38972.478293268832</v>
      </c>
      <c r="AR450" s="91">
        <f>VLOOKUP(ППД5[[#This Row],[№]],наценкад5[],COLUMN(наценкад5[[#This Row],[Цена м2 с учетом всех K]]),0)</f>
        <v>79535.67300000001</v>
      </c>
      <c r="AS450" s="8"/>
      <c r="AT450" s="8">
        <f>ППД5[[#This Row],[м2 после К]]+ППД5[[#This Row],[Повышение 16.08.23 - 5%]]</f>
        <v>79535.67300000001</v>
      </c>
      <c r="AU450" s="93"/>
      <c r="AV450" s="93">
        <f>ППД5[[#This Row],[Фикс 16.08.23]]+ППД5[[#This Row],[Повышение 29.08.23 - 3%]]</f>
        <v>79535.67300000001</v>
      </c>
      <c r="AW450" s="93"/>
      <c r="AX450" s="93">
        <f>ППД5[[#This Row],[Фикс 29.08.23]]+ППД5[[#This Row],[Повышение 06.09.23 СТ и 1К]]</f>
        <v>79535.67300000001</v>
      </c>
      <c r="AY450" s="93"/>
      <c r="AZ450" s="93">
        <f>ППД5[[#This Row],[Повышение 23.10.23  В4 ]]+ППД5[[#This Row],[Фикс 06.09.23]]</f>
        <v>79535.67300000001</v>
      </c>
      <c r="BA450" s="93"/>
      <c r="BB450" s="93">
        <f>ППД5[[#This Row],[Повышение 8.11.23 1К 5%]]+ППД5[[#This Row],[Фикс 23.10.23]]</f>
        <v>79535.67300000001</v>
      </c>
      <c r="BC450" s="93"/>
      <c r="BD450" s="93">
        <f>ППД5[[#This Row],[Корректировка 24.11.23 - 1К В5, 2К А2, №233]]+ППД5[[#This Row],[Фикс 8.11.23]]</f>
        <v>79535.67300000001</v>
      </c>
      <c r="BE450" s="93"/>
      <c r="BF450" s="93">
        <f>ППД5[[#This Row],[Наценка за отделку 29.12.23 1%]]+ППД5[[#This Row],[Фикс 8.11.24]]</f>
        <v>79535.67300000001</v>
      </c>
      <c r="BG450" s="93"/>
      <c r="BH450" s="93">
        <f>ППД5[[#This Row],[Фикс 29.12.23]]+ППД5[[#This Row],[Наценка 10.01.24 5%]]</f>
        <v>79535.67300000001</v>
      </c>
      <c r="BI450" s="93"/>
      <c r="BJ450" s="93">
        <f>ППД5[[#This Row],[Наценка 26.02.24 1 Этаж]]+ППД5[[#This Row],[Фикс 10.01.24]]</f>
        <v>79535.67300000001</v>
      </c>
      <c r="BK450" s="93"/>
      <c r="BL450" s="93">
        <f>ППД5[[#This Row],[Фикс 26.02.24]]+ППД5[[#This Row],[Наценка 06.03.24
СТ, 1К - 3%
2К, 3К - 2%]]</f>
        <v>79535.67300000001</v>
      </c>
      <c r="BM450" s="93"/>
      <c r="BN450" s="93">
        <f>ППД5[[#This Row],[Фикс 06.03.24]]+ППД5[[#This Row],[Наценка Г2+500]]</f>
        <v>79535.67300000001</v>
      </c>
      <c r="BO450" s="93"/>
      <c r="BP450" s="93">
        <f>ППД5[[#This Row],[Фикс 13.03.25]]+ППД5[[#This Row],[Наценка 20.03.24
2К, 3К - 2%]]</f>
        <v>79535.67300000001</v>
      </c>
      <c r="BQ450" s="93"/>
      <c r="BR450" s="93">
        <f>ППД5[[#This Row],[Фикс 20.03.24]]+ППД5[[#This Row],[Наценка 08.04.24 
2К: В3 - 150
3К: Г7 +1000]]</f>
        <v>79535.67300000001</v>
      </c>
      <c r="BS450" s="93"/>
      <c r="BT450" s="93">
        <f>ППД5[[#This Row],[Фикс 08.04.24]]+ППД5[[#This Row],[Наценка 16.05.24 1%
А4,А6,Б3,Б6,Б7,В2,В3,В5,В6,Г1,Г3-Г5]]</f>
        <v>79535.67300000001</v>
      </c>
      <c r="BU450" s="93"/>
      <c r="BV450" s="93">
        <f>ППД5[[#This Row],[Фикс 16.05.24]]+ППД5[[#This Row],[Наценка 24.05.24
1% - Б4, Б5,Г2,Г6
2% - А1,А3,А5,Б2,Г7]]</f>
        <v>79535.67300000001</v>
      </c>
      <c r="BW450" s="93"/>
      <c r="BX450" s="93">
        <f>ППД5[[#This Row],[Наценка 06.06.24
0К: В2,Г3 +0,5%
1К: А7, Б5/4, Г6 +0,5%
3К: В6 +0,5%
1К: А3 +1%]]+ППД5[[#This Row],[Фикс 24.05.24]]</f>
        <v>79535.67300000001</v>
      </c>
      <c r="BY450" s="93"/>
      <c r="BZ450" s="93">
        <f>ППД5[[#This Row],[Фикс 06.06.24]]+ППД5[[#This Row],[13.06.2024
3К - 2%]]</f>
        <v>79535.67300000001</v>
      </c>
      <c r="CA450" s="93"/>
      <c r="CB450" s="93">
        <f>ППД5[[#This Row],[02.07.2024: Г3 А1 А3 Б5 Б7 Г2 Г6 Б3 Б4 В3 Г7 2,5% ост 0,5-1,5%]]+ППД5[[#This Row],[Фикс 13.06.24]]</f>
        <v>79535.67300000001</v>
      </c>
      <c r="CC450" s="93"/>
      <c r="CD450" s="93">
        <f>ППД5[[#This Row],[Фикс 02.07.24]]+ППД5[[#This Row],[04.09.2024 +500
0К - Б2; 1К - А3;
2К - А6, Б4, В3, Г5]]</f>
        <v>79535.67300000001</v>
      </c>
      <c r="CE450" s="93"/>
      <c r="CF450" s="93">
        <f>ППД5[[#This Row],[Наценка 16.09.2024
1К: А1,В7,Г6/7,Г8 - 2%
2К: А4,А5,А6,Б1,Б6,Б3/4,В3,В4,Г4,Г5 - 4%
3К: 4%]]+ППД5[[#This Row],[Фикс 04.09.24]]</f>
        <v>79535.67300000001</v>
      </c>
      <c r="CG450" s="93"/>
      <c r="CH450" s="93">
        <f>ППД5[[#This Row],[Фикс 16.09.2024]]+ППД5[[#This Row],[Наценка 01.11.24
СТ: 4%
1К: 34-40м 5%; 40м+ 8%; МГН 1%
2К: 55-70м 6%; 70-73м 7%; 73-76м 8% 
3К: 5%]]</f>
        <v>79535.67300000001</v>
      </c>
      <c r="CI450" s="93"/>
      <c r="CJ450" s="93">
        <f>ППД5[[#This Row],[Наценка 06.11 13%]]+ППД5[[#This Row],[Фикс 01.11.24]]</f>
        <v>79535.67300000001</v>
      </c>
      <c r="CK450" s="93"/>
      <c r="CL450" s="93">
        <f>ППД5[[#This Row],[Фикс 06.11.24]]+ППД5[[#This Row],[Наценка 18.12.24 распределение КВ]]</f>
        <v>79535.67300000001</v>
      </c>
      <c r="CM450" s="93"/>
      <c r="CN450" s="93">
        <f>ППД5[[#This Row],[Фикс 18.12.24]]+ППД5[[#This Row],[Наценка 10.02.25 +1%
1К: А3
2К: Б3, В3]]</f>
        <v>79535.67300000001</v>
      </c>
      <c r="CO450" s="93">
        <f>ROUND(ППД5[[#This Row],[Фикс 10.02.25]],2)</f>
        <v>79535.67</v>
      </c>
      <c r="CP45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4632157.42</v>
      </c>
      <c r="CQ450" s="93">
        <f>ROUNDUP(ППД5[[#This Row],[Стоимость до скидки]]+ППД5[[#This Row],[Сумма доплаты]],-2)</f>
        <v>4593200</v>
      </c>
      <c r="CR450" s="68"/>
      <c r="CS450" s="90"/>
      <c r="CT450" s="68">
        <f>ППД5[[#This Row],[Стоимость до скидки]]*ППД5[[#This Row],[Скидка %]]+ППД5[[#This Row],[Скидка фиксированная]]</f>
        <v>0</v>
      </c>
      <c r="CU450" s="3">
        <f>ППД5[[#This Row],[Стоимость ОН без отделки со скидкой]]/ППД5[[#This Row],[Расчетная проектная площадь]]</f>
        <v>79535.669986263732</v>
      </c>
      <c r="CV450" s="3">
        <f>ROUND(ППД5[[#This Row],[Стоимость до скидки]]-ППД5[[#This Row],[Итоговая сумма скидки]],2)</f>
        <v>4632157.42</v>
      </c>
      <c r="CW45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450" s="197">
        <v>4500</v>
      </c>
      <c r="CY450" s="332">
        <f>ППД5[[#This Row],[Расхождение]]/ППД5[[#This Row],[Расчетная проектная площадь]]</f>
        <v>-8.4134615384614496E-3</v>
      </c>
      <c r="CZ45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-8.0000000000000071E-2</v>
      </c>
      <c r="DA450" s="3">
        <f>ППД5[[#This Row],[Цена м2 без отделки со скидкой]]+ППД5[[#This Row],[Стоимость отделки]]</f>
        <v>84035.669986263732</v>
      </c>
      <c r="DB450" s="3">
        <f>ППД5[[#This Row],[Стоимость квартиры с отделкой]]-ППД5[[#This Row],[Стоимость ОН без отделки со скидкой]]</f>
        <v>262080</v>
      </c>
      <c r="DC450" s="3">
        <f>ППД5[[#This Row],[Цена м2 с отделкой]]*ППД5[[#This Row],[Расчетная проектная площадь]]</f>
        <v>4894237.42</v>
      </c>
      <c r="DD450" s="3"/>
      <c r="DF450" s="199" t="s">
        <v>172</v>
      </c>
      <c r="DG450" s="245" t="s">
        <v>172</v>
      </c>
      <c r="DH450" s="100" t="b">
        <f>EXACT(ППД5[[#This Row],[Статусы CRM]],ППД5[[#This Row],[Статус]])</f>
        <v>1</v>
      </c>
      <c r="DI450" s="213" t="s">
        <v>622</v>
      </c>
      <c r="DJ450" s="204"/>
      <c r="DK450" s="111" t="s">
        <v>76</v>
      </c>
      <c r="DL450" s="216" t="s">
        <v>13</v>
      </c>
      <c r="DM450" s="201" t="b">
        <f>ППД5[[#This Row],[Отделка CRM]]=ППД5[[#This Row],[Отделка]]</f>
        <v>1</v>
      </c>
      <c r="DN450" s="203">
        <v>4894237.42</v>
      </c>
      <c r="DO45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50" s="207" t="b">
        <f>IF(AND(ППД5[[#This Row],[Статус]]="свободно",ППД5[[#This Row],[Итоговая сумма скидки]]&lt;&gt;0),FALSE,TRUE)</f>
        <v>1</v>
      </c>
      <c r="DQ450" s="240">
        <f>_xlfn.XLOOKUP(ППД5[[#This Row],[№]],Юрист[№ кв],Юрист[Дата подачи на регистрацию]," ",0,-1)</f>
        <v>45188</v>
      </c>
      <c r="DR450" s="115" t="str">
        <f>_xlfn.XLOOKUP(ППД5[[#This Row],[№]],Юрист[№ кв],Юрист[МОП],"",0,-1)</f>
        <v>Никишов</v>
      </c>
      <c r="DS450" s="333" t="s">
        <v>3192</v>
      </c>
      <c r="DT450" s="333" t="s">
        <v>3193</v>
      </c>
      <c r="DU450" s="333">
        <v>56.4</v>
      </c>
      <c r="DV450" s="111"/>
    </row>
    <row r="451" spans="1:126" hidden="1" x14ac:dyDescent="0.25">
      <c r="A451" s="112">
        <v>449</v>
      </c>
      <c r="B451" s="111" t="s">
        <v>2</v>
      </c>
      <c r="C451" s="111">
        <v>8</v>
      </c>
      <c r="D451" s="115">
        <v>5</v>
      </c>
      <c r="E451" s="111">
        <v>2</v>
      </c>
      <c r="F451" s="105">
        <v>15.41</v>
      </c>
      <c r="G451" s="105">
        <v>12.78</v>
      </c>
      <c r="H451" s="105"/>
      <c r="I451" s="94">
        <f>SUM(ППД5[[#This Row],[Комната 1]:[Комната 3]])</f>
        <v>28.189999999999998</v>
      </c>
      <c r="J451" s="105">
        <v>13.45</v>
      </c>
      <c r="K451" s="105">
        <v>3.7</v>
      </c>
      <c r="L451" s="105">
        <v>2.72</v>
      </c>
      <c r="M451" s="105"/>
      <c r="N451" s="105">
        <v>8.2200000000000006</v>
      </c>
      <c r="O451" s="105">
        <v>3.03</v>
      </c>
      <c r="P451" s="105"/>
      <c r="Q451" s="105"/>
      <c r="R451" s="105">
        <f>SUM(ППД5[[#This Row],[Лоджия 1]:[Лоджия 3]])</f>
        <v>3.03</v>
      </c>
      <c r="S451" s="8">
        <f>ROUND(SUM(ППД5[[#This Row],[Площадь по проекту жилая]:[Лоджия 3]]),2)</f>
        <v>59.31</v>
      </c>
      <c r="T451" s="8">
        <f>ROUND(ППД5[[#This Row],[Площадь по проекту(общая)]]-ППД5[[#This Row],[Летние]],2)</f>
        <v>56.28</v>
      </c>
      <c r="U451" s="91">
        <f>ROUND(ППД5[[#This Row],[Площадь по проекту(общая)]]-(SUM(ППД5[[#This Row],[Лоджия 1]:[Лоджия 3]])/2),2)</f>
        <v>57.8</v>
      </c>
      <c r="V451" s="91">
        <f>IF(ППД5[[#This Row],[Статус]]="продажа",ППД5[[#This Row],[Расчетная проектная площадь]],ППД5[[#This Row],[Расчетная ТП площадь]])</f>
        <v>57.8</v>
      </c>
      <c r="W451" s="91">
        <v>12.6</v>
      </c>
      <c r="X451" s="91">
        <v>15.4</v>
      </c>
      <c r="Y451" s="91"/>
      <c r="Z451" s="91">
        <f>SUM(ППД5[[#This Row],[ТП Комната 1]:[ТП Комната 3]])</f>
        <v>28</v>
      </c>
      <c r="AA451" s="91">
        <v>13.5</v>
      </c>
      <c r="AB451" s="91">
        <v>2.7</v>
      </c>
      <c r="AC451" s="91">
        <v>3.7</v>
      </c>
      <c r="AD451" s="91"/>
      <c r="AE451" s="91">
        <v>8.1</v>
      </c>
      <c r="AF451" s="91">
        <v>1.5</v>
      </c>
      <c r="AG451" s="91"/>
      <c r="AH451" s="91"/>
      <c r="AI451" s="91">
        <f>SUM(ППД5[[#This Row],[ТП Лоджия 1]:[ТП Лоджия 3]])</f>
        <v>1.5</v>
      </c>
      <c r="AJ451" s="95">
        <v>3</v>
      </c>
      <c r="AK451" s="91">
        <f>SUM(ППД5[[#This Row],[Площадь по ТП жилая]:[ТП Лоджия 3]])-ППД5[[#This Row],[ТП Летние]]+ППД5[[#This Row],[кроме того прочая
(без коэффициента)]]</f>
        <v>59.000000000000007</v>
      </c>
      <c r="AL451" s="95">
        <f>ППД5[[#This Row],[ТП Площадь без летних]]+(ППД5[[#This Row],[ТП Летние]])</f>
        <v>57.500000000000007</v>
      </c>
      <c r="AM451" s="91">
        <f>ППД5[[#This Row],[ТП общая S]]-ППД5[[#This Row],[кроме того прочая
(без коэффициента)]]</f>
        <v>56.000000000000007</v>
      </c>
      <c r="AN451" s="95">
        <f>SUM(ППД5[[#This Row],[ТП Кухня]:[ТП Коридор]])</f>
        <v>28</v>
      </c>
      <c r="AO451" s="91">
        <f>ППД5[[#This Row],[Расчетная ТП площадь]]-ППД5[[#This Row],[Расчетная проектная площадь]]</f>
        <v>-0.29999999999999005</v>
      </c>
      <c r="AP451" s="335">
        <f>ППД5[[#This Row],[Расчетная ТП площадь]]/ППД5[[#This Row],[Расчетная проектная площадь]]-1</f>
        <v>-5.1903114186849786E-3</v>
      </c>
      <c r="AQ451" s="91">
        <f>ППД5[[#This Row],[% расхождения]]*ППД5[[#This Row],[Стоимость до скидки]]</f>
        <v>-23744.873979238102</v>
      </c>
      <c r="AR451" s="91">
        <f>VLOOKUP(ППД5[[#This Row],[№]],наценкад5[],COLUMN(наценкад5[[#This Row],[Цена м2 с учетом всех K]]),0)</f>
        <v>79149.577499999999</v>
      </c>
      <c r="AS451" s="8"/>
      <c r="AT451" s="8">
        <f>ППД5[[#This Row],[м2 после К]]+ППД5[[#This Row],[Повышение 16.08.23 - 5%]]</f>
        <v>79149.577499999999</v>
      </c>
      <c r="AU451" s="93"/>
      <c r="AV451" s="93">
        <f>ППД5[[#This Row],[Фикс 16.08.23]]+ППД5[[#This Row],[Повышение 29.08.23 - 3%]]</f>
        <v>79149.577499999999</v>
      </c>
      <c r="AW451" s="93"/>
      <c r="AX451" s="93">
        <f>ППД5[[#This Row],[Фикс 29.08.23]]+ППД5[[#This Row],[Повышение 06.09.23 СТ и 1К]]</f>
        <v>79149.577499999999</v>
      </c>
      <c r="AY451" s="93"/>
      <c r="AZ451" s="93">
        <f>ППД5[[#This Row],[Повышение 23.10.23  В4 ]]+ППД5[[#This Row],[Фикс 06.09.23]]</f>
        <v>79149.577499999999</v>
      </c>
      <c r="BA451" s="93"/>
      <c r="BB451" s="93">
        <f>ППД5[[#This Row],[Повышение 8.11.23 1К 5%]]+ППД5[[#This Row],[Фикс 23.10.23]]</f>
        <v>79149.577499999999</v>
      </c>
      <c r="BC451" s="93"/>
      <c r="BD451" s="93">
        <f>ППД5[[#This Row],[Корректировка 24.11.23 - 1К В5, 2К А2, №233]]+ППД5[[#This Row],[Фикс 8.11.23]]</f>
        <v>79149.577499999999</v>
      </c>
      <c r="BE451" s="93"/>
      <c r="BF451" s="93">
        <f>ППД5[[#This Row],[Наценка за отделку 29.12.23 1%]]+ППД5[[#This Row],[Фикс 8.11.24]]</f>
        <v>79149.577499999999</v>
      </c>
      <c r="BG451" s="93"/>
      <c r="BH451" s="93">
        <f>ППД5[[#This Row],[Фикс 29.12.23]]+ППД5[[#This Row],[Наценка 10.01.24 5%]]</f>
        <v>79149.577499999999</v>
      </c>
      <c r="BI451" s="93"/>
      <c r="BJ451" s="93">
        <f>ППД5[[#This Row],[Наценка 26.02.24 1 Этаж]]+ППД5[[#This Row],[Фикс 10.01.24]]</f>
        <v>79149.577499999999</v>
      </c>
      <c r="BK451" s="93"/>
      <c r="BL451" s="93">
        <f>ППД5[[#This Row],[Фикс 26.02.24]]+ППД5[[#This Row],[Наценка 06.03.24
СТ, 1К - 3%
2К, 3К - 2%]]</f>
        <v>79149.577499999999</v>
      </c>
      <c r="BM451" s="93"/>
      <c r="BN451" s="93">
        <f>ППД5[[#This Row],[Фикс 06.03.24]]+ППД5[[#This Row],[Наценка Г2+500]]</f>
        <v>79149.577499999999</v>
      </c>
      <c r="BO451" s="93"/>
      <c r="BP451" s="93">
        <f>ППД5[[#This Row],[Фикс 13.03.25]]+ППД5[[#This Row],[Наценка 20.03.24
2К, 3К - 2%]]</f>
        <v>79149.577499999999</v>
      </c>
      <c r="BQ451" s="93"/>
      <c r="BR451" s="93">
        <f>ППД5[[#This Row],[Фикс 20.03.24]]+ППД5[[#This Row],[Наценка 08.04.24 
2К: В3 - 150
3К: Г7 +1000]]</f>
        <v>79149.577499999999</v>
      </c>
      <c r="BS451" s="93"/>
      <c r="BT451" s="93">
        <f>ППД5[[#This Row],[Фикс 08.04.24]]+ППД5[[#This Row],[Наценка 16.05.24 1%
А4,А6,Б3,Б6,Б7,В2,В3,В5,В6,Г1,Г3-Г5]]</f>
        <v>79149.577499999999</v>
      </c>
      <c r="BU451" s="93"/>
      <c r="BV451" s="93">
        <f>ППД5[[#This Row],[Фикс 16.05.24]]+ППД5[[#This Row],[Наценка 24.05.24
1% - Б4, Б5,Г2,Г6
2% - А1,А3,А5,Б2,Г7]]</f>
        <v>79149.577499999999</v>
      </c>
      <c r="BW451" s="93"/>
      <c r="BX451" s="93">
        <f>ППД5[[#This Row],[Наценка 06.06.24
0К: В2,Г3 +0,5%
1К: А7, Б5/4, Г6 +0,5%
3К: В6 +0,5%
1К: А3 +1%]]+ППД5[[#This Row],[Фикс 24.05.24]]</f>
        <v>79149.577499999999</v>
      </c>
      <c r="BY451" s="93"/>
      <c r="BZ451" s="93">
        <f>ППД5[[#This Row],[Фикс 06.06.24]]+ППД5[[#This Row],[13.06.2024
3К - 2%]]</f>
        <v>79149.577499999999</v>
      </c>
      <c r="CA451" s="93"/>
      <c r="CB451" s="93">
        <f>ППД5[[#This Row],[02.07.2024: Г3 А1 А3 Б5 Б7 Г2 Г6 Б3 Б4 В3 Г7 2,5% ост 0,5-1,5%]]+ППД5[[#This Row],[Фикс 13.06.24]]</f>
        <v>79149.577499999999</v>
      </c>
      <c r="CC451" s="93"/>
      <c r="CD451" s="93">
        <f>ППД5[[#This Row],[Фикс 02.07.24]]+ППД5[[#This Row],[04.09.2024 +500
0К - Б2; 1К - А3;
2К - А6, Б4, В3, Г5]]</f>
        <v>79149.577499999999</v>
      </c>
      <c r="CE451" s="93"/>
      <c r="CF451" s="93">
        <f>ППД5[[#This Row],[Наценка 16.09.2024
1К: А1,В7,Г6/7,Г8 - 2%
2К: А4,А5,А6,Б1,Б6,Б3/4,В3,В4,Г4,Г5 - 4%
3К: 4%]]+ППД5[[#This Row],[Фикс 04.09.24]]</f>
        <v>79149.577499999999</v>
      </c>
      <c r="CG451" s="93"/>
      <c r="CH451" s="93">
        <f>ППД5[[#This Row],[Фикс 16.09.2024]]+ППД5[[#This Row],[Наценка 01.11.24
СТ: 4%
1К: 34-40м 5%; 40м+ 8%; МГН 1%
2К: 55-70м 6%; 70-73м 7%; 73-76м 8% 
3К: 5%]]</f>
        <v>79149.577499999999</v>
      </c>
      <c r="CI451" s="93"/>
      <c r="CJ451" s="93">
        <f>ППД5[[#This Row],[Наценка 06.11 13%]]+ППД5[[#This Row],[Фикс 01.11.24]]</f>
        <v>79149.577499999999</v>
      </c>
      <c r="CK451" s="93"/>
      <c r="CL451" s="93">
        <f>ППД5[[#This Row],[Фикс 06.11.24]]+ППД5[[#This Row],[Наценка 18.12.24 распределение КВ]]</f>
        <v>79149.577499999999</v>
      </c>
      <c r="CM451" s="93"/>
      <c r="CN451" s="93">
        <f>ППД5[[#This Row],[Фикс 18.12.24]]+ППД5[[#This Row],[Наценка 10.02.25 +1%
1К: А3
2К: Б3, В3]]</f>
        <v>79149.577499999999</v>
      </c>
      <c r="CO451" s="93">
        <f>ROUND(ППД5[[#This Row],[Фикс 10.02.25]],2)</f>
        <v>79149.58</v>
      </c>
      <c r="CP45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4574845.72</v>
      </c>
      <c r="CQ451" s="93">
        <f>ROUNDUP(ППД5[[#This Row],[Стоимость до скидки]]+ППД5[[#This Row],[Сумма доплаты]],-2)</f>
        <v>4551200</v>
      </c>
      <c r="CR451" s="68"/>
      <c r="CS451" s="90"/>
      <c r="CT451" s="68">
        <f>ППД5[[#This Row],[Стоимость до скидки]]*ППД5[[#This Row],[Скидка %]]+ППД5[[#This Row],[Скидка фиксированная]]</f>
        <v>0</v>
      </c>
      <c r="CU451" s="3">
        <f>ППД5[[#This Row],[Стоимость ОН без отделки со скидкой]]/ППД5[[#This Row],[Расчетная проектная площадь]]</f>
        <v>79149.579930795851</v>
      </c>
      <c r="CV451" s="3">
        <f>ROUND(ППД5[[#This Row],[Стоимость до скидки]]-ППД5[[#This Row],[Итоговая сумма скидки]],2)</f>
        <v>4574845.72</v>
      </c>
      <c r="CW45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51" s="197">
        <v>15500</v>
      </c>
      <c r="CY451" s="332">
        <f>ППД5[[#This Row],[Расхождение]]/ППД5[[#This Row],[Расчетная проектная площадь]]</f>
        <v>-5.1903114186849491E-3</v>
      </c>
      <c r="CZ45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-8.9999999999996305E-2</v>
      </c>
      <c r="DA451" s="3">
        <f>ППД5[[#This Row],[Цена м2 без отделки со скидкой]]+ППД5[[#This Row],[Стоимость отделки]]</f>
        <v>94649.579930795851</v>
      </c>
      <c r="DB451" s="3">
        <f>ППД5[[#This Row],[Стоимость квартиры с отделкой]]-ППД5[[#This Row],[Стоимость ОН без отделки со скидкой]]</f>
        <v>895900</v>
      </c>
      <c r="DC451" s="3">
        <f>ППД5[[#This Row],[Цена м2 с отделкой]]*ППД5[[#This Row],[Расчетная проектная площадь]]</f>
        <v>5470745.7199999997</v>
      </c>
      <c r="DD451" s="3"/>
      <c r="DF451" s="199" t="s">
        <v>172</v>
      </c>
      <c r="DG451" s="245" t="s">
        <v>172</v>
      </c>
      <c r="DH451" s="100" t="b">
        <f>EXACT(ППД5[[#This Row],[Статусы CRM]],ППД5[[#This Row],[Статус]])</f>
        <v>1</v>
      </c>
      <c r="DI451" s="213" t="s">
        <v>623</v>
      </c>
      <c r="DJ451" s="204"/>
      <c r="DK451" s="111" t="s">
        <v>76</v>
      </c>
      <c r="DL451" s="216" t="s">
        <v>14</v>
      </c>
      <c r="DM451" s="201" t="b">
        <f>ППД5[[#This Row],[Отделка CRM]]=ППД5[[#This Row],[Отделка]]</f>
        <v>1</v>
      </c>
      <c r="DN451" s="203">
        <v>5470745.7199999997</v>
      </c>
      <c r="DO45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51" s="207" t="b">
        <f>IF(AND(ППД5[[#This Row],[Статус]]="свободно",ППД5[[#This Row],[Итоговая сумма скидки]]&lt;&gt;0),FALSE,TRUE)</f>
        <v>1</v>
      </c>
      <c r="DQ451" s="240">
        <f>_xlfn.XLOOKUP(ППД5[[#This Row],[№]],Юрист[№ кв],Юрист[Дата подачи на регистрацию]," ",0,-1)</f>
        <v>45184</v>
      </c>
      <c r="DR451" s="115" t="str">
        <f>_xlfn.XLOOKUP(ППД5[[#This Row],[№]],Юрист[№ кв],Юрист[МОП],"",0,-1)</f>
        <v>Никишов</v>
      </c>
      <c r="DS451" s="333" t="s">
        <v>3194</v>
      </c>
      <c r="DT451" s="333" t="s">
        <v>3195</v>
      </c>
      <c r="DU451" s="333">
        <v>56</v>
      </c>
      <c r="DV451" s="111"/>
    </row>
    <row r="452" spans="1:126" hidden="1" x14ac:dyDescent="0.25">
      <c r="A452" s="112">
        <v>450</v>
      </c>
      <c r="B452" s="111" t="s">
        <v>2</v>
      </c>
      <c r="C452" s="111">
        <v>8</v>
      </c>
      <c r="D452" s="115">
        <v>6</v>
      </c>
      <c r="E452" s="111">
        <v>1</v>
      </c>
      <c r="F452" s="105">
        <v>12.71</v>
      </c>
      <c r="G452" s="105"/>
      <c r="H452" s="105"/>
      <c r="I452" s="94">
        <f>SUM(ППД5[[#This Row],[Комната 1]:[Комната 3]])</f>
        <v>12.71</v>
      </c>
      <c r="J452" s="105">
        <v>12.55</v>
      </c>
      <c r="K452" s="105">
        <v>4.28</v>
      </c>
      <c r="L452" s="105"/>
      <c r="M452" s="105"/>
      <c r="N452" s="105">
        <v>7.34</v>
      </c>
      <c r="O452" s="105">
        <v>2.84</v>
      </c>
      <c r="P452" s="105"/>
      <c r="Q452" s="105"/>
      <c r="R452" s="105">
        <f>SUM(ППД5[[#This Row],[Лоджия 1]:[Лоджия 3]])</f>
        <v>2.84</v>
      </c>
      <c r="S452" s="8">
        <f>ROUND(SUM(ППД5[[#This Row],[Площадь по проекту жилая]:[Лоджия 3]]),2)</f>
        <v>39.72</v>
      </c>
      <c r="T452" s="8">
        <f>ROUND(ППД5[[#This Row],[Площадь по проекту(общая)]]-ППД5[[#This Row],[Летние]],2)</f>
        <v>36.880000000000003</v>
      </c>
      <c r="U452" s="91">
        <f>ROUND(ППД5[[#This Row],[Площадь по проекту(общая)]]-(SUM(ППД5[[#This Row],[Лоджия 1]:[Лоджия 3]])/2),2)</f>
        <v>38.299999999999997</v>
      </c>
      <c r="V452" s="91">
        <f>IF(ППД5[[#This Row],[Статус]]="продажа",ППД5[[#This Row],[Расчетная проектная площадь]],ППД5[[#This Row],[Расчетная ТП площадь]])</f>
        <v>38.299999999999997</v>
      </c>
      <c r="W452" s="91">
        <v>12.6</v>
      </c>
      <c r="X452" s="91"/>
      <c r="Y452" s="91"/>
      <c r="Z452" s="91">
        <f>SUM(ППД5[[#This Row],[ТП Комната 1]:[ТП Комната 3]])</f>
        <v>12.6</v>
      </c>
      <c r="AA452" s="91">
        <v>12.5</v>
      </c>
      <c r="AB452" s="91">
        <v>4.0999999999999996</v>
      </c>
      <c r="AC452" s="91"/>
      <c r="AD452" s="91"/>
      <c r="AE452" s="91">
        <v>7.2</v>
      </c>
      <c r="AF452" s="91">
        <v>1.4</v>
      </c>
      <c r="AG452" s="91"/>
      <c r="AH452" s="91"/>
      <c r="AI452" s="91">
        <f>SUM(ППД5[[#This Row],[ТП Лоджия 1]:[ТП Лоджия 3]])</f>
        <v>1.4</v>
      </c>
      <c r="AJ452" s="95">
        <v>2.8</v>
      </c>
      <c r="AK452" s="91">
        <f>SUM(ППД5[[#This Row],[Площадь по ТП жилая]:[ТП Лоджия 3]])-ППД5[[#This Row],[ТП Летние]]+ППД5[[#This Row],[кроме того прочая
(без коэффициента)]]</f>
        <v>39.200000000000003</v>
      </c>
      <c r="AL452" s="95">
        <f>ППД5[[#This Row],[ТП Площадь без летних]]+(ППД5[[#This Row],[ТП Летние]])</f>
        <v>37.800000000000004</v>
      </c>
      <c r="AM452" s="91">
        <f>ППД5[[#This Row],[ТП общая S]]-ППД5[[#This Row],[кроме того прочая
(без коэффициента)]]</f>
        <v>36.400000000000006</v>
      </c>
      <c r="AN452" s="95">
        <f>SUM(ППД5[[#This Row],[ТП Кухня]:[ТП Коридор]])</f>
        <v>23.8</v>
      </c>
      <c r="AO452" s="91">
        <f>ППД5[[#This Row],[Расчетная ТП площадь]]-ППД5[[#This Row],[Расчетная проектная площадь]]</f>
        <v>-0.49999999999999289</v>
      </c>
      <c r="AP452" s="335">
        <f>ППД5[[#This Row],[Расчетная ТП площадь]]/ППД5[[#This Row],[Расчетная проектная площадь]]-1</f>
        <v>-1.3054830287206109E-2</v>
      </c>
      <c r="AQ452" s="91">
        <f>ППД5[[#This Row],[% расхождения]]*ППД5[[#This Row],[Стоимость до скидки]]</f>
        <v>-47844.215013054258</v>
      </c>
      <c r="AR452" s="91">
        <f>VLOOKUP(ППД5[[#This Row],[№]],наценкад5[],COLUMN(наценкад5[[#This Row],[Цена м2 с учетом всех K]]),0)</f>
        <v>87601.5</v>
      </c>
      <c r="AS452" s="8">
        <f>ППД5[[#This Row],[м2 после К]]*5%</f>
        <v>4380.0749999999998</v>
      </c>
      <c r="AT452" s="8">
        <f>ППД5[[#This Row],[м2 после К]]+ППД5[[#This Row],[Повышение 16.08.23 - 5%]]</f>
        <v>91981.574999999997</v>
      </c>
      <c r="AU452" s="93">
        <f>ППД5[[#This Row],[Фикс 16.08.23]]*3%</f>
        <v>2759.4472499999997</v>
      </c>
      <c r="AV452" s="93">
        <f>ППД5[[#This Row],[Фикс 16.08.23]]+ППД5[[#This Row],[Повышение 29.08.23 - 3%]]</f>
        <v>94741.022249999995</v>
      </c>
      <c r="AW452" s="93">
        <f>ППД5[[#This Row],[Фикс 29.08.23]]*1%</f>
        <v>947.41022249999992</v>
      </c>
      <c r="AX452" s="93">
        <f>ППД5[[#This Row],[Фикс 29.08.23]]+ППД5[[#This Row],[Повышение 06.09.23 СТ и 1К]]</f>
        <v>95688.43247249999</v>
      </c>
      <c r="AY452" s="93"/>
      <c r="AZ452" s="93">
        <f>ППД5[[#This Row],[Повышение 23.10.23  В4 ]]+ППД5[[#This Row],[Фикс 06.09.23]]</f>
        <v>95688.43247249999</v>
      </c>
      <c r="BA452" s="93"/>
      <c r="BB452" s="93">
        <f>ППД5[[#This Row],[Повышение 8.11.23 1К 5%]]+ППД5[[#This Row],[Фикс 23.10.23]]</f>
        <v>95688.43247249999</v>
      </c>
      <c r="BC452" s="93"/>
      <c r="BD452" s="93">
        <f>ППД5[[#This Row],[Корректировка 24.11.23 - 1К В5, 2К А2, №233]]+ППД5[[#This Row],[Фикс 8.11.23]]</f>
        <v>95688.43247249999</v>
      </c>
      <c r="BE452" s="93"/>
      <c r="BF452" s="93">
        <f>ППД5[[#This Row],[Наценка за отделку 29.12.23 1%]]+ППД5[[#This Row],[Фикс 8.11.24]]</f>
        <v>95688.43247249999</v>
      </c>
      <c r="BG452" s="93"/>
      <c r="BH452" s="93">
        <f>ППД5[[#This Row],[Фикс 29.12.23]]+ППД5[[#This Row],[Наценка 10.01.24 5%]]</f>
        <v>95688.43247249999</v>
      </c>
      <c r="BI452" s="93"/>
      <c r="BJ452" s="93">
        <f>ППД5[[#This Row],[Наценка 26.02.24 1 Этаж]]+ППД5[[#This Row],[Фикс 10.01.24]]</f>
        <v>95688.43247249999</v>
      </c>
      <c r="BK452" s="93"/>
      <c r="BL452" s="93">
        <f>ППД5[[#This Row],[Фикс 26.02.24]]+ППД5[[#This Row],[Наценка 06.03.24
СТ, 1К - 3%
2К, 3К - 2%]]</f>
        <v>95688.43247249999</v>
      </c>
      <c r="BM452" s="93"/>
      <c r="BN452" s="93">
        <f>ППД5[[#This Row],[Фикс 06.03.24]]+ППД5[[#This Row],[Наценка Г2+500]]</f>
        <v>95688.43247249999</v>
      </c>
      <c r="BO452" s="93"/>
      <c r="BP452" s="93">
        <f>ППД5[[#This Row],[Фикс 13.03.25]]+ППД5[[#This Row],[Наценка 20.03.24
2К, 3К - 2%]]</f>
        <v>95688.43247249999</v>
      </c>
      <c r="BQ452" s="93"/>
      <c r="BR452" s="93">
        <f>ППД5[[#This Row],[Фикс 20.03.24]]+ППД5[[#This Row],[Наценка 08.04.24 
2К: В3 - 150
3К: Г7 +1000]]</f>
        <v>95688.43247249999</v>
      </c>
      <c r="BS452" s="93"/>
      <c r="BT452" s="93">
        <f>ППД5[[#This Row],[Фикс 08.04.24]]+ППД5[[#This Row],[Наценка 16.05.24 1%
А4,А6,Б3,Б6,Б7,В2,В3,В5,В6,Г1,Г3-Г5]]</f>
        <v>95688.43247249999</v>
      </c>
      <c r="BU452" s="93"/>
      <c r="BV452" s="93">
        <f>ППД5[[#This Row],[Фикс 16.05.24]]+ППД5[[#This Row],[Наценка 24.05.24
1% - Б4, Б5,Г2,Г6
2% - А1,А3,А5,Б2,Г7]]</f>
        <v>95688.43247249999</v>
      </c>
      <c r="BW452" s="93"/>
      <c r="BX452" s="93">
        <f>ППД5[[#This Row],[Наценка 06.06.24
0К: В2,Г3 +0,5%
1К: А7, Б5/4, Г6 +0,5%
3К: В6 +0,5%
1К: А3 +1%]]+ППД5[[#This Row],[Фикс 24.05.24]]</f>
        <v>95688.43247249999</v>
      </c>
      <c r="BY452" s="93"/>
      <c r="BZ452" s="93">
        <f>ППД5[[#This Row],[Фикс 06.06.24]]+ППД5[[#This Row],[13.06.2024
3К - 2%]]</f>
        <v>95688.43247249999</v>
      </c>
      <c r="CA452" s="93"/>
      <c r="CB452" s="93">
        <f>ППД5[[#This Row],[02.07.2024: Г3 А1 А3 Б5 Б7 Г2 Г6 Б3 Б4 В3 Г7 2,5% ост 0,5-1,5%]]+ППД5[[#This Row],[Фикс 13.06.24]]</f>
        <v>95688.43247249999</v>
      </c>
      <c r="CC452" s="93"/>
      <c r="CD452" s="93">
        <f>ППД5[[#This Row],[Фикс 02.07.24]]+ППД5[[#This Row],[04.09.2024 +500
0К - Б2; 1К - А3;
2К - А6, Б4, В3, Г5]]</f>
        <v>95688.43247249999</v>
      </c>
      <c r="CE452" s="93"/>
      <c r="CF452" s="93">
        <f>ППД5[[#This Row],[Наценка 16.09.2024
1К: А1,В7,Г6/7,Г8 - 2%
2К: А4,А5,А6,Б1,Б6,Б3/4,В3,В4,Г4,Г5 - 4%
3К: 4%]]+ППД5[[#This Row],[Фикс 04.09.24]]</f>
        <v>95688.43247249999</v>
      </c>
      <c r="CG452" s="93"/>
      <c r="CH452" s="93">
        <f>ППД5[[#This Row],[Фикс 16.09.2024]]+ППД5[[#This Row],[Наценка 01.11.24
СТ: 4%
1К: 34-40м 5%; 40м+ 8%; МГН 1%
2К: 55-70м 6%; 70-73м 7%; 73-76м 8% 
3К: 5%]]</f>
        <v>95688.43247249999</v>
      </c>
      <c r="CI452" s="93"/>
      <c r="CJ452" s="93">
        <f>ППД5[[#This Row],[Наценка 06.11 13%]]+ППД5[[#This Row],[Фикс 01.11.24]]</f>
        <v>95688.43247249999</v>
      </c>
      <c r="CK452" s="93"/>
      <c r="CL452" s="93">
        <f>ППД5[[#This Row],[Фикс 06.11.24]]+ППД5[[#This Row],[Наценка 18.12.24 распределение КВ]]</f>
        <v>95688.43247249999</v>
      </c>
      <c r="CM452" s="93"/>
      <c r="CN452" s="93">
        <f>ППД5[[#This Row],[Фикс 18.12.24]]+ППД5[[#This Row],[Наценка 10.02.25 +1%
1К: А3
2К: Б3, В3]]</f>
        <v>95688.43247249999</v>
      </c>
      <c r="CO452" s="93">
        <f>ROUND(ППД5[[#This Row],[Фикс 10.02.25]],2)</f>
        <v>95688.43</v>
      </c>
      <c r="CP45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3664866.87</v>
      </c>
      <c r="CQ452" s="93">
        <f>ROUNDUP(ППД5[[#This Row],[Стоимость до скидки]]+ППД5[[#This Row],[Сумма доплаты]],-2)</f>
        <v>3617100</v>
      </c>
      <c r="CR452" s="68"/>
      <c r="CS452" s="90">
        <v>0.02</v>
      </c>
      <c r="CT452" s="68">
        <f>ППД5[[#This Row],[Стоимость до скидки]]*ППД5[[#This Row],[Скидка %]]+ППД5[[#This Row],[Скидка фиксированная]]</f>
        <v>73297.337400000004</v>
      </c>
      <c r="CU452" s="3">
        <f>ППД5[[#This Row],[Стоимость ОН без отделки со скидкой]]/ППД5[[#This Row],[Расчетная проектная площадь]]</f>
        <v>93774.661357702353</v>
      </c>
      <c r="CV452" s="3">
        <f>ROUND(ППД5[[#This Row],[Стоимость до скидки]]-ППД5[[#This Row],[Итоговая сумма скидки]],2)</f>
        <v>3591569.53</v>
      </c>
      <c r="CW45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52" s="197"/>
      <c r="CY452" s="332">
        <f>ППД5[[#This Row],[Расхождение]]/ППД5[[#This Row],[Расчетная проектная площадь]]</f>
        <v>-1.3054830287206082E-2</v>
      </c>
      <c r="CZ45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-0.37000000000000099</v>
      </c>
      <c r="DA452" s="3">
        <f>ППД5[[#This Row],[Цена м2 без отделки со скидкой]]+ППД5[[#This Row],[Стоимость отделки]]</f>
        <v>93774.661357702353</v>
      </c>
      <c r="DB452" s="3">
        <f>ППД5[[#This Row],[Стоимость квартиры с отделкой]]-ППД5[[#This Row],[Стоимость ОН без отделки со скидкой]]</f>
        <v>0</v>
      </c>
      <c r="DC452" s="3">
        <f>ППД5[[#This Row],[Цена м2 с отделкой]]*ППД5[[#This Row],[Расчетная проектная площадь]]</f>
        <v>3591569.53</v>
      </c>
      <c r="DD452" s="3"/>
      <c r="DE452" s="111" t="s">
        <v>170</v>
      </c>
      <c r="DF452" s="199" t="s">
        <v>172</v>
      </c>
      <c r="DG452" s="245" t="s">
        <v>172</v>
      </c>
      <c r="DH452" s="100" t="b">
        <f>EXACT(ППД5[[#This Row],[Статусы CRM]],ППД5[[#This Row],[Статус]])</f>
        <v>1</v>
      </c>
      <c r="DI452" s="213" t="s">
        <v>624</v>
      </c>
      <c r="DJ452" s="204"/>
      <c r="DK452" s="111" t="s">
        <v>76</v>
      </c>
      <c r="DL452" s="216" t="s">
        <v>12</v>
      </c>
      <c r="DM452" s="201" t="b">
        <f>ППД5[[#This Row],[Отделка CRM]]=ППД5[[#This Row],[Отделка]]</f>
        <v>1</v>
      </c>
      <c r="DN452" s="203">
        <v>3591569.53</v>
      </c>
      <c r="DO45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52" s="207" t="b">
        <f>IF(AND(ППД5[[#This Row],[Статус]]="свободно",ППД5[[#This Row],[Итоговая сумма скидки]]&lt;&gt;0),FALSE,TRUE)</f>
        <v>1</v>
      </c>
      <c r="DQ452" s="240">
        <f>_xlfn.XLOOKUP(ППД5[[#This Row],[№]],Юрист[№ кв],Юрист[Дата подачи на регистрацию]," ",0,-1)</f>
        <v>45202</v>
      </c>
      <c r="DR452" s="115" t="str">
        <f>_xlfn.XLOOKUP(ППД5[[#This Row],[№]],Юрист[№ кв],Юрист[МОП],"",0,-1)</f>
        <v>Гайганова</v>
      </c>
      <c r="DS452" s="333" t="s">
        <v>3196</v>
      </c>
      <c r="DT452" s="333" t="s">
        <v>3197</v>
      </c>
      <c r="DU452" s="333">
        <v>36.4</v>
      </c>
      <c r="DV452" s="111"/>
    </row>
    <row r="453" spans="1:126" hidden="1" x14ac:dyDescent="0.25">
      <c r="A453" s="112">
        <v>451</v>
      </c>
      <c r="B453" s="111" t="s">
        <v>2</v>
      </c>
      <c r="C453" s="111">
        <v>8</v>
      </c>
      <c r="D453" s="115">
        <v>7</v>
      </c>
      <c r="E453" s="111">
        <v>3</v>
      </c>
      <c r="F453" s="105">
        <v>14.49</v>
      </c>
      <c r="G453" s="105">
        <v>13.98</v>
      </c>
      <c r="H453" s="105">
        <v>11.42</v>
      </c>
      <c r="I453" s="94">
        <f>SUM(ППД5[[#This Row],[Комната 1]:[Комната 3]])</f>
        <v>39.89</v>
      </c>
      <c r="J453" s="105">
        <v>16.670000000000002</v>
      </c>
      <c r="K453" s="105">
        <v>4.1399999999999997</v>
      </c>
      <c r="L453" s="105">
        <v>1.89</v>
      </c>
      <c r="M453" s="105"/>
      <c r="N453" s="105">
        <v>11.31</v>
      </c>
      <c r="O453" s="105">
        <v>2.86</v>
      </c>
      <c r="P453" s="105">
        <v>2.79</v>
      </c>
      <c r="Q453" s="105">
        <v>5.42</v>
      </c>
      <c r="R453" s="105">
        <f>SUM(ППД5[[#This Row],[Лоджия 1]:[Лоджия 3]])</f>
        <v>11.07</v>
      </c>
      <c r="S453" s="8">
        <f>ROUND(SUM(ППД5[[#This Row],[Площадь по проекту жилая]:[Лоджия 3]]),2)</f>
        <v>84.97</v>
      </c>
      <c r="T453" s="8">
        <f>ROUND(ППД5[[#This Row],[Площадь по проекту(общая)]]-ППД5[[#This Row],[Летние]],2)</f>
        <v>73.900000000000006</v>
      </c>
      <c r="U453" s="91">
        <f>ROUND(ППД5[[#This Row],[Площадь по проекту(общая)]]-(SUM(ППД5[[#This Row],[Лоджия 1]:[Лоджия 3]])/2),2)</f>
        <v>79.44</v>
      </c>
      <c r="V453" s="91">
        <f>IF(ППД5[[#This Row],[Статус]]="продажа",ППД5[[#This Row],[Расчетная проектная площадь]],ППД5[[#This Row],[Расчетная ТП площадь]])</f>
        <v>79.44</v>
      </c>
      <c r="W453" s="91">
        <v>11.4</v>
      </c>
      <c r="X453" s="91">
        <v>14.4</v>
      </c>
      <c r="Y453" s="91">
        <v>14</v>
      </c>
      <c r="Z453" s="91">
        <f>SUM(ППД5[[#This Row],[ТП Комната 1]:[ТП Комната 3]])</f>
        <v>39.799999999999997</v>
      </c>
      <c r="AA453" s="91">
        <v>16.399999999999999</v>
      </c>
      <c r="AB453" s="91">
        <v>1.9</v>
      </c>
      <c r="AC453" s="91">
        <v>4.0999999999999996</v>
      </c>
      <c r="AD453" s="91"/>
      <c r="AE453" s="91">
        <v>11</v>
      </c>
      <c r="AF453" s="91">
        <v>1.45</v>
      </c>
      <c r="AG453" s="91">
        <v>2.65</v>
      </c>
      <c r="AH453" s="91">
        <v>1.4</v>
      </c>
      <c r="AI453" s="91">
        <f>SUM(ППД5[[#This Row],[ТП Лоджия 1]:[ТП Лоджия 3]])</f>
        <v>5.5</v>
      </c>
      <c r="AJ453" s="95">
        <v>11</v>
      </c>
      <c r="AK453" s="91">
        <f>SUM(ППД5[[#This Row],[Площадь по ТП жилая]:[ТП Лоджия 3]])-ППД5[[#This Row],[ТП Летние]]+ППД5[[#This Row],[кроме того прочая
(без коэффициента)]]</f>
        <v>84.2</v>
      </c>
      <c r="AL453" s="95">
        <f>ППД5[[#This Row],[ТП Площадь без летних]]+(ППД5[[#This Row],[ТП Летние]])</f>
        <v>78.7</v>
      </c>
      <c r="AM453" s="91">
        <f>ППД5[[#This Row],[ТП общая S]]-ППД5[[#This Row],[кроме того прочая
(без коэффициента)]]</f>
        <v>73.2</v>
      </c>
      <c r="AN453" s="95">
        <f>SUM(ППД5[[#This Row],[ТП Кухня]:[ТП Коридор]])</f>
        <v>33.4</v>
      </c>
      <c r="AO453" s="91">
        <f>ППД5[[#This Row],[Расчетная ТП площадь]]-ППД5[[#This Row],[Расчетная проектная площадь]]</f>
        <v>-0.73999999999999488</v>
      </c>
      <c r="AP453" s="335">
        <f>ППД5[[#This Row],[Расчетная ТП площадь]]/ППД5[[#This Row],[Расчетная проектная площадь]]-1</f>
        <v>-9.3152064451157424E-3</v>
      </c>
      <c r="AQ453" s="91">
        <f>ППД5[[#This Row],[% расхождения]]*ППД5[[#This Row],[Стоимость до скидки]]</f>
        <v>-62266.604433534289</v>
      </c>
      <c r="AR453" s="91">
        <f>VLOOKUP(ППД5[[#This Row],[№]],наценкад5[],COLUMN(наценкад5[[#This Row],[Цена м2 с учетом всех K]]),0)</f>
        <v>77803.110000000015</v>
      </c>
      <c r="AS453" s="8">
        <f>ППД5[[#This Row],[м2 после К]]*5%</f>
        <v>3890.1555000000008</v>
      </c>
      <c r="AT453" s="8">
        <f>ППД5[[#This Row],[м2 после К]]+ППД5[[#This Row],[Повышение 16.08.23 - 5%]]</f>
        <v>81693.265500000009</v>
      </c>
      <c r="AU453" s="93">
        <f>ППД5[[#This Row],[Фикс 16.08.23]]*3%</f>
        <v>2450.7979650000002</v>
      </c>
      <c r="AV453" s="93">
        <f>ППД5[[#This Row],[Фикс 16.08.23]]+ППД5[[#This Row],[Повышение 29.08.23 - 3%]]</f>
        <v>84144.063465000014</v>
      </c>
      <c r="AW453" s="93"/>
      <c r="AX453" s="93">
        <f>ППД5[[#This Row],[Фикс 29.08.23]]+ППД5[[#This Row],[Повышение 06.09.23 СТ и 1К]]</f>
        <v>84144.063465000014</v>
      </c>
      <c r="AY453" s="93"/>
      <c r="AZ453" s="93">
        <f>ППД5[[#This Row],[Повышение 23.10.23  В4 ]]+ППД5[[#This Row],[Фикс 06.09.23]]</f>
        <v>84144.063465000014</v>
      </c>
      <c r="BA453" s="93"/>
      <c r="BB453" s="93">
        <f>ППД5[[#This Row],[Повышение 8.11.23 1К 5%]]+ППД5[[#This Row],[Фикс 23.10.23]]</f>
        <v>84144.063465000014</v>
      </c>
      <c r="BC453" s="93"/>
      <c r="BD453" s="93">
        <f>ППД5[[#This Row],[Корректировка 24.11.23 - 1К В5, 2К А2, №233]]+ППД5[[#This Row],[Фикс 8.11.23]]</f>
        <v>84144.063465000014</v>
      </c>
      <c r="BE453" s="93"/>
      <c r="BF453" s="93">
        <f>ППД5[[#This Row],[Наценка за отделку 29.12.23 1%]]+ППД5[[#This Row],[Фикс 8.11.24]]</f>
        <v>84144.063465000014</v>
      </c>
      <c r="BG453" s="93"/>
      <c r="BH453" s="93">
        <f>ППД5[[#This Row],[Фикс 29.12.23]]+ППД5[[#This Row],[Наценка 10.01.24 5%]]</f>
        <v>84144.063465000014</v>
      </c>
      <c r="BI453" s="93"/>
      <c r="BJ453" s="93">
        <f>ППД5[[#This Row],[Наценка 26.02.24 1 Этаж]]+ППД5[[#This Row],[Фикс 10.01.24]]</f>
        <v>84144.063465000014</v>
      </c>
      <c r="BK453" s="93"/>
      <c r="BL453" s="93">
        <f>ППД5[[#This Row],[Фикс 26.02.24]]+ППД5[[#This Row],[Наценка 06.03.24
СТ, 1К - 3%
2К, 3К - 2%]]</f>
        <v>84144.063465000014</v>
      </c>
      <c r="BM453" s="93"/>
      <c r="BN453" s="93">
        <f>ППД5[[#This Row],[Фикс 06.03.24]]+ППД5[[#This Row],[Наценка Г2+500]]</f>
        <v>84144.063465000014</v>
      </c>
      <c r="BO453" s="93"/>
      <c r="BP453" s="93">
        <f>ППД5[[#This Row],[Фикс 13.03.25]]+ППД5[[#This Row],[Наценка 20.03.24
2К, 3К - 2%]]</f>
        <v>84144.063465000014</v>
      </c>
      <c r="BQ453" s="93"/>
      <c r="BR453" s="93">
        <f>ППД5[[#This Row],[Фикс 20.03.24]]+ППД5[[#This Row],[Наценка 08.04.24 
2К: В3 - 150
3К: Г7 +1000]]</f>
        <v>84144.063465000014</v>
      </c>
      <c r="BS453" s="93"/>
      <c r="BT453" s="93">
        <f>ППД5[[#This Row],[Фикс 08.04.24]]+ППД5[[#This Row],[Наценка 16.05.24 1%
А4,А6,Б3,Б6,Б7,В2,В3,В5,В6,Г1,Г3-Г5]]</f>
        <v>84144.063465000014</v>
      </c>
      <c r="BU453" s="93"/>
      <c r="BV453" s="93">
        <f>ППД5[[#This Row],[Фикс 16.05.24]]+ППД5[[#This Row],[Наценка 24.05.24
1% - Б4, Б5,Г2,Г6
2% - А1,А3,А5,Б2,Г7]]</f>
        <v>84144.063465000014</v>
      </c>
      <c r="BW453" s="93"/>
      <c r="BX453" s="93">
        <f>ППД5[[#This Row],[Наценка 06.06.24
0К: В2,Г3 +0,5%
1К: А7, Б5/4, Г6 +0,5%
3К: В6 +0,5%
1К: А3 +1%]]+ППД5[[#This Row],[Фикс 24.05.24]]</f>
        <v>84144.063465000014</v>
      </c>
      <c r="BY453" s="93"/>
      <c r="BZ453" s="93">
        <f>ППД5[[#This Row],[Фикс 06.06.24]]+ППД5[[#This Row],[13.06.2024
3К - 2%]]</f>
        <v>84144.063465000014</v>
      </c>
      <c r="CA453" s="93"/>
      <c r="CB453" s="93">
        <f>ППД5[[#This Row],[02.07.2024: Г3 А1 А3 Б5 Б7 Г2 Г6 Б3 Б4 В3 Г7 2,5% ост 0,5-1,5%]]+ППД5[[#This Row],[Фикс 13.06.24]]</f>
        <v>84144.063465000014</v>
      </c>
      <c r="CC453" s="93"/>
      <c r="CD453" s="93">
        <f>ППД5[[#This Row],[Фикс 02.07.24]]+ППД5[[#This Row],[04.09.2024 +500
0К - Б2; 1К - А3;
2К - А6, Б4, В3, Г5]]</f>
        <v>84144.063465000014</v>
      </c>
      <c r="CE453" s="93"/>
      <c r="CF453" s="93">
        <f>ППД5[[#This Row],[Наценка 16.09.2024
1К: А1,В7,Г6/7,Г8 - 2%
2К: А4,А5,А6,Б1,Б6,Б3/4,В3,В4,Г4,Г5 - 4%
3К: 4%]]+ППД5[[#This Row],[Фикс 04.09.24]]</f>
        <v>84144.063465000014</v>
      </c>
      <c r="CG453" s="93"/>
      <c r="CH453" s="93">
        <f>ППД5[[#This Row],[Фикс 16.09.2024]]+ППД5[[#This Row],[Наценка 01.11.24
СТ: 4%
1К: 34-40м 5%; 40м+ 8%; МГН 1%
2К: 55-70м 6%; 70-73м 7%; 73-76м 8% 
3К: 5%]]</f>
        <v>84144.063465000014</v>
      </c>
      <c r="CI453" s="93"/>
      <c r="CJ453" s="93">
        <f>ППД5[[#This Row],[Наценка 06.11 13%]]+ППД5[[#This Row],[Фикс 01.11.24]]</f>
        <v>84144.063465000014</v>
      </c>
      <c r="CK453" s="93"/>
      <c r="CL453" s="93">
        <f>ППД5[[#This Row],[Фикс 06.11.24]]+ППД5[[#This Row],[Наценка 18.12.24 распределение КВ]]</f>
        <v>84144.063465000014</v>
      </c>
      <c r="CM453" s="93"/>
      <c r="CN453" s="93">
        <f>ППД5[[#This Row],[Фикс 18.12.24]]+ППД5[[#This Row],[Наценка 10.02.25 +1%
1К: А3
2К: Б3, В3]]</f>
        <v>84144.063465000014</v>
      </c>
      <c r="CO453" s="93">
        <f>ROUND(ППД5[[#This Row],[Фикс 10.02.25]],2)</f>
        <v>84144.06</v>
      </c>
      <c r="CP45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6684404.1299999999</v>
      </c>
      <c r="CQ453" s="93">
        <f>ROUNDUP(ППД5[[#This Row],[Стоимость до скидки]]+ППД5[[#This Row],[Сумма доплаты]],-2)</f>
        <v>6622200</v>
      </c>
      <c r="CR453" s="68"/>
      <c r="CS453" s="90">
        <v>0.06</v>
      </c>
      <c r="CT453" s="68">
        <f>ППД5[[#This Row],[Стоимость до скидки]]*ППД5[[#This Row],[Скидка %]]+ППД5[[#This Row],[Скидка фиксированная]]</f>
        <v>401064.24779999995</v>
      </c>
      <c r="CU453" s="3">
        <f>ППД5[[#This Row],[Стоимость ОН без отделки со скидкой]]/ППД5[[#This Row],[Расчетная проектная площадь]]</f>
        <v>79095.416414904335</v>
      </c>
      <c r="CV453" s="3">
        <f>ROUND(ППД5[[#This Row],[Стоимость до скидки]]-ППД5[[#This Row],[Итоговая сумма скидки]],2)</f>
        <v>6283339.8799999999</v>
      </c>
      <c r="CW45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53" s="197"/>
      <c r="CY453" s="332">
        <f>ППД5[[#This Row],[Расхождение]]/ППД5[[#This Row],[Расчетная проектная площадь]]</f>
        <v>-9.3152064451157458E-3</v>
      </c>
      <c r="CZ45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-0.61000000000000654</v>
      </c>
      <c r="DA453" s="3">
        <f>ППД5[[#This Row],[Цена м2 без отделки со скидкой]]+ППД5[[#This Row],[Стоимость отделки]]</f>
        <v>79095.416414904335</v>
      </c>
      <c r="DB453" s="3">
        <f>ППД5[[#This Row],[Стоимость квартиры с отделкой]]-ППД5[[#This Row],[Стоимость ОН без отделки со скидкой]]</f>
        <v>0</v>
      </c>
      <c r="DC453" s="3">
        <f>ППД5[[#This Row],[Цена м2 с отделкой]]*ППД5[[#This Row],[Расчетная проектная площадь]]</f>
        <v>6283339.8799999999</v>
      </c>
      <c r="DD453" s="3" t="s">
        <v>155</v>
      </c>
      <c r="DE453" s="111" t="s">
        <v>162</v>
      </c>
      <c r="DF453" s="199" t="s">
        <v>172</v>
      </c>
      <c r="DG453" s="245" t="s">
        <v>172</v>
      </c>
      <c r="DH453" s="100" t="b">
        <f>EXACT(ППД5[[#This Row],[Статусы CRM]],ППД5[[#This Row],[Статус]])</f>
        <v>1</v>
      </c>
      <c r="DI453" s="213" t="s">
        <v>625</v>
      </c>
      <c r="DJ453" s="204"/>
      <c r="DK453" s="111" t="s">
        <v>76</v>
      </c>
      <c r="DL453" s="216" t="s">
        <v>12</v>
      </c>
      <c r="DM453" s="201" t="b">
        <f>ППД5[[#This Row],[Отделка CRM]]=ППД5[[#This Row],[Отделка]]</f>
        <v>1</v>
      </c>
      <c r="DN453" s="203">
        <v>6283339.8799999999</v>
      </c>
      <c r="DO45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53" s="207" t="b">
        <f>IF(AND(ППД5[[#This Row],[Статус]]="свободно",ППД5[[#This Row],[Итоговая сумма скидки]]&lt;&gt;0),FALSE,TRUE)</f>
        <v>1</v>
      </c>
      <c r="DQ453" s="240">
        <f>_xlfn.XLOOKUP(ППД5[[#This Row],[№]],Юрист[№ кв],Юрист[Дата подачи на регистрацию]," ",0,-1)</f>
        <v>45238</v>
      </c>
      <c r="DR453" s="115" t="str">
        <f>_xlfn.XLOOKUP(ППД5[[#This Row],[№]],Юрист[№ кв],Юрист[МОП],"",0,-1)</f>
        <v>Полехович</v>
      </c>
      <c r="DS453" s="333" t="s">
        <v>3198</v>
      </c>
      <c r="DT453" s="333" t="s">
        <v>3199</v>
      </c>
      <c r="DU453" s="333">
        <v>73.2</v>
      </c>
      <c r="DV453" s="111" t="s">
        <v>844</v>
      </c>
    </row>
    <row r="454" spans="1:126" hidden="1" x14ac:dyDescent="0.25">
      <c r="A454" s="112">
        <v>452</v>
      </c>
      <c r="B454" s="111" t="s">
        <v>2</v>
      </c>
      <c r="C454" s="111">
        <v>8</v>
      </c>
      <c r="D454" s="115">
        <v>8</v>
      </c>
      <c r="E454" s="111">
        <v>1</v>
      </c>
      <c r="F454" s="105">
        <v>16.79</v>
      </c>
      <c r="G454" s="105"/>
      <c r="H454" s="105"/>
      <c r="I454" s="94">
        <f>SUM(ППД5[[#This Row],[Комната 1]:[Комната 3]])</f>
        <v>16.79</v>
      </c>
      <c r="J454" s="105">
        <v>11.43</v>
      </c>
      <c r="K454" s="105">
        <v>3.56</v>
      </c>
      <c r="L454" s="105"/>
      <c r="M454" s="105"/>
      <c r="N454" s="105">
        <v>6.66</v>
      </c>
      <c r="O454" s="105">
        <v>2.4900000000000002</v>
      </c>
      <c r="P454" s="105"/>
      <c r="Q454" s="105"/>
      <c r="R454" s="105">
        <f>SUM(ППД5[[#This Row],[Лоджия 1]:[Лоджия 3]])</f>
        <v>2.4900000000000002</v>
      </c>
      <c r="S454" s="8">
        <f>ROUND(SUM(ППД5[[#This Row],[Площадь по проекту жилая]:[Лоджия 3]]),2)</f>
        <v>40.93</v>
      </c>
      <c r="T454" s="8">
        <f>ROUND(ППД5[[#This Row],[Площадь по проекту(общая)]]-ППД5[[#This Row],[Летние]],2)</f>
        <v>38.44</v>
      </c>
      <c r="U454" s="91">
        <f>ROUND(ППД5[[#This Row],[Площадь по проекту(общая)]]-(SUM(ППД5[[#This Row],[Лоджия 1]:[Лоджия 3]])/2),2)</f>
        <v>39.69</v>
      </c>
      <c r="V454" s="91">
        <f>IF(ППД5[[#This Row],[Статус]]="продажа",ППД5[[#This Row],[Расчетная проектная площадь]],ППД5[[#This Row],[Расчетная ТП площадь]])</f>
        <v>39.550000000000004</v>
      </c>
      <c r="W454" s="91">
        <v>16.8</v>
      </c>
      <c r="X454" s="91"/>
      <c r="Y454" s="91"/>
      <c r="Z454" s="91">
        <f>SUM(ППД5[[#This Row],[ТП Комната 1]:[ТП Комната 3]])</f>
        <v>16.8</v>
      </c>
      <c r="AA454" s="91">
        <v>11.3</v>
      </c>
      <c r="AB454" s="91">
        <v>3.5</v>
      </c>
      <c r="AC454" s="91"/>
      <c r="AD454" s="91"/>
      <c r="AE454" s="91">
        <v>6.7</v>
      </c>
      <c r="AF454" s="92">
        <v>1.25</v>
      </c>
      <c r="AG454" s="91"/>
      <c r="AH454" s="91"/>
      <c r="AI454" s="91">
        <f>SUM(ППД5[[#This Row],[ТП Лоджия 1]:[ТП Лоджия 3]])</f>
        <v>1.25</v>
      </c>
      <c r="AJ454" s="95">
        <v>2.5</v>
      </c>
      <c r="AK454" s="91">
        <f>SUM(ППД5[[#This Row],[Площадь по ТП жилая]:[ТП Лоджия 3]])-ППД5[[#This Row],[ТП Летние]]+ППД5[[#This Row],[кроме того прочая
(без коэффициента)]]</f>
        <v>40.800000000000004</v>
      </c>
      <c r="AL454" s="95">
        <f>ППД5[[#This Row],[ТП Площадь без летних]]+(ППД5[[#This Row],[ТП Летние]])</f>
        <v>39.550000000000004</v>
      </c>
      <c r="AM454" s="91">
        <f>ППД5[[#This Row],[ТП общая S]]-ППД5[[#This Row],[кроме того прочая
(без коэффициента)]]</f>
        <v>38.300000000000004</v>
      </c>
      <c r="AN454" s="95">
        <f>SUM(ППД5[[#This Row],[ТП Кухня]:[ТП Коридор]])</f>
        <v>21.5</v>
      </c>
      <c r="AO454" s="91">
        <f>ППД5[[#This Row],[Расчетная ТП площадь]]-ППД5[[#This Row],[Расчетная проектная площадь]]</f>
        <v>-0.13999999999999346</v>
      </c>
      <c r="AP454" s="335">
        <f>ППД5[[#This Row],[Расчетная ТП площадь]]/ППД5[[#This Row],[Расчетная проектная площадь]]-1</f>
        <v>-3.5273368606700828E-3</v>
      </c>
      <c r="AQ454" s="91">
        <f>ППД5[[#This Row],[% расхождения]]*ППД5[[#This Row],[Стоимость до скидки]]</f>
        <v>-19071.957671957072</v>
      </c>
      <c r="AR454" s="91">
        <f>VLOOKUP(ППД5[[#This Row],[№]],наценкад5[],COLUMN(наценкад5[[#This Row],[Цена м2 с учетом всех K]]),0)</f>
        <v>86384.8125</v>
      </c>
      <c r="AS454" s="8">
        <f>ППД5[[#This Row],[м2 после К]]*5%</f>
        <v>4319.2406250000004</v>
      </c>
      <c r="AT454" s="8">
        <f>ППД5[[#This Row],[м2 после К]]+ППД5[[#This Row],[Повышение 16.08.23 - 5%]]</f>
        <v>90704.053125000006</v>
      </c>
      <c r="AU454" s="93">
        <f>ППД5[[#This Row],[Фикс 16.08.23]]*3%</f>
        <v>2721.1215937500001</v>
      </c>
      <c r="AV454" s="93">
        <f>ППД5[[#This Row],[Фикс 16.08.23]]+ППД5[[#This Row],[Повышение 29.08.23 - 3%]]</f>
        <v>93425.17471875</v>
      </c>
      <c r="AW454" s="93">
        <f>ППД5[[#This Row],[Фикс 29.08.23]]*4.5%</f>
        <v>4204.1328623437503</v>
      </c>
      <c r="AX454" s="93">
        <f>ППД5[[#This Row],[Фикс 29.08.23]]+ППД5[[#This Row],[Повышение 06.09.23 СТ и 1К]]</f>
        <v>97629.307581093744</v>
      </c>
      <c r="AY454" s="93"/>
      <c r="AZ454" s="93">
        <f>ППД5[[#This Row],[Повышение 23.10.23  В4 ]]+ППД5[[#This Row],[Фикс 06.09.23]]</f>
        <v>97629.307581093744</v>
      </c>
      <c r="BA454" s="93">
        <f>ППД5[[#This Row],[Фикс 23.10.23]]*5%</f>
        <v>4881.4653790546872</v>
      </c>
      <c r="BB454" s="93">
        <f>ППД5[[#This Row],[Повышение 8.11.23 1К 5%]]+ППД5[[#This Row],[Фикс 23.10.23]]</f>
        <v>102510.77296014843</v>
      </c>
      <c r="BC454" s="93"/>
      <c r="BD454" s="93">
        <f>ППД5[[#This Row],[Корректировка 24.11.23 - 1К В5, 2К А2, №233]]+ППД5[[#This Row],[Фикс 8.11.23]]</f>
        <v>102510.77296014843</v>
      </c>
      <c r="BE454" s="93">
        <f>ППД5[[#This Row],[Фикс 8.11.24]]*1%</f>
        <v>1025.1077296014844</v>
      </c>
      <c r="BF454" s="93">
        <f>ППД5[[#This Row],[Наценка за отделку 29.12.23 1%]]+ППД5[[#This Row],[Фикс 8.11.24]]</f>
        <v>103535.88068974992</v>
      </c>
      <c r="BG454" s="93">
        <f>ППД5[[#This Row],[Фикс 29.12.23]]*5%</f>
        <v>5176.794034487496</v>
      </c>
      <c r="BH454" s="93">
        <f>ППД5[[#This Row],[Фикс 29.12.23]]+ППД5[[#This Row],[Наценка 10.01.24 5%]]</f>
        <v>108712.67472423741</v>
      </c>
      <c r="BI454" s="93"/>
      <c r="BJ454" s="93">
        <f>ППД5[[#This Row],[Наценка 26.02.24 1 Этаж]]+ППД5[[#This Row],[Фикс 10.01.24]]</f>
        <v>108712.67472423741</v>
      </c>
      <c r="BK454" s="93">
        <f>ППД5[[#This Row],[Фикс 26.02.24]]*3%</f>
        <v>3261.3802417271222</v>
      </c>
      <c r="BL454" s="93">
        <f>ППД5[[#This Row],[Фикс 26.02.24]]+ППД5[[#This Row],[Наценка 06.03.24
СТ, 1К - 3%
2К, 3К - 2%]]</f>
        <v>111974.05496596453</v>
      </c>
      <c r="BM454" s="93"/>
      <c r="BN454" s="93">
        <f>ППД5[[#This Row],[Фикс 06.03.24]]+ППД5[[#This Row],[Наценка Г2+500]]</f>
        <v>111974.05496596453</v>
      </c>
      <c r="BO454" s="93"/>
      <c r="BP454" s="93">
        <f>ППД5[[#This Row],[Фикс 13.03.25]]+ППД5[[#This Row],[Наценка 20.03.24
2К, 3К - 2%]]</f>
        <v>111974.05496596453</v>
      </c>
      <c r="BQ454" s="93"/>
      <c r="BR454" s="93">
        <f>ППД5[[#This Row],[Фикс 20.03.24]]+ППД5[[#This Row],[Наценка 08.04.24 
2К: В3 - 150
3К: Г7 +1000]]</f>
        <v>111974.05496596453</v>
      </c>
      <c r="BS454" s="93"/>
      <c r="BT454" s="93">
        <f>ППД5[[#This Row],[Фикс 08.04.24]]+ППД5[[#This Row],[Наценка 16.05.24 1%
А4,А6,Б3,Б6,Б7,В2,В3,В5,В6,Г1,Г3-Г5]]</f>
        <v>111974.05496596453</v>
      </c>
      <c r="BU454" s="93"/>
      <c r="BV454" s="93">
        <f>ППД5[[#This Row],[Фикс 16.05.24]]+ППД5[[#This Row],[Наценка 24.05.24
1% - Б4, Б5,Г2,Г6
2% - А1,А3,А5,Б2,Г7]]</f>
        <v>111974.05496596453</v>
      </c>
      <c r="BW454" s="93"/>
      <c r="BX454" s="93">
        <f>ППД5[[#This Row],[Наценка 06.06.24
0К: В2,Г3 +0,5%
1К: А7, Б5/4, Г6 +0,5%
3К: В6 +0,5%
1К: А3 +1%]]+ППД5[[#This Row],[Фикс 24.05.24]]</f>
        <v>111974.05496596453</v>
      </c>
      <c r="BY454" s="93"/>
      <c r="BZ454" s="93">
        <f>ППД5[[#This Row],[Фикс 06.06.24]]+ППД5[[#This Row],[13.06.2024
3К - 2%]]</f>
        <v>111974.05496596453</v>
      </c>
      <c r="CA454" s="93">
        <f>0.5%*ППД5[[#This Row],[Фикс 13.06.24]]</f>
        <v>559.87027482982273</v>
      </c>
      <c r="CB454" s="93">
        <f>ППД5[[#This Row],[02.07.2024: Г3 А1 А3 Б5 Б7 Г2 Г6 Б3 Б4 В3 Г7 2,5% ост 0,5-1,5%]]+ППД5[[#This Row],[Фикс 13.06.24]]</f>
        <v>112533.92524079436</v>
      </c>
      <c r="CC454" s="93"/>
      <c r="CD454" s="93">
        <f>ППД5[[#This Row],[Фикс 02.07.24]]+ППД5[[#This Row],[04.09.2024 +500
0К - Б2; 1К - А3;
2К - А6, Б4, В3, Г5]]</f>
        <v>112533.92524079436</v>
      </c>
      <c r="CE454" s="93">
        <f>ППД5[[#This Row],[Фикс 04.09.24]]*2%</f>
        <v>2250.6785048158872</v>
      </c>
      <c r="CF454" s="93">
        <f>ППД5[[#This Row],[Наценка 16.09.2024
1К: А1,В7,Г6/7,Г8 - 2%
2К: А4,А5,А6,Б1,Б6,Б3/4,В3,В4,Г4,Г5 - 4%
3К: 4%]]+ППД5[[#This Row],[Фикс 04.09.24]]</f>
        <v>114784.60374561025</v>
      </c>
      <c r="CG454" s="93">
        <f>ППД5[[#This Row],[Фикс 16.09.2024]]*5%</f>
        <v>5739.2301872805128</v>
      </c>
      <c r="CH454" s="93">
        <f>ППД5[[#This Row],[Фикс 16.09.2024]]+ППД5[[#This Row],[Наценка 01.11.24
СТ: 4%
1К: 34-40м 5%; 40м+ 8%; МГН 1%
2К: 55-70м 6%; 70-73м 7%; 73-76м 8% 
3К: 5%]]</f>
        <v>120523.83393289076</v>
      </c>
      <c r="CI454" s="93">
        <f>ППД5[[#This Row],[Фикс 01.11.24]]*13%</f>
        <v>15668.0984112758</v>
      </c>
      <c r="CJ454" s="93">
        <f>ППД5[[#This Row],[Наценка 06.11 13%]]+ППД5[[#This Row],[Фикс 01.11.24]]</f>
        <v>136191.93234416656</v>
      </c>
      <c r="CK454" s="93">
        <v>35</v>
      </c>
      <c r="CL454" s="93">
        <f>ППД5[[#This Row],[Фикс 06.11.24]]+ППД5[[#This Row],[Наценка 18.12.24 распределение КВ]]</f>
        <v>136226.93234416656</v>
      </c>
      <c r="CM454" s="93"/>
      <c r="CN454" s="93">
        <f>ППД5[[#This Row],[Фикс 18.12.24]]+ППД5[[#This Row],[Наценка 10.02.25 +1%
1К: А3
2К: Б3, В3]]</f>
        <v>136226.93234416656</v>
      </c>
      <c r="CO454" s="93">
        <f>ROUND(ППД5[[#This Row],[Фикс 10.02.25]],2)</f>
        <v>136226.93</v>
      </c>
      <c r="CP45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5406900</v>
      </c>
      <c r="CQ454" s="93">
        <f>ROUNDUP(ППД5[[#This Row],[Стоимость до скидки]]+ППД5[[#This Row],[Сумма доплаты]],-2)</f>
        <v>5387900</v>
      </c>
      <c r="CR454" s="68">
        <v>400000</v>
      </c>
      <c r="CS454" s="90"/>
      <c r="CT454" s="68">
        <f>ППД5[[#This Row],[Стоимость до скидки]]*ППД5[[#This Row],[Скидка %]]+ППД5[[#This Row],[Скидка фиксированная]]</f>
        <v>400000</v>
      </c>
      <c r="CU454" s="3">
        <f>ППД5[[#This Row],[Стоимость ОН без отделки со скидкой]]/ППД5[[#This Row],[Расчетная проектная площадь]]</f>
        <v>126150.1637692114</v>
      </c>
      <c r="CV454" s="3">
        <f>ROUND(ППД5[[#This Row],[Стоимость до скидки]]-ППД5[[#This Row],[Итоговая сумма скидки]],2)</f>
        <v>5006900</v>
      </c>
      <c r="CW45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54" s="197">
        <v>25000</v>
      </c>
      <c r="CY454" s="332">
        <f>ППД5[[#This Row],[Расхождение]]/ППД5[[#This Row],[Расчетная проектная площадь]]</f>
        <v>-3.5273368606700294E-3</v>
      </c>
      <c r="CZ45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-0.15000000000000036</v>
      </c>
      <c r="DA454" s="3">
        <f>ППД5[[#This Row],[Цена м2 без отделки со скидкой]]+ППД5[[#This Row],[Стоимость отделки]]</f>
        <v>151150.16376921139</v>
      </c>
      <c r="DB454" s="3">
        <f>ППД5[[#This Row],[Стоимость квартиры с отделкой]]-ППД5[[#This Row],[Стоимость ОН без отделки со скидкой]]</f>
        <v>992250</v>
      </c>
      <c r="DC454" s="3">
        <f>ППД5[[#This Row],[Цена м2 с отделкой]]*ППД5[[#This Row],[Расчетная проектная площадь]]</f>
        <v>5999150</v>
      </c>
      <c r="DD454" s="3"/>
      <c r="DE454" s="111" t="s">
        <v>1418</v>
      </c>
      <c r="DF454" s="199" t="s">
        <v>157</v>
      </c>
      <c r="DG454" s="221" t="s">
        <v>157</v>
      </c>
      <c r="DH454" s="100" t="b">
        <f>EXACT(ППД5[[#This Row],[Статусы CRM]],ППД5[[#This Row],[Статус]])</f>
        <v>1</v>
      </c>
      <c r="DI454" s="213" t="s">
        <v>626</v>
      </c>
      <c r="DJ454" s="204"/>
      <c r="DK454" s="111" t="s">
        <v>763</v>
      </c>
      <c r="DL454" s="216" t="s">
        <v>14</v>
      </c>
      <c r="DM454" s="201" t="b">
        <f>ППД5[[#This Row],[Отделка CRM]]=ППД5[[#This Row],[Отделка]]</f>
        <v>1</v>
      </c>
      <c r="DN454" s="203">
        <v>5999150</v>
      </c>
      <c r="DO45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54" s="207" t="b">
        <f>IF(AND(ППД5[[#This Row],[Статус]]="свободно",ППД5[[#This Row],[Итоговая сумма скидки]]&lt;&gt;0),FALSE,TRUE)</f>
        <v>0</v>
      </c>
      <c r="DQ454" s="240" t="str">
        <f>_xlfn.XLOOKUP(ППД5[[#This Row],[№]],Юрист[№ кв],Юрист[Дата подачи на регистрацию]," ",0,-1)</f>
        <v xml:space="preserve"> </v>
      </c>
      <c r="DR454" s="115" t="str">
        <f>_xlfn.XLOOKUP(ППД5[[#This Row],[№]],Юрист[№ кв],Юрист[МОП],"",0,-1)</f>
        <v/>
      </c>
      <c r="DS454" s="333" t="s">
        <v>3200</v>
      </c>
      <c r="DT454" s="333" t="s">
        <v>3201</v>
      </c>
      <c r="DU454" s="333">
        <v>38.299999999999997</v>
      </c>
      <c r="DV454" s="111"/>
    </row>
    <row r="455" spans="1:126" hidden="1" x14ac:dyDescent="0.25">
      <c r="A455" s="112">
        <v>453</v>
      </c>
      <c r="B455" s="111" t="s">
        <v>2</v>
      </c>
      <c r="C455" s="111">
        <v>9</v>
      </c>
      <c r="D455" s="338">
        <v>1</v>
      </c>
      <c r="E455" s="111">
        <v>0</v>
      </c>
      <c r="F455" s="105">
        <v>13.74</v>
      </c>
      <c r="G455" s="105"/>
      <c r="H455" s="105"/>
      <c r="I455" s="94">
        <f>SUM(ППД5[[#This Row],[Комната 1]:[Комната 3]])</f>
        <v>13.74</v>
      </c>
      <c r="J455" s="105">
        <v>5.84</v>
      </c>
      <c r="K455" s="105">
        <v>3.76</v>
      </c>
      <c r="L455" s="105"/>
      <c r="M455" s="105"/>
      <c r="N455" s="105">
        <v>3.73</v>
      </c>
      <c r="O455" s="105">
        <v>4.6500000000000004</v>
      </c>
      <c r="P455" s="105"/>
      <c r="Q455" s="105"/>
      <c r="R455" s="105">
        <f>SUM(ППД5[[#This Row],[Лоджия 1]:[Лоджия 3]])</f>
        <v>4.6500000000000004</v>
      </c>
      <c r="S455" s="8">
        <f>ROUND(SUM(ППД5[[#This Row],[Площадь по проекту жилая]:[Лоджия 3]]),2)</f>
        <v>31.72</v>
      </c>
      <c r="T455" s="8">
        <f>ROUND(ППД5[[#This Row],[Площадь по проекту(общая)]]-ППД5[[#This Row],[Летние]],2)</f>
        <v>27.07</v>
      </c>
      <c r="U455" s="91">
        <f>ROUND(ППД5[[#This Row],[Площадь по проекту(общая)]]-(SUM(ППД5[[#This Row],[Лоджия 1]:[Лоджия 3]])/2),2)</f>
        <v>29.4</v>
      </c>
      <c r="V455" s="91">
        <f>IF(ППД5[[#This Row],[Статус]]="продажа",ППД5[[#This Row],[Расчетная проектная площадь]],ППД5[[#This Row],[Расчетная ТП площадь]])</f>
        <v>29.4</v>
      </c>
      <c r="W455" s="91">
        <v>13.7</v>
      </c>
      <c r="X455" s="91"/>
      <c r="Y455" s="91"/>
      <c r="Z455" s="91">
        <f>SUM(ППД5[[#This Row],[ТП Комната 1]:[ТП Комната 3]])</f>
        <v>13.7</v>
      </c>
      <c r="AA455" s="91">
        <v>5.8</v>
      </c>
      <c r="AB455" s="91">
        <v>3.7</v>
      </c>
      <c r="AC455" s="91"/>
      <c r="AD455" s="91"/>
      <c r="AE455" s="91">
        <v>3.8</v>
      </c>
      <c r="AF455" s="91">
        <v>2.2999999999999998</v>
      </c>
      <c r="AG455" s="91"/>
      <c r="AH455" s="91"/>
      <c r="AI455" s="91">
        <f>SUM(ППД5[[#This Row],[ТП Лоджия 1]:[ТП Лоджия 3]])</f>
        <v>2.2999999999999998</v>
      </c>
      <c r="AJ455" s="95">
        <v>4.5999999999999996</v>
      </c>
      <c r="AK455" s="91">
        <f>SUM(ППД5[[#This Row],[Площадь по ТП жилая]:[ТП Лоджия 3]])-ППД5[[#This Row],[ТП Летние]]+ППД5[[#This Row],[кроме того прочая
(без коэффициента)]]</f>
        <v>31.6</v>
      </c>
      <c r="AL455" s="95">
        <f>ППД5[[#This Row],[ТП Площадь без летних]]+(ППД5[[#This Row],[ТП Летние]])</f>
        <v>29.3</v>
      </c>
      <c r="AM455" s="91">
        <f>ППД5[[#This Row],[ТП общая S]]-ППД5[[#This Row],[кроме того прочая
(без коэффициента)]]</f>
        <v>27</v>
      </c>
      <c r="AN455" s="95">
        <f>SUM(ППД5[[#This Row],[ТП Кухня]:[ТП Коридор]])</f>
        <v>13.3</v>
      </c>
      <c r="AO455" s="91">
        <f>ППД5[[#This Row],[Расчетная ТП площадь]]-ППД5[[#This Row],[Расчетная проектная площадь]]</f>
        <v>-9.9999999999997868E-2</v>
      </c>
      <c r="AP455" s="335">
        <f>ППД5[[#This Row],[Расчетная ТП площадь]]/ППД5[[#This Row],[Расчетная проектная площадь]]-1</f>
        <v>-3.4013605442175798E-3</v>
      </c>
      <c r="AQ455" s="91">
        <f>ППД5[[#This Row],[% расхождения]]*ППД5[[#This Row],[Стоимость до скидки]]</f>
        <v>-8935.352993196997</v>
      </c>
      <c r="AR455" s="91">
        <f>VLOOKUP(ППД5[[#This Row],[№]],наценкад5[],COLUMN(наценкад5[[#This Row],[Цена м2 с учетом всех K]]),0)</f>
        <v>89353.53</v>
      </c>
      <c r="AS455" s="8"/>
      <c r="AT455" s="8">
        <f>ППД5[[#This Row],[м2 после К]]+ППД5[[#This Row],[Повышение 16.08.23 - 5%]]</f>
        <v>89353.53</v>
      </c>
      <c r="AU455" s="93"/>
      <c r="AV455" s="93">
        <f>ППД5[[#This Row],[Фикс 16.08.23]]+ППД5[[#This Row],[Повышение 29.08.23 - 3%]]</f>
        <v>89353.53</v>
      </c>
      <c r="AW455" s="93"/>
      <c r="AX455" s="93">
        <f>ППД5[[#This Row],[Фикс 29.08.23]]+ППД5[[#This Row],[Повышение 06.09.23 СТ и 1К]]</f>
        <v>89353.53</v>
      </c>
      <c r="AY455" s="93"/>
      <c r="AZ455" s="93">
        <f>ППД5[[#This Row],[Повышение 23.10.23  В4 ]]+ППД5[[#This Row],[Фикс 06.09.23]]</f>
        <v>89353.53</v>
      </c>
      <c r="BA455" s="93"/>
      <c r="BB455" s="93">
        <f>ППД5[[#This Row],[Повышение 8.11.23 1К 5%]]+ППД5[[#This Row],[Фикс 23.10.23]]</f>
        <v>89353.53</v>
      </c>
      <c r="BC455" s="93"/>
      <c r="BD455" s="93">
        <f>ППД5[[#This Row],[Корректировка 24.11.23 - 1К В5, 2К А2, №233]]+ППД5[[#This Row],[Фикс 8.11.23]]</f>
        <v>89353.53</v>
      </c>
      <c r="BE455" s="93"/>
      <c r="BF455" s="93">
        <f>ППД5[[#This Row],[Наценка за отделку 29.12.23 1%]]+ППД5[[#This Row],[Фикс 8.11.24]]</f>
        <v>89353.53</v>
      </c>
      <c r="BG455" s="93"/>
      <c r="BH455" s="93">
        <f>ППД5[[#This Row],[Фикс 29.12.23]]+ППД5[[#This Row],[Наценка 10.01.24 5%]]</f>
        <v>89353.53</v>
      </c>
      <c r="BI455" s="93"/>
      <c r="BJ455" s="93">
        <f>ППД5[[#This Row],[Наценка 26.02.24 1 Этаж]]+ППД5[[#This Row],[Фикс 10.01.24]]</f>
        <v>89353.53</v>
      </c>
      <c r="BK455" s="93"/>
      <c r="BL455" s="93">
        <f>ППД5[[#This Row],[Фикс 26.02.24]]+ППД5[[#This Row],[Наценка 06.03.24
СТ, 1К - 3%
2К, 3К - 2%]]</f>
        <v>89353.53</v>
      </c>
      <c r="BM455" s="93"/>
      <c r="BN455" s="93">
        <f>ППД5[[#This Row],[Фикс 06.03.24]]+ППД5[[#This Row],[Наценка Г2+500]]</f>
        <v>89353.53</v>
      </c>
      <c r="BO455" s="93"/>
      <c r="BP455" s="93">
        <f>ППД5[[#This Row],[Фикс 13.03.25]]+ППД5[[#This Row],[Наценка 20.03.24
2К, 3К - 2%]]</f>
        <v>89353.53</v>
      </c>
      <c r="BQ455" s="93"/>
      <c r="BR455" s="93">
        <f>ППД5[[#This Row],[Фикс 20.03.24]]+ППД5[[#This Row],[Наценка 08.04.24 
2К: В3 - 150
3К: Г7 +1000]]</f>
        <v>89353.53</v>
      </c>
      <c r="BS455" s="93"/>
      <c r="BT455" s="93">
        <f>ППД5[[#This Row],[Фикс 08.04.24]]+ППД5[[#This Row],[Наценка 16.05.24 1%
А4,А6,Б3,Б6,Б7,В2,В3,В5,В6,Г1,Г3-Г5]]</f>
        <v>89353.53</v>
      </c>
      <c r="BU455" s="93"/>
      <c r="BV455" s="93">
        <f>ППД5[[#This Row],[Фикс 16.05.24]]+ППД5[[#This Row],[Наценка 24.05.24
1% - Б4, Б5,Г2,Г6
2% - А1,А3,А5,Б2,Г7]]</f>
        <v>89353.53</v>
      </c>
      <c r="BW455" s="93"/>
      <c r="BX455" s="93">
        <f>ППД5[[#This Row],[Наценка 06.06.24
0К: В2,Г3 +0,5%
1К: А7, Б5/4, Г6 +0,5%
3К: В6 +0,5%
1К: А3 +1%]]+ППД5[[#This Row],[Фикс 24.05.24]]</f>
        <v>89353.53</v>
      </c>
      <c r="BY455" s="93"/>
      <c r="BZ455" s="93">
        <f>ППД5[[#This Row],[Фикс 06.06.24]]+ППД5[[#This Row],[13.06.2024
3К - 2%]]</f>
        <v>89353.53</v>
      </c>
      <c r="CA455" s="93"/>
      <c r="CB455" s="93">
        <f>ППД5[[#This Row],[02.07.2024: Г3 А1 А3 Б5 Б7 Г2 Г6 Б3 Б4 В3 Г7 2,5% ост 0,5-1,5%]]+ППД5[[#This Row],[Фикс 13.06.24]]</f>
        <v>89353.53</v>
      </c>
      <c r="CC455" s="93"/>
      <c r="CD455" s="93">
        <f>ППД5[[#This Row],[Фикс 02.07.24]]+ППД5[[#This Row],[04.09.2024 +500
0К - Б2; 1К - А3;
2К - А6, Б4, В3, Г5]]</f>
        <v>89353.53</v>
      </c>
      <c r="CE455" s="93"/>
      <c r="CF455" s="93">
        <f>ППД5[[#This Row],[Наценка 16.09.2024
1К: А1,В7,Г6/7,Г8 - 2%
2К: А4,А5,А6,Б1,Б6,Б3/4,В3,В4,Г4,Г5 - 4%
3К: 4%]]+ППД5[[#This Row],[Фикс 04.09.24]]</f>
        <v>89353.53</v>
      </c>
      <c r="CG455" s="93"/>
      <c r="CH455" s="93">
        <f>ППД5[[#This Row],[Фикс 16.09.2024]]+ППД5[[#This Row],[Наценка 01.11.24
СТ: 4%
1К: 34-40м 5%; 40м+ 8%; МГН 1%
2К: 55-70м 6%; 70-73м 7%; 73-76м 8% 
3К: 5%]]</f>
        <v>89353.53</v>
      </c>
      <c r="CI455" s="93"/>
      <c r="CJ455" s="93">
        <f>ППД5[[#This Row],[Наценка 06.11 13%]]+ППД5[[#This Row],[Фикс 01.11.24]]</f>
        <v>89353.53</v>
      </c>
      <c r="CK455" s="93"/>
      <c r="CL455" s="93">
        <f>ППД5[[#This Row],[Фикс 06.11.24]]+ППД5[[#This Row],[Наценка 18.12.24 распределение КВ]]</f>
        <v>89353.53</v>
      </c>
      <c r="CM455" s="93"/>
      <c r="CN455" s="93">
        <f>ППД5[[#This Row],[Фикс 18.12.24]]+ППД5[[#This Row],[Наценка 10.02.25 +1%
1К: А3
2К: Б3, В3]]</f>
        <v>89353.53</v>
      </c>
      <c r="CO455" s="93">
        <f>ROUND(ППД5[[#This Row],[Фикс 10.02.25]],2)</f>
        <v>89353.53</v>
      </c>
      <c r="CP45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2626993.7799999998</v>
      </c>
      <c r="CQ455" s="93">
        <f>ROUNDUP(ППД5[[#This Row],[Стоимость до скидки]]+ППД5[[#This Row],[Сумма доплаты]],-2)</f>
        <v>2618100</v>
      </c>
      <c r="CR455" s="68"/>
      <c r="CS455" s="90"/>
      <c r="CT455" s="68">
        <f>ППД5[[#This Row],[Стоимость до скидки]]*ППД5[[#This Row],[Скидка %]]+ППД5[[#This Row],[Скидка фиксированная]]</f>
        <v>0</v>
      </c>
      <c r="CU455" s="3">
        <f>ППД5[[#This Row],[Стоимость ОН без отделки со скидкой]]/ППД5[[#This Row],[Расчетная проектная площадь]]</f>
        <v>89353.529931972793</v>
      </c>
      <c r="CV455" s="3">
        <f>ROUND(ППД5[[#This Row],[Стоимость до скидки]]-ППД5[[#This Row],[Итоговая сумма скидки]],2)</f>
        <v>2626993.7799999998</v>
      </c>
      <c r="CW45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55" s="197"/>
      <c r="CY455" s="332">
        <f>ППД5[[#This Row],[Расхождение]]/ППД5[[#This Row],[Расчетная проектная площадь]]</f>
        <v>-3.4013605442176145E-3</v>
      </c>
      <c r="CZ45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-2.9999999999999361E-2</v>
      </c>
      <c r="DA455" s="3">
        <f>ППД5[[#This Row],[Цена м2 без отделки со скидкой]]+ППД5[[#This Row],[Стоимость отделки]]</f>
        <v>89353.529931972793</v>
      </c>
      <c r="DB455" s="3">
        <f>ППД5[[#This Row],[Стоимость квартиры с отделкой]]-ППД5[[#This Row],[Стоимость ОН без отделки со скидкой]]</f>
        <v>0</v>
      </c>
      <c r="DC455" s="3">
        <f>ППД5[[#This Row],[Цена м2 с отделкой]]*ППД5[[#This Row],[Расчетная проектная площадь]]</f>
        <v>2626993.7799999998</v>
      </c>
      <c r="DD455" s="3"/>
      <c r="DF455" s="199" t="s">
        <v>172</v>
      </c>
      <c r="DG455" s="245" t="s">
        <v>172</v>
      </c>
      <c r="DH455" s="100" t="b">
        <f>EXACT(ППД5[[#This Row],[Статусы CRM]],ППД5[[#This Row],[Статус]])</f>
        <v>1</v>
      </c>
      <c r="DI455" s="213" t="s">
        <v>627</v>
      </c>
      <c r="DJ455" s="204"/>
      <c r="DK455" s="111" t="s">
        <v>76</v>
      </c>
      <c r="DL455" s="216" t="s">
        <v>12</v>
      </c>
      <c r="DM455" s="201" t="b">
        <f>ППД5[[#This Row],[Отделка CRM]]=ППД5[[#This Row],[Отделка]]</f>
        <v>1</v>
      </c>
      <c r="DN455" s="203">
        <v>2626993.7799999998</v>
      </c>
      <c r="DO45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55" s="207" t="b">
        <f>IF(AND(ППД5[[#This Row],[Статус]]="свободно",ППД5[[#This Row],[Итоговая сумма скидки]]&lt;&gt;0),FALSE,TRUE)</f>
        <v>1</v>
      </c>
      <c r="DQ455" s="240">
        <f>_xlfn.XLOOKUP(ППД5[[#This Row],[№]],Юрист[№ кв],Юрист[Дата подачи на регистрацию]," ",0,-1)</f>
        <v>45195</v>
      </c>
      <c r="DR455" s="115" t="str">
        <f>_xlfn.XLOOKUP(ППД5[[#This Row],[№]],Юрист[№ кв],Юрист[МОП],"",0,-1)</f>
        <v>Кофанова</v>
      </c>
      <c r="DS455" s="333" t="s">
        <v>3202</v>
      </c>
      <c r="DT455" s="333" t="s">
        <v>3203</v>
      </c>
      <c r="DU455" s="333">
        <v>27</v>
      </c>
      <c r="DV455" s="111"/>
    </row>
    <row r="456" spans="1:126" hidden="1" x14ac:dyDescent="0.25">
      <c r="A456" s="112">
        <v>454</v>
      </c>
      <c r="B456" s="111" t="s">
        <v>2</v>
      </c>
      <c r="C456" s="111">
        <v>9</v>
      </c>
      <c r="D456" s="115">
        <v>2</v>
      </c>
      <c r="E456" s="111">
        <v>1</v>
      </c>
      <c r="F456" s="105">
        <v>13.17</v>
      </c>
      <c r="G456" s="105"/>
      <c r="H456" s="105"/>
      <c r="I456" s="94">
        <f>SUM(ППД5[[#This Row],[Комната 1]:[Комната 3]])</f>
        <v>13.17</v>
      </c>
      <c r="J456" s="105">
        <v>16.940000000000001</v>
      </c>
      <c r="K456" s="105">
        <v>3.55</v>
      </c>
      <c r="L456" s="105">
        <v>2.41</v>
      </c>
      <c r="M456" s="105"/>
      <c r="N456" s="105">
        <v>5.8</v>
      </c>
      <c r="O456" s="105">
        <v>2.68</v>
      </c>
      <c r="P456" s="105"/>
      <c r="Q456" s="105"/>
      <c r="R456" s="105">
        <f>SUM(ППД5[[#This Row],[Лоджия 1]:[Лоджия 3]])</f>
        <v>2.68</v>
      </c>
      <c r="S456" s="8">
        <f>ROUND(SUM(ППД5[[#This Row],[Площадь по проекту жилая]:[Лоджия 3]]),2)</f>
        <v>44.55</v>
      </c>
      <c r="T456" s="8">
        <f>ROUND(ППД5[[#This Row],[Площадь по проекту(общая)]]-ППД5[[#This Row],[Летние]],2)</f>
        <v>41.87</v>
      </c>
      <c r="U456" s="91">
        <f>ROUND(ППД5[[#This Row],[Площадь по проекту(общая)]]-(SUM(ППД5[[#This Row],[Лоджия 1]:[Лоджия 3]])/2),2)</f>
        <v>43.21</v>
      </c>
      <c r="V456" s="91">
        <f>IF(ППД5[[#This Row],[Статус]]="продажа",ППД5[[#This Row],[Расчетная проектная площадь]],ППД5[[#This Row],[Расчетная ТП площадь]])</f>
        <v>43.21</v>
      </c>
      <c r="W456" s="91">
        <v>13</v>
      </c>
      <c r="X456" s="91"/>
      <c r="Y456" s="91"/>
      <c r="Z456" s="91">
        <f>SUM(ППД5[[#This Row],[ТП Комната 1]:[ТП Комната 3]])</f>
        <v>13</v>
      </c>
      <c r="AA456" s="91">
        <v>16.7</v>
      </c>
      <c r="AB456" s="91">
        <v>2</v>
      </c>
      <c r="AC456" s="91">
        <v>3.3</v>
      </c>
      <c r="AD456" s="91"/>
      <c r="AE456" s="91">
        <v>6</v>
      </c>
      <c r="AF456" s="91">
        <v>1.35</v>
      </c>
      <c r="AG456" s="91"/>
      <c r="AH456" s="91"/>
      <c r="AI456" s="91">
        <f>SUM(ППД5[[#This Row],[ТП Лоджия 1]:[ТП Лоджия 3]])</f>
        <v>1.35</v>
      </c>
      <c r="AJ456" s="95">
        <v>2.7</v>
      </c>
      <c r="AK456" s="91">
        <f>SUM(ППД5[[#This Row],[Площадь по ТП жилая]:[ТП Лоджия 3]])-ППД5[[#This Row],[ТП Летние]]+ППД5[[#This Row],[кроме того прочая
(без коэффициента)]]</f>
        <v>43.7</v>
      </c>
      <c r="AL456" s="95">
        <f>ППД5[[#This Row],[ТП Площадь без летних]]+(ППД5[[#This Row],[ТП Летние]])</f>
        <v>42.35</v>
      </c>
      <c r="AM456" s="91">
        <f>ППД5[[#This Row],[ТП общая S]]-ППД5[[#This Row],[кроме того прочая
(без коэффициента)]]</f>
        <v>41</v>
      </c>
      <c r="AN456" s="95">
        <f>SUM(ППД5[[#This Row],[ТП Кухня]:[ТП Коридор]])</f>
        <v>28</v>
      </c>
      <c r="AO456" s="91">
        <f>ППД5[[#This Row],[Расчетная ТП площадь]]-ППД5[[#This Row],[Расчетная проектная площадь]]</f>
        <v>-0.85999999999999943</v>
      </c>
      <c r="AP456" s="335">
        <f>ППД5[[#This Row],[Расчетная ТП площадь]]/ППД5[[#This Row],[Расчетная проектная площадь]]-1</f>
        <v>-1.9902800277713517E-2</v>
      </c>
      <c r="AQ456" s="91">
        <f>ППД5[[#This Row],[% расхождения]]*ППД5[[#This Row],[Стоимость до скидки]]</f>
        <v>-73244.591853737656</v>
      </c>
      <c r="AR456" s="91">
        <f>VLOOKUP(ППД5[[#This Row],[№]],наценкад5[],COLUMN(наценкад5[[#This Row],[Цена м2 с учетом всех K]]),0)</f>
        <v>85168.125</v>
      </c>
      <c r="AS456" s="8"/>
      <c r="AT456" s="8">
        <f>ППД5[[#This Row],[м2 после К]]+ППД5[[#This Row],[Повышение 16.08.23 - 5%]]</f>
        <v>85168.125</v>
      </c>
      <c r="AU456" s="93"/>
      <c r="AV456" s="93">
        <f>ППД5[[#This Row],[Фикс 16.08.23]]+ППД5[[#This Row],[Повышение 29.08.23 - 3%]]</f>
        <v>85168.125</v>
      </c>
      <c r="AW456" s="93"/>
      <c r="AX456" s="93">
        <f>ППД5[[#This Row],[Фикс 29.08.23]]+ППД5[[#This Row],[Повышение 06.09.23 СТ и 1К]]</f>
        <v>85168.125</v>
      </c>
      <c r="AY456" s="93"/>
      <c r="AZ456" s="93">
        <f>ППД5[[#This Row],[Повышение 23.10.23  В4 ]]+ППД5[[#This Row],[Фикс 06.09.23]]</f>
        <v>85168.125</v>
      </c>
      <c r="BA456" s="93"/>
      <c r="BB456" s="93">
        <f>ППД5[[#This Row],[Повышение 8.11.23 1К 5%]]+ППД5[[#This Row],[Фикс 23.10.23]]</f>
        <v>85168.125</v>
      </c>
      <c r="BC456" s="93"/>
      <c r="BD456" s="93">
        <f>ППД5[[#This Row],[Корректировка 24.11.23 - 1К В5, 2К А2, №233]]+ППД5[[#This Row],[Фикс 8.11.23]]</f>
        <v>85168.125</v>
      </c>
      <c r="BE456" s="93"/>
      <c r="BF456" s="93">
        <f>ППД5[[#This Row],[Наценка за отделку 29.12.23 1%]]+ППД5[[#This Row],[Фикс 8.11.24]]</f>
        <v>85168.125</v>
      </c>
      <c r="BG456" s="93"/>
      <c r="BH456" s="93">
        <f>ППД5[[#This Row],[Фикс 29.12.23]]+ППД5[[#This Row],[Наценка 10.01.24 5%]]</f>
        <v>85168.125</v>
      </c>
      <c r="BI456" s="93"/>
      <c r="BJ456" s="93">
        <f>ППД5[[#This Row],[Наценка 26.02.24 1 Этаж]]+ППД5[[#This Row],[Фикс 10.01.24]]</f>
        <v>85168.125</v>
      </c>
      <c r="BK456" s="93"/>
      <c r="BL456" s="93">
        <f>ППД5[[#This Row],[Фикс 26.02.24]]+ППД5[[#This Row],[Наценка 06.03.24
СТ, 1К - 3%
2К, 3К - 2%]]</f>
        <v>85168.125</v>
      </c>
      <c r="BM456" s="93"/>
      <c r="BN456" s="93">
        <f>ППД5[[#This Row],[Фикс 06.03.24]]+ППД5[[#This Row],[Наценка Г2+500]]</f>
        <v>85168.125</v>
      </c>
      <c r="BO456" s="93"/>
      <c r="BP456" s="93">
        <f>ППД5[[#This Row],[Фикс 13.03.25]]+ППД5[[#This Row],[Наценка 20.03.24
2К, 3К - 2%]]</f>
        <v>85168.125</v>
      </c>
      <c r="BQ456" s="93"/>
      <c r="BR456" s="93">
        <f>ППД5[[#This Row],[Фикс 20.03.24]]+ППД5[[#This Row],[Наценка 08.04.24 
2К: В3 - 150
3К: Г7 +1000]]</f>
        <v>85168.125</v>
      </c>
      <c r="BS456" s="93"/>
      <c r="BT456" s="93">
        <f>ППД5[[#This Row],[Фикс 08.04.24]]+ППД5[[#This Row],[Наценка 16.05.24 1%
А4,А6,Б3,Б6,Б7,В2,В3,В5,В6,Г1,Г3-Г5]]</f>
        <v>85168.125</v>
      </c>
      <c r="BU456" s="93"/>
      <c r="BV456" s="93">
        <f>ППД5[[#This Row],[Фикс 16.05.24]]+ППД5[[#This Row],[Наценка 24.05.24
1% - Б4, Б5,Г2,Г6
2% - А1,А3,А5,Б2,Г7]]</f>
        <v>85168.125</v>
      </c>
      <c r="BW456" s="93"/>
      <c r="BX456" s="93">
        <f>ППД5[[#This Row],[Наценка 06.06.24
0К: В2,Г3 +0,5%
1К: А7, Б5/4, Г6 +0,5%
3К: В6 +0,5%
1К: А3 +1%]]+ППД5[[#This Row],[Фикс 24.05.24]]</f>
        <v>85168.125</v>
      </c>
      <c r="BY456" s="93"/>
      <c r="BZ456" s="93">
        <f>ППД5[[#This Row],[Фикс 06.06.24]]+ППД5[[#This Row],[13.06.2024
3К - 2%]]</f>
        <v>85168.125</v>
      </c>
      <c r="CA456" s="93"/>
      <c r="CB456" s="93">
        <f>ППД5[[#This Row],[02.07.2024: Г3 А1 А3 Б5 Б7 Г2 Г6 Б3 Б4 В3 Г7 2,5% ост 0,5-1,5%]]+ППД5[[#This Row],[Фикс 13.06.24]]</f>
        <v>85168.125</v>
      </c>
      <c r="CC456" s="93"/>
      <c r="CD456" s="93">
        <f>ППД5[[#This Row],[Фикс 02.07.24]]+ППД5[[#This Row],[04.09.2024 +500
0К - Б2; 1К - А3;
2К - А6, Б4, В3, Г5]]</f>
        <v>85168.125</v>
      </c>
      <c r="CE456" s="93"/>
      <c r="CF456" s="93">
        <f>ППД5[[#This Row],[Наценка 16.09.2024
1К: А1,В7,Г6/7,Г8 - 2%
2К: А4,А5,А6,Б1,Б6,Б3/4,В3,В4,Г4,Г5 - 4%
3К: 4%]]+ППД5[[#This Row],[Фикс 04.09.24]]</f>
        <v>85168.125</v>
      </c>
      <c r="CG456" s="93"/>
      <c r="CH456" s="93">
        <f>ППД5[[#This Row],[Фикс 16.09.2024]]+ППД5[[#This Row],[Наценка 01.11.24
СТ: 4%
1К: 34-40м 5%; 40м+ 8%; МГН 1%
2К: 55-70м 6%; 70-73м 7%; 73-76м 8% 
3К: 5%]]</f>
        <v>85168.125</v>
      </c>
      <c r="CI456" s="93"/>
      <c r="CJ456" s="93">
        <f>ППД5[[#This Row],[Наценка 06.11 13%]]+ППД5[[#This Row],[Фикс 01.11.24]]</f>
        <v>85168.125</v>
      </c>
      <c r="CK456" s="93"/>
      <c r="CL456" s="93">
        <f>ППД5[[#This Row],[Фикс 06.11.24]]+ППД5[[#This Row],[Наценка 18.12.24 распределение КВ]]</f>
        <v>85168.125</v>
      </c>
      <c r="CM456" s="93"/>
      <c r="CN456" s="93">
        <f>ППД5[[#This Row],[Фикс 18.12.24]]+ППД5[[#This Row],[Наценка 10.02.25 +1%
1К: А3
2К: Б3, В3]]</f>
        <v>85168.125</v>
      </c>
      <c r="CO456" s="93">
        <f>ROUND(ППД5[[#This Row],[Фикс 10.02.25]],2)</f>
        <v>85168.13</v>
      </c>
      <c r="CP45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3680114.9</v>
      </c>
      <c r="CQ456" s="93">
        <f>ROUNDUP(ППД5[[#This Row],[Стоимость до скидки]]+ППД5[[#This Row],[Сумма доплаты]],-2)</f>
        <v>3606900</v>
      </c>
      <c r="CR456" s="68"/>
      <c r="CS456" s="90"/>
      <c r="CT456" s="68">
        <f>ППД5[[#This Row],[Стоимость до скидки]]*ППД5[[#This Row],[Скидка %]]+ППД5[[#This Row],[Скидка фиксированная]]</f>
        <v>0</v>
      </c>
      <c r="CU456" s="3">
        <f>ППД5[[#This Row],[Стоимость ОН без отделки со скидкой]]/ППД5[[#This Row],[Расчетная проектная площадь]]</f>
        <v>85168.130062485536</v>
      </c>
      <c r="CV456" s="3">
        <f>ROUND(ППД5[[#This Row],[Стоимость до скидки]]-ППД5[[#This Row],[Итоговая сумма скидки]],2)</f>
        <v>3680114.9</v>
      </c>
      <c r="CW45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56" s="197"/>
      <c r="CY456" s="332">
        <f>ППД5[[#This Row],[Расхождение]]/ППД5[[#This Row],[Расчетная проектная площадь]]</f>
        <v>-1.9902800277713479E-2</v>
      </c>
      <c r="CZ45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-0.70000000000000284</v>
      </c>
      <c r="DA456" s="3">
        <f>ППД5[[#This Row],[Цена м2 без отделки со скидкой]]+ППД5[[#This Row],[Стоимость отделки]]</f>
        <v>85168.130062485536</v>
      </c>
      <c r="DB456" s="3">
        <f>ППД5[[#This Row],[Стоимость квартиры с отделкой]]-ППД5[[#This Row],[Стоимость ОН без отделки со скидкой]]</f>
        <v>0</v>
      </c>
      <c r="DC456" s="3">
        <f>ППД5[[#This Row],[Цена м2 с отделкой]]*ППД5[[#This Row],[Расчетная проектная площадь]]</f>
        <v>3680114.9</v>
      </c>
      <c r="DD456" s="3"/>
      <c r="DF456" s="199" t="s">
        <v>172</v>
      </c>
      <c r="DG456" s="245" t="s">
        <v>172</v>
      </c>
      <c r="DH456" s="100" t="b">
        <f>EXACT(ППД5[[#This Row],[Статусы CRM]],ППД5[[#This Row],[Статус]])</f>
        <v>1</v>
      </c>
      <c r="DI456" s="213" t="s">
        <v>628</v>
      </c>
      <c r="DJ456" s="204"/>
      <c r="DK456" s="111" t="s">
        <v>76</v>
      </c>
      <c r="DL456" s="216" t="s">
        <v>12</v>
      </c>
      <c r="DM456" s="201" t="b">
        <f>ППД5[[#This Row],[Отделка CRM]]=ППД5[[#This Row],[Отделка]]</f>
        <v>1</v>
      </c>
      <c r="DN456" s="203">
        <v>3680114.9</v>
      </c>
      <c r="DO45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56" s="207" t="b">
        <f>IF(AND(ППД5[[#This Row],[Статус]]="свободно",ППД5[[#This Row],[Итоговая сумма скидки]]&lt;&gt;0),FALSE,TRUE)</f>
        <v>1</v>
      </c>
      <c r="DQ456" s="240">
        <f>_xlfn.XLOOKUP(ППД5[[#This Row],[№]],Юрист[№ кв],Юрист[Дата подачи на регистрацию]," ",0,-1)</f>
        <v>45188</v>
      </c>
      <c r="DR456" s="115" t="str">
        <f>_xlfn.XLOOKUP(ППД5[[#This Row],[№]],Юрист[№ кв],Юрист[МОП],"",0,-1)</f>
        <v>Кофанова</v>
      </c>
      <c r="DS456" s="333" t="s">
        <v>3204</v>
      </c>
      <c r="DT456" s="333" t="s">
        <v>3205</v>
      </c>
      <c r="DU456" s="333">
        <v>41</v>
      </c>
      <c r="DV456" s="111"/>
    </row>
    <row r="457" spans="1:126" hidden="1" x14ac:dyDescent="0.25">
      <c r="A457" s="112">
        <v>455</v>
      </c>
      <c r="B457" s="111" t="s">
        <v>2</v>
      </c>
      <c r="C457" s="111">
        <v>9</v>
      </c>
      <c r="D457" s="115">
        <v>3</v>
      </c>
      <c r="E457" s="111">
        <v>0</v>
      </c>
      <c r="F457" s="105">
        <v>7.2</v>
      </c>
      <c r="G457" s="105"/>
      <c r="H457" s="105"/>
      <c r="I457" s="94">
        <f>SUM(ППД5[[#This Row],[Комната 1]:[Комната 3]])</f>
        <v>7.2</v>
      </c>
      <c r="J457" s="105">
        <v>5.17</v>
      </c>
      <c r="K457" s="105">
        <v>3.71</v>
      </c>
      <c r="L457" s="105"/>
      <c r="M457" s="105"/>
      <c r="N457" s="105">
        <v>6.96</v>
      </c>
      <c r="O457" s="105">
        <v>2.92</v>
      </c>
      <c r="P457" s="105"/>
      <c r="Q457" s="105"/>
      <c r="R457" s="105">
        <f>SUM(ППД5[[#This Row],[Лоджия 1]:[Лоджия 3]])</f>
        <v>2.92</v>
      </c>
      <c r="S457" s="8">
        <f>ROUND(SUM(ППД5[[#This Row],[Площадь по проекту жилая]:[Лоджия 3]]),2)</f>
        <v>25.96</v>
      </c>
      <c r="T457" s="8">
        <f>ROUND(ППД5[[#This Row],[Площадь по проекту(общая)]]-ППД5[[#This Row],[Летние]],2)</f>
        <v>23.04</v>
      </c>
      <c r="U457" s="91">
        <f>ROUND(ППД5[[#This Row],[Площадь по проекту(общая)]]-(SUM(ППД5[[#This Row],[Лоджия 1]:[Лоджия 3]])/2),2)</f>
        <v>24.5</v>
      </c>
      <c r="V457" s="91">
        <f>IF(ППД5[[#This Row],[Статус]]="продажа",ППД5[[#This Row],[Расчетная проектная площадь]],ППД5[[#This Row],[Расчетная ТП площадь]])</f>
        <v>24.5</v>
      </c>
      <c r="W457" s="91">
        <v>7.2</v>
      </c>
      <c r="X457" s="91"/>
      <c r="Y457" s="91"/>
      <c r="Z457" s="91">
        <f>SUM(ППД5[[#This Row],[ТП Комната 1]:[ТП Комната 3]])</f>
        <v>7.2</v>
      </c>
      <c r="AA457" s="91">
        <v>5.6</v>
      </c>
      <c r="AB457" s="91">
        <v>3.7</v>
      </c>
      <c r="AC457" s="91"/>
      <c r="AD457" s="91"/>
      <c r="AE457" s="91">
        <v>6.4</v>
      </c>
      <c r="AF457" s="91">
        <v>1.45</v>
      </c>
      <c r="AG457" s="91"/>
      <c r="AH457" s="91"/>
      <c r="AI457" s="91">
        <f>SUM(ППД5[[#This Row],[ТП Лоджия 1]:[ТП Лоджия 3]])</f>
        <v>1.45</v>
      </c>
      <c r="AJ457" s="95">
        <v>2.9</v>
      </c>
      <c r="AK457" s="91">
        <f>SUM(ППД5[[#This Row],[Площадь по ТП жилая]:[ТП Лоджия 3]])-ППД5[[#This Row],[ТП Летние]]+ППД5[[#This Row],[кроме того прочая
(без коэффициента)]]</f>
        <v>25.799999999999997</v>
      </c>
      <c r="AL457" s="95">
        <f>ППД5[[#This Row],[ТП Площадь без летних]]+(ППД5[[#This Row],[ТП Летние]])</f>
        <v>24.349999999999998</v>
      </c>
      <c r="AM457" s="91">
        <f>ППД5[[#This Row],[ТП общая S]]-ППД5[[#This Row],[кроме того прочая
(без коэффициента)]]</f>
        <v>22.9</v>
      </c>
      <c r="AN457" s="95">
        <f>SUM(ППД5[[#This Row],[ТП Кухня]:[ТП Коридор]])</f>
        <v>15.700000000000001</v>
      </c>
      <c r="AO457" s="91">
        <f>ППД5[[#This Row],[Расчетная ТП площадь]]-ППД5[[#This Row],[Расчетная проектная площадь]]</f>
        <v>-0.15000000000000213</v>
      </c>
      <c r="AP457" s="335">
        <f>ППД5[[#This Row],[Расчетная ТП площадь]]/ППД5[[#This Row],[Расчетная проектная площадь]]-1</f>
        <v>-6.1224489795919101E-3</v>
      </c>
      <c r="AQ457" s="91">
        <f>ППД5[[#This Row],[% расхождения]]*ППД5[[#This Row],[Стоимость до скидки]]</f>
        <v>-17597.14285714307</v>
      </c>
      <c r="AR457" s="91">
        <f>VLOOKUP(ППД5[[#This Row],[№]],наценкад5[],COLUMN(наценкад5[[#This Row],[Цена м2 с учетом всех K]]),0)</f>
        <v>91105.56</v>
      </c>
      <c r="AS457" s="8">
        <f>ППД5[[#This Row],[м2 после К]]*5%</f>
        <v>4555.2780000000002</v>
      </c>
      <c r="AT457" s="8">
        <f>ППД5[[#This Row],[м2 после К]]+ППД5[[#This Row],[Повышение 16.08.23 - 5%]]</f>
        <v>95660.838000000003</v>
      </c>
      <c r="AU457" s="93">
        <f>ППД5[[#This Row],[Фикс 16.08.23]]*3%</f>
        <v>2869.8251399999999</v>
      </c>
      <c r="AV457" s="93">
        <f>ППД5[[#This Row],[Фикс 16.08.23]]+ППД5[[#This Row],[Повышение 29.08.23 - 3%]]</f>
        <v>98530.663140000004</v>
      </c>
      <c r="AW457" s="93">
        <f>ППД5[[#This Row],[Фикс 29.08.23]]*9%</f>
        <v>8867.7596826000008</v>
      </c>
      <c r="AX457" s="93">
        <f>ППД5[[#This Row],[Фикс 29.08.23]]+ППД5[[#This Row],[Повышение 06.09.23 СТ и 1К]]</f>
        <v>107398.4228226</v>
      </c>
      <c r="AY457" s="93"/>
      <c r="AZ457" s="93">
        <f>ППД5[[#This Row],[Повышение 23.10.23  В4 ]]+ППД5[[#This Row],[Фикс 06.09.23]]</f>
        <v>107398.4228226</v>
      </c>
      <c r="BA457" s="93"/>
      <c r="BB457" s="93">
        <f>ППД5[[#This Row],[Повышение 8.11.23 1К 5%]]+ППД5[[#This Row],[Фикс 23.10.23]]</f>
        <v>107398.4228226</v>
      </c>
      <c r="BC457" s="93"/>
      <c r="BD457" s="93">
        <f>ППД5[[#This Row],[Корректировка 24.11.23 - 1К В5, 2К А2, №233]]+ППД5[[#This Row],[Фикс 8.11.23]]</f>
        <v>107398.4228226</v>
      </c>
      <c r="BE457" s="93">
        <f>ППД5[[#This Row],[Фикс 8.11.24]]*1%</f>
        <v>1073.9842282259999</v>
      </c>
      <c r="BF457" s="93">
        <f>ППД5[[#This Row],[Наценка за отделку 29.12.23 1%]]+ППД5[[#This Row],[Фикс 8.11.24]]</f>
        <v>108472.407050826</v>
      </c>
      <c r="BG457" s="93">
        <f>ППД5[[#This Row],[Фикс 29.12.23]]*5%</f>
        <v>5423.6203525413002</v>
      </c>
      <c r="BH457" s="93">
        <f>ППД5[[#This Row],[Фикс 29.12.23]]+ППД5[[#This Row],[Наценка 10.01.24 5%]]</f>
        <v>113896.0274033673</v>
      </c>
      <c r="BI457" s="93"/>
      <c r="BJ457" s="93">
        <f>ППД5[[#This Row],[Наценка 26.02.24 1 Этаж]]+ППД5[[#This Row],[Фикс 10.01.24]]</f>
        <v>113896.0274033673</v>
      </c>
      <c r="BK457" s="93">
        <f>ППД5[[#This Row],[Фикс 26.02.24]]*3%</f>
        <v>3416.880822101019</v>
      </c>
      <c r="BL457" s="93">
        <f>ППД5[[#This Row],[Фикс 26.02.24]]+ППД5[[#This Row],[Наценка 06.03.24
СТ, 1К - 3%
2К, 3К - 2%]]</f>
        <v>117312.90822546833</v>
      </c>
      <c r="BM457" s="93"/>
      <c r="BN457" s="93">
        <f>ППД5[[#This Row],[Фикс 06.03.24]]+ППД5[[#This Row],[Наценка Г2+500]]</f>
        <v>117312.90822546833</v>
      </c>
      <c r="BO457" s="93"/>
      <c r="BP457" s="93">
        <f>ППД5[[#This Row],[Фикс 13.03.25]]+ППД5[[#This Row],[Наценка 20.03.24
2К, 3К - 2%]]</f>
        <v>117312.90822546833</v>
      </c>
      <c r="BQ457" s="93"/>
      <c r="BR457" s="93">
        <f>ППД5[[#This Row],[Фикс 20.03.24]]+ППД5[[#This Row],[Наценка 08.04.24 
2К: В3 - 150
3К: Г7 +1000]]</f>
        <v>117312.90822546833</v>
      </c>
      <c r="BS457" s="93"/>
      <c r="BT457" s="93">
        <f>ППД5[[#This Row],[Фикс 08.04.24]]+ППД5[[#This Row],[Наценка 16.05.24 1%
А4,А6,Б3,Б6,Б7,В2,В3,В5,В6,Г1,Г3-Г5]]</f>
        <v>117312.90822546833</v>
      </c>
      <c r="BU457" s="93"/>
      <c r="BV457" s="93">
        <f>ППД5[[#This Row],[Фикс 16.05.24]]+ППД5[[#This Row],[Наценка 24.05.24
1% - Б4, Б5,Г2,Г6
2% - А1,А3,А5,Б2,Г7]]</f>
        <v>117312.90822546833</v>
      </c>
      <c r="BW457" s="93"/>
      <c r="BX457" s="93">
        <f>ППД5[[#This Row],[Наценка 06.06.24
0К: В2,Г3 +0,5%
1К: А7, Б5/4, Г6 +0,5%
3К: В6 +0,5%
1К: А3 +1%]]+ППД5[[#This Row],[Фикс 24.05.24]]</f>
        <v>117312.90822546833</v>
      </c>
      <c r="BY457" s="93"/>
      <c r="BZ457" s="93">
        <f>ППД5[[#This Row],[Фикс 06.06.24]]+ППД5[[#This Row],[13.06.2024
3К - 2%]]</f>
        <v>117312.90822546833</v>
      </c>
      <c r="CA457" s="93"/>
      <c r="CB457" s="93">
        <f>ППД5[[#This Row],[02.07.2024: Г3 А1 А3 Б5 Б7 Г2 Г6 Б3 Б4 В3 Г7 2,5% ост 0,5-1,5%]]+ППД5[[#This Row],[Фикс 13.06.24]]</f>
        <v>117312.90822546833</v>
      </c>
      <c r="CC457" s="93"/>
      <c r="CD457" s="93">
        <f>ППД5[[#This Row],[Фикс 02.07.24]]+ППД5[[#This Row],[04.09.2024 +500
0К - Б2; 1К - А3;
2К - А6, Б4, В3, Г5]]</f>
        <v>117312.90822546833</v>
      </c>
      <c r="CE457" s="93"/>
      <c r="CF457" s="93">
        <f>ППД5[[#This Row],[Наценка 16.09.2024
1К: А1,В7,Г6/7,Г8 - 2%
2К: А4,А5,А6,Б1,Б6,Б3/4,В3,В4,Г4,Г5 - 4%
3К: 4%]]+ППД5[[#This Row],[Фикс 04.09.24]]</f>
        <v>117312.90822546833</v>
      </c>
      <c r="CG457" s="93"/>
      <c r="CH457" s="93">
        <f>ППД5[[#This Row],[Фикс 16.09.2024]]+ППД5[[#This Row],[Наценка 01.11.24
СТ: 4%
1К: 34-40м 5%; 40м+ 8%; МГН 1%
2К: 55-70м 6%; 70-73м 7%; 73-76м 8% 
3К: 5%]]</f>
        <v>117312.90822546833</v>
      </c>
      <c r="CI457" s="93"/>
      <c r="CJ457" s="93">
        <f>ППД5[[#This Row],[Наценка 06.11 13%]]+ППД5[[#This Row],[Фикс 01.11.24]]</f>
        <v>117312.90822546833</v>
      </c>
      <c r="CK457" s="93"/>
      <c r="CL457" s="93">
        <f>ППД5[[#This Row],[Фикс 06.11.24]]+ППД5[[#This Row],[Наценка 18.12.24 распределение КВ]]</f>
        <v>117312.90822546833</v>
      </c>
      <c r="CM457" s="93"/>
      <c r="CN457" s="93">
        <f>ППД5[[#This Row],[Фикс 18.12.24]]+ППД5[[#This Row],[Наценка 10.02.25 +1%
1К: А3
2К: Б3, В3]]</f>
        <v>117312.90822546833</v>
      </c>
      <c r="CO457" s="93">
        <f>ROUND(ППД5[[#This Row],[Фикс 10.02.25]],2)</f>
        <v>117312.91</v>
      </c>
      <c r="CP45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2874200</v>
      </c>
      <c r="CQ457" s="93">
        <f>ROUNDUP(ППД5[[#This Row],[Стоимость до скидки]]+ППД5[[#This Row],[Сумма доплаты]],-2)</f>
        <v>2856700</v>
      </c>
      <c r="CR457" s="68"/>
      <c r="CS457" s="90"/>
      <c r="CT457" s="68">
        <f>ППД5[[#This Row],[Стоимость до скидки]]*ППД5[[#This Row],[Скидка %]]+ППД5[[#This Row],[Скидка фиксированная]]</f>
        <v>0</v>
      </c>
      <c r="CU457" s="3">
        <f>ППД5[[#This Row],[Стоимость ОН без отделки со скидкой]]/ППД5[[#This Row],[Расчетная проектная площадь]]</f>
        <v>117314.28571428571</v>
      </c>
      <c r="CV457" s="3">
        <f>ROUND(ППД5[[#This Row],[Стоимость до скидки]]-ППД5[[#This Row],[Итоговая сумма скидки]],2)</f>
        <v>2874200</v>
      </c>
      <c r="CW45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57" s="197">
        <v>20000</v>
      </c>
      <c r="CY457" s="332">
        <f>ППД5[[#This Row],[Расхождение]]/ППД5[[#This Row],[Расчетная проектная площадь]]</f>
        <v>-6.122448979591924E-3</v>
      </c>
      <c r="CZ45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-0.1399999999999979</v>
      </c>
      <c r="DA457" s="3">
        <f>ППД5[[#This Row],[Цена м2 без отделки со скидкой]]+ППД5[[#This Row],[Стоимость отделки]]</f>
        <v>137314.28571428571</v>
      </c>
      <c r="DB457" s="3">
        <f>ППД5[[#This Row],[Стоимость квартиры с отделкой]]-ППД5[[#This Row],[Стоимость ОН без отделки со скидкой]]</f>
        <v>490000</v>
      </c>
      <c r="DC457" s="3">
        <f>ППД5[[#This Row],[Цена м2 с отделкой]]*ППД5[[#This Row],[Расчетная проектная площадь]]</f>
        <v>3364200</v>
      </c>
      <c r="DD457" s="3"/>
      <c r="DF457" s="199" t="s">
        <v>172</v>
      </c>
      <c r="DG457" s="245" t="s">
        <v>172</v>
      </c>
      <c r="DH457" s="100" t="b">
        <f>EXACT(ППД5[[#This Row],[Статусы CRM]],ППД5[[#This Row],[Статус]])</f>
        <v>1</v>
      </c>
      <c r="DI457" s="213" t="s">
        <v>629</v>
      </c>
      <c r="DJ457" s="204"/>
      <c r="DK457" s="111" t="s">
        <v>763</v>
      </c>
      <c r="DL457" s="216" t="s">
        <v>14</v>
      </c>
      <c r="DM457" s="201" t="b">
        <f>ППД5[[#This Row],[Отделка CRM]]=ППД5[[#This Row],[Отделка]]</f>
        <v>1</v>
      </c>
      <c r="DN457" s="203">
        <v>3364200</v>
      </c>
      <c r="DO45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57" s="207" t="b">
        <f>IF(AND(ППД5[[#This Row],[Статус]]="свободно",ППД5[[#This Row],[Итоговая сумма скидки]]&lt;&gt;0),FALSE,TRUE)</f>
        <v>1</v>
      </c>
      <c r="DQ457" s="240">
        <f>_xlfn.XLOOKUP(ППД5[[#This Row],[№]],Юрист[№ кв],Юрист[Дата подачи на регистрацию]," ",0,-1)</f>
        <v>45440</v>
      </c>
      <c r="DR457" s="115" t="str">
        <f>_xlfn.XLOOKUP(ППД5[[#This Row],[№]],Юрист[№ кв],Юрист[МОП],"",0,-1)</f>
        <v>Никишов</v>
      </c>
      <c r="DS457" s="333" t="s">
        <v>3206</v>
      </c>
      <c r="DT457" s="333" t="s">
        <v>3207</v>
      </c>
      <c r="DU457" s="333">
        <v>22.9</v>
      </c>
      <c r="DV457" s="111"/>
    </row>
    <row r="458" spans="1:126" hidden="1" x14ac:dyDescent="0.25">
      <c r="A458" s="112">
        <v>456</v>
      </c>
      <c r="B458" s="111" t="s">
        <v>2</v>
      </c>
      <c r="C458" s="111">
        <v>9</v>
      </c>
      <c r="D458" s="115">
        <v>4</v>
      </c>
      <c r="E458" s="111">
        <v>2</v>
      </c>
      <c r="F458" s="105">
        <v>14.48</v>
      </c>
      <c r="G458" s="105">
        <v>11.42</v>
      </c>
      <c r="H458" s="105"/>
      <c r="I458" s="94">
        <f>SUM(ППД5[[#This Row],[Комната 1]:[Комната 3]])</f>
        <v>25.9</v>
      </c>
      <c r="J458" s="105">
        <v>15.86</v>
      </c>
      <c r="K458" s="105">
        <v>3.01</v>
      </c>
      <c r="L458" s="105">
        <v>2.67</v>
      </c>
      <c r="M458" s="105"/>
      <c r="N458" s="105">
        <v>9.44</v>
      </c>
      <c r="O458" s="105">
        <v>2.72</v>
      </c>
      <c r="P458" s="105"/>
      <c r="Q458" s="105"/>
      <c r="R458" s="105">
        <f>SUM(ППД5[[#This Row],[Лоджия 1]:[Лоджия 3]])</f>
        <v>2.72</v>
      </c>
      <c r="S458" s="8">
        <f>ROUND(SUM(ППД5[[#This Row],[Площадь по проекту жилая]:[Лоджия 3]]),2)</f>
        <v>59.6</v>
      </c>
      <c r="T458" s="8">
        <f>ROUND(ППД5[[#This Row],[Площадь по проекту(общая)]]-ППД5[[#This Row],[Летние]],2)</f>
        <v>56.88</v>
      </c>
      <c r="U458" s="91">
        <f>ROUND(ППД5[[#This Row],[Площадь по проекту(общая)]]-(SUM(ППД5[[#This Row],[Лоджия 1]:[Лоджия 3]])/2),2)</f>
        <v>58.24</v>
      </c>
      <c r="V458" s="91">
        <f>IF(ППД5[[#This Row],[Статус]]="продажа",ППД5[[#This Row],[Расчетная проектная площадь]],ППД5[[#This Row],[Расчетная ТП площадь]])</f>
        <v>58.24</v>
      </c>
      <c r="W458" s="91">
        <v>14.3</v>
      </c>
      <c r="X458" s="91">
        <v>11.3</v>
      </c>
      <c r="Y458" s="91"/>
      <c r="Z458" s="91">
        <f>SUM(ППД5[[#This Row],[ТП Комната 1]:[ТП Комната 3]])</f>
        <v>25.6</v>
      </c>
      <c r="AA458" s="91">
        <v>15.9</v>
      </c>
      <c r="AB458" s="91">
        <v>2.8</v>
      </c>
      <c r="AC458" s="91">
        <v>3.1</v>
      </c>
      <c r="AD458" s="91"/>
      <c r="AE458" s="91">
        <v>9.4</v>
      </c>
      <c r="AF458" s="91">
        <v>1.35</v>
      </c>
      <c r="AG458" s="91"/>
      <c r="AH458" s="91"/>
      <c r="AI458" s="91">
        <f>SUM(ППД5[[#This Row],[ТП Лоджия 1]:[ТП Лоджия 3]])</f>
        <v>1.35</v>
      </c>
      <c r="AJ458" s="95">
        <v>2.7</v>
      </c>
      <c r="AK458" s="91">
        <f>SUM(ППД5[[#This Row],[Площадь по ТП жилая]:[ТП Лоджия 3]])-ППД5[[#This Row],[ТП Летние]]+ППД5[[#This Row],[кроме того прочая
(без коэффициента)]]</f>
        <v>59.5</v>
      </c>
      <c r="AL458" s="95">
        <f>ППД5[[#This Row],[ТП Площадь без летних]]+(ППД5[[#This Row],[ТП Летние]])</f>
        <v>58.15</v>
      </c>
      <c r="AM458" s="91">
        <f>ППД5[[#This Row],[ТП общая S]]-ППД5[[#This Row],[кроме того прочая
(без коэффициента)]]</f>
        <v>56.8</v>
      </c>
      <c r="AN458" s="95">
        <f>SUM(ППД5[[#This Row],[ТП Кухня]:[ТП Коридор]])</f>
        <v>31.200000000000003</v>
      </c>
      <c r="AO458" s="91">
        <f>ППД5[[#This Row],[Расчетная ТП площадь]]-ППД5[[#This Row],[Расчетная проектная площадь]]</f>
        <v>-9.0000000000003411E-2</v>
      </c>
      <c r="AP458" s="335">
        <f>ППД5[[#This Row],[Расчетная ТП площадь]]/ППД5[[#This Row],[Расчетная проектная площадь]]-1</f>
        <v>-1.5453296703297204E-3</v>
      </c>
      <c r="AQ458" s="91">
        <f>ППД5[[#This Row],[% расхождения]]*ППД5[[#This Row],[Стоимость до скидки]]</f>
        <v>-8627.11195054973</v>
      </c>
      <c r="AR458" s="91">
        <f>VLOOKUP(ППД5[[#This Row],[№]],наценкад5[],COLUMN(наценкад5[[#This Row],[Цена м2 с учетом всех K]]),0)</f>
        <v>79535.67300000001</v>
      </c>
      <c r="AS458" s="8">
        <f>ППД5[[#This Row],[м2 после К]]*5%</f>
        <v>3976.7836500000008</v>
      </c>
      <c r="AT458" s="8">
        <f>ППД5[[#This Row],[м2 после К]]+ППД5[[#This Row],[Повышение 16.08.23 - 5%]]</f>
        <v>83512.456650000007</v>
      </c>
      <c r="AU458" s="93">
        <f>ППД5[[#This Row],[Фикс 16.08.23]]*3%</f>
        <v>2505.3736994999999</v>
      </c>
      <c r="AV458" s="93">
        <f>ППД5[[#This Row],[Фикс 16.08.23]]+ППД5[[#This Row],[Повышение 29.08.23 - 3%]]</f>
        <v>86017.8303495</v>
      </c>
      <c r="AW458" s="93"/>
      <c r="AX458" s="93">
        <f>ППД5[[#This Row],[Фикс 29.08.23]]+ППД5[[#This Row],[Повышение 06.09.23 СТ и 1К]]</f>
        <v>86017.8303495</v>
      </c>
      <c r="AY458" s="93"/>
      <c r="AZ458" s="93">
        <f>ППД5[[#This Row],[Повышение 23.10.23  В4 ]]+ППД5[[#This Row],[Фикс 06.09.23]]</f>
        <v>86017.8303495</v>
      </c>
      <c r="BA458" s="93"/>
      <c r="BB458" s="93">
        <f>ППД5[[#This Row],[Повышение 8.11.23 1К 5%]]+ППД5[[#This Row],[Фикс 23.10.23]]</f>
        <v>86017.8303495</v>
      </c>
      <c r="BC458" s="93"/>
      <c r="BD458" s="93">
        <f>ППД5[[#This Row],[Корректировка 24.11.23 - 1К В5, 2К А2, №233]]+ППД5[[#This Row],[Фикс 8.11.23]]</f>
        <v>86017.8303495</v>
      </c>
      <c r="BE458" s="93">
        <f>ППД5[[#This Row],[Фикс 8.11.24]]*1%</f>
        <v>860.17830349500002</v>
      </c>
      <c r="BF458" s="93">
        <f>ППД5[[#This Row],[Наценка за отделку 29.12.23 1%]]+ППД5[[#This Row],[Фикс 8.11.24]]</f>
        <v>86878.008652995006</v>
      </c>
      <c r="BG458" s="93">
        <f>ППД5[[#This Row],[Фикс 29.12.23]]*5%</f>
        <v>4343.9004326497507</v>
      </c>
      <c r="BH458" s="93">
        <f>ППД5[[#This Row],[Фикс 29.12.23]]+ППД5[[#This Row],[Наценка 10.01.24 5%]]</f>
        <v>91221.909085644758</v>
      </c>
      <c r="BI458" s="93"/>
      <c r="BJ458" s="93">
        <f>ППД5[[#This Row],[Наценка 26.02.24 1 Этаж]]+ППД5[[#This Row],[Фикс 10.01.24]]</f>
        <v>91221.909085644758</v>
      </c>
      <c r="BK458" s="93">
        <f>ППД5[[#This Row],[Фикс 26.02.24]]*2%</f>
        <v>1824.4381817128951</v>
      </c>
      <c r="BL458" s="93">
        <f>ППД5[[#This Row],[Фикс 26.02.24]]+ППД5[[#This Row],[Наценка 06.03.24
СТ, 1К - 3%
2К, 3К - 2%]]</f>
        <v>93046.347267357647</v>
      </c>
      <c r="BM458" s="93"/>
      <c r="BN458" s="93">
        <f>ППД5[[#This Row],[Фикс 06.03.24]]+ППД5[[#This Row],[Наценка Г2+500]]</f>
        <v>93046.347267357647</v>
      </c>
      <c r="BO458" s="93">
        <f>ППД5[[#This Row],[Фикс 13.03.25]]*2%</f>
        <v>1860.9269453471529</v>
      </c>
      <c r="BP458" s="93">
        <f>ППД5[[#This Row],[Фикс 13.03.25]]+ППД5[[#This Row],[Наценка 20.03.24
2К, 3К - 2%]]</f>
        <v>94907.274212704797</v>
      </c>
      <c r="BQ458" s="93"/>
      <c r="BR458" s="93">
        <f>ППД5[[#This Row],[Фикс 20.03.24]]+ППД5[[#This Row],[Наценка 08.04.24 
2К: В3 - 150
3К: Г7 +1000]]</f>
        <v>94907.274212704797</v>
      </c>
      <c r="BS458" s="93">
        <f>ППД5[[#This Row],[Фикс 08.04.24]]*1%</f>
        <v>949.07274212704795</v>
      </c>
      <c r="BT458" s="93">
        <f>ППД5[[#This Row],[Фикс 08.04.24]]+ППД5[[#This Row],[Наценка 16.05.24 1%
А4,А6,Б3,Б6,Б7,В2,В3,В5,В6,Г1,Г3-Г5]]</f>
        <v>95856.346954831839</v>
      </c>
      <c r="BU458" s="93"/>
      <c r="BV458" s="93">
        <f>ППД5[[#This Row],[Фикс 16.05.24]]+ППД5[[#This Row],[Наценка 24.05.24
1% - Б4, Б5,Г2,Г6
2% - А1,А3,А5,Б2,Г7]]</f>
        <v>95856.346954831839</v>
      </c>
      <c r="BW458" s="93"/>
      <c r="BX458" s="93">
        <f>ППД5[[#This Row],[Наценка 06.06.24
0К: В2,Г3 +0,5%
1К: А7, Б5/4, Г6 +0,5%
3К: В6 +0,5%
1К: А3 +1%]]+ППД5[[#This Row],[Фикс 24.05.24]]</f>
        <v>95856.346954831839</v>
      </c>
      <c r="BY458" s="93"/>
      <c r="BZ458" s="93">
        <f>ППД5[[#This Row],[Фикс 06.06.24]]+ППД5[[#This Row],[13.06.2024
3К - 2%]]</f>
        <v>95856.346954831839</v>
      </c>
      <c r="CA458" s="93"/>
      <c r="CB458" s="93">
        <f>ППД5[[#This Row],[02.07.2024: Г3 А1 А3 Б5 Б7 Г2 Г6 Б3 Б4 В3 Г7 2,5% ост 0,5-1,5%]]+ППД5[[#This Row],[Фикс 13.06.24]]</f>
        <v>95856.346954831839</v>
      </c>
      <c r="CC458" s="93"/>
      <c r="CD458" s="93">
        <f>ППД5[[#This Row],[Фикс 02.07.24]]+ППД5[[#This Row],[04.09.2024 +500
0К - Б2; 1К - А3;
2К - А6, Б4, В3, Г5]]</f>
        <v>95856.346954831839</v>
      </c>
      <c r="CE458" s="93"/>
      <c r="CF458" s="93">
        <f>ППД5[[#This Row],[Наценка 16.09.2024
1К: А1,В7,Г6/7,Г8 - 2%
2К: А4,А5,А6,Б1,Б6,Б3/4,В3,В4,Г4,Г5 - 4%
3К: 4%]]+ППД5[[#This Row],[Фикс 04.09.24]]</f>
        <v>95856.346954831839</v>
      </c>
      <c r="CG458" s="93"/>
      <c r="CH458" s="93">
        <f>ППД5[[#This Row],[Фикс 16.09.2024]]+ППД5[[#This Row],[Наценка 01.11.24
СТ: 4%
1К: 34-40м 5%; 40м+ 8%; МГН 1%
2К: 55-70м 6%; 70-73м 7%; 73-76м 8% 
3К: 5%]]</f>
        <v>95856.346954831839</v>
      </c>
      <c r="CI458" s="93"/>
      <c r="CJ458" s="93">
        <f>ППД5[[#This Row],[Наценка 06.11 13%]]+ППД5[[#This Row],[Фикс 01.11.24]]</f>
        <v>95856.346954831839</v>
      </c>
      <c r="CK458" s="93"/>
      <c r="CL458" s="93">
        <f>ППД5[[#This Row],[Фикс 06.11.24]]+ППД5[[#This Row],[Наценка 18.12.24 распределение КВ]]</f>
        <v>95856.346954831839</v>
      </c>
      <c r="CM458" s="93"/>
      <c r="CN458" s="93">
        <f>ППД5[[#This Row],[Фикс 18.12.24]]+ППД5[[#This Row],[Наценка 10.02.25 +1%
1К: А3
2К: Б3, В3]]</f>
        <v>95856.346954831839</v>
      </c>
      <c r="CO458" s="93">
        <f>ROUND(ППД5[[#This Row],[Фикс 10.02.25]],2)</f>
        <v>95856.35</v>
      </c>
      <c r="CP45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5582700</v>
      </c>
      <c r="CQ458" s="93">
        <f>ROUNDUP(ППД5[[#This Row],[Стоимость до скидки]]+ППД5[[#This Row],[Сумма доплаты]],-2)</f>
        <v>5574100</v>
      </c>
      <c r="CR458" s="68"/>
      <c r="CS458" s="90"/>
      <c r="CT458" s="68">
        <f>ППД5[[#This Row],[Стоимость до скидки]]*ППД5[[#This Row],[Скидка %]]+ППД5[[#This Row],[Скидка фиксированная]]</f>
        <v>0</v>
      </c>
      <c r="CU458" s="3">
        <f>ППД5[[#This Row],[Стоимость ОН без отделки со скидкой]]/ППД5[[#This Row],[Расчетная проектная площадь]]</f>
        <v>95856.799450549443</v>
      </c>
      <c r="CV458" s="3">
        <f>ROUND(ППД5[[#This Row],[Стоимость до скидки]]-ППД5[[#This Row],[Итоговая сумма скидки]],2)</f>
        <v>5582700</v>
      </c>
      <c r="CW45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458" s="197">
        <v>7000</v>
      </c>
      <c r="CY458" s="332">
        <f>ППД5[[#This Row],[Расхождение]]/ППД5[[#This Row],[Расчетная проектная площадь]]</f>
        <v>-1.5453296703297288E-3</v>
      </c>
      <c r="CZ45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0.22000000000000597</v>
      </c>
      <c r="DA458" s="3">
        <f>ППД5[[#This Row],[Цена м2 без отделки со скидкой]]+ППД5[[#This Row],[Стоимость отделки]]</f>
        <v>102856.79945054944</v>
      </c>
      <c r="DB458" s="3">
        <f>ППД5[[#This Row],[Стоимость квартиры с отделкой]]-ППД5[[#This Row],[Стоимость ОН без отделки со скидкой]]</f>
        <v>407680</v>
      </c>
      <c r="DC458" s="3">
        <f>ППД5[[#This Row],[Цена м2 с отделкой]]*ППД5[[#This Row],[Расчетная проектная площадь]]</f>
        <v>5990380</v>
      </c>
      <c r="DD458" s="3"/>
      <c r="DF458" s="199" t="s">
        <v>172</v>
      </c>
      <c r="DG458" s="245" t="s">
        <v>172</v>
      </c>
      <c r="DH458" s="100" t="b">
        <f>EXACT(ППД5[[#This Row],[Статусы CRM]],ППД5[[#This Row],[Статус]])</f>
        <v>1</v>
      </c>
      <c r="DI458" s="213" t="s">
        <v>630</v>
      </c>
      <c r="DJ458" s="204"/>
      <c r="DK458" s="111" t="s">
        <v>763</v>
      </c>
      <c r="DL458" s="216" t="s">
        <v>780</v>
      </c>
      <c r="DM458" s="201" t="b">
        <f>ППД5[[#This Row],[Отделка CRM]]=ППД5[[#This Row],[Отделка]]</f>
        <v>1</v>
      </c>
      <c r="DN458" s="203">
        <v>5990380</v>
      </c>
      <c r="DO45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58" s="207" t="b">
        <f>IF(AND(ППД5[[#This Row],[Статус]]="свободно",ППД5[[#This Row],[Итоговая сумма скидки]]&lt;&gt;0),FALSE,TRUE)</f>
        <v>1</v>
      </c>
      <c r="DQ458" s="240">
        <f>_xlfn.XLOOKUP(ППД5[[#This Row],[№]],Юрист[№ кв],Юрист[Дата подачи на регистрацию]," ",0,-1)</f>
        <v>45471</v>
      </c>
      <c r="DR458" s="115" t="str">
        <f>_xlfn.XLOOKUP(ППД5[[#This Row],[№]],Юрист[№ кв],Юрист[МОП],"",0,-1)</f>
        <v>Полехович</v>
      </c>
      <c r="DS458" s="333" t="s">
        <v>3208</v>
      </c>
      <c r="DT458" s="333" t="s">
        <v>3209</v>
      </c>
      <c r="DU458" s="333">
        <v>56.8</v>
      </c>
      <c r="DV458" s="111"/>
    </row>
    <row r="459" spans="1:126" hidden="1" x14ac:dyDescent="0.25">
      <c r="A459" s="112">
        <v>457</v>
      </c>
      <c r="B459" s="111" t="s">
        <v>2</v>
      </c>
      <c r="C459" s="111">
        <v>9</v>
      </c>
      <c r="D459" s="115">
        <v>5</v>
      </c>
      <c r="E459" s="111">
        <v>2</v>
      </c>
      <c r="F459" s="105">
        <v>15.41</v>
      </c>
      <c r="G459" s="105">
        <v>12.78</v>
      </c>
      <c r="H459" s="105"/>
      <c r="I459" s="94">
        <f>SUM(ППД5[[#This Row],[Комната 1]:[Комната 3]])</f>
        <v>28.189999999999998</v>
      </c>
      <c r="J459" s="105">
        <v>13.45</v>
      </c>
      <c r="K459" s="105">
        <v>3.7</v>
      </c>
      <c r="L459" s="105">
        <v>2.72</v>
      </c>
      <c r="M459" s="105"/>
      <c r="N459" s="105">
        <v>8.2200000000000006</v>
      </c>
      <c r="O459" s="105">
        <v>3.03</v>
      </c>
      <c r="P459" s="105"/>
      <c r="Q459" s="105"/>
      <c r="R459" s="105">
        <f>SUM(ППД5[[#This Row],[Лоджия 1]:[Лоджия 3]])</f>
        <v>3.03</v>
      </c>
      <c r="S459" s="8">
        <f>ROUND(SUM(ППД5[[#This Row],[Площадь по проекту жилая]:[Лоджия 3]]),2)</f>
        <v>59.31</v>
      </c>
      <c r="T459" s="8">
        <f>ROUND(ППД5[[#This Row],[Площадь по проекту(общая)]]-ППД5[[#This Row],[Летние]],2)</f>
        <v>56.28</v>
      </c>
      <c r="U459" s="91">
        <f>ROUND(ППД5[[#This Row],[Площадь по проекту(общая)]]-(SUM(ППД5[[#This Row],[Лоджия 1]:[Лоджия 3]])/2),2)</f>
        <v>57.8</v>
      </c>
      <c r="V459" s="91">
        <f>IF(ППД5[[#This Row],[Статус]]="продажа",ППД5[[#This Row],[Расчетная проектная площадь]],ППД5[[#This Row],[Расчетная ТП площадь]])</f>
        <v>57.8</v>
      </c>
      <c r="W459" s="91">
        <v>12.6</v>
      </c>
      <c r="X459" s="91">
        <v>15.5</v>
      </c>
      <c r="Y459" s="91"/>
      <c r="Z459" s="91">
        <f>SUM(ППД5[[#This Row],[ТП Комната 1]:[ТП Комната 3]])</f>
        <v>28.1</v>
      </c>
      <c r="AA459" s="91">
        <v>13.5</v>
      </c>
      <c r="AB459" s="91">
        <v>2.8</v>
      </c>
      <c r="AC459" s="91">
        <v>3.6</v>
      </c>
      <c r="AD459" s="91"/>
      <c r="AE459" s="91">
        <v>8.1999999999999993</v>
      </c>
      <c r="AF459" s="91">
        <v>1.5</v>
      </c>
      <c r="AG459" s="91"/>
      <c r="AH459" s="91"/>
      <c r="AI459" s="91">
        <f>SUM(ППД5[[#This Row],[ТП Лоджия 1]:[ТП Лоджия 3]])</f>
        <v>1.5</v>
      </c>
      <c r="AJ459" s="95">
        <v>3</v>
      </c>
      <c r="AK459" s="91">
        <f>SUM(ППД5[[#This Row],[Площадь по ТП жилая]:[ТП Лоджия 3]])-ППД5[[#This Row],[ТП Летние]]+ППД5[[#This Row],[кроме того прочая
(без коэффициента)]]</f>
        <v>59.2</v>
      </c>
      <c r="AL459" s="95">
        <f>ППД5[[#This Row],[ТП Площадь без летних]]+(ППД5[[#This Row],[ТП Летние]])</f>
        <v>57.7</v>
      </c>
      <c r="AM459" s="91">
        <f>ППД5[[#This Row],[ТП общая S]]-ППД5[[#This Row],[кроме того прочая
(без коэффициента)]]</f>
        <v>56.2</v>
      </c>
      <c r="AN459" s="95">
        <f>SUM(ППД5[[#This Row],[ТП Кухня]:[ТП Коридор]])</f>
        <v>28.1</v>
      </c>
      <c r="AO459" s="91">
        <f>ППД5[[#This Row],[Расчетная ТП площадь]]-ППД5[[#This Row],[Расчетная проектная площадь]]</f>
        <v>-9.9999999999994316E-2</v>
      </c>
      <c r="AP459" s="335">
        <f>ППД5[[#This Row],[Расчетная ТП площадь]]/ППД5[[#This Row],[Расчетная проектная площадь]]-1</f>
        <v>-1.7301038062282892E-3</v>
      </c>
      <c r="AQ459" s="91">
        <f>ППД5[[#This Row],[% расхождения]]*ППД5[[#This Row],[Стоимость до скидки]]</f>
        <v>-12127.162629757193</v>
      </c>
      <c r="AR459" s="91">
        <f>VLOOKUP(ППД5[[#This Row],[№]],наценкад5[],COLUMN(наценкад5[[#This Row],[Цена м2 с учетом всех K]]),0)</f>
        <v>79149.577499999999</v>
      </c>
      <c r="AS459" s="8">
        <f>ППД5[[#This Row],[м2 после К]]*5%</f>
        <v>3957.4788750000002</v>
      </c>
      <c r="AT459" s="8">
        <f>ППД5[[#This Row],[м2 после К]]+ППД5[[#This Row],[Повышение 16.08.23 - 5%]]</f>
        <v>83107.056375</v>
      </c>
      <c r="AU459" s="93">
        <f>ППД5[[#This Row],[Фикс 16.08.23]]*3%</f>
        <v>2493.2116912500001</v>
      </c>
      <c r="AV459" s="93">
        <f>ППД5[[#This Row],[Фикс 16.08.23]]+ППД5[[#This Row],[Повышение 29.08.23 - 3%]]</f>
        <v>85600.268066250006</v>
      </c>
      <c r="AW459" s="93"/>
      <c r="AX459" s="93">
        <f>ППД5[[#This Row],[Фикс 29.08.23]]+ППД5[[#This Row],[Повышение 06.09.23 СТ и 1К]]</f>
        <v>85600.268066250006</v>
      </c>
      <c r="AY459" s="93"/>
      <c r="AZ459" s="93">
        <f>ППД5[[#This Row],[Повышение 23.10.23  В4 ]]+ППД5[[#This Row],[Фикс 06.09.23]]</f>
        <v>85600.268066250006</v>
      </c>
      <c r="BA459" s="93"/>
      <c r="BB459" s="93">
        <f>ППД5[[#This Row],[Повышение 8.11.23 1К 5%]]+ППД5[[#This Row],[Фикс 23.10.23]]</f>
        <v>85600.268066250006</v>
      </c>
      <c r="BC459" s="93"/>
      <c r="BD459" s="93">
        <f>ППД5[[#This Row],[Корректировка 24.11.23 - 1К В5, 2К А2, №233]]+ППД5[[#This Row],[Фикс 8.11.23]]</f>
        <v>85600.268066250006</v>
      </c>
      <c r="BE459" s="93">
        <f>ППД5[[#This Row],[Фикс 8.11.24]]*1%</f>
        <v>856.0026806625001</v>
      </c>
      <c r="BF459" s="93">
        <f>ППД5[[#This Row],[Наценка за отделку 29.12.23 1%]]+ППД5[[#This Row],[Фикс 8.11.24]]</f>
        <v>86456.270746912502</v>
      </c>
      <c r="BG459" s="93">
        <f>ППД5[[#This Row],[Фикс 29.12.23]]*5%</f>
        <v>4322.8135373456253</v>
      </c>
      <c r="BH459" s="93">
        <f>ППД5[[#This Row],[Фикс 29.12.23]]+ППД5[[#This Row],[Наценка 10.01.24 5%]]</f>
        <v>90779.084284258133</v>
      </c>
      <c r="BI459" s="93"/>
      <c r="BJ459" s="93">
        <f>ППД5[[#This Row],[Наценка 26.02.24 1 Этаж]]+ППД5[[#This Row],[Фикс 10.01.24]]</f>
        <v>90779.084284258133</v>
      </c>
      <c r="BK459" s="93">
        <f>ППД5[[#This Row],[Фикс 26.02.24]]*2%</f>
        <v>1815.5816856851627</v>
      </c>
      <c r="BL459" s="93">
        <f>ППД5[[#This Row],[Фикс 26.02.24]]+ППД5[[#This Row],[Наценка 06.03.24
СТ, 1К - 3%
2К, 3К - 2%]]</f>
        <v>92594.665969943293</v>
      </c>
      <c r="BM459" s="93"/>
      <c r="BN459" s="93">
        <f>ППД5[[#This Row],[Фикс 06.03.24]]+ППД5[[#This Row],[Наценка Г2+500]]</f>
        <v>92594.665969943293</v>
      </c>
      <c r="BO459" s="93">
        <f>ППД5[[#This Row],[Фикс 13.03.25]]*2%</f>
        <v>1851.893319398866</v>
      </c>
      <c r="BP459" s="93">
        <f>ППД5[[#This Row],[Фикс 13.03.25]]+ППД5[[#This Row],[Наценка 20.03.24
2К, 3К - 2%]]</f>
        <v>94446.559289342156</v>
      </c>
      <c r="BQ459" s="93"/>
      <c r="BR459" s="93">
        <f>ППД5[[#This Row],[Фикс 20.03.24]]+ППД5[[#This Row],[Наценка 08.04.24 
2К: В3 - 150
3К: Г7 +1000]]</f>
        <v>94446.559289342156</v>
      </c>
      <c r="BS459" s="93">
        <f>ППД5[[#This Row],[Фикс 08.04.24]]*1%</f>
        <v>944.46559289342156</v>
      </c>
      <c r="BT459" s="93">
        <f>ППД5[[#This Row],[Фикс 08.04.24]]+ППД5[[#This Row],[Наценка 16.05.24 1%
А4,А6,Б3,Б6,Б7,В2,В3,В5,В6,Г1,Г3-Г5]]</f>
        <v>95391.024882235579</v>
      </c>
      <c r="BU459" s="93"/>
      <c r="BV459" s="93">
        <f>ППД5[[#This Row],[Фикс 16.05.24]]+ППД5[[#This Row],[Наценка 24.05.24
1% - Б4, Б5,Г2,Г6
2% - А1,А3,А5,Б2,Г7]]</f>
        <v>95391.024882235579</v>
      </c>
      <c r="BW459" s="93"/>
      <c r="BX459" s="93">
        <f>ППД5[[#This Row],[Наценка 06.06.24
0К: В2,Г3 +0,5%
1К: А7, Б5/4, Г6 +0,5%
3К: В6 +0,5%
1К: А3 +1%]]+ППД5[[#This Row],[Фикс 24.05.24]]</f>
        <v>95391.024882235579</v>
      </c>
      <c r="BY459" s="93"/>
      <c r="BZ459" s="93">
        <f>ППД5[[#This Row],[Фикс 06.06.24]]+ППД5[[#This Row],[13.06.2024
3К - 2%]]</f>
        <v>95391.024882235579</v>
      </c>
      <c r="CA459" s="47">
        <f>1.5%*ППД5[[#This Row],[Фикс 13.06.24]]</f>
        <v>1430.8653732335335</v>
      </c>
      <c r="CB459" s="93">
        <f>ППД5[[#This Row],[02.07.2024: Г3 А1 А3 Б5 Б7 Г2 Г6 Б3 Б4 В3 Г7 2,5% ост 0,5-1,5%]]+ППД5[[#This Row],[Фикс 13.06.24]]</f>
        <v>96821.890255469116</v>
      </c>
      <c r="CC459" s="93">
        <v>500</v>
      </c>
      <c r="CD459" s="93">
        <f>ППД5[[#This Row],[Фикс 02.07.24]]+ППД5[[#This Row],[04.09.2024 +500
0К - Б2; 1К - А3;
2К - А6, Б4, В3, Г5]]</f>
        <v>97321.890255469116</v>
      </c>
      <c r="CE459" s="93">
        <f>ППД5[[#This Row],[Фикс 04.09.24]]*4%</f>
        <v>3892.8756102187649</v>
      </c>
      <c r="CF459" s="93">
        <f>ППД5[[#This Row],[Наценка 16.09.2024
1К: А1,В7,Г6/7,Г8 - 2%
2К: А4,А5,А6,Б1,Б6,Б3/4,В3,В4,Г4,Г5 - 4%
3К: 4%]]+ППД5[[#This Row],[Фикс 04.09.24]]</f>
        <v>101214.76586568788</v>
      </c>
      <c r="CG459" s="93">
        <f>ППД5[[#This Row],[Фикс 16.09.2024]]*6%</f>
        <v>6072.8859519412727</v>
      </c>
      <c r="CH459" s="93">
        <f>ППД5[[#This Row],[Фикс 16.09.2024]]+ППД5[[#This Row],[Наценка 01.11.24
СТ: 4%
1К: 34-40м 5%; 40м+ 8%; МГН 1%
2К: 55-70м 6%; 70-73м 7%; 73-76м 8% 
3К: 5%]]</f>
        <v>107287.65181762914</v>
      </c>
      <c r="CI459" s="93">
        <f>ППД5[[#This Row],[Фикс 01.11.24]]*13%</f>
        <v>13947.39473629179</v>
      </c>
      <c r="CJ459" s="93">
        <f>ППД5[[#This Row],[Наценка 06.11 13%]]+ППД5[[#This Row],[Фикс 01.11.24]]</f>
        <v>121235.04655392093</v>
      </c>
      <c r="CK459" s="93">
        <v>35</v>
      </c>
      <c r="CL459" s="93">
        <f>ППД5[[#This Row],[Фикс 06.11.24]]+ППД5[[#This Row],[Наценка 18.12.24 распределение КВ]]</f>
        <v>121270.04655392093</v>
      </c>
      <c r="CM459" s="93"/>
      <c r="CN459" s="93">
        <f>ППД5[[#This Row],[Фикс 18.12.24]]+ППД5[[#This Row],[Наценка 10.02.25 +1%
1К: А3
2К: Б3, В3]]</f>
        <v>121270.04655392093</v>
      </c>
      <c r="CO459" s="93">
        <f>ROUND(ППД5[[#This Row],[Фикс 10.02.25]],2)</f>
        <v>121270.05</v>
      </c>
      <c r="CP45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7009500</v>
      </c>
      <c r="CQ459" s="93">
        <f>ROUNDUP(ППД5[[#This Row],[Стоимость до скидки]]+ППД5[[#This Row],[Сумма доплаты]],-2)</f>
        <v>6997400</v>
      </c>
      <c r="CR459" s="68">
        <v>300000</v>
      </c>
      <c r="CS459" s="90"/>
      <c r="CT459" s="68">
        <f>ППД5[[#This Row],[Стоимость до скидки]]*ППД5[[#This Row],[Скидка %]]+ППД5[[#This Row],[Скидка фиксированная]]</f>
        <v>300000</v>
      </c>
      <c r="CU459" s="3">
        <f>ППД5[[#This Row],[Стоимость ОН без отделки со скидкой]]/ППД5[[#This Row],[Расчетная проектная площадь]]</f>
        <v>116081.31487889274</v>
      </c>
      <c r="CV459" s="3">
        <f>ROUND(ППД5[[#This Row],[Стоимость до скидки]]-ППД5[[#This Row],[Итоговая сумма скидки]],2)</f>
        <v>6709500</v>
      </c>
      <c r="CW45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459" s="197">
        <v>10000</v>
      </c>
      <c r="CY459" s="332">
        <f>ППД5[[#This Row],[Расхождение]]/ППД5[[#This Row],[Расчетная проектная площадь]]</f>
        <v>-1.7301038062282755E-3</v>
      </c>
      <c r="CZ45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1.0000000000005116E-2</v>
      </c>
      <c r="DA459" s="3">
        <f>ППД5[[#This Row],[Цена м2 без отделки со скидкой]]+ППД5[[#This Row],[Стоимость отделки]]</f>
        <v>126081.31487889274</v>
      </c>
      <c r="DB459" s="3">
        <f>ППД5[[#This Row],[Стоимость квартиры с отделкой]]-ППД5[[#This Row],[Стоимость ОН без отделки со скидкой]]</f>
        <v>578000</v>
      </c>
      <c r="DC459" s="3">
        <f>ППД5[[#This Row],[Цена м2 с отделкой]]*ППД5[[#This Row],[Расчетная проектная площадь]]</f>
        <v>7287500</v>
      </c>
      <c r="DD459" s="3"/>
      <c r="DE459" s="111" t="s">
        <v>2114</v>
      </c>
      <c r="DF459" s="155" t="s">
        <v>172</v>
      </c>
      <c r="DG459" s="221" t="s">
        <v>172</v>
      </c>
      <c r="DH459" s="100" t="b">
        <f>EXACT(ППД5[[#This Row],[Статусы CRM]],ППД5[[#This Row],[Статус]])</f>
        <v>1</v>
      </c>
      <c r="DI459" s="213" t="s">
        <v>631</v>
      </c>
      <c r="DJ459" s="204"/>
      <c r="DK459" s="111" t="s">
        <v>763</v>
      </c>
      <c r="DL459" s="216" t="s">
        <v>780</v>
      </c>
      <c r="DM459" s="201" t="b">
        <f>ППД5[[#This Row],[Отделка CRM]]=ППД5[[#This Row],[Отделка]]</f>
        <v>1</v>
      </c>
      <c r="DN459" s="203">
        <v>7287500</v>
      </c>
      <c r="DO45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59" s="207" t="b">
        <f>IF(AND(ППД5[[#This Row],[Статус]]="свободно",ППД5[[#This Row],[Итоговая сумма скидки]]&lt;&gt;0),FALSE,TRUE)</f>
        <v>1</v>
      </c>
      <c r="DQ459" s="240">
        <f>_xlfn.XLOOKUP(ППД5[[#This Row],[№]],Юрист[№ кв],Юрист[Дата подачи на регистрацию]," ",0,-1)</f>
        <v>45804</v>
      </c>
      <c r="DR459" s="115" t="str">
        <f>_xlfn.XLOOKUP(ППД5[[#This Row],[№]],Юрист[№ кв],Юрист[МОП],"",0,-1)</f>
        <v>Полехович</v>
      </c>
      <c r="DS459" s="333" t="s">
        <v>3210</v>
      </c>
      <c r="DT459" s="333" t="s">
        <v>3211</v>
      </c>
      <c r="DU459" s="333">
        <v>56.2</v>
      </c>
      <c r="DV459" s="111"/>
    </row>
    <row r="460" spans="1:126" hidden="1" x14ac:dyDescent="0.25">
      <c r="A460" s="112">
        <v>458</v>
      </c>
      <c r="B460" s="111" t="s">
        <v>2</v>
      </c>
      <c r="C460" s="111">
        <v>9</v>
      </c>
      <c r="D460" s="115">
        <v>6</v>
      </c>
      <c r="E460" s="111">
        <v>1</v>
      </c>
      <c r="F460" s="105">
        <v>12.71</v>
      </c>
      <c r="G460" s="105"/>
      <c r="H460" s="105"/>
      <c r="I460" s="94">
        <f>SUM(ППД5[[#This Row],[Комната 1]:[Комната 3]])</f>
        <v>12.71</v>
      </c>
      <c r="J460" s="105">
        <v>12.55</v>
      </c>
      <c r="K460" s="105">
        <v>4.28</v>
      </c>
      <c r="L460" s="105"/>
      <c r="M460" s="105"/>
      <c r="N460" s="105">
        <v>7.34</v>
      </c>
      <c r="O460" s="105">
        <v>2.84</v>
      </c>
      <c r="P460" s="105"/>
      <c r="Q460" s="105"/>
      <c r="R460" s="105">
        <f>SUM(ППД5[[#This Row],[Лоджия 1]:[Лоджия 3]])</f>
        <v>2.84</v>
      </c>
      <c r="S460" s="8">
        <f>ROUND(SUM(ППД5[[#This Row],[Площадь по проекту жилая]:[Лоджия 3]]),2)</f>
        <v>39.72</v>
      </c>
      <c r="T460" s="8">
        <f>ROUND(ППД5[[#This Row],[Площадь по проекту(общая)]]-ППД5[[#This Row],[Летние]],2)</f>
        <v>36.880000000000003</v>
      </c>
      <c r="U460" s="91">
        <f>ROUND(ППД5[[#This Row],[Площадь по проекту(общая)]]-(SUM(ППД5[[#This Row],[Лоджия 1]:[Лоджия 3]])/2),2)</f>
        <v>38.299999999999997</v>
      </c>
      <c r="V460" s="91">
        <f>IF(ППД5[[#This Row],[Статус]]="продажа",ППД5[[#This Row],[Расчетная проектная площадь]],ППД5[[#This Row],[Расчетная ТП площадь]])</f>
        <v>38.299999999999997</v>
      </c>
      <c r="W460" s="91">
        <v>12.6</v>
      </c>
      <c r="X460" s="91"/>
      <c r="Y460" s="91"/>
      <c r="Z460" s="91">
        <f>SUM(ППД5[[#This Row],[ТП Комната 1]:[ТП Комната 3]])</f>
        <v>12.6</v>
      </c>
      <c r="AA460" s="91">
        <v>12.4</v>
      </c>
      <c r="AB460" s="91">
        <v>4.0999999999999996</v>
      </c>
      <c r="AC460" s="91"/>
      <c r="AD460" s="91"/>
      <c r="AE460" s="91">
        <v>7.3</v>
      </c>
      <c r="AF460" s="91">
        <v>1.4</v>
      </c>
      <c r="AG460" s="91"/>
      <c r="AH460" s="91"/>
      <c r="AI460" s="91">
        <f>SUM(ППД5[[#This Row],[ТП Лоджия 1]:[ТП Лоджия 3]])</f>
        <v>1.4</v>
      </c>
      <c r="AJ460" s="95">
        <v>2.8</v>
      </c>
      <c r="AK460" s="91">
        <f>SUM(ППД5[[#This Row],[Площадь по ТП жилая]:[ТП Лоджия 3]])-ППД5[[#This Row],[ТП Летние]]+ППД5[[#This Row],[кроме того прочая
(без коэффициента)]]</f>
        <v>39.199999999999996</v>
      </c>
      <c r="AL460" s="95">
        <f>ППД5[[#This Row],[ТП Площадь без летних]]+(ППД5[[#This Row],[ТП Летние]])</f>
        <v>37.799999999999997</v>
      </c>
      <c r="AM460" s="91">
        <f>ППД5[[#This Row],[ТП общая S]]-ППД5[[#This Row],[кроме того прочая
(без коэффициента)]]</f>
        <v>36.4</v>
      </c>
      <c r="AN460" s="95">
        <f>SUM(ППД5[[#This Row],[ТП Кухня]:[ТП Коридор]])</f>
        <v>23.8</v>
      </c>
      <c r="AO460" s="91">
        <f>ППД5[[#This Row],[Расчетная ТП площадь]]-ППД5[[#This Row],[Расчетная проектная площадь]]</f>
        <v>-0.5</v>
      </c>
      <c r="AP460" s="335">
        <f>ППД5[[#This Row],[Расчетная ТП площадь]]/ППД5[[#This Row],[Расчетная проектная площадь]]-1</f>
        <v>-1.3054830287206221E-2</v>
      </c>
      <c r="AQ460" s="91">
        <f>ППД5[[#This Row],[% расхождения]]*ППД5[[#This Row],[Стоимость до скидки]]</f>
        <v>-55422.976501305289</v>
      </c>
      <c r="AR460" s="91">
        <f>VLOOKUP(ППД5[[#This Row],[№]],наценкад5[],COLUMN(наценкад5[[#This Row],[Цена м2 с учетом всех K]]),0)</f>
        <v>87601.5</v>
      </c>
      <c r="AS460" s="8">
        <f>ППД5[[#This Row],[м2 после К]]*5%</f>
        <v>4380.0749999999998</v>
      </c>
      <c r="AT460" s="8">
        <f>ППД5[[#This Row],[м2 после К]]+ППД5[[#This Row],[Повышение 16.08.23 - 5%]]</f>
        <v>91981.574999999997</v>
      </c>
      <c r="AU460" s="93">
        <f>ППД5[[#This Row],[Фикс 16.08.23]]*3%</f>
        <v>2759.4472499999997</v>
      </c>
      <c r="AV460" s="93">
        <f>ППД5[[#This Row],[Фикс 16.08.23]]+ППД5[[#This Row],[Повышение 29.08.23 - 3%]]</f>
        <v>94741.022249999995</v>
      </c>
      <c r="AW460" s="93">
        <f>ППД5[[#This Row],[Фикс 29.08.23]]*1%</f>
        <v>947.41022249999992</v>
      </c>
      <c r="AX460" s="93">
        <f>ППД5[[#This Row],[Фикс 29.08.23]]+ППД5[[#This Row],[Повышение 06.09.23 СТ и 1К]]</f>
        <v>95688.43247249999</v>
      </c>
      <c r="AY460" s="93"/>
      <c r="AZ460" s="93">
        <f>ППД5[[#This Row],[Повышение 23.10.23  В4 ]]+ППД5[[#This Row],[Фикс 06.09.23]]</f>
        <v>95688.43247249999</v>
      </c>
      <c r="BA460" s="93">
        <f>ППД5[[#This Row],[Фикс 23.10.23]]*5%</f>
        <v>4784.4216236249995</v>
      </c>
      <c r="BB460" s="93">
        <f>ППД5[[#This Row],[Повышение 8.11.23 1К 5%]]+ППД5[[#This Row],[Фикс 23.10.23]]</f>
        <v>100472.854096125</v>
      </c>
      <c r="BC460" s="93"/>
      <c r="BD460" s="93">
        <f>ППД5[[#This Row],[Корректировка 24.11.23 - 1К В5, 2К А2, №233]]+ППД5[[#This Row],[Фикс 8.11.23]]</f>
        <v>100472.854096125</v>
      </c>
      <c r="BE460" s="93">
        <f>ППД5[[#This Row],[Фикс 8.11.24]]*1%</f>
        <v>1004.72854096125</v>
      </c>
      <c r="BF460" s="93">
        <f>ППД5[[#This Row],[Наценка за отделку 29.12.23 1%]]+ППД5[[#This Row],[Фикс 8.11.24]]</f>
        <v>101477.58263708625</v>
      </c>
      <c r="BG460" s="93">
        <f>ППД5[[#This Row],[Фикс 29.12.23]]*5%</f>
        <v>5073.8791318543126</v>
      </c>
      <c r="BH460" s="93">
        <f>ППД5[[#This Row],[Фикс 29.12.23]]+ППД5[[#This Row],[Наценка 10.01.24 5%]]</f>
        <v>106551.46176894056</v>
      </c>
      <c r="BI460" s="93"/>
      <c r="BJ460" s="93">
        <f>ППД5[[#This Row],[Наценка 26.02.24 1 Этаж]]+ППД5[[#This Row],[Фикс 10.01.24]]</f>
        <v>106551.46176894056</v>
      </c>
      <c r="BK460" s="93">
        <f>ППД5[[#This Row],[Фикс 26.02.24]]*3%</f>
        <v>3196.5438530682168</v>
      </c>
      <c r="BL460" s="93">
        <f>ППД5[[#This Row],[Фикс 26.02.24]]+ППД5[[#This Row],[Наценка 06.03.24
СТ, 1К - 3%
2К, 3К - 2%]]</f>
        <v>109748.00562200877</v>
      </c>
      <c r="BM460" s="93"/>
      <c r="BN460" s="93">
        <f>ППД5[[#This Row],[Фикс 06.03.24]]+ППД5[[#This Row],[Наценка Г2+500]]</f>
        <v>109748.00562200877</v>
      </c>
      <c r="BO460" s="93"/>
      <c r="BP460" s="93">
        <f>ППД5[[#This Row],[Фикс 13.03.25]]+ППД5[[#This Row],[Наценка 20.03.24
2К, 3К - 2%]]</f>
        <v>109748.00562200877</v>
      </c>
      <c r="BQ460" s="93"/>
      <c r="BR460" s="93">
        <f>ППД5[[#This Row],[Фикс 20.03.24]]+ППД5[[#This Row],[Наценка 08.04.24 
2К: В3 - 150
3К: Г7 +1000]]</f>
        <v>109748.00562200877</v>
      </c>
      <c r="BS460" s="93"/>
      <c r="BT460" s="93">
        <f>ППД5[[#This Row],[Фикс 08.04.24]]+ППД5[[#This Row],[Наценка 16.05.24 1%
А4,А6,Б3,Б6,Б7,В2,В3,В5,В6,Г1,Г3-Г5]]</f>
        <v>109748.00562200877</v>
      </c>
      <c r="BU460" s="93">
        <f>ППД5[[#This Row],[Фикс 16.05.24]]*1%</f>
        <v>1097.4800562200878</v>
      </c>
      <c r="BV460" s="93">
        <f>ППД5[[#This Row],[Фикс 16.05.24]]+ППД5[[#This Row],[Наценка 24.05.24
1% - Б4, Б5,Г2,Г6
2% - А1,А3,А5,Б2,Г7]]</f>
        <v>110845.48567822886</v>
      </c>
      <c r="BW460" s="93"/>
      <c r="BX460" s="93">
        <f>ППД5[[#This Row],[Наценка 06.06.24
0К: В2,Г3 +0,5%
1К: А7, Б5/4, Г6 +0,5%
3К: В6 +0,5%
1К: А3 +1%]]+ППД5[[#This Row],[Фикс 24.05.24]]</f>
        <v>110845.48567822886</v>
      </c>
      <c r="BY460" s="93"/>
      <c r="BZ460" s="93">
        <f>ППД5[[#This Row],[Фикс 06.06.24]]+ППД5[[#This Row],[13.06.2024
3К - 2%]]</f>
        <v>110845.48567822886</v>
      </c>
      <c r="CA460" s="93"/>
      <c r="CB460" s="93">
        <f>ППД5[[#This Row],[02.07.2024: Г3 А1 А3 Б5 Б7 Г2 Г6 Б3 Б4 В3 Г7 2,5% ост 0,5-1,5%]]+ППД5[[#This Row],[Фикс 13.06.24]]</f>
        <v>110845.48567822886</v>
      </c>
      <c r="CC460" s="93"/>
      <c r="CD460" s="93">
        <f>ППД5[[#This Row],[Фикс 02.07.24]]+ППД5[[#This Row],[04.09.2024 +500
0К - Б2; 1К - А3;
2К - А6, Б4, В3, Г5]]</f>
        <v>110845.48567822886</v>
      </c>
      <c r="CE460" s="93"/>
      <c r="CF460" s="93">
        <f>ППД5[[#This Row],[Наценка 16.09.2024
1К: А1,В7,Г6/7,Г8 - 2%
2К: А4,А5,А6,Б1,Б6,Б3/4,В3,В4,Г4,Г5 - 4%
3К: 4%]]+ППД5[[#This Row],[Фикс 04.09.24]]</f>
        <v>110845.48567822886</v>
      </c>
      <c r="CG460" s="93"/>
      <c r="CH460" s="93">
        <f>ППД5[[#This Row],[Фикс 16.09.2024]]+ППД5[[#This Row],[Наценка 01.11.24
СТ: 4%
1К: 34-40м 5%; 40м+ 8%; МГН 1%
2К: 55-70м 6%; 70-73м 7%; 73-76м 8% 
3К: 5%]]</f>
        <v>110845.48567822886</v>
      </c>
      <c r="CI460" s="93"/>
      <c r="CJ460" s="93">
        <f>ППД5[[#This Row],[Наценка 06.11 13%]]+ППД5[[#This Row],[Фикс 01.11.24]]</f>
        <v>110845.48567822886</v>
      </c>
      <c r="CK460" s="93"/>
      <c r="CL460" s="93">
        <f>ППД5[[#This Row],[Фикс 06.11.24]]+ППД5[[#This Row],[Наценка 18.12.24 распределение КВ]]</f>
        <v>110845.48567822886</v>
      </c>
      <c r="CM460" s="93"/>
      <c r="CN460" s="93">
        <f>ППД5[[#This Row],[Фикс 18.12.24]]+ППД5[[#This Row],[Наценка 10.02.25 +1%
1К: А3
2К: Б3, В3]]</f>
        <v>110845.48567822886</v>
      </c>
      <c r="CO460" s="93">
        <f>ROUND(ППД5[[#This Row],[Фикс 10.02.25]],2)</f>
        <v>110845.49</v>
      </c>
      <c r="CP46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4245400</v>
      </c>
      <c r="CQ460" s="93">
        <f>ROUNDUP(ППД5[[#This Row],[Стоимость до скидки]]+ППД5[[#This Row],[Сумма доплаты]],-2)</f>
        <v>4190000</v>
      </c>
      <c r="CR460" s="68"/>
      <c r="CS460" s="90">
        <v>0.03</v>
      </c>
      <c r="CT460" s="68">
        <f>ППД5[[#This Row],[Стоимость до скидки]]*ППД5[[#This Row],[Скидка %]]+ППД5[[#This Row],[Скидка фиксированная]]</f>
        <v>127362</v>
      </c>
      <c r="CU460" s="3">
        <f>ППД5[[#This Row],[Стоимость ОН без отделки со скидкой]]/ППД5[[#This Row],[Расчетная проектная площадь]]</f>
        <v>107520.57441253265</v>
      </c>
      <c r="CV460" s="3">
        <f>ROUND(ППД5[[#This Row],[Стоимость до скидки]]-ППД5[[#This Row],[Итоговая сумма скидки]],2)</f>
        <v>4118038</v>
      </c>
      <c r="CW46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460" s="197">
        <v>7000</v>
      </c>
      <c r="CY460" s="332">
        <f>ППД5[[#This Row],[Расхождение]]/ППД5[[#This Row],[Расчетная проектная площадь]]</f>
        <v>-1.3054830287206267E-2</v>
      </c>
      <c r="CZ46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-0.37000000000000099</v>
      </c>
      <c r="DA460" s="3">
        <f>ППД5[[#This Row],[Цена м2 без отделки со скидкой]]+ППД5[[#This Row],[Стоимость отделки]]</f>
        <v>114520.57441253265</v>
      </c>
      <c r="DB460" s="3">
        <f>ППД5[[#This Row],[Стоимость квартиры с отделкой]]-ППД5[[#This Row],[Стоимость ОН без отделки со скидкой]]</f>
        <v>268100</v>
      </c>
      <c r="DC460" s="3">
        <f>ППД5[[#This Row],[Цена м2 с отделкой]]*ППД5[[#This Row],[Расчетная проектная площадь]]</f>
        <v>4386138</v>
      </c>
      <c r="DD460" s="3"/>
      <c r="DE460" s="111" t="s">
        <v>162</v>
      </c>
      <c r="DF460" s="199" t="s">
        <v>172</v>
      </c>
      <c r="DG460" s="245" t="s">
        <v>172</v>
      </c>
      <c r="DH460" s="100" t="b">
        <f>EXACT(ППД5[[#This Row],[Статусы CRM]],ППД5[[#This Row],[Статус]])</f>
        <v>1</v>
      </c>
      <c r="DI460" s="213" t="s">
        <v>632</v>
      </c>
      <c r="DJ460" s="204"/>
      <c r="DK460" s="111" t="s">
        <v>763</v>
      </c>
      <c r="DL460" s="216" t="s">
        <v>780</v>
      </c>
      <c r="DM460" s="201" t="b">
        <f>ППД5[[#This Row],[Отделка CRM]]=ППД5[[#This Row],[Отделка]]</f>
        <v>1</v>
      </c>
      <c r="DN460" s="203">
        <v>4386138</v>
      </c>
      <c r="DO46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60" s="207" t="b">
        <f>IF(AND(ППД5[[#This Row],[Статус]]="свободно",ППД5[[#This Row],[Итоговая сумма скидки]]&lt;&gt;0),FALSE,TRUE)</f>
        <v>1</v>
      </c>
      <c r="DQ460" s="240">
        <f>_xlfn.XLOOKUP(ППД5[[#This Row],[№]],Юрист[№ кв],Юрист[Дата подачи на регистрацию]," ",0,-1)</f>
        <v>45454</v>
      </c>
      <c r="DR460" s="115" t="str">
        <f>_xlfn.XLOOKUP(ППД5[[#This Row],[№]],Юрист[№ кв],Юрист[МОП],"",0,-1)</f>
        <v>Никишов</v>
      </c>
      <c r="DS460" s="333" t="s">
        <v>3212</v>
      </c>
      <c r="DT460" s="333" t="s">
        <v>3213</v>
      </c>
      <c r="DU460" s="333">
        <v>36.4</v>
      </c>
      <c r="DV460" s="111"/>
    </row>
    <row r="461" spans="1:126" hidden="1" x14ac:dyDescent="0.25">
      <c r="A461" s="112">
        <v>459</v>
      </c>
      <c r="B461" s="111" t="s">
        <v>2</v>
      </c>
      <c r="C461" s="111">
        <v>9</v>
      </c>
      <c r="D461" s="115">
        <v>7</v>
      </c>
      <c r="E461" s="111">
        <v>3</v>
      </c>
      <c r="F461" s="105">
        <v>14.49</v>
      </c>
      <c r="G461" s="105">
        <v>13.98</v>
      </c>
      <c r="H461" s="105">
        <v>11.42</v>
      </c>
      <c r="I461" s="94">
        <f>SUM(ППД5[[#This Row],[Комната 1]:[Комната 3]])</f>
        <v>39.89</v>
      </c>
      <c r="J461" s="105">
        <v>16.670000000000002</v>
      </c>
      <c r="K461" s="105">
        <v>4.1399999999999997</v>
      </c>
      <c r="L461" s="105">
        <v>1.89</v>
      </c>
      <c r="M461" s="105"/>
      <c r="N461" s="105">
        <v>11.31</v>
      </c>
      <c r="O461" s="105">
        <v>2.86</v>
      </c>
      <c r="P461" s="105">
        <v>2.79</v>
      </c>
      <c r="Q461" s="105">
        <v>5.42</v>
      </c>
      <c r="R461" s="105">
        <f>SUM(ППД5[[#This Row],[Лоджия 1]:[Лоджия 3]])</f>
        <v>11.07</v>
      </c>
      <c r="S461" s="8">
        <f>ROUND(SUM(ППД5[[#This Row],[Площадь по проекту жилая]:[Лоджия 3]]),2)</f>
        <v>84.97</v>
      </c>
      <c r="T461" s="8">
        <f>ROUND(ППД5[[#This Row],[Площадь по проекту(общая)]]-ППД5[[#This Row],[Летние]],2)</f>
        <v>73.900000000000006</v>
      </c>
      <c r="U461" s="91">
        <f>ROUND(ППД5[[#This Row],[Площадь по проекту(общая)]]-(SUM(ППД5[[#This Row],[Лоджия 1]:[Лоджия 3]])/2),2)</f>
        <v>79.44</v>
      </c>
      <c r="V461" s="91">
        <f>IF(ППД5[[#This Row],[Статус]]="продажа",ППД5[[#This Row],[Расчетная проектная площадь]],ППД5[[#This Row],[Расчетная ТП площадь]])</f>
        <v>79.44</v>
      </c>
      <c r="W461" s="91">
        <v>11.5</v>
      </c>
      <c r="X461" s="91">
        <v>14.5</v>
      </c>
      <c r="Y461" s="91">
        <v>13.9</v>
      </c>
      <c r="Z461" s="91">
        <f>SUM(ППД5[[#This Row],[ТП Комната 1]:[ТП Комната 3]])</f>
        <v>39.9</v>
      </c>
      <c r="AA461" s="91">
        <v>16.399999999999999</v>
      </c>
      <c r="AB461" s="91">
        <v>1.9</v>
      </c>
      <c r="AC461" s="91">
        <v>4</v>
      </c>
      <c r="AD461" s="91"/>
      <c r="AE461" s="91">
        <v>11.2</v>
      </c>
      <c r="AF461" s="91">
        <v>1.45</v>
      </c>
      <c r="AG461" s="91">
        <v>2.6</v>
      </c>
      <c r="AH461" s="91">
        <v>1.35</v>
      </c>
      <c r="AI461" s="91">
        <f>SUM(ППД5[[#This Row],[ТП Лоджия 1]:[ТП Лоджия 3]])</f>
        <v>5.4</v>
      </c>
      <c r="AJ461" s="95">
        <v>10.8</v>
      </c>
      <c r="AK461" s="91">
        <f>SUM(ППД5[[#This Row],[Площадь по ТП жилая]:[ТП Лоджия 3]])-ППД5[[#This Row],[ТП Летние]]+ППД5[[#This Row],[кроме того прочая
(без коэффициента)]]</f>
        <v>84.199999999999974</v>
      </c>
      <c r="AL461" s="95">
        <f>ППД5[[#This Row],[ТП Площадь без летних]]+(ППД5[[#This Row],[ТП Летние]])</f>
        <v>78.799999999999983</v>
      </c>
      <c r="AM461" s="91">
        <f>ППД5[[#This Row],[ТП общая S]]-ППД5[[#This Row],[кроме того прочая
(без коэффициента)]]</f>
        <v>73.399999999999977</v>
      </c>
      <c r="AN461" s="95">
        <f>SUM(ППД5[[#This Row],[ТП Кухня]:[ТП Коридор]])</f>
        <v>33.5</v>
      </c>
      <c r="AO461" s="91">
        <f>ППД5[[#This Row],[Расчетная ТП площадь]]-ППД5[[#This Row],[Расчетная проектная площадь]]</f>
        <v>-0.64000000000001478</v>
      </c>
      <c r="AP461" s="335">
        <f>ППД5[[#This Row],[Расчетная ТП площадь]]/ППД5[[#This Row],[Расчетная проектная площадь]]-1</f>
        <v>-8.0563947633436328E-3</v>
      </c>
      <c r="AQ461" s="91">
        <f>ППД5[[#This Row],[% расхождения]]*ППД5[[#This Row],[Стоимость до скидки]]</f>
        <v>-61259.214501512317</v>
      </c>
      <c r="AR461" s="91">
        <f>VLOOKUP(ППД5[[#This Row],[№]],наценкад5[],COLUMN(наценкад5[[#This Row],[Цена м2 с учетом всех K]]),0)</f>
        <v>77803.110000000015</v>
      </c>
      <c r="AS461" s="8">
        <f>ППД5[[#This Row],[м2 после К]]*5%</f>
        <v>3890.1555000000008</v>
      </c>
      <c r="AT461" s="8">
        <f>ППД5[[#This Row],[м2 после К]]+ППД5[[#This Row],[Повышение 16.08.23 - 5%]]</f>
        <v>81693.265500000009</v>
      </c>
      <c r="AU461" s="93">
        <f>ППД5[[#This Row],[Фикс 16.08.23]]*3%</f>
        <v>2450.7979650000002</v>
      </c>
      <c r="AV461" s="93">
        <f>ППД5[[#This Row],[Фикс 16.08.23]]+ППД5[[#This Row],[Повышение 29.08.23 - 3%]]</f>
        <v>84144.063465000014</v>
      </c>
      <c r="AW461" s="93"/>
      <c r="AX461" s="93">
        <f>ППД5[[#This Row],[Фикс 29.08.23]]+ППД5[[#This Row],[Повышение 06.09.23 СТ и 1К]]</f>
        <v>84144.063465000014</v>
      </c>
      <c r="AY461" s="93"/>
      <c r="AZ461" s="93">
        <f>ППД5[[#This Row],[Повышение 23.10.23  В4 ]]+ППД5[[#This Row],[Фикс 06.09.23]]</f>
        <v>84144.063465000014</v>
      </c>
      <c r="BA461" s="93"/>
      <c r="BB461" s="93">
        <f>ППД5[[#This Row],[Повышение 8.11.23 1К 5%]]+ППД5[[#This Row],[Фикс 23.10.23]]</f>
        <v>84144.063465000014</v>
      </c>
      <c r="BC461" s="93"/>
      <c r="BD461" s="93">
        <f>ППД5[[#This Row],[Корректировка 24.11.23 - 1К В5, 2К А2, №233]]+ППД5[[#This Row],[Фикс 8.11.23]]</f>
        <v>84144.063465000014</v>
      </c>
      <c r="BE461" s="93">
        <f>ППД5[[#This Row],[Фикс 8.11.24]]*1%</f>
        <v>841.44063465000011</v>
      </c>
      <c r="BF461" s="93">
        <f>ППД5[[#This Row],[Наценка за отделку 29.12.23 1%]]+ППД5[[#This Row],[Фикс 8.11.24]]</f>
        <v>84985.504099650017</v>
      </c>
      <c r="BG461" s="93">
        <f>ППД5[[#This Row],[Фикс 29.12.23]]*5%</f>
        <v>4249.2752049825012</v>
      </c>
      <c r="BH461" s="93">
        <f>ППД5[[#This Row],[Фикс 29.12.23]]+ППД5[[#This Row],[Наценка 10.01.24 5%]]</f>
        <v>89234.779304632524</v>
      </c>
      <c r="BI461" s="93"/>
      <c r="BJ461" s="93">
        <f>ППД5[[#This Row],[Наценка 26.02.24 1 Этаж]]+ППД5[[#This Row],[Фикс 10.01.24]]</f>
        <v>89234.779304632524</v>
      </c>
      <c r="BK461" s="93">
        <f>ППД5[[#This Row],[Фикс 26.02.24]]*2%</f>
        <v>1784.6955860926505</v>
      </c>
      <c r="BL461" s="93">
        <f>ППД5[[#This Row],[Фикс 26.02.24]]+ППД5[[#This Row],[Наценка 06.03.24
СТ, 1К - 3%
2К, 3К - 2%]]</f>
        <v>91019.474890725178</v>
      </c>
      <c r="BM461" s="93"/>
      <c r="BN461" s="93">
        <f>ППД5[[#This Row],[Фикс 06.03.24]]+ППД5[[#This Row],[Наценка Г2+500]]</f>
        <v>91019.474890725178</v>
      </c>
      <c r="BO461" s="93">
        <f>ППД5[[#This Row],[Фикс 13.03.25]]*2%</f>
        <v>1820.3894978145036</v>
      </c>
      <c r="BP461" s="93">
        <f>ППД5[[#This Row],[Фикс 13.03.25]]+ППД5[[#This Row],[Наценка 20.03.24
2К, 3К - 2%]]</f>
        <v>92839.864388539689</v>
      </c>
      <c r="BQ461" s="93">
        <v>1000</v>
      </c>
      <c r="BR461" s="93">
        <f>ППД5[[#This Row],[Фикс 20.03.24]]+ППД5[[#This Row],[Наценка 08.04.24 
2К: В3 - 150
3К: Г7 +1000]]</f>
        <v>93839.864388539689</v>
      </c>
      <c r="BS461" s="93"/>
      <c r="BT461" s="93">
        <f>ППД5[[#This Row],[Фикс 08.04.24]]+ППД5[[#This Row],[Наценка 16.05.24 1%
А4,А6,Б3,Б6,Б7,В2,В3,В5,В6,Г1,Г3-Г5]]</f>
        <v>93839.864388539689</v>
      </c>
      <c r="BU461" s="93">
        <f>ППД5[[#This Row],[Фикс 16.05.24]]*2%</f>
        <v>1876.7972877707939</v>
      </c>
      <c r="BV461" s="93">
        <f>ППД5[[#This Row],[Фикс 16.05.24]]+ППД5[[#This Row],[Наценка 24.05.24
1% - Б4, Б5,Г2,Г6
2% - А1,А3,А5,Б2,Г7]]</f>
        <v>95716.661676310483</v>
      </c>
      <c r="BW461" s="93"/>
      <c r="BX461" s="93">
        <f>ППД5[[#This Row],[Наценка 06.06.24
0К: В2,Г3 +0,5%
1К: А7, Б5/4, Г6 +0,5%
3К: В6 +0,5%
1К: А3 +1%]]+ППД5[[#This Row],[Фикс 24.05.24]]</f>
        <v>95716.661676310483</v>
      </c>
      <c r="BY461" s="93"/>
      <c r="BZ461" s="93">
        <f>ППД5[[#This Row],[Фикс 06.06.24]]+ППД5[[#This Row],[13.06.2024
3К - 2%]]</f>
        <v>95716.661676310483</v>
      </c>
      <c r="CA461" s="93"/>
      <c r="CB461" s="93">
        <f>ППД5[[#This Row],[02.07.2024: Г3 А1 А3 Б5 Б7 Г2 Г6 Б3 Б4 В3 Г7 2,5% ост 0,5-1,5%]]+ППД5[[#This Row],[Фикс 13.06.24]]</f>
        <v>95716.661676310483</v>
      </c>
      <c r="CC461" s="93"/>
      <c r="CD461" s="93">
        <f>ППД5[[#This Row],[Фикс 02.07.24]]+ППД5[[#This Row],[04.09.2024 +500
0К - Б2; 1К - А3;
2К - А6, Б4, В3, Г5]]</f>
        <v>95716.661676310483</v>
      </c>
      <c r="CE461" s="93"/>
      <c r="CF461" s="93">
        <f>ППД5[[#This Row],[Наценка 16.09.2024
1К: А1,В7,Г6/7,Г8 - 2%
2К: А4,А5,А6,Б1,Б6,Б3/4,В3,В4,Г4,Г5 - 4%
3К: 4%]]+ППД5[[#This Row],[Фикс 04.09.24]]</f>
        <v>95716.661676310483</v>
      </c>
      <c r="CG461" s="93"/>
      <c r="CH461" s="93">
        <f>ППД5[[#This Row],[Фикс 16.09.2024]]+ППД5[[#This Row],[Наценка 01.11.24
СТ: 4%
1К: 34-40м 5%; 40м+ 8%; МГН 1%
2К: 55-70м 6%; 70-73м 7%; 73-76м 8% 
3К: 5%]]</f>
        <v>95716.661676310483</v>
      </c>
      <c r="CI461" s="93"/>
      <c r="CJ461" s="93">
        <f>ППД5[[#This Row],[Наценка 06.11 13%]]+ППД5[[#This Row],[Фикс 01.11.24]]</f>
        <v>95716.661676310483</v>
      </c>
      <c r="CK461" s="93"/>
      <c r="CL461" s="93">
        <f>ППД5[[#This Row],[Фикс 06.11.24]]+ППД5[[#This Row],[Наценка 18.12.24 распределение КВ]]</f>
        <v>95716.661676310483</v>
      </c>
      <c r="CM461" s="93"/>
      <c r="CN461" s="93">
        <f>ППД5[[#This Row],[Фикс 18.12.24]]+ППД5[[#This Row],[Наценка 10.02.25 +1%
1К: А3
2К: Б3, В3]]</f>
        <v>95716.661676310483</v>
      </c>
      <c r="CO461" s="93">
        <f>ROUND(ППД5[[#This Row],[Фикс 10.02.25]],2)</f>
        <v>95716.66</v>
      </c>
      <c r="CP46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7603800</v>
      </c>
      <c r="CQ461" s="93">
        <f>ROUNDUP(ППД5[[#This Row],[Стоимость до скидки]]+ППД5[[#This Row],[Сумма доплаты]],-2)</f>
        <v>7542600</v>
      </c>
      <c r="CR461" s="68"/>
      <c r="CS461" s="90">
        <v>0.03</v>
      </c>
      <c r="CT461" s="68">
        <f>ППД5[[#This Row],[Стоимость до скидки]]*ППД5[[#This Row],[Скидка %]]+ППД5[[#This Row],[Скидка фиксированная]]</f>
        <v>228114</v>
      </c>
      <c r="CU461" s="3">
        <f>ППД5[[#This Row],[Стоимость ОН без отделки со скидкой]]/ППД5[[#This Row],[Расчетная проектная площадь]]</f>
        <v>92845.996978851967</v>
      </c>
      <c r="CV461" s="3">
        <f>ROUND(ППД5[[#This Row],[Стоимость до скидки]]-ППД5[[#This Row],[Итоговая сумма скидки]],2)</f>
        <v>7375686</v>
      </c>
      <c r="CW46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461" s="197">
        <v>7000</v>
      </c>
      <c r="CY461" s="332">
        <f>ППД5[[#This Row],[Расхождение]]/ППД5[[#This Row],[Расчетная проектная площадь]]</f>
        <v>-8.0563947633435894E-3</v>
      </c>
      <c r="CZ46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-0.51000000000000512</v>
      </c>
      <c r="DA461" s="3">
        <f>ППД5[[#This Row],[Цена м2 без отделки со скидкой]]+ППД5[[#This Row],[Стоимость отделки]]</f>
        <v>99845.996978851967</v>
      </c>
      <c r="DB461" s="3">
        <f>ППД5[[#This Row],[Стоимость квартиры с отделкой]]-ППД5[[#This Row],[Стоимость ОН без отделки со скидкой]]</f>
        <v>556080</v>
      </c>
      <c r="DC461" s="3">
        <f>ППД5[[#This Row],[Цена м2 с отделкой]]*ППД5[[#This Row],[Расчетная проектная площадь]]</f>
        <v>7931766</v>
      </c>
      <c r="DD461" s="3" t="s">
        <v>155</v>
      </c>
      <c r="DE461" s="111" t="s">
        <v>162</v>
      </c>
      <c r="DF461" s="199" t="s">
        <v>172</v>
      </c>
      <c r="DG461" s="245" t="s">
        <v>172</v>
      </c>
      <c r="DH461" s="100" t="b">
        <f>EXACT(ППД5[[#This Row],[Статусы CRM]],ППД5[[#This Row],[Статус]])</f>
        <v>1</v>
      </c>
      <c r="DI461" s="213" t="s">
        <v>633</v>
      </c>
      <c r="DJ461" s="204"/>
      <c r="DK461" s="111" t="s">
        <v>763</v>
      </c>
      <c r="DL461" s="216" t="s">
        <v>780</v>
      </c>
      <c r="DM461" s="201" t="b">
        <f>ППД5[[#This Row],[Отделка CRM]]=ППД5[[#This Row],[Отделка]]</f>
        <v>1</v>
      </c>
      <c r="DN461" s="203">
        <v>7931766</v>
      </c>
      <c r="DO46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61" s="207" t="b">
        <f>IF(AND(ППД5[[#This Row],[Статус]]="свободно",ППД5[[#This Row],[Итоговая сумма скидки]]&lt;&gt;0),FALSE,TRUE)</f>
        <v>1</v>
      </c>
      <c r="DQ461" s="240">
        <f>_xlfn.XLOOKUP(ППД5[[#This Row],[№]],Юрист[№ кв],Юрист[Дата подачи на регистрацию]," ",0,-1)</f>
        <v>45449</v>
      </c>
      <c r="DR461" s="115" t="str">
        <f>_xlfn.XLOOKUP(ППД5[[#This Row],[№]],Юрист[№ кв],Юрист[МОП],"",0,-1)</f>
        <v>Дик</v>
      </c>
      <c r="DS461" s="333" t="s">
        <v>3214</v>
      </c>
      <c r="DT461" s="333" t="s">
        <v>3215</v>
      </c>
      <c r="DU461" s="333">
        <v>73.400000000000006</v>
      </c>
      <c r="DV461" s="111"/>
    </row>
    <row r="462" spans="1:126" hidden="1" x14ac:dyDescent="0.25">
      <c r="A462" s="112">
        <v>460</v>
      </c>
      <c r="B462" s="111" t="s">
        <v>2</v>
      </c>
      <c r="C462" s="111">
        <v>9</v>
      </c>
      <c r="D462" s="115">
        <v>8</v>
      </c>
      <c r="E462" s="111">
        <v>1</v>
      </c>
      <c r="F462" s="105">
        <v>16.79</v>
      </c>
      <c r="G462" s="105"/>
      <c r="H462" s="105"/>
      <c r="I462" s="94">
        <f>SUM(ППД5[[#This Row],[Комната 1]:[Комната 3]])</f>
        <v>16.79</v>
      </c>
      <c r="J462" s="105">
        <v>11.43</v>
      </c>
      <c r="K462" s="105">
        <v>3.56</v>
      </c>
      <c r="L462" s="105"/>
      <c r="M462" s="105"/>
      <c r="N462" s="105">
        <v>6.66</v>
      </c>
      <c r="O462" s="105">
        <v>2.4900000000000002</v>
      </c>
      <c r="P462" s="105"/>
      <c r="Q462" s="105"/>
      <c r="R462" s="105">
        <f>SUM(ППД5[[#This Row],[Лоджия 1]:[Лоджия 3]])</f>
        <v>2.4900000000000002</v>
      </c>
      <c r="S462" s="8">
        <f>ROUND(SUM(ППД5[[#This Row],[Площадь по проекту жилая]:[Лоджия 3]]),2)</f>
        <v>40.93</v>
      </c>
      <c r="T462" s="8">
        <f>ROUND(ППД5[[#This Row],[Площадь по проекту(общая)]]-ППД5[[#This Row],[Летние]],2)</f>
        <v>38.44</v>
      </c>
      <c r="U462" s="91">
        <f>ROUND(ППД5[[#This Row],[Площадь по проекту(общая)]]-(SUM(ППД5[[#This Row],[Лоджия 1]:[Лоджия 3]])/2),2)</f>
        <v>39.69</v>
      </c>
      <c r="V462" s="91">
        <f>IF(ППД5[[#This Row],[Статус]]="продажа",ППД5[[#This Row],[Расчетная проектная площадь]],ППД5[[#This Row],[Расчетная ТП площадь]])</f>
        <v>39.69</v>
      </c>
      <c r="W462" s="91">
        <v>16.7</v>
      </c>
      <c r="X462" s="91"/>
      <c r="Y462" s="91"/>
      <c r="Z462" s="91">
        <f>SUM(ППД5[[#This Row],[ТП Комната 1]:[ТП Комната 3]])</f>
        <v>16.7</v>
      </c>
      <c r="AA462" s="91">
        <v>11.3</v>
      </c>
      <c r="AB462" s="91">
        <v>3.5</v>
      </c>
      <c r="AC462" s="91"/>
      <c r="AD462" s="91"/>
      <c r="AE462" s="91">
        <v>6.7</v>
      </c>
      <c r="AF462" s="92">
        <v>1.25</v>
      </c>
      <c r="AG462" s="91"/>
      <c r="AH462" s="91"/>
      <c r="AI462" s="91">
        <f>SUM(ППД5[[#This Row],[ТП Лоджия 1]:[ТП Лоджия 3]])</f>
        <v>1.25</v>
      </c>
      <c r="AJ462" s="95">
        <v>2.5</v>
      </c>
      <c r="AK462" s="91">
        <f>SUM(ППД5[[#This Row],[Площадь по ТП жилая]:[ТП Лоджия 3]])-ППД5[[#This Row],[ТП Летние]]+ППД5[[#This Row],[кроме того прочая
(без коэффициента)]]</f>
        <v>40.700000000000003</v>
      </c>
      <c r="AL462" s="95">
        <f>ППД5[[#This Row],[ТП Площадь без летних]]+(ППД5[[#This Row],[ТП Летние]])</f>
        <v>39.450000000000003</v>
      </c>
      <c r="AM462" s="91">
        <f>ППД5[[#This Row],[ТП общая S]]-ППД5[[#This Row],[кроме того прочая
(без коэффициента)]]</f>
        <v>38.200000000000003</v>
      </c>
      <c r="AN462" s="95">
        <f>SUM(ППД5[[#This Row],[ТП Кухня]:[ТП Коридор]])</f>
        <v>21.5</v>
      </c>
      <c r="AO462" s="91">
        <f>ППД5[[#This Row],[Расчетная ТП площадь]]-ППД5[[#This Row],[Расчетная проектная площадь]]</f>
        <v>-0.23999999999999488</v>
      </c>
      <c r="AP462" s="335">
        <f>ППД5[[#This Row],[Расчетная ТП площадь]]/ППД5[[#This Row],[Расчетная проектная площадь]]-1</f>
        <v>-6.0468631897202529E-3</v>
      </c>
      <c r="AQ462" s="91">
        <f>ППД5[[#This Row],[% расхождения]]*ППД5[[#This Row],[Стоимость до скидки]]</f>
        <v>-24602.872260014792</v>
      </c>
      <c r="AR462" s="91">
        <f>VLOOKUP(ППД5[[#This Row],[№]],наценкад5[],COLUMN(наценкад5[[#This Row],[Цена м2 с учетом всех K]]),0)</f>
        <v>86384.8125</v>
      </c>
      <c r="AS462" s="8">
        <f>ППД5[[#This Row],[м2 после К]]*5%</f>
        <v>4319.2406250000004</v>
      </c>
      <c r="AT462" s="8">
        <f>ППД5[[#This Row],[м2 после К]]+ППД5[[#This Row],[Повышение 16.08.23 - 5%]]</f>
        <v>90704.053125000006</v>
      </c>
      <c r="AU462" s="93">
        <f>ППД5[[#This Row],[Фикс 16.08.23]]*3%</f>
        <v>2721.1215937500001</v>
      </c>
      <c r="AV462" s="93">
        <f>ППД5[[#This Row],[Фикс 16.08.23]]+ППД5[[#This Row],[Повышение 29.08.23 - 3%]]</f>
        <v>93425.17471875</v>
      </c>
      <c r="AW462" s="93">
        <f>ППД5[[#This Row],[Фикс 29.08.23]]*4.5%</f>
        <v>4204.1328623437503</v>
      </c>
      <c r="AX462" s="93">
        <f>ППД5[[#This Row],[Фикс 29.08.23]]+ППД5[[#This Row],[Повышение 06.09.23 СТ и 1К]]</f>
        <v>97629.307581093744</v>
      </c>
      <c r="AY462" s="93"/>
      <c r="AZ462" s="93">
        <f>ППД5[[#This Row],[Повышение 23.10.23  В4 ]]+ППД5[[#This Row],[Фикс 06.09.23]]</f>
        <v>97629.307581093744</v>
      </c>
      <c r="BA462" s="93">
        <f>ППД5[[#This Row],[Фикс 23.10.23]]*5%</f>
        <v>4881.4653790546872</v>
      </c>
      <c r="BB462" s="93">
        <f>ППД5[[#This Row],[Повышение 8.11.23 1К 5%]]+ППД5[[#This Row],[Фикс 23.10.23]]</f>
        <v>102510.77296014843</v>
      </c>
      <c r="BC462" s="93"/>
      <c r="BD462" s="93">
        <f>ППД5[[#This Row],[Корректировка 24.11.23 - 1К В5, 2К А2, №233]]+ППД5[[#This Row],[Фикс 8.11.23]]</f>
        <v>102510.77296014843</v>
      </c>
      <c r="BE462" s="93"/>
      <c r="BF462" s="93">
        <f>ППД5[[#This Row],[Наценка за отделку 29.12.23 1%]]+ППД5[[#This Row],[Фикс 8.11.24]]</f>
        <v>102510.77296014843</v>
      </c>
      <c r="BG462" s="93"/>
      <c r="BH462" s="93">
        <f>ППД5[[#This Row],[Фикс 29.12.23]]+ППД5[[#This Row],[Наценка 10.01.24 5%]]</f>
        <v>102510.77296014843</v>
      </c>
      <c r="BI462" s="93"/>
      <c r="BJ462" s="93">
        <f>ППД5[[#This Row],[Наценка 26.02.24 1 Этаж]]+ППД5[[#This Row],[Фикс 10.01.24]]</f>
        <v>102510.77296014843</v>
      </c>
      <c r="BK462" s="93"/>
      <c r="BL462" s="93">
        <f>ППД5[[#This Row],[Фикс 26.02.24]]+ППД5[[#This Row],[Наценка 06.03.24
СТ, 1К - 3%
2К, 3К - 2%]]</f>
        <v>102510.77296014843</v>
      </c>
      <c r="BM462" s="93"/>
      <c r="BN462" s="93">
        <f>ППД5[[#This Row],[Фикс 06.03.24]]+ППД5[[#This Row],[Наценка Г2+500]]</f>
        <v>102510.77296014843</v>
      </c>
      <c r="BO462" s="93"/>
      <c r="BP462" s="93">
        <f>ППД5[[#This Row],[Фикс 13.03.25]]+ППД5[[#This Row],[Наценка 20.03.24
2К, 3К - 2%]]</f>
        <v>102510.77296014843</v>
      </c>
      <c r="BQ462" s="93"/>
      <c r="BR462" s="93">
        <f>ППД5[[#This Row],[Фикс 20.03.24]]+ППД5[[#This Row],[Наценка 08.04.24 
2К: В3 - 150
3К: Г7 +1000]]</f>
        <v>102510.77296014843</v>
      </c>
      <c r="BS462" s="93"/>
      <c r="BT462" s="93">
        <f>ППД5[[#This Row],[Фикс 08.04.24]]+ППД5[[#This Row],[Наценка 16.05.24 1%
А4,А6,Б3,Б6,Б7,В2,В3,В5,В6,Г1,Г3-Г5]]</f>
        <v>102510.77296014843</v>
      </c>
      <c r="BU462" s="93"/>
      <c r="BV462" s="93">
        <f>ППД5[[#This Row],[Фикс 16.05.24]]+ППД5[[#This Row],[Наценка 24.05.24
1% - Б4, Б5,Г2,Г6
2% - А1,А3,А5,Б2,Г7]]</f>
        <v>102510.77296014843</v>
      </c>
      <c r="BW462" s="93"/>
      <c r="BX462" s="93">
        <f>ППД5[[#This Row],[Наценка 06.06.24
0К: В2,Г3 +0,5%
1К: А7, Б5/4, Г6 +0,5%
3К: В6 +0,5%
1К: А3 +1%]]+ППД5[[#This Row],[Фикс 24.05.24]]</f>
        <v>102510.77296014843</v>
      </c>
      <c r="BY462" s="93"/>
      <c r="BZ462" s="93">
        <f>ППД5[[#This Row],[Фикс 06.06.24]]+ППД5[[#This Row],[13.06.2024
3К - 2%]]</f>
        <v>102510.77296014843</v>
      </c>
      <c r="CA462" s="93"/>
      <c r="CB462" s="93">
        <f>ППД5[[#This Row],[02.07.2024: Г3 А1 А3 Б5 Б7 Г2 Г6 Б3 Б4 В3 Г7 2,5% ост 0,5-1,5%]]+ППД5[[#This Row],[Фикс 13.06.24]]</f>
        <v>102510.77296014843</v>
      </c>
      <c r="CC462" s="93"/>
      <c r="CD462" s="93">
        <f>ППД5[[#This Row],[Фикс 02.07.24]]+ППД5[[#This Row],[04.09.2024 +500
0К - Б2; 1К - А3;
2К - А6, Б4, В3, Г5]]</f>
        <v>102510.77296014843</v>
      </c>
      <c r="CE462" s="93"/>
      <c r="CF462" s="93">
        <f>ППД5[[#This Row],[Наценка 16.09.2024
1К: А1,В7,Г6/7,Г8 - 2%
2К: А4,А5,А6,Б1,Б6,Б3/4,В3,В4,Г4,Г5 - 4%
3К: 4%]]+ППД5[[#This Row],[Фикс 04.09.24]]</f>
        <v>102510.77296014843</v>
      </c>
      <c r="CG462" s="93"/>
      <c r="CH462" s="93">
        <f>ППД5[[#This Row],[Фикс 16.09.2024]]+ППД5[[#This Row],[Наценка 01.11.24
СТ: 4%
1К: 34-40м 5%; 40м+ 8%; МГН 1%
2К: 55-70м 6%; 70-73м 7%; 73-76м 8% 
3К: 5%]]</f>
        <v>102510.77296014843</v>
      </c>
      <c r="CI462" s="93"/>
      <c r="CJ462" s="93">
        <f>ППД5[[#This Row],[Наценка 06.11 13%]]+ППД5[[#This Row],[Фикс 01.11.24]]</f>
        <v>102510.77296014843</v>
      </c>
      <c r="CK462" s="93"/>
      <c r="CL462" s="93">
        <f>ППД5[[#This Row],[Фикс 06.11.24]]+ППД5[[#This Row],[Наценка 18.12.24 распределение КВ]]</f>
        <v>102510.77296014843</v>
      </c>
      <c r="CM462" s="93"/>
      <c r="CN462" s="93">
        <f>ППД5[[#This Row],[Фикс 18.12.24]]+ППД5[[#This Row],[Наценка 10.02.25 +1%
1К: А3
2К: Б3, В3]]</f>
        <v>102510.77296014843</v>
      </c>
      <c r="CO462" s="93">
        <f>ROUND(ППД5[[#This Row],[Фикс 10.02.25]],2)</f>
        <v>102510.77</v>
      </c>
      <c r="CP46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4068700</v>
      </c>
      <c r="CQ462" s="93">
        <f>ROUNDUP(ППД5[[#This Row],[Стоимость до скидки]]+ППД5[[#This Row],[Сумма доплаты]],-2)</f>
        <v>4044100</v>
      </c>
      <c r="CR462" s="68"/>
      <c r="CS462" s="90">
        <v>0.05</v>
      </c>
      <c r="CT462" s="68">
        <f>ППД5[[#This Row],[Стоимость до скидки]]*ППД5[[#This Row],[Скидка %]]+ППД5[[#This Row],[Скидка фиксированная]]</f>
        <v>203435</v>
      </c>
      <c r="CU462" s="3">
        <f>ППД5[[#This Row],[Стоимость ОН без отделки со скидкой]]/ППД5[[#This Row],[Расчетная проектная площадь]]</f>
        <v>97386.369362559839</v>
      </c>
      <c r="CV462" s="3">
        <f>ROUND(ППД5[[#This Row],[Стоимость до скидки]]-ППД5[[#This Row],[Итоговая сумма скидки]],2)</f>
        <v>3865265</v>
      </c>
      <c r="CW46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62" s="197">
        <v>22000</v>
      </c>
      <c r="CY462" s="332">
        <f>ППД5[[#This Row],[Расхождение]]/ППД5[[#This Row],[Расчетная проектная площадь]]</f>
        <v>-6.0468631897202044E-3</v>
      </c>
      <c r="CZ46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-0.15000000000000036</v>
      </c>
      <c r="DA462" s="3">
        <f>ППД5[[#This Row],[Цена м2 без отделки со скидкой]]+ППД5[[#This Row],[Стоимость отделки]]</f>
        <v>119386.36936255984</v>
      </c>
      <c r="DB462" s="3">
        <f>ППД5[[#This Row],[Стоимость квартиры с отделкой]]-ППД5[[#This Row],[Стоимость ОН без отделки со скидкой]]</f>
        <v>873180</v>
      </c>
      <c r="DC462" s="3">
        <f>ППД5[[#This Row],[Цена м2 с отделкой]]*ППД5[[#This Row],[Расчетная проектная площадь]]</f>
        <v>4738445</v>
      </c>
      <c r="DD462" s="3"/>
      <c r="DE462" s="111" t="s">
        <v>162</v>
      </c>
      <c r="DF462" s="199" t="s">
        <v>172</v>
      </c>
      <c r="DG462" s="245" t="s">
        <v>172</v>
      </c>
      <c r="DH462" s="100" t="b">
        <f>EXACT(ППД5[[#This Row],[Статусы CRM]],ППД5[[#This Row],[Статус]])</f>
        <v>1</v>
      </c>
      <c r="DI462" s="213" t="s">
        <v>634</v>
      </c>
      <c r="DJ462" s="204"/>
      <c r="DK462" s="111" t="s">
        <v>763</v>
      </c>
      <c r="DL462" s="216" t="s">
        <v>14</v>
      </c>
      <c r="DM462" s="201" t="b">
        <f>ППД5[[#This Row],[Отделка CRM]]=ППД5[[#This Row],[Отделка]]</f>
        <v>1</v>
      </c>
      <c r="DN462" s="203">
        <v>4738445</v>
      </c>
      <c r="DO46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62" s="207" t="b">
        <f>IF(AND(ППД5[[#This Row],[Статус]]="свободно",ППД5[[#This Row],[Итоговая сумма скидки]]&lt;&gt;0),FALSE,TRUE)</f>
        <v>1</v>
      </c>
      <c r="DQ462" s="240">
        <f>_xlfn.XLOOKUP(ППД5[[#This Row],[№]],Юрист[№ кв],Юрист[Дата подачи на регистрацию]," ",0,-1)</f>
        <v>45290</v>
      </c>
      <c r="DR462" s="115" t="str">
        <f>_xlfn.XLOOKUP(ППД5[[#This Row],[№]],Юрист[№ кв],Юрист[МОП],"",0,-1)</f>
        <v>Полехович</v>
      </c>
      <c r="DS462" s="333" t="s">
        <v>3216</v>
      </c>
      <c r="DT462" s="333" t="s">
        <v>3217</v>
      </c>
      <c r="DU462" s="333">
        <v>38.200000000000003</v>
      </c>
      <c r="DV462" s="111"/>
    </row>
    <row r="463" spans="1:126" hidden="1" x14ac:dyDescent="0.25">
      <c r="A463" s="112">
        <v>461</v>
      </c>
      <c r="B463" s="111" t="s">
        <v>2</v>
      </c>
      <c r="C463" s="111">
        <v>10</v>
      </c>
      <c r="D463" s="338">
        <v>1</v>
      </c>
      <c r="E463" s="111">
        <v>0</v>
      </c>
      <c r="F463" s="105">
        <v>13.74</v>
      </c>
      <c r="G463" s="105"/>
      <c r="H463" s="105"/>
      <c r="I463" s="94">
        <f>SUM(ППД5[[#This Row],[Комната 1]:[Комната 3]])</f>
        <v>13.74</v>
      </c>
      <c r="J463" s="105">
        <v>5.84</v>
      </c>
      <c r="K463" s="105">
        <v>3.76</v>
      </c>
      <c r="L463" s="105"/>
      <c r="M463" s="105"/>
      <c r="N463" s="105">
        <v>3.73</v>
      </c>
      <c r="O463" s="105">
        <v>4.6500000000000004</v>
      </c>
      <c r="P463" s="105"/>
      <c r="Q463" s="105"/>
      <c r="R463" s="105">
        <f>SUM(ППД5[[#This Row],[Лоджия 1]:[Лоджия 3]])</f>
        <v>4.6500000000000004</v>
      </c>
      <c r="S463" s="8">
        <f>ROUND(SUM(ППД5[[#This Row],[Площадь по проекту жилая]:[Лоджия 3]]),2)</f>
        <v>31.72</v>
      </c>
      <c r="T463" s="8">
        <f>ROUND(ППД5[[#This Row],[Площадь по проекту(общая)]]-ППД5[[#This Row],[Летние]],2)</f>
        <v>27.07</v>
      </c>
      <c r="U463" s="91">
        <f>ROUND(ППД5[[#This Row],[Площадь по проекту(общая)]]-(SUM(ППД5[[#This Row],[Лоджия 1]:[Лоджия 3]])/2),2)</f>
        <v>29.4</v>
      </c>
      <c r="V463" s="91">
        <f>IF(ППД5[[#This Row],[Статус]]="продажа",ППД5[[#This Row],[Расчетная проектная площадь]],ППД5[[#This Row],[Расчетная ТП площадь]])</f>
        <v>29.4</v>
      </c>
      <c r="W463" s="91">
        <v>13.7</v>
      </c>
      <c r="X463" s="91"/>
      <c r="Y463" s="91"/>
      <c r="Z463" s="91">
        <f>SUM(ППД5[[#This Row],[ТП Комната 1]:[ТП Комната 3]])</f>
        <v>13.7</v>
      </c>
      <c r="AA463" s="91">
        <v>5.7</v>
      </c>
      <c r="AB463" s="91">
        <v>3.7</v>
      </c>
      <c r="AC463" s="91"/>
      <c r="AD463" s="91"/>
      <c r="AE463" s="91">
        <v>3.8</v>
      </c>
      <c r="AF463" s="91">
        <v>2.2999999999999998</v>
      </c>
      <c r="AG463" s="91"/>
      <c r="AH463" s="91"/>
      <c r="AI463" s="91">
        <f>SUM(ППД5[[#This Row],[ТП Лоджия 1]:[ТП Лоджия 3]])</f>
        <v>2.2999999999999998</v>
      </c>
      <c r="AJ463" s="95">
        <v>4.5999999999999996</v>
      </c>
      <c r="AK463" s="91">
        <f>SUM(ППД5[[#This Row],[Площадь по ТП жилая]:[ТП Лоджия 3]])-ППД5[[#This Row],[ТП Летние]]+ППД5[[#This Row],[кроме того прочая
(без коэффициента)]]</f>
        <v>31.5</v>
      </c>
      <c r="AL463" s="95">
        <f>ППД5[[#This Row],[ТП Площадь без летних]]+(ППД5[[#This Row],[ТП Летние]])</f>
        <v>29.2</v>
      </c>
      <c r="AM463" s="91">
        <f>ППД5[[#This Row],[ТП общая S]]-ППД5[[#This Row],[кроме того прочая
(без коэффициента)]]</f>
        <v>26.9</v>
      </c>
      <c r="AN463" s="95">
        <f>SUM(ППД5[[#This Row],[ТП Кухня]:[ТП Коридор]])</f>
        <v>13.2</v>
      </c>
      <c r="AO463" s="91">
        <f>ППД5[[#This Row],[Расчетная ТП площадь]]-ППД5[[#This Row],[Расчетная проектная площадь]]</f>
        <v>-0.19999999999999929</v>
      </c>
      <c r="AP463" s="335">
        <f>ППД5[[#This Row],[Расчетная ТП площадь]]/ППД5[[#This Row],[Расчетная проектная площадь]]-1</f>
        <v>-6.8027210884353817E-3</v>
      </c>
      <c r="AQ463" s="91">
        <f>ППД5[[#This Row],[% расхождения]]*ППД5[[#This Row],[Стоимость до скидки]]</f>
        <v>-23641.496598639482</v>
      </c>
      <c r="AR463" s="91">
        <f>VLOOKUP(ППД5[[#This Row],[№]],наценкад5[],COLUMN(наценкад5[[#This Row],[Цена м2 с учетом всех K]]),0)</f>
        <v>89353.53</v>
      </c>
      <c r="AS463" s="8">
        <f>ППД5[[#This Row],[м2 после К]]*5%</f>
        <v>4467.6765000000005</v>
      </c>
      <c r="AT463" s="8">
        <f>ППД5[[#This Row],[м2 после К]]+ППД5[[#This Row],[Повышение 16.08.23 - 5%]]</f>
        <v>93821.2065</v>
      </c>
      <c r="AU463" s="93">
        <f>ППД5[[#This Row],[Фикс 16.08.23]]*3%</f>
        <v>2814.636195</v>
      </c>
      <c r="AV463" s="93">
        <f>ППД5[[#This Row],[Фикс 16.08.23]]+ППД5[[#This Row],[Повышение 29.08.23 - 3%]]</f>
        <v>96635.842694999999</v>
      </c>
      <c r="AW463" s="93">
        <f>ППД5[[#This Row],[Фикс 29.08.23]]*9%</f>
        <v>8697.2258425500004</v>
      </c>
      <c r="AX463" s="93">
        <f>ППД5[[#This Row],[Фикс 29.08.23]]+ППД5[[#This Row],[Повышение 06.09.23 СТ и 1К]]</f>
        <v>105333.06853755</v>
      </c>
      <c r="AY463" s="93"/>
      <c r="AZ463" s="93">
        <f>ППД5[[#This Row],[Повышение 23.10.23  В4 ]]+ППД5[[#This Row],[Фикс 06.09.23]]</f>
        <v>105333.06853755</v>
      </c>
      <c r="BA463" s="93"/>
      <c r="BB463" s="93">
        <f>ППД5[[#This Row],[Повышение 8.11.23 1К 5%]]+ППД5[[#This Row],[Фикс 23.10.23]]</f>
        <v>105333.06853755</v>
      </c>
      <c r="BC463" s="93"/>
      <c r="BD463" s="93">
        <f>ППД5[[#This Row],[Корректировка 24.11.23 - 1К В5, 2К А2, №233]]+ППД5[[#This Row],[Фикс 8.11.23]]</f>
        <v>105333.06853755</v>
      </c>
      <c r="BE463" s="93">
        <f>ППД5[[#This Row],[Фикс 8.11.24]]*1%</f>
        <v>1053.3306853755</v>
      </c>
      <c r="BF463" s="93">
        <f>ППД5[[#This Row],[Наценка за отделку 29.12.23 1%]]+ППД5[[#This Row],[Фикс 8.11.24]]</f>
        <v>106386.39922292551</v>
      </c>
      <c r="BG463" s="93">
        <f>ППД5[[#This Row],[Фикс 29.12.23]]*5%</f>
        <v>5319.319961146276</v>
      </c>
      <c r="BH463" s="93">
        <f>ППД5[[#This Row],[Фикс 29.12.23]]+ППД5[[#This Row],[Наценка 10.01.24 5%]]</f>
        <v>111705.71918407179</v>
      </c>
      <c r="BI463" s="93"/>
      <c r="BJ463" s="93">
        <f>ППД5[[#This Row],[Наценка 26.02.24 1 Этаж]]+ППД5[[#This Row],[Фикс 10.01.24]]</f>
        <v>111705.71918407179</v>
      </c>
      <c r="BK463" s="93">
        <f>ППД5[[#This Row],[Фикс 26.02.24]]*3%</f>
        <v>3351.1715755221535</v>
      </c>
      <c r="BL463" s="93">
        <f>ППД5[[#This Row],[Фикс 26.02.24]]+ППД5[[#This Row],[Наценка 06.03.24
СТ, 1К - 3%
2К, 3К - 2%]]</f>
        <v>115056.89075959394</v>
      </c>
      <c r="BM463" s="93"/>
      <c r="BN463" s="93">
        <f>ППД5[[#This Row],[Фикс 06.03.24]]+ППД5[[#This Row],[Наценка Г2+500]]</f>
        <v>115056.89075959394</v>
      </c>
      <c r="BO463" s="93"/>
      <c r="BP463" s="93">
        <f>ППД5[[#This Row],[Фикс 13.03.25]]+ППД5[[#This Row],[Наценка 20.03.24
2К, 3К - 2%]]</f>
        <v>115056.89075959394</v>
      </c>
      <c r="BQ463" s="93"/>
      <c r="BR463" s="93">
        <f>ППД5[[#This Row],[Фикс 20.03.24]]+ППД5[[#This Row],[Наценка 08.04.24 
2К: В3 - 150
3К: Г7 +1000]]</f>
        <v>115056.89075959394</v>
      </c>
      <c r="BS463" s="93">
        <f>ППД5[[#This Row],[Фикс 08.04.24]]*1%</f>
        <v>1150.5689075959394</v>
      </c>
      <c r="BT463" s="93">
        <f>ППД5[[#This Row],[Фикс 08.04.24]]+ППД5[[#This Row],[Наценка 16.05.24 1%
А4,А6,Б3,Б6,Б7,В2,В3,В5,В6,Г1,Г3-Г5]]</f>
        <v>116207.45966718988</v>
      </c>
      <c r="BU463" s="208">
        <v>2000</v>
      </c>
      <c r="BV463" s="93">
        <f>ППД5[[#This Row],[Фикс 16.05.24]]+ППД5[[#This Row],[Наценка 24.05.24
1% - Б4, Б5,Г2,Г6
2% - А1,А3,А5,Б2,Г7]]</f>
        <v>118207.45966718988</v>
      </c>
      <c r="BW463" s="93"/>
      <c r="BX463" s="93">
        <f>ППД5[[#This Row],[Наценка 06.06.24
0К: В2,Г3 +0,5%
1К: А7, Б5/4, Г6 +0,5%
3К: В6 +0,5%
1К: А3 +1%]]+ППД5[[#This Row],[Фикс 24.05.24]]</f>
        <v>118207.45966718988</v>
      </c>
      <c r="BY463" s="93"/>
      <c r="BZ463" s="93">
        <f>ППД5[[#This Row],[Фикс 06.06.24]]+ППД5[[#This Row],[13.06.2024
3К - 2%]]</f>
        <v>118207.45966718988</v>
      </c>
      <c r="CA463" s="93"/>
      <c r="CB463" s="93">
        <f>ППД5[[#This Row],[02.07.2024: Г3 А1 А3 Б5 Б7 Г2 Г6 Б3 Б4 В3 Г7 2,5% ост 0,5-1,5%]]+ППД5[[#This Row],[Фикс 13.06.24]]</f>
        <v>118207.45966718988</v>
      </c>
      <c r="CC463" s="93"/>
      <c r="CD463" s="93">
        <f>ППД5[[#This Row],[Фикс 02.07.24]]+ППД5[[#This Row],[04.09.2024 +500
0К - Б2; 1К - А3;
2К - А6, Б4, В3, Г5]]</f>
        <v>118207.45966718988</v>
      </c>
      <c r="CE463" s="93"/>
      <c r="CF463" s="93">
        <f>ППД5[[#This Row],[Наценка 16.09.2024
1К: А1,В7,Г6/7,Г8 - 2%
2К: А4,А5,А6,Б1,Б6,Б3/4,В3,В4,Г4,Г5 - 4%
3К: 4%]]+ППД5[[#This Row],[Фикс 04.09.24]]</f>
        <v>118207.45966718988</v>
      </c>
      <c r="CG463" s="93"/>
      <c r="CH463" s="93">
        <f>ППД5[[#This Row],[Фикс 16.09.2024]]+ППД5[[#This Row],[Наценка 01.11.24
СТ: 4%
1К: 34-40м 5%; 40м+ 8%; МГН 1%
2К: 55-70м 6%; 70-73м 7%; 73-76м 8% 
3К: 5%]]</f>
        <v>118207.45966718988</v>
      </c>
      <c r="CI463" s="93"/>
      <c r="CJ463" s="93">
        <f>ППД5[[#This Row],[Наценка 06.11 13%]]+ППД5[[#This Row],[Фикс 01.11.24]]</f>
        <v>118207.45966718988</v>
      </c>
      <c r="CK463" s="93"/>
      <c r="CL463" s="93">
        <f>ППД5[[#This Row],[Фикс 06.11.24]]+ППД5[[#This Row],[Наценка 18.12.24 распределение КВ]]</f>
        <v>118207.45966718988</v>
      </c>
      <c r="CM463" s="93"/>
      <c r="CN463" s="93">
        <f>ППД5[[#This Row],[Фикс 18.12.24]]+ППД5[[#This Row],[Наценка 10.02.25 +1%
1К: А3
2К: Б3, В3]]</f>
        <v>118207.45966718988</v>
      </c>
      <c r="CO463" s="93">
        <f>ROUND(ППД5[[#This Row],[Фикс 10.02.25]],2)</f>
        <v>118207.46</v>
      </c>
      <c r="CP46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3475300</v>
      </c>
      <c r="CQ463" s="93">
        <f>ROUNDUP(ППД5[[#This Row],[Стоимость до скидки]]+ППД5[[#This Row],[Сумма доплаты]],-2)</f>
        <v>3451700</v>
      </c>
      <c r="CR463" s="68"/>
      <c r="CS463" s="90"/>
      <c r="CT463" s="68">
        <f>ППД5[[#This Row],[Стоимость до скидки]]*ППД5[[#This Row],[Скидка %]]+ППД5[[#This Row],[Скидка фиксированная]]</f>
        <v>0</v>
      </c>
      <c r="CU463" s="3">
        <f>ППД5[[#This Row],[Стоимость ОН без отделки со скидкой]]/ППД5[[#This Row],[Расчетная проектная площадь]]</f>
        <v>118207.48299319728</v>
      </c>
      <c r="CV463" s="3">
        <f>ROUND(ППД5[[#This Row],[Стоимость до скидки]]-ППД5[[#This Row],[Итоговая сумма скидки]],2)</f>
        <v>3475300</v>
      </c>
      <c r="CW46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63" s="197">
        <v>20000</v>
      </c>
      <c r="CY463" s="332">
        <f>ППД5[[#This Row],[Расхождение]]/ППД5[[#This Row],[Расчетная проектная площадь]]</f>
        <v>-6.8027210884353505E-3</v>
      </c>
      <c r="CZ46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-0.13000000000000078</v>
      </c>
      <c r="DA463" s="3">
        <f>ППД5[[#This Row],[Цена м2 без отделки со скидкой]]+ППД5[[#This Row],[Стоимость отделки]]</f>
        <v>138207.48299319728</v>
      </c>
      <c r="DB463" s="3">
        <f>ППД5[[#This Row],[Стоимость квартиры с отделкой]]-ППД5[[#This Row],[Стоимость ОН без отделки со скидкой]]</f>
        <v>588000</v>
      </c>
      <c r="DC463" s="3">
        <f>ППД5[[#This Row],[Цена м2 с отделкой]]*ППД5[[#This Row],[Расчетная проектная площадь]]</f>
        <v>4063300</v>
      </c>
      <c r="DD463" s="3"/>
      <c r="DF463" s="199" t="s">
        <v>172</v>
      </c>
      <c r="DG463" s="245" t="s">
        <v>172</v>
      </c>
      <c r="DH463" s="100" t="b">
        <f>EXACT(ППД5[[#This Row],[Статусы CRM]],ППД5[[#This Row],[Статус]])</f>
        <v>1</v>
      </c>
      <c r="DI463" s="213" t="s">
        <v>635</v>
      </c>
      <c r="DJ463" s="204"/>
      <c r="DK463" s="111" t="s">
        <v>763</v>
      </c>
      <c r="DL463" s="216" t="s">
        <v>14</v>
      </c>
      <c r="DM463" s="201" t="b">
        <f>ППД5[[#This Row],[Отделка CRM]]=ППД5[[#This Row],[Отделка]]</f>
        <v>1</v>
      </c>
      <c r="DN463" s="203">
        <v>4063300</v>
      </c>
      <c r="DO46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63" s="207" t="b">
        <f>IF(AND(ППД5[[#This Row],[Статус]]="свободно",ППД5[[#This Row],[Итоговая сумма скидки]]&lt;&gt;0),FALSE,TRUE)</f>
        <v>1</v>
      </c>
      <c r="DQ463" s="240">
        <f>_xlfn.XLOOKUP(ППД5[[#This Row],[№]],Юрист[№ кв],Юрист[Дата подачи на регистрацию]," ",0,-1)</f>
        <v>45441</v>
      </c>
      <c r="DR463" s="115" t="str">
        <f>_xlfn.XLOOKUP(ППД5[[#This Row],[№]],Юрист[№ кв],Юрист[МОП],"",0,-1)</f>
        <v>Дик</v>
      </c>
      <c r="DS463" s="333" t="s">
        <v>3218</v>
      </c>
      <c r="DT463" s="333" t="s">
        <v>3219</v>
      </c>
      <c r="DU463" s="333">
        <v>26.9</v>
      </c>
      <c r="DV463" s="111"/>
    </row>
    <row r="464" spans="1:126" hidden="1" x14ac:dyDescent="0.25">
      <c r="A464" s="112">
        <v>462</v>
      </c>
      <c r="B464" s="111" t="s">
        <v>2</v>
      </c>
      <c r="C464" s="111">
        <v>10</v>
      </c>
      <c r="D464" s="115">
        <v>2</v>
      </c>
      <c r="E464" s="111">
        <v>1</v>
      </c>
      <c r="F464" s="105">
        <v>13.17</v>
      </c>
      <c r="G464" s="105"/>
      <c r="H464" s="105"/>
      <c r="I464" s="94">
        <f>SUM(ППД5[[#This Row],[Комната 1]:[Комната 3]])</f>
        <v>13.17</v>
      </c>
      <c r="J464" s="105">
        <v>16.940000000000001</v>
      </c>
      <c r="K464" s="105">
        <v>3.55</v>
      </c>
      <c r="L464" s="105">
        <v>2.41</v>
      </c>
      <c r="M464" s="105"/>
      <c r="N464" s="105">
        <v>5.8</v>
      </c>
      <c r="O464" s="105">
        <v>2.68</v>
      </c>
      <c r="P464" s="105"/>
      <c r="Q464" s="105"/>
      <c r="R464" s="105">
        <f>SUM(ППД5[[#This Row],[Лоджия 1]:[Лоджия 3]])</f>
        <v>2.68</v>
      </c>
      <c r="S464" s="8">
        <f>ROUND(SUM(ППД5[[#This Row],[Площадь по проекту жилая]:[Лоджия 3]]),2)</f>
        <v>44.55</v>
      </c>
      <c r="T464" s="8">
        <f>ROUND(ППД5[[#This Row],[Площадь по проекту(общая)]]-ППД5[[#This Row],[Летние]],2)</f>
        <v>41.87</v>
      </c>
      <c r="U464" s="91">
        <f>ROUND(ППД5[[#This Row],[Площадь по проекту(общая)]]-(SUM(ППД5[[#This Row],[Лоджия 1]:[Лоджия 3]])/2),2)</f>
        <v>43.21</v>
      </c>
      <c r="V464" s="91">
        <f>IF(ППД5[[#This Row],[Статус]]="продажа",ППД5[[#This Row],[Расчетная проектная площадь]],ППД5[[#This Row],[Расчетная ТП площадь]])</f>
        <v>43.21</v>
      </c>
      <c r="W464" s="91">
        <v>12.9</v>
      </c>
      <c r="X464" s="91"/>
      <c r="Y464" s="91"/>
      <c r="Z464" s="91">
        <f>SUM(ППД5[[#This Row],[ТП Комната 1]:[ТП Комната 3]])</f>
        <v>12.9</v>
      </c>
      <c r="AA464" s="91">
        <v>16.8</v>
      </c>
      <c r="AB464" s="91">
        <v>2</v>
      </c>
      <c r="AC464" s="91">
        <v>3.3</v>
      </c>
      <c r="AD464" s="91"/>
      <c r="AE464" s="91">
        <v>5.9</v>
      </c>
      <c r="AF464" s="91">
        <v>1.35</v>
      </c>
      <c r="AG464" s="91"/>
      <c r="AH464" s="91"/>
      <c r="AI464" s="91">
        <f>SUM(ППД5[[#This Row],[ТП Лоджия 1]:[ТП Лоджия 3]])</f>
        <v>1.35</v>
      </c>
      <c r="AJ464" s="95">
        <v>2.7</v>
      </c>
      <c r="AK464" s="91">
        <f>SUM(ППД5[[#This Row],[Площадь по ТП жилая]:[ТП Лоджия 3]])-ППД5[[#This Row],[ТП Летние]]+ППД5[[#This Row],[кроме того прочая
(без коэффициента)]]</f>
        <v>43.6</v>
      </c>
      <c r="AL464" s="95">
        <f>ППД5[[#This Row],[ТП Площадь без летних]]+(ППД5[[#This Row],[ТП Летние]])</f>
        <v>42.25</v>
      </c>
      <c r="AM464" s="91">
        <f>ППД5[[#This Row],[ТП общая S]]-ППД5[[#This Row],[кроме того прочая
(без коэффициента)]]</f>
        <v>40.9</v>
      </c>
      <c r="AN464" s="95">
        <f>SUM(ППД5[[#This Row],[ТП Кухня]:[ТП Коридор]])</f>
        <v>28</v>
      </c>
      <c r="AO464" s="91">
        <f>ППД5[[#This Row],[Расчетная ТП площадь]]-ППД5[[#This Row],[Расчетная проектная площадь]]</f>
        <v>-0.96000000000000085</v>
      </c>
      <c r="AP464" s="335">
        <f>ППД5[[#This Row],[Расчетная ТП площадь]]/ППД5[[#This Row],[Расчетная проектная площадь]]-1</f>
        <v>-2.2217079379773241E-2</v>
      </c>
      <c r="AQ464" s="91">
        <f>ППД5[[#This Row],[% расхождения]]*ППД5[[#This Row],[Стоимость до скидки]]</f>
        <v>-99448.090719740983</v>
      </c>
      <c r="AR464" s="91">
        <f>VLOOKUP(ППД5[[#This Row],[№]],наценкад5[],COLUMN(наценкад5[[#This Row],[Цена м2 с учетом всех K]]),0)</f>
        <v>85168.125</v>
      </c>
      <c r="AS464" s="8">
        <f>ППД5[[#This Row],[м2 после К]]*5%</f>
        <v>4258.40625</v>
      </c>
      <c r="AT464" s="8">
        <f>ППД5[[#This Row],[м2 после К]]+ППД5[[#This Row],[Повышение 16.08.23 - 5%]]</f>
        <v>89426.53125</v>
      </c>
      <c r="AU464" s="93">
        <f>ППД5[[#This Row],[Фикс 16.08.23]]*3%</f>
        <v>2682.7959375</v>
      </c>
      <c r="AV464" s="93">
        <f>ППД5[[#This Row],[Фикс 16.08.23]]+ППД5[[#This Row],[Повышение 29.08.23 - 3%]]</f>
        <v>92109.327187500006</v>
      </c>
      <c r="AW464" s="93">
        <f>ППД5[[#This Row],[Фикс 29.08.23]]*1%</f>
        <v>921.09327187500003</v>
      </c>
      <c r="AX464" s="93">
        <f>ППД5[[#This Row],[Фикс 29.08.23]]+ППД5[[#This Row],[Повышение 06.09.23 СТ и 1К]]</f>
        <v>93030.420459375004</v>
      </c>
      <c r="AY464" s="93"/>
      <c r="AZ464" s="93">
        <f>ППД5[[#This Row],[Повышение 23.10.23  В4 ]]+ППД5[[#This Row],[Фикс 06.09.23]]</f>
        <v>93030.420459375004</v>
      </c>
      <c r="BA464" s="93">
        <f>ППД5[[#This Row],[Фикс 23.10.23]]*5%</f>
        <v>4651.52102296875</v>
      </c>
      <c r="BB464" s="93">
        <f>ППД5[[#This Row],[Повышение 8.11.23 1К 5%]]+ППД5[[#This Row],[Фикс 23.10.23]]</f>
        <v>97681.941482343755</v>
      </c>
      <c r="BC464" s="93"/>
      <c r="BD464" s="93">
        <f>ППД5[[#This Row],[Корректировка 24.11.23 - 1К В5, 2К А2, №233]]+ППД5[[#This Row],[Фикс 8.11.23]]</f>
        <v>97681.941482343755</v>
      </c>
      <c r="BE464" s="93">
        <f>ППД5[[#This Row],[Фикс 8.11.24]]*1%</f>
        <v>976.81941482343757</v>
      </c>
      <c r="BF464" s="93">
        <f>ППД5[[#This Row],[Наценка за отделку 29.12.23 1%]]+ППД5[[#This Row],[Фикс 8.11.24]]</f>
        <v>98658.760897167187</v>
      </c>
      <c r="BG464" s="93">
        <f>ППД5[[#This Row],[Фикс 29.12.23]]*5%</f>
        <v>4932.9380448583597</v>
      </c>
      <c r="BH464" s="93">
        <f>ППД5[[#This Row],[Фикс 29.12.23]]+ППД5[[#This Row],[Наценка 10.01.24 5%]]</f>
        <v>103591.69894202554</v>
      </c>
      <c r="BI464" s="93"/>
      <c r="BJ464" s="93">
        <f>ППД5[[#This Row],[Наценка 26.02.24 1 Этаж]]+ППД5[[#This Row],[Фикс 10.01.24]]</f>
        <v>103591.69894202554</v>
      </c>
      <c r="BK464" s="93"/>
      <c r="BL464" s="93">
        <f>ППД5[[#This Row],[Фикс 26.02.24]]+ППД5[[#This Row],[Наценка 06.03.24
СТ, 1К - 3%
2К, 3К - 2%]]</f>
        <v>103591.69894202554</v>
      </c>
      <c r="BM464" s="93"/>
      <c r="BN464" s="93">
        <f>ППД5[[#This Row],[Фикс 06.03.24]]+ППД5[[#This Row],[Наценка Г2+500]]</f>
        <v>103591.69894202554</v>
      </c>
      <c r="BO464" s="93"/>
      <c r="BP464" s="93">
        <f>ППД5[[#This Row],[Фикс 13.03.25]]+ППД5[[#This Row],[Наценка 20.03.24
2К, 3К - 2%]]</f>
        <v>103591.69894202554</v>
      </c>
      <c r="BQ464" s="93"/>
      <c r="BR464" s="93">
        <f>ППД5[[#This Row],[Фикс 20.03.24]]+ППД5[[#This Row],[Наценка 08.04.24 
2К: В3 - 150
3К: Г7 +1000]]</f>
        <v>103591.69894202554</v>
      </c>
      <c r="BS464" s="93"/>
      <c r="BT464" s="93">
        <f>ППД5[[#This Row],[Фикс 08.04.24]]+ППД5[[#This Row],[Наценка 16.05.24 1%
А4,А6,Б3,Б6,Б7,В2,В3,В5,В6,Г1,Г3-Г5]]</f>
        <v>103591.69894202554</v>
      </c>
      <c r="BU464" s="93"/>
      <c r="BV464" s="93">
        <f>ППД5[[#This Row],[Фикс 16.05.24]]+ППД5[[#This Row],[Наценка 24.05.24
1% - Б4, Б5,Г2,Г6
2% - А1,А3,А5,Б2,Г7]]</f>
        <v>103591.69894202554</v>
      </c>
      <c r="BW464" s="93"/>
      <c r="BX464" s="93">
        <f>ППД5[[#This Row],[Наценка 06.06.24
0К: В2,Г3 +0,5%
1К: А7, Б5/4, Г6 +0,5%
3К: В6 +0,5%
1К: А3 +1%]]+ППД5[[#This Row],[Фикс 24.05.24]]</f>
        <v>103591.69894202554</v>
      </c>
      <c r="BY464" s="93"/>
      <c r="BZ464" s="93">
        <f>ППД5[[#This Row],[Фикс 06.06.24]]+ППД5[[#This Row],[13.06.2024
3К - 2%]]</f>
        <v>103591.69894202554</v>
      </c>
      <c r="CA464" s="93"/>
      <c r="CB464" s="93">
        <f>ППД5[[#This Row],[02.07.2024: Г3 А1 А3 Б5 Б7 Г2 Г6 Б3 Б4 В3 Г7 2,5% ост 0,5-1,5%]]+ППД5[[#This Row],[Фикс 13.06.24]]</f>
        <v>103591.69894202554</v>
      </c>
      <c r="CC464" s="93"/>
      <c r="CD464" s="93">
        <f>ППД5[[#This Row],[Фикс 02.07.24]]+ППД5[[#This Row],[04.09.2024 +500
0К - Б2; 1К - А3;
2К - А6, Б4, В3, Г5]]</f>
        <v>103591.69894202554</v>
      </c>
      <c r="CE464" s="93"/>
      <c r="CF464" s="93">
        <f>ППД5[[#This Row],[Наценка 16.09.2024
1К: А1,В7,Г6/7,Г8 - 2%
2К: А4,А5,А6,Б1,Б6,Б3/4,В3,В4,Г4,Г5 - 4%
3К: 4%]]+ППД5[[#This Row],[Фикс 04.09.24]]</f>
        <v>103591.69894202554</v>
      </c>
      <c r="CG464" s="93"/>
      <c r="CH464" s="93">
        <f>ППД5[[#This Row],[Фикс 16.09.2024]]+ППД5[[#This Row],[Наценка 01.11.24
СТ: 4%
1К: 34-40м 5%; 40м+ 8%; МГН 1%
2К: 55-70м 6%; 70-73м 7%; 73-76м 8% 
3К: 5%]]</f>
        <v>103591.69894202554</v>
      </c>
      <c r="CI464" s="93"/>
      <c r="CJ464" s="93">
        <f>ППД5[[#This Row],[Наценка 06.11 13%]]+ППД5[[#This Row],[Фикс 01.11.24]]</f>
        <v>103591.69894202554</v>
      </c>
      <c r="CK464" s="93"/>
      <c r="CL464" s="93">
        <f>ППД5[[#This Row],[Фикс 06.11.24]]+ППД5[[#This Row],[Наценка 18.12.24 распределение КВ]]</f>
        <v>103591.69894202554</v>
      </c>
      <c r="CM464" s="93"/>
      <c r="CN464" s="93">
        <f>ППД5[[#This Row],[Фикс 18.12.24]]+ППД5[[#This Row],[Наценка 10.02.25 +1%
1К: А3
2К: Б3, В3]]</f>
        <v>103591.69894202554</v>
      </c>
      <c r="CO464" s="93">
        <f>ROUND(ППД5[[#This Row],[Фикс 10.02.25]],2)</f>
        <v>103591.7</v>
      </c>
      <c r="CP46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4476200</v>
      </c>
      <c r="CQ464" s="93">
        <f>ROUNDUP(ППД5[[#This Row],[Стоимость до скидки]]+ППД5[[#This Row],[Сумма доплаты]],-2)</f>
        <v>4376800</v>
      </c>
      <c r="CR464" s="68"/>
      <c r="CS464" s="90"/>
      <c r="CT464" s="68">
        <f>ППД5[[#This Row],[Стоимость до скидки]]*ППД5[[#This Row],[Скидка %]]+ППД5[[#This Row],[Скидка фиксированная]]</f>
        <v>0</v>
      </c>
      <c r="CU464" s="3">
        <f>ППД5[[#This Row],[Стоимость ОН без отделки со скидкой]]/ППД5[[#This Row],[Расчетная проектная площадь]]</f>
        <v>103591.76116639667</v>
      </c>
      <c r="CV464" s="3">
        <f>ROUND(ППД5[[#This Row],[Стоимость до скидки]]-ППД5[[#This Row],[Итоговая сумма скидки]],2)</f>
        <v>4476200</v>
      </c>
      <c r="CW46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64" s="197"/>
      <c r="CY464" s="332">
        <f>ППД5[[#This Row],[Расхождение]]/ППД5[[#This Row],[Расчетная проектная площадь]]</f>
        <v>-2.2217079379773221E-2</v>
      </c>
      <c r="CZ46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-0.70000000000000284</v>
      </c>
      <c r="DA464" s="3">
        <f>ППД5[[#This Row],[Цена м2 без отделки со скидкой]]+ППД5[[#This Row],[Стоимость отделки]]</f>
        <v>103591.76116639667</v>
      </c>
      <c r="DB464" s="3">
        <f>ППД5[[#This Row],[Стоимость квартиры с отделкой]]-ППД5[[#This Row],[Стоимость ОН без отделки со скидкой]]</f>
        <v>0</v>
      </c>
      <c r="DC464" s="3">
        <f>ППД5[[#This Row],[Цена м2 с отделкой]]*ППД5[[#This Row],[Расчетная проектная площадь]]</f>
        <v>4476200</v>
      </c>
      <c r="DD464" s="3"/>
      <c r="DF464" s="199" t="s">
        <v>172</v>
      </c>
      <c r="DG464" s="245" t="s">
        <v>172</v>
      </c>
      <c r="DH464" s="100" t="b">
        <f>EXACT(ППД5[[#This Row],[Статусы CRM]],ППД5[[#This Row],[Статус]])</f>
        <v>1</v>
      </c>
      <c r="DI464" s="213" t="s">
        <v>636</v>
      </c>
      <c r="DJ464" s="204"/>
      <c r="DK464" s="111" t="s">
        <v>763</v>
      </c>
      <c r="DL464" s="216" t="s">
        <v>12</v>
      </c>
      <c r="DM464" s="201" t="b">
        <f>ППД5[[#This Row],[Отделка CRM]]=ППД5[[#This Row],[Отделка]]</f>
        <v>1</v>
      </c>
      <c r="DN464" s="203">
        <v>4476200</v>
      </c>
      <c r="DO46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64" s="207" t="b">
        <f>IF(AND(ППД5[[#This Row],[Статус]]="свободно",ППД5[[#This Row],[Итоговая сумма скидки]]&lt;&gt;0),FALSE,TRUE)</f>
        <v>1</v>
      </c>
      <c r="DQ464" s="240">
        <f>_xlfn.XLOOKUP(ППД5[[#This Row],[№]],Юрист[№ кв],Юрист[Дата подачи на регистрацию]," ",0,-1)</f>
        <v>45372</v>
      </c>
      <c r="DR464" s="115" t="str">
        <f>_xlfn.XLOOKUP(ППД5[[#This Row],[№]],Юрист[№ кв],Юрист[МОП],"",0,-1)</f>
        <v>Дик</v>
      </c>
      <c r="DS464" s="333" t="s">
        <v>3220</v>
      </c>
      <c r="DT464" s="333" t="s">
        <v>3221</v>
      </c>
      <c r="DU464" s="333">
        <v>40.9</v>
      </c>
      <c r="DV464" s="111"/>
    </row>
    <row r="465" spans="1:126" hidden="1" x14ac:dyDescent="0.25">
      <c r="A465" s="112">
        <v>463</v>
      </c>
      <c r="B465" s="111" t="s">
        <v>2</v>
      </c>
      <c r="C465" s="111">
        <v>10</v>
      </c>
      <c r="D465" s="115">
        <v>3</v>
      </c>
      <c r="E465" s="111">
        <v>0</v>
      </c>
      <c r="F465" s="105">
        <v>7.2</v>
      </c>
      <c r="G465" s="105"/>
      <c r="H465" s="105"/>
      <c r="I465" s="94">
        <f>SUM(ППД5[[#This Row],[Комната 1]:[Комната 3]])</f>
        <v>7.2</v>
      </c>
      <c r="J465" s="105">
        <v>5.17</v>
      </c>
      <c r="K465" s="105">
        <v>3.71</v>
      </c>
      <c r="L465" s="105"/>
      <c r="M465" s="105"/>
      <c r="N465" s="105">
        <v>6.96</v>
      </c>
      <c r="O465" s="105">
        <v>2.92</v>
      </c>
      <c r="P465" s="105"/>
      <c r="Q465" s="105"/>
      <c r="R465" s="105">
        <f>SUM(ППД5[[#This Row],[Лоджия 1]:[Лоджия 3]])</f>
        <v>2.92</v>
      </c>
      <c r="S465" s="8">
        <f>ROUND(SUM(ППД5[[#This Row],[Площадь по проекту жилая]:[Лоджия 3]]),2)</f>
        <v>25.96</v>
      </c>
      <c r="T465" s="8">
        <f>ROUND(ППД5[[#This Row],[Площадь по проекту(общая)]]-ППД5[[#This Row],[Летние]],2)</f>
        <v>23.04</v>
      </c>
      <c r="U465" s="91">
        <f>ROUND(ППД5[[#This Row],[Площадь по проекту(общая)]]-(SUM(ППД5[[#This Row],[Лоджия 1]:[Лоджия 3]])/2),2)</f>
        <v>24.5</v>
      </c>
      <c r="V465" s="91">
        <f>IF(ППД5[[#This Row],[Статус]]="продажа",ППД5[[#This Row],[Расчетная проектная площадь]],ППД5[[#This Row],[Расчетная ТП площадь]])</f>
        <v>24.5</v>
      </c>
      <c r="W465" s="91">
        <v>7.2</v>
      </c>
      <c r="X465" s="91"/>
      <c r="Y465" s="91"/>
      <c r="Z465" s="91">
        <f>SUM(ППД5[[#This Row],[ТП Комната 1]:[ТП Комната 3]])</f>
        <v>7.2</v>
      </c>
      <c r="AA465" s="91">
        <v>5.5</v>
      </c>
      <c r="AB465" s="91">
        <v>3.7</v>
      </c>
      <c r="AC465" s="91"/>
      <c r="AD465" s="91"/>
      <c r="AE465" s="91">
        <v>6.5</v>
      </c>
      <c r="AF465" s="91">
        <v>1.45</v>
      </c>
      <c r="AG465" s="91"/>
      <c r="AH465" s="91"/>
      <c r="AI465" s="91">
        <f>SUM(ППД5[[#This Row],[ТП Лоджия 1]:[ТП Лоджия 3]])</f>
        <v>1.45</v>
      </c>
      <c r="AJ465" s="95">
        <v>2.9</v>
      </c>
      <c r="AK465" s="91">
        <f>SUM(ППД5[[#This Row],[Площадь по ТП жилая]:[ТП Лоджия 3]])-ППД5[[#This Row],[ТП Летние]]+ППД5[[#This Row],[кроме того прочая
(без коэффициента)]]</f>
        <v>25.799999999999997</v>
      </c>
      <c r="AL465" s="95">
        <f>ППД5[[#This Row],[ТП Площадь без летних]]+(ППД5[[#This Row],[ТП Летние]])</f>
        <v>24.349999999999998</v>
      </c>
      <c r="AM465" s="91">
        <f>ППД5[[#This Row],[ТП общая S]]-ППД5[[#This Row],[кроме того прочая
(без коэффициента)]]</f>
        <v>22.9</v>
      </c>
      <c r="AN465" s="95">
        <f>SUM(ППД5[[#This Row],[ТП Кухня]:[ТП Коридор]])</f>
        <v>15.7</v>
      </c>
      <c r="AO465" s="91">
        <f>ППД5[[#This Row],[Расчетная ТП площадь]]-ППД5[[#This Row],[Расчетная проектная площадь]]</f>
        <v>-0.15000000000000213</v>
      </c>
      <c r="AP465" s="335">
        <f>ППД5[[#This Row],[Расчетная ТП площадь]]/ППД5[[#This Row],[Расчетная проектная площадь]]-1</f>
        <v>-6.1224489795919101E-3</v>
      </c>
      <c r="AQ465" s="91">
        <f>ППД5[[#This Row],[% расхождения]]*ППД5[[#This Row],[Стоимость до скидки]]</f>
        <v>-14349.126000000173</v>
      </c>
      <c r="AR465" s="91">
        <f>VLOOKUP(ППД5[[#This Row],[№]],наценкад5[],COLUMN(наценкад5[[#This Row],[Цена м2 с учетом всех K]]),0)</f>
        <v>91105.56</v>
      </c>
      <c r="AS465" s="8">
        <f>ППД5[[#This Row],[м2 после К]]*5%</f>
        <v>4555.2780000000002</v>
      </c>
      <c r="AT465" s="8">
        <f>ППД5[[#This Row],[м2 после К]]+ППД5[[#This Row],[Повышение 16.08.23 - 5%]]</f>
        <v>95660.838000000003</v>
      </c>
      <c r="AU465" s="93"/>
      <c r="AV465" s="93">
        <f>ППД5[[#This Row],[Фикс 16.08.23]]+ППД5[[#This Row],[Повышение 29.08.23 - 3%]]</f>
        <v>95660.838000000003</v>
      </c>
      <c r="AW465" s="93"/>
      <c r="AX465" s="93">
        <f>ППД5[[#This Row],[Фикс 29.08.23]]+ППД5[[#This Row],[Повышение 06.09.23 СТ и 1К]]</f>
        <v>95660.838000000003</v>
      </c>
      <c r="AY465" s="93"/>
      <c r="AZ465" s="93">
        <f>ППД5[[#This Row],[Повышение 23.10.23  В4 ]]+ППД5[[#This Row],[Фикс 06.09.23]]</f>
        <v>95660.838000000003</v>
      </c>
      <c r="BA465" s="93"/>
      <c r="BB465" s="93">
        <f>ППД5[[#This Row],[Повышение 8.11.23 1К 5%]]+ППД5[[#This Row],[Фикс 23.10.23]]</f>
        <v>95660.838000000003</v>
      </c>
      <c r="BC465" s="93"/>
      <c r="BD465" s="93">
        <f>ППД5[[#This Row],[Корректировка 24.11.23 - 1К В5, 2К А2, №233]]+ППД5[[#This Row],[Фикс 8.11.23]]</f>
        <v>95660.838000000003</v>
      </c>
      <c r="BE465" s="93"/>
      <c r="BF465" s="93">
        <f>ППД5[[#This Row],[Наценка за отделку 29.12.23 1%]]+ППД5[[#This Row],[Фикс 8.11.24]]</f>
        <v>95660.838000000003</v>
      </c>
      <c r="BG465" s="93"/>
      <c r="BH465" s="93">
        <f>ППД5[[#This Row],[Фикс 29.12.23]]+ППД5[[#This Row],[Наценка 10.01.24 5%]]</f>
        <v>95660.838000000003</v>
      </c>
      <c r="BI465" s="93"/>
      <c r="BJ465" s="93">
        <f>ППД5[[#This Row],[Наценка 26.02.24 1 Этаж]]+ППД5[[#This Row],[Фикс 10.01.24]]</f>
        <v>95660.838000000003</v>
      </c>
      <c r="BK465" s="93"/>
      <c r="BL465" s="93">
        <f>ППД5[[#This Row],[Фикс 26.02.24]]+ППД5[[#This Row],[Наценка 06.03.24
СТ, 1К - 3%
2К, 3К - 2%]]</f>
        <v>95660.838000000003</v>
      </c>
      <c r="BM465" s="93"/>
      <c r="BN465" s="93">
        <f>ППД5[[#This Row],[Фикс 06.03.24]]+ППД5[[#This Row],[Наценка Г2+500]]</f>
        <v>95660.838000000003</v>
      </c>
      <c r="BO465" s="93"/>
      <c r="BP465" s="93">
        <f>ППД5[[#This Row],[Фикс 13.03.25]]+ППД5[[#This Row],[Наценка 20.03.24
2К, 3К - 2%]]</f>
        <v>95660.838000000003</v>
      </c>
      <c r="BQ465" s="93"/>
      <c r="BR465" s="93">
        <f>ППД5[[#This Row],[Фикс 20.03.24]]+ППД5[[#This Row],[Наценка 08.04.24 
2К: В3 - 150
3К: Г7 +1000]]</f>
        <v>95660.838000000003</v>
      </c>
      <c r="BS465" s="93"/>
      <c r="BT465" s="93">
        <f>ППД5[[#This Row],[Фикс 08.04.24]]+ППД5[[#This Row],[Наценка 16.05.24 1%
А4,А6,Б3,Б6,Б7,В2,В3,В5,В6,Г1,Г3-Г5]]</f>
        <v>95660.838000000003</v>
      </c>
      <c r="BU465" s="93"/>
      <c r="BV465" s="93">
        <f>ППД5[[#This Row],[Фикс 16.05.24]]+ППД5[[#This Row],[Наценка 24.05.24
1% - Б4, Б5,Г2,Г6
2% - А1,А3,А5,Б2,Г7]]</f>
        <v>95660.838000000003</v>
      </c>
      <c r="BW465" s="93"/>
      <c r="BX465" s="93">
        <f>ППД5[[#This Row],[Наценка 06.06.24
0К: В2,Г3 +0,5%
1К: А7, Б5/4, Г6 +0,5%
3К: В6 +0,5%
1К: А3 +1%]]+ППД5[[#This Row],[Фикс 24.05.24]]</f>
        <v>95660.838000000003</v>
      </c>
      <c r="BY465" s="93"/>
      <c r="BZ465" s="93">
        <f>ППД5[[#This Row],[Фикс 06.06.24]]+ППД5[[#This Row],[13.06.2024
3К - 2%]]</f>
        <v>95660.838000000003</v>
      </c>
      <c r="CA465" s="93"/>
      <c r="CB465" s="93">
        <f>ППД5[[#This Row],[02.07.2024: Г3 А1 А3 Б5 Б7 Г2 Г6 Б3 Б4 В3 Г7 2,5% ост 0,5-1,5%]]+ППД5[[#This Row],[Фикс 13.06.24]]</f>
        <v>95660.838000000003</v>
      </c>
      <c r="CC465" s="93"/>
      <c r="CD465" s="93">
        <f>ППД5[[#This Row],[Фикс 02.07.24]]+ППД5[[#This Row],[04.09.2024 +500
0К - Б2; 1К - А3;
2К - А6, Б4, В3, Г5]]</f>
        <v>95660.838000000003</v>
      </c>
      <c r="CE465" s="93"/>
      <c r="CF465" s="93">
        <f>ППД5[[#This Row],[Наценка 16.09.2024
1К: А1,В7,Г6/7,Г8 - 2%
2К: А4,А5,А6,Б1,Б6,Б3/4,В3,В4,Г4,Г5 - 4%
3К: 4%]]+ППД5[[#This Row],[Фикс 04.09.24]]</f>
        <v>95660.838000000003</v>
      </c>
      <c r="CG465" s="93"/>
      <c r="CH465" s="93">
        <f>ППД5[[#This Row],[Фикс 16.09.2024]]+ППД5[[#This Row],[Наценка 01.11.24
СТ: 4%
1К: 34-40м 5%; 40м+ 8%; МГН 1%
2К: 55-70м 6%; 70-73м 7%; 73-76м 8% 
3К: 5%]]</f>
        <v>95660.838000000003</v>
      </c>
      <c r="CI465" s="93"/>
      <c r="CJ465" s="93">
        <f>ППД5[[#This Row],[Наценка 06.11 13%]]+ППД5[[#This Row],[Фикс 01.11.24]]</f>
        <v>95660.838000000003</v>
      </c>
      <c r="CK465" s="93"/>
      <c r="CL465" s="93">
        <f>ППД5[[#This Row],[Фикс 06.11.24]]+ППД5[[#This Row],[Наценка 18.12.24 распределение КВ]]</f>
        <v>95660.838000000003</v>
      </c>
      <c r="CM465" s="93"/>
      <c r="CN465" s="93">
        <f>ППД5[[#This Row],[Фикс 18.12.24]]+ППД5[[#This Row],[Наценка 10.02.25 +1%
1К: А3
2К: Б3, В3]]</f>
        <v>95660.838000000003</v>
      </c>
      <c r="CO465" s="93">
        <f>ROUND(ППД5[[#This Row],[Фикс 10.02.25]],2)</f>
        <v>95660.84</v>
      </c>
      <c r="CP46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2343690.58</v>
      </c>
      <c r="CQ465" s="93">
        <f>ROUNDUP(ППД5[[#This Row],[Стоимость до скидки]]+ППД5[[#This Row],[Сумма доплаты]],-2)</f>
        <v>2329400</v>
      </c>
      <c r="CR465" s="68"/>
      <c r="CS465" s="90"/>
      <c r="CT465" s="68">
        <f>ППД5[[#This Row],[Стоимость до скидки]]*ППД5[[#This Row],[Скидка %]]+ППД5[[#This Row],[Скидка фиксированная]]</f>
        <v>0</v>
      </c>
      <c r="CU465" s="3">
        <f>ППД5[[#This Row],[Стоимость ОН без отделки со скидкой]]/ППД5[[#This Row],[Расчетная проектная площадь]]</f>
        <v>95660.84</v>
      </c>
      <c r="CV465" s="3">
        <f>ROUND(ППД5[[#This Row],[Стоимость до скидки]]-ППД5[[#This Row],[Итоговая сумма скидки]],2)</f>
        <v>2343690.58</v>
      </c>
      <c r="CW46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65" s="197"/>
      <c r="CY465" s="332">
        <f>ППД5[[#This Row],[Расхождение]]/ППД5[[#This Row],[Расчетная проектная площадь]]</f>
        <v>-6.122448979591924E-3</v>
      </c>
      <c r="CZ46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-0.14000000000000146</v>
      </c>
      <c r="DA465" s="3">
        <f>ППД5[[#This Row],[Цена м2 без отделки со скидкой]]+ППД5[[#This Row],[Стоимость отделки]]</f>
        <v>95660.84</v>
      </c>
      <c r="DB465" s="3">
        <f>ППД5[[#This Row],[Стоимость квартиры с отделкой]]-ППД5[[#This Row],[Стоимость ОН без отделки со скидкой]]</f>
        <v>0</v>
      </c>
      <c r="DC465" s="3">
        <f>ППД5[[#This Row],[Цена м2 с отделкой]]*ППД5[[#This Row],[Расчетная проектная площадь]]</f>
        <v>2343690.58</v>
      </c>
      <c r="DD465" s="3"/>
      <c r="DF465" s="199" t="s">
        <v>172</v>
      </c>
      <c r="DG465" s="245" t="s">
        <v>172</v>
      </c>
      <c r="DH465" s="100" t="b">
        <f>EXACT(ППД5[[#This Row],[Статусы CRM]],ППД5[[#This Row],[Статус]])</f>
        <v>1</v>
      </c>
      <c r="DI465" s="213" t="s">
        <v>637</v>
      </c>
      <c r="DJ465" s="204"/>
      <c r="DK465" s="111" t="s">
        <v>76</v>
      </c>
      <c r="DL465" s="216" t="s">
        <v>12</v>
      </c>
      <c r="DM465" s="201" t="b">
        <f>ППД5[[#This Row],[Отделка CRM]]=ППД5[[#This Row],[Отделка]]</f>
        <v>1</v>
      </c>
      <c r="DN465" s="203">
        <v>2343690.58</v>
      </c>
      <c r="DO46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65" s="207" t="b">
        <f>IF(AND(ППД5[[#This Row],[Статус]]="свободно",ППД5[[#This Row],[Итоговая сумма скидки]]&lt;&gt;0),FALSE,TRUE)</f>
        <v>1</v>
      </c>
      <c r="DQ465" s="240">
        <f>_xlfn.XLOOKUP(ППД5[[#This Row],[№]],Юрист[№ кв],Юрист[Дата подачи на регистрацию]," ",0,-1)</f>
        <v>45188</v>
      </c>
      <c r="DR465" s="115" t="str">
        <f>_xlfn.XLOOKUP(ППД5[[#This Row],[№]],Юрист[№ кв],Юрист[МОП],"",0,-1)</f>
        <v>Гайганова</v>
      </c>
      <c r="DS465" s="333" t="s">
        <v>3222</v>
      </c>
      <c r="DT465" s="333" t="s">
        <v>3223</v>
      </c>
      <c r="DU465" s="333">
        <v>22.9</v>
      </c>
      <c r="DV465" s="111"/>
    </row>
    <row r="466" spans="1:126" hidden="1" x14ac:dyDescent="0.25">
      <c r="A466" s="112">
        <v>464</v>
      </c>
      <c r="B466" s="111" t="s">
        <v>2</v>
      </c>
      <c r="C466" s="111">
        <v>10</v>
      </c>
      <c r="D466" s="115">
        <v>4</v>
      </c>
      <c r="E466" s="111">
        <v>2</v>
      </c>
      <c r="F466" s="105">
        <v>14.48</v>
      </c>
      <c r="G466" s="105">
        <v>11.42</v>
      </c>
      <c r="H466" s="105"/>
      <c r="I466" s="94">
        <f>SUM(ППД5[[#This Row],[Комната 1]:[Комната 3]])</f>
        <v>25.9</v>
      </c>
      <c r="J466" s="105">
        <v>15.86</v>
      </c>
      <c r="K466" s="105">
        <v>3.01</v>
      </c>
      <c r="L466" s="105">
        <v>2.67</v>
      </c>
      <c r="M466" s="105"/>
      <c r="N466" s="105">
        <v>9.44</v>
      </c>
      <c r="O466" s="105">
        <v>2.72</v>
      </c>
      <c r="P466" s="105"/>
      <c r="Q466" s="105"/>
      <c r="R466" s="105">
        <f>SUM(ППД5[[#This Row],[Лоджия 1]:[Лоджия 3]])</f>
        <v>2.72</v>
      </c>
      <c r="S466" s="8">
        <f>ROUND(SUM(ППД5[[#This Row],[Площадь по проекту жилая]:[Лоджия 3]]),2)</f>
        <v>59.6</v>
      </c>
      <c r="T466" s="8">
        <f>ROUND(ППД5[[#This Row],[Площадь по проекту(общая)]]-ППД5[[#This Row],[Летние]],2)</f>
        <v>56.88</v>
      </c>
      <c r="U466" s="91">
        <f>ROUND(ППД5[[#This Row],[Площадь по проекту(общая)]]-(SUM(ППД5[[#This Row],[Лоджия 1]:[Лоджия 3]])/2),2)</f>
        <v>58.24</v>
      </c>
      <c r="V466" s="91">
        <f>IF(ППД5[[#This Row],[Статус]]="продажа",ППД5[[#This Row],[Расчетная проектная площадь]],ППД5[[#This Row],[Расчетная ТП площадь]])</f>
        <v>58.24</v>
      </c>
      <c r="W466" s="91">
        <v>14.6</v>
      </c>
      <c r="X466" s="91">
        <v>11.3</v>
      </c>
      <c r="Y466" s="91"/>
      <c r="Z466" s="91">
        <f>SUM(ППД5[[#This Row],[ТП Комната 1]:[ТП Комната 3]])</f>
        <v>25.9</v>
      </c>
      <c r="AA466" s="91">
        <v>15.7</v>
      </c>
      <c r="AB466" s="91">
        <v>2.7</v>
      </c>
      <c r="AC466" s="91">
        <v>3</v>
      </c>
      <c r="AD466" s="91"/>
      <c r="AE466" s="91">
        <v>9.4</v>
      </c>
      <c r="AF466" s="91">
        <v>1.35</v>
      </c>
      <c r="AG466" s="91"/>
      <c r="AH466" s="91"/>
      <c r="AI466" s="91">
        <f>SUM(ППД5[[#This Row],[ТП Лоджия 1]:[ТП Лоджия 3]])</f>
        <v>1.35</v>
      </c>
      <c r="AJ466" s="95">
        <v>2.7</v>
      </c>
      <c r="AK466" s="91">
        <f>SUM(ППД5[[#This Row],[Площадь по ТП жилая]:[ТП Лоджия 3]])-ППД5[[#This Row],[ТП Летние]]+ППД5[[#This Row],[кроме того прочая
(без коэффициента)]]</f>
        <v>59.4</v>
      </c>
      <c r="AL466" s="95">
        <f>ППД5[[#This Row],[ТП Площадь без летних]]+(ППД5[[#This Row],[ТП Летние]])</f>
        <v>58.05</v>
      </c>
      <c r="AM466" s="91">
        <f>ППД5[[#This Row],[ТП общая S]]-ППД5[[#This Row],[кроме того прочая
(без коэффициента)]]</f>
        <v>56.699999999999996</v>
      </c>
      <c r="AN466" s="95">
        <f>SUM(ППД5[[#This Row],[ТП Кухня]:[ТП Коридор]])</f>
        <v>30.799999999999997</v>
      </c>
      <c r="AO466" s="91">
        <f>ППД5[[#This Row],[Расчетная ТП площадь]]-ППД5[[#This Row],[Расчетная проектная площадь]]</f>
        <v>-0.19000000000000483</v>
      </c>
      <c r="AP466" s="335">
        <f>ППД5[[#This Row],[Расчетная ТП площадь]]/ППД5[[#This Row],[Расчетная проектная площадь]]-1</f>
        <v>-3.2623626373626813E-3</v>
      </c>
      <c r="AQ466" s="91">
        <f>ППД5[[#This Row],[% расхождения]]*ППД5[[#This Row],[Стоимость до скидки]]</f>
        <v>-18486.177884615634</v>
      </c>
      <c r="AR466" s="91">
        <f>VLOOKUP(ППД5[[#This Row],[№]],наценкад5[],COLUMN(наценкад5[[#This Row],[Цена м2 с учетом всех K]]),0)</f>
        <v>79535.67300000001</v>
      </c>
      <c r="AS466" s="8">
        <f>ППД5[[#This Row],[м2 после К]]*5%</f>
        <v>3976.7836500000008</v>
      </c>
      <c r="AT466" s="8">
        <f>ППД5[[#This Row],[м2 после К]]+ППД5[[#This Row],[Повышение 16.08.23 - 5%]]</f>
        <v>83512.456650000007</v>
      </c>
      <c r="AU466" s="93">
        <f>ППД5[[#This Row],[Фикс 16.08.23]]*3%</f>
        <v>2505.3736994999999</v>
      </c>
      <c r="AV466" s="93">
        <f>ППД5[[#This Row],[Фикс 16.08.23]]+ППД5[[#This Row],[Повышение 29.08.23 - 3%]]</f>
        <v>86017.8303495</v>
      </c>
      <c r="AW466" s="93"/>
      <c r="AX466" s="93">
        <f>ППД5[[#This Row],[Фикс 29.08.23]]+ППД5[[#This Row],[Повышение 06.09.23 СТ и 1К]]</f>
        <v>86017.8303495</v>
      </c>
      <c r="AY466" s="93"/>
      <c r="AZ466" s="93">
        <f>ППД5[[#This Row],[Повышение 23.10.23  В4 ]]+ППД5[[#This Row],[Фикс 06.09.23]]</f>
        <v>86017.8303495</v>
      </c>
      <c r="BA466" s="93"/>
      <c r="BB466" s="93">
        <f>ППД5[[#This Row],[Повышение 8.11.23 1К 5%]]+ППД5[[#This Row],[Фикс 23.10.23]]</f>
        <v>86017.8303495</v>
      </c>
      <c r="BC466" s="93"/>
      <c r="BD466" s="93">
        <f>ППД5[[#This Row],[Корректировка 24.11.23 - 1К В5, 2К А2, №233]]+ППД5[[#This Row],[Фикс 8.11.23]]</f>
        <v>86017.8303495</v>
      </c>
      <c r="BE466" s="93">
        <f>ППД5[[#This Row],[Фикс 8.11.24]]*1%</f>
        <v>860.17830349500002</v>
      </c>
      <c r="BF466" s="93">
        <f>ППД5[[#This Row],[Наценка за отделку 29.12.23 1%]]+ППД5[[#This Row],[Фикс 8.11.24]]</f>
        <v>86878.008652995006</v>
      </c>
      <c r="BG466" s="93">
        <f>ППД5[[#This Row],[Фикс 29.12.23]]*5%</f>
        <v>4343.9004326497507</v>
      </c>
      <c r="BH466" s="93">
        <f>ППД5[[#This Row],[Фикс 29.12.23]]+ППД5[[#This Row],[Наценка 10.01.24 5%]]</f>
        <v>91221.909085644758</v>
      </c>
      <c r="BI466" s="93"/>
      <c r="BJ466" s="93">
        <f>ППД5[[#This Row],[Наценка 26.02.24 1 Этаж]]+ППД5[[#This Row],[Фикс 10.01.24]]</f>
        <v>91221.909085644758</v>
      </c>
      <c r="BK466" s="93">
        <f>ППД5[[#This Row],[Фикс 26.02.24]]*2%</f>
        <v>1824.4381817128951</v>
      </c>
      <c r="BL466" s="93">
        <f>ППД5[[#This Row],[Фикс 26.02.24]]+ППД5[[#This Row],[Наценка 06.03.24
СТ, 1К - 3%
2К, 3К - 2%]]</f>
        <v>93046.347267357647</v>
      </c>
      <c r="BM466" s="93"/>
      <c r="BN466" s="93">
        <f>ППД5[[#This Row],[Фикс 06.03.24]]+ППД5[[#This Row],[Наценка Г2+500]]</f>
        <v>93046.347267357647</v>
      </c>
      <c r="BO466" s="93">
        <f>ППД5[[#This Row],[Фикс 13.03.25]]*2%</f>
        <v>1860.9269453471529</v>
      </c>
      <c r="BP466" s="93">
        <f>ППД5[[#This Row],[Фикс 13.03.25]]+ППД5[[#This Row],[Наценка 20.03.24
2К, 3К - 2%]]</f>
        <v>94907.274212704797</v>
      </c>
      <c r="BQ466" s="93"/>
      <c r="BR466" s="93">
        <f>ППД5[[#This Row],[Фикс 20.03.24]]+ППД5[[#This Row],[Наценка 08.04.24 
2К: В3 - 150
3К: Г7 +1000]]</f>
        <v>94907.274212704797</v>
      </c>
      <c r="BS466" s="93">
        <f>ППД5[[#This Row],[Фикс 08.04.24]]*1%</f>
        <v>949.07274212704795</v>
      </c>
      <c r="BT466" s="93">
        <f>ППД5[[#This Row],[Фикс 08.04.24]]+ППД5[[#This Row],[Наценка 16.05.24 1%
А4,А6,Б3,Б6,Б7,В2,В3,В5,В6,Г1,Г3-Г5]]</f>
        <v>95856.346954831839</v>
      </c>
      <c r="BU466" s="93"/>
      <c r="BV466" s="93">
        <f>ППД5[[#This Row],[Фикс 16.05.24]]+ППД5[[#This Row],[Наценка 24.05.24
1% - Б4, Б5,Г2,Г6
2% - А1,А3,А5,Б2,Г7]]</f>
        <v>95856.346954831839</v>
      </c>
      <c r="BW466" s="93"/>
      <c r="BX466" s="93">
        <f>ППД5[[#This Row],[Наценка 06.06.24
0К: В2,Г3 +0,5%
1К: А7, Б5/4, Г6 +0,5%
3К: В6 +0,5%
1К: А3 +1%]]+ППД5[[#This Row],[Фикс 24.05.24]]</f>
        <v>95856.346954831839</v>
      </c>
      <c r="BY466" s="93"/>
      <c r="BZ466" s="93">
        <f>ППД5[[#This Row],[Фикс 06.06.24]]+ППД5[[#This Row],[13.06.2024
3К - 2%]]</f>
        <v>95856.346954831839</v>
      </c>
      <c r="CA466" s="47">
        <f>1.5%*ППД5[[#This Row],[Фикс 13.06.24]]</f>
        <v>1437.8452043224775</v>
      </c>
      <c r="CB466" s="93">
        <f>ППД5[[#This Row],[02.07.2024: Г3 А1 А3 Б5 Б7 Г2 Г6 Б3 Б4 В3 Г7 2,5% ост 0,5-1,5%]]+ППД5[[#This Row],[Фикс 13.06.24]]</f>
        <v>97294.192159154321</v>
      </c>
      <c r="CC466" s="93"/>
      <c r="CD466" s="93">
        <f>ППД5[[#This Row],[Фикс 02.07.24]]+ППД5[[#This Row],[04.09.2024 +500
0К - Б2; 1К - А3;
2К - А6, Б4, В3, Г5]]</f>
        <v>97294.192159154321</v>
      </c>
      <c r="CE466" s="93"/>
      <c r="CF466" s="93">
        <f>ППД5[[#This Row],[Наценка 16.09.2024
1К: А1,В7,Г6/7,Г8 - 2%
2К: А4,А5,А6,Б1,Б6,Б3/4,В3,В4,Г4,Г5 - 4%
3К: 4%]]+ППД5[[#This Row],[Фикс 04.09.24]]</f>
        <v>97294.192159154321</v>
      </c>
      <c r="CG466" s="93"/>
      <c r="CH466" s="93">
        <f>ППД5[[#This Row],[Фикс 16.09.2024]]+ППД5[[#This Row],[Наценка 01.11.24
СТ: 4%
1К: 34-40м 5%; 40м+ 8%; МГН 1%
2К: 55-70м 6%; 70-73м 7%; 73-76м 8% 
3К: 5%]]</f>
        <v>97294.192159154321</v>
      </c>
      <c r="CI466" s="93"/>
      <c r="CJ466" s="93">
        <f>ППД5[[#This Row],[Наценка 06.11 13%]]+ППД5[[#This Row],[Фикс 01.11.24]]</f>
        <v>97294.192159154321</v>
      </c>
      <c r="CK466" s="93"/>
      <c r="CL466" s="93">
        <f>ППД5[[#This Row],[Фикс 06.11.24]]+ППД5[[#This Row],[Наценка 18.12.24 распределение КВ]]</f>
        <v>97294.192159154321</v>
      </c>
      <c r="CM466" s="93"/>
      <c r="CN466" s="93">
        <f>ППД5[[#This Row],[Фикс 18.12.24]]+ППД5[[#This Row],[Наценка 10.02.25 +1%
1К: А3
2К: Б3, В3]]</f>
        <v>97294.192159154321</v>
      </c>
      <c r="CO466" s="93">
        <f>ROUND(ППД5[[#This Row],[Фикс 10.02.25]],2)</f>
        <v>97294.19</v>
      </c>
      <c r="CP46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5666500</v>
      </c>
      <c r="CQ466" s="93">
        <f>ROUNDUP(ППД5[[#This Row],[Стоимость до скидки]]+ППД5[[#This Row],[Сумма доплаты]],-2)</f>
        <v>5648100</v>
      </c>
      <c r="CR466" s="68"/>
      <c r="CS466" s="90">
        <v>0.03</v>
      </c>
      <c r="CT466" s="68">
        <f>ППД5[[#This Row],[Стоимость до скидки]]*ППД5[[#This Row],[Скидка %]]+ППД5[[#This Row],[Скидка фиксированная]]</f>
        <v>169995</v>
      </c>
      <c r="CU466" s="3">
        <f>ППД5[[#This Row],[Стоимость ОН без отделки со скидкой]]/ППД5[[#This Row],[Расчетная проектная площадь]]</f>
        <v>94376.802884615376</v>
      </c>
      <c r="CV466" s="3">
        <f>ROUND(ППД5[[#This Row],[Стоимость до скидки]]-ППД5[[#This Row],[Итоговая сумма скидки]],2)</f>
        <v>5496505</v>
      </c>
      <c r="CW46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66" s="197">
        <v>20000</v>
      </c>
      <c r="CY466" s="332">
        <f>ППД5[[#This Row],[Расхождение]]/ППД5[[#This Row],[Расчетная проектная площадь]]</f>
        <v>-3.2623626373627203E-3</v>
      </c>
      <c r="CZ46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-0.18000000000000149</v>
      </c>
      <c r="DA466" s="3">
        <f>ППД5[[#This Row],[Цена м2 без отделки со скидкой]]+ППД5[[#This Row],[Стоимость отделки]]</f>
        <v>114376.80288461538</v>
      </c>
      <c r="DB466" s="3">
        <f>ППД5[[#This Row],[Стоимость квартиры с отделкой]]-ППД5[[#This Row],[Стоимость ОН без отделки со скидкой]]</f>
        <v>1164800</v>
      </c>
      <c r="DC466" s="3">
        <f>ППД5[[#This Row],[Цена м2 с отделкой]]*ППД5[[#This Row],[Расчетная проектная площадь]]</f>
        <v>6661305</v>
      </c>
      <c r="DD466" s="3"/>
      <c r="DE466" s="111" t="s">
        <v>767</v>
      </c>
      <c r="DF466" s="199" t="s">
        <v>172</v>
      </c>
      <c r="DG466" s="245" t="s">
        <v>172</v>
      </c>
      <c r="DH466" s="100" t="b">
        <f>EXACT(ППД5[[#This Row],[Статусы CRM]],ППД5[[#This Row],[Статус]])</f>
        <v>1</v>
      </c>
      <c r="DI466" s="213" t="s">
        <v>638</v>
      </c>
      <c r="DJ466" s="204"/>
      <c r="DK466" s="111" t="s">
        <v>763</v>
      </c>
      <c r="DL466" s="216" t="s">
        <v>14</v>
      </c>
      <c r="DM466" s="201" t="b">
        <f>ППД5[[#This Row],[Отделка CRM]]=ППД5[[#This Row],[Отделка]]</f>
        <v>1</v>
      </c>
      <c r="DN466" s="203">
        <v>6661305</v>
      </c>
      <c r="DO46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66" s="207" t="b">
        <f>IF(AND(ППД5[[#This Row],[Статус]]="свободно",ППД5[[#This Row],[Итоговая сумма скидки]]&lt;&gt;0),FALSE,TRUE)</f>
        <v>1</v>
      </c>
      <c r="DQ466" s="240">
        <f>_xlfn.XLOOKUP(ППД5[[#This Row],[№]],Юрист[№ кв],Юрист[Дата подачи на регистрацию]," ",0,-1)</f>
        <v>45548</v>
      </c>
      <c r="DR466" s="115" t="str">
        <f>_xlfn.XLOOKUP(ППД5[[#This Row],[№]],Юрист[№ кв],Юрист[МОП],"",0,-1)</f>
        <v>Никишов</v>
      </c>
      <c r="DS466" s="333" t="s">
        <v>3224</v>
      </c>
      <c r="DT466" s="333" t="s">
        <v>3225</v>
      </c>
      <c r="DU466" s="333">
        <v>56.7</v>
      </c>
      <c r="DV466" s="111"/>
    </row>
    <row r="467" spans="1:126" hidden="1" x14ac:dyDescent="0.25">
      <c r="A467" s="112">
        <v>465</v>
      </c>
      <c r="B467" s="111" t="s">
        <v>2</v>
      </c>
      <c r="C467" s="111">
        <v>10</v>
      </c>
      <c r="D467" s="115">
        <v>5</v>
      </c>
      <c r="E467" s="111">
        <v>2</v>
      </c>
      <c r="F467" s="105">
        <v>15.41</v>
      </c>
      <c r="G467" s="105">
        <v>12.78</v>
      </c>
      <c r="H467" s="105"/>
      <c r="I467" s="94">
        <f>SUM(ППД5[[#This Row],[Комната 1]:[Комната 3]])</f>
        <v>28.189999999999998</v>
      </c>
      <c r="J467" s="105">
        <v>13.45</v>
      </c>
      <c r="K467" s="105">
        <v>3.7</v>
      </c>
      <c r="L467" s="105">
        <v>2.72</v>
      </c>
      <c r="M467" s="105"/>
      <c r="N467" s="105">
        <v>8.2200000000000006</v>
      </c>
      <c r="O467" s="105">
        <v>3.03</v>
      </c>
      <c r="P467" s="105"/>
      <c r="Q467" s="105"/>
      <c r="R467" s="105">
        <f>SUM(ППД5[[#This Row],[Лоджия 1]:[Лоджия 3]])</f>
        <v>3.03</v>
      </c>
      <c r="S467" s="8">
        <f>ROUND(SUM(ППД5[[#This Row],[Площадь по проекту жилая]:[Лоджия 3]]),2)</f>
        <v>59.31</v>
      </c>
      <c r="T467" s="8">
        <f>ROUND(ППД5[[#This Row],[Площадь по проекту(общая)]]-ППД5[[#This Row],[Летние]],2)</f>
        <v>56.28</v>
      </c>
      <c r="U467" s="91">
        <f>ROUND(ППД5[[#This Row],[Площадь по проекту(общая)]]-(SUM(ППД5[[#This Row],[Лоджия 1]:[Лоджия 3]])/2),2)</f>
        <v>57.8</v>
      </c>
      <c r="V467" s="91">
        <f>IF(ППД5[[#This Row],[Статус]]="продажа",ППД5[[#This Row],[Расчетная проектная площадь]],ППД5[[#This Row],[Расчетная ТП площадь]])</f>
        <v>57.8</v>
      </c>
      <c r="W467" s="91">
        <v>12.6</v>
      </c>
      <c r="X467" s="91">
        <v>15.5</v>
      </c>
      <c r="Y467" s="91"/>
      <c r="Z467" s="91">
        <f>SUM(ППД5[[#This Row],[ТП Комната 1]:[ТП Комната 3]])</f>
        <v>28.1</v>
      </c>
      <c r="AA467" s="91">
        <v>13.4</v>
      </c>
      <c r="AB467" s="91">
        <v>2.8</v>
      </c>
      <c r="AC467" s="91">
        <v>3.6</v>
      </c>
      <c r="AD467" s="91"/>
      <c r="AE467" s="91">
        <v>8</v>
      </c>
      <c r="AF467" s="91">
        <v>1.55</v>
      </c>
      <c r="AG467" s="91"/>
      <c r="AH467" s="91"/>
      <c r="AI467" s="91">
        <f>SUM(ППД5[[#This Row],[ТП Лоджия 1]:[ТП Лоджия 3]])</f>
        <v>1.55</v>
      </c>
      <c r="AJ467" s="95">
        <v>3.1</v>
      </c>
      <c r="AK467" s="91">
        <f>SUM(ППД5[[#This Row],[Площадь по ТП жилая]:[ТП Лоджия 3]])-ППД5[[#This Row],[ТП Летние]]+ППД5[[#This Row],[кроме того прочая
(без коэффициента)]]</f>
        <v>59</v>
      </c>
      <c r="AL467" s="95">
        <f>ППД5[[#This Row],[ТП Площадь без летних]]+(ППД5[[#This Row],[ТП Летние]])</f>
        <v>57.449999999999996</v>
      </c>
      <c r="AM467" s="91">
        <f>ППД5[[#This Row],[ТП общая S]]-ППД5[[#This Row],[кроме того прочая
(без коэффициента)]]</f>
        <v>55.9</v>
      </c>
      <c r="AN467" s="95">
        <f>SUM(ППД5[[#This Row],[ТП Кухня]:[ТП Коридор]])</f>
        <v>27.8</v>
      </c>
      <c r="AO467" s="91">
        <f>ППД5[[#This Row],[Расчетная ТП площадь]]-ППД5[[#This Row],[Расчетная проектная площадь]]</f>
        <v>-0.35000000000000142</v>
      </c>
      <c r="AP467" s="335">
        <f>ППД5[[#This Row],[Расчетная ТП площадь]]/ППД5[[#This Row],[Расчетная проектная площадь]]-1</f>
        <v>-6.0553633217993452E-3</v>
      </c>
      <c r="AQ467" s="91">
        <f>ППД5[[#This Row],[% расхождения]]*ППД5[[#This Row],[Стоимость до скидки]]</f>
        <v>-42445.069204152511</v>
      </c>
      <c r="AR467" s="91">
        <f>VLOOKUP(ППД5[[#This Row],[№]],наценкад5[],COLUMN(наценкад5[[#This Row],[Цена м2 с учетом всех K]]),0)</f>
        <v>79149.577499999999</v>
      </c>
      <c r="AS467" s="8">
        <f>ППД5[[#This Row],[м2 после К]]*5%</f>
        <v>3957.4788750000002</v>
      </c>
      <c r="AT467" s="8">
        <f>ППД5[[#This Row],[м2 после К]]+ППД5[[#This Row],[Повышение 16.08.23 - 5%]]</f>
        <v>83107.056375</v>
      </c>
      <c r="AU467" s="93">
        <f>ППД5[[#This Row],[Фикс 16.08.23]]*3%</f>
        <v>2493.2116912500001</v>
      </c>
      <c r="AV467" s="93">
        <f>ППД5[[#This Row],[Фикс 16.08.23]]+ППД5[[#This Row],[Повышение 29.08.23 - 3%]]</f>
        <v>85600.268066250006</v>
      </c>
      <c r="AW467" s="93"/>
      <c r="AX467" s="93">
        <f>ППД5[[#This Row],[Фикс 29.08.23]]+ППД5[[#This Row],[Повышение 06.09.23 СТ и 1К]]</f>
        <v>85600.268066250006</v>
      </c>
      <c r="AY467" s="93"/>
      <c r="AZ467" s="93">
        <f>ППД5[[#This Row],[Повышение 23.10.23  В4 ]]+ППД5[[#This Row],[Фикс 06.09.23]]</f>
        <v>85600.268066250006</v>
      </c>
      <c r="BA467" s="93"/>
      <c r="BB467" s="93">
        <f>ППД5[[#This Row],[Повышение 8.11.23 1К 5%]]+ППД5[[#This Row],[Фикс 23.10.23]]</f>
        <v>85600.268066250006</v>
      </c>
      <c r="BC467" s="93"/>
      <c r="BD467" s="93">
        <f>ППД5[[#This Row],[Корректировка 24.11.23 - 1К В5, 2К А2, №233]]+ППД5[[#This Row],[Фикс 8.11.23]]</f>
        <v>85600.268066250006</v>
      </c>
      <c r="BE467" s="93">
        <f>ППД5[[#This Row],[Фикс 8.11.24]]*1%</f>
        <v>856.0026806625001</v>
      </c>
      <c r="BF467" s="93">
        <f>ППД5[[#This Row],[Наценка за отделку 29.12.23 1%]]+ППД5[[#This Row],[Фикс 8.11.24]]</f>
        <v>86456.270746912502</v>
      </c>
      <c r="BG467" s="93">
        <f>ППД5[[#This Row],[Фикс 29.12.23]]*5%</f>
        <v>4322.8135373456253</v>
      </c>
      <c r="BH467" s="93">
        <f>ППД5[[#This Row],[Фикс 29.12.23]]+ППД5[[#This Row],[Наценка 10.01.24 5%]]</f>
        <v>90779.084284258133</v>
      </c>
      <c r="BI467" s="93"/>
      <c r="BJ467" s="93">
        <f>ППД5[[#This Row],[Наценка 26.02.24 1 Этаж]]+ППД5[[#This Row],[Фикс 10.01.24]]</f>
        <v>90779.084284258133</v>
      </c>
      <c r="BK467" s="93">
        <f>ППД5[[#This Row],[Фикс 26.02.24]]*2%</f>
        <v>1815.5816856851627</v>
      </c>
      <c r="BL467" s="93">
        <f>ППД5[[#This Row],[Фикс 26.02.24]]+ППД5[[#This Row],[Наценка 06.03.24
СТ, 1К - 3%
2К, 3К - 2%]]</f>
        <v>92594.665969943293</v>
      </c>
      <c r="BM467" s="93"/>
      <c r="BN467" s="93">
        <f>ППД5[[#This Row],[Фикс 06.03.24]]+ППД5[[#This Row],[Наценка Г2+500]]</f>
        <v>92594.665969943293</v>
      </c>
      <c r="BO467" s="93">
        <f>ППД5[[#This Row],[Фикс 13.03.25]]*2%</f>
        <v>1851.893319398866</v>
      </c>
      <c r="BP467" s="93">
        <f>ППД5[[#This Row],[Фикс 13.03.25]]+ППД5[[#This Row],[Наценка 20.03.24
2К, 3К - 2%]]</f>
        <v>94446.559289342156</v>
      </c>
      <c r="BQ467" s="93"/>
      <c r="BR467" s="93">
        <f>ППД5[[#This Row],[Фикс 20.03.24]]+ППД5[[#This Row],[Наценка 08.04.24 
2К: В3 - 150
3К: Г7 +1000]]</f>
        <v>94446.559289342156</v>
      </c>
      <c r="BS467" s="93">
        <f>ППД5[[#This Row],[Фикс 08.04.24]]*1%</f>
        <v>944.46559289342156</v>
      </c>
      <c r="BT467" s="93">
        <f>ППД5[[#This Row],[Фикс 08.04.24]]+ППД5[[#This Row],[Наценка 16.05.24 1%
А4,А6,Б3,Б6,Б7,В2,В3,В5,В6,Г1,Г3-Г5]]</f>
        <v>95391.024882235579</v>
      </c>
      <c r="BU467" s="93"/>
      <c r="BV467" s="93">
        <f>ППД5[[#This Row],[Фикс 16.05.24]]+ППД5[[#This Row],[Наценка 24.05.24
1% - Б4, Б5,Г2,Г6
2% - А1,А3,А5,Б2,Г7]]</f>
        <v>95391.024882235579</v>
      </c>
      <c r="BW467" s="93"/>
      <c r="BX467" s="93">
        <f>ППД5[[#This Row],[Наценка 06.06.24
0К: В2,Г3 +0,5%
1К: А7, Б5/4, Г6 +0,5%
3К: В6 +0,5%
1К: А3 +1%]]+ППД5[[#This Row],[Фикс 24.05.24]]</f>
        <v>95391.024882235579</v>
      </c>
      <c r="BY467" s="93"/>
      <c r="BZ467" s="93">
        <f>ППД5[[#This Row],[Фикс 06.06.24]]+ППД5[[#This Row],[13.06.2024
3К - 2%]]</f>
        <v>95391.024882235579</v>
      </c>
      <c r="CA467" s="47">
        <f>1.5%*ППД5[[#This Row],[Фикс 13.06.24]]</f>
        <v>1430.8653732335335</v>
      </c>
      <c r="CB467" s="93">
        <f>ППД5[[#This Row],[02.07.2024: Г3 А1 А3 Б5 Б7 Г2 Г6 Б3 Б4 В3 Г7 2,5% ост 0,5-1,5%]]+ППД5[[#This Row],[Фикс 13.06.24]]</f>
        <v>96821.890255469116</v>
      </c>
      <c r="CC467" s="93">
        <v>500</v>
      </c>
      <c r="CD467" s="93">
        <f>ППД5[[#This Row],[Фикс 02.07.24]]+ППД5[[#This Row],[04.09.2024 +500
0К - Б2; 1К - А3;
2К - А6, Б4, В3, Г5]]</f>
        <v>97321.890255469116</v>
      </c>
      <c r="CE467" s="93">
        <f>ППД5[[#This Row],[Фикс 04.09.24]]*4%</f>
        <v>3892.8756102187649</v>
      </c>
      <c r="CF467" s="93">
        <f>ППД5[[#This Row],[Наценка 16.09.2024
1К: А1,В7,Г6/7,Г8 - 2%
2К: А4,А5,А6,Б1,Б6,Б3/4,В3,В4,Г4,Г5 - 4%
3К: 4%]]+ППД5[[#This Row],[Фикс 04.09.24]]</f>
        <v>101214.76586568788</v>
      </c>
      <c r="CG467" s="93">
        <f>ППД5[[#This Row],[Фикс 16.09.2024]]*6%</f>
        <v>6072.8859519412727</v>
      </c>
      <c r="CH467" s="93">
        <f>ППД5[[#This Row],[Фикс 16.09.2024]]+ППД5[[#This Row],[Наценка 01.11.24
СТ: 4%
1К: 34-40м 5%; 40м+ 8%; МГН 1%
2К: 55-70м 6%; 70-73м 7%; 73-76м 8% 
3К: 5%]]</f>
        <v>107287.65181762914</v>
      </c>
      <c r="CI467" s="93">
        <f>ППД5[[#This Row],[Фикс 01.11.24]]*13%</f>
        <v>13947.39473629179</v>
      </c>
      <c r="CJ467" s="93">
        <f>ППД5[[#This Row],[Наценка 06.11 13%]]+ППД5[[#This Row],[Фикс 01.11.24]]</f>
        <v>121235.04655392093</v>
      </c>
      <c r="CK467" s="93">
        <v>35</v>
      </c>
      <c r="CL467" s="93">
        <f>ППД5[[#This Row],[Фикс 06.11.24]]+ППД5[[#This Row],[Наценка 18.12.24 распределение КВ]]</f>
        <v>121270.04655392093</v>
      </c>
      <c r="CM467" s="93"/>
      <c r="CN467" s="93">
        <f>ППД5[[#This Row],[Фикс 18.12.24]]+ППД5[[#This Row],[Наценка 10.02.25 +1%
1К: А3
2К: Б3, В3]]</f>
        <v>121270.04655392093</v>
      </c>
      <c r="CO467" s="93">
        <f>ROUND(ППД5[[#This Row],[Фикс 10.02.25]],2)</f>
        <v>121270.05</v>
      </c>
      <c r="CP46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7009500</v>
      </c>
      <c r="CQ467" s="93">
        <f>ROUNDUP(ППД5[[#This Row],[Стоимость до скидки]]+ППД5[[#This Row],[Сумма доплаты]],-2)</f>
        <v>6967100</v>
      </c>
      <c r="CR467" s="68">
        <v>300000</v>
      </c>
      <c r="CS467" s="90">
        <v>0.03</v>
      </c>
      <c r="CT467" s="68">
        <f>ППД5[[#This Row],[Стоимость до скидки]]*ППД5[[#This Row],[Скидка %]]+ППД5[[#This Row],[Скидка фиксированная]]</f>
        <v>510285</v>
      </c>
      <c r="CU467" s="3">
        <f>ППД5[[#This Row],[Стоимость ОН без отделки со скидкой]]/ППД5[[#This Row],[Расчетная проектная площадь]]</f>
        <v>112443.16608996541</v>
      </c>
      <c r="CV467" s="3">
        <f>ROUND(ППД5[[#This Row],[Стоимость до скидки]]-ППД5[[#This Row],[Итоговая сумма скидки]],2)</f>
        <v>6499215</v>
      </c>
      <c r="CW46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467" s="197">
        <v>10000</v>
      </c>
      <c r="CY467" s="332">
        <f>ППД5[[#This Row],[Расхождение]]/ППД5[[#This Row],[Расчетная проектная площадь]]</f>
        <v>-6.0553633217993331E-3</v>
      </c>
      <c r="CZ46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-0.28999999999999915</v>
      </c>
      <c r="DA467" s="3">
        <f>ППД5[[#This Row],[Цена м2 без отделки со скидкой]]+ППД5[[#This Row],[Стоимость отделки]]</f>
        <v>122443.16608996541</v>
      </c>
      <c r="DB467" s="3">
        <f>ППД5[[#This Row],[Стоимость квартиры с отделкой]]-ППД5[[#This Row],[Стоимость ОН без отделки со скидкой]]</f>
        <v>578000</v>
      </c>
      <c r="DC467" s="3">
        <f>ППД5[[#This Row],[Цена м2 с отделкой]]*ППД5[[#This Row],[Расчетная проектная площадь]]</f>
        <v>7077215</v>
      </c>
      <c r="DD467" s="3"/>
      <c r="DE467" s="111" t="s">
        <v>2113</v>
      </c>
      <c r="DF467" s="199" t="s">
        <v>172</v>
      </c>
      <c r="DG467" s="221" t="s">
        <v>172</v>
      </c>
      <c r="DH467" s="100" t="b">
        <f>EXACT(ППД5[[#This Row],[Статусы CRM]],ППД5[[#This Row],[Статус]])</f>
        <v>1</v>
      </c>
      <c r="DI467" s="213" t="s">
        <v>639</v>
      </c>
      <c r="DJ467" s="204"/>
      <c r="DK467" s="111" t="s">
        <v>763</v>
      </c>
      <c r="DL467" s="216" t="s">
        <v>780</v>
      </c>
      <c r="DM467" s="201" t="b">
        <f>ППД5[[#This Row],[Отделка CRM]]=ППД5[[#This Row],[Отделка]]</f>
        <v>1</v>
      </c>
      <c r="DN467" s="203">
        <v>7077215</v>
      </c>
      <c r="DO46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67" s="207" t="b">
        <f>IF(AND(ППД5[[#This Row],[Статус]]="свободно",ППД5[[#This Row],[Итоговая сумма скидки]]&lt;&gt;0),FALSE,TRUE)</f>
        <v>1</v>
      </c>
      <c r="DQ467" s="240">
        <f>_xlfn.XLOOKUP(ППД5[[#This Row],[№]],Юрист[№ кв],Юрист[Дата подачи на регистрацию]," ",0,-1)</f>
        <v>45807</v>
      </c>
      <c r="DR467" s="115" t="str">
        <f>_xlfn.XLOOKUP(ППД5[[#This Row],[№]],Юрист[№ кв],Юрист[МОП],"",0,-1)</f>
        <v>Полехович</v>
      </c>
      <c r="DS467" s="333" t="s">
        <v>3226</v>
      </c>
      <c r="DT467" s="333" t="s">
        <v>3227</v>
      </c>
      <c r="DU467" s="333">
        <v>55.9</v>
      </c>
      <c r="DV467" s="111"/>
    </row>
    <row r="468" spans="1:126" hidden="1" x14ac:dyDescent="0.25">
      <c r="A468" s="112">
        <v>466</v>
      </c>
      <c r="B468" s="111" t="s">
        <v>2</v>
      </c>
      <c r="C468" s="111">
        <v>10</v>
      </c>
      <c r="D468" s="115">
        <v>6</v>
      </c>
      <c r="E468" s="111">
        <v>1</v>
      </c>
      <c r="F468" s="105">
        <v>12.71</v>
      </c>
      <c r="G468" s="105"/>
      <c r="H468" s="105"/>
      <c r="I468" s="94">
        <f>SUM(ППД5[[#This Row],[Комната 1]:[Комната 3]])</f>
        <v>12.71</v>
      </c>
      <c r="J468" s="105">
        <v>12.55</v>
      </c>
      <c r="K468" s="105">
        <v>4.28</v>
      </c>
      <c r="L468" s="105"/>
      <c r="M468" s="105"/>
      <c r="N468" s="105">
        <v>7.34</v>
      </c>
      <c r="O468" s="105">
        <v>2.84</v>
      </c>
      <c r="P468" s="105"/>
      <c r="Q468" s="105"/>
      <c r="R468" s="105">
        <f>SUM(ППД5[[#This Row],[Лоджия 1]:[Лоджия 3]])</f>
        <v>2.84</v>
      </c>
      <c r="S468" s="8">
        <f>ROUND(SUM(ППД5[[#This Row],[Площадь по проекту жилая]:[Лоджия 3]]),2)</f>
        <v>39.72</v>
      </c>
      <c r="T468" s="8">
        <f>ROUND(ППД5[[#This Row],[Площадь по проекту(общая)]]-ППД5[[#This Row],[Летние]],2)</f>
        <v>36.880000000000003</v>
      </c>
      <c r="U468" s="91">
        <f>ROUND(ППД5[[#This Row],[Площадь по проекту(общая)]]-(SUM(ППД5[[#This Row],[Лоджия 1]:[Лоджия 3]])/2),2)</f>
        <v>38.299999999999997</v>
      </c>
      <c r="V468" s="91">
        <f>IF(ППД5[[#This Row],[Статус]]="продажа",ППД5[[#This Row],[Расчетная проектная площадь]],ППД5[[#This Row],[Расчетная ТП площадь]])</f>
        <v>38.299999999999997</v>
      </c>
      <c r="W468" s="91">
        <v>12.5</v>
      </c>
      <c r="X468" s="91"/>
      <c r="Y468" s="91"/>
      <c r="Z468" s="91">
        <f>SUM(ППД5[[#This Row],[ТП Комната 1]:[ТП Комната 3]])</f>
        <v>12.5</v>
      </c>
      <c r="AA468" s="91">
        <v>12.4</v>
      </c>
      <c r="AB468" s="91">
        <v>4.0999999999999996</v>
      </c>
      <c r="AC468" s="91"/>
      <c r="AD468" s="91"/>
      <c r="AE468" s="91">
        <v>7.3</v>
      </c>
      <c r="AF468" s="91">
        <v>1.4</v>
      </c>
      <c r="AG468" s="91"/>
      <c r="AH468" s="91"/>
      <c r="AI468" s="91">
        <f>SUM(ППД5[[#This Row],[ТП Лоджия 1]:[ТП Лоджия 3]])</f>
        <v>1.4</v>
      </c>
      <c r="AJ468" s="95">
        <v>2.8</v>
      </c>
      <c r="AK468" s="91">
        <f>SUM(ППД5[[#This Row],[Площадь по ТП жилая]:[ТП Лоджия 3]])-ППД5[[#This Row],[ТП Летние]]+ППД5[[#This Row],[кроме того прочая
(без коэффициента)]]</f>
        <v>39.099999999999994</v>
      </c>
      <c r="AL468" s="95">
        <f>ППД5[[#This Row],[ТП Площадь без летних]]+(ППД5[[#This Row],[ТП Летние]])</f>
        <v>37.699999999999996</v>
      </c>
      <c r="AM468" s="91">
        <f>ППД5[[#This Row],[ТП общая S]]-ППД5[[#This Row],[кроме того прочая
(без коэффициента)]]</f>
        <v>36.299999999999997</v>
      </c>
      <c r="AN468" s="95">
        <f>SUM(ППД5[[#This Row],[ТП Кухня]:[ТП Коридор]])</f>
        <v>23.8</v>
      </c>
      <c r="AO468" s="91">
        <f>ППД5[[#This Row],[Расчетная ТП площадь]]-ППД5[[#This Row],[Расчетная проектная площадь]]</f>
        <v>-0.60000000000000142</v>
      </c>
      <c r="AP468" s="335">
        <f>ППД5[[#This Row],[Расчетная ТП площадь]]/ППД5[[#This Row],[Расчетная проектная площадь]]-1</f>
        <v>-1.5665796344647598E-2</v>
      </c>
      <c r="AQ468" s="91">
        <f>ППД5[[#This Row],[% расхождения]]*ППД5[[#This Row],[Стоимость до скидки]]</f>
        <v>-55188.947937337085</v>
      </c>
      <c r="AR468" s="91">
        <f>VLOOKUP(ППД5[[#This Row],[№]],наценкад5[],COLUMN(наценкад5[[#This Row],[Цена м2 с учетом всех K]]),0)</f>
        <v>87601.5</v>
      </c>
      <c r="AS468" s="8">
        <f>ППД5[[#This Row],[м2 после К]]*5%</f>
        <v>4380.0749999999998</v>
      </c>
      <c r="AT468" s="8">
        <f>ППД5[[#This Row],[м2 после К]]+ППД5[[#This Row],[Повышение 16.08.23 - 5%]]</f>
        <v>91981.574999999997</v>
      </c>
      <c r="AU468" s="93"/>
      <c r="AV468" s="93">
        <f>ППД5[[#This Row],[Фикс 16.08.23]]+ППД5[[#This Row],[Повышение 29.08.23 - 3%]]</f>
        <v>91981.574999999997</v>
      </c>
      <c r="AW468" s="93"/>
      <c r="AX468" s="93">
        <f>ППД5[[#This Row],[Фикс 29.08.23]]+ППД5[[#This Row],[Повышение 06.09.23 СТ и 1К]]</f>
        <v>91981.574999999997</v>
      </c>
      <c r="AY468" s="93"/>
      <c r="AZ468" s="93">
        <f>ППД5[[#This Row],[Повышение 23.10.23  В4 ]]+ППД5[[#This Row],[Фикс 06.09.23]]</f>
        <v>91981.574999999997</v>
      </c>
      <c r="BA468" s="93"/>
      <c r="BB468" s="93">
        <f>ППД5[[#This Row],[Повышение 8.11.23 1К 5%]]+ППД5[[#This Row],[Фикс 23.10.23]]</f>
        <v>91981.574999999997</v>
      </c>
      <c r="BC468" s="93"/>
      <c r="BD468" s="93">
        <f>ППД5[[#This Row],[Корректировка 24.11.23 - 1К В5, 2К А2, №233]]+ППД5[[#This Row],[Фикс 8.11.23]]</f>
        <v>91981.574999999997</v>
      </c>
      <c r="BE468" s="93"/>
      <c r="BF468" s="93">
        <f>ППД5[[#This Row],[Наценка за отделку 29.12.23 1%]]+ППД5[[#This Row],[Фикс 8.11.24]]</f>
        <v>91981.574999999997</v>
      </c>
      <c r="BG468" s="93"/>
      <c r="BH468" s="93">
        <f>ППД5[[#This Row],[Фикс 29.12.23]]+ППД5[[#This Row],[Наценка 10.01.24 5%]]</f>
        <v>91981.574999999997</v>
      </c>
      <c r="BI468" s="93"/>
      <c r="BJ468" s="93">
        <f>ППД5[[#This Row],[Наценка 26.02.24 1 Этаж]]+ППД5[[#This Row],[Фикс 10.01.24]]</f>
        <v>91981.574999999997</v>
      </c>
      <c r="BK468" s="93"/>
      <c r="BL468" s="93">
        <f>ППД5[[#This Row],[Фикс 26.02.24]]+ППД5[[#This Row],[Наценка 06.03.24
СТ, 1К - 3%
2К, 3К - 2%]]</f>
        <v>91981.574999999997</v>
      </c>
      <c r="BM468" s="93"/>
      <c r="BN468" s="93">
        <f>ППД5[[#This Row],[Фикс 06.03.24]]+ППД5[[#This Row],[Наценка Г2+500]]</f>
        <v>91981.574999999997</v>
      </c>
      <c r="BO468" s="93"/>
      <c r="BP468" s="93">
        <f>ППД5[[#This Row],[Фикс 13.03.25]]+ППД5[[#This Row],[Наценка 20.03.24
2К, 3К - 2%]]</f>
        <v>91981.574999999997</v>
      </c>
      <c r="BQ468" s="93"/>
      <c r="BR468" s="93">
        <f>ППД5[[#This Row],[Фикс 20.03.24]]+ППД5[[#This Row],[Наценка 08.04.24 
2К: В3 - 150
3К: Г7 +1000]]</f>
        <v>91981.574999999997</v>
      </c>
      <c r="BS468" s="93"/>
      <c r="BT468" s="93">
        <f>ППД5[[#This Row],[Фикс 08.04.24]]+ППД5[[#This Row],[Наценка 16.05.24 1%
А4,А6,Б3,Б6,Б7,В2,В3,В5,В6,Г1,Г3-Г5]]</f>
        <v>91981.574999999997</v>
      </c>
      <c r="BU468" s="93"/>
      <c r="BV468" s="93">
        <f>ППД5[[#This Row],[Фикс 16.05.24]]+ППД5[[#This Row],[Наценка 24.05.24
1% - Б4, Б5,Г2,Г6
2% - А1,А3,А5,Б2,Г7]]</f>
        <v>91981.574999999997</v>
      </c>
      <c r="BW468" s="93"/>
      <c r="BX468" s="93">
        <f>ППД5[[#This Row],[Наценка 06.06.24
0К: В2,Г3 +0,5%
1К: А7, Б5/4, Г6 +0,5%
3К: В6 +0,5%
1К: А3 +1%]]+ППД5[[#This Row],[Фикс 24.05.24]]</f>
        <v>91981.574999999997</v>
      </c>
      <c r="BY468" s="93"/>
      <c r="BZ468" s="93">
        <f>ППД5[[#This Row],[Фикс 06.06.24]]+ППД5[[#This Row],[13.06.2024
3К - 2%]]</f>
        <v>91981.574999999997</v>
      </c>
      <c r="CA468" s="93"/>
      <c r="CB468" s="93">
        <f>ППД5[[#This Row],[02.07.2024: Г3 А1 А3 Б5 Б7 Г2 Г6 Б3 Б4 В3 Г7 2,5% ост 0,5-1,5%]]+ППД5[[#This Row],[Фикс 13.06.24]]</f>
        <v>91981.574999999997</v>
      </c>
      <c r="CC468" s="93"/>
      <c r="CD468" s="93">
        <f>ППД5[[#This Row],[Фикс 02.07.24]]+ППД5[[#This Row],[04.09.2024 +500
0К - Б2; 1К - А3;
2К - А6, Б4, В3, Г5]]</f>
        <v>91981.574999999997</v>
      </c>
      <c r="CE468" s="93"/>
      <c r="CF468" s="93">
        <f>ППД5[[#This Row],[Наценка 16.09.2024
1К: А1,В7,Г6/7,Г8 - 2%
2К: А4,А5,А6,Б1,Б6,Б3/4,В3,В4,Г4,Г5 - 4%
3К: 4%]]+ППД5[[#This Row],[Фикс 04.09.24]]</f>
        <v>91981.574999999997</v>
      </c>
      <c r="CG468" s="93"/>
      <c r="CH468" s="93">
        <f>ППД5[[#This Row],[Фикс 16.09.2024]]+ППД5[[#This Row],[Наценка 01.11.24
СТ: 4%
1К: 34-40м 5%; 40м+ 8%; МГН 1%
2К: 55-70м 6%; 70-73м 7%; 73-76м 8% 
3К: 5%]]</f>
        <v>91981.574999999997</v>
      </c>
      <c r="CI468" s="93"/>
      <c r="CJ468" s="93">
        <f>ППД5[[#This Row],[Наценка 06.11 13%]]+ППД5[[#This Row],[Фикс 01.11.24]]</f>
        <v>91981.574999999997</v>
      </c>
      <c r="CK468" s="93"/>
      <c r="CL468" s="93">
        <f>ППД5[[#This Row],[Фикс 06.11.24]]+ППД5[[#This Row],[Наценка 18.12.24 распределение КВ]]</f>
        <v>91981.574999999997</v>
      </c>
      <c r="CM468" s="93"/>
      <c r="CN468" s="93">
        <f>ППД5[[#This Row],[Фикс 18.12.24]]+ППД5[[#This Row],[Наценка 10.02.25 +1%
1К: А3
2К: Б3, В3]]</f>
        <v>91981.574999999997</v>
      </c>
      <c r="CO468" s="93">
        <f>ROUND(ППД5[[#This Row],[Фикс 10.02.25]],2)</f>
        <v>91981.58</v>
      </c>
      <c r="CP46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3522894.51</v>
      </c>
      <c r="CQ468" s="93">
        <f>ROUNDUP(ППД5[[#This Row],[Стоимость до скидки]]+ППД5[[#This Row],[Сумма доплаты]],-2)</f>
        <v>3467800</v>
      </c>
      <c r="CR468" s="68"/>
      <c r="CS468" s="90"/>
      <c r="CT468" s="68">
        <f>ППД5[[#This Row],[Стоимость до скидки]]*ППД5[[#This Row],[Скидка %]]+ППД5[[#This Row],[Скидка фиксированная]]</f>
        <v>0</v>
      </c>
      <c r="CU468" s="3">
        <f>ППД5[[#This Row],[Стоимость ОН без отделки со скидкой]]/ППД5[[#This Row],[Расчетная проектная площадь]]</f>
        <v>91981.579895561357</v>
      </c>
      <c r="CV468" s="3">
        <f>ROUND(ППД5[[#This Row],[Стоимость до скидки]]-ППД5[[#This Row],[Итоговая сумма скидки]],2)</f>
        <v>3522894.51</v>
      </c>
      <c r="CW46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68" s="197"/>
      <c r="CY468" s="332">
        <f>ППД5[[#This Row],[Расхождение]]/ППД5[[#This Row],[Расчетная проектная площадь]]</f>
        <v>-1.5665796344647556E-2</v>
      </c>
      <c r="CZ46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-0.37000000000000099</v>
      </c>
      <c r="DA468" s="3">
        <f>ППД5[[#This Row],[Цена м2 без отделки со скидкой]]+ППД5[[#This Row],[Стоимость отделки]]</f>
        <v>91981.579895561357</v>
      </c>
      <c r="DB468" s="3">
        <f>ППД5[[#This Row],[Стоимость квартиры с отделкой]]-ППД5[[#This Row],[Стоимость ОН без отделки со скидкой]]</f>
        <v>0</v>
      </c>
      <c r="DC468" s="3">
        <f>ППД5[[#This Row],[Цена м2 с отделкой]]*ППД5[[#This Row],[Расчетная проектная площадь]]</f>
        <v>3522894.51</v>
      </c>
      <c r="DD468" s="3"/>
      <c r="DF468" s="199" t="s">
        <v>172</v>
      </c>
      <c r="DG468" s="245" t="s">
        <v>172</v>
      </c>
      <c r="DH468" s="100" t="b">
        <f>EXACT(ППД5[[#This Row],[Статусы CRM]],ППД5[[#This Row],[Статус]])</f>
        <v>1</v>
      </c>
      <c r="DI468" s="213" t="s">
        <v>640</v>
      </c>
      <c r="DJ468" s="204"/>
      <c r="DK468" s="111" t="s">
        <v>76</v>
      </c>
      <c r="DL468" s="216" t="s">
        <v>12</v>
      </c>
      <c r="DM468" s="201" t="b">
        <f>ППД5[[#This Row],[Отделка CRM]]=ППД5[[#This Row],[Отделка]]</f>
        <v>1</v>
      </c>
      <c r="DN468" s="203">
        <v>3522894.51</v>
      </c>
      <c r="DO46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68" s="207" t="b">
        <f>IF(AND(ППД5[[#This Row],[Статус]]="свободно",ППД5[[#This Row],[Итоговая сумма скидки]]&lt;&gt;0),FALSE,TRUE)</f>
        <v>1</v>
      </c>
      <c r="DQ468" s="240">
        <f>_xlfn.XLOOKUP(ППД5[[#This Row],[№]],Юрист[№ кв],Юрист[Дата подачи на регистрацию]," ",0,-1)</f>
        <v>45188</v>
      </c>
      <c r="DR468" s="115" t="str">
        <f>_xlfn.XLOOKUP(ППД5[[#This Row],[№]],Юрист[№ кв],Юрист[МОП],"",0,-1)</f>
        <v>Калачева</v>
      </c>
      <c r="DS468" s="333" t="s">
        <v>3228</v>
      </c>
      <c r="DT468" s="333" t="s">
        <v>3229</v>
      </c>
      <c r="DU468" s="333">
        <v>36.299999999999997</v>
      </c>
      <c r="DV468" s="111"/>
    </row>
    <row r="469" spans="1:126" hidden="1" x14ac:dyDescent="0.25">
      <c r="A469" s="112">
        <v>467</v>
      </c>
      <c r="B469" s="111" t="s">
        <v>2</v>
      </c>
      <c r="C469" s="111">
        <v>10</v>
      </c>
      <c r="D469" s="115">
        <v>7</v>
      </c>
      <c r="E469" s="111">
        <v>3</v>
      </c>
      <c r="F469" s="105">
        <v>14.49</v>
      </c>
      <c r="G469" s="105">
        <v>13.98</v>
      </c>
      <c r="H469" s="105">
        <v>11.42</v>
      </c>
      <c r="I469" s="94">
        <f>SUM(ППД5[[#This Row],[Комната 1]:[Комната 3]])</f>
        <v>39.89</v>
      </c>
      <c r="J469" s="105">
        <v>16.670000000000002</v>
      </c>
      <c r="K469" s="105">
        <v>4.1399999999999997</v>
      </c>
      <c r="L469" s="105">
        <v>1.89</v>
      </c>
      <c r="M469" s="105"/>
      <c r="N469" s="105">
        <v>11.31</v>
      </c>
      <c r="O469" s="105">
        <v>2.86</v>
      </c>
      <c r="P469" s="105">
        <v>2.79</v>
      </c>
      <c r="Q469" s="105">
        <v>5.42</v>
      </c>
      <c r="R469" s="105">
        <f>SUM(ППД5[[#This Row],[Лоджия 1]:[Лоджия 3]])</f>
        <v>11.07</v>
      </c>
      <c r="S469" s="8">
        <f>ROUND(SUM(ППД5[[#This Row],[Площадь по проекту жилая]:[Лоджия 3]]),2)</f>
        <v>84.97</v>
      </c>
      <c r="T469" s="8">
        <f>ROUND(ППД5[[#This Row],[Площадь по проекту(общая)]]-ППД5[[#This Row],[Летние]],2)</f>
        <v>73.900000000000006</v>
      </c>
      <c r="U469" s="91">
        <f>ROUND(ППД5[[#This Row],[Площадь по проекту(общая)]]-(SUM(ППД5[[#This Row],[Лоджия 1]:[Лоджия 3]])/2),2)</f>
        <v>79.44</v>
      </c>
      <c r="V469" s="91">
        <f>IF(ППД5[[#This Row],[Статус]]="продажа",ППД5[[#This Row],[Расчетная проектная площадь]],ППД5[[#This Row],[Расчетная ТП площадь]])</f>
        <v>79.44</v>
      </c>
      <c r="W469" s="91">
        <v>11.4</v>
      </c>
      <c r="X469" s="91">
        <v>14.5</v>
      </c>
      <c r="Y469" s="91">
        <v>13.9</v>
      </c>
      <c r="Z469" s="91">
        <f>SUM(ППД5[[#This Row],[ТП Комната 1]:[ТП Комната 3]])</f>
        <v>39.799999999999997</v>
      </c>
      <c r="AA469" s="91">
        <v>16.3</v>
      </c>
      <c r="AB469" s="91">
        <v>1.9</v>
      </c>
      <c r="AC469" s="91">
        <v>4.0999999999999996</v>
      </c>
      <c r="AD469" s="91"/>
      <c r="AE469" s="91">
        <v>11.2</v>
      </c>
      <c r="AF469" s="91">
        <v>1.45</v>
      </c>
      <c r="AG469" s="91">
        <v>2.6</v>
      </c>
      <c r="AH469" s="91">
        <v>1.4</v>
      </c>
      <c r="AI469" s="91">
        <f>SUM(ППД5[[#This Row],[ТП Лоджия 1]:[ТП Лоджия 3]])</f>
        <v>5.4499999999999993</v>
      </c>
      <c r="AJ469" s="95">
        <v>10.899999999999999</v>
      </c>
      <c r="AK469" s="91">
        <f>SUM(ППД5[[#This Row],[Площадь по ТП жилая]:[ТП Лоджия 3]])-ППД5[[#This Row],[ТП Летние]]+ППД5[[#This Row],[кроме того прочая
(без коэффициента)]]</f>
        <v>84.199999999999989</v>
      </c>
      <c r="AL469" s="95">
        <f>ППД5[[#This Row],[ТП Площадь без летних]]+(ППД5[[#This Row],[ТП Летние]])</f>
        <v>78.749999999999986</v>
      </c>
      <c r="AM469" s="91">
        <f>ППД5[[#This Row],[ТП общая S]]-ППД5[[#This Row],[кроме того прочая
(без коэффициента)]]</f>
        <v>73.299999999999983</v>
      </c>
      <c r="AN469" s="95">
        <f>SUM(ППД5[[#This Row],[ТП Кухня]:[ТП Коридор]])</f>
        <v>33.5</v>
      </c>
      <c r="AO469" s="91">
        <f>ППД5[[#This Row],[Расчетная ТП площадь]]-ППД5[[#This Row],[Расчетная проектная площадь]]</f>
        <v>-0.69000000000001194</v>
      </c>
      <c r="AP469" s="335">
        <f>ППД5[[#This Row],[Расчетная ТП площадь]]/ППД5[[#This Row],[Расчетная проектная площадь]]-1</f>
        <v>-8.6858006042297431E-3</v>
      </c>
      <c r="AQ469" s="91">
        <f>ППД5[[#This Row],[% расхождения]]*ППД5[[#This Row],[Стоимость до скидки]]</f>
        <v>-56994.096586103609</v>
      </c>
      <c r="AR469" s="91">
        <f>VLOOKUP(ППД5[[#This Row],[№]],наценкад5[],COLUMN(наценкад5[[#This Row],[Цена м2 с учетом всех K]]),0)</f>
        <v>76375.530000000013</v>
      </c>
      <c r="AS469" s="8">
        <f>ППД5[[#This Row],[м2 после К]]*5%</f>
        <v>3818.7765000000009</v>
      </c>
      <c r="AT469" s="8">
        <f>ППД5[[#This Row],[м2 после К]]+ППД5[[#This Row],[Повышение 16.08.23 - 5%]]</f>
        <v>80194.306500000021</v>
      </c>
      <c r="AU469" s="93">
        <f>ППД5[[#This Row],[Фикс 16.08.23]]*3%</f>
        <v>2405.8291950000007</v>
      </c>
      <c r="AV469" s="93">
        <f>ППД5[[#This Row],[Фикс 16.08.23]]+ППД5[[#This Row],[Повышение 29.08.23 - 3%]]</f>
        <v>82600.135695000019</v>
      </c>
      <c r="AW469" s="93"/>
      <c r="AX469" s="93">
        <f>ППД5[[#This Row],[Фикс 29.08.23]]+ППД5[[#This Row],[Повышение 06.09.23 СТ и 1К]]</f>
        <v>82600.135695000019</v>
      </c>
      <c r="AY469" s="93"/>
      <c r="AZ469" s="93">
        <f>ППД5[[#This Row],[Повышение 23.10.23  В4 ]]+ППД5[[#This Row],[Фикс 06.09.23]]</f>
        <v>82600.135695000019</v>
      </c>
      <c r="BA469" s="93"/>
      <c r="BB469" s="93">
        <f>ППД5[[#This Row],[Повышение 8.11.23 1К 5%]]+ППД5[[#This Row],[Фикс 23.10.23]]</f>
        <v>82600.135695000019</v>
      </c>
      <c r="BC469" s="93"/>
      <c r="BD469" s="93">
        <f>ППД5[[#This Row],[Корректировка 24.11.23 - 1К В5, 2К А2, №233]]+ППД5[[#This Row],[Фикс 8.11.23]]</f>
        <v>82600.135695000019</v>
      </c>
      <c r="BE469" s="93"/>
      <c r="BF469" s="93">
        <f>ППД5[[#This Row],[Наценка за отделку 29.12.23 1%]]+ППД5[[#This Row],[Фикс 8.11.24]]</f>
        <v>82600.135695000019</v>
      </c>
      <c r="BG469" s="93"/>
      <c r="BH469" s="93">
        <f>ППД5[[#This Row],[Фикс 29.12.23]]+ППД5[[#This Row],[Наценка 10.01.24 5%]]</f>
        <v>82600.135695000019</v>
      </c>
      <c r="BI469" s="93"/>
      <c r="BJ469" s="93">
        <f>ППД5[[#This Row],[Наценка 26.02.24 1 Этаж]]+ППД5[[#This Row],[Фикс 10.01.24]]</f>
        <v>82600.135695000019</v>
      </c>
      <c r="BK469" s="93"/>
      <c r="BL469" s="93">
        <f>ППД5[[#This Row],[Фикс 26.02.24]]+ППД5[[#This Row],[Наценка 06.03.24
СТ, 1К - 3%
2К, 3К - 2%]]</f>
        <v>82600.135695000019</v>
      </c>
      <c r="BM469" s="93"/>
      <c r="BN469" s="93">
        <f>ППД5[[#This Row],[Фикс 06.03.24]]+ППД5[[#This Row],[Наценка Г2+500]]</f>
        <v>82600.135695000019</v>
      </c>
      <c r="BO469" s="93"/>
      <c r="BP469" s="93">
        <f>ППД5[[#This Row],[Фикс 13.03.25]]+ППД5[[#This Row],[Наценка 20.03.24
2К, 3К - 2%]]</f>
        <v>82600.135695000019</v>
      </c>
      <c r="BQ469" s="93"/>
      <c r="BR469" s="93">
        <f>ППД5[[#This Row],[Фикс 20.03.24]]+ППД5[[#This Row],[Наценка 08.04.24 
2К: В3 - 150
3К: Г7 +1000]]</f>
        <v>82600.135695000019</v>
      </c>
      <c r="BS469" s="93"/>
      <c r="BT469" s="93">
        <f>ППД5[[#This Row],[Фикс 08.04.24]]+ППД5[[#This Row],[Наценка 16.05.24 1%
А4,А6,Б3,Б6,Б7,В2,В3,В5,В6,Г1,Г3-Г5]]</f>
        <v>82600.135695000019</v>
      </c>
      <c r="BU469" s="93"/>
      <c r="BV469" s="93">
        <f>ППД5[[#This Row],[Фикс 16.05.24]]+ППД5[[#This Row],[Наценка 24.05.24
1% - Б4, Б5,Г2,Г6
2% - А1,А3,А5,Б2,Г7]]</f>
        <v>82600.135695000019</v>
      </c>
      <c r="BW469" s="93"/>
      <c r="BX469" s="93">
        <f>ППД5[[#This Row],[Наценка 06.06.24
0К: В2,Г3 +0,5%
1К: А7, Б5/4, Г6 +0,5%
3К: В6 +0,5%
1К: А3 +1%]]+ППД5[[#This Row],[Фикс 24.05.24]]</f>
        <v>82600.135695000019</v>
      </c>
      <c r="BY469" s="93"/>
      <c r="BZ469" s="93">
        <f>ППД5[[#This Row],[Фикс 06.06.24]]+ППД5[[#This Row],[13.06.2024
3К - 2%]]</f>
        <v>82600.135695000019</v>
      </c>
      <c r="CA469" s="93"/>
      <c r="CB469" s="93">
        <f>ППД5[[#This Row],[02.07.2024: Г3 А1 А3 Б5 Б7 Г2 Г6 Б3 Б4 В3 Г7 2,5% ост 0,5-1,5%]]+ППД5[[#This Row],[Фикс 13.06.24]]</f>
        <v>82600.135695000019</v>
      </c>
      <c r="CC469" s="93"/>
      <c r="CD469" s="93">
        <f>ППД5[[#This Row],[Фикс 02.07.24]]+ППД5[[#This Row],[04.09.2024 +500
0К - Б2; 1К - А3;
2К - А6, Б4, В3, Г5]]</f>
        <v>82600.135695000019</v>
      </c>
      <c r="CE469" s="93"/>
      <c r="CF469" s="93">
        <f>ППД5[[#This Row],[Наценка 16.09.2024
1К: А1,В7,Г6/7,Г8 - 2%
2К: А4,А5,А6,Б1,Б6,Б3/4,В3,В4,Г4,Г5 - 4%
3К: 4%]]+ППД5[[#This Row],[Фикс 04.09.24]]</f>
        <v>82600.135695000019</v>
      </c>
      <c r="CG469" s="93"/>
      <c r="CH469" s="93">
        <f>ППД5[[#This Row],[Фикс 16.09.2024]]+ППД5[[#This Row],[Наценка 01.11.24
СТ: 4%
1К: 34-40м 5%; 40м+ 8%; МГН 1%
2К: 55-70м 6%; 70-73м 7%; 73-76м 8% 
3К: 5%]]</f>
        <v>82600.135695000019</v>
      </c>
      <c r="CI469" s="93"/>
      <c r="CJ469" s="93">
        <f>ППД5[[#This Row],[Наценка 06.11 13%]]+ППД5[[#This Row],[Фикс 01.11.24]]</f>
        <v>82600.135695000019</v>
      </c>
      <c r="CK469" s="93"/>
      <c r="CL469" s="93">
        <f>ППД5[[#This Row],[Фикс 06.11.24]]+ППД5[[#This Row],[Наценка 18.12.24 распределение КВ]]</f>
        <v>82600.135695000019</v>
      </c>
      <c r="CM469" s="93"/>
      <c r="CN469" s="93">
        <f>ППД5[[#This Row],[Фикс 18.12.24]]+ППД5[[#This Row],[Наценка 10.02.25 +1%
1К: А3
2К: Б3, В3]]</f>
        <v>82600.135695000019</v>
      </c>
      <c r="CO469" s="93">
        <f>ROUND(ППД5[[#This Row],[Фикс 10.02.25]],2)</f>
        <v>82600.14</v>
      </c>
      <c r="CP46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6561755.1200000001</v>
      </c>
      <c r="CQ469" s="93">
        <f>ROUNDUP(ППД5[[#This Row],[Стоимость до скидки]]+ППД5[[#This Row],[Сумма доплаты]],-2)</f>
        <v>6504800</v>
      </c>
      <c r="CR469" s="68"/>
      <c r="CS469" s="90"/>
      <c r="CT469" s="68">
        <f>ППД5[[#This Row],[Стоимость до скидки]]*ППД5[[#This Row],[Скидка %]]+ППД5[[#This Row],[Скидка фиксированная]]</f>
        <v>0</v>
      </c>
      <c r="CU469" s="3">
        <f>ППД5[[#This Row],[Стоимость ОН без отделки со скидкой]]/ППД5[[#This Row],[Расчетная проектная площадь]]</f>
        <v>82600.139979859014</v>
      </c>
      <c r="CV469" s="3">
        <f>ROUND(ППД5[[#This Row],[Стоимость до скидки]]-ППД5[[#This Row],[Итоговая сумма скидки]],2)</f>
        <v>6561755.1200000001</v>
      </c>
      <c r="CW46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469" s="197">
        <v>5000</v>
      </c>
      <c r="CY469" s="332">
        <f>ППД5[[#This Row],[Расхождение]]/ППД5[[#This Row],[Расчетная проектная площадь]]</f>
        <v>-8.685800604229757E-3</v>
      </c>
      <c r="CZ46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-0.51000000000000512</v>
      </c>
      <c r="DA469" s="3">
        <f>ППД5[[#This Row],[Цена м2 без отделки со скидкой]]+ППД5[[#This Row],[Стоимость отделки]]</f>
        <v>87600.139979859014</v>
      </c>
      <c r="DB469" s="3">
        <f>ППД5[[#This Row],[Стоимость квартиры с отделкой]]-ППД5[[#This Row],[Стоимость ОН без отделки со скидкой]]</f>
        <v>397200</v>
      </c>
      <c r="DC469" s="3">
        <f>ППД5[[#This Row],[Цена м2 с отделкой]]*ППД5[[#This Row],[Расчетная проектная площадь]]</f>
        <v>6958955.1200000001</v>
      </c>
      <c r="DD469" s="3" t="s">
        <v>155</v>
      </c>
      <c r="DF469" s="199" t="s">
        <v>172</v>
      </c>
      <c r="DG469" s="245" t="s">
        <v>172</v>
      </c>
      <c r="DH469" s="100" t="b">
        <f>EXACT(ППД5[[#This Row],[Статусы CRM]],ППД5[[#This Row],[Статус]])</f>
        <v>1</v>
      </c>
      <c r="DI469" s="213" t="s">
        <v>641</v>
      </c>
      <c r="DJ469" s="204"/>
      <c r="DK469" s="111" t="s">
        <v>76</v>
      </c>
      <c r="DL469" s="216" t="s">
        <v>13</v>
      </c>
      <c r="DM469" s="201" t="b">
        <f>ППД5[[#This Row],[Отделка CRM]]=ППД5[[#This Row],[Отделка]]</f>
        <v>1</v>
      </c>
      <c r="DN469" s="203">
        <v>6958955.1200000001</v>
      </c>
      <c r="DO46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69" s="207" t="b">
        <f>IF(AND(ППД5[[#This Row],[Статус]]="свободно",ППД5[[#This Row],[Итоговая сумма скидки]]&lt;&gt;0),FALSE,TRUE)</f>
        <v>1</v>
      </c>
      <c r="DQ469" s="240">
        <f>_xlfn.XLOOKUP(ППД5[[#This Row],[№]],Юрист[№ кв],Юрист[Дата подачи на регистрацию]," ",0,-1)</f>
        <v>45184</v>
      </c>
      <c r="DR469" s="115" t="str">
        <f>_xlfn.XLOOKUP(ППД5[[#This Row],[№]],Юрист[№ кв],Юрист[МОП],"",0,-1)</f>
        <v>Кофанова</v>
      </c>
      <c r="DS469" s="333" t="s">
        <v>3230</v>
      </c>
      <c r="DT469" s="333" t="s">
        <v>3231</v>
      </c>
      <c r="DU469" s="333">
        <v>73.3</v>
      </c>
      <c r="DV469" s="111"/>
    </row>
    <row r="470" spans="1:126" hidden="1" x14ac:dyDescent="0.25">
      <c r="A470" s="112">
        <v>468</v>
      </c>
      <c r="B470" s="111" t="s">
        <v>2</v>
      </c>
      <c r="C470" s="111">
        <v>10</v>
      </c>
      <c r="D470" s="115">
        <v>8</v>
      </c>
      <c r="E470" s="111">
        <v>1</v>
      </c>
      <c r="F470" s="105">
        <v>16.79</v>
      </c>
      <c r="G470" s="105"/>
      <c r="H470" s="105"/>
      <c r="I470" s="94">
        <f>SUM(ППД5[[#This Row],[Комната 1]:[Комната 3]])</f>
        <v>16.79</v>
      </c>
      <c r="J470" s="105">
        <v>11.43</v>
      </c>
      <c r="K470" s="105">
        <v>3.56</v>
      </c>
      <c r="L470" s="105"/>
      <c r="M470" s="105"/>
      <c r="N470" s="105">
        <v>6.66</v>
      </c>
      <c r="O470" s="105">
        <v>2.4900000000000002</v>
      </c>
      <c r="P470" s="105"/>
      <c r="Q470" s="105"/>
      <c r="R470" s="105">
        <f>SUM(ППД5[[#This Row],[Лоджия 1]:[Лоджия 3]])</f>
        <v>2.4900000000000002</v>
      </c>
      <c r="S470" s="8">
        <f>ROUND(SUM(ППД5[[#This Row],[Площадь по проекту жилая]:[Лоджия 3]]),2)</f>
        <v>40.93</v>
      </c>
      <c r="T470" s="8">
        <f>ROUND(ППД5[[#This Row],[Площадь по проекту(общая)]]-ППД5[[#This Row],[Летние]],2)</f>
        <v>38.44</v>
      </c>
      <c r="U470" s="91">
        <f>ROUND(ППД5[[#This Row],[Площадь по проекту(общая)]]-(SUM(ППД5[[#This Row],[Лоджия 1]:[Лоджия 3]])/2),2)</f>
        <v>39.69</v>
      </c>
      <c r="V470" s="91">
        <f>IF(ППД5[[#This Row],[Статус]]="продажа",ППД5[[#This Row],[Расчетная проектная площадь]],ППД5[[#This Row],[Расчетная ТП площадь]])</f>
        <v>39.69</v>
      </c>
      <c r="W470" s="91">
        <v>16.7</v>
      </c>
      <c r="X470" s="91"/>
      <c r="Y470" s="91"/>
      <c r="Z470" s="91">
        <f>SUM(ППД5[[#This Row],[ТП Комната 1]:[ТП Комната 3]])</f>
        <v>16.7</v>
      </c>
      <c r="AA470" s="91">
        <v>11.3</v>
      </c>
      <c r="AB470" s="91">
        <v>3.6</v>
      </c>
      <c r="AC470" s="91"/>
      <c r="AD470" s="91"/>
      <c r="AE470" s="91">
        <v>6.7</v>
      </c>
      <c r="AF470" s="92">
        <v>1.25</v>
      </c>
      <c r="AG470" s="91"/>
      <c r="AH470" s="91"/>
      <c r="AI470" s="91">
        <f>SUM(ППД5[[#This Row],[ТП Лоджия 1]:[ТП Лоджия 3]])</f>
        <v>1.25</v>
      </c>
      <c r="AJ470" s="95">
        <v>2.5</v>
      </c>
      <c r="AK470" s="91">
        <f>SUM(ППД5[[#This Row],[Площадь по ТП жилая]:[ТП Лоджия 3]])-ППД5[[#This Row],[ТП Летние]]+ППД5[[#This Row],[кроме того прочая
(без коэффициента)]]</f>
        <v>40.800000000000004</v>
      </c>
      <c r="AL470" s="95">
        <f>ППД5[[#This Row],[ТП Площадь без летних]]+(ППД5[[#This Row],[ТП Летние]])</f>
        <v>39.550000000000004</v>
      </c>
      <c r="AM470" s="91">
        <f>ППД5[[#This Row],[ТП общая S]]-ППД5[[#This Row],[кроме того прочая
(без коэффициента)]]</f>
        <v>38.300000000000004</v>
      </c>
      <c r="AN470" s="95">
        <f>SUM(ППД5[[#This Row],[ТП Кухня]:[ТП Коридор]])</f>
        <v>21.6</v>
      </c>
      <c r="AO470" s="91">
        <f>ППД5[[#This Row],[Расчетная ТП площадь]]-ППД5[[#This Row],[Расчетная проектная площадь]]</f>
        <v>-0.13999999999999346</v>
      </c>
      <c r="AP470" s="335">
        <f>ППД5[[#This Row],[Расчетная ТП площадь]]/ППД5[[#This Row],[Расчетная проектная площадь]]-1</f>
        <v>-3.5273368606700828E-3</v>
      </c>
      <c r="AQ470" s="91">
        <f>ППД5[[#This Row],[% расхождения]]*ППД5[[#This Row],[Стоимость до скидки]]</f>
        <v>-18713.932980599056</v>
      </c>
      <c r="AR470" s="91">
        <f>VLOOKUP(ППД5[[#This Row],[№]],наценкад5[],COLUMN(наценкад5[[#This Row],[Цена м2 с учетом всех K]]),0)</f>
        <v>84762.5625</v>
      </c>
      <c r="AS470" s="8">
        <f>ППД5[[#This Row],[м2 после К]]*5%</f>
        <v>4238.1281250000002</v>
      </c>
      <c r="AT470" s="8">
        <f>ППД5[[#This Row],[м2 после К]]+ППД5[[#This Row],[Повышение 16.08.23 - 5%]]</f>
        <v>89000.690625000003</v>
      </c>
      <c r="AU470" s="93">
        <f>ППД5[[#This Row],[Фикс 16.08.23]]*3%</f>
        <v>2670.02071875</v>
      </c>
      <c r="AV470" s="93">
        <f>ППД5[[#This Row],[Фикс 16.08.23]]+ППД5[[#This Row],[Повышение 29.08.23 - 3%]]</f>
        <v>91670.711343750008</v>
      </c>
      <c r="AW470" s="93">
        <f>ППД5[[#This Row],[Фикс 29.08.23]]*4.5%</f>
        <v>4125.1820104687504</v>
      </c>
      <c r="AX470" s="93">
        <f>ППД5[[#This Row],[Фикс 29.08.23]]+ППД5[[#This Row],[Повышение 06.09.23 СТ и 1К]]</f>
        <v>95795.893354218759</v>
      </c>
      <c r="AY470" s="93"/>
      <c r="AZ470" s="93">
        <f>ППД5[[#This Row],[Повышение 23.10.23  В4 ]]+ППД5[[#This Row],[Фикс 06.09.23]]</f>
        <v>95795.893354218759</v>
      </c>
      <c r="BA470" s="93">
        <f>ППД5[[#This Row],[Фикс 23.10.23]]*5%</f>
        <v>4789.7946677109385</v>
      </c>
      <c r="BB470" s="93">
        <f>ППД5[[#This Row],[Повышение 8.11.23 1К 5%]]+ППД5[[#This Row],[Фикс 23.10.23]]</f>
        <v>100585.6880219297</v>
      </c>
      <c r="BC470" s="93"/>
      <c r="BD470" s="93">
        <f>ППД5[[#This Row],[Корректировка 24.11.23 - 1К В5, 2К А2, №233]]+ППД5[[#This Row],[Фикс 8.11.23]]</f>
        <v>100585.6880219297</v>
      </c>
      <c r="BE470" s="93">
        <f>ППД5[[#This Row],[Фикс 8.11.24]]*1%</f>
        <v>1005.8568802192971</v>
      </c>
      <c r="BF470" s="93">
        <f>ППД5[[#This Row],[Наценка за отделку 29.12.23 1%]]+ППД5[[#This Row],[Фикс 8.11.24]]</f>
        <v>101591.54490214901</v>
      </c>
      <c r="BG470" s="93">
        <f>ППД5[[#This Row],[Фикс 29.12.23]]*5%</f>
        <v>5079.5772451074508</v>
      </c>
      <c r="BH470" s="93">
        <f>ППД5[[#This Row],[Фикс 29.12.23]]+ППД5[[#This Row],[Наценка 10.01.24 5%]]</f>
        <v>106671.12214725645</v>
      </c>
      <c r="BI470" s="93"/>
      <c r="BJ470" s="93">
        <f>ППД5[[#This Row],[Наценка 26.02.24 1 Этаж]]+ППД5[[#This Row],[Фикс 10.01.24]]</f>
        <v>106671.12214725645</v>
      </c>
      <c r="BK470" s="93">
        <f>ППД5[[#This Row],[Фикс 26.02.24]]*3%</f>
        <v>3200.1336644176936</v>
      </c>
      <c r="BL470" s="93">
        <f>ППД5[[#This Row],[Фикс 26.02.24]]+ППД5[[#This Row],[Наценка 06.03.24
СТ, 1К - 3%
2К, 3К - 2%]]</f>
        <v>109871.25581167414</v>
      </c>
      <c r="BM470" s="93"/>
      <c r="BN470" s="93">
        <f>ППД5[[#This Row],[Фикс 06.03.24]]+ППД5[[#This Row],[Наценка Г2+500]]</f>
        <v>109871.25581167414</v>
      </c>
      <c r="BO470" s="93"/>
      <c r="BP470" s="93">
        <f>ППД5[[#This Row],[Фикс 13.03.25]]+ППД5[[#This Row],[Наценка 20.03.24
2К, 3К - 2%]]</f>
        <v>109871.25581167414</v>
      </c>
      <c r="BQ470" s="93"/>
      <c r="BR470" s="93">
        <f>ППД5[[#This Row],[Фикс 20.03.24]]+ППД5[[#This Row],[Наценка 08.04.24 
2К: В3 - 150
3К: Г7 +1000]]</f>
        <v>109871.25581167414</v>
      </c>
      <c r="BS470" s="93"/>
      <c r="BT470" s="93">
        <f>ППД5[[#This Row],[Фикс 08.04.24]]+ППД5[[#This Row],[Наценка 16.05.24 1%
А4,А6,Б3,Б6,Б7,В2,В3,В5,В6,Г1,Г3-Г5]]</f>
        <v>109871.25581167414</v>
      </c>
      <c r="BU470" s="93"/>
      <c r="BV470" s="93">
        <f>ППД5[[#This Row],[Фикс 16.05.24]]+ППД5[[#This Row],[Наценка 24.05.24
1% - Б4, Б5,Г2,Г6
2% - А1,А3,А5,Б2,Г7]]</f>
        <v>109871.25581167414</v>
      </c>
      <c r="BW470" s="93"/>
      <c r="BX470" s="93">
        <f>ППД5[[#This Row],[Наценка 06.06.24
0К: В2,Г3 +0,5%
1К: А7, Б5/4, Г6 +0,5%
3К: В6 +0,5%
1К: А3 +1%]]+ППД5[[#This Row],[Фикс 24.05.24]]</f>
        <v>109871.25581167414</v>
      </c>
      <c r="BY470" s="93"/>
      <c r="BZ470" s="93">
        <f>ППД5[[#This Row],[Фикс 06.06.24]]+ППД5[[#This Row],[13.06.2024
3К - 2%]]</f>
        <v>109871.25581167414</v>
      </c>
      <c r="CA470" s="93">
        <f>0.5%*ППД5[[#This Row],[Фикс 13.06.24]]</f>
        <v>549.35627905837077</v>
      </c>
      <c r="CB470" s="93">
        <f>ППД5[[#This Row],[02.07.2024: Г3 А1 А3 Б5 Б7 Г2 Г6 Б3 Б4 В3 Г7 2,5% ост 0,5-1,5%]]+ППД5[[#This Row],[Фикс 13.06.24]]</f>
        <v>110420.61209073251</v>
      </c>
      <c r="CC470" s="93"/>
      <c r="CD470" s="93">
        <f>ППД5[[#This Row],[Фикс 02.07.24]]+ППД5[[#This Row],[04.09.2024 +500
0К - Б2; 1К - А3;
2К - А6, Б4, В3, Г5]]</f>
        <v>110420.61209073251</v>
      </c>
      <c r="CE470" s="93">
        <f>ППД5[[#This Row],[Фикс 04.09.24]]*2%</f>
        <v>2208.4122418146503</v>
      </c>
      <c r="CF470" s="93">
        <f>ППД5[[#This Row],[Наценка 16.09.2024
1К: А1,В7,Г6/7,Г8 - 2%
2К: А4,А5,А6,Б1,Б6,Б3/4,В3,В4,Г4,Г5 - 4%
3К: 4%]]+ППД5[[#This Row],[Фикс 04.09.24]]</f>
        <v>112629.02433254715</v>
      </c>
      <c r="CG470" s="93">
        <f>ППД5[[#This Row],[Фикс 16.09.2024]]*5%</f>
        <v>5631.451216627358</v>
      </c>
      <c r="CH470" s="93">
        <f>ППД5[[#This Row],[Фикс 16.09.2024]]+ППД5[[#This Row],[Наценка 01.11.24
СТ: 4%
1К: 34-40м 5%; 40м+ 8%; МГН 1%
2К: 55-70м 6%; 70-73м 7%; 73-76м 8% 
3К: 5%]]</f>
        <v>118260.47554917452</v>
      </c>
      <c r="CI470" s="93">
        <f>ППД5[[#This Row],[Фикс 01.11.24]]*13%</f>
        <v>15373.861821392687</v>
      </c>
      <c r="CJ470" s="93">
        <f>ППД5[[#This Row],[Наценка 06.11 13%]]+ППД5[[#This Row],[Фикс 01.11.24]]</f>
        <v>133634.3373705672</v>
      </c>
      <c r="CK470" s="93">
        <v>35</v>
      </c>
      <c r="CL470" s="93">
        <f>ППД5[[#This Row],[Фикс 06.11.24]]+ППД5[[#This Row],[Наценка 18.12.24 распределение КВ]]</f>
        <v>133669.3373705672</v>
      </c>
      <c r="CM470" s="93"/>
      <c r="CN470" s="93">
        <f>ППД5[[#This Row],[Фикс 18.12.24]]+ППД5[[#This Row],[Наценка 10.02.25 +1%
1К: А3
2К: Б3, В3]]</f>
        <v>133669.3373705672</v>
      </c>
      <c r="CO470" s="93">
        <f>ROUND(ППД5[[#This Row],[Фикс 10.02.25]],2)</f>
        <v>133669.34</v>
      </c>
      <c r="CP47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5305400</v>
      </c>
      <c r="CQ470" s="93">
        <f>ROUNDUP(ППД5[[#This Row],[Стоимость до скидки]]+ППД5[[#This Row],[Сумма доплаты]],-2)</f>
        <v>5286700</v>
      </c>
      <c r="CR470" s="68">
        <f>ППД5[[#This Row],[Расчетная проектная площадь]]*8000</f>
        <v>317520</v>
      </c>
      <c r="CS470" s="90"/>
      <c r="CT470" s="68">
        <f>ППД5[[#This Row],[Стоимость до скидки]]*ППД5[[#This Row],[Скидка %]]+ППД5[[#This Row],[Скидка фиксированная]]</f>
        <v>317520</v>
      </c>
      <c r="CU470" s="3">
        <f>ППД5[[#This Row],[Стоимость ОН без отделки со скидкой]]/ППД5[[#This Row],[Расчетная проектная площадь]]</f>
        <v>125670.94986142605</v>
      </c>
      <c r="CV470" s="3">
        <f>ROUND(ППД5[[#This Row],[Стоимость до скидки]]-ППД5[[#This Row],[Итоговая сумма скидки]],2)</f>
        <v>4987880</v>
      </c>
      <c r="CW47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70" s="218">
        <v>25000</v>
      </c>
      <c r="CY470" s="332">
        <f>ППД5[[#This Row],[Расхождение]]/ППД5[[#This Row],[Расчетная проектная площадь]]</f>
        <v>-3.5273368606700294E-3</v>
      </c>
      <c r="CZ470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-4.9999999999998934E-2</v>
      </c>
      <c r="DA470" s="3">
        <f>ППД5[[#This Row],[Цена м2 без отделки со скидкой]]+ППД5[[#This Row],[Стоимость отделки]]</f>
        <v>150670.94986142605</v>
      </c>
      <c r="DB470" s="3">
        <f>ППД5[[#This Row],[Стоимость квартиры с отделкой]]-ППД5[[#This Row],[Стоимость ОН без отделки со скидкой]]</f>
        <v>992250</v>
      </c>
      <c r="DC470" s="3">
        <f>ППД5[[#This Row],[Цена м2 с отделкой]]*ППД5[[#This Row],[Расчетная проектная площадь]]</f>
        <v>5980130</v>
      </c>
      <c r="DD470" s="3"/>
      <c r="DE470" s="111" t="s">
        <v>2122</v>
      </c>
      <c r="DF470" s="155" t="s">
        <v>172</v>
      </c>
      <c r="DG470" s="221" t="s">
        <v>172</v>
      </c>
      <c r="DH470" s="100" t="b">
        <f>EXACT(ППД5[[#This Row],[Статусы CRM]],ППД5[[#This Row],[Статус]])</f>
        <v>1</v>
      </c>
      <c r="DI470" s="213" t="s">
        <v>642</v>
      </c>
      <c r="DJ470" s="204"/>
      <c r="DK470" s="111" t="s">
        <v>763</v>
      </c>
      <c r="DL470" s="216" t="s">
        <v>14</v>
      </c>
      <c r="DM470" s="201" t="b">
        <f>ППД5[[#This Row],[Отделка CRM]]=ППД5[[#This Row],[Отделка]]</f>
        <v>1</v>
      </c>
      <c r="DN470" s="203">
        <v>5980130</v>
      </c>
      <c r="DO47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70" s="207" t="b">
        <f>IF(AND(ППД5[[#This Row],[Статус]]="свободно",ППД5[[#This Row],[Итоговая сумма скидки]]&lt;&gt;0),FALSE,TRUE)</f>
        <v>1</v>
      </c>
      <c r="DQ470" s="240">
        <f>_xlfn.XLOOKUP(ППД5[[#This Row],[№]],Юрист[№ кв],Юрист[Дата подачи на регистрацию]," ",0,-1)</f>
        <v>45773</v>
      </c>
      <c r="DR470" s="115" t="str">
        <f>_xlfn.XLOOKUP(ППД5[[#This Row],[№]],Юрист[№ кв],Юрист[МОП],"",0,-1)</f>
        <v>Дик</v>
      </c>
      <c r="DS470" s="333" t="s">
        <v>3232</v>
      </c>
      <c r="DT470" s="333" t="s">
        <v>3233</v>
      </c>
      <c r="DU470" s="333">
        <v>38.299999999999997</v>
      </c>
      <c r="DV470" s="111"/>
    </row>
    <row r="471" spans="1:126" hidden="1" x14ac:dyDescent="0.25">
      <c r="A471" s="112">
        <v>469</v>
      </c>
      <c r="B471" s="111" t="s">
        <v>2</v>
      </c>
      <c r="C471" s="111">
        <v>11</v>
      </c>
      <c r="D471" s="338">
        <v>1</v>
      </c>
      <c r="E471" s="111">
        <v>0</v>
      </c>
      <c r="F471" s="105">
        <v>13.74</v>
      </c>
      <c r="G471" s="105"/>
      <c r="H471" s="105"/>
      <c r="I471" s="94">
        <f>SUM(ППД5[[#This Row],[Комната 1]:[Комната 3]])</f>
        <v>13.74</v>
      </c>
      <c r="J471" s="105">
        <v>5.84</v>
      </c>
      <c r="K471" s="105">
        <v>3.76</v>
      </c>
      <c r="L471" s="105"/>
      <c r="M471" s="105"/>
      <c r="N471" s="105">
        <v>3.73</v>
      </c>
      <c r="O471" s="105">
        <v>4.6500000000000004</v>
      </c>
      <c r="P471" s="105"/>
      <c r="Q471" s="105"/>
      <c r="R471" s="105">
        <f>SUM(ППД5[[#This Row],[Лоджия 1]:[Лоджия 3]])</f>
        <v>4.6500000000000004</v>
      </c>
      <c r="S471" s="8">
        <f>ROUND(SUM(ППД5[[#This Row],[Площадь по проекту жилая]:[Лоджия 3]]),2)</f>
        <v>31.72</v>
      </c>
      <c r="T471" s="8">
        <f>ROUND(ППД5[[#This Row],[Площадь по проекту(общая)]]-ППД5[[#This Row],[Летние]],2)</f>
        <v>27.07</v>
      </c>
      <c r="U471" s="91">
        <f>ROUND(ППД5[[#This Row],[Площадь по проекту(общая)]]-(SUM(ППД5[[#This Row],[Лоджия 1]:[Лоджия 3]])/2),2)</f>
        <v>29.4</v>
      </c>
      <c r="V471" s="91">
        <f>IF(ППД5[[#This Row],[Статус]]="продажа",ППД5[[#This Row],[Расчетная проектная площадь]],ППД5[[#This Row],[Расчетная ТП площадь]])</f>
        <v>29.4</v>
      </c>
      <c r="W471" s="91">
        <v>13.7</v>
      </c>
      <c r="X471" s="91"/>
      <c r="Y471" s="91"/>
      <c r="Z471" s="91">
        <f>SUM(ППД5[[#This Row],[ТП Комната 1]:[ТП Комната 3]])</f>
        <v>13.7</v>
      </c>
      <c r="AA471" s="91">
        <v>5.8</v>
      </c>
      <c r="AB471" s="91">
        <v>3.7</v>
      </c>
      <c r="AC471" s="91"/>
      <c r="AD471" s="91"/>
      <c r="AE471" s="91">
        <v>3.7</v>
      </c>
      <c r="AF471" s="91">
        <v>2.2999999999999998</v>
      </c>
      <c r="AG471" s="91"/>
      <c r="AH471" s="91"/>
      <c r="AI471" s="91">
        <f>SUM(ППД5[[#This Row],[ТП Лоджия 1]:[ТП Лоджия 3]])</f>
        <v>2.2999999999999998</v>
      </c>
      <c r="AJ471" s="95">
        <v>4.5999999999999996</v>
      </c>
      <c r="AK471" s="91">
        <f>SUM(ППД5[[#This Row],[Площадь по ТП жилая]:[ТП Лоджия 3]])-ППД5[[#This Row],[ТП Летние]]+ППД5[[#This Row],[кроме того прочая
(без коэффициента)]]</f>
        <v>31.5</v>
      </c>
      <c r="AL471" s="95">
        <f>ППД5[[#This Row],[ТП Площадь без летних]]+(ППД5[[#This Row],[ТП Летние]])</f>
        <v>29.2</v>
      </c>
      <c r="AM471" s="91">
        <f>ППД5[[#This Row],[ТП общая S]]-ППД5[[#This Row],[кроме того прочая
(без коэффициента)]]</f>
        <v>26.9</v>
      </c>
      <c r="AN471" s="95">
        <f>SUM(ППД5[[#This Row],[ТП Кухня]:[ТП Коридор]])</f>
        <v>13.2</v>
      </c>
      <c r="AO471" s="91">
        <f>ППД5[[#This Row],[Расчетная ТП площадь]]-ППД5[[#This Row],[Расчетная проектная площадь]]</f>
        <v>-0.19999999999999929</v>
      </c>
      <c r="AP471" s="335">
        <f>ППД5[[#This Row],[Расчетная ТП площадь]]/ППД5[[#This Row],[Расчетная проектная площадь]]-1</f>
        <v>-6.8027210884353817E-3</v>
      </c>
      <c r="AQ471" s="91">
        <f>ППД5[[#This Row],[% расхождения]]*ППД5[[#This Row],[Стоимость до скидки]]</f>
        <v>-27723.12925170071</v>
      </c>
      <c r="AR471" s="91">
        <f>VLOOKUP(ППД5[[#This Row],[№]],наценкад5[],COLUMN(наценкад5[[#This Row],[Цена м2 с учетом всех K]]),0)</f>
        <v>89353.53</v>
      </c>
      <c r="AS471" s="8">
        <f>ППД5[[#This Row],[м2 после К]]*5%</f>
        <v>4467.6765000000005</v>
      </c>
      <c r="AT471" s="8">
        <f>ППД5[[#This Row],[м2 после К]]+ППД5[[#This Row],[Повышение 16.08.23 - 5%]]</f>
        <v>93821.2065</v>
      </c>
      <c r="AU471" s="93">
        <f>ППД5[[#This Row],[Фикс 16.08.23]]*3%</f>
        <v>2814.636195</v>
      </c>
      <c r="AV471" s="93">
        <f>ППД5[[#This Row],[Фикс 16.08.23]]+ППД5[[#This Row],[Повышение 29.08.23 - 3%]]</f>
        <v>96635.842694999999</v>
      </c>
      <c r="AW471" s="93">
        <f>ППД5[[#This Row],[Фикс 29.08.23]]*9%</f>
        <v>8697.2258425500004</v>
      </c>
      <c r="AX471" s="93">
        <f>ППД5[[#This Row],[Фикс 29.08.23]]+ППД5[[#This Row],[Повышение 06.09.23 СТ и 1К]]</f>
        <v>105333.06853755</v>
      </c>
      <c r="AY471" s="93"/>
      <c r="AZ471" s="93">
        <f>ППД5[[#This Row],[Повышение 23.10.23  В4 ]]+ППД5[[#This Row],[Фикс 06.09.23]]</f>
        <v>105333.06853755</v>
      </c>
      <c r="BA471" s="93"/>
      <c r="BB471" s="93">
        <f>ППД5[[#This Row],[Повышение 8.11.23 1К 5%]]+ППД5[[#This Row],[Фикс 23.10.23]]</f>
        <v>105333.06853755</v>
      </c>
      <c r="BC471" s="93"/>
      <c r="BD471" s="93">
        <f>ППД5[[#This Row],[Корректировка 24.11.23 - 1К В5, 2К А2, №233]]+ППД5[[#This Row],[Фикс 8.11.23]]</f>
        <v>105333.06853755</v>
      </c>
      <c r="BE471" s="93">
        <f>ППД5[[#This Row],[Фикс 8.11.24]]*1%</f>
        <v>1053.3306853755</v>
      </c>
      <c r="BF471" s="93">
        <f>ППД5[[#This Row],[Наценка за отделку 29.12.23 1%]]+ППД5[[#This Row],[Фикс 8.11.24]]</f>
        <v>106386.39922292551</v>
      </c>
      <c r="BG471" s="93">
        <f>ППД5[[#This Row],[Фикс 29.12.23]]*5%</f>
        <v>5319.319961146276</v>
      </c>
      <c r="BH471" s="93">
        <f>ППД5[[#This Row],[Фикс 29.12.23]]+ППД5[[#This Row],[Наценка 10.01.24 5%]]</f>
        <v>111705.71918407179</v>
      </c>
      <c r="BI471" s="93"/>
      <c r="BJ471" s="93">
        <f>ППД5[[#This Row],[Наценка 26.02.24 1 Этаж]]+ППД5[[#This Row],[Фикс 10.01.24]]</f>
        <v>111705.71918407179</v>
      </c>
      <c r="BK471" s="93">
        <f>ППД5[[#This Row],[Фикс 26.02.24]]*3%</f>
        <v>3351.1715755221535</v>
      </c>
      <c r="BL471" s="93">
        <f>ППД5[[#This Row],[Фикс 26.02.24]]+ППД5[[#This Row],[Наценка 06.03.24
СТ, 1К - 3%
2К, 3К - 2%]]</f>
        <v>115056.89075959394</v>
      </c>
      <c r="BM471" s="93"/>
      <c r="BN471" s="93">
        <f>ППД5[[#This Row],[Фикс 06.03.24]]+ППД5[[#This Row],[Наценка Г2+500]]</f>
        <v>115056.89075959394</v>
      </c>
      <c r="BO471" s="93"/>
      <c r="BP471" s="93">
        <f>ППД5[[#This Row],[Фикс 13.03.25]]+ППД5[[#This Row],[Наценка 20.03.24
2К, 3К - 2%]]</f>
        <v>115056.89075959394</v>
      </c>
      <c r="BQ471" s="93"/>
      <c r="BR471" s="93">
        <f>ППД5[[#This Row],[Фикс 20.03.24]]+ППД5[[#This Row],[Наценка 08.04.24 
2К: В3 - 150
3К: Г7 +1000]]</f>
        <v>115056.89075959394</v>
      </c>
      <c r="BS471" s="93">
        <f>ППД5[[#This Row],[Фикс 08.04.24]]*1%</f>
        <v>1150.5689075959394</v>
      </c>
      <c r="BT471" s="93">
        <f>ППД5[[#This Row],[Фикс 08.04.24]]+ППД5[[#This Row],[Наценка 16.05.24 1%
А4,А6,Б3,Б6,Б7,В2,В3,В5,В6,Г1,Г3-Г5]]</f>
        <v>116207.45966718988</v>
      </c>
      <c r="BU471" s="93"/>
      <c r="BV471" s="93">
        <f>ППД5[[#This Row],[Фикс 16.05.24]]+ППД5[[#This Row],[Наценка 24.05.24
1% - Б4, Б5,Г2,Г6
2% - А1,А3,А5,Б2,Г7]]</f>
        <v>116207.45966718988</v>
      </c>
      <c r="BW471" s="93"/>
      <c r="BX471" s="93">
        <f>ППД5[[#This Row],[Наценка 06.06.24
0К: В2,Г3 +0,5%
1К: А7, Б5/4, Г6 +0,5%
3К: В6 +0,5%
1К: А3 +1%]]+ППД5[[#This Row],[Фикс 24.05.24]]</f>
        <v>116207.45966718988</v>
      </c>
      <c r="BY471" s="93"/>
      <c r="BZ471" s="93">
        <f>ППД5[[#This Row],[Фикс 06.06.24]]+ППД5[[#This Row],[13.06.2024
3К - 2%]]</f>
        <v>116207.45966718988</v>
      </c>
      <c r="CA471" s="93">
        <f>1.5%*ППД5[[#This Row],[Фикс 13.06.24]]</f>
        <v>1743.111895007848</v>
      </c>
      <c r="CB471" s="93">
        <f>ППД5[[#This Row],[02.07.2024: Г3 А1 А3 Б5 Б7 Г2 Г6 Б3 Б4 В3 Г7 2,5% ост 0,5-1,5%]]+ППД5[[#This Row],[Фикс 13.06.24]]</f>
        <v>117950.57156219773</v>
      </c>
      <c r="CC471" s="93"/>
      <c r="CD471" s="93">
        <f>ППД5[[#This Row],[Фикс 02.07.24]]+ППД5[[#This Row],[04.09.2024 +500
0К - Б2; 1К - А3;
2К - А6, Б4, В3, Г5]]</f>
        <v>117950.57156219773</v>
      </c>
      <c r="CE471" s="93"/>
      <c r="CF471" s="93">
        <f>ППД5[[#This Row],[Наценка 16.09.2024
1К: А1,В7,Г6/7,Г8 - 2%
2К: А4,А5,А6,Б1,Б6,Б3/4,В3,В4,Г4,Г5 - 4%
3К: 4%]]+ППД5[[#This Row],[Фикс 04.09.24]]</f>
        <v>117950.57156219773</v>
      </c>
      <c r="CG471" s="93">
        <f>ППД5[[#This Row],[Фикс 16.09.2024]]*4%</f>
        <v>4718.0228624879092</v>
      </c>
      <c r="CH471" s="93">
        <f>ППД5[[#This Row],[Фикс 16.09.2024]]+ППД5[[#This Row],[Наценка 01.11.24
СТ: 4%
1К: 34-40м 5%; 40м+ 8%; МГН 1%
2К: 55-70м 6%; 70-73м 7%; 73-76м 8% 
3К: 5%]]</f>
        <v>122668.59442468564</v>
      </c>
      <c r="CI471" s="93">
        <f>ППД5[[#This Row],[Фикс 01.11.24]]*13%</f>
        <v>15946.917275209133</v>
      </c>
      <c r="CJ471" s="93">
        <f>ППД5[[#This Row],[Наценка 06.11 13%]]+ППД5[[#This Row],[Фикс 01.11.24]]</f>
        <v>138615.51169989476</v>
      </c>
      <c r="CK471" s="93"/>
      <c r="CL471" s="93">
        <f>ППД5[[#This Row],[Фикс 06.11.24]]+ППД5[[#This Row],[Наценка 18.12.24 распределение КВ]]</f>
        <v>138615.51169989476</v>
      </c>
      <c r="CM471" s="93"/>
      <c r="CN471" s="93">
        <f>ППД5[[#This Row],[Фикс 18.12.24]]+ППД5[[#This Row],[Наценка 10.02.25 +1%
1К: А3
2К: Б3, В3]]</f>
        <v>138615.51169989476</v>
      </c>
      <c r="CO471" s="93">
        <f>ROUND(ППД5[[#This Row],[Фикс 10.02.25]],2)</f>
        <v>138615.51</v>
      </c>
      <c r="CP47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4075300</v>
      </c>
      <c r="CQ471" s="93">
        <f>ROUNDUP(ППД5[[#This Row],[Стоимость до скидки]]+ППД5[[#This Row],[Сумма доплаты]],-2)</f>
        <v>4047600</v>
      </c>
      <c r="CR471" s="68"/>
      <c r="CS471" s="90">
        <v>0.02</v>
      </c>
      <c r="CT471" s="68">
        <f>ППД5[[#This Row],[Стоимость до скидки]]*ППД5[[#This Row],[Скидка %]]+ППД5[[#This Row],[Скидка фиксированная]]</f>
        <v>81506</v>
      </c>
      <c r="CU471" s="3">
        <f>ППД5[[#This Row],[Стоимость ОН без отделки со скидкой]]/ППД5[[#This Row],[Расчетная проектная площадь]]</f>
        <v>135843.33333333334</v>
      </c>
      <c r="CV471" s="3">
        <f>ROUND(ППД5[[#This Row],[Стоимость до скидки]]-ППД5[[#This Row],[Итоговая сумма скидки]],2)</f>
        <v>3993794</v>
      </c>
      <c r="CW47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71" s="197"/>
      <c r="CY471" s="332">
        <f>ППД5[[#This Row],[Расхождение]]/ППД5[[#This Row],[Расчетная проектная площадь]]</f>
        <v>-6.8027210884353505E-3</v>
      </c>
      <c r="CZ47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-0.13000000000000078</v>
      </c>
      <c r="DA471" s="3">
        <f>ППД5[[#This Row],[Цена м2 без отделки со скидкой]]+ППД5[[#This Row],[Стоимость отделки]]</f>
        <v>135843.33333333334</v>
      </c>
      <c r="DB471" s="3">
        <f>ППД5[[#This Row],[Стоимость квартиры с отделкой]]-ППД5[[#This Row],[Стоимость ОН без отделки со скидкой]]</f>
        <v>0</v>
      </c>
      <c r="DC471" s="3">
        <f>ППД5[[#This Row],[Цена м2 с отделкой]]*ППД5[[#This Row],[Расчетная проектная площадь]]</f>
        <v>3993794</v>
      </c>
      <c r="DD471" s="3"/>
      <c r="DE471" s="111" t="s">
        <v>757</v>
      </c>
      <c r="DF471" s="199" t="s">
        <v>172</v>
      </c>
      <c r="DG471" s="245" t="s">
        <v>172</v>
      </c>
      <c r="DH471" s="100" t="b">
        <f>EXACT(ППД5[[#This Row],[Статусы CRM]],ППД5[[#This Row],[Статус]])</f>
        <v>1</v>
      </c>
      <c r="DI471" s="213" t="s">
        <v>643</v>
      </c>
      <c r="DJ471" s="204"/>
      <c r="DK471" s="111" t="s">
        <v>763</v>
      </c>
      <c r="DL471" s="216" t="s">
        <v>12</v>
      </c>
      <c r="DM471" s="201" t="b">
        <f>ППД5[[#This Row],[Отделка CRM]]=ППД5[[#This Row],[Отделка]]</f>
        <v>1</v>
      </c>
      <c r="DN471" s="203">
        <v>3993794</v>
      </c>
      <c r="DO47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71" s="207" t="b">
        <f>IF(AND(ППД5[[#This Row],[Статус]]="свободно",ППД5[[#This Row],[Итоговая сумма скидки]]&lt;&gt;0),FALSE,TRUE)</f>
        <v>1</v>
      </c>
      <c r="DQ471" s="240">
        <f>_xlfn.XLOOKUP(ППД5[[#This Row],[№]],Юрист[№ кв],Юрист[Дата подачи на регистрацию]," ",0,-1)</f>
        <v>45649</v>
      </c>
      <c r="DR471" s="115" t="str">
        <f>_xlfn.XLOOKUP(ППД5[[#This Row],[№]],Юрист[№ кв],Юрист[МОП],"",0,-1)</f>
        <v>Полехович</v>
      </c>
      <c r="DS471" s="333" t="s">
        <v>3234</v>
      </c>
      <c r="DT471" s="333" t="s">
        <v>3235</v>
      </c>
      <c r="DU471" s="333">
        <v>26.9</v>
      </c>
      <c r="DV471" s="111"/>
    </row>
    <row r="472" spans="1:126" hidden="1" x14ac:dyDescent="0.25">
      <c r="A472" s="112">
        <v>470</v>
      </c>
      <c r="B472" s="111" t="s">
        <v>2</v>
      </c>
      <c r="C472" s="111">
        <v>11</v>
      </c>
      <c r="D472" s="115">
        <v>2</v>
      </c>
      <c r="E472" s="111">
        <v>1</v>
      </c>
      <c r="F472" s="105">
        <v>13.17</v>
      </c>
      <c r="G472" s="105"/>
      <c r="H472" s="105"/>
      <c r="I472" s="94">
        <f>SUM(ППД5[[#This Row],[Комната 1]:[Комната 3]])</f>
        <v>13.17</v>
      </c>
      <c r="J472" s="105">
        <v>16.940000000000001</v>
      </c>
      <c r="K472" s="105">
        <v>3.55</v>
      </c>
      <c r="L472" s="105">
        <v>2.41</v>
      </c>
      <c r="M472" s="105"/>
      <c r="N472" s="105">
        <v>5.8</v>
      </c>
      <c r="O472" s="105">
        <v>2.68</v>
      </c>
      <c r="P472" s="105"/>
      <c r="Q472" s="105"/>
      <c r="R472" s="105">
        <f>SUM(ППД5[[#This Row],[Лоджия 1]:[Лоджия 3]])</f>
        <v>2.68</v>
      </c>
      <c r="S472" s="8">
        <f>ROUND(SUM(ППД5[[#This Row],[Площадь по проекту жилая]:[Лоджия 3]]),2)</f>
        <v>44.55</v>
      </c>
      <c r="T472" s="8">
        <f>ROUND(ППД5[[#This Row],[Площадь по проекту(общая)]]-ППД5[[#This Row],[Летние]],2)</f>
        <v>41.87</v>
      </c>
      <c r="U472" s="91">
        <f>ROUND(ППД5[[#This Row],[Площадь по проекту(общая)]]-(SUM(ППД5[[#This Row],[Лоджия 1]:[Лоджия 3]])/2),2)</f>
        <v>43.21</v>
      </c>
      <c r="V472" s="91">
        <f>IF(ППД5[[#This Row],[Статус]]="продажа",ППД5[[#This Row],[Расчетная проектная площадь]],ППД5[[#This Row],[Расчетная ТП площадь]])</f>
        <v>42.15</v>
      </c>
      <c r="W472" s="91">
        <v>12.8</v>
      </c>
      <c r="X472" s="91"/>
      <c r="Y472" s="91"/>
      <c r="Z472" s="91">
        <f>SUM(ППД5[[#This Row],[ТП Комната 1]:[ТП Комната 3]])</f>
        <v>12.8</v>
      </c>
      <c r="AA472" s="91">
        <v>16.899999999999999</v>
      </c>
      <c r="AB472" s="91">
        <v>2</v>
      </c>
      <c r="AC472" s="91">
        <v>3.3</v>
      </c>
      <c r="AD472" s="91"/>
      <c r="AE472" s="91">
        <v>5.8</v>
      </c>
      <c r="AF472" s="91">
        <v>1.35</v>
      </c>
      <c r="AG472" s="91"/>
      <c r="AH472" s="91"/>
      <c r="AI472" s="91">
        <f>SUM(ППД5[[#This Row],[ТП Лоджия 1]:[ТП Лоджия 3]])</f>
        <v>1.35</v>
      </c>
      <c r="AJ472" s="95">
        <v>2.7</v>
      </c>
      <c r="AK472" s="91">
        <f>SUM(ППД5[[#This Row],[Площадь по ТП жилая]:[ТП Лоджия 3]])-ППД5[[#This Row],[ТП Летние]]+ППД5[[#This Row],[кроме того прочая
(без коэффициента)]]</f>
        <v>43.5</v>
      </c>
      <c r="AL472" s="95">
        <f>ППД5[[#This Row],[ТП Площадь без летних]]+(ППД5[[#This Row],[ТП Летние]])</f>
        <v>42.15</v>
      </c>
      <c r="AM472" s="91">
        <f>ППД5[[#This Row],[ТП общая S]]-ППД5[[#This Row],[кроме того прочая
(без коэффициента)]]</f>
        <v>40.799999999999997</v>
      </c>
      <c r="AN472" s="95">
        <f>SUM(ППД5[[#This Row],[ТП Кухня]:[ТП Коридор]])</f>
        <v>28</v>
      </c>
      <c r="AO472" s="91">
        <f>ППД5[[#This Row],[Расчетная ТП площадь]]-ППД5[[#This Row],[Расчетная проектная площадь]]</f>
        <v>-1.0600000000000023</v>
      </c>
      <c r="AP472" s="335">
        <f>ППД5[[#This Row],[Расчетная ТП площадь]]/ППД5[[#This Row],[Расчетная проектная площадь]]-1</f>
        <v>-2.4531358481832966E-2</v>
      </c>
      <c r="AQ472" s="91">
        <f>ППД5[[#This Row],[% расхождения]]*ППД5[[#This Row],[Стоимость до скидки]]</f>
        <v>-143601.66628095382</v>
      </c>
      <c r="AR472" s="91">
        <f>VLOOKUP(ППД5[[#This Row],[№]],наценкад5[],COLUMN(наценкад5[[#This Row],[Цена м2 с учетом всех K]]),0)</f>
        <v>85168.125</v>
      </c>
      <c r="AS472" s="8">
        <f>ППД5[[#This Row],[м2 после К]]*5%</f>
        <v>4258.40625</v>
      </c>
      <c r="AT472" s="8">
        <f>ППД5[[#This Row],[м2 после К]]+ППД5[[#This Row],[Повышение 16.08.23 - 5%]]</f>
        <v>89426.53125</v>
      </c>
      <c r="AU472" s="93">
        <f>ППД5[[#This Row],[Фикс 16.08.23]]*3%</f>
        <v>2682.7959375</v>
      </c>
      <c r="AV472" s="93">
        <f>ППД5[[#This Row],[Фикс 16.08.23]]+ППД5[[#This Row],[Повышение 29.08.23 - 3%]]</f>
        <v>92109.327187500006</v>
      </c>
      <c r="AW472" s="93">
        <f>ППД5[[#This Row],[Фикс 29.08.23]]*1%</f>
        <v>921.09327187500003</v>
      </c>
      <c r="AX472" s="93">
        <f>ППД5[[#This Row],[Фикс 29.08.23]]+ППД5[[#This Row],[Повышение 06.09.23 СТ и 1К]]</f>
        <v>93030.420459375004</v>
      </c>
      <c r="AY472" s="93"/>
      <c r="AZ472" s="93">
        <f>ППД5[[#This Row],[Повышение 23.10.23  В4 ]]+ППД5[[#This Row],[Фикс 06.09.23]]</f>
        <v>93030.420459375004</v>
      </c>
      <c r="BA472" s="93">
        <f>ППД5[[#This Row],[Фикс 23.10.23]]*5%</f>
        <v>4651.52102296875</v>
      </c>
      <c r="BB472" s="93">
        <f>ППД5[[#This Row],[Повышение 8.11.23 1К 5%]]+ППД5[[#This Row],[Фикс 23.10.23]]</f>
        <v>97681.941482343755</v>
      </c>
      <c r="BC472" s="93"/>
      <c r="BD472" s="93">
        <f>ППД5[[#This Row],[Корректировка 24.11.23 - 1К В5, 2К А2, №233]]+ППД5[[#This Row],[Фикс 8.11.23]]</f>
        <v>97681.941482343755</v>
      </c>
      <c r="BE472" s="93">
        <f>ППД5[[#This Row],[Фикс 8.11.24]]*1%</f>
        <v>976.81941482343757</v>
      </c>
      <c r="BF472" s="93">
        <f>ППД5[[#This Row],[Наценка за отделку 29.12.23 1%]]+ППД5[[#This Row],[Фикс 8.11.24]]</f>
        <v>98658.760897167187</v>
      </c>
      <c r="BG472" s="93">
        <f>ППД5[[#This Row],[Фикс 29.12.23]]*5%</f>
        <v>4932.9380448583597</v>
      </c>
      <c r="BH472" s="93">
        <f>ППД5[[#This Row],[Фикс 29.12.23]]+ППД5[[#This Row],[Наценка 10.01.24 5%]]</f>
        <v>103591.69894202554</v>
      </c>
      <c r="BI472" s="93"/>
      <c r="BJ472" s="93">
        <f>ППД5[[#This Row],[Наценка 26.02.24 1 Этаж]]+ППД5[[#This Row],[Фикс 10.01.24]]</f>
        <v>103591.69894202554</v>
      </c>
      <c r="BK472" s="93">
        <f>ППД5[[#This Row],[Фикс 26.02.24]]*3%</f>
        <v>3107.7509682607661</v>
      </c>
      <c r="BL472" s="93">
        <f>ППД5[[#This Row],[Фикс 26.02.24]]+ППД5[[#This Row],[Наценка 06.03.24
СТ, 1К - 3%
2К, 3К - 2%]]</f>
        <v>106699.4499102863</v>
      </c>
      <c r="BM472" s="93">
        <v>500</v>
      </c>
      <c r="BN472" s="93">
        <f>ППД5[[#This Row],[Фикс 06.03.24]]+ППД5[[#This Row],[Наценка Г2+500]]</f>
        <v>107199.4499102863</v>
      </c>
      <c r="BO472" s="93"/>
      <c r="BP472" s="93">
        <f>ППД5[[#This Row],[Фикс 13.03.25]]+ППД5[[#This Row],[Наценка 20.03.24
2К, 3К - 2%]]</f>
        <v>107199.4499102863</v>
      </c>
      <c r="BQ472" s="93"/>
      <c r="BR472" s="93">
        <f>ППД5[[#This Row],[Фикс 20.03.24]]+ППД5[[#This Row],[Наценка 08.04.24 
2К: В3 - 150
3К: Г7 +1000]]</f>
        <v>107199.4499102863</v>
      </c>
      <c r="BS472" s="93"/>
      <c r="BT472" s="93">
        <f>ППД5[[#This Row],[Фикс 08.04.24]]+ППД5[[#This Row],[Наценка 16.05.24 1%
А4,А6,Б3,Б6,Б7,В2,В3,В5,В6,Г1,Г3-Г5]]</f>
        <v>107199.4499102863</v>
      </c>
      <c r="BU472" s="93">
        <f>ППД5[[#This Row],[Фикс 16.05.24]]*1%</f>
        <v>1071.9944991028631</v>
      </c>
      <c r="BV472" s="93">
        <f>ППД5[[#This Row],[Фикс 16.05.24]]+ППД5[[#This Row],[Наценка 24.05.24
1% - Б4, Б5,Г2,Г6
2% - А1,А3,А5,Б2,Г7]]</f>
        <v>108271.44440938917</v>
      </c>
      <c r="BW472" s="93"/>
      <c r="BX472" s="93">
        <f>ППД5[[#This Row],[Наценка 06.06.24
0К: В2,Г3 +0,5%
1К: А7, Б5/4, Г6 +0,5%
3К: В6 +0,5%
1К: А3 +1%]]+ППД5[[#This Row],[Фикс 24.05.24]]</f>
        <v>108271.44440938917</v>
      </c>
      <c r="BY472" s="93"/>
      <c r="BZ472" s="93">
        <f>ППД5[[#This Row],[Фикс 06.06.24]]+ППД5[[#This Row],[13.06.2024
3К - 2%]]</f>
        <v>108271.44440938917</v>
      </c>
      <c r="CA472" s="93">
        <f>2.5%*ППД5[[#This Row],[Фикс 13.06.24]]</f>
        <v>2706.7861102347292</v>
      </c>
      <c r="CB472" s="93">
        <f>ППД5[[#This Row],[02.07.2024: Г3 А1 А3 Б5 Б7 Г2 Г6 Б3 Б4 В3 Г7 2,5% ост 0,5-1,5%]]+ППД5[[#This Row],[Фикс 13.06.24]]</f>
        <v>110978.23051962389</v>
      </c>
      <c r="CC472" s="93"/>
      <c r="CD472" s="93">
        <f>ППД5[[#This Row],[Фикс 02.07.24]]+ППД5[[#This Row],[04.09.2024 +500
0К - Б2; 1К - А3;
2К - А6, Б4, В3, Г5]]</f>
        <v>110978.23051962389</v>
      </c>
      <c r="CE472" s="93"/>
      <c r="CF472" s="93">
        <f>ППД5[[#This Row],[Наценка 16.09.2024
1К: А1,В7,Г6/7,Г8 - 2%
2К: А4,А5,А6,Б1,Б6,Б3/4,В3,В4,Г4,Г5 - 4%
3К: 4%]]+ППД5[[#This Row],[Фикс 04.09.24]]</f>
        <v>110978.23051962389</v>
      </c>
      <c r="CG472" s="93">
        <f>ППД5[[#This Row],[Фикс 16.09.2024]]*8%</f>
        <v>8878.2584415699112</v>
      </c>
      <c r="CH472" s="93">
        <f>ППД5[[#This Row],[Фикс 16.09.2024]]+ППД5[[#This Row],[Наценка 01.11.24
СТ: 4%
1К: 34-40м 5%; 40м+ 8%; МГН 1%
2К: 55-70м 6%; 70-73м 7%; 73-76м 8% 
3К: 5%]]</f>
        <v>119856.4889611938</v>
      </c>
      <c r="CI472" s="93">
        <f>ППД5[[#This Row],[Фикс 01.11.24]]*13%</f>
        <v>15581.343564955194</v>
      </c>
      <c r="CJ472" s="93">
        <f>ППД5[[#This Row],[Наценка 06.11 13%]]+ППД5[[#This Row],[Фикс 01.11.24]]</f>
        <v>135437.832526149</v>
      </c>
      <c r="CK472" s="93">
        <v>35</v>
      </c>
      <c r="CL472" s="93">
        <f>ППД5[[#This Row],[Фикс 06.11.24]]+ППД5[[#This Row],[Наценка 18.12.24 распределение КВ]]</f>
        <v>135472.832526149</v>
      </c>
      <c r="CM472" s="93"/>
      <c r="CN472" s="93">
        <f>ППД5[[#This Row],[Фикс 18.12.24]]+ППД5[[#This Row],[Наценка 10.02.25 +1%
1К: А3
2К: Б3, В3]]</f>
        <v>135472.832526149</v>
      </c>
      <c r="CO472" s="93">
        <f>ROUND(ППД5[[#This Row],[Фикс 10.02.25]],2)</f>
        <v>135472.82999999999</v>
      </c>
      <c r="CP47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5853800</v>
      </c>
      <c r="CQ472" s="93">
        <f>ROUNDUP(ППД5[[#This Row],[Стоимость до скидки]]+ППД5[[#This Row],[Сумма доплаты]],-2)</f>
        <v>5710200</v>
      </c>
      <c r="CR472" s="68"/>
      <c r="CS472" s="90"/>
      <c r="CT472" s="68">
        <f>ППД5[[#This Row],[Стоимость до скидки]]*ППД5[[#This Row],[Скидка %]]+ППД5[[#This Row],[Скидка фиксированная]]</f>
        <v>0</v>
      </c>
      <c r="CU472" s="3">
        <f>ППД5[[#This Row],[Стоимость ОН без отделки со скидкой]]/ППД5[[#This Row],[Расчетная проектная площадь]]</f>
        <v>135473.27007637121</v>
      </c>
      <c r="CV472" s="3">
        <f>ROUND(ППД5[[#This Row],[Стоимость до скидки]]-ППД5[[#This Row],[Итоговая сумма скидки]],2)</f>
        <v>5853800</v>
      </c>
      <c r="CW47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72" s="197"/>
      <c r="CY472" s="332">
        <f>ППД5[[#This Row],[Расхождение]]/ППД5[[#This Row],[Расчетная проектная площадь]]</f>
        <v>-2.4531358481832962E-2</v>
      </c>
      <c r="CZ47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-0.70000000000000284</v>
      </c>
      <c r="DA472" s="3">
        <f>ППД5[[#This Row],[Цена м2 без отделки со скидкой]]+ППД5[[#This Row],[Стоимость отделки]]</f>
        <v>135473.27007637121</v>
      </c>
      <c r="DB472" s="3">
        <f>ППД5[[#This Row],[Стоимость квартиры с отделкой]]-ППД5[[#This Row],[Стоимость ОН без отделки со скидкой]]</f>
        <v>0</v>
      </c>
      <c r="DC472" s="3">
        <f>ППД5[[#This Row],[Цена м2 с отделкой]]*ППД5[[#This Row],[Расчетная проектная площадь]]</f>
        <v>5853800</v>
      </c>
      <c r="DD472" s="3"/>
      <c r="DF472" s="155" t="s">
        <v>3465</v>
      </c>
      <c r="DG472" s="221" t="s">
        <v>3465</v>
      </c>
      <c r="DH472" s="100" t="b">
        <f>EXACT(ППД5[[#This Row],[Статусы CRM]],ППД5[[#This Row],[Статус]])</f>
        <v>1</v>
      </c>
      <c r="DI472" s="213" t="s">
        <v>644</v>
      </c>
      <c r="DJ472" s="204"/>
      <c r="DK472" s="111" t="s">
        <v>763</v>
      </c>
      <c r="DL472" s="216" t="s">
        <v>12</v>
      </c>
      <c r="DM472" s="201" t="b">
        <f>ППД5[[#This Row],[Отделка CRM]]=ППД5[[#This Row],[Отделка]]</f>
        <v>1</v>
      </c>
      <c r="DN472" s="203">
        <v>5853800</v>
      </c>
      <c r="DO47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72" s="207" t="b">
        <f>IF(AND(ППД5[[#This Row],[Статус]]="свободно",ППД5[[#This Row],[Итоговая сумма скидки]]&lt;&gt;0),FALSE,TRUE)</f>
        <v>1</v>
      </c>
      <c r="DQ472" s="240" t="str">
        <f>_xlfn.XLOOKUP(ППД5[[#This Row],[№]],Юрист[№ кв],Юрист[Дата подачи на регистрацию]," ",0,-1)</f>
        <v xml:space="preserve"> </v>
      </c>
      <c r="DR472" s="115" t="str">
        <f>_xlfn.XLOOKUP(ППД5[[#This Row],[№]],Юрист[№ кв],Юрист[МОП],"",0,-1)</f>
        <v/>
      </c>
      <c r="DS472" s="333" t="s">
        <v>3236</v>
      </c>
      <c r="DT472" s="333" t="s">
        <v>3237</v>
      </c>
      <c r="DU472" s="333">
        <v>40.799999999999997</v>
      </c>
      <c r="DV472" s="111"/>
    </row>
    <row r="473" spans="1:126" hidden="1" x14ac:dyDescent="0.25">
      <c r="A473" s="112">
        <v>471</v>
      </c>
      <c r="B473" s="111" t="s">
        <v>2</v>
      </c>
      <c r="C473" s="111">
        <v>11</v>
      </c>
      <c r="D473" s="115">
        <v>3</v>
      </c>
      <c r="E473" s="111">
        <v>0</v>
      </c>
      <c r="F473" s="105">
        <v>7.2</v>
      </c>
      <c r="G473" s="105"/>
      <c r="H473" s="105"/>
      <c r="I473" s="94">
        <f>SUM(ППД5[[#This Row],[Комната 1]:[Комната 3]])</f>
        <v>7.2</v>
      </c>
      <c r="J473" s="105">
        <v>5.17</v>
      </c>
      <c r="K473" s="105">
        <v>3.71</v>
      </c>
      <c r="L473" s="105"/>
      <c r="M473" s="105"/>
      <c r="N473" s="105">
        <v>6.96</v>
      </c>
      <c r="O473" s="105">
        <v>2.92</v>
      </c>
      <c r="P473" s="105"/>
      <c r="Q473" s="105"/>
      <c r="R473" s="105">
        <f>SUM(ППД5[[#This Row],[Лоджия 1]:[Лоджия 3]])</f>
        <v>2.92</v>
      </c>
      <c r="S473" s="8">
        <f>ROUND(SUM(ППД5[[#This Row],[Площадь по проекту жилая]:[Лоджия 3]]),2)</f>
        <v>25.96</v>
      </c>
      <c r="T473" s="8">
        <f>ROUND(ППД5[[#This Row],[Площадь по проекту(общая)]]-ППД5[[#This Row],[Летние]],2)</f>
        <v>23.04</v>
      </c>
      <c r="U473" s="91">
        <f>ROUND(ППД5[[#This Row],[Площадь по проекту(общая)]]-(SUM(ППД5[[#This Row],[Лоджия 1]:[Лоджия 3]])/2),2)</f>
        <v>24.5</v>
      </c>
      <c r="V473" s="91">
        <f>IF(ППД5[[#This Row],[Статус]]="продажа",ППД5[[#This Row],[Расчетная проектная площадь]],ППД5[[#This Row],[Расчетная ТП площадь]])</f>
        <v>24.5</v>
      </c>
      <c r="W473" s="91">
        <v>7.2</v>
      </c>
      <c r="X473" s="91"/>
      <c r="Y473" s="91"/>
      <c r="Z473" s="91">
        <f>SUM(ППД5[[#This Row],[ТП Комната 1]:[ТП Комната 3]])</f>
        <v>7.2</v>
      </c>
      <c r="AA473" s="91">
        <v>5.6</v>
      </c>
      <c r="AB473" s="91">
        <v>3.7</v>
      </c>
      <c r="AC473" s="91"/>
      <c r="AD473" s="91"/>
      <c r="AE473" s="91">
        <v>6.5</v>
      </c>
      <c r="AF473" s="91">
        <v>1.45</v>
      </c>
      <c r="AG473" s="91"/>
      <c r="AH473" s="91"/>
      <c r="AI473" s="91">
        <f>SUM(ППД5[[#This Row],[ТП Лоджия 1]:[ТП Лоджия 3]])</f>
        <v>1.45</v>
      </c>
      <c r="AJ473" s="95">
        <v>2.9</v>
      </c>
      <c r="AK473" s="91">
        <f>SUM(ППД5[[#This Row],[Площадь по ТП жилая]:[ТП Лоджия 3]])-ППД5[[#This Row],[ТП Летние]]+ППД5[[#This Row],[кроме того прочая
(без коэффициента)]]</f>
        <v>25.9</v>
      </c>
      <c r="AL473" s="95">
        <f>ППД5[[#This Row],[ТП Площадь без летних]]+(ППД5[[#This Row],[ТП Летние]])</f>
        <v>24.45</v>
      </c>
      <c r="AM473" s="91">
        <f>ППД5[[#This Row],[ТП общая S]]-ППД5[[#This Row],[кроме того прочая
(без коэффициента)]]</f>
        <v>23</v>
      </c>
      <c r="AN473" s="95">
        <f>SUM(ППД5[[#This Row],[ТП Кухня]:[ТП Коридор]])</f>
        <v>15.8</v>
      </c>
      <c r="AO473" s="91">
        <f>ППД5[[#This Row],[Расчетная ТП площадь]]-ППД5[[#This Row],[Расчетная проектная площадь]]</f>
        <v>-5.0000000000000711E-2</v>
      </c>
      <c r="AP473" s="335">
        <f>ППД5[[#This Row],[Расчетная ТП площадь]]/ППД5[[#This Row],[Расчетная проектная площадь]]-1</f>
        <v>-2.0408163265306367E-3</v>
      </c>
      <c r="AQ473" s="91">
        <f>ППД5[[#This Row],[% расхождения]]*ППД5[[#This Row],[Стоимость до скидки]]</f>
        <v>-4555.2780000000548</v>
      </c>
      <c r="AR473" s="91">
        <f>VLOOKUP(ППД5[[#This Row],[№]],наценкад5[],COLUMN(наценкад5[[#This Row],[Цена м2 с учетом всех K]]),0)</f>
        <v>91105.56</v>
      </c>
      <c r="AS473" s="8"/>
      <c r="AT473" s="8">
        <f>ППД5[[#This Row],[м2 после К]]+ППД5[[#This Row],[Повышение 16.08.23 - 5%]]</f>
        <v>91105.56</v>
      </c>
      <c r="AU473" s="93"/>
      <c r="AV473" s="93">
        <f>ППД5[[#This Row],[Фикс 16.08.23]]+ППД5[[#This Row],[Повышение 29.08.23 - 3%]]</f>
        <v>91105.56</v>
      </c>
      <c r="AW473" s="93"/>
      <c r="AX473" s="93">
        <f>ППД5[[#This Row],[Фикс 29.08.23]]+ППД5[[#This Row],[Повышение 06.09.23 СТ и 1К]]</f>
        <v>91105.56</v>
      </c>
      <c r="AY473" s="93"/>
      <c r="AZ473" s="93">
        <f>ППД5[[#This Row],[Повышение 23.10.23  В4 ]]+ППД5[[#This Row],[Фикс 06.09.23]]</f>
        <v>91105.56</v>
      </c>
      <c r="BA473" s="93"/>
      <c r="BB473" s="93">
        <f>ППД5[[#This Row],[Повышение 8.11.23 1К 5%]]+ППД5[[#This Row],[Фикс 23.10.23]]</f>
        <v>91105.56</v>
      </c>
      <c r="BC473" s="93"/>
      <c r="BD473" s="93">
        <f>ППД5[[#This Row],[Корректировка 24.11.23 - 1К В5, 2К А2, №233]]+ППД5[[#This Row],[Фикс 8.11.23]]</f>
        <v>91105.56</v>
      </c>
      <c r="BE473" s="93"/>
      <c r="BF473" s="93">
        <f>ППД5[[#This Row],[Наценка за отделку 29.12.23 1%]]+ППД5[[#This Row],[Фикс 8.11.24]]</f>
        <v>91105.56</v>
      </c>
      <c r="BG473" s="93"/>
      <c r="BH473" s="93">
        <f>ППД5[[#This Row],[Фикс 29.12.23]]+ППД5[[#This Row],[Наценка 10.01.24 5%]]</f>
        <v>91105.56</v>
      </c>
      <c r="BI473" s="93"/>
      <c r="BJ473" s="93">
        <f>ППД5[[#This Row],[Наценка 26.02.24 1 Этаж]]+ППД5[[#This Row],[Фикс 10.01.24]]</f>
        <v>91105.56</v>
      </c>
      <c r="BK473" s="93"/>
      <c r="BL473" s="93">
        <f>ППД5[[#This Row],[Фикс 26.02.24]]+ППД5[[#This Row],[Наценка 06.03.24
СТ, 1К - 3%
2К, 3К - 2%]]</f>
        <v>91105.56</v>
      </c>
      <c r="BM473" s="93"/>
      <c r="BN473" s="93">
        <f>ППД5[[#This Row],[Фикс 06.03.24]]+ППД5[[#This Row],[Наценка Г2+500]]</f>
        <v>91105.56</v>
      </c>
      <c r="BO473" s="93"/>
      <c r="BP473" s="93">
        <f>ППД5[[#This Row],[Фикс 13.03.25]]+ППД5[[#This Row],[Наценка 20.03.24
2К, 3К - 2%]]</f>
        <v>91105.56</v>
      </c>
      <c r="BQ473" s="93"/>
      <c r="BR473" s="93">
        <f>ППД5[[#This Row],[Фикс 20.03.24]]+ППД5[[#This Row],[Наценка 08.04.24 
2К: В3 - 150
3К: Г7 +1000]]</f>
        <v>91105.56</v>
      </c>
      <c r="BS473" s="93"/>
      <c r="BT473" s="93">
        <f>ППД5[[#This Row],[Фикс 08.04.24]]+ППД5[[#This Row],[Наценка 16.05.24 1%
А4,А6,Б3,Б6,Б7,В2,В3,В5,В6,Г1,Г3-Г5]]</f>
        <v>91105.56</v>
      </c>
      <c r="BU473" s="93"/>
      <c r="BV473" s="93">
        <f>ППД5[[#This Row],[Фикс 16.05.24]]+ППД5[[#This Row],[Наценка 24.05.24
1% - Б4, Б5,Г2,Г6
2% - А1,А3,А5,Б2,Г7]]</f>
        <v>91105.56</v>
      </c>
      <c r="BW473" s="93"/>
      <c r="BX473" s="93">
        <f>ППД5[[#This Row],[Наценка 06.06.24
0К: В2,Г3 +0,5%
1К: А7, Б5/4, Г6 +0,5%
3К: В6 +0,5%
1К: А3 +1%]]+ППД5[[#This Row],[Фикс 24.05.24]]</f>
        <v>91105.56</v>
      </c>
      <c r="BY473" s="93"/>
      <c r="BZ473" s="93">
        <f>ППД5[[#This Row],[Фикс 06.06.24]]+ППД5[[#This Row],[13.06.2024
3К - 2%]]</f>
        <v>91105.56</v>
      </c>
      <c r="CA473" s="93"/>
      <c r="CB473" s="93">
        <f>ППД5[[#This Row],[02.07.2024: Г3 А1 А3 Б5 Б7 Г2 Г6 Б3 Б4 В3 Г7 2,5% ост 0,5-1,5%]]+ППД5[[#This Row],[Фикс 13.06.24]]</f>
        <v>91105.56</v>
      </c>
      <c r="CC473" s="93"/>
      <c r="CD473" s="93">
        <f>ППД5[[#This Row],[Фикс 02.07.24]]+ППД5[[#This Row],[04.09.2024 +500
0К - Б2; 1К - А3;
2К - А6, Б4, В3, Г5]]</f>
        <v>91105.56</v>
      </c>
      <c r="CE473" s="93"/>
      <c r="CF473" s="93">
        <f>ППД5[[#This Row],[Наценка 16.09.2024
1К: А1,В7,Г6/7,Г8 - 2%
2К: А4,А5,А6,Б1,Б6,Б3/4,В3,В4,Г4,Г5 - 4%
3К: 4%]]+ППД5[[#This Row],[Фикс 04.09.24]]</f>
        <v>91105.56</v>
      </c>
      <c r="CG473" s="93"/>
      <c r="CH473" s="93">
        <f>ППД5[[#This Row],[Фикс 16.09.2024]]+ППД5[[#This Row],[Наценка 01.11.24
СТ: 4%
1К: 34-40м 5%; 40м+ 8%; МГН 1%
2К: 55-70м 6%; 70-73м 7%; 73-76м 8% 
3К: 5%]]</f>
        <v>91105.56</v>
      </c>
      <c r="CI473" s="93"/>
      <c r="CJ473" s="93">
        <f>ППД5[[#This Row],[Наценка 06.11 13%]]+ППД5[[#This Row],[Фикс 01.11.24]]</f>
        <v>91105.56</v>
      </c>
      <c r="CK473" s="93"/>
      <c r="CL473" s="93">
        <f>ППД5[[#This Row],[Фикс 06.11.24]]+ППД5[[#This Row],[Наценка 18.12.24 распределение КВ]]</f>
        <v>91105.56</v>
      </c>
      <c r="CM473" s="93"/>
      <c r="CN473" s="93">
        <f>ППД5[[#This Row],[Фикс 18.12.24]]+ППД5[[#This Row],[Наценка 10.02.25 +1%
1К: А3
2К: Б3, В3]]</f>
        <v>91105.56</v>
      </c>
      <c r="CO473" s="93">
        <f>ROUND(ППД5[[#This Row],[Фикс 10.02.25]],2)</f>
        <v>91105.56</v>
      </c>
      <c r="CP47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2232086.2200000002</v>
      </c>
      <c r="CQ473" s="93">
        <f>ROUNDUP(ППД5[[#This Row],[Стоимость до скидки]]+ППД5[[#This Row],[Сумма доплаты]],-2)</f>
        <v>2227600</v>
      </c>
      <c r="CR473" s="68"/>
      <c r="CS473" s="90"/>
      <c r="CT473" s="68">
        <f>ППД5[[#This Row],[Стоимость до скидки]]*ППД5[[#This Row],[Скидка %]]+ППД5[[#This Row],[Скидка фиксированная]]</f>
        <v>0</v>
      </c>
      <c r="CU473" s="3">
        <f>ППД5[[#This Row],[Стоимость ОН без отделки со скидкой]]/ППД5[[#This Row],[Расчетная проектная площадь]]</f>
        <v>91105.560000000012</v>
      </c>
      <c r="CV473" s="3">
        <f>ROUND(ППД5[[#This Row],[Стоимость до скидки]]-ППД5[[#This Row],[Итоговая сумма скидки]],2)</f>
        <v>2232086.2200000002</v>
      </c>
      <c r="CW47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73" s="197"/>
      <c r="CY473" s="332">
        <f>ППД5[[#This Row],[Расхождение]]/ППД5[[#This Row],[Расчетная проектная площадь]]</f>
        <v>-2.0408163265306411E-3</v>
      </c>
      <c r="CZ47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-4.0000000000000036E-2</v>
      </c>
      <c r="DA473" s="3">
        <f>ППД5[[#This Row],[Цена м2 без отделки со скидкой]]+ППД5[[#This Row],[Стоимость отделки]]</f>
        <v>91105.560000000012</v>
      </c>
      <c r="DB473" s="3">
        <f>ППД5[[#This Row],[Стоимость квартиры с отделкой]]-ППД5[[#This Row],[Стоимость ОН без отделки со скидкой]]</f>
        <v>0</v>
      </c>
      <c r="DC473" s="3">
        <f>ППД5[[#This Row],[Цена м2 с отделкой]]*ППД5[[#This Row],[Расчетная проектная площадь]]</f>
        <v>2232086.2200000002</v>
      </c>
      <c r="DD473" s="3"/>
      <c r="DF473" s="199" t="s">
        <v>172</v>
      </c>
      <c r="DG473" s="245" t="s">
        <v>172</v>
      </c>
      <c r="DH473" s="100" t="b">
        <f>EXACT(ППД5[[#This Row],[Статусы CRM]],ППД5[[#This Row],[Статус]])</f>
        <v>1</v>
      </c>
      <c r="DI473" s="213" t="s">
        <v>645</v>
      </c>
      <c r="DJ473" s="204"/>
      <c r="DK473" s="111" t="s">
        <v>76</v>
      </c>
      <c r="DL473" s="216" t="s">
        <v>12</v>
      </c>
      <c r="DM473" s="201" t="b">
        <f>ППД5[[#This Row],[Отделка CRM]]=ППД5[[#This Row],[Отделка]]</f>
        <v>1</v>
      </c>
      <c r="DN473" s="203">
        <v>2232086.2200000002</v>
      </c>
      <c r="DO47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73" s="207" t="b">
        <f>IF(AND(ППД5[[#This Row],[Статус]]="свободно",ППД5[[#This Row],[Итоговая сумма скидки]]&lt;&gt;0),FALSE,TRUE)</f>
        <v>1</v>
      </c>
      <c r="DQ473" s="240">
        <f>_xlfn.XLOOKUP(ППД5[[#This Row],[№]],Юрист[№ кв],Юрист[Дата подачи на регистрацию]," ",0,-1)</f>
        <v>45187</v>
      </c>
      <c r="DR473" s="115" t="str">
        <f>_xlfn.XLOOKUP(ППД5[[#This Row],[№]],Юрист[№ кв],Юрист[МОП],"",0,-1)</f>
        <v>Калачева</v>
      </c>
      <c r="DS473" s="333" t="s">
        <v>3238</v>
      </c>
      <c r="DT473" s="333" t="s">
        <v>3239</v>
      </c>
      <c r="DU473" s="333">
        <v>23</v>
      </c>
      <c r="DV473" s="111"/>
    </row>
    <row r="474" spans="1:126" hidden="1" x14ac:dyDescent="0.25">
      <c r="A474" s="112">
        <v>472</v>
      </c>
      <c r="B474" s="111" t="s">
        <v>2</v>
      </c>
      <c r="C474" s="111">
        <v>11</v>
      </c>
      <c r="D474" s="115">
        <v>4</v>
      </c>
      <c r="E474" s="111">
        <v>2</v>
      </c>
      <c r="F474" s="105">
        <v>14.48</v>
      </c>
      <c r="G474" s="105">
        <v>11.42</v>
      </c>
      <c r="H474" s="105"/>
      <c r="I474" s="94">
        <f>SUM(ППД5[[#This Row],[Комната 1]:[Комната 3]])</f>
        <v>25.9</v>
      </c>
      <c r="J474" s="105">
        <v>15.86</v>
      </c>
      <c r="K474" s="105">
        <v>3.01</v>
      </c>
      <c r="L474" s="105">
        <v>2.67</v>
      </c>
      <c r="M474" s="105"/>
      <c r="N474" s="105">
        <v>9.44</v>
      </c>
      <c r="O474" s="105">
        <v>2.72</v>
      </c>
      <c r="P474" s="105"/>
      <c r="Q474" s="105"/>
      <c r="R474" s="105">
        <f>SUM(ППД5[[#This Row],[Лоджия 1]:[Лоджия 3]])</f>
        <v>2.72</v>
      </c>
      <c r="S474" s="8">
        <f>ROUND(SUM(ППД5[[#This Row],[Площадь по проекту жилая]:[Лоджия 3]]),2)</f>
        <v>59.6</v>
      </c>
      <c r="T474" s="8">
        <f>ROUND(ППД5[[#This Row],[Площадь по проекту(общая)]]-ППД5[[#This Row],[Летние]],2)</f>
        <v>56.88</v>
      </c>
      <c r="U474" s="91">
        <f>ROUND(ППД5[[#This Row],[Площадь по проекту(общая)]]-(SUM(ППД5[[#This Row],[Лоджия 1]:[Лоджия 3]])/2),2)</f>
        <v>58.24</v>
      </c>
      <c r="V474" s="91">
        <f>IF(ППД5[[#This Row],[Статус]]="продажа",ППД5[[#This Row],[Расчетная проектная площадь]],ППД5[[#This Row],[Расчетная ТП площадь]])</f>
        <v>58.24</v>
      </c>
      <c r="W474" s="91">
        <v>14.5</v>
      </c>
      <c r="X474" s="91">
        <v>11.3</v>
      </c>
      <c r="Y474" s="91"/>
      <c r="Z474" s="91">
        <f>SUM(ППД5[[#This Row],[ТП Комната 1]:[ТП Комната 3]])</f>
        <v>25.8</v>
      </c>
      <c r="AA474" s="91">
        <v>15.8</v>
      </c>
      <c r="AB474" s="91">
        <v>2.7</v>
      </c>
      <c r="AC474" s="91">
        <v>3</v>
      </c>
      <c r="AD474" s="91"/>
      <c r="AE474" s="91">
        <v>9.3000000000000007</v>
      </c>
      <c r="AF474" s="91">
        <v>1.35</v>
      </c>
      <c r="AG474" s="91"/>
      <c r="AH474" s="91"/>
      <c r="AI474" s="91">
        <f>SUM(ППД5[[#This Row],[ТП Лоджия 1]:[ТП Лоджия 3]])</f>
        <v>1.35</v>
      </c>
      <c r="AJ474" s="95">
        <v>2.7</v>
      </c>
      <c r="AK474" s="91">
        <f>SUM(ППД5[[#This Row],[Площадь по ТП жилая]:[ТП Лоджия 3]])-ППД5[[#This Row],[ТП Летние]]+ППД5[[#This Row],[кроме того прочая
(без коэффициента)]]</f>
        <v>59.300000000000011</v>
      </c>
      <c r="AL474" s="95">
        <f>ППД5[[#This Row],[ТП Площадь без летних]]+(ППД5[[#This Row],[ТП Летние]])</f>
        <v>57.95000000000001</v>
      </c>
      <c r="AM474" s="91">
        <f>ППД5[[#This Row],[ТП общая S]]-ППД5[[#This Row],[кроме того прочая
(без коэффициента)]]</f>
        <v>56.600000000000009</v>
      </c>
      <c r="AN474" s="95">
        <f>SUM(ППД5[[#This Row],[ТП Кухня]:[ТП Коридор]])</f>
        <v>30.8</v>
      </c>
      <c r="AO474" s="91">
        <f>ППД5[[#This Row],[Расчетная ТП площадь]]-ППД5[[#This Row],[Расчетная проектная площадь]]</f>
        <v>-0.28999999999999204</v>
      </c>
      <c r="AP474" s="335">
        <f>ППД5[[#This Row],[Расчетная ТП площадь]]/ППД5[[#This Row],[Расчетная проектная площадь]]-1</f>
        <v>-4.9793956043954202E-3</v>
      </c>
      <c r="AQ474" s="91">
        <f>ППД5[[#This Row],[% расхождения]]*ППД5[[#This Row],[Стоимость до скидки]]</f>
        <v>-24945.170703982592</v>
      </c>
      <c r="AR474" s="91">
        <f>VLOOKUP(ППД5[[#This Row],[№]],наценкад5[],COLUMN(наценкад5[[#This Row],[Цена м2 с учетом всех K]]),0)</f>
        <v>79535.67300000001</v>
      </c>
      <c r="AS474" s="8">
        <f>ППД5[[#This Row],[м2 после К]]*5%</f>
        <v>3976.7836500000008</v>
      </c>
      <c r="AT474" s="8">
        <f>ППД5[[#This Row],[м2 после К]]+ППД5[[#This Row],[Повышение 16.08.23 - 5%]]</f>
        <v>83512.456650000007</v>
      </c>
      <c r="AU474" s="93">
        <f>ППД5[[#This Row],[Фикс 16.08.23]]*3%</f>
        <v>2505.3736994999999</v>
      </c>
      <c r="AV474" s="93">
        <f>ППД5[[#This Row],[Фикс 16.08.23]]+ППД5[[#This Row],[Повышение 29.08.23 - 3%]]</f>
        <v>86017.8303495</v>
      </c>
      <c r="AW474" s="93"/>
      <c r="AX474" s="93">
        <f>ППД5[[#This Row],[Фикс 29.08.23]]+ППД5[[#This Row],[Повышение 06.09.23 СТ и 1К]]</f>
        <v>86017.8303495</v>
      </c>
      <c r="AY474" s="93"/>
      <c r="AZ474" s="93">
        <f>ППД5[[#This Row],[Повышение 23.10.23  В4 ]]+ППД5[[#This Row],[Фикс 06.09.23]]</f>
        <v>86017.8303495</v>
      </c>
      <c r="BA474" s="93"/>
      <c r="BB474" s="93">
        <f>ППД5[[#This Row],[Повышение 8.11.23 1К 5%]]+ППД5[[#This Row],[Фикс 23.10.23]]</f>
        <v>86017.8303495</v>
      </c>
      <c r="BC474" s="93"/>
      <c r="BD474" s="93">
        <f>ППД5[[#This Row],[Корректировка 24.11.23 - 1К В5, 2К А2, №233]]+ППД5[[#This Row],[Фикс 8.11.23]]</f>
        <v>86017.8303495</v>
      </c>
      <c r="BE474" s="93"/>
      <c r="BF474" s="93">
        <f>ППД5[[#This Row],[Наценка за отделку 29.12.23 1%]]+ППД5[[#This Row],[Фикс 8.11.24]]</f>
        <v>86017.8303495</v>
      </c>
      <c r="BG474" s="93"/>
      <c r="BH474" s="93">
        <f>ППД5[[#This Row],[Фикс 29.12.23]]+ППД5[[#This Row],[Наценка 10.01.24 5%]]</f>
        <v>86017.8303495</v>
      </c>
      <c r="BI474" s="93"/>
      <c r="BJ474" s="93">
        <f>ППД5[[#This Row],[Наценка 26.02.24 1 Этаж]]+ППД5[[#This Row],[Фикс 10.01.24]]</f>
        <v>86017.8303495</v>
      </c>
      <c r="BK474" s="93"/>
      <c r="BL474" s="93">
        <f>ППД5[[#This Row],[Фикс 26.02.24]]+ППД5[[#This Row],[Наценка 06.03.24
СТ, 1К - 3%
2К, 3К - 2%]]</f>
        <v>86017.8303495</v>
      </c>
      <c r="BM474" s="93"/>
      <c r="BN474" s="93">
        <f>ППД5[[#This Row],[Фикс 06.03.24]]+ППД5[[#This Row],[Наценка Г2+500]]</f>
        <v>86017.8303495</v>
      </c>
      <c r="BO474" s="93"/>
      <c r="BP474" s="93">
        <f>ППД5[[#This Row],[Фикс 13.03.25]]+ППД5[[#This Row],[Наценка 20.03.24
2К, 3К - 2%]]</f>
        <v>86017.8303495</v>
      </c>
      <c r="BQ474" s="93"/>
      <c r="BR474" s="93">
        <f>ППД5[[#This Row],[Фикс 20.03.24]]+ППД5[[#This Row],[Наценка 08.04.24 
2К: В3 - 150
3К: Г7 +1000]]</f>
        <v>86017.8303495</v>
      </c>
      <c r="BS474" s="93"/>
      <c r="BT474" s="93">
        <f>ППД5[[#This Row],[Фикс 08.04.24]]+ППД5[[#This Row],[Наценка 16.05.24 1%
А4,А6,Б3,Б6,Б7,В2,В3,В5,В6,Г1,Г3-Г5]]</f>
        <v>86017.8303495</v>
      </c>
      <c r="BU474" s="93"/>
      <c r="BV474" s="93">
        <f>ППД5[[#This Row],[Фикс 16.05.24]]+ППД5[[#This Row],[Наценка 24.05.24
1% - Б4, Б5,Г2,Г6
2% - А1,А3,А5,Б2,Г7]]</f>
        <v>86017.8303495</v>
      </c>
      <c r="BW474" s="93"/>
      <c r="BX474" s="93">
        <f>ППД5[[#This Row],[Наценка 06.06.24
0К: В2,Г3 +0,5%
1К: А7, Б5/4, Г6 +0,5%
3К: В6 +0,5%
1К: А3 +1%]]+ППД5[[#This Row],[Фикс 24.05.24]]</f>
        <v>86017.8303495</v>
      </c>
      <c r="BY474" s="93"/>
      <c r="BZ474" s="93">
        <f>ППД5[[#This Row],[Фикс 06.06.24]]+ППД5[[#This Row],[13.06.2024
3К - 2%]]</f>
        <v>86017.8303495</v>
      </c>
      <c r="CA474" s="93"/>
      <c r="CB474" s="93">
        <f>ППД5[[#This Row],[02.07.2024: Г3 А1 А3 Б5 Б7 Г2 Г6 Б3 Б4 В3 Г7 2,5% ост 0,5-1,5%]]+ППД5[[#This Row],[Фикс 13.06.24]]</f>
        <v>86017.8303495</v>
      </c>
      <c r="CC474" s="93"/>
      <c r="CD474" s="93">
        <f>ППД5[[#This Row],[Фикс 02.07.24]]+ППД5[[#This Row],[04.09.2024 +500
0К - Б2; 1К - А3;
2К - А6, Б4, В3, Г5]]</f>
        <v>86017.8303495</v>
      </c>
      <c r="CE474" s="93"/>
      <c r="CF474" s="93">
        <f>ППД5[[#This Row],[Наценка 16.09.2024
1К: А1,В7,Г6/7,Г8 - 2%
2К: А4,А5,А6,Б1,Б6,Б3/4,В3,В4,Г4,Г5 - 4%
3К: 4%]]+ППД5[[#This Row],[Фикс 04.09.24]]</f>
        <v>86017.8303495</v>
      </c>
      <c r="CG474" s="93"/>
      <c r="CH474" s="93">
        <f>ППД5[[#This Row],[Фикс 16.09.2024]]+ППД5[[#This Row],[Наценка 01.11.24
СТ: 4%
1К: 34-40м 5%; 40м+ 8%; МГН 1%
2К: 55-70м 6%; 70-73м 7%; 73-76м 8% 
3К: 5%]]</f>
        <v>86017.8303495</v>
      </c>
      <c r="CI474" s="93"/>
      <c r="CJ474" s="93">
        <f>ППД5[[#This Row],[Наценка 06.11 13%]]+ППД5[[#This Row],[Фикс 01.11.24]]</f>
        <v>86017.8303495</v>
      </c>
      <c r="CK474" s="93"/>
      <c r="CL474" s="93">
        <f>ППД5[[#This Row],[Фикс 06.11.24]]+ППД5[[#This Row],[Наценка 18.12.24 распределение КВ]]</f>
        <v>86017.8303495</v>
      </c>
      <c r="CM474" s="93"/>
      <c r="CN474" s="93">
        <f>ППД5[[#This Row],[Фикс 18.12.24]]+ППД5[[#This Row],[Наценка 10.02.25 +1%
1К: А3
2К: Б3, В3]]</f>
        <v>86017.8303495</v>
      </c>
      <c r="CO474" s="93">
        <f>ROUND(ППД5[[#This Row],[Фикс 10.02.25]],2)</f>
        <v>86017.83</v>
      </c>
      <c r="CP47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5009678.42</v>
      </c>
      <c r="CQ474" s="93">
        <f>ROUNDUP(ППД5[[#This Row],[Стоимость до скидки]]+ППД5[[#This Row],[Сумма доплаты]],-2)</f>
        <v>4984800</v>
      </c>
      <c r="CR474" s="68"/>
      <c r="CS474" s="90">
        <v>0.05</v>
      </c>
      <c r="CT474" s="68">
        <f>ППД5[[#This Row],[Стоимость до скидки]]*ППД5[[#This Row],[Скидка %]]+ППД5[[#This Row],[Скидка фиксированная]]</f>
        <v>250483.921</v>
      </c>
      <c r="CU474" s="3">
        <f>ППД5[[#This Row],[Стоимость ОН без отделки со скидкой]]/ППД5[[#This Row],[Расчетная проектная площадь]]</f>
        <v>81716.938530219777</v>
      </c>
      <c r="CV474" s="3">
        <f>ROUND(ППД5[[#This Row],[Стоимость до скидки]]-ППД5[[#This Row],[Итоговая сумма скидки]],2)</f>
        <v>4759194.5</v>
      </c>
      <c r="CW47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74" s="197"/>
      <c r="CY474" s="332">
        <f>ППД5[[#This Row],[Расхождение]]/ППД5[[#This Row],[Расчетная проектная площадь]]</f>
        <v>-4.9793956043954679E-3</v>
      </c>
      <c r="CZ47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-0.18000000000000149</v>
      </c>
      <c r="DA474" s="3">
        <f>ППД5[[#This Row],[Цена м2 без отделки со скидкой]]+ППД5[[#This Row],[Стоимость отделки]]</f>
        <v>81716.938530219777</v>
      </c>
      <c r="DB474" s="3">
        <f>ППД5[[#This Row],[Стоимость квартиры с отделкой]]-ППД5[[#This Row],[Стоимость ОН без отделки со скидкой]]</f>
        <v>0</v>
      </c>
      <c r="DC474" s="3">
        <f>ППД5[[#This Row],[Цена м2 с отделкой]]*ППД5[[#This Row],[Расчетная проектная площадь]]</f>
        <v>4759194.5</v>
      </c>
      <c r="DD474" s="3"/>
      <c r="DE474" s="111" t="s">
        <v>162</v>
      </c>
      <c r="DF474" s="199" t="s">
        <v>172</v>
      </c>
      <c r="DG474" s="245" t="s">
        <v>172</v>
      </c>
      <c r="DH474" s="100" t="b">
        <f>EXACT(ППД5[[#This Row],[Статусы CRM]],ППД5[[#This Row],[Статус]])</f>
        <v>1</v>
      </c>
      <c r="DI474" s="213" t="s">
        <v>646</v>
      </c>
      <c r="DJ474" s="204"/>
      <c r="DK474" s="111" t="s">
        <v>76</v>
      </c>
      <c r="DL474" s="216" t="s">
        <v>12</v>
      </c>
      <c r="DM474" s="201" t="b">
        <f>ППД5[[#This Row],[Отделка CRM]]=ППД5[[#This Row],[Отделка]]</f>
        <v>1</v>
      </c>
      <c r="DN474" s="203">
        <v>4759194.5</v>
      </c>
      <c r="DO47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74" s="207" t="b">
        <f>IF(AND(ППД5[[#This Row],[Статус]]="свободно",ППД5[[#This Row],[Итоговая сумма скидки]]&lt;&gt;0),FALSE,TRUE)</f>
        <v>1</v>
      </c>
      <c r="DQ474" s="240">
        <f>_xlfn.XLOOKUP(ППД5[[#This Row],[№]],Юрист[№ кв],Юрист[Дата подачи на регистрацию]," ",0,-1)</f>
        <v>45230</v>
      </c>
      <c r="DR474" s="115" t="str">
        <f>_xlfn.XLOOKUP(ППД5[[#This Row],[№]],Юрист[№ кв],Юрист[МОП],"",0,-1)</f>
        <v>Дик</v>
      </c>
      <c r="DS474" s="333" t="s">
        <v>3240</v>
      </c>
      <c r="DT474" s="333" t="s">
        <v>3241</v>
      </c>
      <c r="DU474" s="333">
        <v>56.6</v>
      </c>
      <c r="DV474" s="111"/>
    </row>
    <row r="475" spans="1:126" hidden="1" x14ac:dyDescent="0.25">
      <c r="A475" s="112">
        <v>473</v>
      </c>
      <c r="B475" s="111" t="s">
        <v>2</v>
      </c>
      <c r="C475" s="111">
        <v>11</v>
      </c>
      <c r="D475" s="115">
        <v>5</v>
      </c>
      <c r="E475" s="111">
        <v>2</v>
      </c>
      <c r="F475" s="105">
        <v>15.41</v>
      </c>
      <c r="G475" s="105">
        <v>12.78</v>
      </c>
      <c r="H475" s="105"/>
      <c r="I475" s="94">
        <f>SUM(ППД5[[#This Row],[Комната 1]:[Комната 3]])</f>
        <v>28.189999999999998</v>
      </c>
      <c r="J475" s="105">
        <v>13.45</v>
      </c>
      <c r="K475" s="105">
        <v>3.7</v>
      </c>
      <c r="L475" s="105">
        <v>2.72</v>
      </c>
      <c r="M475" s="105"/>
      <c r="N475" s="105">
        <v>8.2200000000000006</v>
      </c>
      <c r="O475" s="105">
        <v>3.03</v>
      </c>
      <c r="P475" s="105"/>
      <c r="Q475" s="105"/>
      <c r="R475" s="105">
        <f>SUM(ППД5[[#This Row],[Лоджия 1]:[Лоджия 3]])</f>
        <v>3.03</v>
      </c>
      <c r="S475" s="8">
        <f>ROUND(SUM(ППД5[[#This Row],[Площадь по проекту жилая]:[Лоджия 3]]),2)</f>
        <v>59.31</v>
      </c>
      <c r="T475" s="8">
        <f>ROUND(ППД5[[#This Row],[Площадь по проекту(общая)]]-ППД5[[#This Row],[Летние]],2)</f>
        <v>56.28</v>
      </c>
      <c r="U475" s="91">
        <f>ROUND(ППД5[[#This Row],[Площадь по проекту(общая)]]-(SUM(ППД5[[#This Row],[Лоджия 1]:[Лоджия 3]])/2),2)</f>
        <v>57.8</v>
      </c>
      <c r="V475" s="91">
        <f>IF(ППД5[[#This Row],[Статус]]="продажа",ППД5[[#This Row],[Расчетная проектная площадь]],ППД5[[#This Row],[Расчетная ТП площадь]])</f>
        <v>57.8</v>
      </c>
      <c r="W475" s="91">
        <v>12.8</v>
      </c>
      <c r="X475" s="91">
        <v>15.5</v>
      </c>
      <c r="Y475" s="91"/>
      <c r="Z475" s="91">
        <f>SUM(ППД5[[#This Row],[ТП Комната 1]:[ТП Комната 3]])</f>
        <v>28.3</v>
      </c>
      <c r="AA475" s="91">
        <v>13.5</v>
      </c>
      <c r="AB475" s="91">
        <v>2.8</v>
      </c>
      <c r="AC475" s="91">
        <v>3.7</v>
      </c>
      <c r="AD475" s="91"/>
      <c r="AE475" s="91">
        <v>8.1</v>
      </c>
      <c r="AF475" s="91">
        <v>1.5</v>
      </c>
      <c r="AG475" s="91"/>
      <c r="AH475" s="91"/>
      <c r="AI475" s="91">
        <f>SUM(ППД5[[#This Row],[ТП Лоджия 1]:[ТП Лоджия 3]])</f>
        <v>1.5</v>
      </c>
      <c r="AJ475" s="95">
        <v>3</v>
      </c>
      <c r="AK475" s="91">
        <f>SUM(ППД5[[#This Row],[Площадь по ТП жилая]:[ТП Лоджия 3]])-ППД5[[#This Row],[ТП Летние]]+ППД5[[#This Row],[кроме того прочая
(без коэффициента)]]</f>
        <v>59.4</v>
      </c>
      <c r="AL475" s="95">
        <f>ППД5[[#This Row],[ТП Площадь без летних]]+(ППД5[[#This Row],[ТП Летние]])</f>
        <v>57.9</v>
      </c>
      <c r="AM475" s="91">
        <f>ППД5[[#This Row],[ТП общая S]]-ППД5[[#This Row],[кроме того прочая
(без коэффициента)]]</f>
        <v>56.4</v>
      </c>
      <c r="AN475" s="95">
        <f>SUM(ППД5[[#This Row],[ТП Кухня]:[ТП Коридор]])</f>
        <v>28.1</v>
      </c>
      <c r="AO475" s="91">
        <f>ППД5[[#This Row],[Расчетная ТП площадь]]-ППД5[[#This Row],[Расчетная проектная площадь]]</f>
        <v>0.10000000000000142</v>
      </c>
      <c r="AP475" s="335">
        <f>ППД5[[#This Row],[Расчетная ТП площадь]]/ППД5[[#This Row],[Расчетная проектная площадь]]-1</f>
        <v>1.7301038062282892E-3</v>
      </c>
      <c r="AQ475" s="91">
        <f>ППД5[[#This Row],[% расхождения]]*ППД5[[#This Row],[Стоимость до скидки]]</f>
        <v>9078.0276816604564</v>
      </c>
      <c r="AR475" s="91">
        <f>VLOOKUP(ППД5[[#This Row],[№]],наценкад5[],COLUMN(наценкад5[[#This Row],[Цена м2 с учетом всех K]]),0)</f>
        <v>79149.577499999999</v>
      </c>
      <c r="AS475" s="8">
        <f>ППД5[[#This Row],[м2 после К]]*5%</f>
        <v>3957.4788750000002</v>
      </c>
      <c r="AT475" s="8">
        <f>ППД5[[#This Row],[м2 после К]]+ППД5[[#This Row],[Повышение 16.08.23 - 5%]]</f>
        <v>83107.056375</v>
      </c>
      <c r="AU475" s="93">
        <f>ППД5[[#This Row],[Фикс 16.08.23]]*3%</f>
        <v>2493.2116912500001</v>
      </c>
      <c r="AV475" s="93">
        <f>ППД5[[#This Row],[Фикс 16.08.23]]+ППД5[[#This Row],[Повышение 29.08.23 - 3%]]</f>
        <v>85600.268066250006</v>
      </c>
      <c r="AW475" s="93"/>
      <c r="AX475" s="93">
        <f>ППД5[[#This Row],[Фикс 29.08.23]]+ППД5[[#This Row],[Повышение 06.09.23 СТ и 1К]]</f>
        <v>85600.268066250006</v>
      </c>
      <c r="AY475" s="93"/>
      <c r="AZ475" s="93">
        <f>ППД5[[#This Row],[Повышение 23.10.23  В4 ]]+ППД5[[#This Row],[Фикс 06.09.23]]</f>
        <v>85600.268066250006</v>
      </c>
      <c r="BA475" s="93"/>
      <c r="BB475" s="93">
        <f>ППД5[[#This Row],[Повышение 8.11.23 1К 5%]]+ППД5[[#This Row],[Фикс 23.10.23]]</f>
        <v>85600.268066250006</v>
      </c>
      <c r="BC475" s="93"/>
      <c r="BD475" s="93">
        <f>ППД5[[#This Row],[Корректировка 24.11.23 - 1К В5, 2К А2, №233]]+ППД5[[#This Row],[Фикс 8.11.23]]</f>
        <v>85600.268066250006</v>
      </c>
      <c r="BE475" s="93">
        <f>ППД5[[#This Row],[Фикс 8.11.24]]*1%</f>
        <v>856.0026806625001</v>
      </c>
      <c r="BF475" s="93">
        <f>ППД5[[#This Row],[Наценка за отделку 29.12.23 1%]]+ППД5[[#This Row],[Фикс 8.11.24]]</f>
        <v>86456.270746912502</v>
      </c>
      <c r="BG475" s="93">
        <f>ППД5[[#This Row],[Фикс 29.12.23]]*5%</f>
        <v>4322.8135373456253</v>
      </c>
      <c r="BH475" s="93">
        <f>ППД5[[#This Row],[Фикс 29.12.23]]+ППД5[[#This Row],[Наценка 10.01.24 5%]]</f>
        <v>90779.084284258133</v>
      </c>
      <c r="BI475" s="93"/>
      <c r="BJ475" s="93">
        <f>ППД5[[#This Row],[Наценка 26.02.24 1 Этаж]]+ППД5[[#This Row],[Фикс 10.01.24]]</f>
        <v>90779.084284258133</v>
      </c>
      <c r="BK475" s="93"/>
      <c r="BL475" s="93">
        <f>ППД5[[#This Row],[Фикс 26.02.24]]+ППД5[[#This Row],[Наценка 06.03.24
СТ, 1К - 3%
2К, 3К - 2%]]</f>
        <v>90779.084284258133</v>
      </c>
      <c r="BM475" s="93"/>
      <c r="BN475" s="93">
        <f>ППД5[[#This Row],[Фикс 06.03.24]]+ППД5[[#This Row],[Наценка Г2+500]]</f>
        <v>90779.084284258133</v>
      </c>
      <c r="BO475" s="93"/>
      <c r="BP475" s="93">
        <f>ППД5[[#This Row],[Фикс 13.03.25]]+ППД5[[#This Row],[Наценка 20.03.24
2К, 3К - 2%]]</f>
        <v>90779.084284258133</v>
      </c>
      <c r="BQ475" s="93"/>
      <c r="BR475" s="93">
        <f>ППД5[[#This Row],[Фикс 20.03.24]]+ППД5[[#This Row],[Наценка 08.04.24 
2К: В3 - 150
3К: Г7 +1000]]</f>
        <v>90779.084284258133</v>
      </c>
      <c r="BS475" s="93"/>
      <c r="BT475" s="93">
        <f>ППД5[[#This Row],[Фикс 08.04.24]]+ППД5[[#This Row],[Наценка 16.05.24 1%
А4,А6,Б3,Б6,Б7,В2,В3,В5,В6,Г1,Г3-Г5]]</f>
        <v>90779.084284258133</v>
      </c>
      <c r="BU475" s="93"/>
      <c r="BV475" s="93">
        <f>ППД5[[#This Row],[Фикс 16.05.24]]+ППД5[[#This Row],[Наценка 24.05.24
1% - Б4, Б5,Г2,Г6
2% - А1,А3,А5,Б2,Г7]]</f>
        <v>90779.084284258133</v>
      </c>
      <c r="BW475" s="93"/>
      <c r="BX475" s="93">
        <f>ППД5[[#This Row],[Наценка 06.06.24
0К: В2,Г3 +0,5%
1К: А7, Б5/4, Г6 +0,5%
3К: В6 +0,5%
1К: А3 +1%]]+ППД5[[#This Row],[Фикс 24.05.24]]</f>
        <v>90779.084284258133</v>
      </c>
      <c r="BY475" s="93"/>
      <c r="BZ475" s="93">
        <f>ППД5[[#This Row],[Фикс 06.06.24]]+ППД5[[#This Row],[13.06.2024
3К - 2%]]</f>
        <v>90779.084284258133</v>
      </c>
      <c r="CA475" s="93"/>
      <c r="CB475" s="93">
        <f>ППД5[[#This Row],[02.07.2024: Г3 А1 А3 Б5 Б7 Г2 Г6 Б3 Б4 В3 Г7 2,5% ост 0,5-1,5%]]+ППД5[[#This Row],[Фикс 13.06.24]]</f>
        <v>90779.084284258133</v>
      </c>
      <c r="CC475" s="93"/>
      <c r="CD475" s="93">
        <f>ППД5[[#This Row],[Фикс 02.07.24]]+ППД5[[#This Row],[04.09.2024 +500
0К - Б2; 1К - А3;
2К - А6, Б4, В3, Г5]]</f>
        <v>90779.084284258133</v>
      </c>
      <c r="CE475" s="93"/>
      <c r="CF475" s="93">
        <f>ППД5[[#This Row],[Наценка 16.09.2024
1К: А1,В7,Г6/7,Г8 - 2%
2К: А4,А5,А6,Б1,Б6,Б3/4,В3,В4,Г4,Г5 - 4%
3К: 4%]]+ППД5[[#This Row],[Фикс 04.09.24]]</f>
        <v>90779.084284258133</v>
      </c>
      <c r="CG475" s="93"/>
      <c r="CH475" s="93">
        <f>ППД5[[#This Row],[Фикс 16.09.2024]]+ППД5[[#This Row],[Наценка 01.11.24
СТ: 4%
1К: 34-40м 5%; 40м+ 8%; МГН 1%
2К: 55-70м 6%; 70-73м 7%; 73-76м 8% 
3К: 5%]]</f>
        <v>90779.084284258133</v>
      </c>
      <c r="CI475" s="93"/>
      <c r="CJ475" s="93">
        <f>ППД5[[#This Row],[Наценка 06.11 13%]]+ППД5[[#This Row],[Фикс 01.11.24]]</f>
        <v>90779.084284258133</v>
      </c>
      <c r="CK475" s="93"/>
      <c r="CL475" s="93">
        <f>ППД5[[#This Row],[Фикс 06.11.24]]+ППД5[[#This Row],[Наценка 18.12.24 распределение КВ]]</f>
        <v>90779.084284258133</v>
      </c>
      <c r="CM475" s="93"/>
      <c r="CN475" s="93">
        <f>ППД5[[#This Row],[Фикс 18.12.24]]+ППД5[[#This Row],[Наценка 10.02.25 +1%
1К: А3
2К: Б3, В3]]</f>
        <v>90779.084284258133</v>
      </c>
      <c r="CO475" s="93">
        <f>ROUND(ППД5[[#This Row],[Фикс 10.02.25]],2)</f>
        <v>90779.08</v>
      </c>
      <c r="CP47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5247100</v>
      </c>
      <c r="CQ475" s="93">
        <f>ROUNDUP(ППД5[[#This Row],[Стоимость до скидки]]+ППД5[[#This Row],[Сумма доплаты]],-2)</f>
        <v>5256200</v>
      </c>
      <c r="CR475" s="68"/>
      <c r="CS475" s="90">
        <v>0.02</v>
      </c>
      <c r="CT475" s="68">
        <f>ППД5[[#This Row],[Стоимость до скидки]]*ППД5[[#This Row],[Скидка %]]+ППД5[[#This Row],[Скидка фиксированная]]</f>
        <v>104942</v>
      </c>
      <c r="CU475" s="3">
        <f>ППД5[[#This Row],[Стоимость ОН без отделки со скидкой]]/ППД5[[#This Row],[Расчетная проектная площадь]]</f>
        <v>88964.671280276816</v>
      </c>
      <c r="CV475" s="3">
        <f>ROUND(ППД5[[#This Row],[Стоимость до скидки]]-ППД5[[#This Row],[Итоговая сумма скидки]],2)</f>
        <v>5142158</v>
      </c>
      <c r="CW47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475" s="197">
        <v>7000</v>
      </c>
      <c r="CY475" s="332">
        <f>ППД5[[#This Row],[Расхождение]]/ППД5[[#This Row],[Расчетная проектная площадь]]</f>
        <v>1.7301038062283985E-3</v>
      </c>
      <c r="CZ47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1.0000000000005116E-2</v>
      </c>
      <c r="DA475" s="3">
        <f>ППД5[[#This Row],[Цена м2 без отделки со скидкой]]+ППД5[[#This Row],[Стоимость отделки]]</f>
        <v>95964.671280276816</v>
      </c>
      <c r="DB475" s="3">
        <f>ППД5[[#This Row],[Стоимость квартиры с отделкой]]-ППД5[[#This Row],[Стоимость ОН без отделки со скидкой]]</f>
        <v>404600</v>
      </c>
      <c r="DC475" s="3">
        <f>ППД5[[#This Row],[Цена м2 с отделкой]]*ППД5[[#This Row],[Расчетная проектная площадь]]</f>
        <v>5546758</v>
      </c>
      <c r="DD475" s="3"/>
      <c r="DE475" s="111" t="s">
        <v>757</v>
      </c>
      <c r="DF475" s="199" t="s">
        <v>172</v>
      </c>
      <c r="DG475" s="245" t="s">
        <v>172</v>
      </c>
      <c r="DH475" s="100" t="b">
        <f>EXACT(ППД5[[#This Row],[Статусы CRM]],ППД5[[#This Row],[Статус]])</f>
        <v>1</v>
      </c>
      <c r="DI475" s="213" t="s">
        <v>647</v>
      </c>
      <c r="DJ475" s="204"/>
      <c r="DK475" s="111" t="s">
        <v>763</v>
      </c>
      <c r="DL475" s="216" t="s">
        <v>780</v>
      </c>
      <c r="DM475" s="201" t="b">
        <f>ППД5[[#This Row],[Отделка CRM]]=ППД5[[#This Row],[Отделка]]</f>
        <v>1</v>
      </c>
      <c r="DN475" s="203">
        <v>5546758</v>
      </c>
      <c r="DO47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75" s="207" t="b">
        <f>IF(AND(ППД5[[#This Row],[Статус]]="свободно",ППД5[[#This Row],[Итоговая сумма скидки]]&lt;&gt;0),FALSE,TRUE)</f>
        <v>1</v>
      </c>
      <c r="DQ475" s="240">
        <f>_xlfn.XLOOKUP(ППД5[[#This Row],[№]],Юрист[№ кв],Юрист[Дата подачи на регистрацию]," ",0,-1)</f>
        <v>45336</v>
      </c>
      <c r="DR475" s="115" t="str">
        <f>_xlfn.XLOOKUP(ППД5[[#This Row],[№]],Юрист[№ кв],Юрист[МОП],"",0,-1)</f>
        <v>Дик</v>
      </c>
      <c r="DS475" s="333" t="s">
        <v>3242</v>
      </c>
      <c r="DT475" s="333" t="s">
        <v>3243</v>
      </c>
      <c r="DU475" s="333">
        <v>56.4</v>
      </c>
      <c r="DV475" s="111"/>
    </row>
    <row r="476" spans="1:126" hidden="1" x14ac:dyDescent="0.25">
      <c r="A476" s="112">
        <v>474</v>
      </c>
      <c r="B476" s="111" t="s">
        <v>2</v>
      </c>
      <c r="C476" s="111">
        <v>11</v>
      </c>
      <c r="D476" s="115">
        <v>6</v>
      </c>
      <c r="E476" s="111">
        <v>1</v>
      </c>
      <c r="F476" s="105">
        <v>12.71</v>
      </c>
      <c r="G476" s="105"/>
      <c r="H476" s="105"/>
      <c r="I476" s="94">
        <f>SUM(ППД5[[#This Row],[Комната 1]:[Комната 3]])</f>
        <v>12.71</v>
      </c>
      <c r="J476" s="105">
        <v>12.55</v>
      </c>
      <c r="K476" s="105">
        <v>4.28</v>
      </c>
      <c r="L476" s="105"/>
      <c r="M476" s="105"/>
      <c r="N476" s="105">
        <v>7.34</v>
      </c>
      <c r="O476" s="105">
        <v>2.84</v>
      </c>
      <c r="P476" s="105"/>
      <c r="Q476" s="105"/>
      <c r="R476" s="105">
        <f>SUM(ППД5[[#This Row],[Лоджия 1]:[Лоджия 3]])</f>
        <v>2.84</v>
      </c>
      <c r="S476" s="8">
        <f>ROUND(SUM(ППД5[[#This Row],[Площадь по проекту жилая]:[Лоджия 3]]),2)</f>
        <v>39.72</v>
      </c>
      <c r="T476" s="8">
        <f>ROUND(ППД5[[#This Row],[Площадь по проекту(общая)]]-ППД5[[#This Row],[Летние]],2)</f>
        <v>36.880000000000003</v>
      </c>
      <c r="U476" s="91">
        <f>ROUND(ППД5[[#This Row],[Площадь по проекту(общая)]]-(SUM(ППД5[[#This Row],[Лоджия 1]:[Лоджия 3]])/2),2)</f>
        <v>38.299999999999997</v>
      </c>
      <c r="V476" s="91">
        <f>IF(ППД5[[#This Row],[Статус]]="продажа",ППД5[[#This Row],[Расчетная проектная площадь]],ППД5[[#This Row],[Расчетная ТП площадь]])</f>
        <v>38.299999999999997</v>
      </c>
      <c r="W476" s="91">
        <v>12.5</v>
      </c>
      <c r="X476" s="91"/>
      <c r="Y476" s="91"/>
      <c r="Z476" s="91">
        <f>SUM(ППД5[[#This Row],[ТП Комната 1]:[ТП Комната 3]])</f>
        <v>12.5</v>
      </c>
      <c r="AA476" s="91">
        <v>12.5</v>
      </c>
      <c r="AB476" s="91">
        <v>4</v>
      </c>
      <c r="AC476" s="91"/>
      <c r="AD476" s="91"/>
      <c r="AE476" s="91">
        <v>7.2</v>
      </c>
      <c r="AF476" s="91">
        <v>1.4</v>
      </c>
      <c r="AG476" s="91"/>
      <c r="AH476" s="91"/>
      <c r="AI476" s="91">
        <f>SUM(ППД5[[#This Row],[ТП Лоджия 1]:[ТП Лоджия 3]])</f>
        <v>1.4</v>
      </c>
      <c r="AJ476" s="95">
        <v>2.8</v>
      </c>
      <c r="AK476" s="91">
        <f>SUM(ППД5[[#This Row],[Площадь по ТП жилая]:[ТП Лоджия 3]])-ППД5[[#This Row],[ТП Летние]]+ППД5[[#This Row],[кроме того прочая
(без коэффициента)]]</f>
        <v>39</v>
      </c>
      <c r="AL476" s="95">
        <f>ППД5[[#This Row],[ТП Площадь без летних]]+(ППД5[[#This Row],[ТП Летние]])</f>
        <v>37.6</v>
      </c>
      <c r="AM476" s="91">
        <f>ППД5[[#This Row],[ТП общая S]]-ППД5[[#This Row],[кроме того прочая
(без коэффициента)]]</f>
        <v>36.200000000000003</v>
      </c>
      <c r="AN476" s="95">
        <f>SUM(ППД5[[#This Row],[ТП Кухня]:[ТП Коридор]])</f>
        <v>23.7</v>
      </c>
      <c r="AO476" s="91">
        <f>ППД5[[#This Row],[Расчетная ТП площадь]]-ППД5[[#This Row],[Расчетная проектная площадь]]</f>
        <v>-0.69999999999999574</v>
      </c>
      <c r="AP476" s="335">
        <f>ППД5[[#This Row],[Расчетная ТП площадь]]/ППД5[[#This Row],[Расчетная проектная площадь]]-1</f>
        <v>-1.8276762402088642E-2</v>
      </c>
      <c r="AQ476" s="91">
        <f>ППД5[[#This Row],[% расхождения]]*ППД5[[#This Row],[Стоимость до скидки]]</f>
        <v>-70332.637075717517</v>
      </c>
      <c r="AR476" s="91">
        <f>VLOOKUP(ППД5[[#This Row],[№]],наценкад5[],COLUMN(наценкад5[[#This Row],[Цена м2 с учетом всех K]]),0)</f>
        <v>87601.5</v>
      </c>
      <c r="AS476" s="8">
        <f>ППД5[[#This Row],[м2 после К]]*5%</f>
        <v>4380.0749999999998</v>
      </c>
      <c r="AT476" s="8">
        <f>ППД5[[#This Row],[м2 после К]]+ППД5[[#This Row],[Повышение 16.08.23 - 5%]]</f>
        <v>91981.574999999997</v>
      </c>
      <c r="AU476" s="93">
        <f>ППД5[[#This Row],[Фикс 16.08.23]]*3%</f>
        <v>2759.4472499999997</v>
      </c>
      <c r="AV476" s="93">
        <f>ППД5[[#This Row],[Фикс 16.08.23]]+ППД5[[#This Row],[Повышение 29.08.23 - 3%]]</f>
        <v>94741.022249999995</v>
      </c>
      <c r="AW476" s="93">
        <f>ППД5[[#This Row],[Фикс 29.08.23]]*1%</f>
        <v>947.41022249999992</v>
      </c>
      <c r="AX476" s="93">
        <f>ППД5[[#This Row],[Фикс 29.08.23]]+ППД5[[#This Row],[Повышение 06.09.23 СТ и 1К]]</f>
        <v>95688.43247249999</v>
      </c>
      <c r="AY476" s="93"/>
      <c r="AZ476" s="93">
        <f>ППД5[[#This Row],[Повышение 23.10.23  В4 ]]+ППД5[[#This Row],[Фикс 06.09.23]]</f>
        <v>95688.43247249999</v>
      </c>
      <c r="BA476" s="93">
        <f>ППД5[[#This Row],[Фикс 23.10.23]]*5%</f>
        <v>4784.4216236249995</v>
      </c>
      <c r="BB476" s="93">
        <f>ППД5[[#This Row],[Повышение 8.11.23 1К 5%]]+ППД5[[#This Row],[Фикс 23.10.23]]</f>
        <v>100472.854096125</v>
      </c>
      <c r="BC476" s="93"/>
      <c r="BD476" s="93">
        <f>ППД5[[#This Row],[Корректировка 24.11.23 - 1К В5, 2К А2, №233]]+ППД5[[#This Row],[Фикс 8.11.23]]</f>
        <v>100472.854096125</v>
      </c>
      <c r="BE476" s="93"/>
      <c r="BF476" s="93">
        <f>ППД5[[#This Row],[Наценка за отделку 29.12.23 1%]]+ППД5[[#This Row],[Фикс 8.11.24]]</f>
        <v>100472.854096125</v>
      </c>
      <c r="BG476" s="93"/>
      <c r="BH476" s="93">
        <f>ППД5[[#This Row],[Фикс 29.12.23]]+ППД5[[#This Row],[Наценка 10.01.24 5%]]</f>
        <v>100472.854096125</v>
      </c>
      <c r="BI476" s="93"/>
      <c r="BJ476" s="93">
        <f>ППД5[[#This Row],[Наценка 26.02.24 1 Этаж]]+ППД5[[#This Row],[Фикс 10.01.24]]</f>
        <v>100472.854096125</v>
      </c>
      <c r="BK476" s="93"/>
      <c r="BL476" s="93">
        <f>ППД5[[#This Row],[Фикс 26.02.24]]+ППД5[[#This Row],[Наценка 06.03.24
СТ, 1К - 3%
2К, 3К - 2%]]</f>
        <v>100472.854096125</v>
      </c>
      <c r="BM476" s="93"/>
      <c r="BN476" s="93">
        <f>ППД5[[#This Row],[Фикс 06.03.24]]+ППД5[[#This Row],[Наценка Г2+500]]</f>
        <v>100472.854096125</v>
      </c>
      <c r="BO476" s="93"/>
      <c r="BP476" s="93">
        <f>ППД5[[#This Row],[Фикс 13.03.25]]+ППД5[[#This Row],[Наценка 20.03.24
2К, 3К - 2%]]</f>
        <v>100472.854096125</v>
      </c>
      <c r="BQ476" s="93"/>
      <c r="BR476" s="93">
        <f>ППД5[[#This Row],[Фикс 20.03.24]]+ППД5[[#This Row],[Наценка 08.04.24 
2К: В3 - 150
3К: Г7 +1000]]</f>
        <v>100472.854096125</v>
      </c>
      <c r="BS476" s="93"/>
      <c r="BT476" s="93">
        <f>ППД5[[#This Row],[Фикс 08.04.24]]+ППД5[[#This Row],[Наценка 16.05.24 1%
А4,А6,Б3,Б6,Б7,В2,В3,В5,В6,Г1,Г3-Г5]]</f>
        <v>100472.854096125</v>
      </c>
      <c r="BU476" s="93"/>
      <c r="BV476" s="93">
        <f>ППД5[[#This Row],[Фикс 16.05.24]]+ППД5[[#This Row],[Наценка 24.05.24
1% - Б4, Б5,Г2,Г6
2% - А1,А3,А5,Б2,Г7]]</f>
        <v>100472.854096125</v>
      </c>
      <c r="BW476" s="93"/>
      <c r="BX476" s="93">
        <f>ППД5[[#This Row],[Наценка 06.06.24
0К: В2,Г3 +0,5%
1К: А7, Б5/4, Г6 +0,5%
3К: В6 +0,5%
1К: А3 +1%]]+ППД5[[#This Row],[Фикс 24.05.24]]</f>
        <v>100472.854096125</v>
      </c>
      <c r="BY476" s="93"/>
      <c r="BZ476" s="93">
        <f>ППД5[[#This Row],[Фикс 06.06.24]]+ППД5[[#This Row],[13.06.2024
3К - 2%]]</f>
        <v>100472.854096125</v>
      </c>
      <c r="CA476" s="93"/>
      <c r="CB476" s="93">
        <f>ППД5[[#This Row],[02.07.2024: Г3 А1 А3 Б5 Б7 Г2 Г6 Б3 Б4 В3 Г7 2,5% ост 0,5-1,5%]]+ППД5[[#This Row],[Фикс 13.06.24]]</f>
        <v>100472.854096125</v>
      </c>
      <c r="CC476" s="93"/>
      <c r="CD476" s="93">
        <f>ППД5[[#This Row],[Фикс 02.07.24]]+ППД5[[#This Row],[04.09.2024 +500
0К - Б2; 1К - А3;
2К - А6, Б4, В3, Г5]]</f>
        <v>100472.854096125</v>
      </c>
      <c r="CE476" s="93"/>
      <c r="CF476" s="93">
        <f>ППД5[[#This Row],[Наценка 16.09.2024
1К: А1,В7,Г6/7,Г8 - 2%
2К: А4,А5,А6,Б1,Б6,Б3/4,В3,В4,Г4,Г5 - 4%
3К: 4%]]+ППД5[[#This Row],[Фикс 04.09.24]]</f>
        <v>100472.854096125</v>
      </c>
      <c r="CG476" s="93"/>
      <c r="CH476" s="93">
        <f>ППД5[[#This Row],[Фикс 16.09.2024]]+ППД5[[#This Row],[Наценка 01.11.24
СТ: 4%
1К: 34-40м 5%; 40м+ 8%; МГН 1%
2К: 55-70м 6%; 70-73м 7%; 73-76м 8% 
3К: 5%]]</f>
        <v>100472.854096125</v>
      </c>
      <c r="CI476" s="93"/>
      <c r="CJ476" s="93">
        <f>ППД5[[#This Row],[Наценка 06.11 13%]]+ППД5[[#This Row],[Фикс 01.11.24]]</f>
        <v>100472.854096125</v>
      </c>
      <c r="CK476" s="93"/>
      <c r="CL476" s="93">
        <f>ППД5[[#This Row],[Фикс 06.11.24]]+ППД5[[#This Row],[Наценка 18.12.24 распределение КВ]]</f>
        <v>100472.854096125</v>
      </c>
      <c r="CM476" s="93"/>
      <c r="CN476" s="93">
        <f>ППД5[[#This Row],[Фикс 18.12.24]]+ППД5[[#This Row],[Наценка 10.02.25 +1%
1К: А3
2К: Б3, В3]]</f>
        <v>100472.854096125</v>
      </c>
      <c r="CO476" s="93">
        <f>ROUND(ППД5[[#This Row],[Фикс 10.02.25]],2)</f>
        <v>100472.85</v>
      </c>
      <c r="CP47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3848200</v>
      </c>
      <c r="CQ476" s="93">
        <f>ROUNDUP(ППД5[[#This Row],[Стоимость до скидки]]+ППД5[[#This Row],[Сумма доплаты]],-2)</f>
        <v>3777900</v>
      </c>
      <c r="CR476" s="68"/>
      <c r="CS476" s="90">
        <v>0.05</v>
      </c>
      <c r="CT476" s="68">
        <f>ППД5[[#This Row],[Стоимость до скидки]]*ППД5[[#This Row],[Скидка %]]+ППД5[[#This Row],[Скидка фиксированная]]</f>
        <v>192410</v>
      </c>
      <c r="CU476" s="3">
        <f>ППД5[[#This Row],[Стоимость ОН без отделки со скидкой]]/ППД5[[#This Row],[Расчетная проектная площадь]]</f>
        <v>95451.436031331599</v>
      </c>
      <c r="CV476" s="3">
        <f>ROUND(ППД5[[#This Row],[Стоимость до скидки]]-ППД5[[#This Row],[Итоговая сумма скидки]],2)</f>
        <v>3655790</v>
      </c>
      <c r="CW47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76" s="197">
        <v>22000</v>
      </c>
      <c r="CY476" s="332">
        <f>ППД5[[#This Row],[Расхождение]]/ППД5[[#This Row],[Расчетная проектная площадь]]</f>
        <v>-1.8276762402088663E-2</v>
      </c>
      <c r="CZ47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-0.47000000000000242</v>
      </c>
      <c r="DA476" s="3">
        <f>ППД5[[#This Row],[Цена м2 без отделки со скидкой]]+ППД5[[#This Row],[Стоимость отделки]]</f>
        <v>117451.4360313316</v>
      </c>
      <c r="DB476" s="3">
        <f>ППД5[[#This Row],[Стоимость квартиры с отделкой]]-ППД5[[#This Row],[Стоимость ОН без отделки со скидкой]]</f>
        <v>842600</v>
      </c>
      <c r="DC476" s="3">
        <f>ППД5[[#This Row],[Цена м2 с отделкой]]*ППД5[[#This Row],[Расчетная проектная площадь]]</f>
        <v>4498390</v>
      </c>
      <c r="DD476" s="3"/>
      <c r="DE476" s="111" t="s">
        <v>162</v>
      </c>
      <c r="DF476" s="199" t="s">
        <v>172</v>
      </c>
      <c r="DG476" s="245" t="s">
        <v>172</v>
      </c>
      <c r="DH476" s="100" t="b">
        <f>EXACT(ППД5[[#This Row],[Статусы CRM]],ППД5[[#This Row],[Статус]])</f>
        <v>1</v>
      </c>
      <c r="DI476" s="213" t="s">
        <v>648</v>
      </c>
      <c r="DJ476" s="204"/>
      <c r="DK476" s="111" t="s">
        <v>763</v>
      </c>
      <c r="DL476" s="216" t="s">
        <v>14</v>
      </c>
      <c r="DM476" s="201" t="b">
        <f>ППД5[[#This Row],[Отделка CRM]]=ППД5[[#This Row],[Отделка]]</f>
        <v>1</v>
      </c>
      <c r="DN476" s="203">
        <v>4498390</v>
      </c>
      <c r="DO47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76" s="207" t="b">
        <f>IF(AND(ППД5[[#This Row],[Статус]]="свободно",ППД5[[#This Row],[Итоговая сумма скидки]]&lt;&gt;0),FALSE,TRUE)</f>
        <v>1</v>
      </c>
      <c r="DQ476" s="240">
        <f>_xlfn.XLOOKUP(ППД5[[#This Row],[№]],Юрист[№ кв],Юрист[Дата подачи на регистрацию]," ",0,-1)</f>
        <v>45288</v>
      </c>
      <c r="DR476" s="115" t="str">
        <f>_xlfn.XLOOKUP(ППД5[[#This Row],[№]],Юрист[№ кв],Юрист[МОП],"",0,-1)</f>
        <v>Полехович</v>
      </c>
      <c r="DS476" s="333" t="s">
        <v>3244</v>
      </c>
      <c r="DT476" s="333" t="s">
        <v>3245</v>
      </c>
      <c r="DU476" s="333">
        <v>36.200000000000003</v>
      </c>
      <c r="DV476" s="111"/>
    </row>
    <row r="477" spans="1:126" hidden="1" x14ac:dyDescent="0.25">
      <c r="A477" s="112">
        <v>475</v>
      </c>
      <c r="B477" s="111" t="s">
        <v>2</v>
      </c>
      <c r="C477" s="111">
        <v>11</v>
      </c>
      <c r="D477" s="115">
        <v>7</v>
      </c>
      <c r="E477" s="111">
        <v>3</v>
      </c>
      <c r="F477" s="105">
        <v>14.49</v>
      </c>
      <c r="G477" s="105">
        <v>13.98</v>
      </c>
      <c r="H477" s="105">
        <v>11.42</v>
      </c>
      <c r="I477" s="94">
        <f>SUM(ППД5[[#This Row],[Комната 1]:[Комната 3]])</f>
        <v>39.89</v>
      </c>
      <c r="J477" s="105">
        <v>16.670000000000002</v>
      </c>
      <c r="K477" s="105">
        <v>4.1399999999999997</v>
      </c>
      <c r="L477" s="105">
        <v>1.89</v>
      </c>
      <c r="M477" s="105"/>
      <c r="N477" s="105">
        <v>11.31</v>
      </c>
      <c r="O477" s="105">
        <v>2.86</v>
      </c>
      <c r="P477" s="105">
        <v>2.79</v>
      </c>
      <c r="Q477" s="105">
        <v>5.42</v>
      </c>
      <c r="R477" s="105">
        <f>SUM(ППД5[[#This Row],[Лоджия 1]:[Лоджия 3]])</f>
        <v>11.07</v>
      </c>
      <c r="S477" s="8">
        <f>ROUND(SUM(ППД5[[#This Row],[Площадь по проекту жилая]:[Лоджия 3]]),2)</f>
        <v>84.97</v>
      </c>
      <c r="T477" s="8">
        <f>ROUND(ППД5[[#This Row],[Площадь по проекту(общая)]]-ППД5[[#This Row],[Летние]],2)</f>
        <v>73.900000000000006</v>
      </c>
      <c r="U477" s="91">
        <f>ROUND(ППД5[[#This Row],[Площадь по проекту(общая)]]-(SUM(ППД5[[#This Row],[Лоджия 1]:[Лоджия 3]])/2),2)</f>
        <v>79.44</v>
      </c>
      <c r="V477" s="91">
        <f>IF(ППД5[[#This Row],[Статус]]="продажа",ППД5[[#This Row],[Расчетная проектная площадь]],ППД5[[#This Row],[Расчетная ТП площадь]])</f>
        <v>79.44</v>
      </c>
      <c r="W477" s="91">
        <v>11.3</v>
      </c>
      <c r="X477" s="91">
        <v>14.5</v>
      </c>
      <c r="Y477" s="91">
        <v>13.8</v>
      </c>
      <c r="Z477" s="91">
        <f>SUM(ППД5[[#This Row],[ТП Комната 1]:[ТП Комната 3]])</f>
        <v>39.6</v>
      </c>
      <c r="AA477" s="91">
        <v>16.399999999999999</v>
      </c>
      <c r="AB477" s="91">
        <v>1.9</v>
      </c>
      <c r="AC477" s="91">
        <v>4.0999999999999996</v>
      </c>
      <c r="AD477" s="91"/>
      <c r="AE477" s="91">
        <v>11</v>
      </c>
      <c r="AF477" s="91">
        <v>1.45</v>
      </c>
      <c r="AG477" s="91">
        <v>2.6</v>
      </c>
      <c r="AH477" s="91">
        <v>1.4</v>
      </c>
      <c r="AI477" s="91">
        <f>SUM(ППД5[[#This Row],[ТП Лоджия 1]:[ТП Лоджия 3]])</f>
        <v>5.4499999999999993</v>
      </c>
      <c r="AJ477" s="95">
        <v>10.899999999999999</v>
      </c>
      <c r="AK477" s="91">
        <f>SUM(ППД5[[#This Row],[Площадь по ТП жилая]:[ТП Лоджия 3]])-ППД5[[#This Row],[ТП Летние]]+ППД5[[#This Row],[кроме того прочая
(без коэффициента)]]</f>
        <v>83.9</v>
      </c>
      <c r="AL477" s="95">
        <f>ППД5[[#This Row],[ТП Площадь без летних]]+(ППД5[[#This Row],[ТП Летние]])</f>
        <v>78.45</v>
      </c>
      <c r="AM477" s="91">
        <f>ППД5[[#This Row],[ТП общая S]]-ППД5[[#This Row],[кроме того прочая
(без коэффициента)]]</f>
        <v>73</v>
      </c>
      <c r="AN477" s="95">
        <f>SUM(ППД5[[#This Row],[ТП Кухня]:[ТП Коридор]])</f>
        <v>33.4</v>
      </c>
      <c r="AO477" s="91">
        <f>ППД5[[#This Row],[Расчетная ТП площадь]]-ППД5[[#This Row],[Расчетная проектная площадь]]</f>
        <v>-0.98999999999999488</v>
      </c>
      <c r="AP477" s="335">
        <f>ППД5[[#This Row],[Расчетная ТП площадь]]/ППД5[[#This Row],[Расчетная проектная площадь]]-1</f>
        <v>-1.2462235649546738E-2</v>
      </c>
      <c r="AQ477" s="91">
        <f>ППД5[[#This Row],[% расхождения]]*ППД5[[#This Row],[Стоимость до скидки]]</f>
        <v>-99072.280966766659</v>
      </c>
      <c r="AR477" s="91">
        <f>VLOOKUP(ППД5[[#This Row],[№]],наценкад5[],COLUMN(наценкад5[[#This Row],[Цена м2 с учетом всех K]]),0)</f>
        <v>77803.110000000015</v>
      </c>
      <c r="AS477" s="8">
        <f>ППД5[[#This Row],[м2 после К]]*5%</f>
        <v>3890.1555000000008</v>
      </c>
      <c r="AT477" s="8">
        <f>ППД5[[#This Row],[м2 после К]]+ППД5[[#This Row],[Повышение 16.08.23 - 5%]]</f>
        <v>81693.265500000009</v>
      </c>
      <c r="AU477" s="93">
        <f>ППД5[[#This Row],[Фикс 16.08.23]]*3%</f>
        <v>2450.7979650000002</v>
      </c>
      <c r="AV477" s="93">
        <f>ППД5[[#This Row],[Фикс 16.08.23]]+ППД5[[#This Row],[Повышение 29.08.23 - 3%]]</f>
        <v>84144.063465000014</v>
      </c>
      <c r="AW477" s="93"/>
      <c r="AX477" s="93">
        <f>ППД5[[#This Row],[Фикс 29.08.23]]+ППД5[[#This Row],[Повышение 06.09.23 СТ и 1К]]</f>
        <v>84144.063465000014</v>
      </c>
      <c r="AY477" s="93"/>
      <c r="AZ477" s="93">
        <f>ППД5[[#This Row],[Повышение 23.10.23  В4 ]]+ППД5[[#This Row],[Фикс 06.09.23]]</f>
        <v>84144.063465000014</v>
      </c>
      <c r="BA477" s="93"/>
      <c r="BB477" s="93">
        <f>ППД5[[#This Row],[Повышение 8.11.23 1К 5%]]+ППД5[[#This Row],[Фикс 23.10.23]]</f>
        <v>84144.063465000014</v>
      </c>
      <c r="BC477" s="93"/>
      <c r="BD477" s="93">
        <f>ППД5[[#This Row],[Корректировка 24.11.23 - 1К В5, 2К А2, №233]]+ППД5[[#This Row],[Фикс 8.11.23]]</f>
        <v>84144.063465000014</v>
      </c>
      <c r="BE477" s="93">
        <f>ППД5[[#This Row],[Фикс 8.11.24]]*1%</f>
        <v>841.44063465000011</v>
      </c>
      <c r="BF477" s="93">
        <f>ППД5[[#This Row],[Наценка за отделку 29.12.23 1%]]+ППД5[[#This Row],[Фикс 8.11.24]]</f>
        <v>84985.504099650017</v>
      </c>
      <c r="BG477" s="93">
        <f>ППД5[[#This Row],[Фикс 29.12.23]]*5%</f>
        <v>4249.2752049825012</v>
      </c>
      <c r="BH477" s="93">
        <f>ППД5[[#This Row],[Фикс 29.12.23]]+ППД5[[#This Row],[Наценка 10.01.24 5%]]</f>
        <v>89234.779304632524</v>
      </c>
      <c r="BI477" s="93"/>
      <c r="BJ477" s="93">
        <f>ППД5[[#This Row],[Наценка 26.02.24 1 Этаж]]+ППД5[[#This Row],[Фикс 10.01.24]]</f>
        <v>89234.779304632524</v>
      </c>
      <c r="BK477" s="93">
        <f>ППД5[[#This Row],[Фикс 26.02.24]]*2%</f>
        <v>1784.6955860926505</v>
      </c>
      <c r="BL477" s="93">
        <f>ППД5[[#This Row],[Фикс 26.02.24]]+ППД5[[#This Row],[Наценка 06.03.24
СТ, 1К - 3%
2К, 3К - 2%]]</f>
        <v>91019.474890725178</v>
      </c>
      <c r="BM477" s="93"/>
      <c r="BN477" s="93">
        <f>ППД5[[#This Row],[Фикс 06.03.24]]+ППД5[[#This Row],[Наценка Г2+500]]</f>
        <v>91019.474890725178</v>
      </c>
      <c r="BO477" s="93">
        <f>ППД5[[#This Row],[Фикс 13.03.25]]*2%</f>
        <v>1820.3894978145036</v>
      </c>
      <c r="BP477" s="93">
        <f>ППД5[[#This Row],[Фикс 13.03.25]]+ППД5[[#This Row],[Наценка 20.03.24
2К, 3К - 2%]]</f>
        <v>92839.864388539689</v>
      </c>
      <c r="BQ477" s="93">
        <v>1000</v>
      </c>
      <c r="BR477" s="93">
        <f>ППД5[[#This Row],[Фикс 20.03.24]]+ППД5[[#This Row],[Наценка 08.04.24 
2К: В3 - 150
3К: Г7 +1000]]</f>
        <v>93839.864388539689</v>
      </c>
      <c r="BS477" s="93"/>
      <c r="BT477" s="93">
        <f>ППД5[[#This Row],[Фикс 08.04.24]]+ППД5[[#This Row],[Наценка 16.05.24 1%
А4,А6,Б3,Б6,Б7,В2,В3,В5,В6,Г1,Г3-Г5]]</f>
        <v>93839.864388539689</v>
      </c>
      <c r="BU477" s="93">
        <f>ППД5[[#This Row],[Фикс 16.05.24]]*2%</f>
        <v>1876.7972877707939</v>
      </c>
      <c r="BV477" s="93">
        <f>ППД5[[#This Row],[Фикс 16.05.24]]+ППД5[[#This Row],[Наценка 24.05.24
1% - Б4, Б5,Г2,Г6
2% - А1,А3,А5,Б2,Г7]]</f>
        <v>95716.661676310483</v>
      </c>
      <c r="BW477" s="93"/>
      <c r="BX477" s="93">
        <f>ППД5[[#This Row],[Наценка 06.06.24
0К: В2,Г3 +0,5%
1К: А7, Б5/4, Г6 +0,5%
3К: В6 +0,5%
1К: А3 +1%]]+ППД5[[#This Row],[Фикс 24.05.24]]</f>
        <v>95716.661676310483</v>
      </c>
      <c r="BY477" s="93">
        <f>ППД5[[#This Row],[Фикс 06.06.24]]*2%</f>
        <v>1914.3332335262096</v>
      </c>
      <c r="BZ477" s="93">
        <f>ППД5[[#This Row],[Фикс 06.06.24]]+ППД5[[#This Row],[13.06.2024
3К - 2%]]</f>
        <v>97630.994909836692</v>
      </c>
      <c r="CA477" s="93">
        <f>ППД5[[#This Row],[Фикс 13.06.24]]*2.5%</f>
        <v>2440.7748727459175</v>
      </c>
      <c r="CB477" s="93">
        <f>ППД5[[#This Row],[02.07.2024: Г3 А1 А3 Б5 Б7 Г2 Г6 Б3 Б4 В3 Г7 2,5% ост 0,5-1,5%]]+ППД5[[#This Row],[Фикс 13.06.24]]</f>
        <v>100071.7697825826</v>
      </c>
      <c r="CC477" s="93"/>
      <c r="CD477" s="93">
        <f>ППД5[[#This Row],[Фикс 02.07.24]]+ППД5[[#This Row],[04.09.2024 +500
0К - Б2; 1К - А3;
2К - А6, Б4, В3, Г5]]</f>
        <v>100071.7697825826</v>
      </c>
      <c r="CE477" s="93"/>
      <c r="CF477" s="93">
        <f>ППД5[[#This Row],[Наценка 16.09.2024
1К: А1,В7,Г6/7,Г8 - 2%
2К: А4,А5,А6,Б1,Б6,Б3/4,В3,В4,Г4,Г5 - 4%
3К: 4%]]+ППД5[[#This Row],[Фикс 04.09.24]]</f>
        <v>100071.7697825826</v>
      </c>
      <c r="CG477" s="93"/>
      <c r="CH477" s="93">
        <f>ППД5[[#This Row],[Фикс 16.09.2024]]+ППД5[[#This Row],[Наценка 01.11.24
СТ: 4%
1К: 34-40м 5%; 40м+ 8%; МГН 1%
2К: 55-70м 6%; 70-73м 7%; 73-76м 8% 
3К: 5%]]</f>
        <v>100071.7697825826</v>
      </c>
      <c r="CI477" s="93"/>
      <c r="CJ477" s="93">
        <f>ППД5[[#This Row],[Наценка 06.11 13%]]+ППД5[[#This Row],[Фикс 01.11.24]]</f>
        <v>100071.7697825826</v>
      </c>
      <c r="CK477" s="93"/>
      <c r="CL477" s="93">
        <f>ППД5[[#This Row],[Фикс 06.11.24]]+ППД5[[#This Row],[Наценка 18.12.24 распределение КВ]]</f>
        <v>100071.7697825826</v>
      </c>
      <c r="CM477" s="93"/>
      <c r="CN477" s="93">
        <f>ППД5[[#This Row],[Фикс 18.12.24]]+ППД5[[#This Row],[Наценка 10.02.25 +1%
1К: А3
2К: Б3, В3]]</f>
        <v>100071.7697825826</v>
      </c>
      <c r="CO477" s="93">
        <f>ROUND(ППД5[[#This Row],[Фикс 10.02.25]],2)</f>
        <v>100071.77</v>
      </c>
      <c r="CP47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7949800</v>
      </c>
      <c r="CQ477" s="93">
        <f>ROUNDUP(ППД5[[#This Row],[Стоимость до скидки]]+ППД5[[#This Row],[Сумма доплаты]],-2)</f>
        <v>7850800</v>
      </c>
      <c r="CR477" s="68"/>
      <c r="CS477" s="90">
        <v>0.03</v>
      </c>
      <c r="CT477" s="68">
        <f>ППД5[[#This Row],[Стоимость до скидки]]*ППД5[[#This Row],[Скидка %]]+ППД5[[#This Row],[Скидка фиксированная]]</f>
        <v>238494</v>
      </c>
      <c r="CU477" s="3">
        <f>ППД5[[#This Row],[Стоимость ОН без отделки со скидкой]]/ППД5[[#This Row],[Расчетная проектная площадь]]</f>
        <v>97070.820745216522</v>
      </c>
      <c r="CV477" s="3">
        <f>ROUND(ППД5[[#This Row],[Стоимость до скидки]]-ППД5[[#This Row],[Итоговая сумма скидки]],2)</f>
        <v>7711306</v>
      </c>
      <c r="CW47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77" s="197">
        <v>20000</v>
      </c>
      <c r="CY477" s="332">
        <f>ППД5[[#This Row],[Расхождение]]/ППД5[[#This Row],[Расчетная проектная площадь]]</f>
        <v>-1.2462235649546764E-2</v>
      </c>
      <c r="CZ47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-0.61000000000000654</v>
      </c>
      <c r="DA477" s="3">
        <f>ППД5[[#This Row],[Цена м2 без отделки со скидкой]]+ППД5[[#This Row],[Стоимость отделки]]</f>
        <v>117070.82074521652</v>
      </c>
      <c r="DB477" s="3">
        <f>ППД5[[#This Row],[Стоимость квартиры с отделкой]]-ППД5[[#This Row],[Стоимость ОН без отделки со скидкой]]</f>
        <v>1588800</v>
      </c>
      <c r="DC477" s="3">
        <f>ППД5[[#This Row],[Цена м2 с отделкой]]*ППД5[[#This Row],[Расчетная проектная площадь]]</f>
        <v>9300106</v>
      </c>
      <c r="DD477" s="3" t="s">
        <v>155</v>
      </c>
      <c r="DE477" s="111" t="s">
        <v>162</v>
      </c>
      <c r="DF477" s="155" t="s">
        <v>172</v>
      </c>
      <c r="DG477" s="245" t="s">
        <v>172</v>
      </c>
      <c r="DH477" s="100" t="b">
        <f>EXACT(ППД5[[#This Row],[Статусы CRM]],ППД5[[#This Row],[Статус]])</f>
        <v>1</v>
      </c>
      <c r="DI477" s="213" t="s">
        <v>649</v>
      </c>
      <c r="DJ477" s="204"/>
      <c r="DK477" s="111" t="s">
        <v>763</v>
      </c>
      <c r="DL477" s="216" t="s">
        <v>14</v>
      </c>
      <c r="DM477" s="201" t="b">
        <f>ППД5[[#This Row],[Отделка CRM]]=ППД5[[#This Row],[Отделка]]</f>
        <v>1</v>
      </c>
      <c r="DN477" s="203">
        <v>9300106</v>
      </c>
      <c r="DO47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77" s="207" t="b">
        <f>IF(AND(ППД5[[#This Row],[Статус]]="свободно",ППД5[[#This Row],[Итоговая сумма скидки]]&lt;&gt;0),FALSE,TRUE)</f>
        <v>1</v>
      </c>
      <c r="DQ477" s="240">
        <f>_xlfn.XLOOKUP(ППД5[[#This Row],[№]],Юрист[№ кв],Юрист[Дата подачи на регистрацию]," ",0,-1)</f>
        <v>45504</v>
      </c>
      <c r="DR477" s="115" t="str">
        <f>_xlfn.XLOOKUP(ППД5[[#This Row],[№]],Юрист[№ кв],Юрист[МОП],"",0,-1)</f>
        <v>Дик</v>
      </c>
      <c r="DS477" s="333" t="s">
        <v>3246</v>
      </c>
      <c r="DT477" s="333" t="s">
        <v>3247</v>
      </c>
      <c r="DU477" s="333">
        <v>73</v>
      </c>
      <c r="DV477" s="111"/>
    </row>
    <row r="478" spans="1:126" hidden="1" x14ac:dyDescent="0.25">
      <c r="A478" s="112">
        <v>476</v>
      </c>
      <c r="B478" s="111" t="s">
        <v>2</v>
      </c>
      <c r="C478" s="111">
        <v>11</v>
      </c>
      <c r="D478" s="115">
        <v>8</v>
      </c>
      <c r="E478" s="111">
        <v>1</v>
      </c>
      <c r="F478" s="105">
        <v>16.79</v>
      </c>
      <c r="G478" s="105"/>
      <c r="H478" s="105"/>
      <c r="I478" s="94">
        <f>SUM(ППД5[[#This Row],[Комната 1]:[Комната 3]])</f>
        <v>16.79</v>
      </c>
      <c r="J478" s="105">
        <v>11.43</v>
      </c>
      <c r="K478" s="105">
        <v>3.56</v>
      </c>
      <c r="L478" s="105"/>
      <c r="M478" s="105"/>
      <c r="N478" s="105">
        <v>6.66</v>
      </c>
      <c r="O478" s="105">
        <v>2.4900000000000002</v>
      </c>
      <c r="P478" s="105"/>
      <c r="Q478" s="105"/>
      <c r="R478" s="105">
        <f>SUM(ППД5[[#This Row],[Лоджия 1]:[Лоджия 3]])</f>
        <v>2.4900000000000002</v>
      </c>
      <c r="S478" s="8">
        <f>ROUND(SUM(ППД5[[#This Row],[Площадь по проекту жилая]:[Лоджия 3]]),2)</f>
        <v>40.93</v>
      </c>
      <c r="T478" s="8">
        <f>ROUND(ППД5[[#This Row],[Площадь по проекту(общая)]]-ППД5[[#This Row],[Летние]],2)</f>
        <v>38.44</v>
      </c>
      <c r="U478" s="91">
        <f>ROUND(ППД5[[#This Row],[Площадь по проекту(общая)]]-(SUM(ППД5[[#This Row],[Лоджия 1]:[Лоджия 3]])/2),2)</f>
        <v>39.69</v>
      </c>
      <c r="V478" s="91">
        <f>IF(ППД5[[#This Row],[Статус]]="продажа",ППД5[[#This Row],[Расчетная проектная площадь]],ППД5[[#This Row],[Расчетная ТП площадь]])</f>
        <v>39.69</v>
      </c>
      <c r="W478" s="91">
        <v>16.7</v>
      </c>
      <c r="X478" s="91"/>
      <c r="Y478" s="91"/>
      <c r="Z478" s="91">
        <f>SUM(ППД5[[#This Row],[ТП Комната 1]:[ТП Комната 3]])</f>
        <v>16.7</v>
      </c>
      <c r="AA478" s="91">
        <v>11.4</v>
      </c>
      <c r="AB478" s="91">
        <v>3.5</v>
      </c>
      <c r="AC478" s="91"/>
      <c r="AD478" s="91"/>
      <c r="AE478" s="91">
        <v>6.7</v>
      </c>
      <c r="AF478" s="92">
        <v>1.25</v>
      </c>
      <c r="AG478" s="91"/>
      <c r="AH478" s="91"/>
      <c r="AI478" s="91">
        <f>SUM(ППД5[[#This Row],[ТП Лоджия 1]:[ТП Лоджия 3]])</f>
        <v>1.25</v>
      </c>
      <c r="AJ478" s="95">
        <v>2.5</v>
      </c>
      <c r="AK478" s="91">
        <f>SUM(ППД5[[#This Row],[Площадь по ТП жилая]:[ТП Лоджия 3]])-ППД5[[#This Row],[ТП Летние]]+ППД5[[#This Row],[кроме того прочая
(без коэффициента)]]</f>
        <v>40.800000000000004</v>
      </c>
      <c r="AL478" s="95">
        <f>ППД5[[#This Row],[ТП Площадь без летних]]+(ППД5[[#This Row],[ТП Летние]])</f>
        <v>39.550000000000004</v>
      </c>
      <c r="AM478" s="91">
        <f>ППД5[[#This Row],[ТП общая S]]-ППД5[[#This Row],[кроме того прочая
(без коэффициента)]]</f>
        <v>38.300000000000004</v>
      </c>
      <c r="AN478" s="95">
        <f>SUM(ППД5[[#This Row],[ТП Кухня]:[ТП Коридор]])</f>
        <v>21.6</v>
      </c>
      <c r="AO478" s="91">
        <f>ППД5[[#This Row],[Расчетная ТП площадь]]-ППД5[[#This Row],[Расчетная проектная площадь]]</f>
        <v>-0.13999999999999346</v>
      </c>
      <c r="AP478" s="335">
        <f>ППД5[[#This Row],[Расчетная ТП площадь]]/ППД5[[#This Row],[Расчетная проектная площадь]]-1</f>
        <v>-3.5273368606700828E-3</v>
      </c>
      <c r="AQ478" s="91">
        <f>ППД5[[#This Row],[% расхождения]]*ППД5[[#This Row],[Стоимость до скидки]]</f>
        <v>-19067.019400352132</v>
      </c>
      <c r="AR478" s="91">
        <f>VLOOKUP(ППД5[[#This Row],[№]],наценкад5[],COLUMN(наценкад5[[#This Row],[Цена м2 с учетом всех K]]),0)</f>
        <v>86384.8125</v>
      </c>
      <c r="AS478" s="8">
        <f>ППД5[[#This Row],[м2 после К]]*5%</f>
        <v>4319.2406250000004</v>
      </c>
      <c r="AT478" s="8">
        <f>ППД5[[#This Row],[м2 после К]]+ППД5[[#This Row],[Повышение 16.08.23 - 5%]]</f>
        <v>90704.053125000006</v>
      </c>
      <c r="AU478" s="93">
        <f>ППД5[[#This Row],[Фикс 16.08.23]]*3%</f>
        <v>2721.1215937500001</v>
      </c>
      <c r="AV478" s="93">
        <f>ППД5[[#This Row],[Фикс 16.08.23]]+ППД5[[#This Row],[Повышение 29.08.23 - 3%]]</f>
        <v>93425.17471875</v>
      </c>
      <c r="AW478" s="93">
        <f>ППД5[[#This Row],[Фикс 29.08.23]]*4.5%</f>
        <v>4204.1328623437503</v>
      </c>
      <c r="AX478" s="93">
        <f>ППД5[[#This Row],[Фикс 29.08.23]]+ППД5[[#This Row],[Повышение 06.09.23 СТ и 1К]]</f>
        <v>97629.307581093744</v>
      </c>
      <c r="AY478" s="93"/>
      <c r="AZ478" s="93">
        <f>ППД5[[#This Row],[Повышение 23.10.23  В4 ]]+ППД5[[#This Row],[Фикс 06.09.23]]</f>
        <v>97629.307581093744</v>
      </c>
      <c r="BA478" s="93">
        <f>ППД5[[#This Row],[Фикс 23.10.23]]*5%</f>
        <v>4881.4653790546872</v>
      </c>
      <c r="BB478" s="93">
        <f>ППД5[[#This Row],[Повышение 8.11.23 1К 5%]]+ППД5[[#This Row],[Фикс 23.10.23]]</f>
        <v>102510.77296014843</v>
      </c>
      <c r="BC478" s="93"/>
      <c r="BD478" s="93">
        <f>ППД5[[#This Row],[Корректировка 24.11.23 - 1К В5, 2К А2, №233]]+ППД5[[#This Row],[Фикс 8.11.23]]</f>
        <v>102510.77296014843</v>
      </c>
      <c r="BE478" s="93">
        <f>ППД5[[#This Row],[Фикс 8.11.24]]*1%</f>
        <v>1025.1077296014844</v>
      </c>
      <c r="BF478" s="93">
        <f>ППД5[[#This Row],[Наценка за отделку 29.12.23 1%]]+ППД5[[#This Row],[Фикс 8.11.24]]</f>
        <v>103535.88068974992</v>
      </c>
      <c r="BG478" s="93">
        <f>ППД5[[#This Row],[Фикс 29.12.23]]*5%</f>
        <v>5176.794034487496</v>
      </c>
      <c r="BH478" s="93">
        <f>ППД5[[#This Row],[Фикс 29.12.23]]+ППД5[[#This Row],[Наценка 10.01.24 5%]]</f>
        <v>108712.67472423741</v>
      </c>
      <c r="BI478" s="93"/>
      <c r="BJ478" s="93">
        <f>ППД5[[#This Row],[Наценка 26.02.24 1 Этаж]]+ППД5[[#This Row],[Фикс 10.01.24]]</f>
        <v>108712.67472423741</v>
      </c>
      <c r="BK478" s="93">
        <f>ППД5[[#This Row],[Фикс 26.02.24]]*3%</f>
        <v>3261.3802417271222</v>
      </c>
      <c r="BL478" s="93">
        <f>ППД5[[#This Row],[Фикс 26.02.24]]+ППД5[[#This Row],[Наценка 06.03.24
СТ, 1К - 3%
2К, 3К - 2%]]</f>
        <v>111974.05496596453</v>
      </c>
      <c r="BM478" s="93"/>
      <c r="BN478" s="93">
        <f>ППД5[[#This Row],[Фикс 06.03.24]]+ППД5[[#This Row],[Наценка Г2+500]]</f>
        <v>111974.05496596453</v>
      </c>
      <c r="BO478" s="93"/>
      <c r="BP478" s="93">
        <f>ППД5[[#This Row],[Фикс 13.03.25]]+ППД5[[#This Row],[Наценка 20.03.24
2К, 3К - 2%]]</f>
        <v>111974.05496596453</v>
      </c>
      <c r="BQ478" s="93"/>
      <c r="BR478" s="93">
        <f>ППД5[[#This Row],[Фикс 20.03.24]]+ППД5[[#This Row],[Наценка 08.04.24 
2К: В3 - 150
3К: Г7 +1000]]</f>
        <v>111974.05496596453</v>
      </c>
      <c r="BS478" s="93"/>
      <c r="BT478" s="93">
        <f>ППД5[[#This Row],[Фикс 08.04.24]]+ППД5[[#This Row],[Наценка 16.05.24 1%
А4,А6,Б3,Б6,Б7,В2,В3,В5,В6,Г1,Г3-Г5]]</f>
        <v>111974.05496596453</v>
      </c>
      <c r="BU478" s="93"/>
      <c r="BV478" s="93">
        <f>ППД5[[#This Row],[Фикс 16.05.24]]+ППД5[[#This Row],[Наценка 24.05.24
1% - Б4, Б5,Г2,Г6
2% - А1,А3,А5,Б2,Г7]]</f>
        <v>111974.05496596453</v>
      </c>
      <c r="BW478" s="93"/>
      <c r="BX478" s="93">
        <f>ППД5[[#This Row],[Наценка 06.06.24
0К: В2,Г3 +0,5%
1К: А7, Б5/4, Г6 +0,5%
3К: В6 +0,5%
1К: А3 +1%]]+ППД5[[#This Row],[Фикс 24.05.24]]</f>
        <v>111974.05496596453</v>
      </c>
      <c r="BY478" s="93"/>
      <c r="BZ478" s="93">
        <f>ППД5[[#This Row],[Фикс 06.06.24]]+ППД5[[#This Row],[13.06.2024
3К - 2%]]</f>
        <v>111974.05496596453</v>
      </c>
      <c r="CA478" s="93">
        <f>0.5%*ППД5[[#This Row],[Фикс 13.06.24]]</f>
        <v>559.87027482982273</v>
      </c>
      <c r="CB478" s="93">
        <f>ППД5[[#This Row],[02.07.2024: Г3 А1 А3 Б5 Б7 Г2 Г6 Б3 Б4 В3 Г7 2,5% ост 0,5-1,5%]]+ППД5[[#This Row],[Фикс 13.06.24]]</f>
        <v>112533.92524079436</v>
      </c>
      <c r="CC478" s="93"/>
      <c r="CD478" s="93">
        <f>ППД5[[#This Row],[Фикс 02.07.24]]+ППД5[[#This Row],[04.09.2024 +500
0К - Б2; 1К - А3;
2К - А6, Б4, В3, Г5]]</f>
        <v>112533.92524079436</v>
      </c>
      <c r="CE478" s="93">
        <f>ППД5[[#This Row],[Фикс 04.09.24]]*2%</f>
        <v>2250.6785048158872</v>
      </c>
      <c r="CF478" s="93">
        <f>ППД5[[#This Row],[Наценка 16.09.2024
1К: А1,В7,Г6/7,Г8 - 2%
2К: А4,А5,А6,Б1,Б6,Б3/4,В3,В4,Г4,Г5 - 4%
3К: 4%]]+ППД5[[#This Row],[Фикс 04.09.24]]</f>
        <v>114784.60374561025</v>
      </c>
      <c r="CG478" s="219">
        <f>5%*ППД5[[#This Row],[Фикс 16.09.2024]]</f>
        <v>5739.2301872805128</v>
      </c>
      <c r="CH478" s="93">
        <f>ППД5[[#This Row],[Фикс 16.09.2024]]+ППД5[[#This Row],[Наценка 01.11.24
СТ: 4%
1К: 34-40м 5%; 40м+ 8%; МГН 1%
2К: 55-70м 6%; 70-73м 7%; 73-76м 8% 
3К: 5%]]</f>
        <v>120523.83393289076</v>
      </c>
      <c r="CI478" s="93">
        <f>ППД5[[#This Row],[Фикс 01.11.24]]*13%</f>
        <v>15668.0984112758</v>
      </c>
      <c r="CJ478" s="93">
        <f>ППД5[[#This Row],[Наценка 06.11 13%]]+ППД5[[#This Row],[Фикс 01.11.24]]</f>
        <v>136191.93234416656</v>
      </c>
      <c r="CK478" s="93"/>
      <c r="CL478" s="93">
        <f>ППД5[[#This Row],[Фикс 06.11.24]]+ППД5[[#This Row],[Наценка 18.12.24 распределение КВ]]</f>
        <v>136191.93234416656</v>
      </c>
      <c r="CM478" s="93"/>
      <c r="CN478" s="93">
        <f>ППД5[[#This Row],[Фикс 18.12.24]]+ППД5[[#This Row],[Наценка 10.02.25 +1%
1К: А3
2К: Б3, В3]]</f>
        <v>136191.93234416656</v>
      </c>
      <c r="CO478" s="93">
        <f>ROUND(ППД5[[#This Row],[Фикс 10.02.25]],2)</f>
        <v>136191.93</v>
      </c>
      <c r="CP47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5405500</v>
      </c>
      <c r="CQ478" s="93">
        <f>ROUNDUP(ППД5[[#This Row],[Стоимость до скидки]]+ППД5[[#This Row],[Сумма доплаты]],-2)</f>
        <v>5386500</v>
      </c>
      <c r="CR478" s="68"/>
      <c r="CS478" s="90">
        <v>0.02</v>
      </c>
      <c r="CT478" s="68">
        <f>ППД5[[#This Row],[Стоимость до скидки]]*ППД5[[#This Row],[Скидка %]]+ППД5[[#This Row],[Скидка фиксированная]]</f>
        <v>108110</v>
      </c>
      <c r="CU478" s="3">
        <f>ППД5[[#This Row],[Стоимость ОН без отделки со скидкой]]/ППД5[[#This Row],[Расчетная проектная площадь]]</f>
        <v>133469.13580246913</v>
      </c>
      <c r="CV478" s="3">
        <f>ROUND(ППД5[[#This Row],[Стоимость до скидки]]-ППД5[[#This Row],[Итоговая сумма скидки]],2)</f>
        <v>5297390</v>
      </c>
      <c r="CW47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78" s="197">
        <v>25000</v>
      </c>
      <c r="CY478" s="332">
        <f>ППД5[[#This Row],[Расхождение]]/ППД5[[#This Row],[Расчетная проектная площадь]]</f>
        <v>-3.5273368606700294E-3</v>
      </c>
      <c r="CZ47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-4.9999999999998934E-2</v>
      </c>
      <c r="DA478" s="3">
        <f>ППД5[[#This Row],[Цена м2 без отделки со скидкой]]+ППД5[[#This Row],[Стоимость отделки]]</f>
        <v>158469.13580246913</v>
      </c>
      <c r="DB478" s="3">
        <f>ППД5[[#This Row],[Стоимость квартиры с отделкой]]-ППД5[[#This Row],[Стоимость ОН без отделки со скидкой]]</f>
        <v>992249.99999999907</v>
      </c>
      <c r="DC478" s="3">
        <f>ППД5[[#This Row],[Цена м2 с отделкой]]*ППД5[[#This Row],[Расчетная проектная площадь]]</f>
        <v>6289639.9999999991</v>
      </c>
      <c r="DD478" s="3"/>
      <c r="DE478" s="111" t="s">
        <v>757</v>
      </c>
      <c r="DF478" s="199" t="s">
        <v>172</v>
      </c>
      <c r="DG478" s="245" t="s">
        <v>172</v>
      </c>
      <c r="DH478" s="100" t="b">
        <f>EXACT(ППД5[[#This Row],[Статусы CRM]],ППД5[[#This Row],[Статус]])</f>
        <v>1</v>
      </c>
      <c r="DI478" s="213" t="s">
        <v>650</v>
      </c>
      <c r="DJ478" s="204"/>
      <c r="DK478" s="111" t="s">
        <v>763</v>
      </c>
      <c r="DL478" s="216" t="s">
        <v>14</v>
      </c>
      <c r="DM478" s="201" t="b">
        <f>ППД5[[#This Row],[Отделка CRM]]=ППД5[[#This Row],[Отделка]]</f>
        <v>1</v>
      </c>
      <c r="DN478" s="203">
        <v>6289640</v>
      </c>
      <c r="DO47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9.3132257461547852E-10</v>
      </c>
      <c r="DP478" s="207" t="b">
        <f>IF(AND(ППД5[[#This Row],[Статус]]="свободно",ППД5[[#This Row],[Итоговая сумма скидки]]&lt;&gt;0),FALSE,TRUE)</f>
        <v>1</v>
      </c>
      <c r="DQ478" s="240">
        <f>_xlfn.XLOOKUP(ППД5[[#This Row],[№]],Юрист[№ кв],Юрист[Дата подачи на регистрацию]," ",0,-1)</f>
        <v>45643</v>
      </c>
      <c r="DR478" s="115" t="str">
        <f>_xlfn.XLOOKUP(ППД5[[#This Row],[№]],Юрист[№ кв],Юрист[МОП],"",0,-1)</f>
        <v>Дик</v>
      </c>
      <c r="DS478" s="333" t="s">
        <v>3248</v>
      </c>
      <c r="DT478" s="333" t="s">
        <v>3249</v>
      </c>
      <c r="DU478" s="333">
        <v>38.299999999999997</v>
      </c>
      <c r="DV478" s="111"/>
    </row>
    <row r="479" spans="1:126" hidden="1" x14ac:dyDescent="0.25">
      <c r="A479" s="112">
        <v>477</v>
      </c>
      <c r="B479" s="111" t="s">
        <v>2</v>
      </c>
      <c r="C479" s="111">
        <v>12</v>
      </c>
      <c r="D479" s="338">
        <v>1</v>
      </c>
      <c r="E479" s="111">
        <v>0</v>
      </c>
      <c r="F479" s="105">
        <v>13.74</v>
      </c>
      <c r="G479" s="105"/>
      <c r="H479" s="105"/>
      <c r="I479" s="94">
        <f>SUM(ППД5[[#This Row],[Комната 1]:[Комната 3]])</f>
        <v>13.74</v>
      </c>
      <c r="J479" s="105">
        <v>5.84</v>
      </c>
      <c r="K479" s="105">
        <v>3.76</v>
      </c>
      <c r="L479" s="105"/>
      <c r="M479" s="105"/>
      <c r="N479" s="105">
        <v>3.73</v>
      </c>
      <c r="O479" s="105">
        <v>4.6500000000000004</v>
      </c>
      <c r="P479" s="105"/>
      <c r="Q479" s="105"/>
      <c r="R479" s="105">
        <f>SUM(ППД5[[#This Row],[Лоджия 1]:[Лоджия 3]])</f>
        <v>4.6500000000000004</v>
      </c>
      <c r="S479" s="8">
        <f>ROUND(SUM(ППД5[[#This Row],[Площадь по проекту жилая]:[Лоджия 3]]),2)</f>
        <v>31.72</v>
      </c>
      <c r="T479" s="8">
        <f>ROUND(ППД5[[#This Row],[Площадь по проекту(общая)]]-ППД5[[#This Row],[Летние]],2)</f>
        <v>27.07</v>
      </c>
      <c r="U479" s="91">
        <f>ROUND(ППД5[[#This Row],[Площадь по проекту(общая)]]-(SUM(ППД5[[#This Row],[Лоджия 1]:[Лоджия 3]])/2),2)</f>
        <v>29.4</v>
      </c>
      <c r="V479" s="91">
        <f>IF(ППД5[[#This Row],[Статус]]="продажа",ППД5[[#This Row],[Расчетная проектная площадь]],ППД5[[#This Row],[Расчетная ТП площадь]])</f>
        <v>29.4</v>
      </c>
      <c r="W479" s="91">
        <v>13.7</v>
      </c>
      <c r="X479" s="91"/>
      <c r="Y479" s="91"/>
      <c r="Z479" s="91">
        <f>SUM(ППД5[[#This Row],[ТП Комната 1]:[ТП Комната 3]])</f>
        <v>13.7</v>
      </c>
      <c r="AA479" s="91">
        <v>5.7</v>
      </c>
      <c r="AB479" s="91">
        <v>3.7</v>
      </c>
      <c r="AC479" s="91"/>
      <c r="AD479" s="91"/>
      <c r="AE479" s="91">
        <v>3.8</v>
      </c>
      <c r="AF479" s="91">
        <v>2.2999999999999998</v>
      </c>
      <c r="AG479" s="91"/>
      <c r="AH479" s="91"/>
      <c r="AI479" s="91">
        <f>SUM(ППД5[[#This Row],[ТП Лоджия 1]:[ТП Лоджия 3]])</f>
        <v>2.2999999999999998</v>
      </c>
      <c r="AJ479" s="95">
        <v>4.5999999999999996</v>
      </c>
      <c r="AK479" s="91">
        <f>SUM(ППД5[[#This Row],[Площадь по ТП жилая]:[ТП Лоджия 3]])-ППД5[[#This Row],[ТП Летние]]+ППД5[[#This Row],[кроме того прочая
(без коэффициента)]]</f>
        <v>31.5</v>
      </c>
      <c r="AL479" s="95">
        <f>ППД5[[#This Row],[ТП Площадь без летних]]+(ППД5[[#This Row],[ТП Летние]])</f>
        <v>29.2</v>
      </c>
      <c r="AM479" s="91">
        <f>ППД5[[#This Row],[ТП общая S]]-ППД5[[#This Row],[кроме того прочая
(без коэффициента)]]</f>
        <v>26.9</v>
      </c>
      <c r="AN479" s="95">
        <f>SUM(ППД5[[#This Row],[ТП Кухня]:[ТП Коридор]])</f>
        <v>13.2</v>
      </c>
      <c r="AO479" s="91">
        <f>ППД5[[#This Row],[Расчетная ТП площадь]]-ППД5[[#This Row],[Расчетная проектная площадь]]</f>
        <v>-0.19999999999999929</v>
      </c>
      <c r="AP479" s="335">
        <f>ППД5[[#This Row],[Расчетная ТП площадь]]/ППД5[[#This Row],[Расчетная проектная площадь]]-1</f>
        <v>-6.8027210884353817E-3</v>
      </c>
      <c r="AQ479" s="91">
        <f>ППД5[[#This Row],[% расхождения]]*ППД5[[#This Row],[Стоимость до скидки]]</f>
        <v>-21066.614013605464</v>
      </c>
      <c r="AR479" s="91">
        <f>VLOOKUP(ППД5[[#This Row],[№]],наценкад5[],COLUMN(наценкад5[[#This Row],[Цена м2 с учетом всех K]]),0)</f>
        <v>89353.53</v>
      </c>
      <c r="AS479" s="8">
        <f>ППД5[[#This Row],[м2 после К]]*5%</f>
        <v>4467.6765000000005</v>
      </c>
      <c r="AT479" s="8">
        <f>ППД5[[#This Row],[м2 после К]]+ППД5[[#This Row],[Повышение 16.08.23 - 5%]]</f>
        <v>93821.2065</v>
      </c>
      <c r="AU479" s="93">
        <f>ППД5[[#This Row],[Фикс 16.08.23]]*3%</f>
        <v>2814.636195</v>
      </c>
      <c r="AV479" s="93">
        <f>ППД5[[#This Row],[Фикс 16.08.23]]+ППД5[[#This Row],[Повышение 29.08.23 - 3%]]</f>
        <v>96635.842694999999</v>
      </c>
      <c r="AW479" s="93">
        <f>ППД5[[#This Row],[Фикс 29.08.23]]*9%</f>
        <v>8697.2258425500004</v>
      </c>
      <c r="AX479" s="93">
        <f>ППД5[[#This Row],[Фикс 29.08.23]]+ППД5[[#This Row],[Повышение 06.09.23 СТ и 1К]]</f>
        <v>105333.06853755</v>
      </c>
      <c r="AY479" s="93"/>
      <c r="AZ479" s="93">
        <f>ППД5[[#This Row],[Повышение 23.10.23  В4 ]]+ППД5[[#This Row],[Фикс 06.09.23]]</f>
        <v>105333.06853755</v>
      </c>
      <c r="BA479" s="93"/>
      <c r="BB479" s="93">
        <f>ППД5[[#This Row],[Повышение 8.11.23 1К 5%]]+ППД5[[#This Row],[Фикс 23.10.23]]</f>
        <v>105333.06853755</v>
      </c>
      <c r="BC479" s="93"/>
      <c r="BD479" s="93">
        <f>ППД5[[#This Row],[Корректировка 24.11.23 - 1К В5, 2К А2, №233]]+ППД5[[#This Row],[Фикс 8.11.23]]</f>
        <v>105333.06853755</v>
      </c>
      <c r="BE479" s="93"/>
      <c r="BF479" s="93">
        <f>ППД5[[#This Row],[Наценка за отделку 29.12.23 1%]]+ППД5[[#This Row],[Фикс 8.11.24]]</f>
        <v>105333.06853755</v>
      </c>
      <c r="BG479" s="93"/>
      <c r="BH479" s="93">
        <f>ППД5[[#This Row],[Фикс 29.12.23]]+ППД5[[#This Row],[Наценка 10.01.24 5%]]</f>
        <v>105333.06853755</v>
      </c>
      <c r="BI479" s="93"/>
      <c r="BJ479" s="93">
        <f>ППД5[[#This Row],[Наценка 26.02.24 1 Этаж]]+ППД5[[#This Row],[Фикс 10.01.24]]</f>
        <v>105333.06853755</v>
      </c>
      <c r="BK479" s="93"/>
      <c r="BL479" s="93">
        <f>ППД5[[#This Row],[Фикс 26.02.24]]+ППД5[[#This Row],[Наценка 06.03.24
СТ, 1К - 3%
2К, 3К - 2%]]</f>
        <v>105333.06853755</v>
      </c>
      <c r="BM479" s="93"/>
      <c r="BN479" s="93">
        <f>ППД5[[#This Row],[Фикс 06.03.24]]+ППД5[[#This Row],[Наценка Г2+500]]</f>
        <v>105333.06853755</v>
      </c>
      <c r="BO479" s="93"/>
      <c r="BP479" s="93">
        <f>ППД5[[#This Row],[Фикс 13.03.25]]+ППД5[[#This Row],[Наценка 20.03.24
2К, 3К - 2%]]</f>
        <v>105333.06853755</v>
      </c>
      <c r="BQ479" s="93"/>
      <c r="BR479" s="93">
        <f>ППД5[[#This Row],[Фикс 20.03.24]]+ППД5[[#This Row],[Наценка 08.04.24 
2К: В3 - 150
3К: Г7 +1000]]</f>
        <v>105333.06853755</v>
      </c>
      <c r="BS479" s="93"/>
      <c r="BT479" s="93">
        <f>ППД5[[#This Row],[Фикс 08.04.24]]+ППД5[[#This Row],[Наценка 16.05.24 1%
А4,А6,Б3,Б6,Б7,В2,В3,В5,В6,Г1,Г3-Г5]]</f>
        <v>105333.06853755</v>
      </c>
      <c r="BU479" s="93"/>
      <c r="BV479" s="93">
        <f>ППД5[[#This Row],[Фикс 16.05.24]]+ППД5[[#This Row],[Наценка 24.05.24
1% - Б4, Б5,Г2,Г6
2% - А1,А3,А5,Б2,Г7]]</f>
        <v>105333.06853755</v>
      </c>
      <c r="BW479" s="93"/>
      <c r="BX479" s="93">
        <f>ППД5[[#This Row],[Наценка 06.06.24
0К: В2,Г3 +0,5%
1К: А7, Б5/4, Г6 +0,5%
3К: В6 +0,5%
1К: А3 +1%]]+ППД5[[#This Row],[Фикс 24.05.24]]</f>
        <v>105333.06853755</v>
      </c>
      <c r="BY479" s="93"/>
      <c r="BZ479" s="93">
        <f>ППД5[[#This Row],[Фикс 06.06.24]]+ППД5[[#This Row],[13.06.2024
3К - 2%]]</f>
        <v>105333.06853755</v>
      </c>
      <c r="CA479" s="93"/>
      <c r="CB479" s="93">
        <f>ППД5[[#This Row],[02.07.2024: Г3 А1 А3 Б5 Б7 Г2 Г6 Б3 Б4 В3 Г7 2,5% ост 0,5-1,5%]]+ППД5[[#This Row],[Фикс 13.06.24]]</f>
        <v>105333.06853755</v>
      </c>
      <c r="CC479" s="93"/>
      <c r="CD479" s="93">
        <f>ППД5[[#This Row],[Фикс 02.07.24]]+ППД5[[#This Row],[04.09.2024 +500
0К - Б2; 1К - А3;
2К - А6, Б4, В3, Г5]]</f>
        <v>105333.06853755</v>
      </c>
      <c r="CE479" s="93"/>
      <c r="CF479" s="93">
        <f>ППД5[[#This Row],[Наценка 16.09.2024
1К: А1,В7,Г6/7,Г8 - 2%
2К: А4,А5,А6,Б1,Б6,Б3/4,В3,В4,Г4,Г5 - 4%
3К: 4%]]+ППД5[[#This Row],[Фикс 04.09.24]]</f>
        <v>105333.06853755</v>
      </c>
      <c r="CG479" s="93"/>
      <c r="CH479" s="93">
        <f>ППД5[[#This Row],[Фикс 16.09.2024]]+ППД5[[#This Row],[Наценка 01.11.24
СТ: 4%
1К: 34-40м 5%; 40м+ 8%; МГН 1%
2К: 55-70м 6%; 70-73м 7%; 73-76м 8% 
3К: 5%]]</f>
        <v>105333.06853755</v>
      </c>
      <c r="CI479" s="93"/>
      <c r="CJ479" s="93">
        <f>ППД5[[#This Row],[Наценка 06.11 13%]]+ППД5[[#This Row],[Фикс 01.11.24]]</f>
        <v>105333.06853755</v>
      </c>
      <c r="CK479" s="93"/>
      <c r="CL479" s="93">
        <f>ППД5[[#This Row],[Фикс 06.11.24]]+ППД5[[#This Row],[Наценка 18.12.24 распределение КВ]]</f>
        <v>105333.06853755</v>
      </c>
      <c r="CM479" s="93"/>
      <c r="CN479" s="93">
        <f>ППД5[[#This Row],[Фикс 18.12.24]]+ППД5[[#This Row],[Наценка 10.02.25 +1%
1К: А3
2К: Б3, В3]]</f>
        <v>105333.06853755</v>
      </c>
      <c r="CO479" s="93">
        <f>ROUND(ППД5[[#This Row],[Фикс 10.02.25]],2)</f>
        <v>105333.07</v>
      </c>
      <c r="CP47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3096792.26</v>
      </c>
      <c r="CQ479" s="93">
        <f>ROUNDUP(ППД5[[#This Row],[Стоимость до скидки]]+ППД5[[#This Row],[Сумма доплаты]],-2)</f>
        <v>3075800</v>
      </c>
      <c r="CR479" s="68"/>
      <c r="CS479" s="90"/>
      <c r="CT479" s="68">
        <f>ППД5[[#This Row],[Стоимость до скидки]]*ППД5[[#This Row],[Скидка %]]+ППД5[[#This Row],[Скидка фиксированная]]</f>
        <v>0</v>
      </c>
      <c r="CU479" s="3">
        <f>ППД5[[#This Row],[Стоимость ОН без отделки со скидкой]]/ППД5[[#This Row],[Расчетная проектная площадь]]</f>
        <v>105333.07006802721</v>
      </c>
      <c r="CV479" s="3">
        <f>ROUND(ППД5[[#This Row],[Стоимость до скидки]]-ППД5[[#This Row],[Итоговая сумма скидки]],2)</f>
        <v>3096792.26</v>
      </c>
      <c r="CW47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79" s="197"/>
      <c r="CY479" s="332">
        <f>ППД5[[#This Row],[Расхождение]]/ППД5[[#This Row],[Расчетная проектная площадь]]</f>
        <v>-6.8027210884353505E-3</v>
      </c>
      <c r="CZ47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-0.13000000000000078</v>
      </c>
      <c r="DA479" s="3">
        <f>ППД5[[#This Row],[Цена м2 без отделки со скидкой]]+ППД5[[#This Row],[Стоимость отделки]]</f>
        <v>105333.07006802721</v>
      </c>
      <c r="DB479" s="3">
        <f>ППД5[[#This Row],[Стоимость квартиры с отделкой]]-ППД5[[#This Row],[Стоимость ОН без отделки со скидкой]]</f>
        <v>0</v>
      </c>
      <c r="DC479" s="3">
        <f>ППД5[[#This Row],[Цена м2 с отделкой]]*ППД5[[#This Row],[Расчетная проектная площадь]]</f>
        <v>3096792.26</v>
      </c>
      <c r="DD479" s="3"/>
      <c r="DF479" s="199" t="s">
        <v>172</v>
      </c>
      <c r="DG479" s="245" t="s">
        <v>172</v>
      </c>
      <c r="DH479" s="100" t="b">
        <f>EXACT(ППД5[[#This Row],[Статусы CRM]],ППД5[[#This Row],[Статус]])</f>
        <v>1</v>
      </c>
      <c r="DI479" s="213" t="s">
        <v>651</v>
      </c>
      <c r="DJ479" s="204"/>
      <c r="DK479" s="111" t="s">
        <v>76</v>
      </c>
      <c r="DL479" s="216" t="s">
        <v>12</v>
      </c>
      <c r="DM479" s="201" t="b">
        <f>ППД5[[#This Row],[Отделка CRM]]=ППД5[[#This Row],[Отделка]]</f>
        <v>1</v>
      </c>
      <c r="DN479" s="203">
        <v>3096792.26</v>
      </c>
      <c r="DO47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79" s="207" t="b">
        <f>IF(AND(ППД5[[#This Row],[Статус]]="свободно",ППД5[[#This Row],[Итоговая сумма скидки]]&lt;&gt;0),FALSE,TRUE)</f>
        <v>1</v>
      </c>
      <c r="DQ479" s="240">
        <f>_xlfn.XLOOKUP(ППД5[[#This Row],[№]],Юрист[№ кв],Юрист[Дата подачи на регистрацию]," ",0,-1)</f>
        <v>45253</v>
      </c>
      <c r="DR479" s="115" t="str">
        <f>_xlfn.XLOOKUP(ППД5[[#This Row],[№]],Юрист[№ кв],Юрист[МОП],"",0,-1)</f>
        <v>Никишов</v>
      </c>
      <c r="DS479" s="333" t="s">
        <v>3250</v>
      </c>
      <c r="DT479" s="333" t="s">
        <v>3251</v>
      </c>
      <c r="DU479" s="333">
        <v>26.9</v>
      </c>
      <c r="DV479" s="111"/>
    </row>
    <row r="480" spans="1:126" hidden="1" x14ac:dyDescent="0.25">
      <c r="A480" s="112">
        <v>478</v>
      </c>
      <c r="B480" s="111" t="s">
        <v>2</v>
      </c>
      <c r="C480" s="111">
        <v>12</v>
      </c>
      <c r="D480" s="115">
        <v>2</v>
      </c>
      <c r="E480" s="111">
        <v>1</v>
      </c>
      <c r="F480" s="105">
        <v>13.17</v>
      </c>
      <c r="G480" s="105"/>
      <c r="H480" s="105"/>
      <c r="I480" s="94">
        <f>SUM(ППД5[[#This Row],[Комната 1]:[Комната 3]])</f>
        <v>13.17</v>
      </c>
      <c r="J480" s="105">
        <v>16.940000000000001</v>
      </c>
      <c r="K480" s="105">
        <v>3.55</v>
      </c>
      <c r="L480" s="105">
        <v>2.41</v>
      </c>
      <c r="M480" s="105"/>
      <c r="N480" s="105">
        <v>5.8</v>
      </c>
      <c r="O480" s="105">
        <v>2.68</v>
      </c>
      <c r="P480" s="105"/>
      <c r="Q480" s="105"/>
      <c r="R480" s="105">
        <f>SUM(ППД5[[#This Row],[Лоджия 1]:[Лоджия 3]])</f>
        <v>2.68</v>
      </c>
      <c r="S480" s="8">
        <f>ROUND(SUM(ППД5[[#This Row],[Площадь по проекту жилая]:[Лоджия 3]]),2)</f>
        <v>44.55</v>
      </c>
      <c r="T480" s="8">
        <f>ROUND(ППД5[[#This Row],[Площадь по проекту(общая)]]-ППД5[[#This Row],[Летние]],2)</f>
        <v>41.87</v>
      </c>
      <c r="U480" s="91">
        <f>ROUND(ППД5[[#This Row],[Площадь по проекту(общая)]]-(SUM(ППД5[[#This Row],[Лоджия 1]:[Лоджия 3]])/2),2)</f>
        <v>43.21</v>
      </c>
      <c r="V480" s="91">
        <f>IF(ППД5[[#This Row],[Статус]]="продажа",ППД5[[#This Row],[Расчетная проектная площадь]],ППД5[[#This Row],[Расчетная ТП площадь]])</f>
        <v>43.21</v>
      </c>
      <c r="W480" s="91">
        <v>12.9</v>
      </c>
      <c r="X480" s="91"/>
      <c r="Y480" s="91"/>
      <c r="Z480" s="91">
        <f>SUM(ППД5[[#This Row],[ТП Комната 1]:[ТП Комната 3]])</f>
        <v>12.9</v>
      </c>
      <c r="AA480" s="91">
        <v>16.8</v>
      </c>
      <c r="AB480" s="91">
        <v>2</v>
      </c>
      <c r="AC480" s="91">
        <v>3.3</v>
      </c>
      <c r="AD480" s="91"/>
      <c r="AE480" s="91">
        <v>5.9</v>
      </c>
      <c r="AF480" s="91">
        <v>1.35</v>
      </c>
      <c r="AG480" s="91"/>
      <c r="AH480" s="91"/>
      <c r="AI480" s="91">
        <f>SUM(ППД5[[#This Row],[ТП Лоджия 1]:[ТП Лоджия 3]])</f>
        <v>1.35</v>
      </c>
      <c r="AJ480" s="95">
        <v>2.7</v>
      </c>
      <c r="AK480" s="91">
        <f>SUM(ППД5[[#This Row],[Площадь по ТП жилая]:[ТП Лоджия 3]])-ППД5[[#This Row],[ТП Летние]]+ППД5[[#This Row],[кроме того прочая
(без коэффициента)]]</f>
        <v>43.6</v>
      </c>
      <c r="AL480" s="95">
        <f>ППД5[[#This Row],[ТП Площадь без летних]]+(ППД5[[#This Row],[ТП Летние]])</f>
        <v>42.25</v>
      </c>
      <c r="AM480" s="91">
        <f>ППД5[[#This Row],[ТП общая S]]-ППД5[[#This Row],[кроме того прочая
(без коэффициента)]]</f>
        <v>40.9</v>
      </c>
      <c r="AN480" s="95">
        <f>SUM(ППД5[[#This Row],[ТП Кухня]:[ТП Коридор]])</f>
        <v>28</v>
      </c>
      <c r="AO480" s="91">
        <f>ППД5[[#This Row],[Расчетная ТП площадь]]-ППД5[[#This Row],[Расчетная проектная площадь]]</f>
        <v>-0.96000000000000085</v>
      </c>
      <c r="AP480" s="335">
        <f>ППД5[[#This Row],[Расчетная ТП площадь]]/ППД5[[#This Row],[Расчетная проектная площадь]]-1</f>
        <v>-2.2217079379773241E-2</v>
      </c>
      <c r="AQ480" s="91">
        <f>ППД5[[#This Row],[% расхождения]]*ППД5[[#This Row],[Стоимость до скидки]]</f>
        <v>-102431.84448044453</v>
      </c>
      <c r="AR480" s="91">
        <f>VLOOKUP(ППД5[[#This Row],[№]],наценкад5[],COLUMN(наценкад5[[#This Row],[Цена м2 с учетом всех K]]),0)</f>
        <v>85168.125</v>
      </c>
      <c r="AS480" s="8">
        <f>ППД5[[#This Row],[м2 после К]]*5%</f>
        <v>4258.40625</v>
      </c>
      <c r="AT480" s="8">
        <f>ППД5[[#This Row],[м2 после К]]+ППД5[[#This Row],[Повышение 16.08.23 - 5%]]</f>
        <v>89426.53125</v>
      </c>
      <c r="AU480" s="93">
        <f>ППД5[[#This Row],[Фикс 16.08.23]]*3%</f>
        <v>2682.7959375</v>
      </c>
      <c r="AV480" s="93">
        <f>ППД5[[#This Row],[Фикс 16.08.23]]+ППД5[[#This Row],[Повышение 29.08.23 - 3%]]</f>
        <v>92109.327187500006</v>
      </c>
      <c r="AW480" s="93">
        <f>ППД5[[#This Row],[Фикс 29.08.23]]*1%</f>
        <v>921.09327187500003</v>
      </c>
      <c r="AX480" s="93">
        <f>ППД5[[#This Row],[Фикс 29.08.23]]+ППД5[[#This Row],[Повышение 06.09.23 СТ и 1К]]</f>
        <v>93030.420459375004</v>
      </c>
      <c r="AY480" s="93"/>
      <c r="AZ480" s="93">
        <f>ППД5[[#This Row],[Повышение 23.10.23  В4 ]]+ППД5[[#This Row],[Фикс 06.09.23]]</f>
        <v>93030.420459375004</v>
      </c>
      <c r="BA480" s="93">
        <f>ППД5[[#This Row],[Фикс 23.10.23]]*5%</f>
        <v>4651.52102296875</v>
      </c>
      <c r="BB480" s="93">
        <f>ППД5[[#This Row],[Повышение 8.11.23 1К 5%]]+ППД5[[#This Row],[Фикс 23.10.23]]</f>
        <v>97681.941482343755</v>
      </c>
      <c r="BC480" s="93"/>
      <c r="BD480" s="93">
        <f>ППД5[[#This Row],[Корректировка 24.11.23 - 1К В5, 2К А2, №233]]+ППД5[[#This Row],[Фикс 8.11.23]]</f>
        <v>97681.941482343755</v>
      </c>
      <c r="BE480" s="93">
        <f>ППД5[[#This Row],[Фикс 8.11.24]]*1%</f>
        <v>976.81941482343757</v>
      </c>
      <c r="BF480" s="93">
        <f>ППД5[[#This Row],[Наценка за отделку 29.12.23 1%]]+ППД5[[#This Row],[Фикс 8.11.24]]</f>
        <v>98658.760897167187</v>
      </c>
      <c r="BG480" s="93">
        <f>ППД5[[#This Row],[Фикс 29.12.23]]*5%</f>
        <v>4932.9380448583597</v>
      </c>
      <c r="BH480" s="93">
        <f>ППД5[[#This Row],[Фикс 29.12.23]]+ППД5[[#This Row],[Наценка 10.01.24 5%]]</f>
        <v>103591.69894202554</v>
      </c>
      <c r="BI480" s="93"/>
      <c r="BJ480" s="93">
        <f>ППД5[[#This Row],[Наценка 26.02.24 1 Этаж]]+ППД5[[#This Row],[Фикс 10.01.24]]</f>
        <v>103591.69894202554</v>
      </c>
      <c r="BK480" s="93">
        <f>ППД5[[#This Row],[Фикс 26.02.24]]*3%</f>
        <v>3107.7509682607661</v>
      </c>
      <c r="BL480" s="93">
        <f>ППД5[[#This Row],[Фикс 26.02.24]]+ППД5[[#This Row],[Наценка 06.03.24
СТ, 1К - 3%
2К, 3К - 2%]]</f>
        <v>106699.4499102863</v>
      </c>
      <c r="BM480" s="93"/>
      <c r="BN480" s="93">
        <f>ППД5[[#This Row],[Фикс 06.03.24]]+ППД5[[#This Row],[Наценка Г2+500]]</f>
        <v>106699.4499102863</v>
      </c>
      <c r="BO480" s="93"/>
      <c r="BP480" s="93">
        <f>ППД5[[#This Row],[Фикс 13.03.25]]+ППД5[[#This Row],[Наценка 20.03.24
2К, 3К - 2%]]</f>
        <v>106699.4499102863</v>
      </c>
      <c r="BQ480" s="93"/>
      <c r="BR480" s="93">
        <f>ППД5[[#This Row],[Фикс 20.03.24]]+ППД5[[#This Row],[Наценка 08.04.24 
2К: В3 - 150
3К: Г7 +1000]]</f>
        <v>106699.4499102863</v>
      </c>
      <c r="BS480" s="93"/>
      <c r="BT480" s="93">
        <f>ППД5[[#This Row],[Фикс 08.04.24]]+ППД5[[#This Row],[Наценка 16.05.24 1%
А4,А6,Б3,Б6,Б7,В2,В3,В5,В6,Г1,Г3-Г5]]</f>
        <v>106699.4499102863</v>
      </c>
      <c r="BU480" s="93"/>
      <c r="BV480" s="93">
        <f>ППД5[[#This Row],[Фикс 16.05.24]]+ППД5[[#This Row],[Наценка 24.05.24
1% - Б4, Б5,Г2,Г6
2% - А1,А3,А5,Б2,Г7]]</f>
        <v>106699.4499102863</v>
      </c>
      <c r="BW480" s="93"/>
      <c r="BX480" s="93">
        <f>ППД5[[#This Row],[Наценка 06.06.24
0К: В2,Г3 +0,5%
1К: А7, Б5/4, Г6 +0,5%
3К: В6 +0,5%
1К: А3 +1%]]+ППД5[[#This Row],[Фикс 24.05.24]]</f>
        <v>106699.4499102863</v>
      </c>
      <c r="BY480" s="93"/>
      <c r="BZ480" s="93">
        <f>ППД5[[#This Row],[Фикс 06.06.24]]+ППД5[[#This Row],[13.06.2024
3К - 2%]]</f>
        <v>106699.4499102863</v>
      </c>
      <c r="CA480" s="93"/>
      <c r="CB480" s="93">
        <f>ППД5[[#This Row],[02.07.2024: Г3 А1 А3 Б5 Б7 Г2 Г6 Б3 Б4 В3 Г7 2,5% ост 0,5-1,5%]]+ППД5[[#This Row],[Фикс 13.06.24]]</f>
        <v>106699.4499102863</v>
      </c>
      <c r="CC480" s="93"/>
      <c r="CD480" s="93">
        <f>ППД5[[#This Row],[Фикс 02.07.24]]+ППД5[[#This Row],[04.09.2024 +500
0К - Б2; 1К - А3;
2К - А6, Б4, В3, Г5]]</f>
        <v>106699.4499102863</v>
      </c>
      <c r="CE480" s="93"/>
      <c r="CF480" s="93">
        <f>ППД5[[#This Row],[Наценка 16.09.2024
1К: А1,В7,Г6/7,Г8 - 2%
2К: А4,А5,А6,Б1,Б6,Б3/4,В3,В4,Г4,Г5 - 4%
3К: 4%]]+ППД5[[#This Row],[Фикс 04.09.24]]</f>
        <v>106699.4499102863</v>
      </c>
      <c r="CG480" s="93"/>
      <c r="CH480" s="93">
        <f>ППД5[[#This Row],[Фикс 16.09.2024]]+ППД5[[#This Row],[Наценка 01.11.24
СТ: 4%
1К: 34-40м 5%; 40м+ 8%; МГН 1%
2К: 55-70м 6%; 70-73м 7%; 73-76м 8% 
3К: 5%]]</f>
        <v>106699.4499102863</v>
      </c>
      <c r="CI480" s="93"/>
      <c r="CJ480" s="93">
        <f>ППД5[[#This Row],[Наценка 06.11 13%]]+ППД5[[#This Row],[Фикс 01.11.24]]</f>
        <v>106699.4499102863</v>
      </c>
      <c r="CK480" s="93"/>
      <c r="CL480" s="93">
        <f>ППД5[[#This Row],[Фикс 06.11.24]]+ППД5[[#This Row],[Наценка 18.12.24 распределение КВ]]</f>
        <v>106699.4499102863</v>
      </c>
      <c r="CM480" s="93"/>
      <c r="CN480" s="93">
        <f>ППД5[[#This Row],[Фикс 18.12.24]]+ППД5[[#This Row],[Наценка 10.02.25 +1%
1К: А3
2К: Б3, В3]]</f>
        <v>106699.4499102863</v>
      </c>
      <c r="CO480" s="93">
        <f>ROUND(ППД5[[#This Row],[Фикс 10.02.25]],2)</f>
        <v>106699.45</v>
      </c>
      <c r="CP48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4610500</v>
      </c>
      <c r="CQ480" s="93">
        <f>ROUNDUP(ППД5[[#This Row],[Стоимость до скидки]]+ППД5[[#This Row],[Сумма доплаты]],-2)</f>
        <v>4508100</v>
      </c>
      <c r="CR480" s="68">
        <v>88888</v>
      </c>
      <c r="CS480" s="90"/>
      <c r="CT480" s="68">
        <f>ППД5[[#This Row],[Стоимость до скидки]]*ППД5[[#This Row],[Скидка %]]+ППД5[[#This Row],[Скидка фиксированная]]</f>
        <v>88888</v>
      </c>
      <c r="CU480" s="3">
        <f>ППД5[[#This Row],[Стоимость ОН без отделки со скидкой]]/ППД5[[#This Row],[Расчетная проектная площадь]]</f>
        <v>104642.72159222401</v>
      </c>
      <c r="CV480" s="3">
        <f>ROUND(ППД5[[#This Row],[Стоимость до скидки]]-ППД5[[#This Row],[Итоговая сумма скидки]],2)</f>
        <v>4521612</v>
      </c>
      <c r="CW48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80" s="197"/>
      <c r="CY480" s="332">
        <f>ППД5[[#This Row],[Расхождение]]/ППД5[[#This Row],[Расчетная проектная площадь]]</f>
        <v>-2.2217079379773221E-2</v>
      </c>
      <c r="CZ48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-0.70000000000000284</v>
      </c>
      <c r="DA480" s="3">
        <f>ППД5[[#This Row],[Цена м2 без отделки со скидкой]]+ППД5[[#This Row],[Стоимость отделки]]</f>
        <v>104642.72159222401</v>
      </c>
      <c r="DB480" s="3">
        <f>ППД5[[#This Row],[Стоимость квартиры с отделкой]]-ППД5[[#This Row],[Стоимость ОН без отделки со скидкой]]</f>
        <v>0</v>
      </c>
      <c r="DC480" s="3">
        <f>ППД5[[#This Row],[Цена м2 с отделкой]]*ППД5[[#This Row],[Расчетная проектная площадь]]</f>
        <v>4521612</v>
      </c>
      <c r="DD480" s="3"/>
      <c r="DE480" s="111" t="s">
        <v>781</v>
      </c>
      <c r="DF480" s="199" t="s">
        <v>172</v>
      </c>
      <c r="DG480" s="245" t="s">
        <v>172</v>
      </c>
      <c r="DH480" s="100" t="b">
        <f>EXACT(ППД5[[#This Row],[Статусы CRM]],ППД5[[#This Row],[Статус]])</f>
        <v>1</v>
      </c>
      <c r="DI480" s="213" t="s">
        <v>652</v>
      </c>
      <c r="DJ480" s="204"/>
      <c r="DK480" s="111" t="s">
        <v>763</v>
      </c>
      <c r="DL480" s="216" t="s">
        <v>12</v>
      </c>
      <c r="DM480" s="201" t="b">
        <f>ППД5[[#This Row],[Отделка CRM]]=ППД5[[#This Row],[Отделка]]</f>
        <v>1</v>
      </c>
      <c r="DN480" s="203">
        <v>4521612</v>
      </c>
      <c r="DO48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80" s="207" t="b">
        <f>IF(AND(ППД5[[#This Row],[Статус]]="свободно",ППД5[[#This Row],[Итоговая сумма скидки]]&lt;&gt;0),FALSE,TRUE)</f>
        <v>1</v>
      </c>
      <c r="DQ480" s="240">
        <f>_xlfn.XLOOKUP(ППД5[[#This Row],[№]],Юрист[№ кв],Юрист[Дата подачи на регистрацию]," ",0,-1)</f>
        <v>45370</v>
      </c>
      <c r="DR480" s="115" t="str">
        <f>_xlfn.XLOOKUP(ППД5[[#This Row],[№]],Юрист[№ кв],Юрист[МОП],"",0,-1)</f>
        <v>Дик</v>
      </c>
      <c r="DS480" s="333" t="s">
        <v>3252</v>
      </c>
      <c r="DT480" s="333" t="s">
        <v>3253</v>
      </c>
      <c r="DU480" s="333">
        <v>40.9</v>
      </c>
      <c r="DV480" s="111"/>
    </row>
    <row r="481" spans="1:126" hidden="1" x14ac:dyDescent="0.25">
      <c r="A481" s="112">
        <v>479</v>
      </c>
      <c r="B481" s="111" t="s">
        <v>2</v>
      </c>
      <c r="C481" s="111">
        <v>12</v>
      </c>
      <c r="D481" s="115">
        <v>3</v>
      </c>
      <c r="E481" s="111">
        <v>0</v>
      </c>
      <c r="F481" s="105">
        <v>7.2</v>
      </c>
      <c r="G481" s="105"/>
      <c r="H481" s="105"/>
      <c r="I481" s="94">
        <f>SUM(ППД5[[#This Row],[Комната 1]:[Комната 3]])</f>
        <v>7.2</v>
      </c>
      <c r="J481" s="105">
        <v>5.17</v>
      </c>
      <c r="K481" s="105">
        <v>3.71</v>
      </c>
      <c r="L481" s="105"/>
      <c r="M481" s="105"/>
      <c r="N481" s="105">
        <v>6.96</v>
      </c>
      <c r="O481" s="105">
        <v>2.92</v>
      </c>
      <c r="P481" s="105"/>
      <c r="Q481" s="105"/>
      <c r="R481" s="105">
        <f>SUM(ППД5[[#This Row],[Лоджия 1]:[Лоджия 3]])</f>
        <v>2.92</v>
      </c>
      <c r="S481" s="8">
        <f>ROUND(SUM(ППД5[[#This Row],[Площадь по проекту жилая]:[Лоджия 3]]),2)</f>
        <v>25.96</v>
      </c>
      <c r="T481" s="8">
        <f>ROUND(ППД5[[#This Row],[Площадь по проекту(общая)]]-ППД5[[#This Row],[Летние]],2)</f>
        <v>23.04</v>
      </c>
      <c r="U481" s="91">
        <f>ROUND(ППД5[[#This Row],[Площадь по проекту(общая)]]-(SUM(ППД5[[#This Row],[Лоджия 1]:[Лоджия 3]])/2),2)</f>
        <v>24.5</v>
      </c>
      <c r="V481" s="91">
        <f>IF(ППД5[[#This Row],[Статус]]="продажа",ППД5[[#This Row],[Расчетная проектная площадь]],ППД5[[#This Row],[Расчетная ТП площадь]])</f>
        <v>24.5</v>
      </c>
      <c r="W481" s="91">
        <v>7.2</v>
      </c>
      <c r="X481" s="91"/>
      <c r="Y481" s="91"/>
      <c r="Z481" s="91">
        <f>SUM(ППД5[[#This Row],[ТП Комната 1]:[ТП Комната 3]])</f>
        <v>7.2</v>
      </c>
      <c r="AA481" s="91">
        <v>5.4</v>
      </c>
      <c r="AB481" s="91">
        <v>3.7</v>
      </c>
      <c r="AC481" s="91"/>
      <c r="AD481" s="91"/>
      <c r="AE481" s="91">
        <v>6.5</v>
      </c>
      <c r="AF481" s="91">
        <v>1.45</v>
      </c>
      <c r="AG481" s="91"/>
      <c r="AH481" s="91"/>
      <c r="AI481" s="91">
        <f>SUM(ППД5[[#This Row],[ТП Лоджия 1]:[ТП Лоджия 3]])</f>
        <v>1.45</v>
      </c>
      <c r="AJ481" s="95">
        <v>2.9</v>
      </c>
      <c r="AK481" s="91">
        <f>SUM(ППД5[[#This Row],[Площадь по ТП жилая]:[ТП Лоджия 3]])-ППД5[[#This Row],[ТП Летние]]+ППД5[[#This Row],[кроме того прочая
(без коэффициента)]]</f>
        <v>25.7</v>
      </c>
      <c r="AL481" s="95">
        <f>ППД5[[#This Row],[ТП Площадь без летних]]+(ППД5[[#This Row],[ТП Летние]])</f>
        <v>24.25</v>
      </c>
      <c r="AM481" s="91">
        <f>ППД5[[#This Row],[ТП общая S]]-ППД5[[#This Row],[кроме того прочая
(без коэффициента)]]</f>
        <v>22.8</v>
      </c>
      <c r="AN481" s="95">
        <f>SUM(ППД5[[#This Row],[ТП Кухня]:[ТП Коридор]])</f>
        <v>15.600000000000001</v>
      </c>
      <c r="AO481" s="91">
        <f>ППД5[[#This Row],[Расчетная ТП площадь]]-ППД5[[#This Row],[Расчетная проектная площадь]]</f>
        <v>-0.25</v>
      </c>
      <c r="AP481" s="335">
        <f>ППД5[[#This Row],[Расчетная ТП площадь]]/ППД5[[#This Row],[Расчетная проектная площадь]]-1</f>
        <v>-1.0204081632653073E-2</v>
      </c>
      <c r="AQ481" s="91">
        <f>ППД5[[#This Row],[% расхождения]]*ППД5[[#This Row],[Стоимость до скидки]]</f>
        <v>-35869.387755102078</v>
      </c>
      <c r="AR481" s="91">
        <f>VLOOKUP(ППД5[[#This Row],[№]],наценкад5[],COLUMN(наценкад5[[#This Row],[Цена м2 с учетом всех K]]),0)</f>
        <v>91105.56</v>
      </c>
      <c r="AS481" s="8">
        <f>ППД5[[#This Row],[м2 после К]]*5%</f>
        <v>4555.2780000000002</v>
      </c>
      <c r="AT481" s="8">
        <f>ППД5[[#This Row],[м2 после К]]+ППД5[[#This Row],[Повышение 16.08.23 - 5%]]</f>
        <v>95660.838000000003</v>
      </c>
      <c r="AU481" s="93">
        <f>ППД5[[#This Row],[Фикс 16.08.23]]*3%</f>
        <v>2869.8251399999999</v>
      </c>
      <c r="AV481" s="93">
        <f>ППД5[[#This Row],[Фикс 16.08.23]]+ППД5[[#This Row],[Повышение 29.08.23 - 3%]]</f>
        <v>98530.663140000004</v>
      </c>
      <c r="AW481" s="93">
        <f>ППД5[[#This Row],[Фикс 29.08.23]]*9%</f>
        <v>8867.7596826000008</v>
      </c>
      <c r="AX481" s="93">
        <f>ППД5[[#This Row],[Фикс 29.08.23]]+ППД5[[#This Row],[Повышение 06.09.23 СТ и 1К]]</f>
        <v>107398.4228226</v>
      </c>
      <c r="AY481" s="93"/>
      <c r="AZ481" s="93">
        <f>ППД5[[#This Row],[Повышение 23.10.23  В4 ]]+ППД5[[#This Row],[Фикс 06.09.23]]</f>
        <v>107398.4228226</v>
      </c>
      <c r="BA481" s="93"/>
      <c r="BB481" s="93">
        <f>ППД5[[#This Row],[Повышение 8.11.23 1К 5%]]+ППД5[[#This Row],[Фикс 23.10.23]]</f>
        <v>107398.4228226</v>
      </c>
      <c r="BC481" s="93"/>
      <c r="BD481" s="93">
        <f>ППД5[[#This Row],[Корректировка 24.11.23 - 1К В5, 2К А2, №233]]+ППД5[[#This Row],[Фикс 8.11.23]]</f>
        <v>107398.4228226</v>
      </c>
      <c r="BE481" s="93">
        <f>ППД5[[#This Row],[Фикс 8.11.24]]*1%</f>
        <v>1073.9842282259999</v>
      </c>
      <c r="BF481" s="93">
        <f>ППД5[[#This Row],[Наценка за отделку 29.12.23 1%]]+ППД5[[#This Row],[Фикс 8.11.24]]</f>
        <v>108472.407050826</v>
      </c>
      <c r="BG481" s="93">
        <f>ППД5[[#This Row],[Фикс 29.12.23]]*5%</f>
        <v>5423.6203525413002</v>
      </c>
      <c r="BH481" s="93">
        <f>ППД5[[#This Row],[Фикс 29.12.23]]+ППД5[[#This Row],[Наценка 10.01.24 5%]]</f>
        <v>113896.0274033673</v>
      </c>
      <c r="BI481" s="93"/>
      <c r="BJ481" s="93">
        <f>ППД5[[#This Row],[Наценка 26.02.24 1 Этаж]]+ППД5[[#This Row],[Фикс 10.01.24]]</f>
        <v>113896.0274033673</v>
      </c>
      <c r="BK481" s="93">
        <f>ППД5[[#This Row],[Фикс 26.02.24]]*3%</f>
        <v>3416.880822101019</v>
      </c>
      <c r="BL481" s="93">
        <f>ППД5[[#This Row],[Фикс 26.02.24]]+ППД5[[#This Row],[Наценка 06.03.24
СТ, 1К - 3%
2К, 3К - 2%]]</f>
        <v>117312.90822546833</v>
      </c>
      <c r="BM481" s="93"/>
      <c r="BN481" s="93">
        <f>ППД5[[#This Row],[Фикс 06.03.24]]+ППД5[[#This Row],[Наценка Г2+500]]</f>
        <v>117312.90822546833</v>
      </c>
      <c r="BO481" s="93"/>
      <c r="BP481" s="93">
        <f>ППД5[[#This Row],[Фикс 13.03.25]]+ППД5[[#This Row],[Наценка 20.03.24
2К, 3К - 2%]]</f>
        <v>117312.90822546833</v>
      </c>
      <c r="BQ481" s="93"/>
      <c r="BR481" s="93">
        <f>ППД5[[#This Row],[Фикс 20.03.24]]+ППД5[[#This Row],[Наценка 08.04.24 
2К: В3 - 150
3К: Г7 +1000]]</f>
        <v>117312.90822546833</v>
      </c>
      <c r="BS481" s="93">
        <f>ППД5[[#This Row],[Фикс 08.04.24]]*1%</f>
        <v>1173.1290822546832</v>
      </c>
      <c r="BT481" s="93">
        <f>ППД5[[#This Row],[Фикс 08.04.24]]+ППД5[[#This Row],[Наценка 16.05.24 1%
А4,А6,Б3,Б6,Б7,В2,В3,В5,В6,Г1,Г3-Г5]]</f>
        <v>118486.03730772302</v>
      </c>
      <c r="BU481" s="93"/>
      <c r="BV481" s="93">
        <f>ППД5[[#This Row],[Фикс 16.05.24]]+ППД5[[#This Row],[Наценка 24.05.24
1% - Б4, Б5,Г2,Г6
2% - А1,А3,А5,Б2,Г7]]</f>
        <v>118486.03730772302</v>
      </c>
      <c r="BW481" s="93">
        <f>ППД5[[#This Row],[Фикс 24.05.24]]*0.5%</f>
        <v>592.43018653861509</v>
      </c>
      <c r="BX481" s="93">
        <f>ППД5[[#This Row],[Наценка 06.06.24
0К: В2,Г3 +0,5%
1К: А7, Б5/4, Г6 +0,5%
3К: В6 +0,5%
1К: А3 +1%]]+ППД5[[#This Row],[Фикс 24.05.24]]</f>
        <v>119078.46749426163</v>
      </c>
      <c r="BY481" s="93"/>
      <c r="BZ481" s="93">
        <f>ППД5[[#This Row],[Фикс 06.06.24]]+ППД5[[#This Row],[13.06.2024
3К - 2%]]</f>
        <v>119078.46749426163</v>
      </c>
      <c r="CA481" s="93">
        <f>2.5%*ППД5[[#This Row],[Фикс 13.06.24]]</f>
        <v>2976.961687356541</v>
      </c>
      <c r="CB481" s="93">
        <f>ППД5[[#This Row],[02.07.2024: Г3 А1 А3 Б5 Б7 Г2 Г6 Б3 Б4 В3 Г7 2,5% ост 0,5-1,5%]]+ППД5[[#This Row],[Фикс 13.06.24]]</f>
        <v>122055.42918161816</v>
      </c>
      <c r="CC481" s="93"/>
      <c r="CD481" s="93">
        <f>ППД5[[#This Row],[Фикс 02.07.24]]+ППД5[[#This Row],[04.09.2024 +500
0К - Б2; 1К - А3;
2К - А6, Б4, В3, Г5]]</f>
        <v>122055.42918161816</v>
      </c>
      <c r="CE481" s="93"/>
      <c r="CF481" s="93">
        <f>ППД5[[#This Row],[Наценка 16.09.2024
1К: А1,В7,Г6/7,Г8 - 2%
2К: А4,А5,А6,Б1,Б6,Б3/4,В3,В4,Г4,Г5 - 4%
3К: 4%]]+ППД5[[#This Row],[Фикс 04.09.24]]</f>
        <v>122055.42918161816</v>
      </c>
      <c r="CG481" s="93">
        <f>ППД5[[#This Row],[Фикс 16.09.2024]]*4%</f>
        <v>4882.2171672647264</v>
      </c>
      <c r="CH481" s="93">
        <f>ППД5[[#This Row],[Фикс 16.09.2024]]+ППД5[[#This Row],[Наценка 01.11.24
СТ: 4%
1К: 34-40м 5%; 40м+ 8%; МГН 1%
2К: 55-70м 6%; 70-73м 7%; 73-76м 8% 
3К: 5%]]</f>
        <v>126937.64634888289</v>
      </c>
      <c r="CI481" s="93">
        <f>ППД5[[#This Row],[Фикс 01.11.24]]*13%</f>
        <v>16501.894025354777</v>
      </c>
      <c r="CJ481" s="93">
        <f>ППД5[[#This Row],[Наценка 06.11 13%]]+ППД5[[#This Row],[Фикс 01.11.24]]</f>
        <v>143439.54037423767</v>
      </c>
      <c r="CK481" s="93">
        <v>35</v>
      </c>
      <c r="CL481" s="93">
        <f>ППД5[[#This Row],[Фикс 06.11.24]]+ППД5[[#This Row],[Наценка 18.12.24 распределение КВ]]</f>
        <v>143474.54037423767</v>
      </c>
      <c r="CM481" s="93"/>
      <c r="CN481" s="93">
        <f>ППД5[[#This Row],[Фикс 18.12.24]]+ППД5[[#This Row],[Наценка 10.02.25 +1%
1К: А3
2К: Б3, В3]]</f>
        <v>143474.54037423767</v>
      </c>
      <c r="CO481" s="93">
        <f>ROUND(ППД5[[#This Row],[Фикс 10.02.25]],2)</f>
        <v>143474.54</v>
      </c>
      <c r="CP48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3515200</v>
      </c>
      <c r="CQ481" s="93">
        <f>ROUNDUP(ППД5[[#This Row],[Стоимость до скидки]]+ППД5[[#This Row],[Сумма доплаты]],-2)</f>
        <v>3479400</v>
      </c>
      <c r="CR481" s="68">
        <f>ППД5[[#This Row],[Расчетная проектная площадь]]*8000</f>
        <v>196000</v>
      </c>
      <c r="CS481" s="90"/>
      <c r="CT481" s="68">
        <f>ППД5[[#This Row],[Стоимость до скидки]]*ППД5[[#This Row],[Скидка %]]+ППД5[[#This Row],[Скидка фиксированная]]</f>
        <v>196000</v>
      </c>
      <c r="CU481" s="3">
        <f>ППД5[[#This Row],[Стоимость ОН без отделки со скидкой]]/ППД5[[#This Row],[Расчетная проектная площадь]]</f>
        <v>135477.55102040817</v>
      </c>
      <c r="CV481" s="3">
        <f>ROUND(ППД5[[#This Row],[Стоимость до скидки]]-ППД5[[#This Row],[Итоговая сумма скидки]],2)</f>
        <v>3319200</v>
      </c>
      <c r="CW48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81" s="197"/>
      <c r="CY481" s="332">
        <f>ППД5[[#This Row],[Расхождение]]/ППД5[[#This Row],[Расчетная проектная площадь]]</f>
        <v>-1.020408163265306E-2</v>
      </c>
      <c r="CZ48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-0.23999999999999932</v>
      </c>
      <c r="DA481" s="3">
        <f>ППД5[[#This Row],[Цена м2 без отделки со скидкой]]+ППД5[[#This Row],[Стоимость отделки]]</f>
        <v>135477.55102040817</v>
      </c>
      <c r="DB481" s="3">
        <f>ППД5[[#This Row],[Стоимость квартиры с отделкой]]-ППД5[[#This Row],[Стоимость ОН без отделки со скидкой]]</f>
        <v>0</v>
      </c>
      <c r="DC481" s="3">
        <f>ППД5[[#This Row],[Цена м2 с отделкой]]*ППД5[[#This Row],[Расчетная проектная площадь]]</f>
        <v>3319200</v>
      </c>
      <c r="DD481" s="3"/>
      <c r="DE481" s="111" t="s">
        <v>2122</v>
      </c>
      <c r="DF481" s="155" t="s">
        <v>172</v>
      </c>
      <c r="DG481" s="221" t="s">
        <v>172</v>
      </c>
      <c r="DH481" s="100" t="b">
        <f>EXACT(ППД5[[#This Row],[Статусы CRM]],ППД5[[#This Row],[Статус]])</f>
        <v>1</v>
      </c>
      <c r="DI481" s="213" t="s">
        <v>653</v>
      </c>
      <c r="DJ481" s="204"/>
      <c r="DK481" s="111" t="s">
        <v>763</v>
      </c>
      <c r="DL481" s="216" t="s">
        <v>12</v>
      </c>
      <c r="DM481" s="201" t="b">
        <f>ППД5[[#This Row],[Отделка CRM]]=ППД5[[#This Row],[Отделка]]</f>
        <v>1</v>
      </c>
      <c r="DN481" s="203">
        <v>3319200</v>
      </c>
      <c r="DO48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81" s="207" t="b">
        <f>IF(AND(ППД5[[#This Row],[Статус]]="свободно",ППД5[[#This Row],[Итоговая сумма скидки]]&lt;&gt;0),FALSE,TRUE)</f>
        <v>1</v>
      </c>
      <c r="DQ481" s="240">
        <f>_xlfn.XLOOKUP(ППД5[[#This Row],[№]],Юрист[№ кв],Юрист[Дата подачи на регистрацию]," ",0,-1)</f>
        <v>45755</v>
      </c>
      <c r="DR481" s="115" t="str">
        <f>_xlfn.XLOOKUP(ППД5[[#This Row],[№]],Юрист[№ кв],Юрист[МОП],"",0,-1)</f>
        <v>Нуждина</v>
      </c>
      <c r="DS481" s="333" t="s">
        <v>3254</v>
      </c>
      <c r="DT481" s="333" t="s">
        <v>3255</v>
      </c>
      <c r="DU481" s="333">
        <v>22.8</v>
      </c>
      <c r="DV481" s="111"/>
    </row>
    <row r="482" spans="1:126" hidden="1" x14ac:dyDescent="0.25">
      <c r="A482" s="112">
        <v>480</v>
      </c>
      <c r="B482" s="111" t="s">
        <v>2</v>
      </c>
      <c r="C482" s="111">
        <v>12</v>
      </c>
      <c r="D482" s="115">
        <v>4</v>
      </c>
      <c r="E482" s="111">
        <v>2</v>
      </c>
      <c r="F482" s="105">
        <v>14.48</v>
      </c>
      <c r="G482" s="105">
        <v>11.42</v>
      </c>
      <c r="H482" s="105"/>
      <c r="I482" s="94">
        <f>SUM(ППД5[[#This Row],[Комната 1]:[Комната 3]])</f>
        <v>25.9</v>
      </c>
      <c r="J482" s="105">
        <v>15.86</v>
      </c>
      <c r="K482" s="105">
        <v>3.01</v>
      </c>
      <c r="L482" s="105">
        <v>2.67</v>
      </c>
      <c r="M482" s="105"/>
      <c r="N482" s="105">
        <v>9.44</v>
      </c>
      <c r="O482" s="105">
        <v>2.72</v>
      </c>
      <c r="P482" s="105"/>
      <c r="Q482" s="105"/>
      <c r="R482" s="105">
        <f>SUM(ППД5[[#This Row],[Лоджия 1]:[Лоджия 3]])</f>
        <v>2.72</v>
      </c>
      <c r="S482" s="8">
        <f>ROUND(SUM(ППД5[[#This Row],[Площадь по проекту жилая]:[Лоджия 3]]),2)</f>
        <v>59.6</v>
      </c>
      <c r="T482" s="8">
        <f>ROUND(ППД5[[#This Row],[Площадь по проекту(общая)]]-ППД5[[#This Row],[Летние]],2)</f>
        <v>56.88</v>
      </c>
      <c r="U482" s="91">
        <f>ROUND(ППД5[[#This Row],[Площадь по проекту(общая)]]-(SUM(ППД5[[#This Row],[Лоджия 1]:[Лоджия 3]])/2),2)</f>
        <v>58.24</v>
      </c>
      <c r="V482" s="91">
        <f>IF(ППД5[[#This Row],[Статус]]="продажа",ППД5[[#This Row],[Расчетная проектная площадь]],ППД5[[#This Row],[Расчетная ТП площадь]])</f>
        <v>58.24</v>
      </c>
      <c r="W482" s="91">
        <v>14.5</v>
      </c>
      <c r="X482" s="91">
        <v>11.3</v>
      </c>
      <c r="Y482" s="91"/>
      <c r="Z482" s="91">
        <f>SUM(ППД5[[#This Row],[ТП Комната 1]:[ТП Комната 3]])</f>
        <v>25.8</v>
      </c>
      <c r="AA482" s="91">
        <v>15.8</v>
      </c>
      <c r="AB482" s="91">
        <v>2.7</v>
      </c>
      <c r="AC482" s="91">
        <v>3</v>
      </c>
      <c r="AD482" s="91"/>
      <c r="AE482" s="91">
        <v>9.3000000000000007</v>
      </c>
      <c r="AF482" s="91">
        <v>1.35</v>
      </c>
      <c r="AG482" s="91"/>
      <c r="AH482" s="91"/>
      <c r="AI482" s="91">
        <f>SUM(ППД5[[#This Row],[ТП Лоджия 1]:[ТП Лоджия 3]])</f>
        <v>1.35</v>
      </c>
      <c r="AJ482" s="95">
        <v>2.7</v>
      </c>
      <c r="AK482" s="91">
        <f>SUM(ППД5[[#This Row],[Площадь по ТП жилая]:[ТП Лоджия 3]])-ППД5[[#This Row],[ТП Летние]]+ППД5[[#This Row],[кроме того прочая
(без коэффициента)]]</f>
        <v>59.300000000000011</v>
      </c>
      <c r="AL482" s="95">
        <f>ППД5[[#This Row],[ТП Площадь без летних]]+(ППД5[[#This Row],[ТП Летние]])</f>
        <v>57.95000000000001</v>
      </c>
      <c r="AM482" s="91">
        <f>ППД5[[#This Row],[ТП общая S]]-ППД5[[#This Row],[кроме того прочая
(без коэффициента)]]</f>
        <v>56.600000000000009</v>
      </c>
      <c r="AN482" s="95">
        <f>SUM(ППД5[[#This Row],[ТП Кухня]:[ТП Коридор]])</f>
        <v>30.8</v>
      </c>
      <c r="AO482" s="91">
        <f>ППД5[[#This Row],[Расчетная ТП площадь]]-ППД5[[#This Row],[Расчетная проектная площадь]]</f>
        <v>-0.28999999999999204</v>
      </c>
      <c r="AP482" s="335">
        <f>ППД5[[#This Row],[Расчетная ТП площадь]]/ППД5[[#This Row],[Расчетная проектная площадь]]-1</f>
        <v>-4.9793956043954202E-3</v>
      </c>
      <c r="AQ482" s="91">
        <f>ППД5[[#This Row],[% расхождения]]*ППД5[[#This Row],[Стоимость до скидки]]</f>
        <v>-29344.076236262652</v>
      </c>
      <c r="AR482" s="91">
        <f>VLOOKUP(ППД5[[#This Row],[№]],наценкад5[],COLUMN(наценкад5[[#This Row],[Цена м2 с учетом всех K]]),0)</f>
        <v>79535.67300000001</v>
      </c>
      <c r="AS482" s="8">
        <f>ППД5[[#This Row],[м2 после К]]*5%</f>
        <v>3976.7836500000008</v>
      </c>
      <c r="AT482" s="8">
        <f>ППД5[[#This Row],[м2 после К]]+ППД5[[#This Row],[Повышение 16.08.23 - 5%]]</f>
        <v>83512.456650000007</v>
      </c>
      <c r="AU482" s="93">
        <f>ППД5[[#This Row],[Фикс 16.08.23]]*3%</f>
        <v>2505.3736994999999</v>
      </c>
      <c r="AV482" s="93">
        <f>ППД5[[#This Row],[Фикс 16.08.23]]+ППД5[[#This Row],[Повышение 29.08.23 - 3%]]</f>
        <v>86017.8303495</v>
      </c>
      <c r="AW482" s="93"/>
      <c r="AX482" s="93">
        <f>ППД5[[#This Row],[Фикс 29.08.23]]+ППД5[[#This Row],[Повышение 06.09.23 СТ и 1К]]</f>
        <v>86017.8303495</v>
      </c>
      <c r="AY482" s="93"/>
      <c r="AZ482" s="93">
        <f>ППД5[[#This Row],[Повышение 23.10.23  В4 ]]+ППД5[[#This Row],[Фикс 06.09.23]]</f>
        <v>86017.8303495</v>
      </c>
      <c r="BA482" s="93"/>
      <c r="BB482" s="93">
        <f>ППД5[[#This Row],[Повышение 8.11.23 1К 5%]]+ППД5[[#This Row],[Фикс 23.10.23]]</f>
        <v>86017.8303495</v>
      </c>
      <c r="BC482" s="93"/>
      <c r="BD482" s="93">
        <f>ППД5[[#This Row],[Корректировка 24.11.23 - 1К В5, 2К А2, №233]]+ППД5[[#This Row],[Фикс 8.11.23]]</f>
        <v>86017.8303495</v>
      </c>
      <c r="BE482" s="93">
        <f>ППД5[[#This Row],[Фикс 8.11.24]]*1%</f>
        <v>860.17830349500002</v>
      </c>
      <c r="BF482" s="93">
        <f>ППД5[[#This Row],[Наценка за отделку 29.12.23 1%]]+ППД5[[#This Row],[Фикс 8.11.24]]</f>
        <v>86878.008652995006</v>
      </c>
      <c r="BG482" s="93">
        <f>ППД5[[#This Row],[Фикс 29.12.23]]*5%</f>
        <v>4343.9004326497507</v>
      </c>
      <c r="BH482" s="93">
        <f>ППД5[[#This Row],[Фикс 29.12.23]]+ППД5[[#This Row],[Наценка 10.01.24 5%]]</f>
        <v>91221.909085644758</v>
      </c>
      <c r="BI482" s="93"/>
      <c r="BJ482" s="93">
        <f>ППД5[[#This Row],[Наценка 26.02.24 1 Этаж]]+ППД5[[#This Row],[Фикс 10.01.24]]</f>
        <v>91221.909085644758</v>
      </c>
      <c r="BK482" s="93">
        <f>ППД5[[#This Row],[Фикс 26.02.24]]*2%</f>
        <v>1824.4381817128951</v>
      </c>
      <c r="BL482" s="93">
        <f>ППД5[[#This Row],[Фикс 26.02.24]]+ППД5[[#This Row],[Наценка 06.03.24
СТ, 1К - 3%
2К, 3К - 2%]]</f>
        <v>93046.347267357647</v>
      </c>
      <c r="BM482" s="93"/>
      <c r="BN482" s="93">
        <f>ППД5[[#This Row],[Фикс 06.03.24]]+ППД5[[#This Row],[Наценка Г2+500]]</f>
        <v>93046.347267357647</v>
      </c>
      <c r="BO482" s="93">
        <f>ППД5[[#This Row],[Фикс 13.03.25]]*2%</f>
        <v>1860.9269453471529</v>
      </c>
      <c r="BP482" s="93">
        <f>ППД5[[#This Row],[Фикс 13.03.25]]+ППД5[[#This Row],[Наценка 20.03.24
2К, 3К - 2%]]</f>
        <v>94907.274212704797</v>
      </c>
      <c r="BQ482" s="93"/>
      <c r="BR482" s="93">
        <f>ППД5[[#This Row],[Фикс 20.03.24]]+ППД5[[#This Row],[Наценка 08.04.24 
2К: В3 - 150
3К: Г7 +1000]]</f>
        <v>94907.274212704797</v>
      </c>
      <c r="BS482" s="93">
        <f>ППД5[[#This Row],[Фикс 08.04.24]]*1%</f>
        <v>949.07274212704795</v>
      </c>
      <c r="BT482" s="93">
        <f>ППД5[[#This Row],[Фикс 08.04.24]]+ППД5[[#This Row],[Наценка 16.05.24 1%
А4,А6,Б3,Б6,Б7,В2,В3,В5,В6,Г1,Г3-Г5]]</f>
        <v>95856.346954831839</v>
      </c>
      <c r="BU482" s="93"/>
      <c r="BV482" s="93">
        <f>ППД5[[#This Row],[Фикс 16.05.24]]+ППД5[[#This Row],[Наценка 24.05.24
1% - Б4, Б5,Г2,Г6
2% - А1,А3,А5,Б2,Г7]]</f>
        <v>95856.346954831839</v>
      </c>
      <c r="BW482" s="93"/>
      <c r="BX482" s="93">
        <f>ППД5[[#This Row],[Наценка 06.06.24
0К: В2,Г3 +0,5%
1К: А7, Б5/4, Г6 +0,5%
3К: В6 +0,5%
1К: А3 +1%]]+ППД5[[#This Row],[Фикс 24.05.24]]</f>
        <v>95856.346954831839</v>
      </c>
      <c r="BY482" s="93"/>
      <c r="BZ482" s="93">
        <f>ППД5[[#This Row],[Фикс 06.06.24]]+ППД5[[#This Row],[13.06.2024
3К - 2%]]</f>
        <v>95856.346954831839</v>
      </c>
      <c r="CA482" s="47">
        <f>1.5%*ППД5[[#This Row],[Фикс 13.06.24]]</f>
        <v>1437.8452043224775</v>
      </c>
      <c r="CB482" s="93">
        <f>ППД5[[#This Row],[02.07.2024: Г3 А1 А3 Б5 Б7 Г2 Г6 Б3 Б4 В3 Г7 2,5% ост 0,5-1,5%]]+ППД5[[#This Row],[Фикс 13.06.24]]</f>
        <v>97294.192159154321</v>
      </c>
      <c r="CC482" s="93"/>
      <c r="CD482" s="93">
        <f>ППД5[[#This Row],[Фикс 02.07.24]]+ППД5[[#This Row],[04.09.2024 +500
0К - Б2; 1К - А3;
2К - А6, Б4, В3, Г5]]</f>
        <v>97294.192159154321</v>
      </c>
      <c r="CE482" s="93">
        <f>ППД5[[#This Row],[Фикс 04.09.24]]*4%</f>
        <v>3891.7676863661727</v>
      </c>
      <c r="CF482" s="93">
        <f>ППД5[[#This Row],[Наценка 16.09.2024
1К: А1,В7,Г6/7,Г8 - 2%
2К: А4,А5,А6,Б1,Б6,Б3/4,В3,В4,Г4,Г5 - 4%
3К: 4%]]+ППД5[[#This Row],[Фикс 04.09.24]]</f>
        <v>101185.9598455205</v>
      </c>
      <c r="CG482" s="93"/>
      <c r="CH482" s="93">
        <f>ППД5[[#This Row],[Фикс 16.09.2024]]+ППД5[[#This Row],[Наценка 01.11.24
СТ: 4%
1К: 34-40м 5%; 40м+ 8%; МГН 1%
2К: 55-70м 6%; 70-73м 7%; 73-76м 8% 
3К: 5%]]</f>
        <v>101185.9598455205</v>
      </c>
      <c r="CI482" s="93"/>
      <c r="CJ482" s="93">
        <f>ППД5[[#This Row],[Наценка 06.11 13%]]+ППД5[[#This Row],[Фикс 01.11.24]]</f>
        <v>101185.9598455205</v>
      </c>
      <c r="CK482" s="93"/>
      <c r="CL482" s="93">
        <f>ППД5[[#This Row],[Фикс 06.11.24]]+ППД5[[#This Row],[Наценка 18.12.24 распределение КВ]]</f>
        <v>101185.9598455205</v>
      </c>
      <c r="CM482" s="93"/>
      <c r="CN482" s="93">
        <f>ППД5[[#This Row],[Фикс 18.12.24]]+ППД5[[#This Row],[Наценка 10.02.25 +1%
1К: А3
2К: Б3, В3]]</f>
        <v>101185.9598455205</v>
      </c>
      <c r="CO482" s="93">
        <f>ROUND(ППД5[[#This Row],[Фикс 10.02.25]],2)</f>
        <v>101185.96</v>
      </c>
      <c r="CP48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5893100</v>
      </c>
      <c r="CQ482" s="93">
        <f>ROUNDUP(ППД5[[#This Row],[Стоимость до скидки]]+ППД5[[#This Row],[Сумма доплаты]],-2)</f>
        <v>5863800</v>
      </c>
      <c r="CR482" s="68"/>
      <c r="CS482" s="90">
        <v>0.02</v>
      </c>
      <c r="CT482" s="68">
        <f>ППД5[[#This Row],[Стоимость до скидки]]*ППД5[[#This Row],[Скидка %]]+ППД5[[#This Row],[Скидка фиксированная]]</f>
        <v>117862</v>
      </c>
      <c r="CU482" s="3">
        <f>ППД5[[#This Row],[Стоимость ОН без отделки со скидкой]]/ППД5[[#This Row],[Расчетная проектная площадь]]</f>
        <v>99162.740384615376</v>
      </c>
      <c r="CV482" s="3">
        <f>ROUND(ППД5[[#This Row],[Стоимость до скидки]]-ППД5[[#This Row],[Итоговая сумма скидки]],2)</f>
        <v>5775238</v>
      </c>
      <c r="CW48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82" s="197"/>
      <c r="CY482" s="332">
        <f>ППД5[[#This Row],[Расхождение]]/ППД5[[#This Row],[Расчетная проектная площадь]]</f>
        <v>-4.9793956043954679E-3</v>
      </c>
      <c r="CZ48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-0.18000000000000149</v>
      </c>
      <c r="DA482" s="3">
        <f>ППД5[[#This Row],[Цена м2 без отделки со скидкой]]+ППД5[[#This Row],[Стоимость отделки]]</f>
        <v>99162.740384615376</v>
      </c>
      <c r="DB482" s="3">
        <f>ППД5[[#This Row],[Стоимость квартиры с отделкой]]-ППД5[[#This Row],[Стоимость ОН без отделки со скидкой]]</f>
        <v>0</v>
      </c>
      <c r="DC482" s="3">
        <f>ППД5[[#This Row],[Цена м2 с отделкой]]*ППД5[[#This Row],[Расчетная проектная площадь]]</f>
        <v>5775238</v>
      </c>
      <c r="DD482" s="3"/>
      <c r="DE482" s="111" t="s">
        <v>757</v>
      </c>
      <c r="DF482" s="215" t="s">
        <v>172</v>
      </c>
      <c r="DG482" s="245" t="s">
        <v>172</v>
      </c>
      <c r="DH482" s="100" t="b">
        <f>EXACT(ППД5[[#This Row],[Статусы CRM]],ППД5[[#This Row],[Статус]])</f>
        <v>1</v>
      </c>
      <c r="DI482" s="213" t="s">
        <v>654</v>
      </c>
      <c r="DJ482" s="204"/>
      <c r="DK482" s="111" t="s">
        <v>763</v>
      </c>
      <c r="DL482" s="216" t="s">
        <v>12</v>
      </c>
      <c r="DM482" s="201" t="b">
        <f>ППД5[[#This Row],[Отделка CRM]]=ППД5[[#This Row],[Отделка]]</f>
        <v>1</v>
      </c>
      <c r="DN482" s="203">
        <v>5775238</v>
      </c>
      <c r="DO48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82" s="207" t="b">
        <f>IF(AND(ППД5[[#This Row],[Статус]]="свободно",ППД5[[#This Row],[Итоговая сумма скидки]]&lt;&gt;0),FALSE,TRUE)</f>
        <v>1</v>
      </c>
      <c r="DQ482" s="240">
        <f>_xlfn.XLOOKUP(ППД5[[#This Row],[№]],Юрист[№ кв],Юрист[Дата подачи на регистрацию]," ",0,-1)</f>
        <v>45614</v>
      </c>
      <c r="DR482" s="115" t="str">
        <f>_xlfn.XLOOKUP(ППД5[[#This Row],[№]],Юрист[№ кв],Юрист[МОП],"",0,-1)</f>
        <v>Никишов</v>
      </c>
      <c r="DS482" s="333" t="s">
        <v>3256</v>
      </c>
      <c r="DT482" s="333" t="s">
        <v>3257</v>
      </c>
      <c r="DU482" s="333">
        <v>56.6</v>
      </c>
      <c r="DV482" s="111"/>
    </row>
    <row r="483" spans="1:126" hidden="1" x14ac:dyDescent="0.25">
      <c r="A483" s="112">
        <v>481</v>
      </c>
      <c r="B483" s="111" t="s">
        <v>2</v>
      </c>
      <c r="C483" s="111">
        <v>12</v>
      </c>
      <c r="D483" s="115">
        <v>5</v>
      </c>
      <c r="E483" s="111">
        <v>2</v>
      </c>
      <c r="F483" s="105">
        <v>15.41</v>
      </c>
      <c r="G483" s="105">
        <v>12.78</v>
      </c>
      <c r="H483" s="105"/>
      <c r="I483" s="94">
        <f>SUM(ППД5[[#This Row],[Комната 1]:[Комната 3]])</f>
        <v>28.189999999999998</v>
      </c>
      <c r="J483" s="105">
        <v>13.45</v>
      </c>
      <c r="K483" s="105">
        <v>3.7</v>
      </c>
      <c r="L483" s="105">
        <v>2.72</v>
      </c>
      <c r="M483" s="105"/>
      <c r="N483" s="105">
        <v>8.2200000000000006</v>
      </c>
      <c r="O483" s="105">
        <v>3.03</v>
      </c>
      <c r="P483" s="105"/>
      <c r="Q483" s="105"/>
      <c r="R483" s="105">
        <f>SUM(ППД5[[#This Row],[Лоджия 1]:[Лоджия 3]])</f>
        <v>3.03</v>
      </c>
      <c r="S483" s="8">
        <f>ROUND(SUM(ППД5[[#This Row],[Площадь по проекту жилая]:[Лоджия 3]]),2)</f>
        <v>59.31</v>
      </c>
      <c r="T483" s="8">
        <f>ROUND(ППД5[[#This Row],[Площадь по проекту(общая)]]-ППД5[[#This Row],[Летние]],2)</f>
        <v>56.28</v>
      </c>
      <c r="U483" s="91">
        <f>ROUND(ППД5[[#This Row],[Площадь по проекту(общая)]]-(SUM(ППД5[[#This Row],[Лоджия 1]:[Лоджия 3]])/2),2)</f>
        <v>57.8</v>
      </c>
      <c r="V483" s="91">
        <f>IF(ППД5[[#This Row],[Статус]]="продажа",ППД5[[#This Row],[Расчетная проектная площадь]],ППД5[[#This Row],[Расчетная ТП площадь]])</f>
        <v>57.8</v>
      </c>
      <c r="W483" s="91">
        <v>12.6</v>
      </c>
      <c r="X483" s="91">
        <v>15.4</v>
      </c>
      <c r="Y483" s="91"/>
      <c r="Z483" s="91">
        <f>SUM(ППД5[[#This Row],[ТП Комната 1]:[ТП Комната 3]])</f>
        <v>28</v>
      </c>
      <c r="AA483" s="91">
        <v>13.5</v>
      </c>
      <c r="AB483" s="91">
        <v>2.8</v>
      </c>
      <c r="AC483" s="91">
        <v>3.7</v>
      </c>
      <c r="AD483" s="91"/>
      <c r="AE483" s="91">
        <v>8.1999999999999993</v>
      </c>
      <c r="AF483" s="91">
        <v>1.5</v>
      </c>
      <c r="AG483" s="91"/>
      <c r="AH483" s="91"/>
      <c r="AI483" s="91">
        <f>SUM(ППД5[[#This Row],[ТП Лоджия 1]:[ТП Лоджия 3]])</f>
        <v>1.5</v>
      </c>
      <c r="AJ483" s="95">
        <v>3</v>
      </c>
      <c r="AK483" s="91">
        <f>SUM(ППД5[[#This Row],[Площадь по ТП жилая]:[ТП Лоджия 3]])-ППД5[[#This Row],[ТП Летние]]+ППД5[[#This Row],[кроме того прочая
(без коэффициента)]]</f>
        <v>59.2</v>
      </c>
      <c r="AL483" s="95">
        <f>ППД5[[#This Row],[ТП Площадь без летних]]+(ППД5[[#This Row],[ТП Летние]])</f>
        <v>57.7</v>
      </c>
      <c r="AM483" s="91">
        <f>ППД5[[#This Row],[ТП общая S]]-ППД5[[#This Row],[кроме того прочая
(без коэффициента)]]</f>
        <v>56.2</v>
      </c>
      <c r="AN483" s="95">
        <f>SUM(ППД5[[#This Row],[ТП Кухня]:[ТП Коридор]])</f>
        <v>28.2</v>
      </c>
      <c r="AO483" s="91">
        <f>ППД5[[#This Row],[Расчетная ТП площадь]]-ППД5[[#This Row],[Расчетная проектная площадь]]</f>
        <v>-9.9999999999994316E-2</v>
      </c>
      <c r="AP483" s="335">
        <f>ППД5[[#This Row],[Расчетная ТП площадь]]/ППД5[[#This Row],[Расчетная проектная площадь]]-1</f>
        <v>-1.7301038062282892E-3</v>
      </c>
      <c r="AQ483" s="91">
        <f>ППД5[[#This Row],[% расхождения]]*ППД5[[#This Row],[Стоимость до скидки]]</f>
        <v>-9539.2733564009177</v>
      </c>
      <c r="AR483" s="91">
        <f>VLOOKUP(ППД5[[#This Row],[№]],наценкад5[],COLUMN(наценкад5[[#This Row],[Цена м2 с учетом всех K]]),0)</f>
        <v>79149.577499999999</v>
      </c>
      <c r="AS483" s="8">
        <f>ППД5[[#This Row],[м2 после К]]*5%</f>
        <v>3957.4788750000002</v>
      </c>
      <c r="AT483" s="8">
        <f>ППД5[[#This Row],[м2 после К]]+ППД5[[#This Row],[Повышение 16.08.23 - 5%]]</f>
        <v>83107.056375</v>
      </c>
      <c r="AU483" s="93">
        <f>ППД5[[#This Row],[Фикс 16.08.23]]*3%</f>
        <v>2493.2116912500001</v>
      </c>
      <c r="AV483" s="93">
        <f>ППД5[[#This Row],[Фикс 16.08.23]]+ППД5[[#This Row],[Повышение 29.08.23 - 3%]]</f>
        <v>85600.268066250006</v>
      </c>
      <c r="AW483" s="93"/>
      <c r="AX483" s="93">
        <f>ППД5[[#This Row],[Фикс 29.08.23]]+ППД5[[#This Row],[Повышение 06.09.23 СТ и 1К]]</f>
        <v>85600.268066250006</v>
      </c>
      <c r="AY483" s="93"/>
      <c r="AZ483" s="93">
        <f>ППД5[[#This Row],[Повышение 23.10.23  В4 ]]+ППД5[[#This Row],[Фикс 06.09.23]]</f>
        <v>85600.268066250006</v>
      </c>
      <c r="BA483" s="93"/>
      <c r="BB483" s="93">
        <f>ППД5[[#This Row],[Повышение 8.11.23 1К 5%]]+ППД5[[#This Row],[Фикс 23.10.23]]</f>
        <v>85600.268066250006</v>
      </c>
      <c r="BC483" s="93"/>
      <c r="BD483" s="93">
        <f>ППД5[[#This Row],[Корректировка 24.11.23 - 1К В5, 2К А2, №233]]+ППД5[[#This Row],[Фикс 8.11.23]]</f>
        <v>85600.268066250006</v>
      </c>
      <c r="BE483" s="93">
        <f>ППД5[[#This Row],[Фикс 8.11.24]]*1%</f>
        <v>856.0026806625001</v>
      </c>
      <c r="BF483" s="93">
        <f>ППД5[[#This Row],[Наценка за отделку 29.12.23 1%]]+ППД5[[#This Row],[Фикс 8.11.24]]</f>
        <v>86456.270746912502</v>
      </c>
      <c r="BG483" s="93">
        <f>ППД5[[#This Row],[Фикс 29.12.23]]*5%</f>
        <v>4322.8135373456253</v>
      </c>
      <c r="BH483" s="93">
        <f>ППД5[[#This Row],[Фикс 29.12.23]]+ППД5[[#This Row],[Наценка 10.01.24 5%]]</f>
        <v>90779.084284258133</v>
      </c>
      <c r="BI483" s="93"/>
      <c r="BJ483" s="93">
        <f>ППД5[[#This Row],[Наценка 26.02.24 1 Этаж]]+ППД5[[#This Row],[Фикс 10.01.24]]</f>
        <v>90779.084284258133</v>
      </c>
      <c r="BK483" s="93">
        <f>ППД5[[#This Row],[Фикс 26.02.24]]*2%</f>
        <v>1815.5816856851627</v>
      </c>
      <c r="BL483" s="93">
        <f>ППД5[[#This Row],[Фикс 26.02.24]]+ППД5[[#This Row],[Наценка 06.03.24
СТ, 1К - 3%
2К, 3К - 2%]]</f>
        <v>92594.665969943293</v>
      </c>
      <c r="BM483" s="93"/>
      <c r="BN483" s="93">
        <f>ППД5[[#This Row],[Фикс 06.03.24]]+ППД5[[#This Row],[Наценка Г2+500]]</f>
        <v>92594.665969943293</v>
      </c>
      <c r="BO483" s="93">
        <f>ППД5[[#This Row],[Фикс 13.03.25]]*2%</f>
        <v>1851.893319398866</v>
      </c>
      <c r="BP483" s="93">
        <f>ППД5[[#This Row],[Фикс 13.03.25]]+ППД5[[#This Row],[Наценка 20.03.24
2К, 3К - 2%]]</f>
        <v>94446.559289342156</v>
      </c>
      <c r="BQ483" s="93"/>
      <c r="BR483" s="93">
        <f>ППД5[[#This Row],[Фикс 20.03.24]]+ППД5[[#This Row],[Наценка 08.04.24 
2К: В3 - 150
3К: Г7 +1000]]</f>
        <v>94446.559289342156</v>
      </c>
      <c r="BS483" s="93">
        <f>ППД5[[#This Row],[Фикс 08.04.24]]*1%</f>
        <v>944.46559289342156</v>
      </c>
      <c r="BT483" s="93">
        <f>ППД5[[#This Row],[Фикс 08.04.24]]+ППД5[[#This Row],[Наценка 16.05.24 1%
А4,А6,Б3,Б6,Б7,В2,В3,В5,В6,Г1,Г3-Г5]]</f>
        <v>95391.024882235579</v>
      </c>
      <c r="BU483" s="93"/>
      <c r="BV483" s="93">
        <f>ППД5[[#This Row],[Фикс 16.05.24]]+ППД5[[#This Row],[Наценка 24.05.24
1% - Б4, Б5,Г2,Г6
2% - А1,А3,А5,Б2,Г7]]</f>
        <v>95391.024882235579</v>
      </c>
      <c r="BW483" s="93"/>
      <c r="BX483" s="93">
        <f>ППД5[[#This Row],[Наценка 06.06.24
0К: В2,Г3 +0,5%
1К: А7, Б5/4, Г6 +0,5%
3К: В6 +0,5%
1К: А3 +1%]]+ППД5[[#This Row],[Фикс 24.05.24]]</f>
        <v>95391.024882235579</v>
      </c>
      <c r="BY483" s="93"/>
      <c r="BZ483" s="93">
        <f>ППД5[[#This Row],[Фикс 06.06.24]]+ППД5[[#This Row],[13.06.2024
3К - 2%]]</f>
        <v>95391.024882235579</v>
      </c>
      <c r="CA483" s="93"/>
      <c r="CB483" s="93">
        <f>ППД5[[#This Row],[02.07.2024: Г3 А1 А3 Б5 Б7 Г2 Г6 Б3 Б4 В3 Г7 2,5% ост 0,5-1,5%]]+ППД5[[#This Row],[Фикс 13.06.24]]</f>
        <v>95391.024882235579</v>
      </c>
      <c r="CC483" s="93"/>
      <c r="CD483" s="93">
        <f>ППД5[[#This Row],[Фикс 02.07.24]]+ППД5[[#This Row],[04.09.2024 +500
0К - Б2; 1К - А3;
2К - А6, Б4, В3, Г5]]</f>
        <v>95391.024882235579</v>
      </c>
      <c r="CE483" s="93"/>
      <c r="CF483" s="93">
        <f>ППД5[[#This Row],[Наценка 16.09.2024
1К: А1,В7,Г6/7,Г8 - 2%
2К: А4,А5,А6,Б1,Б6,Б3/4,В3,В4,Г4,Г5 - 4%
3К: 4%]]+ППД5[[#This Row],[Фикс 04.09.24]]</f>
        <v>95391.024882235579</v>
      </c>
      <c r="CG483" s="93"/>
      <c r="CH483" s="93">
        <f>ППД5[[#This Row],[Фикс 16.09.2024]]+ППД5[[#This Row],[Наценка 01.11.24
СТ: 4%
1К: 34-40м 5%; 40м+ 8%; МГН 1%
2К: 55-70м 6%; 70-73м 7%; 73-76м 8% 
3К: 5%]]</f>
        <v>95391.024882235579</v>
      </c>
      <c r="CI483" s="93"/>
      <c r="CJ483" s="93">
        <f>ППД5[[#This Row],[Наценка 06.11 13%]]+ППД5[[#This Row],[Фикс 01.11.24]]</f>
        <v>95391.024882235579</v>
      </c>
      <c r="CK483" s="93"/>
      <c r="CL483" s="93">
        <f>ППД5[[#This Row],[Фикс 06.11.24]]+ППД5[[#This Row],[Наценка 18.12.24 распределение КВ]]</f>
        <v>95391.024882235579</v>
      </c>
      <c r="CM483" s="93"/>
      <c r="CN483" s="93">
        <f>ППД5[[#This Row],[Фикс 18.12.24]]+ППД5[[#This Row],[Наценка 10.02.25 +1%
1К: А3
2К: Б3, В3]]</f>
        <v>95391.024882235579</v>
      </c>
      <c r="CO483" s="93">
        <f>ROUND(ППД5[[#This Row],[Фикс 10.02.25]],2)</f>
        <v>95391.02</v>
      </c>
      <c r="CP48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5513700</v>
      </c>
      <c r="CQ483" s="93">
        <f>ROUNDUP(ППД5[[#This Row],[Стоимость до скидки]]+ППД5[[#This Row],[Сумма доплаты]],-2)</f>
        <v>5504200</v>
      </c>
      <c r="CR483" s="68"/>
      <c r="CS483" s="90"/>
      <c r="CT483" s="68">
        <f>ППД5[[#This Row],[Стоимость до скидки]]*ППД5[[#This Row],[Скидка %]]+ППД5[[#This Row],[Скидка фиксированная]]</f>
        <v>0</v>
      </c>
      <c r="CU483" s="3">
        <f>ППД5[[#This Row],[Стоимость ОН без отделки со скидкой]]/ППД5[[#This Row],[Расчетная проектная площадь]]</f>
        <v>95392.733564013848</v>
      </c>
      <c r="CV483" s="3">
        <f>ROUND(ППД5[[#This Row],[Стоимость до скидки]]-ППД5[[#This Row],[Итоговая сумма скидки]],2)</f>
        <v>5513700</v>
      </c>
      <c r="CW48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83" s="197">
        <v>20000</v>
      </c>
      <c r="CY483" s="332">
        <f>ППД5[[#This Row],[Расхождение]]/ППД5[[#This Row],[Расчетная проектная площадь]]</f>
        <v>-1.7301038062282755E-3</v>
      </c>
      <c r="CZ48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0.10999999999999943</v>
      </c>
      <c r="DA483" s="3">
        <f>ППД5[[#This Row],[Цена м2 без отделки со скидкой]]+ППД5[[#This Row],[Стоимость отделки]]</f>
        <v>115392.73356401385</v>
      </c>
      <c r="DB483" s="3">
        <f>ППД5[[#This Row],[Стоимость квартиры с отделкой]]-ППД5[[#This Row],[Стоимость ОН без отделки со скидкой]]</f>
        <v>1156000</v>
      </c>
      <c r="DC483" s="3">
        <f>ППД5[[#This Row],[Цена м2 с отделкой]]*ППД5[[#This Row],[Расчетная проектная площадь]]</f>
        <v>6669700</v>
      </c>
      <c r="DD483" s="3"/>
      <c r="DF483" s="199" t="s">
        <v>172</v>
      </c>
      <c r="DG483" s="245" t="s">
        <v>172</v>
      </c>
      <c r="DH483" s="100" t="b">
        <f>EXACT(ППД5[[#This Row],[Статусы CRM]],ППД5[[#This Row],[Статус]])</f>
        <v>1</v>
      </c>
      <c r="DI483" s="213" t="s">
        <v>655</v>
      </c>
      <c r="DJ483" s="204"/>
      <c r="DK483" s="111" t="s">
        <v>763</v>
      </c>
      <c r="DL483" s="216" t="s">
        <v>14</v>
      </c>
      <c r="DM483" s="201" t="b">
        <f>ППД5[[#This Row],[Отделка CRM]]=ППД5[[#This Row],[Отделка]]</f>
        <v>1</v>
      </c>
      <c r="DN483" s="203">
        <v>6669700</v>
      </c>
      <c r="DO48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83" s="207" t="b">
        <f>IF(AND(ППД5[[#This Row],[Статус]]="свободно",ППД5[[#This Row],[Итоговая сумма скидки]]&lt;&gt;0),FALSE,TRUE)</f>
        <v>1</v>
      </c>
      <c r="DQ483" s="240">
        <f>_xlfn.XLOOKUP(ППД5[[#This Row],[№]],Юрист[№ кв],Юрист[Дата подачи на регистрацию]," ",0,-1)</f>
        <v>45493</v>
      </c>
      <c r="DR483" s="115" t="str">
        <f>_xlfn.XLOOKUP(ППД5[[#This Row],[№]],Юрист[№ кв],Юрист[МОП],"",0,-1)</f>
        <v>Полехович</v>
      </c>
      <c r="DS483" s="333" t="s">
        <v>3258</v>
      </c>
      <c r="DT483" s="333" t="s">
        <v>3259</v>
      </c>
      <c r="DU483" s="333">
        <v>56.2</v>
      </c>
      <c r="DV483" s="111"/>
    </row>
    <row r="484" spans="1:126" hidden="1" x14ac:dyDescent="0.25">
      <c r="A484" s="112">
        <v>482</v>
      </c>
      <c r="B484" s="111" t="s">
        <v>2</v>
      </c>
      <c r="C484" s="111">
        <v>12</v>
      </c>
      <c r="D484" s="115">
        <v>6</v>
      </c>
      <c r="E484" s="111">
        <v>1</v>
      </c>
      <c r="F484" s="105">
        <v>12.71</v>
      </c>
      <c r="G484" s="105"/>
      <c r="H484" s="105"/>
      <c r="I484" s="94">
        <f>SUM(ППД5[[#This Row],[Комната 1]:[Комната 3]])</f>
        <v>12.71</v>
      </c>
      <c r="J484" s="105">
        <v>12.55</v>
      </c>
      <c r="K484" s="105">
        <v>4.28</v>
      </c>
      <c r="L484" s="105"/>
      <c r="M484" s="105"/>
      <c r="N484" s="105">
        <v>7.34</v>
      </c>
      <c r="O484" s="105">
        <v>2.84</v>
      </c>
      <c r="P484" s="105"/>
      <c r="Q484" s="105"/>
      <c r="R484" s="105">
        <f>SUM(ППД5[[#This Row],[Лоджия 1]:[Лоджия 3]])</f>
        <v>2.84</v>
      </c>
      <c r="S484" s="8">
        <f>ROUND(SUM(ППД5[[#This Row],[Площадь по проекту жилая]:[Лоджия 3]]),2)</f>
        <v>39.72</v>
      </c>
      <c r="T484" s="8">
        <f>ROUND(ППД5[[#This Row],[Площадь по проекту(общая)]]-ППД5[[#This Row],[Летние]],2)</f>
        <v>36.880000000000003</v>
      </c>
      <c r="U484" s="91">
        <f>ROUND(ППД5[[#This Row],[Площадь по проекту(общая)]]-(SUM(ППД5[[#This Row],[Лоджия 1]:[Лоджия 3]])/2),2)</f>
        <v>38.299999999999997</v>
      </c>
      <c r="V484" s="91">
        <f>IF(ППД5[[#This Row],[Статус]]="продажа",ППД5[[#This Row],[Расчетная проектная площадь]],ППД5[[#This Row],[Расчетная ТП площадь]])</f>
        <v>37.9</v>
      </c>
      <c r="W484" s="91">
        <v>12.7</v>
      </c>
      <c r="X484" s="91"/>
      <c r="Y484" s="91"/>
      <c r="Z484" s="91">
        <f>SUM(ППД5[[#This Row],[ТП Комната 1]:[ТП Комната 3]])</f>
        <v>12.7</v>
      </c>
      <c r="AA484" s="91">
        <v>12.5</v>
      </c>
      <c r="AB484" s="91">
        <v>4</v>
      </c>
      <c r="AC484" s="91"/>
      <c r="AD484" s="91"/>
      <c r="AE484" s="91">
        <v>7.3</v>
      </c>
      <c r="AF484" s="91">
        <v>1.4</v>
      </c>
      <c r="AG484" s="91"/>
      <c r="AH484" s="91"/>
      <c r="AI484" s="91">
        <f>SUM(ППД5[[#This Row],[ТП Лоджия 1]:[ТП Лоджия 3]])</f>
        <v>1.4</v>
      </c>
      <c r="AJ484" s="95">
        <v>2.8</v>
      </c>
      <c r="AK484" s="91">
        <f>SUM(ППД5[[#This Row],[Площадь по ТП жилая]:[ТП Лоджия 3]])-ППД5[[#This Row],[ТП Летние]]+ППД5[[#This Row],[кроме того прочая
(без коэффициента)]]</f>
        <v>39.299999999999997</v>
      </c>
      <c r="AL484" s="95">
        <f>ППД5[[#This Row],[ТП Площадь без летних]]+(ППД5[[#This Row],[ТП Летние]])</f>
        <v>37.9</v>
      </c>
      <c r="AM484" s="91">
        <f>ППД5[[#This Row],[ТП общая S]]-ППД5[[#This Row],[кроме того прочая
(без коэффициента)]]</f>
        <v>36.5</v>
      </c>
      <c r="AN484" s="95">
        <f>SUM(ППД5[[#This Row],[ТП Кухня]:[ТП Коридор]])</f>
        <v>23.8</v>
      </c>
      <c r="AO484" s="91">
        <f>ППД5[[#This Row],[Расчетная ТП площадь]]-ППД5[[#This Row],[Расчетная проектная площадь]]</f>
        <v>-0.39999999999999858</v>
      </c>
      <c r="AP484" s="335">
        <f>ППД5[[#This Row],[Расчетная ТП площадь]]/ППД5[[#This Row],[Расчетная проектная площадь]]-1</f>
        <v>-1.0443864229764954E-2</v>
      </c>
      <c r="AQ484" s="91">
        <f>ППД5[[#This Row],[% расхождения]]*ППД5[[#This Row],[Стоимость до скидки]]</f>
        <v>-55290.861618798641</v>
      </c>
      <c r="AR484" s="91">
        <f>VLOOKUP(ППД5[[#This Row],[№]],наценкад5[],COLUMN(наценкад5[[#This Row],[Цена м2 с учетом всех K]]),0)</f>
        <v>87601.5</v>
      </c>
      <c r="AS484" s="8">
        <f>ППД5[[#This Row],[м2 после К]]*5%</f>
        <v>4380.0749999999998</v>
      </c>
      <c r="AT484" s="8">
        <f>ППД5[[#This Row],[м2 после К]]+ППД5[[#This Row],[Повышение 16.08.23 - 5%]]</f>
        <v>91981.574999999997</v>
      </c>
      <c r="AU484" s="93">
        <f>ППД5[[#This Row],[Фикс 16.08.23]]*3%</f>
        <v>2759.4472499999997</v>
      </c>
      <c r="AV484" s="93">
        <f>ППД5[[#This Row],[Фикс 16.08.23]]+ППД5[[#This Row],[Повышение 29.08.23 - 3%]]</f>
        <v>94741.022249999995</v>
      </c>
      <c r="AW484" s="93">
        <f>ППД5[[#This Row],[Фикс 29.08.23]]*1%</f>
        <v>947.41022249999992</v>
      </c>
      <c r="AX484" s="93">
        <f>ППД5[[#This Row],[Фикс 29.08.23]]+ППД5[[#This Row],[Повышение 06.09.23 СТ и 1К]]</f>
        <v>95688.43247249999</v>
      </c>
      <c r="AY484" s="93"/>
      <c r="AZ484" s="93">
        <f>ППД5[[#This Row],[Повышение 23.10.23  В4 ]]+ППД5[[#This Row],[Фикс 06.09.23]]</f>
        <v>95688.43247249999</v>
      </c>
      <c r="BA484" s="93">
        <f>ППД5[[#This Row],[Фикс 23.10.23]]*5%</f>
        <v>4784.4216236249995</v>
      </c>
      <c r="BB484" s="93">
        <f>ППД5[[#This Row],[Повышение 8.11.23 1К 5%]]+ППД5[[#This Row],[Фикс 23.10.23]]</f>
        <v>100472.854096125</v>
      </c>
      <c r="BC484" s="93"/>
      <c r="BD484" s="93">
        <f>ППД5[[#This Row],[Корректировка 24.11.23 - 1К В5, 2К А2, №233]]+ППД5[[#This Row],[Фикс 8.11.23]]</f>
        <v>100472.854096125</v>
      </c>
      <c r="BE484" s="93">
        <f>ППД5[[#This Row],[Фикс 8.11.24]]*1%</f>
        <v>1004.72854096125</v>
      </c>
      <c r="BF484" s="93">
        <f>ППД5[[#This Row],[Наценка за отделку 29.12.23 1%]]+ППД5[[#This Row],[Фикс 8.11.24]]</f>
        <v>101477.58263708625</v>
      </c>
      <c r="BG484" s="93">
        <f>ППД5[[#This Row],[Фикс 29.12.23]]*5%</f>
        <v>5073.8791318543126</v>
      </c>
      <c r="BH484" s="93">
        <f>ППД5[[#This Row],[Фикс 29.12.23]]+ППД5[[#This Row],[Наценка 10.01.24 5%]]</f>
        <v>106551.46176894056</v>
      </c>
      <c r="BI484" s="93"/>
      <c r="BJ484" s="93">
        <f>ППД5[[#This Row],[Наценка 26.02.24 1 Этаж]]+ППД5[[#This Row],[Фикс 10.01.24]]</f>
        <v>106551.46176894056</v>
      </c>
      <c r="BK484" s="93">
        <f>ППД5[[#This Row],[Фикс 26.02.24]]*3%</f>
        <v>3196.5438530682168</v>
      </c>
      <c r="BL484" s="93">
        <f>ППД5[[#This Row],[Фикс 26.02.24]]+ППД5[[#This Row],[Наценка 06.03.24
СТ, 1К - 3%
2К, 3К - 2%]]</f>
        <v>109748.00562200877</v>
      </c>
      <c r="BM484" s="93"/>
      <c r="BN484" s="93">
        <f>ППД5[[#This Row],[Фикс 06.03.24]]+ППД5[[#This Row],[Наценка Г2+500]]</f>
        <v>109748.00562200877</v>
      </c>
      <c r="BO484" s="93"/>
      <c r="BP484" s="93">
        <f>ППД5[[#This Row],[Фикс 13.03.25]]+ППД5[[#This Row],[Наценка 20.03.24
2К, 3К - 2%]]</f>
        <v>109748.00562200877</v>
      </c>
      <c r="BQ484" s="93"/>
      <c r="BR484" s="93">
        <f>ППД5[[#This Row],[Фикс 20.03.24]]+ППД5[[#This Row],[Наценка 08.04.24 
2К: В3 - 150
3К: Г7 +1000]]</f>
        <v>109748.00562200877</v>
      </c>
      <c r="BS484" s="93"/>
      <c r="BT484" s="93">
        <f>ППД5[[#This Row],[Фикс 08.04.24]]+ППД5[[#This Row],[Наценка 16.05.24 1%
А4,А6,Б3,Б6,Б7,В2,В3,В5,В6,Г1,Г3-Г5]]</f>
        <v>109748.00562200877</v>
      </c>
      <c r="BU484" s="93">
        <f>ППД5[[#This Row],[Фикс 16.05.24]]*1%</f>
        <v>1097.4800562200878</v>
      </c>
      <c r="BV484" s="93">
        <f>ППД5[[#This Row],[Фикс 16.05.24]]+ППД5[[#This Row],[Наценка 24.05.24
1% - Б4, Б5,Г2,Г6
2% - А1,А3,А5,Б2,Г7]]</f>
        <v>110845.48567822886</v>
      </c>
      <c r="BW484" s="93">
        <f>ППД5[[#This Row],[Фикс 24.05.24]]*0.5%</f>
        <v>554.22742839114426</v>
      </c>
      <c r="BX484" s="93">
        <f>ППД5[[#This Row],[Наценка 06.06.24
0К: В2,Г3 +0,5%
1К: А7, Б5/4, Г6 +0,5%
3К: В6 +0,5%
1К: А3 +1%]]+ППД5[[#This Row],[Фикс 24.05.24]]</f>
        <v>111399.71310661999</v>
      </c>
      <c r="BY484" s="93"/>
      <c r="BZ484" s="93">
        <f>ППД5[[#This Row],[Фикс 06.06.24]]+ППД5[[#This Row],[13.06.2024
3К - 2%]]</f>
        <v>111399.71310661999</v>
      </c>
      <c r="CA484" s="93">
        <f>2.5%*ППД5[[#This Row],[Фикс 13.06.24]]</f>
        <v>2784.9928276655</v>
      </c>
      <c r="CB484" s="93">
        <f>ППД5[[#This Row],[02.07.2024: Г3 А1 А3 Б5 Б7 Г2 Г6 Б3 Б4 В3 Г7 2,5% ост 0,5-1,5%]]+ППД5[[#This Row],[Фикс 13.06.24]]</f>
        <v>114184.70593428549</v>
      </c>
      <c r="CC484" s="93"/>
      <c r="CD484" s="93">
        <f>ППД5[[#This Row],[Фикс 02.07.24]]+ППД5[[#This Row],[04.09.2024 +500
0К - Б2; 1К - А3;
2К - А6, Б4, В3, Г5]]</f>
        <v>114184.70593428549</v>
      </c>
      <c r="CE484" s="93">
        <f>ППД5[[#This Row],[Фикс 04.09.24]]*2%</f>
        <v>2283.6941186857098</v>
      </c>
      <c r="CF484" s="93">
        <f>ППД5[[#This Row],[Наценка 16.09.2024
1К: А1,В7,Г6/7,Г8 - 2%
2К: А4,А5,А6,Б1,Б6,Б3/4,В3,В4,Г4,Г5 - 4%
3К: 4%]]+ППД5[[#This Row],[Фикс 04.09.24]]</f>
        <v>116468.40005297121</v>
      </c>
      <c r="CG484" s="93">
        <f>ППД5[[#This Row],[Фикс 16.09.2024]]*5%</f>
        <v>5823.4200026485605</v>
      </c>
      <c r="CH484" s="93">
        <f>ППД5[[#This Row],[Фикс 16.09.2024]]+ППД5[[#This Row],[Наценка 01.11.24
СТ: 4%
1К: 34-40м 5%; 40м+ 8%; МГН 1%
2К: 55-70м 6%; 70-73м 7%; 73-76м 8% 
3К: 5%]]</f>
        <v>122291.82005561977</v>
      </c>
      <c r="CI484" s="93">
        <f>ППД5[[#This Row],[Фикс 01.11.24]]*13%</f>
        <v>15897.936607230571</v>
      </c>
      <c r="CJ484" s="93">
        <f>ППД5[[#This Row],[Наценка 06.11 13%]]+ППД5[[#This Row],[Фикс 01.11.24]]</f>
        <v>138189.75666285033</v>
      </c>
      <c r="CK484" s="93">
        <v>35</v>
      </c>
      <c r="CL484" s="93">
        <f>ППД5[[#This Row],[Фикс 06.11.24]]+ППД5[[#This Row],[Наценка 18.12.24 распределение КВ]]</f>
        <v>138224.75666285033</v>
      </c>
      <c r="CM484" s="93"/>
      <c r="CN484" s="93">
        <f>ППД5[[#This Row],[Фикс 18.12.24]]+ППД5[[#This Row],[Наценка 10.02.25 +1%
1К: А3
2К: Б3, В3]]</f>
        <v>138224.75666285033</v>
      </c>
      <c r="CO484" s="93">
        <f>ROUND(ППД5[[#This Row],[Фикс 10.02.25]],2)</f>
        <v>138224.76</v>
      </c>
      <c r="CP48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5294100</v>
      </c>
      <c r="CQ484" s="93">
        <f>ROUNDUP(ППД5[[#This Row],[Стоимость до скидки]]+ППД5[[#This Row],[Сумма доплаты]],-2)</f>
        <v>5238900</v>
      </c>
      <c r="CR484" s="68"/>
      <c r="CS484" s="90"/>
      <c r="CT484" s="68">
        <f>ППД5[[#This Row],[Стоимость до скидки]]*ППД5[[#This Row],[Скидка %]]+ППД5[[#This Row],[Скидка фиксированная]]</f>
        <v>0</v>
      </c>
      <c r="CU484" s="3">
        <f>ППД5[[#This Row],[Стоимость ОН без отделки со скидкой]]/ППД5[[#This Row],[Расчетная проектная площадь]]</f>
        <v>138227.1540469974</v>
      </c>
      <c r="CV484" s="3">
        <f>ROUND(ППД5[[#This Row],[Стоимость до скидки]]-ППД5[[#This Row],[Итоговая сумма скидки]],2)</f>
        <v>5294100</v>
      </c>
      <c r="CW48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84" s="197"/>
      <c r="CY484" s="332">
        <f>ППД5[[#This Row],[Расхождение]]/ППД5[[#This Row],[Расчетная проектная площадь]]</f>
        <v>-1.0443864229764977E-2</v>
      </c>
      <c r="CZ48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-0.37000000000000099</v>
      </c>
      <c r="DA484" s="3">
        <f>ППД5[[#This Row],[Цена м2 без отделки со скидкой]]+ППД5[[#This Row],[Стоимость отделки]]</f>
        <v>138227.1540469974</v>
      </c>
      <c r="DB484" s="3">
        <f>ППД5[[#This Row],[Стоимость квартиры с отделкой]]-ППД5[[#This Row],[Стоимость ОН без отделки со скидкой]]</f>
        <v>0</v>
      </c>
      <c r="DC484" s="3">
        <f>ППД5[[#This Row],[Цена м2 с отделкой]]*ППД5[[#This Row],[Расчетная проектная площадь]]</f>
        <v>5294100</v>
      </c>
      <c r="DD484" s="3"/>
      <c r="DF484" s="199" t="s">
        <v>157</v>
      </c>
      <c r="DG484" s="245" t="s">
        <v>157</v>
      </c>
      <c r="DH484" s="100" t="b">
        <f>EXACT(ППД5[[#This Row],[Статусы CRM]],ППД5[[#This Row],[Статус]])</f>
        <v>1</v>
      </c>
      <c r="DI484" s="213" t="s">
        <v>656</v>
      </c>
      <c r="DJ484" s="204"/>
      <c r="DK484" s="111" t="s">
        <v>763</v>
      </c>
      <c r="DL484" s="216" t="s">
        <v>12</v>
      </c>
      <c r="DM484" s="201" t="b">
        <f>ППД5[[#This Row],[Отделка CRM]]=ППД5[[#This Row],[Отделка]]</f>
        <v>1</v>
      </c>
      <c r="DN484" s="203">
        <v>5294100</v>
      </c>
      <c r="DO48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84" s="207" t="b">
        <f>IF(AND(ППД5[[#This Row],[Статус]]="свободно",ППД5[[#This Row],[Итоговая сумма скидки]]&lt;&gt;0),FALSE,TRUE)</f>
        <v>1</v>
      </c>
      <c r="DQ484" s="240" t="str">
        <f>_xlfn.XLOOKUP(ППД5[[#This Row],[№]],Юрист[№ кв],Юрист[Дата подачи на регистрацию]," ",0,-1)</f>
        <v xml:space="preserve"> </v>
      </c>
      <c r="DR484" s="115" t="str">
        <f>_xlfn.XLOOKUP(ППД5[[#This Row],[№]],Юрист[№ кв],Юрист[МОП],"",0,-1)</f>
        <v/>
      </c>
      <c r="DS484" s="333" t="s">
        <v>3260</v>
      </c>
      <c r="DT484" s="333" t="s">
        <v>3261</v>
      </c>
      <c r="DU484" s="333">
        <v>36.5</v>
      </c>
      <c r="DV484" s="111"/>
    </row>
    <row r="485" spans="1:126" hidden="1" x14ac:dyDescent="0.25">
      <c r="A485" s="112">
        <v>483</v>
      </c>
      <c r="B485" s="111" t="s">
        <v>2</v>
      </c>
      <c r="C485" s="111">
        <v>12</v>
      </c>
      <c r="D485" s="115">
        <v>7</v>
      </c>
      <c r="E485" s="111">
        <v>3</v>
      </c>
      <c r="F485" s="105">
        <v>14.49</v>
      </c>
      <c r="G485" s="105">
        <v>13.98</v>
      </c>
      <c r="H485" s="105">
        <v>11.42</v>
      </c>
      <c r="I485" s="94">
        <f>SUM(ППД5[[#This Row],[Комната 1]:[Комната 3]])</f>
        <v>39.89</v>
      </c>
      <c r="J485" s="105">
        <v>16.670000000000002</v>
      </c>
      <c r="K485" s="105">
        <v>4.1399999999999997</v>
      </c>
      <c r="L485" s="105">
        <v>1.89</v>
      </c>
      <c r="M485" s="105"/>
      <c r="N485" s="105">
        <v>11.31</v>
      </c>
      <c r="O485" s="105">
        <v>2.86</v>
      </c>
      <c r="P485" s="105">
        <v>2.79</v>
      </c>
      <c r="Q485" s="105">
        <v>5.42</v>
      </c>
      <c r="R485" s="105">
        <f>SUM(ППД5[[#This Row],[Лоджия 1]:[Лоджия 3]])</f>
        <v>11.07</v>
      </c>
      <c r="S485" s="8">
        <f>ROUND(SUM(ППД5[[#This Row],[Площадь по проекту жилая]:[Лоджия 3]]),2)</f>
        <v>84.97</v>
      </c>
      <c r="T485" s="8">
        <f>ROUND(ППД5[[#This Row],[Площадь по проекту(общая)]]-ППД5[[#This Row],[Летние]],2)</f>
        <v>73.900000000000006</v>
      </c>
      <c r="U485" s="91">
        <f>ROUND(ППД5[[#This Row],[Площадь по проекту(общая)]]-(SUM(ППД5[[#This Row],[Лоджия 1]:[Лоджия 3]])/2),2)</f>
        <v>79.44</v>
      </c>
      <c r="V485" s="91">
        <f>IF(ППД5[[#This Row],[Статус]]="продажа",ППД5[[#This Row],[Расчетная проектная площадь]],ППД5[[#This Row],[Расчетная ТП площадь]])</f>
        <v>79.44</v>
      </c>
      <c r="W485" s="91">
        <v>11.4</v>
      </c>
      <c r="X485" s="91">
        <v>14.4</v>
      </c>
      <c r="Y485" s="91">
        <v>14</v>
      </c>
      <c r="Z485" s="91">
        <f>SUM(ППД5[[#This Row],[ТП Комната 1]:[ТП Комната 3]])</f>
        <v>39.799999999999997</v>
      </c>
      <c r="AA485" s="91">
        <v>16.399999999999999</v>
      </c>
      <c r="AB485" s="91">
        <v>1.9</v>
      </c>
      <c r="AC485" s="91">
        <v>4.0999999999999996</v>
      </c>
      <c r="AD485" s="91"/>
      <c r="AE485" s="91">
        <v>11</v>
      </c>
      <c r="AF485" s="91">
        <v>1.45</v>
      </c>
      <c r="AG485" s="91">
        <v>2.65</v>
      </c>
      <c r="AH485" s="91">
        <v>1.35</v>
      </c>
      <c r="AI485" s="91">
        <f>SUM(ППД5[[#This Row],[ТП Лоджия 1]:[ТП Лоджия 3]])</f>
        <v>5.4499999999999993</v>
      </c>
      <c r="AJ485" s="95">
        <v>10.899999999999999</v>
      </c>
      <c r="AK485" s="91">
        <f>SUM(ППД5[[#This Row],[Площадь по ТП жилая]:[ТП Лоджия 3]])-ППД5[[#This Row],[ТП Летние]]+ППД5[[#This Row],[кроме того прочая
(без коэффициента)]]</f>
        <v>84.1</v>
      </c>
      <c r="AL485" s="95">
        <f>ППД5[[#This Row],[ТП Площадь без летних]]+(ППД5[[#This Row],[ТП Летние]])</f>
        <v>78.649999999999991</v>
      </c>
      <c r="AM485" s="91">
        <f>ППД5[[#This Row],[ТП общая S]]-ППД5[[#This Row],[кроме того прочая
(без коэффициента)]]</f>
        <v>73.199999999999989</v>
      </c>
      <c r="AN485" s="95">
        <f>SUM(ППД5[[#This Row],[ТП Кухня]:[ТП Коридор]])</f>
        <v>33.4</v>
      </c>
      <c r="AO485" s="91">
        <f>ППД5[[#This Row],[Расчетная ТП площадь]]-ППД5[[#This Row],[Расчетная проектная площадь]]</f>
        <v>-0.79000000000000625</v>
      </c>
      <c r="AP485" s="335">
        <f>ППД5[[#This Row],[Расчетная ТП площадь]]/ППД5[[#This Row],[Расчетная проектная площадь]]-1</f>
        <v>-9.9446122860020747E-3</v>
      </c>
      <c r="AQ485" s="91">
        <f>ППД5[[#This Row],[% расхождения]]*ППД5[[#This Row],[Стоимость до скидки]]</f>
        <v>-73343.504531722501</v>
      </c>
      <c r="AR485" s="91">
        <f>VLOOKUP(ППД5[[#This Row],[№]],наценкад5[],COLUMN(наценкад5[[#This Row],[Цена м2 с учетом всех K]]),0)</f>
        <v>77803.110000000015</v>
      </c>
      <c r="AS485" s="8">
        <f>ППД5[[#This Row],[м2 после К]]*5%</f>
        <v>3890.1555000000008</v>
      </c>
      <c r="AT485" s="8">
        <f>ППД5[[#This Row],[м2 после К]]+ППД5[[#This Row],[Повышение 16.08.23 - 5%]]</f>
        <v>81693.265500000009</v>
      </c>
      <c r="AU485" s="93">
        <f>ППД5[[#This Row],[Фикс 16.08.23]]*3%</f>
        <v>2450.7979650000002</v>
      </c>
      <c r="AV485" s="93">
        <f>ППД5[[#This Row],[Фикс 16.08.23]]+ППД5[[#This Row],[Повышение 29.08.23 - 3%]]</f>
        <v>84144.063465000014</v>
      </c>
      <c r="AW485" s="93"/>
      <c r="AX485" s="93">
        <f>ППД5[[#This Row],[Фикс 29.08.23]]+ППД5[[#This Row],[Повышение 06.09.23 СТ и 1К]]</f>
        <v>84144.063465000014</v>
      </c>
      <c r="AY485" s="93"/>
      <c r="AZ485" s="93">
        <f>ППД5[[#This Row],[Повышение 23.10.23  В4 ]]+ППД5[[#This Row],[Фикс 06.09.23]]</f>
        <v>84144.063465000014</v>
      </c>
      <c r="BA485" s="93"/>
      <c r="BB485" s="93">
        <f>ППД5[[#This Row],[Повышение 8.11.23 1К 5%]]+ППД5[[#This Row],[Фикс 23.10.23]]</f>
        <v>84144.063465000014</v>
      </c>
      <c r="BC485" s="93"/>
      <c r="BD485" s="93">
        <f>ППД5[[#This Row],[Корректировка 24.11.23 - 1К В5, 2К А2, №233]]+ППД5[[#This Row],[Фикс 8.11.23]]</f>
        <v>84144.063465000014</v>
      </c>
      <c r="BE485" s="93">
        <f>ППД5[[#This Row],[Фикс 8.11.24]]*1%</f>
        <v>841.44063465000011</v>
      </c>
      <c r="BF485" s="93">
        <f>ППД5[[#This Row],[Наценка за отделку 29.12.23 1%]]+ППД5[[#This Row],[Фикс 8.11.24]]</f>
        <v>84985.504099650017</v>
      </c>
      <c r="BG485" s="93">
        <f>ППД5[[#This Row],[Фикс 29.12.23]]*5%</f>
        <v>4249.2752049825012</v>
      </c>
      <c r="BH485" s="93">
        <f>ППД5[[#This Row],[Фикс 29.12.23]]+ППД5[[#This Row],[Наценка 10.01.24 5%]]</f>
        <v>89234.779304632524</v>
      </c>
      <c r="BI485" s="93"/>
      <c r="BJ485" s="93">
        <f>ППД5[[#This Row],[Наценка 26.02.24 1 Этаж]]+ППД5[[#This Row],[Фикс 10.01.24]]</f>
        <v>89234.779304632524</v>
      </c>
      <c r="BK485" s="93">
        <f>ППД5[[#This Row],[Фикс 26.02.24]]*2%</f>
        <v>1784.6955860926505</v>
      </c>
      <c r="BL485" s="93">
        <f>ППД5[[#This Row],[Фикс 26.02.24]]+ППД5[[#This Row],[Наценка 06.03.24
СТ, 1К - 3%
2К, 3К - 2%]]</f>
        <v>91019.474890725178</v>
      </c>
      <c r="BM485" s="93"/>
      <c r="BN485" s="93">
        <f>ППД5[[#This Row],[Фикс 06.03.24]]+ППД5[[#This Row],[Наценка Г2+500]]</f>
        <v>91019.474890725178</v>
      </c>
      <c r="BO485" s="93">
        <f>ППД5[[#This Row],[Фикс 13.03.25]]*2%</f>
        <v>1820.3894978145036</v>
      </c>
      <c r="BP485" s="93">
        <f>ППД5[[#This Row],[Фикс 13.03.25]]+ППД5[[#This Row],[Наценка 20.03.24
2К, 3К - 2%]]</f>
        <v>92839.864388539689</v>
      </c>
      <c r="BQ485" s="93"/>
      <c r="BR485" s="93">
        <f>ППД5[[#This Row],[Фикс 20.03.24]]+ППД5[[#This Row],[Наценка 08.04.24 
2К: В3 - 150
3К: Г7 +1000]]</f>
        <v>92839.864388539689</v>
      </c>
      <c r="BS485" s="93"/>
      <c r="BT485" s="93">
        <f>ППД5[[#This Row],[Фикс 08.04.24]]+ППД5[[#This Row],[Наценка 16.05.24 1%
А4,А6,Б3,Б6,Б7,В2,В3,В5,В6,Г1,Г3-Г5]]</f>
        <v>92839.864388539689</v>
      </c>
      <c r="BU485" s="93"/>
      <c r="BV485" s="93">
        <f>ППД5[[#This Row],[Фикс 16.05.24]]+ППД5[[#This Row],[Наценка 24.05.24
1% - Б4, Б5,Г2,Г6
2% - А1,А3,А5,Б2,Г7]]</f>
        <v>92839.864388539689</v>
      </c>
      <c r="BW485" s="93"/>
      <c r="BX485" s="93">
        <f>ППД5[[#This Row],[Наценка 06.06.24
0К: В2,Г3 +0,5%
1К: А7, Б5/4, Г6 +0,5%
3К: В6 +0,5%
1К: А3 +1%]]+ППД5[[#This Row],[Фикс 24.05.24]]</f>
        <v>92839.864388539689</v>
      </c>
      <c r="BY485" s="93"/>
      <c r="BZ485" s="93">
        <f>ППД5[[#This Row],[Фикс 06.06.24]]+ППД5[[#This Row],[13.06.2024
3К - 2%]]</f>
        <v>92839.864388539689</v>
      </c>
      <c r="CA485" s="93"/>
      <c r="CB485" s="93">
        <f>ППД5[[#This Row],[02.07.2024: Г3 А1 А3 Б5 Б7 Г2 Г6 Б3 Б4 В3 Г7 2,5% ост 0,5-1,5%]]+ППД5[[#This Row],[Фикс 13.06.24]]</f>
        <v>92839.864388539689</v>
      </c>
      <c r="CC485" s="93"/>
      <c r="CD485" s="93">
        <f>ППД5[[#This Row],[Фикс 02.07.24]]+ППД5[[#This Row],[04.09.2024 +500
0К - Б2; 1К - А3;
2К - А6, Б4, В3, Г5]]</f>
        <v>92839.864388539689</v>
      </c>
      <c r="CE485" s="93"/>
      <c r="CF485" s="93">
        <f>ППД5[[#This Row],[Наценка 16.09.2024
1К: А1,В7,Г6/7,Г8 - 2%
2К: А4,А5,А6,Б1,Б6,Б3/4,В3,В4,Г4,Г5 - 4%
3К: 4%]]+ППД5[[#This Row],[Фикс 04.09.24]]</f>
        <v>92839.864388539689</v>
      </c>
      <c r="CG485" s="93"/>
      <c r="CH485" s="93">
        <f>ППД5[[#This Row],[Фикс 16.09.2024]]+ППД5[[#This Row],[Наценка 01.11.24
СТ: 4%
1К: 34-40м 5%; 40м+ 8%; МГН 1%
2К: 55-70м 6%; 70-73м 7%; 73-76м 8% 
3К: 5%]]</f>
        <v>92839.864388539689</v>
      </c>
      <c r="CI485" s="93"/>
      <c r="CJ485" s="93">
        <f>ППД5[[#This Row],[Наценка 06.11 13%]]+ППД5[[#This Row],[Фикс 01.11.24]]</f>
        <v>92839.864388539689</v>
      </c>
      <c r="CK485" s="93"/>
      <c r="CL485" s="93">
        <f>ППД5[[#This Row],[Фикс 06.11.24]]+ППД5[[#This Row],[Наценка 18.12.24 распределение КВ]]</f>
        <v>92839.864388539689</v>
      </c>
      <c r="CM485" s="93"/>
      <c r="CN485" s="93">
        <f>ППД5[[#This Row],[Фикс 18.12.24]]+ППД5[[#This Row],[Наценка 10.02.25 +1%
1К: А3
2К: Б3, В3]]</f>
        <v>92839.864388539689</v>
      </c>
      <c r="CO485" s="93">
        <f>ROUND(ППД5[[#This Row],[Фикс 10.02.25]],2)</f>
        <v>92839.86</v>
      </c>
      <c r="CP48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7375200</v>
      </c>
      <c r="CQ485" s="93">
        <f>ROUNDUP(ППД5[[#This Row],[Стоимость до скидки]]+ППД5[[#This Row],[Сумма доплаты]],-2)</f>
        <v>7301900</v>
      </c>
      <c r="CR485" s="68">
        <v>90000</v>
      </c>
      <c r="CS485" s="90"/>
      <c r="CT485" s="68">
        <f>ППД5[[#This Row],[Стоимость до скидки]]*ППД5[[#This Row],[Скидка %]]+ППД5[[#This Row],[Скидка фиксированная]]</f>
        <v>90000</v>
      </c>
      <c r="CU485" s="3">
        <f>ППД5[[#This Row],[Стоимость ОН без отделки со скидкой]]/ППД5[[#This Row],[Расчетная проектная площадь]]</f>
        <v>91706.948640483388</v>
      </c>
      <c r="CV485" s="3">
        <f>ROUND(ППД5[[#This Row],[Стоимость до скидки]]-ППД5[[#This Row],[Итоговая сумма скидки]],2)</f>
        <v>7285200</v>
      </c>
      <c r="CW48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85" s="197"/>
      <c r="CY485" s="332">
        <f>ППД5[[#This Row],[Расхождение]]/ППД5[[#This Row],[Расчетная проектная площадь]]</f>
        <v>-9.9446122860020938E-3</v>
      </c>
      <c r="CZ48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-0.61000000000000654</v>
      </c>
      <c r="DA485" s="3">
        <f>ППД5[[#This Row],[Цена м2 без отделки со скидкой]]+ППД5[[#This Row],[Стоимость отделки]]</f>
        <v>91706.948640483388</v>
      </c>
      <c r="DB485" s="3">
        <f>ППД5[[#This Row],[Стоимость квартиры с отделкой]]-ППД5[[#This Row],[Стоимость ОН без отделки со скидкой]]</f>
        <v>0</v>
      </c>
      <c r="DC485" s="3">
        <f>ППД5[[#This Row],[Цена м2 с отделкой]]*ППД5[[#This Row],[Расчетная проектная площадь]]</f>
        <v>7285200</v>
      </c>
      <c r="DD485" s="3" t="s">
        <v>155</v>
      </c>
      <c r="DE485" s="111" t="s">
        <v>791</v>
      </c>
      <c r="DF485" s="199" t="s">
        <v>172</v>
      </c>
      <c r="DG485" s="245" t="s">
        <v>172</v>
      </c>
      <c r="DH485" s="100" t="b">
        <f>EXACT(ППД5[[#This Row],[Статусы CRM]],ППД5[[#This Row],[Статус]])</f>
        <v>1</v>
      </c>
      <c r="DI485" s="213" t="s">
        <v>657</v>
      </c>
      <c r="DJ485" s="204"/>
      <c r="DK485" s="111" t="s">
        <v>763</v>
      </c>
      <c r="DL485" s="216" t="s">
        <v>12</v>
      </c>
      <c r="DM485" s="201" t="b">
        <f>ППД5[[#This Row],[Отделка CRM]]=ППД5[[#This Row],[Отделка]]</f>
        <v>1</v>
      </c>
      <c r="DN485" s="203">
        <v>7285200</v>
      </c>
      <c r="DO48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85" s="207" t="b">
        <f>IF(AND(ППД5[[#This Row],[Статус]]="свободно",ППД5[[#This Row],[Итоговая сумма скидки]]&lt;&gt;0),FALSE,TRUE)</f>
        <v>1</v>
      </c>
      <c r="DQ485" s="240">
        <f>_xlfn.XLOOKUP(ППД5[[#This Row],[№]],Юрист[№ кв],Юрист[Дата подачи на регистрацию]," ",0,-1)</f>
        <v>45408</v>
      </c>
      <c r="DR485" s="115" t="str">
        <f>_xlfn.XLOOKUP(ППД5[[#This Row],[№]],Юрист[№ кв],Юрист[МОП],"",0,-1)</f>
        <v>Полехович</v>
      </c>
      <c r="DS485" s="333" t="s">
        <v>3262</v>
      </c>
      <c r="DT485" s="333" t="s">
        <v>3263</v>
      </c>
      <c r="DU485" s="333">
        <v>73.2</v>
      </c>
      <c r="DV485" s="111"/>
    </row>
    <row r="486" spans="1:126" hidden="1" x14ac:dyDescent="0.25">
      <c r="A486" s="112">
        <v>484</v>
      </c>
      <c r="B486" s="111" t="s">
        <v>2</v>
      </c>
      <c r="C486" s="111">
        <v>12</v>
      </c>
      <c r="D486" s="115">
        <v>8</v>
      </c>
      <c r="E486" s="111">
        <v>1</v>
      </c>
      <c r="F486" s="105">
        <v>16.79</v>
      </c>
      <c r="G486" s="105"/>
      <c r="H486" s="105"/>
      <c r="I486" s="94">
        <f>SUM(ППД5[[#This Row],[Комната 1]:[Комната 3]])</f>
        <v>16.79</v>
      </c>
      <c r="J486" s="105">
        <v>11.43</v>
      </c>
      <c r="K486" s="105">
        <v>3.56</v>
      </c>
      <c r="L486" s="105"/>
      <c r="M486" s="105"/>
      <c r="N486" s="105">
        <v>6.66</v>
      </c>
      <c r="O486" s="105">
        <v>2.4900000000000002</v>
      </c>
      <c r="P486" s="105"/>
      <c r="Q486" s="105"/>
      <c r="R486" s="105">
        <f>SUM(ППД5[[#This Row],[Лоджия 1]:[Лоджия 3]])</f>
        <v>2.4900000000000002</v>
      </c>
      <c r="S486" s="8">
        <f>ROUND(SUM(ППД5[[#This Row],[Площадь по проекту жилая]:[Лоджия 3]]),2)</f>
        <v>40.93</v>
      </c>
      <c r="T486" s="8">
        <f>ROUND(ППД5[[#This Row],[Площадь по проекту(общая)]]-ППД5[[#This Row],[Летние]],2)</f>
        <v>38.44</v>
      </c>
      <c r="U486" s="91">
        <f>ROUND(ППД5[[#This Row],[Площадь по проекту(общая)]]-(SUM(ППД5[[#This Row],[Лоджия 1]:[Лоджия 3]])/2),2)</f>
        <v>39.69</v>
      </c>
      <c r="V486" s="91">
        <f>IF(ППД5[[#This Row],[Статус]]="продажа",ППД5[[#This Row],[Расчетная проектная площадь]],ППД5[[#This Row],[Расчетная ТП площадь]])</f>
        <v>39.69</v>
      </c>
      <c r="W486" s="91">
        <v>16.7</v>
      </c>
      <c r="X486" s="91"/>
      <c r="Y486" s="91"/>
      <c r="Z486" s="91">
        <f>SUM(ППД5[[#This Row],[ТП Комната 1]:[ТП Комната 3]])</f>
        <v>16.7</v>
      </c>
      <c r="AA486" s="91">
        <v>11.3</v>
      </c>
      <c r="AB486" s="91">
        <v>3.5</v>
      </c>
      <c r="AC486" s="91"/>
      <c r="AD486" s="91"/>
      <c r="AE486" s="91">
        <v>6.7</v>
      </c>
      <c r="AF486" s="92">
        <v>1.25</v>
      </c>
      <c r="AG486" s="91"/>
      <c r="AH486" s="91"/>
      <c r="AI486" s="91">
        <f>SUM(ППД5[[#This Row],[ТП Лоджия 1]:[ТП Лоджия 3]])</f>
        <v>1.25</v>
      </c>
      <c r="AJ486" s="95">
        <v>2.5</v>
      </c>
      <c r="AK486" s="91">
        <f>SUM(ППД5[[#This Row],[Площадь по ТП жилая]:[ТП Лоджия 3]])-ППД5[[#This Row],[ТП Летние]]+ППД5[[#This Row],[кроме того прочая
(без коэффициента)]]</f>
        <v>40.700000000000003</v>
      </c>
      <c r="AL486" s="95">
        <f>ППД5[[#This Row],[ТП Площадь без летних]]+(ППД5[[#This Row],[ТП Летние]])</f>
        <v>39.450000000000003</v>
      </c>
      <c r="AM486" s="91">
        <f>ППД5[[#This Row],[ТП общая S]]-ППД5[[#This Row],[кроме того прочая
(без коэффициента)]]</f>
        <v>38.200000000000003</v>
      </c>
      <c r="AN486" s="95">
        <f>SUM(ППД5[[#This Row],[ТП Кухня]:[ТП Коридор]])</f>
        <v>21.5</v>
      </c>
      <c r="AO486" s="91">
        <f>ППД5[[#This Row],[Расчетная ТП площадь]]-ППД5[[#This Row],[Расчетная проектная площадь]]</f>
        <v>-0.23999999999999488</v>
      </c>
      <c r="AP486" s="335">
        <f>ППД5[[#This Row],[Расчетная ТП площадь]]/ППД5[[#This Row],[Расчетная проектная площадь]]-1</f>
        <v>-6.0468631897202529E-3</v>
      </c>
      <c r="AQ486" s="91">
        <f>ППД5[[#This Row],[% расхождения]]*ППД5[[#This Row],[Стоимость до скидки]]</f>
        <v>-23431.034376416927</v>
      </c>
      <c r="AR486" s="91">
        <f>VLOOKUP(ППД5[[#This Row],[№]],наценкад5[],COLUMN(наценкад5[[#This Row],[Цена м2 с учетом всех K]]),0)</f>
        <v>86384.8125</v>
      </c>
      <c r="AS486" s="8">
        <f>ППД5[[#This Row],[м2 после К]]*5%</f>
        <v>4319.2406250000004</v>
      </c>
      <c r="AT486" s="8">
        <f>ППД5[[#This Row],[м2 после К]]+ППД5[[#This Row],[Повышение 16.08.23 - 5%]]</f>
        <v>90704.053125000006</v>
      </c>
      <c r="AU486" s="93">
        <f>ППД5[[#This Row],[Фикс 16.08.23]]*3%</f>
        <v>2721.1215937500001</v>
      </c>
      <c r="AV486" s="93">
        <f>ППД5[[#This Row],[Фикс 16.08.23]]+ППД5[[#This Row],[Повышение 29.08.23 - 3%]]</f>
        <v>93425.17471875</v>
      </c>
      <c r="AW486" s="93">
        <f>ППД5[[#This Row],[Фикс 29.08.23]]*4.5%</f>
        <v>4204.1328623437503</v>
      </c>
      <c r="AX486" s="93">
        <f>ППД5[[#This Row],[Фикс 29.08.23]]+ППД5[[#This Row],[Повышение 06.09.23 СТ и 1К]]</f>
        <v>97629.307581093744</v>
      </c>
      <c r="AY486" s="93"/>
      <c r="AZ486" s="93">
        <f>ППД5[[#This Row],[Повышение 23.10.23  В4 ]]+ППД5[[#This Row],[Фикс 06.09.23]]</f>
        <v>97629.307581093744</v>
      </c>
      <c r="BA486" s="93"/>
      <c r="BB486" s="93">
        <f>ППД5[[#This Row],[Повышение 8.11.23 1К 5%]]+ППД5[[#This Row],[Фикс 23.10.23]]</f>
        <v>97629.307581093744</v>
      </c>
      <c r="BC486" s="93"/>
      <c r="BD486" s="93">
        <f>ППД5[[#This Row],[Корректировка 24.11.23 - 1К В5, 2К А2, №233]]+ППД5[[#This Row],[Фикс 8.11.23]]</f>
        <v>97629.307581093744</v>
      </c>
      <c r="BE486" s="93"/>
      <c r="BF486" s="93">
        <f>ППД5[[#This Row],[Наценка за отделку 29.12.23 1%]]+ППД5[[#This Row],[Фикс 8.11.24]]</f>
        <v>97629.307581093744</v>
      </c>
      <c r="BG486" s="93"/>
      <c r="BH486" s="93">
        <f>ППД5[[#This Row],[Фикс 29.12.23]]+ППД5[[#This Row],[Наценка 10.01.24 5%]]</f>
        <v>97629.307581093744</v>
      </c>
      <c r="BI486" s="93"/>
      <c r="BJ486" s="93">
        <f>ППД5[[#This Row],[Наценка 26.02.24 1 Этаж]]+ППД5[[#This Row],[Фикс 10.01.24]]</f>
        <v>97629.307581093744</v>
      </c>
      <c r="BK486" s="93"/>
      <c r="BL486" s="93">
        <f>ППД5[[#This Row],[Фикс 26.02.24]]+ППД5[[#This Row],[Наценка 06.03.24
СТ, 1К - 3%
2К, 3К - 2%]]</f>
        <v>97629.307581093744</v>
      </c>
      <c r="BM486" s="93"/>
      <c r="BN486" s="93">
        <f>ППД5[[#This Row],[Фикс 06.03.24]]+ППД5[[#This Row],[Наценка Г2+500]]</f>
        <v>97629.307581093744</v>
      </c>
      <c r="BO486" s="93"/>
      <c r="BP486" s="93">
        <f>ППД5[[#This Row],[Фикс 13.03.25]]+ППД5[[#This Row],[Наценка 20.03.24
2К, 3К - 2%]]</f>
        <v>97629.307581093744</v>
      </c>
      <c r="BQ486" s="93"/>
      <c r="BR486" s="93">
        <f>ППД5[[#This Row],[Фикс 20.03.24]]+ППД5[[#This Row],[Наценка 08.04.24 
2К: В3 - 150
3К: Г7 +1000]]</f>
        <v>97629.307581093744</v>
      </c>
      <c r="BS486" s="93"/>
      <c r="BT486" s="93">
        <f>ППД5[[#This Row],[Фикс 08.04.24]]+ППД5[[#This Row],[Наценка 16.05.24 1%
А4,А6,Б3,Б6,Б7,В2,В3,В5,В6,Г1,Г3-Г5]]</f>
        <v>97629.307581093744</v>
      </c>
      <c r="BU486" s="93"/>
      <c r="BV486" s="93">
        <f>ППД5[[#This Row],[Фикс 16.05.24]]+ППД5[[#This Row],[Наценка 24.05.24
1% - Б4, Б5,Г2,Г6
2% - А1,А3,А5,Б2,Г7]]</f>
        <v>97629.307581093744</v>
      </c>
      <c r="BW486" s="93"/>
      <c r="BX486" s="93">
        <f>ППД5[[#This Row],[Наценка 06.06.24
0К: В2,Г3 +0,5%
1К: А7, Б5/4, Г6 +0,5%
3К: В6 +0,5%
1К: А3 +1%]]+ППД5[[#This Row],[Фикс 24.05.24]]</f>
        <v>97629.307581093744</v>
      </c>
      <c r="BY486" s="93"/>
      <c r="BZ486" s="93">
        <f>ППД5[[#This Row],[Фикс 06.06.24]]+ППД5[[#This Row],[13.06.2024
3К - 2%]]</f>
        <v>97629.307581093744</v>
      </c>
      <c r="CA486" s="93"/>
      <c r="CB486" s="93">
        <f>ППД5[[#This Row],[02.07.2024: Г3 А1 А3 Б5 Б7 Г2 Г6 Б3 Б4 В3 Г7 2,5% ост 0,5-1,5%]]+ППД5[[#This Row],[Фикс 13.06.24]]</f>
        <v>97629.307581093744</v>
      </c>
      <c r="CC486" s="93"/>
      <c r="CD486" s="93">
        <f>ППД5[[#This Row],[Фикс 02.07.24]]+ППД5[[#This Row],[04.09.2024 +500
0К - Б2; 1К - А3;
2К - А6, Б4, В3, Г5]]</f>
        <v>97629.307581093744</v>
      </c>
      <c r="CE486" s="93"/>
      <c r="CF486" s="93">
        <f>ППД5[[#This Row],[Наценка 16.09.2024
1К: А1,В7,Г6/7,Г8 - 2%
2К: А4,А5,А6,Б1,Б6,Б3/4,В3,В4,Г4,Г5 - 4%
3К: 4%]]+ППД5[[#This Row],[Фикс 04.09.24]]</f>
        <v>97629.307581093744</v>
      </c>
      <c r="CG486" s="93"/>
      <c r="CH486" s="93">
        <f>ППД5[[#This Row],[Фикс 16.09.2024]]+ППД5[[#This Row],[Наценка 01.11.24
СТ: 4%
1К: 34-40м 5%; 40м+ 8%; МГН 1%
2К: 55-70м 6%; 70-73м 7%; 73-76м 8% 
3К: 5%]]</f>
        <v>97629.307581093744</v>
      </c>
      <c r="CI486" s="93"/>
      <c r="CJ486" s="93">
        <f>ППД5[[#This Row],[Наценка 06.11 13%]]+ППД5[[#This Row],[Фикс 01.11.24]]</f>
        <v>97629.307581093744</v>
      </c>
      <c r="CK486" s="93"/>
      <c r="CL486" s="93">
        <f>ППД5[[#This Row],[Фикс 06.11.24]]+ППД5[[#This Row],[Наценка 18.12.24 распределение КВ]]</f>
        <v>97629.307581093744</v>
      </c>
      <c r="CM486" s="93"/>
      <c r="CN486" s="93">
        <f>ППД5[[#This Row],[Фикс 18.12.24]]+ППД5[[#This Row],[Наценка 10.02.25 +1%
1К: А3
2К: Б3, В3]]</f>
        <v>97629.307581093744</v>
      </c>
      <c r="CO486" s="93">
        <f>ROUND(ППД5[[#This Row],[Фикс 10.02.25]],2)</f>
        <v>97629.31</v>
      </c>
      <c r="CP48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3874907.31</v>
      </c>
      <c r="CQ486" s="93">
        <f>ROUNDUP(ППД5[[#This Row],[Стоимость до скидки]]+ППД5[[#This Row],[Сумма доплаты]],-2)</f>
        <v>3851500</v>
      </c>
      <c r="CR486" s="68"/>
      <c r="CS486" s="90"/>
      <c r="CT486" s="68">
        <f>ППД5[[#This Row],[Стоимость до скидки]]*ППД5[[#This Row],[Скидка %]]+ППД5[[#This Row],[Скидка фиксированная]]</f>
        <v>0</v>
      </c>
      <c r="CU486" s="3">
        <f>ППД5[[#This Row],[Стоимость ОН без отделки со скидкой]]/ППД5[[#This Row],[Расчетная проектная площадь]]</f>
        <v>97629.309901738481</v>
      </c>
      <c r="CV486" s="3">
        <f>ROUND(ППД5[[#This Row],[Стоимость до скидки]]-ППД5[[#This Row],[Итоговая сумма скидки]],2)</f>
        <v>3874907.31</v>
      </c>
      <c r="CW48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86" s="197"/>
      <c r="CY486" s="332">
        <f>ППД5[[#This Row],[Расхождение]]/ППД5[[#This Row],[Расчетная проектная площадь]]</f>
        <v>-6.0468631897202044E-3</v>
      </c>
      <c r="CZ48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-0.15000000000000036</v>
      </c>
      <c r="DA486" s="3">
        <f>ППД5[[#This Row],[Цена м2 без отделки со скидкой]]+ППД5[[#This Row],[Стоимость отделки]]</f>
        <v>97629.309901738481</v>
      </c>
      <c r="DB486" s="3">
        <f>ППД5[[#This Row],[Стоимость квартиры с отделкой]]-ППД5[[#This Row],[Стоимость ОН без отделки со скидкой]]</f>
        <v>0</v>
      </c>
      <c r="DC486" s="3">
        <f>ППД5[[#This Row],[Цена м2 с отделкой]]*ППД5[[#This Row],[Расчетная проектная площадь]]</f>
        <v>3874907.31</v>
      </c>
      <c r="DD486" s="3"/>
      <c r="DF486" s="199" t="s">
        <v>172</v>
      </c>
      <c r="DG486" s="245" t="s">
        <v>172</v>
      </c>
      <c r="DH486" s="100" t="b">
        <f>EXACT(ППД5[[#This Row],[Статусы CRM]],ППД5[[#This Row],[Статус]])</f>
        <v>1</v>
      </c>
      <c r="DI486" s="213" t="s">
        <v>658</v>
      </c>
      <c r="DJ486" s="204"/>
      <c r="DK486" s="111" t="s">
        <v>76</v>
      </c>
      <c r="DL486" s="216" t="s">
        <v>12</v>
      </c>
      <c r="DM486" s="201" t="b">
        <f>ППД5[[#This Row],[Отделка CRM]]=ППД5[[#This Row],[Отделка]]</f>
        <v>1</v>
      </c>
      <c r="DN486" s="203">
        <v>3874907.31</v>
      </c>
      <c r="DO48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86" s="207" t="b">
        <f>IF(AND(ППД5[[#This Row],[Статус]]="свободно",ППД5[[#This Row],[Итоговая сумма скидки]]&lt;&gt;0),FALSE,TRUE)</f>
        <v>1</v>
      </c>
      <c r="DQ486" s="240">
        <f>_xlfn.XLOOKUP(ППД5[[#This Row],[№]],Юрист[№ кв],Юрист[Дата подачи на регистрацию]," ",0,-1)</f>
        <v>45230</v>
      </c>
      <c r="DR486" s="115" t="str">
        <f>_xlfn.XLOOKUP(ППД5[[#This Row],[№]],Юрист[№ кв],Юрист[МОП],"",0,-1)</f>
        <v>Дик</v>
      </c>
      <c r="DS486" s="333" t="s">
        <v>3264</v>
      </c>
      <c r="DT486" s="333" t="s">
        <v>3265</v>
      </c>
      <c r="DU486" s="333">
        <v>38.200000000000003</v>
      </c>
      <c r="DV486" s="111"/>
    </row>
    <row r="487" spans="1:126" hidden="1" x14ac:dyDescent="0.25">
      <c r="A487" s="112">
        <v>485</v>
      </c>
      <c r="B487" s="111" t="s">
        <v>2</v>
      </c>
      <c r="C487" s="111">
        <v>13</v>
      </c>
      <c r="D487" s="338">
        <v>1</v>
      </c>
      <c r="E487" s="111">
        <v>0</v>
      </c>
      <c r="F487" s="105">
        <v>13.74</v>
      </c>
      <c r="G487" s="105"/>
      <c r="H487" s="105"/>
      <c r="I487" s="94">
        <f>SUM(ППД5[[#This Row],[Комната 1]:[Комната 3]])</f>
        <v>13.74</v>
      </c>
      <c r="J487" s="105">
        <v>5.84</v>
      </c>
      <c r="K487" s="105">
        <v>3.76</v>
      </c>
      <c r="L487" s="105"/>
      <c r="M487" s="105"/>
      <c r="N487" s="105">
        <v>3.73</v>
      </c>
      <c r="O487" s="105">
        <v>4.6500000000000004</v>
      </c>
      <c r="P487" s="105"/>
      <c r="Q487" s="105"/>
      <c r="R487" s="105">
        <f>SUM(ППД5[[#This Row],[Лоджия 1]:[Лоджия 3]])</f>
        <v>4.6500000000000004</v>
      </c>
      <c r="S487" s="8">
        <f>ROUND(SUM(ППД5[[#This Row],[Площадь по проекту жилая]:[Лоджия 3]]),2)</f>
        <v>31.72</v>
      </c>
      <c r="T487" s="8">
        <f>ROUND(ППД5[[#This Row],[Площадь по проекту(общая)]]-ППД5[[#This Row],[Летние]],2)</f>
        <v>27.07</v>
      </c>
      <c r="U487" s="91">
        <f>ROUND(ППД5[[#This Row],[Площадь по проекту(общая)]]-(SUM(ППД5[[#This Row],[Лоджия 1]:[Лоджия 3]])/2),2)</f>
        <v>29.4</v>
      </c>
      <c r="V487" s="91">
        <f>IF(ППД5[[#This Row],[Статус]]="продажа",ППД5[[#This Row],[Расчетная проектная площадь]],ППД5[[#This Row],[Расчетная ТП площадь]])</f>
        <v>29.4</v>
      </c>
      <c r="W487" s="91">
        <v>13.7</v>
      </c>
      <c r="X487" s="91"/>
      <c r="Y487" s="91"/>
      <c r="Z487" s="91">
        <f>SUM(ППД5[[#This Row],[ТП Комната 1]:[ТП Комната 3]])</f>
        <v>13.7</v>
      </c>
      <c r="AA487" s="91">
        <v>5.8</v>
      </c>
      <c r="AB487" s="91">
        <v>3.6</v>
      </c>
      <c r="AC487" s="91"/>
      <c r="AD487" s="91"/>
      <c r="AE487" s="91">
        <v>3.8</v>
      </c>
      <c r="AF487" s="91">
        <v>2.2999999999999998</v>
      </c>
      <c r="AG487" s="91"/>
      <c r="AH487" s="91"/>
      <c r="AI487" s="91">
        <f>SUM(ППД5[[#This Row],[ТП Лоджия 1]:[ТП Лоджия 3]])</f>
        <v>2.2999999999999998</v>
      </c>
      <c r="AJ487" s="95">
        <v>4.5999999999999996</v>
      </c>
      <c r="AK487" s="91">
        <f>SUM(ППД5[[#This Row],[Площадь по ТП жилая]:[ТП Лоджия 3]])-ППД5[[#This Row],[ТП Летние]]+ППД5[[#This Row],[кроме того прочая
(без коэффициента)]]</f>
        <v>31.5</v>
      </c>
      <c r="AL487" s="95">
        <f>ППД5[[#This Row],[ТП Площадь без летних]]+(ППД5[[#This Row],[ТП Летние]])</f>
        <v>29.2</v>
      </c>
      <c r="AM487" s="91">
        <f>ППД5[[#This Row],[ТП общая S]]-ППД5[[#This Row],[кроме того прочая
(без коэффициента)]]</f>
        <v>26.9</v>
      </c>
      <c r="AN487" s="95">
        <f>SUM(ППД5[[#This Row],[ТП Кухня]:[ТП Коридор]])</f>
        <v>13.2</v>
      </c>
      <c r="AO487" s="91">
        <f>ППД5[[#This Row],[Расчетная ТП площадь]]-ППД5[[#This Row],[Расчетная проектная площадь]]</f>
        <v>-0.19999999999999929</v>
      </c>
      <c r="AP487" s="335">
        <f>ППД5[[#This Row],[Расчетная ТП площадь]]/ППД5[[#This Row],[Расчетная проектная площадь]]-1</f>
        <v>-6.8027210884353817E-3</v>
      </c>
      <c r="AQ487" s="91">
        <f>ППД5[[#This Row],[% расхождения]]*ППД5[[#This Row],[Стоимость до скидки]]</f>
        <v>-17870.705986394576</v>
      </c>
      <c r="AR487" s="91">
        <f>VLOOKUP(ППД5[[#This Row],[№]],наценкад5[],COLUMN(наценкад5[[#This Row],[Цена м2 с учетом всех K]]),0)</f>
        <v>89353.53</v>
      </c>
      <c r="AS487" s="8"/>
      <c r="AT487" s="8">
        <f>ППД5[[#This Row],[м2 после К]]+ППД5[[#This Row],[Повышение 16.08.23 - 5%]]</f>
        <v>89353.53</v>
      </c>
      <c r="AU487" s="93"/>
      <c r="AV487" s="93">
        <f>ППД5[[#This Row],[Фикс 16.08.23]]+ППД5[[#This Row],[Повышение 29.08.23 - 3%]]</f>
        <v>89353.53</v>
      </c>
      <c r="AW487" s="93"/>
      <c r="AX487" s="93">
        <f>ППД5[[#This Row],[Фикс 29.08.23]]+ППД5[[#This Row],[Повышение 06.09.23 СТ и 1К]]</f>
        <v>89353.53</v>
      </c>
      <c r="AY487" s="93"/>
      <c r="AZ487" s="93">
        <f>ППД5[[#This Row],[Повышение 23.10.23  В4 ]]+ППД5[[#This Row],[Фикс 06.09.23]]</f>
        <v>89353.53</v>
      </c>
      <c r="BA487" s="93"/>
      <c r="BB487" s="93">
        <f>ППД5[[#This Row],[Повышение 8.11.23 1К 5%]]+ППД5[[#This Row],[Фикс 23.10.23]]</f>
        <v>89353.53</v>
      </c>
      <c r="BC487" s="93"/>
      <c r="BD487" s="93">
        <f>ППД5[[#This Row],[Корректировка 24.11.23 - 1К В5, 2К А2, №233]]+ППД5[[#This Row],[Фикс 8.11.23]]</f>
        <v>89353.53</v>
      </c>
      <c r="BE487" s="93"/>
      <c r="BF487" s="93">
        <f>ППД5[[#This Row],[Наценка за отделку 29.12.23 1%]]+ППД5[[#This Row],[Фикс 8.11.24]]</f>
        <v>89353.53</v>
      </c>
      <c r="BG487" s="93"/>
      <c r="BH487" s="93">
        <f>ППД5[[#This Row],[Фикс 29.12.23]]+ППД5[[#This Row],[Наценка 10.01.24 5%]]</f>
        <v>89353.53</v>
      </c>
      <c r="BI487" s="93"/>
      <c r="BJ487" s="93">
        <f>ППД5[[#This Row],[Наценка 26.02.24 1 Этаж]]+ППД5[[#This Row],[Фикс 10.01.24]]</f>
        <v>89353.53</v>
      </c>
      <c r="BK487" s="93"/>
      <c r="BL487" s="93">
        <f>ППД5[[#This Row],[Фикс 26.02.24]]+ППД5[[#This Row],[Наценка 06.03.24
СТ, 1К - 3%
2К, 3К - 2%]]</f>
        <v>89353.53</v>
      </c>
      <c r="BM487" s="93"/>
      <c r="BN487" s="93">
        <f>ППД5[[#This Row],[Фикс 06.03.24]]+ППД5[[#This Row],[Наценка Г2+500]]</f>
        <v>89353.53</v>
      </c>
      <c r="BO487" s="93"/>
      <c r="BP487" s="93">
        <f>ППД5[[#This Row],[Фикс 13.03.25]]+ППД5[[#This Row],[Наценка 20.03.24
2К, 3К - 2%]]</f>
        <v>89353.53</v>
      </c>
      <c r="BQ487" s="93"/>
      <c r="BR487" s="93">
        <f>ППД5[[#This Row],[Фикс 20.03.24]]+ППД5[[#This Row],[Наценка 08.04.24 
2К: В3 - 150
3К: Г7 +1000]]</f>
        <v>89353.53</v>
      </c>
      <c r="BS487" s="93"/>
      <c r="BT487" s="93">
        <f>ППД5[[#This Row],[Фикс 08.04.24]]+ППД5[[#This Row],[Наценка 16.05.24 1%
А4,А6,Б3,Б6,Б7,В2,В3,В5,В6,Г1,Г3-Г5]]</f>
        <v>89353.53</v>
      </c>
      <c r="BU487" s="93"/>
      <c r="BV487" s="93">
        <f>ППД5[[#This Row],[Фикс 16.05.24]]+ППД5[[#This Row],[Наценка 24.05.24
1% - Б4, Б5,Г2,Г6
2% - А1,А3,А5,Б2,Г7]]</f>
        <v>89353.53</v>
      </c>
      <c r="BW487" s="93"/>
      <c r="BX487" s="93">
        <f>ППД5[[#This Row],[Наценка 06.06.24
0К: В2,Г3 +0,5%
1К: А7, Б5/4, Г6 +0,5%
3К: В6 +0,5%
1К: А3 +1%]]+ППД5[[#This Row],[Фикс 24.05.24]]</f>
        <v>89353.53</v>
      </c>
      <c r="BY487" s="93"/>
      <c r="BZ487" s="93">
        <f>ППД5[[#This Row],[Фикс 06.06.24]]+ППД5[[#This Row],[13.06.2024
3К - 2%]]</f>
        <v>89353.53</v>
      </c>
      <c r="CA487" s="93"/>
      <c r="CB487" s="93">
        <f>ППД5[[#This Row],[02.07.2024: Г3 А1 А3 Б5 Б7 Г2 Г6 Б3 Б4 В3 Г7 2,5% ост 0,5-1,5%]]+ППД5[[#This Row],[Фикс 13.06.24]]</f>
        <v>89353.53</v>
      </c>
      <c r="CC487" s="93"/>
      <c r="CD487" s="93">
        <f>ППД5[[#This Row],[Фикс 02.07.24]]+ППД5[[#This Row],[04.09.2024 +500
0К - Б2; 1К - А3;
2К - А6, Б4, В3, Г5]]</f>
        <v>89353.53</v>
      </c>
      <c r="CE487" s="93"/>
      <c r="CF487" s="93">
        <f>ППД5[[#This Row],[Наценка 16.09.2024
1К: А1,В7,Г6/7,Г8 - 2%
2К: А4,А5,А6,Б1,Б6,Б3/4,В3,В4,Г4,Г5 - 4%
3К: 4%]]+ППД5[[#This Row],[Фикс 04.09.24]]</f>
        <v>89353.53</v>
      </c>
      <c r="CG487" s="93"/>
      <c r="CH487" s="93">
        <f>ППД5[[#This Row],[Фикс 16.09.2024]]+ППД5[[#This Row],[Наценка 01.11.24
СТ: 4%
1К: 34-40м 5%; 40м+ 8%; МГН 1%
2К: 55-70м 6%; 70-73м 7%; 73-76м 8% 
3К: 5%]]</f>
        <v>89353.53</v>
      </c>
      <c r="CI487" s="93"/>
      <c r="CJ487" s="93">
        <f>ППД5[[#This Row],[Наценка 06.11 13%]]+ППД5[[#This Row],[Фикс 01.11.24]]</f>
        <v>89353.53</v>
      </c>
      <c r="CK487" s="93"/>
      <c r="CL487" s="93">
        <f>ППД5[[#This Row],[Фикс 06.11.24]]+ППД5[[#This Row],[Наценка 18.12.24 распределение КВ]]</f>
        <v>89353.53</v>
      </c>
      <c r="CM487" s="93"/>
      <c r="CN487" s="93">
        <f>ППД5[[#This Row],[Фикс 18.12.24]]+ППД5[[#This Row],[Наценка 10.02.25 +1%
1К: А3
2К: Б3, В3]]</f>
        <v>89353.53</v>
      </c>
      <c r="CO487" s="93">
        <f>ROUND(ППД5[[#This Row],[Фикс 10.02.25]],2)</f>
        <v>89353.53</v>
      </c>
      <c r="CP48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2626993.7799999998</v>
      </c>
      <c r="CQ487" s="93">
        <f>ROUNDUP(ППД5[[#This Row],[Стоимость до скидки]]+ППД5[[#This Row],[Сумма доплаты]],-2)</f>
        <v>2609200</v>
      </c>
      <c r="CR487" s="68"/>
      <c r="CS487" s="90"/>
      <c r="CT487" s="68">
        <f>ППД5[[#This Row],[Стоимость до скидки]]*ППД5[[#This Row],[Скидка %]]+ППД5[[#This Row],[Скидка фиксированная]]</f>
        <v>0</v>
      </c>
      <c r="CU487" s="3">
        <f>ППД5[[#This Row],[Стоимость ОН без отделки со скидкой]]/ППД5[[#This Row],[Расчетная проектная площадь]]</f>
        <v>89353.529931972793</v>
      </c>
      <c r="CV487" s="3">
        <f>ROUND(ППД5[[#This Row],[Стоимость до скидки]]-ППД5[[#This Row],[Итоговая сумма скидки]],2)</f>
        <v>2626993.7799999998</v>
      </c>
      <c r="CW48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87" s="197"/>
      <c r="CY487" s="332">
        <f>ППД5[[#This Row],[Расхождение]]/ППД5[[#This Row],[Расчетная проектная площадь]]</f>
        <v>-6.8027210884353505E-3</v>
      </c>
      <c r="CZ48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-0.13000000000000078</v>
      </c>
      <c r="DA487" s="3">
        <f>ППД5[[#This Row],[Цена м2 без отделки со скидкой]]+ППД5[[#This Row],[Стоимость отделки]]</f>
        <v>89353.529931972793</v>
      </c>
      <c r="DB487" s="3">
        <f>ППД5[[#This Row],[Стоимость квартиры с отделкой]]-ППД5[[#This Row],[Стоимость ОН без отделки со скидкой]]</f>
        <v>0</v>
      </c>
      <c r="DC487" s="3">
        <f>ППД5[[#This Row],[Цена м2 с отделкой]]*ППД5[[#This Row],[Расчетная проектная площадь]]</f>
        <v>2626993.7799999998</v>
      </c>
      <c r="DD487" s="3"/>
      <c r="DF487" s="199" t="s">
        <v>172</v>
      </c>
      <c r="DG487" s="245" t="s">
        <v>172</v>
      </c>
      <c r="DH487" s="100" t="b">
        <f>EXACT(ППД5[[#This Row],[Статусы CRM]],ППД5[[#This Row],[Статус]])</f>
        <v>1</v>
      </c>
      <c r="DI487" s="213" t="s">
        <v>659</v>
      </c>
      <c r="DJ487" s="204"/>
      <c r="DK487" s="111" t="s">
        <v>76</v>
      </c>
      <c r="DL487" s="216" t="s">
        <v>12</v>
      </c>
      <c r="DM487" s="201" t="b">
        <f>ППД5[[#This Row],[Отделка CRM]]=ППД5[[#This Row],[Отделка]]</f>
        <v>1</v>
      </c>
      <c r="DN487" s="203">
        <v>2626993.7799999998</v>
      </c>
      <c r="DO48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87" s="207" t="b">
        <f>IF(AND(ППД5[[#This Row],[Статус]]="свободно",ППД5[[#This Row],[Итоговая сумма скидки]]&lt;&gt;0),FALSE,TRUE)</f>
        <v>1</v>
      </c>
      <c r="DQ487" s="240">
        <f>_xlfn.XLOOKUP(ППД5[[#This Row],[№]],Юрист[№ кв],Юрист[Дата подачи на регистрацию]," ",0,-1)</f>
        <v>45188</v>
      </c>
      <c r="DR487" s="115" t="str">
        <f>_xlfn.XLOOKUP(ППД5[[#This Row],[№]],Юрист[№ кв],Юрист[МОП],"",0,-1)</f>
        <v>Кофанова</v>
      </c>
      <c r="DS487" s="333" t="s">
        <v>3266</v>
      </c>
      <c r="DT487" s="333" t="s">
        <v>3267</v>
      </c>
      <c r="DU487" s="333">
        <v>26.9</v>
      </c>
      <c r="DV487" s="111"/>
    </row>
    <row r="488" spans="1:126" hidden="1" x14ac:dyDescent="0.25">
      <c r="A488" s="112">
        <v>486</v>
      </c>
      <c r="B488" s="111" t="s">
        <v>2</v>
      </c>
      <c r="C488" s="111">
        <v>13</v>
      </c>
      <c r="D488" s="115">
        <v>2</v>
      </c>
      <c r="E488" s="111">
        <v>1</v>
      </c>
      <c r="F488" s="105">
        <v>13.17</v>
      </c>
      <c r="G488" s="105"/>
      <c r="H488" s="105"/>
      <c r="I488" s="94">
        <f>SUM(ППД5[[#This Row],[Комната 1]:[Комната 3]])</f>
        <v>13.17</v>
      </c>
      <c r="J488" s="105">
        <v>16.940000000000001</v>
      </c>
      <c r="K488" s="105">
        <v>3.55</v>
      </c>
      <c r="L488" s="105">
        <v>2.41</v>
      </c>
      <c r="M488" s="105"/>
      <c r="N488" s="105">
        <v>5.8</v>
      </c>
      <c r="O488" s="105">
        <v>2.68</v>
      </c>
      <c r="P488" s="105"/>
      <c r="Q488" s="105"/>
      <c r="R488" s="105">
        <f>SUM(ППД5[[#This Row],[Лоджия 1]:[Лоджия 3]])</f>
        <v>2.68</v>
      </c>
      <c r="S488" s="8">
        <f>ROUND(SUM(ППД5[[#This Row],[Площадь по проекту жилая]:[Лоджия 3]]),2)</f>
        <v>44.55</v>
      </c>
      <c r="T488" s="8">
        <f>ROUND(ППД5[[#This Row],[Площадь по проекту(общая)]]-ППД5[[#This Row],[Летние]],2)</f>
        <v>41.87</v>
      </c>
      <c r="U488" s="91">
        <f>ROUND(ППД5[[#This Row],[Площадь по проекту(общая)]]-(SUM(ППД5[[#This Row],[Лоджия 1]:[Лоджия 3]])/2),2)</f>
        <v>43.21</v>
      </c>
      <c r="V488" s="91">
        <f>IF(ППД5[[#This Row],[Статус]]="продажа",ППД5[[#This Row],[Расчетная проектная площадь]],ППД5[[#This Row],[Расчетная ТП площадь]])</f>
        <v>43.21</v>
      </c>
      <c r="W488" s="91">
        <v>13</v>
      </c>
      <c r="X488" s="91"/>
      <c r="Y488" s="91"/>
      <c r="Z488" s="91">
        <f>SUM(ППД5[[#This Row],[ТП Комната 1]:[ТП Комната 3]])</f>
        <v>13</v>
      </c>
      <c r="AA488" s="91">
        <v>16.8</v>
      </c>
      <c r="AB488" s="91">
        <v>2</v>
      </c>
      <c r="AC488" s="91">
        <v>3.3</v>
      </c>
      <c r="AD488" s="91"/>
      <c r="AE488" s="91">
        <v>5.8</v>
      </c>
      <c r="AF488" s="91">
        <v>1.3</v>
      </c>
      <c r="AG488" s="91"/>
      <c r="AH488" s="91"/>
      <c r="AI488" s="91">
        <f>SUM(ППД5[[#This Row],[ТП Лоджия 1]:[ТП Лоджия 3]])</f>
        <v>1.3</v>
      </c>
      <c r="AJ488" s="95">
        <v>2.6</v>
      </c>
      <c r="AK488" s="91">
        <f>SUM(ППД5[[#This Row],[Площадь по ТП жилая]:[ТП Лоджия 3]])-ППД5[[#This Row],[ТП Летние]]+ППД5[[#This Row],[кроме того прочая
(без коэффициента)]]</f>
        <v>43.5</v>
      </c>
      <c r="AL488" s="95">
        <f>ППД5[[#This Row],[ТП Площадь без летних]]+(ППД5[[#This Row],[ТП Летние]])</f>
        <v>42.199999999999996</v>
      </c>
      <c r="AM488" s="91">
        <f>ППД5[[#This Row],[ТП общая S]]-ППД5[[#This Row],[кроме того прочая
(без коэффициента)]]</f>
        <v>40.9</v>
      </c>
      <c r="AN488" s="95">
        <f>SUM(ППД5[[#This Row],[ТП Кухня]:[ТП Коридор]])</f>
        <v>27.900000000000002</v>
      </c>
      <c r="AO488" s="91">
        <f>ППД5[[#This Row],[Расчетная ТП площадь]]-ППД5[[#This Row],[Расчетная проектная площадь]]</f>
        <v>-1.0100000000000051</v>
      </c>
      <c r="AP488" s="335">
        <f>ППД5[[#This Row],[Расчетная ТП площадь]]/ППД5[[#This Row],[Расчетная проектная площадь]]-1</f>
        <v>-2.3374218930803159E-2</v>
      </c>
      <c r="AQ488" s="91">
        <f>ППД5[[#This Row],[% расхождения]]*ППД5[[#This Row],[Стоимость до скидки]]</f>
        <v>-112088.72946077347</v>
      </c>
      <c r="AR488" s="91">
        <f>VLOOKUP(ППД5[[#This Row],[№]],наценкад5[],COLUMN(наценкад5[[#This Row],[Цена м2 с учетом всех K]]),0)</f>
        <v>85168.125</v>
      </c>
      <c r="AS488" s="8">
        <f>ППД5[[#This Row],[м2 после К]]*5%</f>
        <v>4258.40625</v>
      </c>
      <c r="AT488" s="8">
        <f>ППД5[[#This Row],[м2 после К]]+ППД5[[#This Row],[Повышение 16.08.23 - 5%]]</f>
        <v>89426.53125</v>
      </c>
      <c r="AU488" s="93">
        <f>ППД5[[#This Row],[Фикс 16.08.23]]*3%</f>
        <v>2682.7959375</v>
      </c>
      <c r="AV488" s="93">
        <f>ППД5[[#This Row],[Фикс 16.08.23]]+ППД5[[#This Row],[Повышение 29.08.23 - 3%]]</f>
        <v>92109.327187500006</v>
      </c>
      <c r="AW488" s="93">
        <f>ППД5[[#This Row],[Фикс 29.08.23]]*1%</f>
        <v>921.09327187500003</v>
      </c>
      <c r="AX488" s="93">
        <f>ППД5[[#This Row],[Фикс 29.08.23]]+ППД5[[#This Row],[Повышение 06.09.23 СТ и 1К]]</f>
        <v>93030.420459375004</v>
      </c>
      <c r="AY488" s="93"/>
      <c r="AZ488" s="93">
        <f>ППД5[[#This Row],[Повышение 23.10.23  В4 ]]+ППД5[[#This Row],[Фикс 06.09.23]]</f>
        <v>93030.420459375004</v>
      </c>
      <c r="BA488" s="93">
        <f>ППД5[[#This Row],[Фикс 23.10.23]]*5%</f>
        <v>4651.52102296875</v>
      </c>
      <c r="BB488" s="93">
        <f>ППД5[[#This Row],[Повышение 8.11.23 1К 5%]]+ППД5[[#This Row],[Фикс 23.10.23]]</f>
        <v>97681.941482343755</v>
      </c>
      <c r="BC488" s="93"/>
      <c r="BD488" s="93">
        <f>ППД5[[#This Row],[Корректировка 24.11.23 - 1К В5, 2К А2, №233]]+ППД5[[#This Row],[Фикс 8.11.23]]</f>
        <v>97681.941482343755</v>
      </c>
      <c r="BE488" s="93">
        <f>ППД5[[#This Row],[Фикс 8.11.24]]*1%</f>
        <v>976.81941482343757</v>
      </c>
      <c r="BF488" s="93">
        <f>ППД5[[#This Row],[Наценка за отделку 29.12.23 1%]]+ППД5[[#This Row],[Фикс 8.11.24]]</f>
        <v>98658.760897167187</v>
      </c>
      <c r="BG488" s="93">
        <f>ППД5[[#This Row],[Фикс 29.12.23]]*5%</f>
        <v>4932.9380448583597</v>
      </c>
      <c r="BH488" s="93">
        <f>ППД5[[#This Row],[Фикс 29.12.23]]+ППД5[[#This Row],[Наценка 10.01.24 5%]]</f>
        <v>103591.69894202554</v>
      </c>
      <c r="BI488" s="93"/>
      <c r="BJ488" s="93">
        <f>ППД5[[#This Row],[Наценка 26.02.24 1 Этаж]]+ППД5[[#This Row],[Фикс 10.01.24]]</f>
        <v>103591.69894202554</v>
      </c>
      <c r="BK488" s="93">
        <f>ППД5[[#This Row],[Фикс 26.02.24]]*3%</f>
        <v>3107.7509682607661</v>
      </c>
      <c r="BL488" s="93">
        <f>ППД5[[#This Row],[Фикс 26.02.24]]+ППД5[[#This Row],[Наценка 06.03.24
СТ, 1К - 3%
2К, 3К - 2%]]</f>
        <v>106699.4499102863</v>
      </c>
      <c r="BM488" s="93">
        <v>500</v>
      </c>
      <c r="BN488" s="93">
        <f>ППД5[[#This Row],[Фикс 06.03.24]]+ППД5[[#This Row],[Наценка Г2+500]]</f>
        <v>107199.4499102863</v>
      </c>
      <c r="BO488" s="93"/>
      <c r="BP488" s="93">
        <f>ППД5[[#This Row],[Фикс 13.03.25]]+ППД5[[#This Row],[Наценка 20.03.24
2К, 3К - 2%]]</f>
        <v>107199.4499102863</v>
      </c>
      <c r="BQ488" s="93"/>
      <c r="BR488" s="93">
        <f>ППД5[[#This Row],[Фикс 20.03.24]]+ППД5[[#This Row],[Наценка 08.04.24 
2К: В3 - 150
3К: Г7 +1000]]</f>
        <v>107199.4499102863</v>
      </c>
      <c r="BS488" s="93"/>
      <c r="BT488" s="93">
        <f>ППД5[[#This Row],[Фикс 08.04.24]]+ППД5[[#This Row],[Наценка 16.05.24 1%
А4,А6,Б3,Б6,Б7,В2,В3,В5,В6,Г1,Г3-Г5]]</f>
        <v>107199.4499102863</v>
      </c>
      <c r="BU488" s="93">
        <f>ППД5[[#This Row],[Фикс 16.05.24]]*1%</f>
        <v>1071.9944991028631</v>
      </c>
      <c r="BV488" s="93">
        <f>ППД5[[#This Row],[Фикс 16.05.24]]+ППД5[[#This Row],[Наценка 24.05.24
1% - Б4, Б5,Г2,Г6
2% - А1,А3,А5,Б2,Г7]]</f>
        <v>108271.44440938917</v>
      </c>
      <c r="BW488" s="93"/>
      <c r="BX488" s="93">
        <f>ППД5[[#This Row],[Наценка 06.06.24
0К: В2,Г3 +0,5%
1К: А7, Б5/4, Г6 +0,5%
3К: В6 +0,5%
1К: А3 +1%]]+ППД5[[#This Row],[Фикс 24.05.24]]</f>
        <v>108271.44440938917</v>
      </c>
      <c r="BY488" s="93"/>
      <c r="BZ488" s="93">
        <f>ППД5[[#This Row],[Фикс 06.06.24]]+ППД5[[#This Row],[13.06.2024
3К - 2%]]</f>
        <v>108271.44440938917</v>
      </c>
      <c r="CA488" s="93">
        <f>2.5%*ППД5[[#This Row],[Фикс 13.06.24]]</f>
        <v>2706.7861102347292</v>
      </c>
      <c r="CB488" s="93">
        <f>ППД5[[#This Row],[02.07.2024: Г3 А1 А3 Б5 Б7 Г2 Г6 Б3 Б4 В3 Г7 2,5% ост 0,5-1,5%]]+ППД5[[#This Row],[Фикс 13.06.24]]</f>
        <v>110978.23051962389</v>
      </c>
      <c r="CC488" s="93"/>
      <c r="CD488" s="93">
        <f>ППД5[[#This Row],[Фикс 02.07.24]]+ППД5[[#This Row],[04.09.2024 +500
0К - Б2; 1К - А3;
2К - А6, Б4, В3, Г5]]</f>
        <v>110978.23051962389</v>
      </c>
      <c r="CE488" s="93"/>
      <c r="CF488" s="93">
        <f>ППД5[[#This Row],[Наценка 16.09.2024
1К: А1,В7,Г6/7,Г8 - 2%
2К: А4,А5,А6,Б1,Б6,Б3/4,В3,В4,Г4,Г5 - 4%
3К: 4%]]+ППД5[[#This Row],[Фикс 04.09.24]]</f>
        <v>110978.23051962389</v>
      </c>
      <c r="CG488" s="93"/>
      <c r="CH488" s="93">
        <f>ППД5[[#This Row],[Фикс 16.09.2024]]+ППД5[[#This Row],[Наценка 01.11.24
СТ: 4%
1К: 34-40м 5%; 40м+ 8%; МГН 1%
2К: 55-70м 6%; 70-73м 7%; 73-76м 8% 
3К: 5%]]</f>
        <v>110978.23051962389</v>
      </c>
      <c r="CI488" s="93"/>
      <c r="CJ488" s="93">
        <f>ППД5[[#This Row],[Наценка 06.11 13%]]+ППД5[[#This Row],[Фикс 01.11.24]]</f>
        <v>110978.23051962389</v>
      </c>
      <c r="CK488" s="93"/>
      <c r="CL488" s="93">
        <f>ППД5[[#This Row],[Фикс 06.11.24]]+ППД5[[#This Row],[Наценка 18.12.24 распределение КВ]]</f>
        <v>110978.23051962389</v>
      </c>
      <c r="CM488" s="93"/>
      <c r="CN488" s="93">
        <f>ППД5[[#This Row],[Фикс 18.12.24]]+ППД5[[#This Row],[Наценка 10.02.25 +1%
1К: А3
2К: Б3, В3]]</f>
        <v>110978.23051962389</v>
      </c>
      <c r="CO488" s="93">
        <f>ROUND(ППД5[[#This Row],[Фикс 10.02.25]],2)</f>
        <v>110978.23</v>
      </c>
      <c r="CP48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4795400</v>
      </c>
      <c r="CQ488" s="93">
        <f>ROUNDUP(ППД5[[#This Row],[Стоимость до скидки]]+ППД5[[#This Row],[Сумма доплаты]],-2)</f>
        <v>4683400</v>
      </c>
      <c r="CR488" s="68"/>
      <c r="CS488" s="90"/>
      <c r="CT488" s="68">
        <f>ППД5[[#This Row],[Стоимость до скидки]]*ППД5[[#This Row],[Скидка %]]+ППД5[[#This Row],[Скидка фиксированная]]</f>
        <v>0</v>
      </c>
      <c r="CU488" s="3">
        <f>ППД5[[#This Row],[Стоимость ОН без отделки со скидкой]]/ППД5[[#This Row],[Расчетная проектная площадь]]</f>
        <v>110978.94006017126</v>
      </c>
      <c r="CV488" s="3">
        <f>ROUND(ППД5[[#This Row],[Стоимость до скидки]]-ППД5[[#This Row],[Итоговая сумма скидки]],2)</f>
        <v>4795400</v>
      </c>
      <c r="CW48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488" s="197">
        <v>8000</v>
      </c>
      <c r="CY488" s="332">
        <f>ППД5[[#This Row],[Расхождение]]/ППД5[[#This Row],[Расчетная проектная площадь]]</f>
        <v>-2.3374218930803173E-2</v>
      </c>
      <c r="CZ48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-0.80000000000000071</v>
      </c>
      <c r="DA488" s="3">
        <f>ППД5[[#This Row],[Цена м2 без отделки со скидкой]]+ППД5[[#This Row],[Стоимость отделки]]</f>
        <v>118978.94006017126</v>
      </c>
      <c r="DB488" s="3">
        <f>ППД5[[#This Row],[Стоимость квартиры с отделкой]]-ППД5[[#This Row],[Стоимость ОН без отделки со скидкой]]</f>
        <v>345680</v>
      </c>
      <c r="DC488" s="3">
        <f>ППД5[[#This Row],[Цена м2 с отделкой]]*ППД5[[#This Row],[Расчетная проектная площадь]]</f>
        <v>5141080</v>
      </c>
      <c r="DD488" s="3"/>
      <c r="DF488" s="199" t="s">
        <v>172</v>
      </c>
      <c r="DG488" s="245" t="s">
        <v>172</v>
      </c>
      <c r="DH488" s="100" t="b">
        <f>EXACT(ППД5[[#This Row],[Статусы CRM]],ППД5[[#This Row],[Статус]])</f>
        <v>1</v>
      </c>
      <c r="DI488" s="213" t="s">
        <v>660</v>
      </c>
      <c r="DJ488" s="204"/>
      <c r="DK488" s="111" t="s">
        <v>763</v>
      </c>
      <c r="DL488" s="216" t="s">
        <v>780</v>
      </c>
      <c r="DM488" s="201" t="b">
        <f>ППД5[[#This Row],[Отделка CRM]]=ППД5[[#This Row],[Отделка]]</f>
        <v>1</v>
      </c>
      <c r="DN488" s="203">
        <v>5141080</v>
      </c>
      <c r="DO48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88" s="207" t="b">
        <f>IF(AND(ППД5[[#This Row],[Статус]]="свободно",ППД5[[#This Row],[Итоговая сумма скидки]]&lt;&gt;0),FALSE,TRUE)</f>
        <v>1</v>
      </c>
      <c r="DQ488" s="240">
        <f>_xlfn.XLOOKUP(ППД5[[#This Row],[№]],Юрист[№ кв],Юрист[Дата подачи на регистрацию]," ",0,-1)</f>
        <v>45652</v>
      </c>
      <c r="DR488" s="115" t="str">
        <f>_xlfn.XLOOKUP(ППД5[[#This Row],[№]],Юрист[№ кв],Юрист[МОП],"",0,-1)</f>
        <v>Дик</v>
      </c>
      <c r="DS488" s="333" t="s">
        <v>3268</v>
      </c>
      <c r="DT488" s="333" t="s">
        <v>3269</v>
      </c>
      <c r="DU488" s="333">
        <v>40.9</v>
      </c>
      <c r="DV488" s="111"/>
    </row>
    <row r="489" spans="1:126" hidden="1" x14ac:dyDescent="0.25">
      <c r="A489" s="112">
        <v>487</v>
      </c>
      <c r="B489" s="111" t="s">
        <v>2</v>
      </c>
      <c r="C489" s="111">
        <v>13</v>
      </c>
      <c r="D489" s="115">
        <v>3</v>
      </c>
      <c r="E489" s="111">
        <v>0</v>
      </c>
      <c r="F489" s="105">
        <v>7.2</v>
      </c>
      <c r="G489" s="105"/>
      <c r="H489" s="105"/>
      <c r="I489" s="94">
        <f>SUM(ППД5[[#This Row],[Комната 1]:[Комната 3]])</f>
        <v>7.2</v>
      </c>
      <c r="J489" s="105">
        <v>5.17</v>
      </c>
      <c r="K489" s="105">
        <v>3.71</v>
      </c>
      <c r="L489" s="105"/>
      <c r="M489" s="105"/>
      <c r="N489" s="105">
        <v>6.96</v>
      </c>
      <c r="O489" s="105">
        <v>2.92</v>
      </c>
      <c r="P489" s="105"/>
      <c r="Q489" s="105"/>
      <c r="R489" s="105">
        <f>SUM(ППД5[[#This Row],[Лоджия 1]:[Лоджия 3]])</f>
        <v>2.92</v>
      </c>
      <c r="S489" s="8">
        <f>ROUND(SUM(ППД5[[#This Row],[Площадь по проекту жилая]:[Лоджия 3]]),2)</f>
        <v>25.96</v>
      </c>
      <c r="T489" s="8">
        <f>ROUND(ППД5[[#This Row],[Площадь по проекту(общая)]]-ППД5[[#This Row],[Летние]],2)</f>
        <v>23.04</v>
      </c>
      <c r="U489" s="91">
        <f>ROUND(ППД5[[#This Row],[Площадь по проекту(общая)]]-(SUM(ППД5[[#This Row],[Лоджия 1]:[Лоджия 3]])/2),2)</f>
        <v>24.5</v>
      </c>
      <c r="V489" s="91">
        <f>IF(ППД5[[#This Row],[Статус]]="продажа",ППД5[[#This Row],[Расчетная проектная площадь]],ППД5[[#This Row],[Расчетная ТП площадь]])</f>
        <v>24.5</v>
      </c>
      <c r="W489" s="91">
        <v>7.2</v>
      </c>
      <c r="X489" s="91"/>
      <c r="Y489" s="91"/>
      <c r="Z489" s="91">
        <f>SUM(ППД5[[#This Row],[ТП Комната 1]:[ТП Комната 3]])</f>
        <v>7.2</v>
      </c>
      <c r="AA489" s="91">
        <v>5.5</v>
      </c>
      <c r="AB489" s="91">
        <v>3.7</v>
      </c>
      <c r="AC489" s="91"/>
      <c r="AD489" s="91"/>
      <c r="AE489" s="91">
        <v>6.5</v>
      </c>
      <c r="AF489" s="91">
        <v>1.4</v>
      </c>
      <c r="AG489" s="91"/>
      <c r="AH489" s="91"/>
      <c r="AI489" s="91">
        <f>SUM(ППД5[[#This Row],[ТП Лоджия 1]:[ТП Лоджия 3]])</f>
        <v>1.4</v>
      </c>
      <c r="AJ489" s="95">
        <v>2.8</v>
      </c>
      <c r="AK489" s="91">
        <f>SUM(ППД5[[#This Row],[Площадь по ТП жилая]:[ТП Лоджия 3]])-ППД5[[#This Row],[ТП Летние]]+ППД5[[#This Row],[кроме того прочая
(без коэффициента)]]</f>
        <v>25.7</v>
      </c>
      <c r="AL489" s="95">
        <f>ППД5[[#This Row],[ТП Площадь без летних]]+(ППД5[[#This Row],[ТП Летние]])</f>
        <v>24.299999999999997</v>
      </c>
      <c r="AM489" s="91">
        <f>ППД5[[#This Row],[ТП общая S]]-ППД5[[#This Row],[кроме того прочая
(без коэффициента)]]</f>
        <v>22.9</v>
      </c>
      <c r="AN489" s="95">
        <f>SUM(ППД5[[#This Row],[ТП Кухня]:[ТП Коридор]])</f>
        <v>15.7</v>
      </c>
      <c r="AO489" s="91">
        <f>ППД5[[#This Row],[Расчетная ТП площадь]]-ППД5[[#This Row],[Расчетная проектная площадь]]</f>
        <v>-0.20000000000000284</v>
      </c>
      <c r="AP489" s="335">
        <f>ППД5[[#This Row],[Расчетная ТП площадь]]/ППД5[[#This Row],[Расчетная проектная площадь]]-1</f>
        <v>-8.1632653061225469E-3</v>
      </c>
      <c r="AQ489" s="91">
        <f>ППД5[[#This Row],[% расхождения]]*ППД5[[#This Row],[Стоимость до скидки]]</f>
        <v>-27000.000000000324</v>
      </c>
      <c r="AR489" s="91">
        <f>VLOOKUP(ППД5[[#This Row],[№]],наценкад5[],COLUMN(наценкад5[[#This Row],[Цена м2 с учетом всех K]]),0)</f>
        <v>91105.56</v>
      </c>
      <c r="AS489" s="8">
        <f>ППД5[[#This Row],[м2 после К]]*5%</f>
        <v>4555.2780000000002</v>
      </c>
      <c r="AT489" s="8">
        <f>ППД5[[#This Row],[м2 после К]]+ППД5[[#This Row],[Повышение 16.08.23 - 5%]]</f>
        <v>95660.838000000003</v>
      </c>
      <c r="AU489" s="93">
        <f>ППД5[[#This Row],[Фикс 16.08.23]]*3%</f>
        <v>2869.8251399999999</v>
      </c>
      <c r="AV489" s="93">
        <f>ППД5[[#This Row],[Фикс 16.08.23]]+ППД5[[#This Row],[Повышение 29.08.23 - 3%]]</f>
        <v>98530.663140000004</v>
      </c>
      <c r="AW489" s="93">
        <f>ППД5[[#This Row],[Фикс 29.08.23]]*9%</f>
        <v>8867.7596826000008</v>
      </c>
      <c r="AX489" s="93">
        <f>ППД5[[#This Row],[Фикс 29.08.23]]+ППД5[[#This Row],[Повышение 06.09.23 СТ и 1К]]</f>
        <v>107398.4228226</v>
      </c>
      <c r="AY489" s="93"/>
      <c r="AZ489" s="93">
        <f>ППД5[[#This Row],[Повышение 23.10.23  В4 ]]+ППД5[[#This Row],[Фикс 06.09.23]]</f>
        <v>107398.4228226</v>
      </c>
      <c r="BA489" s="93"/>
      <c r="BB489" s="93">
        <f>ППД5[[#This Row],[Повышение 8.11.23 1К 5%]]+ППД5[[#This Row],[Фикс 23.10.23]]</f>
        <v>107398.4228226</v>
      </c>
      <c r="BC489" s="93"/>
      <c r="BD489" s="93">
        <f>ППД5[[#This Row],[Корректировка 24.11.23 - 1К В5, 2К А2, №233]]+ППД5[[#This Row],[Фикс 8.11.23]]</f>
        <v>107398.4228226</v>
      </c>
      <c r="BE489" s="93">
        <f>ППД5[[#This Row],[Фикс 8.11.24]]*1%</f>
        <v>1073.9842282259999</v>
      </c>
      <c r="BF489" s="93">
        <f>ППД5[[#This Row],[Наценка за отделку 29.12.23 1%]]+ППД5[[#This Row],[Фикс 8.11.24]]</f>
        <v>108472.407050826</v>
      </c>
      <c r="BG489" s="93">
        <f>ППД5[[#This Row],[Фикс 29.12.23]]*5%</f>
        <v>5423.6203525413002</v>
      </c>
      <c r="BH489" s="93">
        <f>ППД5[[#This Row],[Фикс 29.12.23]]+ППД5[[#This Row],[Наценка 10.01.24 5%]]</f>
        <v>113896.0274033673</v>
      </c>
      <c r="BI489" s="93"/>
      <c r="BJ489" s="93">
        <f>ППД5[[#This Row],[Наценка 26.02.24 1 Этаж]]+ППД5[[#This Row],[Фикс 10.01.24]]</f>
        <v>113896.0274033673</v>
      </c>
      <c r="BK489" s="93">
        <f>ППД5[[#This Row],[Фикс 26.02.24]]*3%</f>
        <v>3416.880822101019</v>
      </c>
      <c r="BL489" s="93">
        <f>ППД5[[#This Row],[Фикс 26.02.24]]+ППД5[[#This Row],[Наценка 06.03.24
СТ, 1К - 3%
2К, 3К - 2%]]</f>
        <v>117312.90822546833</v>
      </c>
      <c r="BM489" s="93"/>
      <c r="BN489" s="93">
        <f>ППД5[[#This Row],[Фикс 06.03.24]]+ППД5[[#This Row],[Наценка Г2+500]]</f>
        <v>117312.90822546833</v>
      </c>
      <c r="BO489" s="93"/>
      <c r="BP489" s="93">
        <f>ППД5[[#This Row],[Фикс 13.03.25]]+ППД5[[#This Row],[Наценка 20.03.24
2К, 3К - 2%]]</f>
        <v>117312.90822546833</v>
      </c>
      <c r="BQ489" s="93"/>
      <c r="BR489" s="93">
        <f>ППД5[[#This Row],[Фикс 20.03.24]]+ППД5[[#This Row],[Наценка 08.04.24 
2К: В3 - 150
3К: Г7 +1000]]</f>
        <v>117312.90822546833</v>
      </c>
      <c r="BS489" s="93">
        <f>ППД5[[#This Row],[Фикс 08.04.24]]*1%</f>
        <v>1173.1290822546832</v>
      </c>
      <c r="BT489" s="93">
        <f>ППД5[[#This Row],[Фикс 08.04.24]]+ППД5[[#This Row],[Наценка 16.05.24 1%
А4,А6,Б3,Б6,Б7,В2,В3,В5,В6,Г1,Г3-Г5]]</f>
        <v>118486.03730772302</v>
      </c>
      <c r="BU489" s="93"/>
      <c r="BV489" s="93">
        <f>ППД5[[#This Row],[Фикс 16.05.24]]+ППД5[[#This Row],[Наценка 24.05.24
1% - Б4, Б5,Г2,Г6
2% - А1,А3,А5,Б2,Г7]]</f>
        <v>118486.03730772302</v>
      </c>
      <c r="BW489" s="93">
        <f>ППД5[[#This Row],[Фикс 24.05.24]]*0.5%</f>
        <v>592.43018653861509</v>
      </c>
      <c r="BX489" s="93">
        <f>ППД5[[#This Row],[Наценка 06.06.24
0К: В2,Г3 +0,5%
1К: А7, Б5/4, Г6 +0,5%
3К: В6 +0,5%
1К: А3 +1%]]+ППД5[[#This Row],[Фикс 24.05.24]]</f>
        <v>119078.46749426163</v>
      </c>
      <c r="BY489" s="93"/>
      <c r="BZ489" s="93">
        <f>ППД5[[#This Row],[Фикс 06.06.24]]+ППД5[[#This Row],[13.06.2024
3К - 2%]]</f>
        <v>119078.46749426163</v>
      </c>
      <c r="CA489" s="93">
        <f>2.5%*ППД5[[#This Row],[Фикс 13.06.24]]</f>
        <v>2976.961687356541</v>
      </c>
      <c r="CB489" s="93">
        <f>ППД5[[#This Row],[02.07.2024: Г3 А1 А3 Б5 Б7 Г2 Г6 Б3 Б4 В3 Г7 2,5% ост 0,5-1,5%]]+ППД5[[#This Row],[Фикс 13.06.24]]</f>
        <v>122055.42918161816</v>
      </c>
      <c r="CC489" s="93"/>
      <c r="CD489" s="93">
        <f>ППД5[[#This Row],[Фикс 02.07.24]]+ППД5[[#This Row],[04.09.2024 +500
0К - Б2; 1К - А3;
2К - А6, Б4, В3, Г5]]</f>
        <v>122055.42918161816</v>
      </c>
      <c r="CE489" s="93"/>
      <c r="CF489" s="93">
        <f>ППД5[[#This Row],[Наценка 16.09.2024
1К: А1,В7,Г6/7,Г8 - 2%
2К: А4,А5,А6,Б1,Б6,Б3/4,В3,В4,Г4,Г5 - 4%
3К: 4%]]+ППД5[[#This Row],[Фикс 04.09.24]]</f>
        <v>122055.42918161816</v>
      </c>
      <c r="CG489" s="93">
        <f>ППД5[[#This Row],[Фикс 16.09.2024]]*4%</f>
        <v>4882.2171672647264</v>
      </c>
      <c r="CH489" s="93">
        <f>ППД5[[#This Row],[Фикс 16.09.2024]]+ППД5[[#This Row],[Наценка 01.11.24
СТ: 4%
1К: 34-40м 5%; 40м+ 8%; МГН 1%
2К: 55-70м 6%; 70-73м 7%; 73-76м 8% 
3К: 5%]]</f>
        <v>126937.64634888289</v>
      </c>
      <c r="CI489" s="93">
        <f>ППД5[[#This Row],[Фикс 01.11.24]]*13%</f>
        <v>16501.894025354777</v>
      </c>
      <c r="CJ489" s="93">
        <f>ППД5[[#This Row],[Наценка 06.11 13%]]+ППД5[[#This Row],[Фикс 01.11.24]]</f>
        <v>143439.54037423767</v>
      </c>
      <c r="CK489" s="93">
        <v>35</v>
      </c>
      <c r="CL489" s="93">
        <f>ППД5[[#This Row],[Фикс 06.11.24]]+ППД5[[#This Row],[Наценка 18.12.24 распределение КВ]]</f>
        <v>143474.54037423767</v>
      </c>
      <c r="CM489" s="93">
        <f>135000-ППД5[[#This Row],[Фикс 18.12.24]]</f>
        <v>-8474.5403742376657</v>
      </c>
      <c r="CN489" s="93">
        <f>ППД5[[#This Row],[Фикс 18.12.24]]+ППД5[[#This Row],[Наценка 10.02.25 +1%
1К: А3
2К: Б3, В3]]</f>
        <v>135000</v>
      </c>
      <c r="CO489" s="93">
        <f>ROUND(ППД5[[#This Row],[Фикс 10.02.25]],2)</f>
        <v>135000</v>
      </c>
      <c r="CP48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3307500</v>
      </c>
      <c r="CQ489" s="93">
        <f>ROUNDUP(ППД5[[#This Row],[Стоимость до скидки]]+ППД5[[#This Row],[Сумма доплаты]],-2)</f>
        <v>3280500</v>
      </c>
      <c r="CR489" s="68">
        <f>ППД5[[#This Row],[Расчетная проектная площадь]]*8000</f>
        <v>196000</v>
      </c>
      <c r="CS489" s="90"/>
      <c r="CT489" s="68">
        <f>ППД5[[#This Row],[Стоимость до скидки]]*ППД5[[#This Row],[Скидка %]]+ППД5[[#This Row],[Скидка фиксированная]]</f>
        <v>196000</v>
      </c>
      <c r="CU489" s="3">
        <f>ППД5[[#This Row],[Стоимость ОН без отделки со скидкой]]/ППД5[[#This Row],[Расчетная проектная площадь]]</f>
        <v>127000</v>
      </c>
      <c r="CV489" s="3">
        <f>ROUND(ППД5[[#This Row],[Стоимость до скидки]]-ППД5[[#This Row],[Итоговая сумма скидки]],2)</f>
        <v>3111500</v>
      </c>
      <c r="CW48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489" s="197">
        <v>10000</v>
      </c>
      <c r="CY489" s="332">
        <f>ППД5[[#This Row],[Расхождение]]/ППД5[[#This Row],[Расчетная проектная площадь]]</f>
        <v>-8.1632653061225642E-3</v>
      </c>
      <c r="CZ48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-0.14000000000000146</v>
      </c>
      <c r="DA489" s="3">
        <f>ППД5[[#This Row],[Цена м2 без отделки со скидкой]]+ППД5[[#This Row],[Стоимость отделки]]</f>
        <v>137000</v>
      </c>
      <c r="DB489" s="3">
        <f>ППД5[[#This Row],[Стоимость квартиры с отделкой]]-ППД5[[#This Row],[Стоимость ОН без отделки со скидкой]]</f>
        <v>245000</v>
      </c>
      <c r="DC489" s="3">
        <f>ППД5[[#This Row],[Цена м2 с отделкой]]*ППД5[[#This Row],[Расчетная проектная площадь]]</f>
        <v>3356500</v>
      </c>
      <c r="DD489" s="3"/>
      <c r="DE489" s="111" t="s">
        <v>2122</v>
      </c>
      <c r="DF489" s="199" t="s">
        <v>172</v>
      </c>
      <c r="DG489" s="221" t="s">
        <v>172</v>
      </c>
      <c r="DH489" s="100" t="b">
        <f>EXACT(ППД5[[#This Row],[Статусы CRM]],ППД5[[#This Row],[Статус]])</f>
        <v>1</v>
      </c>
      <c r="DI489" s="213" t="s">
        <v>661</v>
      </c>
      <c r="DJ489" s="204"/>
      <c r="DK489" s="111" t="s">
        <v>763</v>
      </c>
      <c r="DL489" s="216" t="s">
        <v>780</v>
      </c>
      <c r="DM489" s="201" t="b">
        <f>ППД5[[#This Row],[Отделка CRM]]=ППД5[[#This Row],[Отделка]]</f>
        <v>1</v>
      </c>
      <c r="DN489" s="203">
        <v>3356500</v>
      </c>
      <c r="DO48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89" s="207" t="b">
        <f>IF(AND(ППД5[[#This Row],[Статус]]="свободно",ППД5[[#This Row],[Итоговая сумма скидки]]&lt;&gt;0),FALSE,TRUE)</f>
        <v>1</v>
      </c>
      <c r="DQ489" s="240">
        <f>_xlfn.XLOOKUP(ППД5[[#This Row],[№]],Юрист[№ кв],Юрист[Дата подачи на регистрацию]," ",0,-1)</f>
        <v>45507</v>
      </c>
      <c r="DR489" s="115" t="str">
        <f>_xlfn.XLOOKUP(ППД5[[#This Row],[№]],Юрист[№ кв],Юрист[МОП],"",0,-1)</f>
        <v>Дик</v>
      </c>
      <c r="DS489" s="333" t="s">
        <v>3270</v>
      </c>
      <c r="DT489" s="333" t="s">
        <v>3271</v>
      </c>
      <c r="DU489" s="333">
        <v>22.9</v>
      </c>
      <c r="DV489" s="111"/>
    </row>
    <row r="490" spans="1:126" hidden="1" x14ac:dyDescent="0.25">
      <c r="A490" s="112">
        <v>488</v>
      </c>
      <c r="B490" s="111" t="s">
        <v>2</v>
      </c>
      <c r="C490" s="111">
        <v>13</v>
      </c>
      <c r="D490" s="115">
        <v>4</v>
      </c>
      <c r="E490" s="111">
        <v>2</v>
      </c>
      <c r="F490" s="105">
        <v>14.48</v>
      </c>
      <c r="G490" s="105">
        <v>11.42</v>
      </c>
      <c r="H490" s="105"/>
      <c r="I490" s="94">
        <f>SUM(ППД5[[#This Row],[Комната 1]:[Комната 3]])</f>
        <v>25.9</v>
      </c>
      <c r="J490" s="105">
        <v>15.86</v>
      </c>
      <c r="K490" s="105">
        <v>3.01</v>
      </c>
      <c r="L490" s="105">
        <v>2.67</v>
      </c>
      <c r="M490" s="105"/>
      <c r="N490" s="105">
        <v>9.44</v>
      </c>
      <c r="O490" s="105">
        <v>2.72</v>
      </c>
      <c r="P490" s="105"/>
      <c r="Q490" s="105"/>
      <c r="R490" s="105">
        <f>SUM(ППД5[[#This Row],[Лоджия 1]:[Лоджия 3]])</f>
        <v>2.72</v>
      </c>
      <c r="S490" s="8">
        <f>ROUND(SUM(ППД5[[#This Row],[Площадь по проекту жилая]:[Лоджия 3]]),2)</f>
        <v>59.6</v>
      </c>
      <c r="T490" s="8">
        <f>ROUND(ППД5[[#This Row],[Площадь по проекту(общая)]]-ППД5[[#This Row],[Летние]],2)</f>
        <v>56.88</v>
      </c>
      <c r="U490" s="91">
        <f>ROUND(ППД5[[#This Row],[Площадь по проекту(общая)]]-(SUM(ППД5[[#This Row],[Лоджия 1]:[Лоджия 3]])/2),2)</f>
        <v>58.24</v>
      </c>
      <c r="V490" s="91">
        <f>IF(ППД5[[#This Row],[Статус]]="продажа",ППД5[[#This Row],[Расчетная проектная площадь]],ППД5[[#This Row],[Расчетная ТП площадь]])</f>
        <v>58.24</v>
      </c>
      <c r="W490" s="91">
        <v>14.5</v>
      </c>
      <c r="X490" s="91">
        <v>11.3</v>
      </c>
      <c r="Y490" s="91"/>
      <c r="Z490" s="91">
        <f>SUM(ППД5[[#This Row],[ТП Комната 1]:[ТП Комната 3]])</f>
        <v>25.8</v>
      </c>
      <c r="AA490" s="91">
        <v>15.7</v>
      </c>
      <c r="AB490" s="91">
        <v>2.7</v>
      </c>
      <c r="AC490" s="91">
        <v>3</v>
      </c>
      <c r="AD490" s="91"/>
      <c r="AE490" s="91">
        <v>9.3000000000000007</v>
      </c>
      <c r="AF490" s="91">
        <v>1.35</v>
      </c>
      <c r="AG490" s="91"/>
      <c r="AH490" s="91"/>
      <c r="AI490" s="91">
        <f>SUM(ППД5[[#This Row],[ТП Лоджия 1]:[ТП Лоджия 3]])</f>
        <v>1.35</v>
      </c>
      <c r="AJ490" s="95">
        <v>2.7</v>
      </c>
      <c r="AK490" s="91">
        <f>SUM(ППД5[[#This Row],[Площадь по ТП жилая]:[ТП Лоджия 3]])-ППД5[[#This Row],[ТП Летние]]+ППД5[[#This Row],[кроме того прочая
(без коэффициента)]]</f>
        <v>59.2</v>
      </c>
      <c r="AL490" s="95">
        <f>ППД5[[#This Row],[ТП Площадь без летних]]+(ППД5[[#This Row],[ТП Летние]])</f>
        <v>57.85</v>
      </c>
      <c r="AM490" s="91">
        <f>ППД5[[#This Row],[ТП общая S]]-ППД5[[#This Row],[кроме того прочая
(без коэффициента)]]</f>
        <v>56.5</v>
      </c>
      <c r="AN490" s="95">
        <f>SUM(ППД5[[#This Row],[ТП Кухня]:[ТП Коридор]])</f>
        <v>30.7</v>
      </c>
      <c r="AO490" s="91">
        <f>ППД5[[#This Row],[Расчетная ТП площадь]]-ППД5[[#This Row],[Расчетная проектная площадь]]</f>
        <v>-0.39000000000000057</v>
      </c>
      <c r="AP490" s="335">
        <f>ППД5[[#This Row],[Расчетная ТП площадь]]/ППД5[[#This Row],[Расчетная проектная площадь]]-1</f>
        <v>-6.6964285714286031E-3</v>
      </c>
      <c r="AQ490" s="91">
        <f>ППД5[[#This Row],[% расхождения]]*ППД5[[#This Row],[Стоимость до скидки]]</f>
        <v>-37013.839285714464</v>
      </c>
      <c r="AR490" s="91">
        <f>VLOOKUP(ППД5[[#This Row],[№]],наценкад5[],COLUMN(наценкад5[[#This Row],[Цена м2 с учетом всех K]]),0)</f>
        <v>79535.67300000001</v>
      </c>
      <c r="AS490" s="8">
        <f>ППД5[[#This Row],[м2 после К]]*5%</f>
        <v>3976.7836500000008</v>
      </c>
      <c r="AT490" s="8">
        <f>ППД5[[#This Row],[м2 после К]]+ППД5[[#This Row],[Повышение 16.08.23 - 5%]]</f>
        <v>83512.456650000007</v>
      </c>
      <c r="AU490" s="93">
        <f>ППД5[[#This Row],[Фикс 16.08.23]]*3%</f>
        <v>2505.3736994999999</v>
      </c>
      <c r="AV490" s="93">
        <f>ППД5[[#This Row],[Фикс 16.08.23]]+ППД5[[#This Row],[Повышение 29.08.23 - 3%]]</f>
        <v>86017.8303495</v>
      </c>
      <c r="AW490" s="93"/>
      <c r="AX490" s="93">
        <f>ППД5[[#This Row],[Фикс 29.08.23]]+ППД5[[#This Row],[Повышение 06.09.23 СТ и 1К]]</f>
        <v>86017.8303495</v>
      </c>
      <c r="AY490" s="93"/>
      <c r="AZ490" s="93">
        <f>ППД5[[#This Row],[Повышение 23.10.23  В4 ]]+ППД5[[#This Row],[Фикс 06.09.23]]</f>
        <v>86017.8303495</v>
      </c>
      <c r="BA490" s="93"/>
      <c r="BB490" s="93">
        <f>ППД5[[#This Row],[Повышение 8.11.23 1К 5%]]+ППД5[[#This Row],[Фикс 23.10.23]]</f>
        <v>86017.8303495</v>
      </c>
      <c r="BC490" s="93"/>
      <c r="BD490" s="93">
        <f>ППД5[[#This Row],[Корректировка 24.11.23 - 1К В5, 2К А2, №233]]+ППД5[[#This Row],[Фикс 8.11.23]]</f>
        <v>86017.8303495</v>
      </c>
      <c r="BE490" s="93">
        <f>ППД5[[#This Row],[Фикс 8.11.24]]*1%</f>
        <v>860.17830349500002</v>
      </c>
      <c r="BF490" s="93">
        <f>ППД5[[#This Row],[Наценка за отделку 29.12.23 1%]]+ППД5[[#This Row],[Фикс 8.11.24]]</f>
        <v>86878.008652995006</v>
      </c>
      <c r="BG490" s="93">
        <f>ППД5[[#This Row],[Фикс 29.12.23]]*5%</f>
        <v>4343.9004326497507</v>
      </c>
      <c r="BH490" s="93">
        <f>ППД5[[#This Row],[Фикс 29.12.23]]+ППД5[[#This Row],[Наценка 10.01.24 5%]]</f>
        <v>91221.909085644758</v>
      </c>
      <c r="BI490" s="93"/>
      <c r="BJ490" s="93">
        <f>ППД5[[#This Row],[Наценка 26.02.24 1 Этаж]]+ППД5[[#This Row],[Фикс 10.01.24]]</f>
        <v>91221.909085644758</v>
      </c>
      <c r="BK490" s="93">
        <f>ППД5[[#This Row],[Фикс 26.02.24]]*2%</f>
        <v>1824.4381817128951</v>
      </c>
      <c r="BL490" s="93">
        <f>ППД5[[#This Row],[Фикс 26.02.24]]+ППД5[[#This Row],[Наценка 06.03.24
СТ, 1К - 3%
2К, 3К - 2%]]</f>
        <v>93046.347267357647</v>
      </c>
      <c r="BM490" s="93"/>
      <c r="BN490" s="93">
        <f>ППД5[[#This Row],[Фикс 06.03.24]]+ППД5[[#This Row],[Наценка Г2+500]]</f>
        <v>93046.347267357647</v>
      </c>
      <c r="BO490" s="93">
        <f>ППД5[[#This Row],[Фикс 13.03.25]]*2%</f>
        <v>1860.9269453471529</v>
      </c>
      <c r="BP490" s="93">
        <f>ППД5[[#This Row],[Фикс 13.03.25]]+ППД5[[#This Row],[Наценка 20.03.24
2К, 3К - 2%]]</f>
        <v>94907.274212704797</v>
      </c>
      <c r="BQ490" s="93"/>
      <c r="BR490" s="93">
        <f>ППД5[[#This Row],[Фикс 20.03.24]]+ППД5[[#This Row],[Наценка 08.04.24 
2К: В3 - 150
3К: Г7 +1000]]</f>
        <v>94907.274212704797</v>
      </c>
      <c r="BS490" s="93"/>
      <c r="BT490" s="93">
        <f>ППД5[[#This Row],[Фикс 08.04.24]]+ППД5[[#This Row],[Наценка 16.05.24 1%
А4,А6,Б3,Б6,Б7,В2,В3,В5,В6,Г1,Г3-Г5]]</f>
        <v>94907.274212704797</v>
      </c>
      <c r="BU490" s="93"/>
      <c r="BV490" s="93">
        <f>ППД5[[#This Row],[Фикс 16.05.24]]+ППД5[[#This Row],[Наценка 24.05.24
1% - Б4, Б5,Г2,Г6
2% - А1,А3,А5,Б2,Г7]]</f>
        <v>94907.274212704797</v>
      </c>
      <c r="BW490" s="93"/>
      <c r="BX490" s="93">
        <f>ППД5[[#This Row],[Наценка 06.06.24
0К: В2,Г3 +0,5%
1К: А7, Б5/4, Г6 +0,5%
3К: В6 +0,5%
1К: А3 +1%]]+ППД5[[#This Row],[Фикс 24.05.24]]</f>
        <v>94907.274212704797</v>
      </c>
      <c r="BY490" s="93"/>
      <c r="BZ490" s="93">
        <f>ППД5[[#This Row],[Фикс 06.06.24]]+ППД5[[#This Row],[13.06.2024
3К - 2%]]</f>
        <v>94907.274212704797</v>
      </c>
      <c r="CA490" s="93"/>
      <c r="CB490" s="93">
        <f>ППД5[[#This Row],[02.07.2024: Г3 А1 А3 Б5 Б7 Г2 Г6 Б3 Б4 В3 Г7 2,5% ост 0,5-1,5%]]+ППД5[[#This Row],[Фикс 13.06.24]]</f>
        <v>94907.274212704797</v>
      </c>
      <c r="CC490" s="93"/>
      <c r="CD490" s="93">
        <f>ППД5[[#This Row],[Фикс 02.07.24]]+ППД5[[#This Row],[04.09.2024 +500
0К - Б2; 1К - А3;
2К - А6, Б4, В3, Г5]]</f>
        <v>94907.274212704797</v>
      </c>
      <c r="CE490" s="93"/>
      <c r="CF490" s="93">
        <f>ППД5[[#This Row],[Наценка 16.09.2024
1К: А1,В7,Г6/7,Г8 - 2%
2К: А4,А5,А6,Б1,Б6,Б3/4,В3,В4,Г4,Г5 - 4%
3К: 4%]]+ППД5[[#This Row],[Фикс 04.09.24]]</f>
        <v>94907.274212704797</v>
      </c>
      <c r="CG490" s="93"/>
      <c r="CH490" s="93">
        <f>ППД5[[#This Row],[Фикс 16.09.2024]]+ППД5[[#This Row],[Наценка 01.11.24
СТ: 4%
1К: 34-40м 5%; 40м+ 8%; МГН 1%
2К: 55-70м 6%; 70-73м 7%; 73-76м 8% 
3К: 5%]]</f>
        <v>94907.274212704797</v>
      </c>
      <c r="CI490" s="93"/>
      <c r="CJ490" s="93">
        <f>ППД5[[#This Row],[Наценка 06.11 13%]]+ППД5[[#This Row],[Фикс 01.11.24]]</f>
        <v>94907.274212704797</v>
      </c>
      <c r="CK490" s="93"/>
      <c r="CL490" s="93">
        <f>ППД5[[#This Row],[Фикс 06.11.24]]+ППД5[[#This Row],[Наценка 18.12.24 распределение КВ]]</f>
        <v>94907.274212704797</v>
      </c>
      <c r="CM490" s="93"/>
      <c r="CN490" s="93">
        <f>ППД5[[#This Row],[Фикс 18.12.24]]+ППД5[[#This Row],[Наценка 10.02.25 +1%
1К: А3
2К: Б3, В3]]</f>
        <v>94907.274212704797</v>
      </c>
      <c r="CO490" s="93">
        <f>ROUND(ППД5[[#This Row],[Фикс 10.02.25]],2)</f>
        <v>94907.27</v>
      </c>
      <c r="CP49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5527400</v>
      </c>
      <c r="CQ490" s="93">
        <f>ROUNDUP(ППД5[[#This Row],[Стоимость до скидки]]+ППД5[[#This Row],[Сумма доплаты]],-2)</f>
        <v>5490400</v>
      </c>
      <c r="CR490" s="68">
        <v>90000</v>
      </c>
      <c r="CS490" s="90"/>
      <c r="CT490" s="68">
        <f>ППД5[[#This Row],[Стоимость до скидки]]*ППД5[[#This Row],[Скидка %]]+ППД5[[#This Row],[Скидка фиксированная]]</f>
        <v>90000</v>
      </c>
      <c r="CU490" s="3">
        <f>ППД5[[#This Row],[Стоимость ОН без отделки со скидкой]]/ППД5[[#This Row],[Расчетная проектная площадь]]</f>
        <v>93361.950549450543</v>
      </c>
      <c r="CV490" s="3">
        <f>ROUND(ППД5[[#This Row],[Стоимость до скидки]]-ППД5[[#This Row],[Итоговая сумма скидки]],2)</f>
        <v>5437400</v>
      </c>
      <c r="CW49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90" s="197"/>
      <c r="CY490" s="332">
        <f>ППД5[[#This Row],[Расхождение]]/ППД5[[#This Row],[Расчетная проектная площадь]]</f>
        <v>-6.6964285714285806E-3</v>
      </c>
      <c r="CZ49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-0.28000000000000291</v>
      </c>
      <c r="DA490" s="3">
        <f>ППД5[[#This Row],[Цена м2 без отделки со скидкой]]+ППД5[[#This Row],[Стоимость отделки]]</f>
        <v>93361.950549450543</v>
      </c>
      <c r="DB490" s="3">
        <f>ППД5[[#This Row],[Стоимость квартиры с отделкой]]-ППД5[[#This Row],[Стоимость ОН без отделки со скидкой]]</f>
        <v>0</v>
      </c>
      <c r="DC490" s="3">
        <f>ППД5[[#This Row],[Цена м2 с отделкой]]*ППД5[[#This Row],[Расчетная проектная площадь]]</f>
        <v>5437400</v>
      </c>
      <c r="DD490" s="3"/>
      <c r="DE490" s="111" t="s">
        <v>791</v>
      </c>
      <c r="DF490" s="199" t="s">
        <v>172</v>
      </c>
      <c r="DG490" s="245" t="s">
        <v>172</v>
      </c>
      <c r="DH490" s="100" t="b">
        <f>EXACT(ППД5[[#This Row],[Статусы CRM]],ППД5[[#This Row],[Статус]])</f>
        <v>1</v>
      </c>
      <c r="DI490" s="213" t="s">
        <v>662</v>
      </c>
      <c r="DJ490" s="204"/>
      <c r="DK490" s="111" t="s">
        <v>763</v>
      </c>
      <c r="DL490" s="216" t="s">
        <v>12</v>
      </c>
      <c r="DM490" s="201" t="b">
        <f>ППД5[[#This Row],[Отделка CRM]]=ППД5[[#This Row],[Отделка]]</f>
        <v>1</v>
      </c>
      <c r="DN490" s="203">
        <v>5437400</v>
      </c>
      <c r="DO49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90" s="207" t="b">
        <f>IF(AND(ППД5[[#This Row],[Статус]]="свободно",ППД5[[#This Row],[Итоговая сумма скидки]]&lt;&gt;0),FALSE,TRUE)</f>
        <v>1</v>
      </c>
      <c r="DQ490" s="240">
        <f>_xlfn.XLOOKUP(ППД5[[#This Row],[№]],Юрист[№ кв],Юрист[Дата подачи на регистрацию]," ",0,-1)</f>
        <v>45407</v>
      </c>
      <c r="DR490" s="115" t="str">
        <f>_xlfn.XLOOKUP(ППД5[[#This Row],[№]],Юрист[№ кв],Юрист[МОП],"",0,-1)</f>
        <v>Голенко</v>
      </c>
      <c r="DS490" s="333" t="s">
        <v>3272</v>
      </c>
      <c r="DT490" s="333" t="s">
        <v>3273</v>
      </c>
      <c r="DU490" s="333">
        <v>56.5</v>
      </c>
      <c r="DV490" s="111"/>
    </row>
    <row r="491" spans="1:126" hidden="1" x14ac:dyDescent="0.25">
      <c r="A491" s="112">
        <v>489</v>
      </c>
      <c r="B491" s="111" t="s">
        <v>2</v>
      </c>
      <c r="C491" s="111">
        <v>13</v>
      </c>
      <c r="D491" s="115">
        <v>5</v>
      </c>
      <c r="E491" s="111">
        <v>2</v>
      </c>
      <c r="F491" s="105">
        <v>15.41</v>
      </c>
      <c r="G491" s="105">
        <v>12.78</v>
      </c>
      <c r="H491" s="105"/>
      <c r="I491" s="94">
        <f>SUM(ППД5[[#This Row],[Комната 1]:[Комната 3]])</f>
        <v>28.189999999999998</v>
      </c>
      <c r="J491" s="105">
        <v>13.45</v>
      </c>
      <c r="K491" s="105">
        <v>3.7</v>
      </c>
      <c r="L491" s="105">
        <v>2.72</v>
      </c>
      <c r="M491" s="105"/>
      <c r="N491" s="105">
        <v>8.2200000000000006</v>
      </c>
      <c r="O491" s="105">
        <v>3.03</v>
      </c>
      <c r="P491" s="105"/>
      <c r="Q491" s="105"/>
      <c r="R491" s="105">
        <f>SUM(ППД5[[#This Row],[Лоджия 1]:[Лоджия 3]])</f>
        <v>3.03</v>
      </c>
      <c r="S491" s="8">
        <f>ROUND(SUM(ППД5[[#This Row],[Площадь по проекту жилая]:[Лоджия 3]]),2)</f>
        <v>59.31</v>
      </c>
      <c r="T491" s="8">
        <f>ROUND(ППД5[[#This Row],[Площадь по проекту(общая)]]-ППД5[[#This Row],[Летние]],2)</f>
        <v>56.28</v>
      </c>
      <c r="U491" s="91">
        <f>ROUND(ППД5[[#This Row],[Площадь по проекту(общая)]]-(SUM(ППД5[[#This Row],[Лоджия 1]:[Лоджия 3]])/2),2)</f>
        <v>57.8</v>
      </c>
      <c r="V491" s="91">
        <f>IF(ППД5[[#This Row],[Статус]]="продажа",ППД5[[#This Row],[Расчетная проектная площадь]],ППД5[[#This Row],[Расчетная ТП площадь]])</f>
        <v>57.8</v>
      </c>
      <c r="W491" s="91">
        <v>12.7</v>
      </c>
      <c r="X491" s="91">
        <v>15.4</v>
      </c>
      <c r="Y491" s="91"/>
      <c r="Z491" s="91">
        <f>SUM(ППД5[[#This Row],[ТП Комната 1]:[ТП Комната 3]])</f>
        <v>28.1</v>
      </c>
      <c r="AA491" s="91">
        <v>13.4</v>
      </c>
      <c r="AB491" s="91">
        <v>2.8</v>
      </c>
      <c r="AC491" s="91">
        <v>3.7</v>
      </c>
      <c r="AD491" s="91"/>
      <c r="AE491" s="91">
        <v>8.1</v>
      </c>
      <c r="AF491" s="91">
        <v>1.45</v>
      </c>
      <c r="AG491" s="91"/>
      <c r="AH491" s="91"/>
      <c r="AI491" s="91">
        <f>SUM(ППД5[[#This Row],[ТП Лоджия 1]:[ТП Лоджия 3]])</f>
        <v>1.45</v>
      </c>
      <c r="AJ491" s="95">
        <v>2.9</v>
      </c>
      <c r="AK491" s="91">
        <f>SUM(ППД5[[#This Row],[Площадь по ТП жилая]:[ТП Лоджия 3]])-ППД5[[#This Row],[ТП Летние]]+ППД5[[#This Row],[кроме того прочая
(без коэффициента)]]</f>
        <v>59</v>
      </c>
      <c r="AL491" s="95">
        <f>ППД5[[#This Row],[ТП Площадь без летних]]+(ППД5[[#This Row],[ТП Летние]])</f>
        <v>57.550000000000004</v>
      </c>
      <c r="AM491" s="91">
        <f>ППД5[[#This Row],[ТП общая S]]-ППД5[[#This Row],[кроме того прочая
(без коэффициента)]]</f>
        <v>56.1</v>
      </c>
      <c r="AN491" s="95">
        <f>SUM(ППД5[[#This Row],[ТП Кухня]:[ТП Коридор]])</f>
        <v>28</v>
      </c>
      <c r="AO491" s="91">
        <f>ППД5[[#This Row],[Расчетная ТП площадь]]-ППД5[[#This Row],[Расчетная проектная площадь]]</f>
        <v>-0.24999999999999289</v>
      </c>
      <c r="AP491" s="335">
        <f>ППД5[[#This Row],[Расчетная ТП площадь]]/ППД5[[#This Row],[Расчетная проектная площадь]]-1</f>
        <v>-4.325259515570834E-3</v>
      </c>
      <c r="AQ491" s="91">
        <f>ППД5[[#This Row],[% расхождения]]*ППД5[[#This Row],[Стоимость до скидки]]</f>
        <v>-21400.067517300544</v>
      </c>
      <c r="AR491" s="91">
        <f>VLOOKUP(ППД5[[#This Row],[№]],наценкад5[],COLUMN(наценкад5[[#This Row],[Цена м2 с учетом всех K]]),0)</f>
        <v>79149.577499999999</v>
      </c>
      <c r="AS491" s="8">
        <f>ППД5[[#This Row],[м2 после К]]*5%</f>
        <v>3957.4788750000002</v>
      </c>
      <c r="AT491" s="8">
        <f>ППД5[[#This Row],[м2 после К]]+ППД5[[#This Row],[Повышение 16.08.23 - 5%]]</f>
        <v>83107.056375</v>
      </c>
      <c r="AU491" s="93">
        <f>ППД5[[#This Row],[Фикс 16.08.23]]*3%</f>
        <v>2493.2116912500001</v>
      </c>
      <c r="AV491" s="93">
        <f>ППД5[[#This Row],[Фикс 16.08.23]]+ППД5[[#This Row],[Повышение 29.08.23 - 3%]]</f>
        <v>85600.268066250006</v>
      </c>
      <c r="AW491" s="93"/>
      <c r="AX491" s="93">
        <f>ППД5[[#This Row],[Фикс 29.08.23]]+ППД5[[#This Row],[Повышение 06.09.23 СТ и 1К]]</f>
        <v>85600.268066250006</v>
      </c>
      <c r="AY491" s="93"/>
      <c r="AZ491" s="93">
        <f>ППД5[[#This Row],[Повышение 23.10.23  В4 ]]+ППД5[[#This Row],[Фикс 06.09.23]]</f>
        <v>85600.268066250006</v>
      </c>
      <c r="BA491" s="93"/>
      <c r="BB491" s="93">
        <f>ППД5[[#This Row],[Повышение 8.11.23 1К 5%]]+ППД5[[#This Row],[Фикс 23.10.23]]</f>
        <v>85600.268066250006</v>
      </c>
      <c r="BC491" s="93"/>
      <c r="BD491" s="93">
        <f>ППД5[[#This Row],[Корректировка 24.11.23 - 1К В5, 2К А2, №233]]+ППД5[[#This Row],[Фикс 8.11.23]]</f>
        <v>85600.268066250006</v>
      </c>
      <c r="BE491" s="93"/>
      <c r="BF491" s="93">
        <f>ППД5[[#This Row],[Наценка за отделку 29.12.23 1%]]+ППД5[[#This Row],[Фикс 8.11.24]]</f>
        <v>85600.268066250006</v>
      </c>
      <c r="BG491" s="93"/>
      <c r="BH491" s="93">
        <f>ППД5[[#This Row],[Фикс 29.12.23]]+ППД5[[#This Row],[Наценка 10.01.24 5%]]</f>
        <v>85600.268066250006</v>
      </c>
      <c r="BI491" s="93"/>
      <c r="BJ491" s="93">
        <f>ППД5[[#This Row],[Наценка 26.02.24 1 Этаж]]+ППД5[[#This Row],[Фикс 10.01.24]]</f>
        <v>85600.268066250006</v>
      </c>
      <c r="BK491" s="93"/>
      <c r="BL491" s="93">
        <f>ППД5[[#This Row],[Фикс 26.02.24]]+ППД5[[#This Row],[Наценка 06.03.24
СТ, 1К - 3%
2К, 3К - 2%]]</f>
        <v>85600.268066250006</v>
      </c>
      <c r="BM491" s="93"/>
      <c r="BN491" s="93">
        <f>ППД5[[#This Row],[Фикс 06.03.24]]+ППД5[[#This Row],[Наценка Г2+500]]</f>
        <v>85600.268066250006</v>
      </c>
      <c r="BO491" s="93"/>
      <c r="BP491" s="93">
        <f>ППД5[[#This Row],[Фикс 13.03.25]]+ППД5[[#This Row],[Наценка 20.03.24
2К, 3К - 2%]]</f>
        <v>85600.268066250006</v>
      </c>
      <c r="BQ491" s="93"/>
      <c r="BR491" s="93">
        <f>ППД5[[#This Row],[Фикс 20.03.24]]+ППД5[[#This Row],[Наценка 08.04.24 
2К: В3 - 150
3К: Г7 +1000]]</f>
        <v>85600.268066250006</v>
      </c>
      <c r="BS491" s="93"/>
      <c r="BT491" s="93">
        <f>ППД5[[#This Row],[Фикс 08.04.24]]+ППД5[[#This Row],[Наценка 16.05.24 1%
А4,А6,Б3,Б6,Б7,В2,В3,В5,В6,Г1,Г3-Г5]]</f>
        <v>85600.268066250006</v>
      </c>
      <c r="BU491" s="93"/>
      <c r="BV491" s="93">
        <f>ППД5[[#This Row],[Фикс 16.05.24]]+ППД5[[#This Row],[Наценка 24.05.24
1% - Б4, Б5,Г2,Г6
2% - А1,А3,А5,Б2,Г7]]</f>
        <v>85600.268066250006</v>
      </c>
      <c r="BW491" s="93"/>
      <c r="BX491" s="93">
        <f>ППД5[[#This Row],[Наценка 06.06.24
0К: В2,Г3 +0,5%
1К: А7, Б5/4, Г6 +0,5%
3К: В6 +0,5%
1К: А3 +1%]]+ППД5[[#This Row],[Фикс 24.05.24]]</f>
        <v>85600.268066250006</v>
      </c>
      <c r="BY491" s="93"/>
      <c r="BZ491" s="93">
        <f>ППД5[[#This Row],[Фикс 06.06.24]]+ППД5[[#This Row],[13.06.2024
3К - 2%]]</f>
        <v>85600.268066250006</v>
      </c>
      <c r="CA491" s="93"/>
      <c r="CB491" s="93">
        <f>ППД5[[#This Row],[02.07.2024: Г3 А1 А3 Б5 Б7 Г2 Г6 Б3 Б4 В3 Г7 2,5% ост 0,5-1,5%]]+ППД5[[#This Row],[Фикс 13.06.24]]</f>
        <v>85600.268066250006</v>
      </c>
      <c r="CC491" s="93"/>
      <c r="CD491" s="93">
        <f>ППД5[[#This Row],[Фикс 02.07.24]]+ППД5[[#This Row],[04.09.2024 +500
0К - Б2; 1К - А3;
2К - А6, Б4, В3, Г5]]</f>
        <v>85600.268066250006</v>
      </c>
      <c r="CE491" s="93"/>
      <c r="CF491" s="93">
        <f>ППД5[[#This Row],[Наценка 16.09.2024
1К: А1,В7,Г6/7,Г8 - 2%
2К: А4,А5,А6,Б1,Б6,Б3/4,В3,В4,Г4,Г5 - 4%
3К: 4%]]+ППД5[[#This Row],[Фикс 04.09.24]]</f>
        <v>85600.268066250006</v>
      </c>
      <c r="CG491" s="93"/>
      <c r="CH491" s="93">
        <f>ППД5[[#This Row],[Фикс 16.09.2024]]+ППД5[[#This Row],[Наценка 01.11.24
СТ: 4%
1К: 34-40м 5%; 40м+ 8%; МГН 1%
2К: 55-70м 6%; 70-73м 7%; 73-76м 8% 
3К: 5%]]</f>
        <v>85600.268066250006</v>
      </c>
      <c r="CI491" s="93"/>
      <c r="CJ491" s="93">
        <f>ППД5[[#This Row],[Наценка 06.11 13%]]+ППД5[[#This Row],[Фикс 01.11.24]]</f>
        <v>85600.268066250006</v>
      </c>
      <c r="CK491" s="93"/>
      <c r="CL491" s="93">
        <f>ППД5[[#This Row],[Фикс 06.11.24]]+ППД5[[#This Row],[Наценка 18.12.24 распределение КВ]]</f>
        <v>85600.268066250006</v>
      </c>
      <c r="CM491" s="93"/>
      <c r="CN491" s="93">
        <f>ППД5[[#This Row],[Фикс 18.12.24]]+ППД5[[#This Row],[Наценка 10.02.25 +1%
1К: А3
2К: Б3, В3]]</f>
        <v>85600.268066250006</v>
      </c>
      <c r="CO491" s="93">
        <f>ROUND(ППД5[[#This Row],[Фикс 10.02.25]],2)</f>
        <v>85600.27</v>
      </c>
      <c r="CP49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4947695.6100000003</v>
      </c>
      <c r="CQ491" s="93">
        <f>ROUNDUP(ППД5[[#This Row],[Стоимость до скидки]]+ППД5[[#This Row],[Сумма доплаты]],-2)</f>
        <v>4926300</v>
      </c>
      <c r="CR491" s="68"/>
      <c r="CS491" s="90">
        <v>0.02</v>
      </c>
      <c r="CT491" s="68">
        <f>ППД5[[#This Row],[Стоимость до скидки]]*ППД5[[#This Row],[Скидка %]]+ППД5[[#This Row],[Скидка фиксированная]]</f>
        <v>98953.912200000006</v>
      </c>
      <c r="CU491" s="3">
        <f>ППД5[[#This Row],[Стоимость ОН без отделки со скидкой]]/ППД5[[#This Row],[Расчетная проектная площадь]]</f>
        <v>83888.264705882364</v>
      </c>
      <c r="CV491" s="3">
        <f>ROUND(ППД5[[#This Row],[Стоимость до скидки]]-ППД5[[#This Row],[Итоговая сумма скидки]],2)</f>
        <v>4848741.7</v>
      </c>
      <c r="CW49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491" s="197">
        <v>22000</v>
      </c>
      <c r="CY491" s="332">
        <f>ППД5[[#This Row],[Расхождение]]/ППД5[[#This Row],[Расчетная проектная площадь]]</f>
        <v>-4.3252595155708114E-3</v>
      </c>
      <c r="CZ49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-8.9999999999996305E-2</v>
      </c>
      <c r="DA491" s="3">
        <f>ППД5[[#This Row],[Цена м2 без отделки со скидкой]]+ППД5[[#This Row],[Стоимость отделки]]</f>
        <v>105888.26470588236</v>
      </c>
      <c r="DB491" s="3">
        <f>ППД5[[#This Row],[Стоимость квартиры с отделкой]]-ППД5[[#This Row],[Стоимость ОН без отделки со скидкой]]</f>
        <v>1271600</v>
      </c>
      <c r="DC491" s="3">
        <f>ППД5[[#This Row],[Цена м2 с отделкой]]*ППД5[[#This Row],[Расчетная проектная площадь]]</f>
        <v>6120341.7000000002</v>
      </c>
      <c r="DD491" s="3"/>
      <c r="DE491" s="111" t="s">
        <v>757</v>
      </c>
      <c r="DF491" s="199" t="s">
        <v>172</v>
      </c>
      <c r="DG491" s="245" t="s">
        <v>172</v>
      </c>
      <c r="DH491" s="100" t="b">
        <f>EXACT(ППД5[[#This Row],[Статусы CRM]],ППД5[[#This Row],[Статус]])</f>
        <v>1</v>
      </c>
      <c r="DI491" s="213" t="s">
        <v>663</v>
      </c>
      <c r="DJ491" s="204"/>
      <c r="DK491" s="111" t="s">
        <v>76</v>
      </c>
      <c r="DL491" s="216" t="s">
        <v>14</v>
      </c>
      <c r="DM491" s="201" t="b">
        <f>ППД5[[#This Row],[Отделка CRM]]=ППД5[[#This Row],[Отделка]]</f>
        <v>1</v>
      </c>
      <c r="DN491" s="203">
        <v>6120341.7000000002</v>
      </c>
      <c r="DO49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91" s="207" t="b">
        <f>IF(AND(ППД5[[#This Row],[Статус]]="свободно",ППД5[[#This Row],[Итоговая сумма скидки]]&lt;&gt;0),FALSE,TRUE)</f>
        <v>1</v>
      </c>
      <c r="DQ491" s="240">
        <f>_xlfn.XLOOKUP(ППД5[[#This Row],[№]],Юрист[№ кв],Юрист[Дата подачи на регистрацию]," ",0,-1)</f>
        <v>45230</v>
      </c>
      <c r="DR491" s="115" t="str">
        <f>_xlfn.XLOOKUP(ППД5[[#This Row],[№]],Юрист[№ кв],Юрист[МОП],"",0,-1)</f>
        <v>Дик</v>
      </c>
      <c r="DS491" s="333" t="s">
        <v>3274</v>
      </c>
      <c r="DT491" s="333" t="s">
        <v>3275</v>
      </c>
      <c r="DU491" s="333">
        <v>56.1</v>
      </c>
      <c r="DV491" s="111"/>
    </row>
    <row r="492" spans="1:126" hidden="1" x14ac:dyDescent="0.25">
      <c r="A492" s="112">
        <v>490</v>
      </c>
      <c r="B492" s="111" t="s">
        <v>2</v>
      </c>
      <c r="C492" s="111">
        <v>13</v>
      </c>
      <c r="D492" s="115">
        <v>6</v>
      </c>
      <c r="E492" s="111">
        <v>1</v>
      </c>
      <c r="F492" s="105">
        <v>12.71</v>
      </c>
      <c r="G492" s="105"/>
      <c r="H492" s="105"/>
      <c r="I492" s="94">
        <f>SUM(ППД5[[#This Row],[Комната 1]:[Комната 3]])</f>
        <v>12.71</v>
      </c>
      <c r="J492" s="105">
        <v>12.55</v>
      </c>
      <c r="K492" s="105">
        <v>4.28</v>
      </c>
      <c r="L492" s="105"/>
      <c r="M492" s="105"/>
      <c r="N492" s="105">
        <v>7.34</v>
      </c>
      <c r="O492" s="105">
        <v>2.84</v>
      </c>
      <c r="P492" s="105"/>
      <c r="Q492" s="105"/>
      <c r="R492" s="105">
        <f>SUM(ППД5[[#This Row],[Лоджия 1]:[Лоджия 3]])</f>
        <v>2.84</v>
      </c>
      <c r="S492" s="8">
        <f>ROUND(SUM(ППД5[[#This Row],[Площадь по проекту жилая]:[Лоджия 3]]),2)</f>
        <v>39.72</v>
      </c>
      <c r="T492" s="8">
        <f>ROUND(ППД5[[#This Row],[Площадь по проекту(общая)]]-ППД5[[#This Row],[Летние]],2)</f>
        <v>36.880000000000003</v>
      </c>
      <c r="U492" s="91">
        <f>ROUND(ППД5[[#This Row],[Площадь по проекту(общая)]]-(SUM(ППД5[[#This Row],[Лоджия 1]:[Лоджия 3]])/2),2)</f>
        <v>38.299999999999997</v>
      </c>
      <c r="V492" s="91">
        <f>IF(ППД5[[#This Row],[Статус]]="продажа",ППД5[[#This Row],[Расчетная проектная площадь]],ППД5[[#This Row],[Расчетная ТП площадь]])</f>
        <v>37.899999999999991</v>
      </c>
      <c r="W492" s="91">
        <v>12.7</v>
      </c>
      <c r="X492" s="91"/>
      <c r="Y492" s="91"/>
      <c r="Z492" s="91">
        <f>SUM(ППД5[[#This Row],[ТП Комната 1]:[ТП Комната 3]])</f>
        <v>12.7</v>
      </c>
      <c r="AA492" s="91">
        <v>12.6</v>
      </c>
      <c r="AB492" s="91">
        <v>3.9</v>
      </c>
      <c r="AC492" s="91"/>
      <c r="AD492" s="91"/>
      <c r="AE492" s="91">
        <v>7.3</v>
      </c>
      <c r="AF492" s="91">
        <v>1.4</v>
      </c>
      <c r="AG492" s="91"/>
      <c r="AH492" s="91"/>
      <c r="AI492" s="91">
        <f>SUM(ППД5[[#This Row],[ТП Лоджия 1]:[ТП Лоджия 3]])</f>
        <v>1.4</v>
      </c>
      <c r="AJ492" s="95">
        <v>2.8</v>
      </c>
      <c r="AK492" s="91">
        <f>SUM(ППД5[[#This Row],[Площадь по ТП жилая]:[ТП Лоджия 3]])-ППД5[[#This Row],[ТП Летние]]+ППД5[[#This Row],[кроме того прочая
(без коэффициента)]]</f>
        <v>39.29999999999999</v>
      </c>
      <c r="AL492" s="95">
        <f>ППД5[[#This Row],[ТП Площадь без летних]]+(ППД5[[#This Row],[ТП Летние]])</f>
        <v>37.899999999999991</v>
      </c>
      <c r="AM492" s="91">
        <f>ППД5[[#This Row],[ТП общая S]]-ППД5[[#This Row],[кроме того прочая
(без коэффициента)]]</f>
        <v>36.499999999999993</v>
      </c>
      <c r="AN492" s="95">
        <f>SUM(ППД5[[#This Row],[ТП Кухня]:[ТП Коридор]])</f>
        <v>23.8</v>
      </c>
      <c r="AO492" s="91">
        <f>ППД5[[#This Row],[Расчетная ТП площадь]]-ППД5[[#This Row],[Расчетная проектная площадь]]</f>
        <v>-0.40000000000000568</v>
      </c>
      <c r="AP492" s="335">
        <f>ППД5[[#This Row],[Расчетная ТП площадь]]/ППД5[[#This Row],[Расчетная проектная площадь]]-1</f>
        <v>-1.0443864229765176E-2</v>
      </c>
      <c r="AQ492" s="91">
        <f>ППД5[[#This Row],[% расхождения]]*ППД5[[#This Row],[Стоимость до скидки]]</f>
        <v>-55290.86161879982</v>
      </c>
      <c r="AR492" s="91">
        <f>VLOOKUP(ППД5[[#This Row],[№]],наценкад5[],COLUMN(наценкад5[[#This Row],[Цена м2 с учетом всех K]]),0)</f>
        <v>87601.5</v>
      </c>
      <c r="AS492" s="8">
        <f>ППД5[[#This Row],[м2 после К]]*5%</f>
        <v>4380.0749999999998</v>
      </c>
      <c r="AT492" s="8">
        <f>ППД5[[#This Row],[м2 после К]]+ППД5[[#This Row],[Повышение 16.08.23 - 5%]]</f>
        <v>91981.574999999997</v>
      </c>
      <c r="AU492" s="93">
        <f>ППД5[[#This Row],[Фикс 16.08.23]]*3%</f>
        <v>2759.4472499999997</v>
      </c>
      <c r="AV492" s="93">
        <f>ППД5[[#This Row],[Фикс 16.08.23]]+ППД5[[#This Row],[Повышение 29.08.23 - 3%]]</f>
        <v>94741.022249999995</v>
      </c>
      <c r="AW492" s="93">
        <f>ППД5[[#This Row],[Фикс 29.08.23]]*1%</f>
        <v>947.41022249999992</v>
      </c>
      <c r="AX492" s="93">
        <f>ППД5[[#This Row],[Фикс 29.08.23]]+ППД5[[#This Row],[Повышение 06.09.23 СТ и 1К]]</f>
        <v>95688.43247249999</v>
      </c>
      <c r="AY492" s="93"/>
      <c r="AZ492" s="93">
        <f>ППД5[[#This Row],[Повышение 23.10.23  В4 ]]+ППД5[[#This Row],[Фикс 06.09.23]]</f>
        <v>95688.43247249999</v>
      </c>
      <c r="BA492" s="93">
        <f>ППД5[[#This Row],[Фикс 23.10.23]]*5%</f>
        <v>4784.4216236249995</v>
      </c>
      <c r="BB492" s="93">
        <f>ППД5[[#This Row],[Повышение 8.11.23 1К 5%]]+ППД5[[#This Row],[Фикс 23.10.23]]</f>
        <v>100472.854096125</v>
      </c>
      <c r="BC492" s="93"/>
      <c r="BD492" s="93">
        <f>ППД5[[#This Row],[Корректировка 24.11.23 - 1К В5, 2К А2, №233]]+ППД5[[#This Row],[Фикс 8.11.23]]</f>
        <v>100472.854096125</v>
      </c>
      <c r="BE492" s="93">
        <f>ППД5[[#This Row],[Фикс 8.11.24]]*1%</f>
        <v>1004.72854096125</v>
      </c>
      <c r="BF492" s="93">
        <f>ППД5[[#This Row],[Наценка за отделку 29.12.23 1%]]+ППД5[[#This Row],[Фикс 8.11.24]]</f>
        <v>101477.58263708625</v>
      </c>
      <c r="BG492" s="93">
        <f>ППД5[[#This Row],[Фикс 29.12.23]]*5%</f>
        <v>5073.8791318543126</v>
      </c>
      <c r="BH492" s="93">
        <f>ППД5[[#This Row],[Фикс 29.12.23]]+ППД5[[#This Row],[Наценка 10.01.24 5%]]</f>
        <v>106551.46176894056</v>
      </c>
      <c r="BI492" s="93"/>
      <c r="BJ492" s="93">
        <f>ППД5[[#This Row],[Наценка 26.02.24 1 Этаж]]+ППД5[[#This Row],[Фикс 10.01.24]]</f>
        <v>106551.46176894056</v>
      </c>
      <c r="BK492" s="93">
        <f>ППД5[[#This Row],[Фикс 26.02.24]]*3%</f>
        <v>3196.5438530682168</v>
      </c>
      <c r="BL492" s="93">
        <f>ППД5[[#This Row],[Фикс 26.02.24]]+ППД5[[#This Row],[Наценка 06.03.24
СТ, 1К - 3%
2К, 3К - 2%]]</f>
        <v>109748.00562200877</v>
      </c>
      <c r="BM492" s="93"/>
      <c r="BN492" s="93">
        <f>ППД5[[#This Row],[Фикс 06.03.24]]+ППД5[[#This Row],[Наценка Г2+500]]</f>
        <v>109748.00562200877</v>
      </c>
      <c r="BO492" s="93"/>
      <c r="BP492" s="93">
        <f>ППД5[[#This Row],[Фикс 13.03.25]]+ППД5[[#This Row],[Наценка 20.03.24
2К, 3К - 2%]]</f>
        <v>109748.00562200877</v>
      </c>
      <c r="BQ492" s="93"/>
      <c r="BR492" s="93">
        <f>ППД5[[#This Row],[Фикс 20.03.24]]+ППД5[[#This Row],[Наценка 08.04.24 
2К: В3 - 150
3К: Г7 +1000]]</f>
        <v>109748.00562200877</v>
      </c>
      <c r="BS492" s="93"/>
      <c r="BT492" s="93">
        <f>ППД5[[#This Row],[Фикс 08.04.24]]+ППД5[[#This Row],[Наценка 16.05.24 1%
А4,А6,Б3,Б6,Б7,В2,В3,В5,В6,Г1,Г3-Г5]]</f>
        <v>109748.00562200877</v>
      </c>
      <c r="BU492" s="93">
        <f>ППД5[[#This Row],[Фикс 16.05.24]]*1%</f>
        <v>1097.4800562200878</v>
      </c>
      <c r="BV492" s="93">
        <f>ППД5[[#This Row],[Фикс 16.05.24]]+ППД5[[#This Row],[Наценка 24.05.24
1% - Б4, Б5,Г2,Г6
2% - А1,А3,А5,Б2,Г7]]</f>
        <v>110845.48567822886</v>
      </c>
      <c r="BW492" s="93">
        <f>ППД5[[#This Row],[Фикс 24.05.24]]*0.5%</f>
        <v>554.22742839114426</v>
      </c>
      <c r="BX492" s="93">
        <f>ППД5[[#This Row],[Наценка 06.06.24
0К: В2,Г3 +0,5%
1К: А7, Б5/4, Г6 +0,5%
3К: В6 +0,5%
1К: А3 +1%]]+ППД5[[#This Row],[Фикс 24.05.24]]</f>
        <v>111399.71310661999</v>
      </c>
      <c r="BY492" s="93"/>
      <c r="BZ492" s="93">
        <f>ППД5[[#This Row],[Фикс 06.06.24]]+ППД5[[#This Row],[13.06.2024
3К - 2%]]</f>
        <v>111399.71310661999</v>
      </c>
      <c r="CA492" s="93">
        <f>2.5%*ППД5[[#This Row],[Фикс 13.06.24]]</f>
        <v>2784.9928276655</v>
      </c>
      <c r="CB492" s="93">
        <f>ППД5[[#This Row],[02.07.2024: Г3 А1 А3 Б5 Б7 Г2 Г6 Б3 Б4 В3 Г7 2,5% ост 0,5-1,5%]]+ППД5[[#This Row],[Фикс 13.06.24]]</f>
        <v>114184.70593428549</v>
      </c>
      <c r="CC492" s="93"/>
      <c r="CD492" s="93">
        <f>ППД5[[#This Row],[Фикс 02.07.24]]+ППД5[[#This Row],[04.09.2024 +500
0К - Б2; 1К - А3;
2К - А6, Б4, В3, Г5]]</f>
        <v>114184.70593428549</v>
      </c>
      <c r="CE492" s="93">
        <f>ППД5[[#This Row],[Фикс 04.09.24]]*2%</f>
        <v>2283.6941186857098</v>
      </c>
      <c r="CF492" s="93">
        <f>ППД5[[#This Row],[Наценка 16.09.2024
1К: А1,В7,Г6/7,Г8 - 2%
2К: А4,А5,А6,Б1,Б6,Б3/4,В3,В4,Г4,Г5 - 4%
3К: 4%]]+ППД5[[#This Row],[Фикс 04.09.24]]</f>
        <v>116468.40005297121</v>
      </c>
      <c r="CG492" s="93">
        <f>ППД5[[#This Row],[Фикс 16.09.2024]]*5%</f>
        <v>5823.4200026485605</v>
      </c>
      <c r="CH492" s="93">
        <f>ППД5[[#This Row],[Фикс 16.09.2024]]+ППД5[[#This Row],[Наценка 01.11.24
СТ: 4%
1К: 34-40м 5%; 40м+ 8%; МГН 1%
2К: 55-70м 6%; 70-73м 7%; 73-76м 8% 
3К: 5%]]</f>
        <v>122291.82005561977</v>
      </c>
      <c r="CI492" s="93">
        <f>ППД5[[#This Row],[Фикс 01.11.24]]*13%</f>
        <v>15897.936607230571</v>
      </c>
      <c r="CJ492" s="93">
        <f>ППД5[[#This Row],[Наценка 06.11 13%]]+ППД5[[#This Row],[Фикс 01.11.24]]</f>
        <v>138189.75666285033</v>
      </c>
      <c r="CK492" s="93">
        <v>35</v>
      </c>
      <c r="CL492" s="93">
        <f>ППД5[[#This Row],[Фикс 06.11.24]]+ППД5[[#This Row],[Наценка 18.12.24 распределение КВ]]</f>
        <v>138224.75666285033</v>
      </c>
      <c r="CM492" s="93"/>
      <c r="CN492" s="93">
        <f>ППД5[[#This Row],[Фикс 18.12.24]]+ППД5[[#This Row],[Наценка 10.02.25 +1%
1К: А3
2К: Б3, В3]]</f>
        <v>138224.75666285033</v>
      </c>
      <c r="CO492" s="93">
        <f>ROUND(ППД5[[#This Row],[Фикс 10.02.25]],2)</f>
        <v>138224.76</v>
      </c>
      <c r="CP49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5294100</v>
      </c>
      <c r="CQ492" s="93">
        <f>ROUNDUP(ППД5[[#This Row],[Стоимость до скидки]]+ППД5[[#This Row],[Сумма доплаты]],-2)</f>
        <v>5238900</v>
      </c>
      <c r="CR492" s="68"/>
      <c r="CS492" s="90"/>
      <c r="CT492" s="68">
        <f>ППД5[[#This Row],[Стоимость до скидки]]*ППД5[[#This Row],[Скидка %]]+ППД5[[#This Row],[Скидка фиксированная]]</f>
        <v>0</v>
      </c>
      <c r="CU492" s="3">
        <f>ППД5[[#This Row],[Стоимость ОН без отделки со скидкой]]/ППД5[[#This Row],[Расчетная проектная площадь]]</f>
        <v>138227.1540469974</v>
      </c>
      <c r="CV492" s="3">
        <f>ROUND(ППД5[[#This Row],[Стоимость до скидки]]-ППД5[[#This Row],[Итоговая сумма скидки]],2)</f>
        <v>5294100</v>
      </c>
      <c r="CW49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492" s="218">
        <v>10000</v>
      </c>
      <c r="CY492" s="332">
        <f>ППД5[[#This Row],[Расхождение]]/ППД5[[#This Row],[Расчетная проектная площадь]]</f>
        <v>-1.0443864229765162E-2</v>
      </c>
      <c r="CZ492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-0.37000000000000099</v>
      </c>
      <c r="DA492" s="3">
        <f>ППД5[[#This Row],[Цена м2 без отделки со скидкой]]+ППД5[[#This Row],[Стоимость отделки]]</f>
        <v>148227.1540469974</v>
      </c>
      <c r="DB492" s="3">
        <f>ППД5[[#This Row],[Стоимость квартиры с отделкой]]-ППД5[[#This Row],[Стоимость ОН без отделки со скидкой]]</f>
        <v>383000</v>
      </c>
      <c r="DC492" s="3">
        <f>ППД5[[#This Row],[Цена м2 с отделкой]]*ППД5[[#This Row],[Расчетная проектная площадь]]</f>
        <v>5677100</v>
      </c>
      <c r="DD492" s="3"/>
      <c r="DF492" s="155" t="s">
        <v>157</v>
      </c>
      <c r="DG492" s="221" t="s">
        <v>157</v>
      </c>
      <c r="DH492" s="100" t="b">
        <f>EXACT(ППД5[[#This Row],[Статусы CRM]],ППД5[[#This Row],[Статус]])</f>
        <v>1</v>
      </c>
      <c r="DI492" s="213" t="s">
        <v>664</v>
      </c>
      <c r="DJ492" s="204"/>
      <c r="DK492" s="111" t="s">
        <v>763</v>
      </c>
      <c r="DL492" s="216" t="s">
        <v>780</v>
      </c>
      <c r="DM492" s="201" t="b">
        <f>ППД5[[#This Row],[Отделка CRM]]=ППД5[[#This Row],[Отделка]]</f>
        <v>1</v>
      </c>
      <c r="DN492" s="203">
        <v>5677100</v>
      </c>
      <c r="DO49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92" s="207" t="b">
        <f>IF(AND(ППД5[[#This Row],[Статус]]="свободно",ППД5[[#This Row],[Итоговая сумма скидки]]&lt;&gt;0),FALSE,TRUE)</f>
        <v>1</v>
      </c>
      <c r="DQ492" s="240" t="str">
        <f>_xlfn.XLOOKUP(ППД5[[#This Row],[№]],Юрист[№ кв],Юрист[Дата подачи на регистрацию]," ",0,-1)</f>
        <v xml:space="preserve"> </v>
      </c>
      <c r="DR492" s="115" t="str">
        <f>_xlfn.XLOOKUP(ППД5[[#This Row],[№]],Юрист[№ кв],Юрист[МОП],"",0,-1)</f>
        <v/>
      </c>
      <c r="DS492" s="333" t="s">
        <v>3276</v>
      </c>
      <c r="DT492" s="333" t="s">
        <v>3277</v>
      </c>
      <c r="DU492" s="333">
        <v>36.5</v>
      </c>
      <c r="DV492" s="111"/>
    </row>
    <row r="493" spans="1:126" hidden="1" x14ac:dyDescent="0.25">
      <c r="A493" s="112">
        <v>491</v>
      </c>
      <c r="B493" s="111" t="s">
        <v>2</v>
      </c>
      <c r="C493" s="111">
        <v>13</v>
      </c>
      <c r="D493" s="115">
        <v>7</v>
      </c>
      <c r="E493" s="111">
        <v>3</v>
      </c>
      <c r="F493" s="105">
        <v>14.49</v>
      </c>
      <c r="G493" s="105">
        <v>13.98</v>
      </c>
      <c r="H493" s="105">
        <v>11.42</v>
      </c>
      <c r="I493" s="94">
        <f>SUM(ППД5[[#This Row],[Комната 1]:[Комната 3]])</f>
        <v>39.89</v>
      </c>
      <c r="J493" s="105">
        <v>16.670000000000002</v>
      </c>
      <c r="K493" s="105">
        <v>4.1399999999999997</v>
      </c>
      <c r="L493" s="105">
        <v>1.89</v>
      </c>
      <c r="M493" s="105"/>
      <c r="N493" s="105">
        <v>11.31</v>
      </c>
      <c r="O493" s="105">
        <v>2.86</v>
      </c>
      <c r="P493" s="105">
        <v>2.79</v>
      </c>
      <c r="Q493" s="105">
        <v>5.42</v>
      </c>
      <c r="R493" s="105">
        <f>SUM(ППД5[[#This Row],[Лоджия 1]:[Лоджия 3]])</f>
        <v>11.07</v>
      </c>
      <c r="S493" s="8">
        <f>ROUND(SUM(ППД5[[#This Row],[Площадь по проекту жилая]:[Лоджия 3]]),2)</f>
        <v>84.97</v>
      </c>
      <c r="T493" s="8">
        <f>ROUND(ППД5[[#This Row],[Площадь по проекту(общая)]]-ППД5[[#This Row],[Летние]],2)</f>
        <v>73.900000000000006</v>
      </c>
      <c r="U493" s="91">
        <f>ROUND(ППД5[[#This Row],[Площадь по проекту(общая)]]-(SUM(ППД5[[#This Row],[Лоджия 1]:[Лоджия 3]])/2),2)</f>
        <v>79.44</v>
      </c>
      <c r="V493" s="91">
        <f>IF(ППД5[[#This Row],[Статус]]="продажа",ППД5[[#This Row],[Расчетная проектная площадь]],ППД5[[#This Row],[Расчетная ТП площадь]])</f>
        <v>79.44</v>
      </c>
      <c r="W493" s="91">
        <v>11.4</v>
      </c>
      <c r="X493" s="91">
        <v>14.5</v>
      </c>
      <c r="Y493" s="91">
        <v>13.8</v>
      </c>
      <c r="Z493" s="91">
        <f>SUM(ППД5[[#This Row],[ТП Комната 1]:[ТП Комната 3]])</f>
        <v>39.700000000000003</v>
      </c>
      <c r="AA493" s="91">
        <v>16.399999999999999</v>
      </c>
      <c r="AB493" s="91">
        <v>1.9</v>
      </c>
      <c r="AC493" s="91">
        <v>4</v>
      </c>
      <c r="AD493" s="91"/>
      <c r="AE493" s="91">
        <v>11.1</v>
      </c>
      <c r="AF493" s="91">
        <v>1.4</v>
      </c>
      <c r="AG493" s="91">
        <v>2.65</v>
      </c>
      <c r="AH493" s="91">
        <v>1.4</v>
      </c>
      <c r="AI493" s="91">
        <f>SUM(ППД5[[#This Row],[ТП Лоджия 1]:[ТП Лоджия 3]])</f>
        <v>5.4499999999999993</v>
      </c>
      <c r="AJ493" s="95">
        <v>10.899999999999999</v>
      </c>
      <c r="AK493" s="91">
        <f>SUM(ППД5[[#This Row],[Площадь по ТП жилая]:[ТП Лоджия 3]])-ППД5[[#This Row],[ТП Летние]]+ППД5[[#This Row],[кроме того прочая
(без коэффициента)]]</f>
        <v>84</v>
      </c>
      <c r="AL493" s="95">
        <f>ППД5[[#This Row],[ТП Площадь без летних]]+(ППД5[[#This Row],[ТП Летние]])</f>
        <v>78.55</v>
      </c>
      <c r="AM493" s="91">
        <f>ППД5[[#This Row],[ТП общая S]]-ППД5[[#This Row],[кроме того прочая
(без коэффициента)]]</f>
        <v>73.099999999999994</v>
      </c>
      <c r="AN493" s="95">
        <f>SUM(ППД5[[#This Row],[ТП Кухня]:[ТП Коридор]])</f>
        <v>33.4</v>
      </c>
      <c r="AO493" s="91">
        <f>ППД5[[#This Row],[Расчетная ТП площадь]]-ППД5[[#This Row],[Расчетная проектная площадь]]</f>
        <v>-0.89000000000000057</v>
      </c>
      <c r="AP493" s="335">
        <f>ППД5[[#This Row],[Расчетная ТП площадь]]/ППД5[[#This Row],[Расчетная проектная площадь]]-1</f>
        <v>-1.1203423967774406E-2</v>
      </c>
      <c r="AQ493" s="91">
        <f>ППД5[[#This Row],[% расхождения]]*ППД5[[#This Row],[Стоимость до скидки]]</f>
        <v>-73514.124582074423</v>
      </c>
      <c r="AR493" s="91">
        <f>VLOOKUP(ППД5[[#This Row],[№]],наценкад5[],COLUMN(наценкад5[[#This Row],[Цена м2 с учетом всех K]]),0)</f>
        <v>76375.530000000013</v>
      </c>
      <c r="AS493" s="8">
        <f>ППД5[[#This Row],[м2 после К]]*5%</f>
        <v>3818.7765000000009</v>
      </c>
      <c r="AT493" s="8">
        <f>ППД5[[#This Row],[м2 после К]]+ППД5[[#This Row],[Повышение 16.08.23 - 5%]]</f>
        <v>80194.306500000021</v>
      </c>
      <c r="AU493" s="93">
        <f>ППД5[[#This Row],[Фикс 16.08.23]]*3%</f>
        <v>2405.8291950000007</v>
      </c>
      <c r="AV493" s="93">
        <f>ППД5[[#This Row],[Фикс 16.08.23]]+ППД5[[#This Row],[Повышение 29.08.23 - 3%]]</f>
        <v>82600.135695000019</v>
      </c>
      <c r="AW493" s="93"/>
      <c r="AX493" s="93">
        <f>ППД5[[#This Row],[Фикс 29.08.23]]+ППД5[[#This Row],[Повышение 06.09.23 СТ и 1К]]</f>
        <v>82600.135695000019</v>
      </c>
      <c r="AY493" s="93"/>
      <c r="AZ493" s="93">
        <f>ППД5[[#This Row],[Повышение 23.10.23  В4 ]]+ППД5[[#This Row],[Фикс 06.09.23]]</f>
        <v>82600.135695000019</v>
      </c>
      <c r="BA493" s="93"/>
      <c r="BB493" s="93">
        <f>ППД5[[#This Row],[Повышение 8.11.23 1К 5%]]+ППД5[[#This Row],[Фикс 23.10.23]]</f>
        <v>82600.135695000019</v>
      </c>
      <c r="BC493" s="93"/>
      <c r="BD493" s="93">
        <f>ППД5[[#This Row],[Корректировка 24.11.23 - 1К В5, 2К А2, №233]]+ППД5[[#This Row],[Фикс 8.11.23]]</f>
        <v>82600.135695000019</v>
      </c>
      <c r="BE493" s="93"/>
      <c r="BF493" s="93">
        <f>ППД5[[#This Row],[Наценка за отделку 29.12.23 1%]]+ППД5[[#This Row],[Фикс 8.11.24]]</f>
        <v>82600.135695000019</v>
      </c>
      <c r="BG493" s="93"/>
      <c r="BH493" s="93">
        <f>ППД5[[#This Row],[Фикс 29.12.23]]+ППД5[[#This Row],[Наценка 10.01.24 5%]]</f>
        <v>82600.135695000019</v>
      </c>
      <c r="BI493" s="93"/>
      <c r="BJ493" s="93">
        <f>ППД5[[#This Row],[Наценка 26.02.24 1 Этаж]]+ППД5[[#This Row],[Фикс 10.01.24]]</f>
        <v>82600.135695000019</v>
      </c>
      <c r="BK493" s="93"/>
      <c r="BL493" s="93">
        <f>ППД5[[#This Row],[Фикс 26.02.24]]+ППД5[[#This Row],[Наценка 06.03.24
СТ, 1К - 3%
2К, 3К - 2%]]</f>
        <v>82600.135695000019</v>
      </c>
      <c r="BM493" s="93"/>
      <c r="BN493" s="93">
        <f>ППД5[[#This Row],[Фикс 06.03.24]]+ППД5[[#This Row],[Наценка Г2+500]]</f>
        <v>82600.135695000019</v>
      </c>
      <c r="BO493" s="93"/>
      <c r="BP493" s="93">
        <f>ППД5[[#This Row],[Фикс 13.03.25]]+ППД5[[#This Row],[Наценка 20.03.24
2К, 3К - 2%]]</f>
        <v>82600.135695000019</v>
      </c>
      <c r="BQ493" s="93"/>
      <c r="BR493" s="93">
        <f>ППД5[[#This Row],[Фикс 20.03.24]]+ППД5[[#This Row],[Наценка 08.04.24 
2К: В3 - 150
3К: Г7 +1000]]</f>
        <v>82600.135695000019</v>
      </c>
      <c r="BS493" s="93"/>
      <c r="BT493" s="93">
        <f>ППД5[[#This Row],[Фикс 08.04.24]]+ППД5[[#This Row],[Наценка 16.05.24 1%
А4,А6,Б3,Б6,Б7,В2,В3,В5,В6,Г1,Г3-Г5]]</f>
        <v>82600.135695000019</v>
      </c>
      <c r="BU493" s="93"/>
      <c r="BV493" s="93">
        <f>ППД5[[#This Row],[Фикс 16.05.24]]+ППД5[[#This Row],[Наценка 24.05.24
1% - Б4, Б5,Г2,Г6
2% - А1,А3,А5,Б2,Г7]]</f>
        <v>82600.135695000019</v>
      </c>
      <c r="BW493" s="93"/>
      <c r="BX493" s="93">
        <f>ППД5[[#This Row],[Наценка 06.06.24
0К: В2,Г3 +0,5%
1К: А7, Б5/4, Г6 +0,5%
3К: В6 +0,5%
1К: А3 +1%]]+ППД5[[#This Row],[Фикс 24.05.24]]</f>
        <v>82600.135695000019</v>
      </c>
      <c r="BY493" s="93"/>
      <c r="BZ493" s="93">
        <f>ППД5[[#This Row],[Фикс 06.06.24]]+ППД5[[#This Row],[13.06.2024
3К - 2%]]</f>
        <v>82600.135695000019</v>
      </c>
      <c r="CA493" s="93"/>
      <c r="CB493" s="93">
        <f>ППД5[[#This Row],[02.07.2024: Г3 А1 А3 Б5 Б7 Г2 Г6 Б3 Б4 В3 Г7 2,5% ост 0,5-1,5%]]+ППД5[[#This Row],[Фикс 13.06.24]]</f>
        <v>82600.135695000019</v>
      </c>
      <c r="CC493" s="93"/>
      <c r="CD493" s="93">
        <f>ППД5[[#This Row],[Фикс 02.07.24]]+ППД5[[#This Row],[04.09.2024 +500
0К - Б2; 1К - А3;
2К - А6, Б4, В3, Г5]]</f>
        <v>82600.135695000019</v>
      </c>
      <c r="CE493" s="93"/>
      <c r="CF493" s="93">
        <f>ППД5[[#This Row],[Наценка 16.09.2024
1К: А1,В7,Г6/7,Г8 - 2%
2К: А4,А5,А6,Б1,Б6,Б3/4,В3,В4,Г4,Г5 - 4%
3К: 4%]]+ППД5[[#This Row],[Фикс 04.09.24]]</f>
        <v>82600.135695000019</v>
      </c>
      <c r="CG493" s="93"/>
      <c r="CH493" s="93">
        <f>ППД5[[#This Row],[Фикс 16.09.2024]]+ППД5[[#This Row],[Наценка 01.11.24
СТ: 4%
1К: 34-40м 5%; 40м+ 8%; МГН 1%
2К: 55-70м 6%; 70-73м 7%; 73-76м 8% 
3К: 5%]]</f>
        <v>82600.135695000019</v>
      </c>
      <c r="CI493" s="93"/>
      <c r="CJ493" s="93">
        <f>ППД5[[#This Row],[Наценка 06.11 13%]]+ППД5[[#This Row],[Фикс 01.11.24]]</f>
        <v>82600.135695000019</v>
      </c>
      <c r="CK493" s="93"/>
      <c r="CL493" s="93">
        <f>ППД5[[#This Row],[Фикс 06.11.24]]+ППД5[[#This Row],[Наценка 18.12.24 распределение КВ]]</f>
        <v>82600.135695000019</v>
      </c>
      <c r="CM493" s="93"/>
      <c r="CN493" s="93">
        <f>ППД5[[#This Row],[Фикс 18.12.24]]+ППД5[[#This Row],[Наценка 10.02.25 +1%
1К: А3
2К: Б3, В3]]</f>
        <v>82600.135695000019</v>
      </c>
      <c r="CO493" s="93">
        <f>ROUND(ППД5[[#This Row],[Фикс 10.02.25]],2)</f>
        <v>82600.14</v>
      </c>
      <c r="CP49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6561755.1200000001</v>
      </c>
      <c r="CQ493" s="93">
        <f>ROUNDUP(ППД5[[#This Row],[Стоимость до скидки]]+ППД5[[#This Row],[Сумма доплаты]],-2)</f>
        <v>6488300</v>
      </c>
      <c r="CR493" s="68"/>
      <c r="CS493" s="90"/>
      <c r="CT493" s="68">
        <f>ППД5[[#This Row],[Стоимость до скидки]]*ППД5[[#This Row],[Скидка %]]+ППД5[[#This Row],[Скидка фиксированная]]</f>
        <v>0</v>
      </c>
      <c r="CU493" s="3">
        <f>ППД5[[#This Row],[Стоимость ОН без отделки со скидкой]]/ППД5[[#This Row],[Расчетная проектная площадь]]</f>
        <v>82600.139979859014</v>
      </c>
      <c r="CV493" s="3">
        <f>ROUND(ППД5[[#This Row],[Стоимость до скидки]]-ППД5[[#This Row],[Итоговая сумма скидки]],2)</f>
        <v>6561755.1200000001</v>
      </c>
      <c r="CW49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93" s="197"/>
      <c r="CY493" s="332">
        <f>ППД5[[#This Row],[Расхождение]]/ППД5[[#This Row],[Расчетная проектная площадь]]</f>
        <v>-1.1203423967774429E-2</v>
      </c>
      <c r="CZ49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-0.61000000000000654</v>
      </c>
      <c r="DA493" s="3">
        <f>ППД5[[#This Row],[Цена м2 без отделки со скидкой]]+ППД5[[#This Row],[Стоимость отделки]]</f>
        <v>82600.139979859014</v>
      </c>
      <c r="DB493" s="3">
        <f>ППД5[[#This Row],[Стоимость квартиры с отделкой]]-ППД5[[#This Row],[Стоимость ОН без отделки со скидкой]]</f>
        <v>0</v>
      </c>
      <c r="DC493" s="3">
        <f>ППД5[[#This Row],[Цена м2 с отделкой]]*ППД5[[#This Row],[Расчетная проектная площадь]]</f>
        <v>6561755.1200000001</v>
      </c>
      <c r="DD493" s="3" t="s">
        <v>155</v>
      </c>
      <c r="DF493" s="199" t="s">
        <v>172</v>
      </c>
      <c r="DG493" s="245" t="s">
        <v>172</v>
      </c>
      <c r="DH493" s="100" t="b">
        <f>EXACT(ППД5[[#This Row],[Статусы CRM]],ППД5[[#This Row],[Статус]])</f>
        <v>1</v>
      </c>
      <c r="DI493" s="213" t="s">
        <v>665</v>
      </c>
      <c r="DJ493" s="204"/>
      <c r="DK493" s="111" t="s">
        <v>76</v>
      </c>
      <c r="DL493" s="216" t="s">
        <v>12</v>
      </c>
      <c r="DM493" s="201" t="b">
        <f>ППД5[[#This Row],[Отделка CRM]]=ППД5[[#This Row],[Отделка]]</f>
        <v>1</v>
      </c>
      <c r="DN493" s="203">
        <v>6561755.1200000001</v>
      </c>
      <c r="DO49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93" s="207" t="b">
        <f>IF(AND(ППД5[[#This Row],[Статус]]="свободно",ППД5[[#This Row],[Итоговая сумма скидки]]&lt;&gt;0),FALSE,TRUE)</f>
        <v>1</v>
      </c>
      <c r="DQ493" s="240">
        <f>_xlfn.XLOOKUP(ППД5[[#This Row],[№]],Юрист[№ кв],Юрист[Дата подачи на регистрацию]," ",0,-1)</f>
        <v>45229</v>
      </c>
      <c r="DR493" s="115" t="str">
        <f>_xlfn.XLOOKUP(ППД5[[#This Row],[№]],Юрист[№ кв],Юрист[МОП],"",0,-1)</f>
        <v>Полехович</v>
      </c>
      <c r="DS493" s="333" t="s">
        <v>3278</v>
      </c>
      <c r="DT493" s="333" t="s">
        <v>3279</v>
      </c>
      <c r="DU493" s="333">
        <v>73.099999999999994</v>
      </c>
      <c r="DV493" s="111"/>
    </row>
    <row r="494" spans="1:126" hidden="1" x14ac:dyDescent="0.25">
      <c r="A494" s="112">
        <v>492</v>
      </c>
      <c r="B494" s="111" t="s">
        <v>2</v>
      </c>
      <c r="C494" s="111">
        <v>13</v>
      </c>
      <c r="D494" s="115">
        <v>8</v>
      </c>
      <c r="E494" s="111">
        <v>1</v>
      </c>
      <c r="F494" s="105">
        <v>16.79</v>
      </c>
      <c r="G494" s="105"/>
      <c r="H494" s="105"/>
      <c r="I494" s="94">
        <f>SUM(ППД5[[#This Row],[Комната 1]:[Комната 3]])</f>
        <v>16.79</v>
      </c>
      <c r="J494" s="105">
        <v>11.43</v>
      </c>
      <c r="K494" s="105">
        <v>3.56</v>
      </c>
      <c r="L494" s="105"/>
      <c r="M494" s="105"/>
      <c r="N494" s="105">
        <v>6.66</v>
      </c>
      <c r="O494" s="105">
        <v>2.4900000000000002</v>
      </c>
      <c r="P494" s="105"/>
      <c r="Q494" s="105"/>
      <c r="R494" s="105">
        <f>SUM(ППД5[[#This Row],[Лоджия 1]:[Лоджия 3]])</f>
        <v>2.4900000000000002</v>
      </c>
      <c r="S494" s="8">
        <f>ROUND(SUM(ППД5[[#This Row],[Площадь по проекту жилая]:[Лоджия 3]]),2)</f>
        <v>40.93</v>
      </c>
      <c r="T494" s="8">
        <f>ROUND(ППД5[[#This Row],[Площадь по проекту(общая)]]-ППД5[[#This Row],[Летние]],2)</f>
        <v>38.44</v>
      </c>
      <c r="U494" s="91">
        <f>ROUND(ППД5[[#This Row],[Площадь по проекту(общая)]]-(SUM(ППД5[[#This Row],[Лоджия 1]:[Лоджия 3]])/2),2)</f>
        <v>39.69</v>
      </c>
      <c r="V494" s="91">
        <f>IF(ППД5[[#This Row],[Статус]]="продажа",ППД5[[#This Row],[Расчетная проектная площадь]],ППД5[[#This Row],[Расчетная ТП площадь]])</f>
        <v>39.75</v>
      </c>
      <c r="W494" s="91">
        <v>16.899999999999999</v>
      </c>
      <c r="X494" s="91"/>
      <c r="Y494" s="91"/>
      <c r="Z494" s="91">
        <f>SUM(ППД5[[#This Row],[ТП Комната 1]:[ТП Комната 3]])</f>
        <v>16.899999999999999</v>
      </c>
      <c r="AA494" s="91">
        <v>11.3</v>
      </c>
      <c r="AB494" s="91">
        <v>3.6</v>
      </c>
      <c r="AC494" s="91"/>
      <c r="AD494" s="91"/>
      <c r="AE494" s="91">
        <v>6.7</v>
      </c>
      <c r="AF494" s="92">
        <v>1.25</v>
      </c>
      <c r="AG494" s="91"/>
      <c r="AH494" s="91"/>
      <c r="AI494" s="91">
        <f>SUM(ППД5[[#This Row],[ТП Лоджия 1]:[ТП Лоджия 3]])</f>
        <v>1.25</v>
      </c>
      <c r="AJ494" s="95">
        <v>2.5</v>
      </c>
      <c r="AK494" s="91">
        <f>SUM(ППД5[[#This Row],[Площадь по ТП жилая]:[ТП Лоджия 3]])-ППД5[[#This Row],[ТП Летние]]+ППД5[[#This Row],[кроме того прочая
(без коэффициента)]]</f>
        <v>41</v>
      </c>
      <c r="AL494" s="95">
        <f>ППД5[[#This Row],[ТП Площадь без летних]]+(ППД5[[#This Row],[ТП Летние]])</f>
        <v>39.75</v>
      </c>
      <c r="AM494" s="91">
        <f>ППД5[[#This Row],[ТП общая S]]-ППД5[[#This Row],[кроме того прочая
(без коэффициента)]]</f>
        <v>38.5</v>
      </c>
      <c r="AN494" s="95">
        <f>SUM(ППД5[[#This Row],[ТП Кухня]:[ТП Коридор]])</f>
        <v>21.6</v>
      </c>
      <c r="AO494" s="91">
        <f>ППД5[[#This Row],[Расчетная ТП площадь]]-ППД5[[#This Row],[Расчетная проектная площадь]]</f>
        <v>6.0000000000002274E-2</v>
      </c>
      <c r="AP494" s="335">
        <f>ППД5[[#This Row],[Расчетная ТП площадь]]/ППД5[[#This Row],[Расчетная проектная площадь]]-1</f>
        <v>1.5117157974300355E-3</v>
      </c>
      <c r="AQ494" s="91">
        <f>ППД5[[#This Row],[% расхождения]]*ППД5[[#This Row],[Стоимость до скидки]]</f>
        <v>8020.2569916853099</v>
      </c>
      <c r="AR494" s="91">
        <f>VLOOKUP(ППД5[[#This Row],[№]],наценкад5[],COLUMN(наценкад5[[#This Row],[Цена м2 с учетом всех K]]),0)</f>
        <v>84762.5625</v>
      </c>
      <c r="AS494" s="8">
        <f>ППД5[[#This Row],[м2 после К]]*5%</f>
        <v>4238.1281250000002</v>
      </c>
      <c r="AT494" s="8">
        <f>ППД5[[#This Row],[м2 после К]]+ППД5[[#This Row],[Повышение 16.08.23 - 5%]]</f>
        <v>89000.690625000003</v>
      </c>
      <c r="AU494" s="93">
        <f>ППД5[[#This Row],[Фикс 16.08.23]]*3%</f>
        <v>2670.02071875</v>
      </c>
      <c r="AV494" s="93">
        <f>ППД5[[#This Row],[Фикс 16.08.23]]+ППД5[[#This Row],[Повышение 29.08.23 - 3%]]</f>
        <v>91670.711343750008</v>
      </c>
      <c r="AW494" s="93">
        <f>ППД5[[#This Row],[Фикс 29.08.23]]*4.5%</f>
        <v>4125.1820104687504</v>
      </c>
      <c r="AX494" s="93">
        <f>ППД5[[#This Row],[Фикс 29.08.23]]+ППД5[[#This Row],[Повышение 06.09.23 СТ и 1К]]</f>
        <v>95795.893354218759</v>
      </c>
      <c r="AY494" s="93"/>
      <c r="AZ494" s="93">
        <f>ППД5[[#This Row],[Повышение 23.10.23  В4 ]]+ППД5[[#This Row],[Фикс 06.09.23]]</f>
        <v>95795.893354218759</v>
      </c>
      <c r="BA494" s="93">
        <f>ППД5[[#This Row],[Фикс 23.10.23]]*5%</f>
        <v>4789.7946677109385</v>
      </c>
      <c r="BB494" s="93">
        <f>ППД5[[#This Row],[Повышение 8.11.23 1К 5%]]+ППД5[[#This Row],[Фикс 23.10.23]]</f>
        <v>100585.6880219297</v>
      </c>
      <c r="BC494" s="93"/>
      <c r="BD494" s="93">
        <f>ППД5[[#This Row],[Корректировка 24.11.23 - 1К В5, 2К А2, №233]]+ППД5[[#This Row],[Фикс 8.11.23]]</f>
        <v>100585.6880219297</v>
      </c>
      <c r="BE494" s="93">
        <f>ППД5[[#This Row],[Фикс 8.11.24]]*1%</f>
        <v>1005.8568802192971</v>
      </c>
      <c r="BF494" s="93">
        <f>ППД5[[#This Row],[Наценка за отделку 29.12.23 1%]]+ППД5[[#This Row],[Фикс 8.11.24]]</f>
        <v>101591.54490214901</v>
      </c>
      <c r="BG494" s="93">
        <f>ППД5[[#This Row],[Фикс 29.12.23]]*5%</f>
        <v>5079.5772451074508</v>
      </c>
      <c r="BH494" s="93">
        <f>ППД5[[#This Row],[Фикс 29.12.23]]+ППД5[[#This Row],[Наценка 10.01.24 5%]]</f>
        <v>106671.12214725645</v>
      </c>
      <c r="BI494" s="93"/>
      <c r="BJ494" s="93">
        <f>ППД5[[#This Row],[Наценка 26.02.24 1 Этаж]]+ППД5[[#This Row],[Фикс 10.01.24]]</f>
        <v>106671.12214725645</v>
      </c>
      <c r="BK494" s="93">
        <f>ППД5[[#This Row],[Фикс 26.02.24]]*3%</f>
        <v>3200.1336644176936</v>
      </c>
      <c r="BL494" s="93">
        <f>ППД5[[#This Row],[Фикс 26.02.24]]+ППД5[[#This Row],[Наценка 06.03.24
СТ, 1К - 3%
2К, 3К - 2%]]</f>
        <v>109871.25581167414</v>
      </c>
      <c r="BM494" s="93"/>
      <c r="BN494" s="93">
        <f>ППД5[[#This Row],[Фикс 06.03.24]]+ППД5[[#This Row],[Наценка Г2+500]]</f>
        <v>109871.25581167414</v>
      </c>
      <c r="BO494" s="93"/>
      <c r="BP494" s="93">
        <f>ППД5[[#This Row],[Фикс 13.03.25]]+ППД5[[#This Row],[Наценка 20.03.24
2К, 3К - 2%]]</f>
        <v>109871.25581167414</v>
      </c>
      <c r="BQ494" s="93"/>
      <c r="BR494" s="93">
        <f>ППД5[[#This Row],[Фикс 20.03.24]]+ППД5[[#This Row],[Наценка 08.04.24 
2К: В3 - 150
3К: Г7 +1000]]</f>
        <v>109871.25581167414</v>
      </c>
      <c r="BS494" s="93"/>
      <c r="BT494" s="93">
        <f>ППД5[[#This Row],[Фикс 08.04.24]]+ППД5[[#This Row],[Наценка 16.05.24 1%
А4,А6,Б3,Б6,Б7,В2,В3,В5,В6,Г1,Г3-Г5]]</f>
        <v>109871.25581167414</v>
      </c>
      <c r="BU494" s="93"/>
      <c r="BV494" s="93">
        <f>ППД5[[#This Row],[Фикс 16.05.24]]+ППД5[[#This Row],[Наценка 24.05.24
1% - Б4, Б5,Г2,Г6
2% - А1,А3,А5,Б2,Г7]]</f>
        <v>109871.25581167414</v>
      </c>
      <c r="BW494" s="93"/>
      <c r="BX494" s="93">
        <f>ППД5[[#This Row],[Наценка 06.06.24
0К: В2,Г3 +0,5%
1К: А7, Б5/4, Г6 +0,5%
3К: В6 +0,5%
1К: А3 +1%]]+ППД5[[#This Row],[Фикс 24.05.24]]</f>
        <v>109871.25581167414</v>
      </c>
      <c r="BY494" s="93"/>
      <c r="BZ494" s="93">
        <f>ППД5[[#This Row],[Фикс 06.06.24]]+ППД5[[#This Row],[13.06.2024
3К - 2%]]</f>
        <v>109871.25581167414</v>
      </c>
      <c r="CA494" s="93">
        <f>0.5%*ППД5[[#This Row],[Фикс 13.06.24]]</f>
        <v>549.35627905837077</v>
      </c>
      <c r="CB494" s="93">
        <f>ППД5[[#This Row],[02.07.2024: Г3 А1 А3 Б5 Б7 Г2 Г6 Б3 Б4 В3 Г7 2,5% ост 0,5-1,5%]]+ППД5[[#This Row],[Фикс 13.06.24]]</f>
        <v>110420.61209073251</v>
      </c>
      <c r="CC494" s="93"/>
      <c r="CD494" s="93">
        <f>ППД5[[#This Row],[Фикс 02.07.24]]+ППД5[[#This Row],[04.09.2024 +500
0К - Б2; 1К - А3;
2К - А6, Б4, В3, Г5]]</f>
        <v>110420.61209073251</v>
      </c>
      <c r="CE494" s="93">
        <f>ППД5[[#This Row],[Фикс 04.09.24]]*2%</f>
        <v>2208.4122418146503</v>
      </c>
      <c r="CF494" s="93">
        <f>ППД5[[#This Row],[Наценка 16.09.2024
1К: А1,В7,Г6/7,Г8 - 2%
2К: А4,А5,А6,Б1,Б6,Б3/4,В3,В4,Г4,Г5 - 4%
3К: 4%]]+ППД5[[#This Row],[Фикс 04.09.24]]</f>
        <v>112629.02433254715</v>
      </c>
      <c r="CG494" s="93">
        <f>ППД5[[#This Row],[Фикс 16.09.2024]]*5%</f>
        <v>5631.451216627358</v>
      </c>
      <c r="CH494" s="93">
        <f>ППД5[[#This Row],[Фикс 16.09.2024]]+ППД5[[#This Row],[Наценка 01.11.24
СТ: 4%
1К: 34-40м 5%; 40м+ 8%; МГН 1%
2К: 55-70м 6%; 70-73м 7%; 73-76м 8% 
3К: 5%]]</f>
        <v>118260.47554917452</v>
      </c>
      <c r="CI494" s="93">
        <f>ППД5[[#This Row],[Фикс 01.11.24]]*13%</f>
        <v>15373.861821392687</v>
      </c>
      <c r="CJ494" s="93">
        <f>ППД5[[#This Row],[Наценка 06.11 13%]]+ППД5[[#This Row],[Фикс 01.11.24]]</f>
        <v>133634.3373705672</v>
      </c>
      <c r="CK494" s="93">
        <v>35</v>
      </c>
      <c r="CL494" s="93">
        <f>ППД5[[#This Row],[Фикс 06.11.24]]+ППД5[[#This Row],[Наценка 18.12.24 распределение КВ]]</f>
        <v>133669.3373705672</v>
      </c>
      <c r="CM494" s="93"/>
      <c r="CN494" s="93">
        <f>ППД5[[#This Row],[Фикс 18.12.24]]+ППД5[[#This Row],[Наценка 10.02.25 +1%
1К: А3
2К: Б3, В3]]</f>
        <v>133669.3373705672</v>
      </c>
      <c r="CO494" s="93">
        <f>ROUND(ППД5[[#This Row],[Фикс 10.02.25]],2)</f>
        <v>133669.34</v>
      </c>
      <c r="CP49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5305400</v>
      </c>
      <c r="CQ494" s="93">
        <f>ROUNDUP(ППД5[[#This Row],[Стоимость до скидки]]+ППД5[[#This Row],[Сумма доплаты]],-2)</f>
        <v>5313500</v>
      </c>
      <c r="CR494" s="68"/>
      <c r="CS494" s="90"/>
      <c r="CT494" s="68">
        <f>ППД5[[#This Row],[Стоимость до скидки]]*ППД5[[#This Row],[Скидка %]]+ППД5[[#This Row],[Скидка фиксированная]]</f>
        <v>0</v>
      </c>
      <c r="CU494" s="3">
        <f>ППД5[[#This Row],[Стоимость ОН без отделки со скидкой]]/ППД5[[#This Row],[Расчетная проектная площадь]]</f>
        <v>133670.94986142605</v>
      </c>
      <c r="CV494" s="3">
        <f>ROUND(ППД5[[#This Row],[Стоимость до скидки]]-ППД5[[#This Row],[Итоговая сумма скидки]],2)</f>
        <v>5305400</v>
      </c>
      <c r="CW49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494" s="218">
        <v>10000</v>
      </c>
      <c r="CY494" s="332">
        <f>ППД5[[#This Row],[Расхождение]]/ППД5[[#This Row],[Расчетная проектная площадь]]</f>
        <v>1.5117157974301404E-3</v>
      </c>
      <c r="CZ494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-4.9999999999998934E-2</v>
      </c>
      <c r="DA494" s="3">
        <f>ППД5[[#This Row],[Цена м2 без отделки со скидкой]]+ППД5[[#This Row],[Стоимость отделки]]</f>
        <v>143670.94986142605</v>
      </c>
      <c r="DB494" s="3">
        <f>ППД5[[#This Row],[Стоимость квартиры с отделкой]]-ППД5[[#This Row],[Стоимость ОН без отделки со скидкой]]</f>
        <v>396900</v>
      </c>
      <c r="DC494" s="3">
        <f>ППД5[[#This Row],[Цена м2 с отделкой]]*ППД5[[#This Row],[Расчетная проектная площадь]]</f>
        <v>5702300</v>
      </c>
      <c r="DD494" s="3"/>
      <c r="DF494" s="155" t="s">
        <v>161</v>
      </c>
      <c r="DG494" s="221" t="s">
        <v>161</v>
      </c>
      <c r="DH494" s="100" t="b">
        <f>EXACT(ППД5[[#This Row],[Статусы CRM]],ППД5[[#This Row],[Статус]])</f>
        <v>1</v>
      </c>
      <c r="DI494" s="213" t="s">
        <v>666</v>
      </c>
      <c r="DJ494" s="204"/>
      <c r="DK494" s="111" t="s">
        <v>763</v>
      </c>
      <c r="DL494" s="216" t="s">
        <v>780</v>
      </c>
      <c r="DM494" s="201" t="b">
        <f>ППД5[[#This Row],[Отделка CRM]]=ППД5[[#This Row],[Отделка]]</f>
        <v>1</v>
      </c>
      <c r="DN494" s="203">
        <v>5702300</v>
      </c>
      <c r="DO49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94" s="207" t="b">
        <f>IF(AND(ППД5[[#This Row],[Статус]]="свободно",ППД5[[#This Row],[Итоговая сумма скидки]]&lt;&gt;0),FALSE,TRUE)</f>
        <v>1</v>
      </c>
      <c r="DQ494" s="240" t="str">
        <f>_xlfn.XLOOKUP(ППД5[[#This Row],[№]],Юрист[№ кв],Юрист[Дата подачи на регистрацию]," ",0,-1)</f>
        <v xml:space="preserve"> </v>
      </c>
      <c r="DR494" s="115" t="str">
        <f>_xlfn.XLOOKUP(ППД5[[#This Row],[№]],Юрист[№ кв],Юрист[МОП],"",0,-1)</f>
        <v/>
      </c>
      <c r="DS494" s="333" t="s">
        <v>3280</v>
      </c>
      <c r="DT494" s="333" t="s">
        <v>3281</v>
      </c>
      <c r="DU494" s="333">
        <v>38.5</v>
      </c>
      <c r="DV494" s="111"/>
    </row>
    <row r="495" spans="1:126" hidden="1" x14ac:dyDescent="0.25">
      <c r="A495" s="112">
        <v>493</v>
      </c>
      <c r="B495" s="111" t="s">
        <v>2</v>
      </c>
      <c r="C495" s="111">
        <v>14</v>
      </c>
      <c r="D495" s="338">
        <v>1</v>
      </c>
      <c r="E495" s="111">
        <v>0</v>
      </c>
      <c r="F495" s="105">
        <v>13.74</v>
      </c>
      <c r="G495" s="105"/>
      <c r="H495" s="105"/>
      <c r="I495" s="94">
        <f>SUM(ППД5[[#This Row],[Комната 1]:[Комната 3]])</f>
        <v>13.74</v>
      </c>
      <c r="J495" s="105">
        <v>5.84</v>
      </c>
      <c r="K495" s="105">
        <v>3.76</v>
      </c>
      <c r="L495" s="105"/>
      <c r="M495" s="105"/>
      <c r="N495" s="105">
        <v>3.73</v>
      </c>
      <c r="O495" s="105">
        <v>4.6500000000000004</v>
      </c>
      <c r="P495" s="105"/>
      <c r="Q495" s="105"/>
      <c r="R495" s="105">
        <f>SUM(ППД5[[#This Row],[Лоджия 1]:[Лоджия 3]])</f>
        <v>4.6500000000000004</v>
      </c>
      <c r="S495" s="8">
        <f>ROUND(SUM(ППД5[[#This Row],[Площадь по проекту жилая]:[Лоджия 3]]),2)</f>
        <v>31.72</v>
      </c>
      <c r="T495" s="8">
        <f>ROUND(ППД5[[#This Row],[Площадь по проекту(общая)]]-ППД5[[#This Row],[Летние]],2)</f>
        <v>27.07</v>
      </c>
      <c r="U495" s="91">
        <f>ROUND(ППД5[[#This Row],[Площадь по проекту(общая)]]-(SUM(ППД5[[#This Row],[Лоджия 1]:[Лоджия 3]])/2),2)</f>
        <v>29.4</v>
      </c>
      <c r="V495" s="91">
        <f>IF(ППД5[[#This Row],[Статус]]="продажа",ППД5[[#This Row],[Расчетная проектная площадь]],ППД5[[#This Row],[Расчетная ТП площадь]])</f>
        <v>29.4</v>
      </c>
      <c r="W495" s="91">
        <v>13.7</v>
      </c>
      <c r="X495" s="91"/>
      <c r="Y495" s="91"/>
      <c r="Z495" s="91">
        <f>SUM(ППД5[[#This Row],[ТП Комната 1]:[ТП Комната 3]])</f>
        <v>13.7</v>
      </c>
      <c r="AA495" s="91">
        <v>5.6</v>
      </c>
      <c r="AB495" s="91">
        <v>3.7</v>
      </c>
      <c r="AC495" s="91"/>
      <c r="AD495" s="91"/>
      <c r="AE495" s="91">
        <v>3.7</v>
      </c>
      <c r="AF495" s="91">
        <v>2.2999999999999998</v>
      </c>
      <c r="AG495" s="91"/>
      <c r="AH495" s="91"/>
      <c r="AI495" s="91">
        <f>SUM(ППД5[[#This Row],[ТП Лоджия 1]:[ТП Лоджия 3]])</f>
        <v>2.2999999999999998</v>
      </c>
      <c r="AJ495" s="95">
        <v>4.5999999999999996</v>
      </c>
      <c r="AK495" s="91">
        <f>SUM(ППД5[[#This Row],[Площадь по ТП жилая]:[ТП Лоджия 3]])-ППД5[[#This Row],[ТП Летние]]+ППД5[[#This Row],[кроме того прочая
(без коэффициента)]]</f>
        <v>31.299999999999997</v>
      </c>
      <c r="AL495" s="95">
        <f>ППД5[[#This Row],[ТП Площадь без летних]]+(ППД5[[#This Row],[ТП Летние]])</f>
        <v>28.999999999999996</v>
      </c>
      <c r="AM495" s="91">
        <f>ППД5[[#This Row],[ТП общая S]]-ППД5[[#This Row],[кроме того прочая
(без коэффициента)]]</f>
        <v>26.699999999999996</v>
      </c>
      <c r="AN495" s="95">
        <f>SUM(ППД5[[#This Row],[ТП Кухня]:[ТП Коридор]])</f>
        <v>13</v>
      </c>
      <c r="AO495" s="91">
        <f>ППД5[[#This Row],[Расчетная ТП площадь]]-ППД5[[#This Row],[Расчетная проектная площадь]]</f>
        <v>-0.40000000000000213</v>
      </c>
      <c r="AP495" s="335">
        <f>ППД5[[#This Row],[Расчетная ТП площадь]]/ППД5[[#This Row],[Расчетная проектная площадь]]-1</f>
        <v>-1.3605442176870874E-2</v>
      </c>
      <c r="AQ495" s="91">
        <f>ППД5[[#This Row],[% расхождения]]*ППД5[[#This Row],[Стоимость до скидки]]</f>
        <v>-55446.258503401878</v>
      </c>
      <c r="AR495" s="91">
        <f>VLOOKUP(ППД5[[#This Row],[№]],наценкад5[],COLUMN(наценкад5[[#This Row],[Цена м2 с учетом всех K]]),0)</f>
        <v>89353.53</v>
      </c>
      <c r="AS495" s="8">
        <f>ППД5[[#This Row],[м2 после К]]*5%</f>
        <v>4467.6765000000005</v>
      </c>
      <c r="AT495" s="8">
        <f>ППД5[[#This Row],[м2 после К]]+ППД5[[#This Row],[Повышение 16.08.23 - 5%]]</f>
        <v>93821.2065</v>
      </c>
      <c r="AU495" s="93">
        <f>ППД5[[#This Row],[Фикс 16.08.23]]*3%</f>
        <v>2814.636195</v>
      </c>
      <c r="AV495" s="93">
        <f>ППД5[[#This Row],[Фикс 16.08.23]]+ППД5[[#This Row],[Повышение 29.08.23 - 3%]]</f>
        <v>96635.842694999999</v>
      </c>
      <c r="AW495" s="93">
        <f>ППД5[[#This Row],[Фикс 29.08.23]]*9%</f>
        <v>8697.2258425500004</v>
      </c>
      <c r="AX495" s="93">
        <f>ППД5[[#This Row],[Фикс 29.08.23]]+ППД5[[#This Row],[Повышение 06.09.23 СТ и 1К]]</f>
        <v>105333.06853755</v>
      </c>
      <c r="AY495" s="93"/>
      <c r="AZ495" s="93">
        <f>ППД5[[#This Row],[Повышение 23.10.23  В4 ]]+ППД5[[#This Row],[Фикс 06.09.23]]</f>
        <v>105333.06853755</v>
      </c>
      <c r="BA495" s="93"/>
      <c r="BB495" s="93">
        <f>ППД5[[#This Row],[Повышение 8.11.23 1К 5%]]+ППД5[[#This Row],[Фикс 23.10.23]]</f>
        <v>105333.06853755</v>
      </c>
      <c r="BC495" s="93"/>
      <c r="BD495" s="93">
        <f>ППД5[[#This Row],[Корректировка 24.11.23 - 1К В5, 2К А2, №233]]+ППД5[[#This Row],[Фикс 8.11.23]]</f>
        <v>105333.06853755</v>
      </c>
      <c r="BE495" s="93">
        <f>ППД5[[#This Row],[Фикс 8.11.24]]*1%</f>
        <v>1053.3306853755</v>
      </c>
      <c r="BF495" s="93">
        <f>ППД5[[#This Row],[Наценка за отделку 29.12.23 1%]]+ППД5[[#This Row],[Фикс 8.11.24]]</f>
        <v>106386.39922292551</v>
      </c>
      <c r="BG495" s="93">
        <f>ППД5[[#This Row],[Фикс 29.12.23]]*5%</f>
        <v>5319.319961146276</v>
      </c>
      <c r="BH495" s="93">
        <f>ППД5[[#This Row],[Фикс 29.12.23]]+ППД5[[#This Row],[Наценка 10.01.24 5%]]</f>
        <v>111705.71918407179</v>
      </c>
      <c r="BI495" s="93"/>
      <c r="BJ495" s="93">
        <f>ППД5[[#This Row],[Наценка 26.02.24 1 Этаж]]+ППД5[[#This Row],[Фикс 10.01.24]]</f>
        <v>111705.71918407179</v>
      </c>
      <c r="BK495" s="93">
        <f>ППД5[[#This Row],[Фикс 26.02.24]]*3%</f>
        <v>3351.1715755221535</v>
      </c>
      <c r="BL495" s="93">
        <f>ППД5[[#This Row],[Фикс 26.02.24]]+ППД5[[#This Row],[Наценка 06.03.24
СТ, 1К - 3%
2К, 3К - 2%]]</f>
        <v>115056.89075959394</v>
      </c>
      <c r="BM495" s="93"/>
      <c r="BN495" s="93">
        <f>ППД5[[#This Row],[Фикс 06.03.24]]+ППД5[[#This Row],[Наценка Г2+500]]</f>
        <v>115056.89075959394</v>
      </c>
      <c r="BO495" s="93"/>
      <c r="BP495" s="93">
        <f>ППД5[[#This Row],[Фикс 13.03.25]]+ППД5[[#This Row],[Наценка 20.03.24
2К, 3К - 2%]]</f>
        <v>115056.89075959394</v>
      </c>
      <c r="BQ495" s="93"/>
      <c r="BR495" s="93">
        <f>ППД5[[#This Row],[Фикс 20.03.24]]+ППД5[[#This Row],[Наценка 08.04.24 
2К: В3 - 150
3К: Г7 +1000]]</f>
        <v>115056.89075959394</v>
      </c>
      <c r="BS495" s="93">
        <f>ППД5[[#This Row],[Фикс 08.04.24]]*1%</f>
        <v>1150.5689075959394</v>
      </c>
      <c r="BT495" s="93">
        <f>ППД5[[#This Row],[Фикс 08.04.24]]+ППД5[[#This Row],[Наценка 16.05.24 1%
А4,А6,Б3,Б6,Б7,В2,В3,В5,В6,Г1,Г3-Г5]]</f>
        <v>116207.45966718988</v>
      </c>
      <c r="BU495" s="93"/>
      <c r="BV495" s="93">
        <f>ППД5[[#This Row],[Фикс 16.05.24]]+ППД5[[#This Row],[Наценка 24.05.24
1% - Б4, Б5,Г2,Г6
2% - А1,А3,А5,Б2,Г7]]</f>
        <v>116207.45966718988</v>
      </c>
      <c r="BW495" s="93"/>
      <c r="BX495" s="93">
        <f>ППД5[[#This Row],[Наценка 06.06.24
0К: В2,Г3 +0,5%
1К: А7, Б5/4, Г6 +0,5%
3К: В6 +0,5%
1К: А3 +1%]]+ППД5[[#This Row],[Фикс 24.05.24]]</f>
        <v>116207.45966718988</v>
      </c>
      <c r="BY495" s="93"/>
      <c r="BZ495" s="93">
        <f>ППД5[[#This Row],[Фикс 06.06.24]]+ППД5[[#This Row],[13.06.2024
3К - 2%]]</f>
        <v>116207.45966718988</v>
      </c>
      <c r="CA495" s="93">
        <f>1.5%*ППД5[[#This Row],[Фикс 13.06.24]]</f>
        <v>1743.111895007848</v>
      </c>
      <c r="CB495" s="93">
        <f>ППД5[[#This Row],[02.07.2024: Г3 А1 А3 Б5 Б7 Г2 Г6 Б3 Б4 В3 Г7 2,5% ост 0,5-1,5%]]+ППД5[[#This Row],[Фикс 13.06.24]]</f>
        <v>117950.57156219773</v>
      </c>
      <c r="CC495" s="93"/>
      <c r="CD495" s="93">
        <f>ППД5[[#This Row],[Фикс 02.07.24]]+ППД5[[#This Row],[04.09.2024 +500
0К - Б2; 1К - А3;
2К - А6, Б4, В3, Г5]]</f>
        <v>117950.57156219773</v>
      </c>
      <c r="CE495" s="93"/>
      <c r="CF495" s="93">
        <f>ППД5[[#This Row],[Наценка 16.09.2024
1К: А1,В7,Г6/7,Г8 - 2%
2К: А4,А5,А6,Б1,Б6,Б3/4,В3,В4,Г4,Г5 - 4%
3К: 4%]]+ППД5[[#This Row],[Фикс 04.09.24]]</f>
        <v>117950.57156219773</v>
      </c>
      <c r="CG495" s="93">
        <f>ППД5[[#This Row],[Фикс 16.09.2024]]*4%</f>
        <v>4718.0228624879092</v>
      </c>
      <c r="CH495" s="93">
        <f>ППД5[[#This Row],[Фикс 16.09.2024]]+ППД5[[#This Row],[Наценка 01.11.24
СТ: 4%
1К: 34-40м 5%; 40м+ 8%; МГН 1%
2К: 55-70м 6%; 70-73м 7%; 73-76м 8% 
3К: 5%]]</f>
        <v>122668.59442468564</v>
      </c>
      <c r="CI495" s="93">
        <f>ППД5[[#This Row],[Фикс 01.11.24]]*13%</f>
        <v>15946.917275209133</v>
      </c>
      <c r="CJ495" s="93">
        <f>ППД5[[#This Row],[Наценка 06.11 13%]]+ППД5[[#This Row],[Фикс 01.11.24]]</f>
        <v>138615.51169989476</v>
      </c>
      <c r="CK495" s="93"/>
      <c r="CL495" s="93">
        <f>ППД5[[#This Row],[Фикс 06.11.24]]+ППД5[[#This Row],[Наценка 18.12.24 распределение КВ]]</f>
        <v>138615.51169989476</v>
      </c>
      <c r="CM495" s="93"/>
      <c r="CN495" s="93">
        <f>ППД5[[#This Row],[Фикс 18.12.24]]+ППД5[[#This Row],[Наценка 10.02.25 +1%
1К: А3
2К: Б3, В3]]</f>
        <v>138615.51169989476</v>
      </c>
      <c r="CO495" s="93">
        <f>ROUND(ППД5[[#This Row],[Фикс 10.02.25]],2)</f>
        <v>138615.51</v>
      </c>
      <c r="CP49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4075300</v>
      </c>
      <c r="CQ495" s="93">
        <f>ROUNDUP(ППД5[[#This Row],[Стоимость до скидки]]+ППД5[[#This Row],[Сумма доплаты]],-2)</f>
        <v>4019900</v>
      </c>
      <c r="CR495" s="68"/>
      <c r="CS495" s="90">
        <v>0.02</v>
      </c>
      <c r="CT495" s="68">
        <f>ППД5[[#This Row],[Стоимость до скидки]]*ППД5[[#This Row],[Скидка %]]+ППД5[[#This Row],[Скидка фиксированная]]</f>
        <v>81506</v>
      </c>
      <c r="CU495" s="3">
        <f>ППД5[[#This Row],[Стоимость ОН без отделки со скидкой]]/ППД5[[#This Row],[Расчетная проектная площадь]]</f>
        <v>135843.33333333334</v>
      </c>
      <c r="CV495" s="3">
        <f>ROUND(ППД5[[#This Row],[Стоимость до скидки]]-ППД5[[#This Row],[Итоговая сумма скидки]],2)</f>
        <v>3993794</v>
      </c>
      <c r="CW49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95" s="218"/>
      <c r="CY495" s="332">
        <f>ППД5[[#This Row],[Расхождение]]/ППД5[[#This Row],[Расчетная проектная площадь]]</f>
        <v>-1.3605442176870821E-2</v>
      </c>
      <c r="CZ495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-0.33000000000000007</v>
      </c>
      <c r="DA495" s="3">
        <f>ППД5[[#This Row],[Цена м2 без отделки со скидкой]]+ППД5[[#This Row],[Стоимость отделки]]</f>
        <v>135843.33333333334</v>
      </c>
      <c r="DB495" s="3">
        <f>ППД5[[#This Row],[Стоимость квартиры с отделкой]]-ППД5[[#This Row],[Стоимость ОН без отделки со скидкой]]</f>
        <v>0</v>
      </c>
      <c r="DC495" s="3">
        <f>ППД5[[#This Row],[Цена м2 с отделкой]]*ППД5[[#This Row],[Расчетная проектная площадь]]</f>
        <v>3993794</v>
      </c>
      <c r="DD495" s="3"/>
      <c r="DE495" s="111" t="s">
        <v>757</v>
      </c>
      <c r="DF495" s="199" t="s">
        <v>172</v>
      </c>
      <c r="DG495" s="245" t="s">
        <v>172</v>
      </c>
      <c r="DH495" s="100" t="b">
        <f>EXACT(ППД5[[#This Row],[Статусы CRM]],ППД5[[#This Row],[Статус]])</f>
        <v>1</v>
      </c>
      <c r="DI495" s="213" t="s">
        <v>667</v>
      </c>
      <c r="DJ495" s="204"/>
      <c r="DK495" s="111" t="s">
        <v>763</v>
      </c>
      <c r="DL495" s="216" t="s">
        <v>12</v>
      </c>
      <c r="DM495" s="201" t="b">
        <f>ППД5[[#This Row],[Отделка CRM]]=ППД5[[#This Row],[Отделка]]</f>
        <v>1</v>
      </c>
      <c r="DN495" s="203">
        <v>3993794</v>
      </c>
      <c r="DO49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95" s="207" t="b">
        <f>IF(AND(ППД5[[#This Row],[Статус]]="свободно",ППД5[[#This Row],[Итоговая сумма скидки]]&lt;&gt;0),FALSE,TRUE)</f>
        <v>1</v>
      </c>
      <c r="DQ495" s="240">
        <f>_xlfn.XLOOKUP(ППД5[[#This Row],[№]],Юрист[№ кв],Юрист[Дата подачи на регистрацию]," ",0,-1)</f>
        <v>45649</v>
      </c>
      <c r="DR495" s="115" t="str">
        <f>_xlfn.XLOOKUP(ППД5[[#This Row],[№]],Юрист[№ кв],Юрист[МОП],"",0,-1)</f>
        <v>Нуждина</v>
      </c>
      <c r="DS495" s="333" t="s">
        <v>3282</v>
      </c>
      <c r="DT495" s="333" t="s">
        <v>3283</v>
      </c>
      <c r="DU495" s="333">
        <v>26.7</v>
      </c>
      <c r="DV495" s="111"/>
    </row>
    <row r="496" spans="1:126" hidden="1" x14ac:dyDescent="0.25">
      <c r="A496" s="112">
        <v>494</v>
      </c>
      <c r="B496" s="111" t="s">
        <v>2</v>
      </c>
      <c r="C496" s="111">
        <v>14</v>
      </c>
      <c r="D496" s="115">
        <v>2</v>
      </c>
      <c r="E496" s="111">
        <v>1</v>
      </c>
      <c r="F496" s="105">
        <v>13.17</v>
      </c>
      <c r="G496" s="105"/>
      <c r="H496" s="105"/>
      <c r="I496" s="94">
        <f>SUM(ППД5[[#This Row],[Комната 1]:[Комната 3]])</f>
        <v>13.17</v>
      </c>
      <c r="J496" s="105">
        <v>16.940000000000001</v>
      </c>
      <c r="K496" s="105">
        <v>3.55</v>
      </c>
      <c r="L496" s="105">
        <v>2.41</v>
      </c>
      <c r="M496" s="105"/>
      <c r="N496" s="105">
        <v>5.8</v>
      </c>
      <c r="O496" s="105">
        <v>2.68</v>
      </c>
      <c r="P496" s="105"/>
      <c r="Q496" s="105"/>
      <c r="R496" s="105">
        <f>SUM(ППД5[[#This Row],[Лоджия 1]:[Лоджия 3]])</f>
        <v>2.68</v>
      </c>
      <c r="S496" s="8">
        <f>ROUND(SUM(ППД5[[#This Row],[Площадь по проекту жилая]:[Лоджия 3]]),2)</f>
        <v>44.55</v>
      </c>
      <c r="T496" s="8">
        <f>ROUND(ППД5[[#This Row],[Площадь по проекту(общая)]]-ППД5[[#This Row],[Летние]],2)</f>
        <v>41.87</v>
      </c>
      <c r="U496" s="91">
        <f>ROUND(ППД5[[#This Row],[Площадь по проекту(общая)]]-(SUM(ППД5[[#This Row],[Лоджия 1]:[Лоджия 3]])/2),2)</f>
        <v>43.21</v>
      </c>
      <c r="V496" s="91">
        <f>IF(ППД5[[#This Row],[Статус]]="продажа",ППД5[[#This Row],[Расчетная проектная площадь]],ППД5[[#This Row],[Расчетная ТП площадь]])</f>
        <v>43.21</v>
      </c>
      <c r="W496" s="91">
        <v>12.9</v>
      </c>
      <c r="X496" s="91"/>
      <c r="Y496" s="91"/>
      <c r="Z496" s="91">
        <f>SUM(ППД5[[#This Row],[ТП Комната 1]:[ТП Комната 3]])</f>
        <v>12.9</v>
      </c>
      <c r="AA496" s="91">
        <v>16.899999999999999</v>
      </c>
      <c r="AB496" s="91">
        <v>2</v>
      </c>
      <c r="AC496" s="91">
        <v>3.3</v>
      </c>
      <c r="AD496" s="91"/>
      <c r="AE496" s="91">
        <v>5.8</v>
      </c>
      <c r="AF496" s="91">
        <v>1.35</v>
      </c>
      <c r="AG496" s="91"/>
      <c r="AH496" s="91"/>
      <c r="AI496" s="91">
        <f>SUM(ППД5[[#This Row],[ТП Лоджия 1]:[ТП Лоджия 3]])</f>
        <v>1.35</v>
      </c>
      <c r="AJ496" s="95">
        <v>2.7</v>
      </c>
      <c r="AK496" s="91">
        <f>SUM(ППД5[[#This Row],[Площадь по ТП жилая]:[ТП Лоджия 3]])-ППД5[[#This Row],[ТП Летние]]+ППД5[[#This Row],[кроме того прочая
(без коэффициента)]]</f>
        <v>43.599999999999994</v>
      </c>
      <c r="AL496" s="95">
        <f>ППД5[[#This Row],[ТП Площадь без летних]]+(ППД5[[#This Row],[ТП Летние]])</f>
        <v>42.249999999999993</v>
      </c>
      <c r="AM496" s="91">
        <f>ППД5[[#This Row],[ТП общая S]]-ППД5[[#This Row],[кроме того прочая
(без коэффициента)]]</f>
        <v>40.899999999999991</v>
      </c>
      <c r="AN496" s="95">
        <f>SUM(ППД5[[#This Row],[ТП Кухня]:[ТП Коридор]])</f>
        <v>28</v>
      </c>
      <c r="AO496" s="91">
        <f>ППД5[[#This Row],[Расчетная ТП площадь]]-ППД5[[#This Row],[Расчетная проектная площадь]]</f>
        <v>-0.96000000000000796</v>
      </c>
      <c r="AP496" s="335">
        <f>ППД5[[#This Row],[Расчетная ТП площадь]]/ППД5[[#This Row],[Расчетная проектная площадь]]-1</f>
        <v>-2.2217079379773352E-2</v>
      </c>
      <c r="AQ496" s="91">
        <f>ППД5[[#This Row],[% расхождения]]*ППД5[[#This Row],[Стоимость до скидки]]</f>
        <v>-93776.070354085343</v>
      </c>
      <c r="AR496" s="91">
        <f>VLOOKUP(ППД5[[#This Row],[№]],наценкад5[],COLUMN(наценкад5[[#This Row],[Цена м2 с учетом всех K]]),0)</f>
        <v>85168.125</v>
      </c>
      <c r="AS496" s="8">
        <f>ППД5[[#This Row],[м2 после К]]*5%</f>
        <v>4258.40625</v>
      </c>
      <c r="AT496" s="8">
        <f>ППД5[[#This Row],[м2 после К]]+ППД5[[#This Row],[Повышение 16.08.23 - 5%]]</f>
        <v>89426.53125</v>
      </c>
      <c r="AU496" s="93">
        <f>ППД5[[#This Row],[Фикс 16.08.23]]*3%</f>
        <v>2682.7959375</v>
      </c>
      <c r="AV496" s="93">
        <f>ППД5[[#This Row],[Фикс 16.08.23]]+ППД5[[#This Row],[Повышение 29.08.23 - 3%]]</f>
        <v>92109.327187500006</v>
      </c>
      <c r="AW496" s="93">
        <f>ППД5[[#This Row],[Фикс 29.08.23]]*1%</f>
        <v>921.09327187500003</v>
      </c>
      <c r="AX496" s="93">
        <f>ППД5[[#This Row],[Фикс 29.08.23]]+ППД5[[#This Row],[Повышение 06.09.23 СТ и 1К]]</f>
        <v>93030.420459375004</v>
      </c>
      <c r="AY496" s="93"/>
      <c r="AZ496" s="93">
        <f>ППД5[[#This Row],[Повышение 23.10.23  В4 ]]+ППД5[[#This Row],[Фикс 06.09.23]]</f>
        <v>93030.420459375004</v>
      </c>
      <c r="BA496" s="93">
        <f>ППД5[[#This Row],[Фикс 23.10.23]]*5%</f>
        <v>4651.52102296875</v>
      </c>
      <c r="BB496" s="93">
        <f>ППД5[[#This Row],[Повышение 8.11.23 1К 5%]]+ППД5[[#This Row],[Фикс 23.10.23]]</f>
        <v>97681.941482343755</v>
      </c>
      <c r="BC496" s="93"/>
      <c r="BD496" s="93">
        <f>ППД5[[#This Row],[Корректировка 24.11.23 - 1К В5, 2К А2, №233]]+ППД5[[#This Row],[Фикс 8.11.23]]</f>
        <v>97681.941482343755</v>
      </c>
      <c r="BE496" s="93"/>
      <c r="BF496" s="93">
        <f>ППД5[[#This Row],[Наценка за отделку 29.12.23 1%]]+ППД5[[#This Row],[Фикс 8.11.24]]</f>
        <v>97681.941482343755</v>
      </c>
      <c r="BG496" s="93"/>
      <c r="BH496" s="93">
        <f>ППД5[[#This Row],[Фикс 29.12.23]]+ППД5[[#This Row],[Наценка 10.01.24 5%]]</f>
        <v>97681.941482343755</v>
      </c>
      <c r="BI496" s="93"/>
      <c r="BJ496" s="93">
        <f>ППД5[[#This Row],[Наценка 26.02.24 1 Этаж]]+ППД5[[#This Row],[Фикс 10.01.24]]</f>
        <v>97681.941482343755</v>
      </c>
      <c r="BK496" s="93"/>
      <c r="BL496" s="93">
        <f>ППД5[[#This Row],[Фикс 26.02.24]]+ППД5[[#This Row],[Наценка 06.03.24
СТ, 1К - 3%
2К, 3К - 2%]]</f>
        <v>97681.941482343755</v>
      </c>
      <c r="BM496" s="93"/>
      <c r="BN496" s="93">
        <f>ППД5[[#This Row],[Фикс 06.03.24]]+ППД5[[#This Row],[Наценка Г2+500]]</f>
        <v>97681.941482343755</v>
      </c>
      <c r="BO496" s="93"/>
      <c r="BP496" s="93">
        <f>ППД5[[#This Row],[Фикс 13.03.25]]+ППД5[[#This Row],[Наценка 20.03.24
2К, 3К - 2%]]</f>
        <v>97681.941482343755</v>
      </c>
      <c r="BQ496" s="93"/>
      <c r="BR496" s="93">
        <f>ППД5[[#This Row],[Фикс 20.03.24]]+ППД5[[#This Row],[Наценка 08.04.24 
2К: В3 - 150
3К: Г7 +1000]]</f>
        <v>97681.941482343755</v>
      </c>
      <c r="BS496" s="93"/>
      <c r="BT496" s="93">
        <f>ППД5[[#This Row],[Фикс 08.04.24]]+ППД5[[#This Row],[Наценка 16.05.24 1%
А4,А6,Б3,Б6,Б7,В2,В3,В5,В6,Г1,Г3-Г5]]</f>
        <v>97681.941482343755</v>
      </c>
      <c r="BU496" s="93"/>
      <c r="BV496" s="93">
        <f>ППД5[[#This Row],[Фикс 16.05.24]]+ППД5[[#This Row],[Наценка 24.05.24
1% - Б4, Б5,Г2,Г6
2% - А1,А3,А5,Б2,Г7]]</f>
        <v>97681.941482343755</v>
      </c>
      <c r="BW496" s="93"/>
      <c r="BX496" s="93">
        <f>ППД5[[#This Row],[Наценка 06.06.24
0К: В2,Г3 +0,5%
1К: А7, Б5/4, Г6 +0,5%
3К: В6 +0,5%
1К: А3 +1%]]+ППД5[[#This Row],[Фикс 24.05.24]]</f>
        <v>97681.941482343755</v>
      </c>
      <c r="BY496" s="93"/>
      <c r="BZ496" s="93">
        <f>ППД5[[#This Row],[Фикс 06.06.24]]+ППД5[[#This Row],[13.06.2024
3К - 2%]]</f>
        <v>97681.941482343755</v>
      </c>
      <c r="CA496" s="93"/>
      <c r="CB496" s="93">
        <f>ППД5[[#This Row],[02.07.2024: Г3 А1 А3 Б5 Б7 Г2 Г6 Б3 Б4 В3 Г7 2,5% ост 0,5-1,5%]]+ППД5[[#This Row],[Фикс 13.06.24]]</f>
        <v>97681.941482343755</v>
      </c>
      <c r="CC496" s="93"/>
      <c r="CD496" s="93">
        <f>ППД5[[#This Row],[Фикс 02.07.24]]+ППД5[[#This Row],[04.09.2024 +500
0К - Б2; 1К - А3;
2К - А6, Б4, В3, Г5]]</f>
        <v>97681.941482343755</v>
      </c>
      <c r="CE496" s="93"/>
      <c r="CF496" s="93">
        <f>ППД5[[#This Row],[Наценка 16.09.2024
1К: А1,В7,Г6/7,Г8 - 2%
2К: А4,А5,А6,Б1,Б6,Б3/4,В3,В4,Г4,Г5 - 4%
3К: 4%]]+ППД5[[#This Row],[Фикс 04.09.24]]</f>
        <v>97681.941482343755</v>
      </c>
      <c r="CG496" s="93"/>
      <c r="CH496" s="93">
        <f>ППД5[[#This Row],[Фикс 16.09.2024]]+ППД5[[#This Row],[Наценка 01.11.24
СТ: 4%
1К: 34-40м 5%; 40м+ 8%; МГН 1%
2К: 55-70м 6%; 70-73м 7%; 73-76м 8% 
3К: 5%]]</f>
        <v>97681.941482343755</v>
      </c>
      <c r="CI496" s="93"/>
      <c r="CJ496" s="93">
        <f>ППД5[[#This Row],[Наценка 06.11 13%]]+ППД5[[#This Row],[Фикс 01.11.24]]</f>
        <v>97681.941482343755</v>
      </c>
      <c r="CK496" s="93"/>
      <c r="CL496" s="93">
        <f>ППД5[[#This Row],[Фикс 06.11.24]]+ППД5[[#This Row],[Наценка 18.12.24 распределение КВ]]</f>
        <v>97681.941482343755</v>
      </c>
      <c r="CM496" s="93"/>
      <c r="CN496" s="93">
        <f>ППД5[[#This Row],[Фикс 18.12.24]]+ППД5[[#This Row],[Наценка 10.02.25 +1%
1К: А3
2К: Б3, В3]]</f>
        <v>97681.941482343755</v>
      </c>
      <c r="CO496" s="93">
        <f>ROUND(ППД5[[#This Row],[Фикс 10.02.25]],2)</f>
        <v>97681.94</v>
      </c>
      <c r="CP49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4220900</v>
      </c>
      <c r="CQ496" s="93">
        <f>ROUNDUP(ППД5[[#This Row],[Стоимость до скидки]]+ППД5[[#This Row],[Сумма доплаты]],-2)</f>
        <v>4127200</v>
      </c>
      <c r="CR496" s="68"/>
      <c r="CS496" s="90">
        <v>0.02</v>
      </c>
      <c r="CT496" s="68">
        <f>ППД5[[#This Row],[Стоимость до скидки]]*ППД5[[#This Row],[Скидка %]]+ППД5[[#This Row],[Скидка фиксированная]]</f>
        <v>84418</v>
      </c>
      <c r="CU496" s="3">
        <f>ППД5[[#This Row],[Стоимость ОН без отделки со скидкой]]/ППД5[[#This Row],[Расчетная проектная площадь]]</f>
        <v>95729.738486461472</v>
      </c>
      <c r="CV496" s="3">
        <f>ROUND(ППД5[[#This Row],[Стоимость до скидки]]-ППД5[[#This Row],[Итоговая сумма скидки]],2)</f>
        <v>4136482</v>
      </c>
      <c r="CW49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96" s="197"/>
      <c r="CY496" s="332">
        <f>ППД5[[#This Row],[Расхождение]]/ППД5[[#This Row],[Расчетная проектная площадь]]</f>
        <v>-2.2217079379773384E-2</v>
      </c>
      <c r="CZ49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-0.70000000000000284</v>
      </c>
      <c r="DA496" s="3">
        <f>ППД5[[#This Row],[Цена м2 без отделки со скидкой]]+ППД5[[#This Row],[Стоимость отделки]]</f>
        <v>95729.738486461472</v>
      </c>
      <c r="DB496" s="3">
        <f>ППД5[[#This Row],[Стоимость квартиры с отделкой]]-ППД5[[#This Row],[Стоимость ОН без отделки со скидкой]]</f>
        <v>0</v>
      </c>
      <c r="DC496" s="3">
        <f>ППД5[[#This Row],[Цена м2 с отделкой]]*ППД5[[#This Row],[Расчетная проектная площадь]]</f>
        <v>4136482.0000000005</v>
      </c>
      <c r="DD496" s="3"/>
      <c r="DE496" s="111" t="s">
        <v>788</v>
      </c>
      <c r="DF496" s="199" t="s">
        <v>172</v>
      </c>
      <c r="DG496" s="245" t="s">
        <v>172</v>
      </c>
      <c r="DH496" s="100" t="b">
        <f>EXACT(ППД5[[#This Row],[Статусы CRM]],ППД5[[#This Row],[Статус]])</f>
        <v>1</v>
      </c>
      <c r="DI496" s="213" t="s">
        <v>668</v>
      </c>
      <c r="DJ496" s="204"/>
      <c r="DK496" s="111" t="s">
        <v>763</v>
      </c>
      <c r="DL496" s="216" t="s">
        <v>12</v>
      </c>
      <c r="DM496" s="201" t="b">
        <f>ППД5[[#This Row],[Отделка CRM]]=ППД5[[#This Row],[Отделка]]</f>
        <v>1</v>
      </c>
      <c r="DN496" s="203">
        <v>4136482</v>
      </c>
      <c r="DO49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-4.6566128730773926E-10</v>
      </c>
      <c r="DP496" s="207" t="b">
        <f>IF(AND(ППД5[[#This Row],[Статус]]="свободно",ППД5[[#This Row],[Итоговая сумма скидки]]&lt;&gt;0),FALSE,TRUE)</f>
        <v>1</v>
      </c>
      <c r="DQ496" s="240">
        <f>_xlfn.XLOOKUP(ППД5[[#This Row],[№]],Юрист[№ кв],Юрист[Дата подачи на регистрацию]," ",0,-1)</f>
        <v>45281</v>
      </c>
      <c r="DR496" s="115" t="str">
        <f>_xlfn.XLOOKUP(ППД5[[#This Row],[№]],Юрист[№ кв],Юрист[МОП],"",0,-1)</f>
        <v>Дик</v>
      </c>
      <c r="DS496" s="333" t="s">
        <v>3284</v>
      </c>
      <c r="DT496" s="333" t="s">
        <v>3285</v>
      </c>
      <c r="DU496" s="333">
        <v>40.9</v>
      </c>
      <c r="DV496" s="111"/>
    </row>
    <row r="497" spans="1:126" hidden="1" x14ac:dyDescent="0.25">
      <c r="A497" s="112">
        <v>495</v>
      </c>
      <c r="B497" s="111" t="s">
        <v>2</v>
      </c>
      <c r="C497" s="111">
        <v>14</v>
      </c>
      <c r="D497" s="115">
        <v>3</v>
      </c>
      <c r="E497" s="111">
        <v>0</v>
      </c>
      <c r="F497" s="105">
        <v>7.2</v>
      </c>
      <c r="G497" s="105"/>
      <c r="H497" s="105"/>
      <c r="I497" s="94">
        <f>SUM(ППД5[[#This Row],[Комната 1]:[Комната 3]])</f>
        <v>7.2</v>
      </c>
      <c r="J497" s="105">
        <v>5.17</v>
      </c>
      <c r="K497" s="105">
        <v>3.71</v>
      </c>
      <c r="L497" s="105"/>
      <c r="M497" s="105"/>
      <c r="N497" s="105">
        <v>6.96</v>
      </c>
      <c r="O497" s="105">
        <v>2.92</v>
      </c>
      <c r="P497" s="105"/>
      <c r="Q497" s="105"/>
      <c r="R497" s="105">
        <f>SUM(ППД5[[#This Row],[Лоджия 1]:[Лоджия 3]])</f>
        <v>2.92</v>
      </c>
      <c r="S497" s="8">
        <f>ROUND(SUM(ППД5[[#This Row],[Площадь по проекту жилая]:[Лоджия 3]]),2)</f>
        <v>25.96</v>
      </c>
      <c r="T497" s="8">
        <f>ROUND(ППД5[[#This Row],[Площадь по проекту(общая)]]-ППД5[[#This Row],[Летние]],2)</f>
        <v>23.04</v>
      </c>
      <c r="U497" s="91">
        <f>ROUND(ППД5[[#This Row],[Площадь по проекту(общая)]]-(SUM(ППД5[[#This Row],[Лоджия 1]:[Лоджия 3]])/2),2)</f>
        <v>24.5</v>
      </c>
      <c r="V497" s="91">
        <f>IF(ППД5[[#This Row],[Статус]]="продажа",ППД5[[#This Row],[Расчетная проектная площадь]],ППД5[[#This Row],[Расчетная ТП площадь]])</f>
        <v>24.5</v>
      </c>
      <c r="W497" s="91">
        <v>7.2</v>
      </c>
      <c r="X497" s="91"/>
      <c r="Y497" s="91"/>
      <c r="Z497" s="91">
        <f>SUM(ППД5[[#This Row],[ТП Комната 1]:[ТП Комната 3]])</f>
        <v>7.2</v>
      </c>
      <c r="AA497" s="91">
        <v>5.4</v>
      </c>
      <c r="AB497" s="91">
        <v>3.7</v>
      </c>
      <c r="AC497" s="91"/>
      <c r="AD497" s="91"/>
      <c r="AE497" s="91">
        <v>6.5</v>
      </c>
      <c r="AF497" s="91">
        <v>1.45</v>
      </c>
      <c r="AG497" s="91"/>
      <c r="AH497" s="91"/>
      <c r="AI497" s="91">
        <f>SUM(ППД5[[#This Row],[ТП Лоджия 1]:[ТП Лоджия 3]])</f>
        <v>1.45</v>
      </c>
      <c r="AJ497" s="95">
        <v>2.9</v>
      </c>
      <c r="AK497" s="91">
        <f>SUM(ППД5[[#This Row],[Площадь по ТП жилая]:[ТП Лоджия 3]])-ППД5[[#This Row],[ТП Летние]]+ППД5[[#This Row],[кроме того прочая
(без коэффициента)]]</f>
        <v>25.7</v>
      </c>
      <c r="AL497" s="95">
        <f>ППД5[[#This Row],[ТП Площадь без летних]]+(ППД5[[#This Row],[ТП Летние]])</f>
        <v>24.25</v>
      </c>
      <c r="AM497" s="91">
        <f>ППД5[[#This Row],[ТП общая S]]-ППД5[[#This Row],[кроме того прочая
(без коэффициента)]]</f>
        <v>22.8</v>
      </c>
      <c r="AN497" s="95">
        <f>SUM(ППД5[[#This Row],[ТП Кухня]:[ТП Коридор]])</f>
        <v>15.600000000000001</v>
      </c>
      <c r="AO497" s="91">
        <f>ППД5[[#This Row],[Расчетная ТП площадь]]-ППД5[[#This Row],[Расчетная проектная площадь]]</f>
        <v>-0.25</v>
      </c>
      <c r="AP497" s="335">
        <f>ППД5[[#This Row],[Расчетная ТП площадь]]/ППД5[[#This Row],[Расчетная проектная площадь]]-1</f>
        <v>-1.0204081632653073E-2</v>
      </c>
      <c r="AQ497" s="91">
        <f>ППД5[[#This Row],[% расхождения]]*ППД5[[#This Row],[Стоимость до скидки]]</f>
        <v>-35860.204081632692</v>
      </c>
      <c r="AR497" s="91">
        <f>VLOOKUP(ППД5[[#This Row],[№]],наценкад5[],COLUMN(наценкад5[[#This Row],[Цена м2 с учетом всех K]]),0)</f>
        <v>91105.56</v>
      </c>
      <c r="AS497" s="8">
        <f>ППД5[[#This Row],[м2 после К]]*5%</f>
        <v>4555.2780000000002</v>
      </c>
      <c r="AT497" s="8">
        <f>ППД5[[#This Row],[м2 после К]]+ППД5[[#This Row],[Повышение 16.08.23 - 5%]]</f>
        <v>95660.838000000003</v>
      </c>
      <c r="AU497" s="93">
        <f>ППД5[[#This Row],[Фикс 16.08.23]]*3%</f>
        <v>2869.8251399999999</v>
      </c>
      <c r="AV497" s="93">
        <f>ППД5[[#This Row],[Фикс 16.08.23]]+ППД5[[#This Row],[Повышение 29.08.23 - 3%]]</f>
        <v>98530.663140000004</v>
      </c>
      <c r="AW497" s="93">
        <f>ППД5[[#This Row],[Фикс 29.08.23]]*9%</f>
        <v>8867.7596826000008</v>
      </c>
      <c r="AX497" s="93">
        <f>ППД5[[#This Row],[Фикс 29.08.23]]+ППД5[[#This Row],[Повышение 06.09.23 СТ и 1К]]</f>
        <v>107398.4228226</v>
      </c>
      <c r="AY497" s="93"/>
      <c r="AZ497" s="93">
        <f>ППД5[[#This Row],[Повышение 23.10.23  В4 ]]+ППД5[[#This Row],[Фикс 06.09.23]]</f>
        <v>107398.4228226</v>
      </c>
      <c r="BA497" s="93"/>
      <c r="BB497" s="93">
        <f>ППД5[[#This Row],[Повышение 8.11.23 1К 5%]]+ППД5[[#This Row],[Фикс 23.10.23]]</f>
        <v>107398.4228226</v>
      </c>
      <c r="BC497" s="93"/>
      <c r="BD497" s="93">
        <f>ППД5[[#This Row],[Корректировка 24.11.23 - 1К В5, 2К А2, №233]]+ППД5[[#This Row],[Фикс 8.11.23]]</f>
        <v>107398.4228226</v>
      </c>
      <c r="BE497" s="93">
        <f>ППД5[[#This Row],[Фикс 8.11.24]]*1%</f>
        <v>1073.9842282259999</v>
      </c>
      <c r="BF497" s="93">
        <f>ППД5[[#This Row],[Наценка за отделку 29.12.23 1%]]+ППД5[[#This Row],[Фикс 8.11.24]]</f>
        <v>108472.407050826</v>
      </c>
      <c r="BG497" s="93">
        <f>ППД5[[#This Row],[Фикс 29.12.23]]*5%</f>
        <v>5423.6203525413002</v>
      </c>
      <c r="BH497" s="93">
        <f>ППД5[[#This Row],[Фикс 29.12.23]]+ППД5[[#This Row],[Наценка 10.01.24 5%]]</f>
        <v>113896.0274033673</v>
      </c>
      <c r="BI497" s="93"/>
      <c r="BJ497" s="93">
        <f>ППД5[[#This Row],[Наценка 26.02.24 1 Этаж]]+ППД5[[#This Row],[Фикс 10.01.24]]</f>
        <v>113896.0274033673</v>
      </c>
      <c r="BK497" s="93">
        <f>ППД5[[#This Row],[Фикс 26.02.24]]*3%</f>
        <v>3416.880822101019</v>
      </c>
      <c r="BL497" s="93">
        <f>ППД5[[#This Row],[Фикс 26.02.24]]+ППД5[[#This Row],[Наценка 06.03.24
СТ, 1К - 3%
2К, 3К - 2%]]</f>
        <v>117312.90822546833</v>
      </c>
      <c r="BM497" s="93"/>
      <c r="BN497" s="93">
        <f>ППД5[[#This Row],[Фикс 06.03.24]]+ППД5[[#This Row],[Наценка Г2+500]]</f>
        <v>117312.90822546833</v>
      </c>
      <c r="BO497" s="93"/>
      <c r="BP497" s="93">
        <f>ППД5[[#This Row],[Фикс 13.03.25]]+ППД5[[#This Row],[Наценка 20.03.24
2К, 3К - 2%]]</f>
        <v>117312.90822546833</v>
      </c>
      <c r="BQ497" s="93"/>
      <c r="BR497" s="93">
        <f>ППД5[[#This Row],[Фикс 20.03.24]]+ППД5[[#This Row],[Наценка 08.04.24 
2К: В3 - 150
3К: Г7 +1000]]</f>
        <v>117312.90822546833</v>
      </c>
      <c r="BS497" s="93">
        <f>ППД5[[#This Row],[Фикс 08.04.24]]*1%</f>
        <v>1173.1290822546832</v>
      </c>
      <c r="BT497" s="93">
        <f>ППД5[[#This Row],[Фикс 08.04.24]]+ППД5[[#This Row],[Наценка 16.05.24 1%
А4,А6,Б3,Б6,Б7,В2,В3,В5,В6,Г1,Г3-Г5]]</f>
        <v>118486.03730772302</v>
      </c>
      <c r="BU497" s="93"/>
      <c r="BV497" s="93">
        <f>ППД5[[#This Row],[Фикс 16.05.24]]+ППД5[[#This Row],[Наценка 24.05.24
1% - Б4, Б5,Г2,Г6
2% - А1,А3,А5,Б2,Г7]]</f>
        <v>118486.03730772302</v>
      </c>
      <c r="BW497" s="93">
        <f>ППД5[[#This Row],[Фикс 24.05.24]]*0.5%</f>
        <v>592.43018653861509</v>
      </c>
      <c r="BX497" s="93">
        <f>ППД5[[#This Row],[Наценка 06.06.24
0К: В2,Г3 +0,5%
1К: А7, Б5/4, Г6 +0,5%
3К: В6 +0,5%
1К: А3 +1%]]+ППД5[[#This Row],[Фикс 24.05.24]]</f>
        <v>119078.46749426163</v>
      </c>
      <c r="BY497" s="93"/>
      <c r="BZ497" s="93">
        <f>ППД5[[#This Row],[Фикс 06.06.24]]+ППД5[[#This Row],[13.06.2024
3К - 2%]]</f>
        <v>119078.46749426163</v>
      </c>
      <c r="CA497" s="93">
        <f>2.5%*ППД5[[#This Row],[Фикс 13.06.24]]</f>
        <v>2976.961687356541</v>
      </c>
      <c r="CB497" s="93">
        <f>ППД5[[#This Row],[02.07.2024: Г3 А1 А3 Б5 Б7 Г2 Г6 Б3 Б4 В3 Г7 2,5% ост 0,5-1,5%]]+ППД5[[#This Row],[Фикс 13.06.24]]</f>
        <v>122055.42918161816</v>
      </c>
      <c r="CC497" s="93"/>
      <c r="CD497" s="93">
        <f>ППД5[[#This Row],[Фикс 02.07.24]]+ППД5[[#This Row],[04.09.2024 +500
0К - Б2; 1К - А3;
2К - А6, Б4, В3, Г5]]</f>
        <v>122055.42918161816</v>
      </c>
      <c r="CE497" s="93"/>
      <c r="CF497" s="93">
        <f>ППД5[[#This Row],[Наценка 16.09.2024
1К: А1,В7,Г6/7,Г8 - 2%
2К: А4,А5,А6,Б1,Б6,Б3/4,В3,В4,Г4,Г5 - 4%
3К: 4%]]+ППД5[[#This Row],[Фикс 04.09.24]]</f>
        <v>122055.42918161816</v>
      </c>
      <c r="CG497" s="93">
        <f>ППД5[[#This Row],[Фикс 16.09.2024]]*4%</f>
        <v>4882.2171672647264</v>
      </c>
      <c r="CH497" s="93">
        <f>ППД5[[#This Row],[Фикс 16.09.2024]]+ППД5[[#This Row],[Наценка 01.11.24
СТ: 4%
1К: 34-40м 5%; 40м+ 8%; МГН 1%
2К: 55-70м 6%; 70-73м 7%; 73-76м 8% 
3К: 5%]]</f>
        <v>126937.64634888289</v>
      </c>
      <c r="CI497" s="93">
        <f>ППД5[[#This Row],[Фикс 01.11.24]]*13%</f>
        <v>16501.894025354777</v>
      </c>
      <c r="CJ497" s="93">
        <f>ППД5[[#This Row],[Наценка 06.11 13%]]+ППД5[[#This Row],[Фикс 01.11.24]]</f>
        <v>143439.54037423767</v>
      </c>
      <c r="CK497" s="93"/>
      <c r="CL497" s="93">
        <f>ППД5[[#This Row],[Фикс 06.11.24]]+ППД5[[#This Row],[Наценка 18.12.24 распределение КВ]]</f>
        <v>143439.54037423767</v>
      </c>
      <c r="CM497" s="93"/>
      <c r="CN497" s="93">
        <f>ППД5[[#This Row],[Фикс 18.12.24]]+ППД5[[#This Row],[Наценка 10.02.25 +1%
1К: А3
2К: Б3, В3]]</f>
        <v>143439.54037423767</v>
      </c>
      <c r="CO497" s="93">
        <f>ROUND(ППД5[[#This Row],[Фикс 10.02.25]],2)</f>
        <v>143439.54</v>
      </c>
      <c r="CP49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3514300</v>
      </c>
      <c r="CQ497" s="93">
        <f>ROUNDUP(ППД5[[#This Row],[Стоимость до скидки]]+ППД5[[#This Row],[Сумма доплаты]],-2)</f>
        <v>3478500</v>
      </c>
      <c r="CR497" s="68"/>
      <c r="CS497" s="90">
        <v>0.02</v>
      </c>
      <c r="CT497" s="68">
        <f>ППД5[[#This Row],[Стоимость до скидки]]*ППД5[[#This Row],[Скидка %]]+ППД5[[#This Row],[Скидка фиксированная]]</f>
        <v>70286</v>
      </c>
      <c r="CU497" s="3">
        <f>ППД5[[#This Row],[Стоимость ОН без отделки со скидкой]]/ППД5[[#This Row],[Расчетная проектная площадь]]</f>
        <v>140572</v>
      </c>
      <c r="CV497" s="3">
        <f>ROUND(ППД5[[#This Row],[Стоимость до скидки]]-ППД5[[#This Row],[Итоговая сумма скидки]],2)</f>
        <v>3444014</v>
      </c>
      <c r="CW49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97" s="197"/>
      <c r="CY497" s="332">
        <f>ППД5[[#This Row],[Расхождение]]/ППД5[[#This Row],[Расчетная проектная площадь]]</f>
        <v>-1.020408163265306E-2</v>
      </c>
      <c r="CZ49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-0.23999999999999932</v>
      </c>
      <c r="DA497" s="3">
        <f>ППД5[[#This Row],[Цена м2 без отделки со скидкой]]+ППД5[[#This Row],[Стоимость отделки]]</f>
        <v>140572</v>
      </c>
      <c r="DB497" s="3">
        <f>ППД5[[#This Row],[Стоимость квартиры с отделкой]]-ППД5[[#This Row],[Стоимость ОН без отделки со скидкой]]</f>
        <v>0</v>
      </c>
      <c r="DC497" s="3">
        <f>ППД5[[#This Row],[Цена м2 с отделкой]]*ППД5[[#This Row],[Расчетная проектная площадь]]</f>
        <v>3444014</v>
      </c>
      <c r="DD497" s="3"/>
      <c r="DE497" s="111" t="s">
        <v>757</v>
      </c>
      <c r="DF497" s="199" t="s">
        <v>172</v>
      </c>
      <c r="DG497" s="245" t="s">
        <v>172</v>
      </c>
      <c r="DH497" s="100" t="b">
        <f>EXACT(ППД5[[#This Row],[Статусы CRM]],ППД5[[#This Row],[Статус]])</f>
        <v>1</v>
      </c>
      <c r="DI497" s="213" t="s">
        <v>669</v>
      </c>
      <c r="DJ497" s="204"/>
      <c r="DK497" s="111" t="s">
        <v>763</v>
      </c>
      <c r="DL497" s="216" t="s">
        <v>12</v>
      </c>
      <c r="DM497" s="201" t="b">
        <f>ППД5[[#This Row],[Отделка CRM]]=ППД5[[#This Row],[Отделка]]</f>
        <v>1</v>
      </c>
      <c r="DN497" s="203">
        <v>3444014</v>
      </c>
      <c r="DO49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97" s="207" t="b">
        <f>IF(AND(ППД5[[#This Row],[Статус]]="свободно",ППД5[[#This Row],[Итоговая сумма скидки]]&lt;&gt;0),FALSE,TRUE)</f>
        <v>1</v>
      </c>
      <c r="DQ497" s="240">
        <f>_xlfn.XLOOKUP(ППД5[[#This Row],[№]],Юрист[№ кв],Юрист[Дата подачи на регистрацию]," ",0,-1)</f>
        <v>45614</v>
      </c>
      <c r="DR497" s="115" t="str">
        <f>_xlfn.XLOOKUP(ППД5[[#This Row],[№]],Юрист[№ кв],Юрист[МОП],"",0,-1)</f>
        <v>Дик</v>
      </c>
      <c r="DS497" s="333" t="s">
        <v>3286</v>
      </c>
      <c r="DT497" s="333" t="s">
        <v>3287</v>
      </c>
      <c r="DU497" s="333">
        <v>22.8</v>
      </c>
      <c r="DV497" s="111"/>
    </row>
    <row r="498" spans="1:126" hidden="1" x14ac:dyDescent="0.25">
      <c r="A498" s="112">
        <v>496</v>
      </c>
      <c r="B498" s="111" t="s">
        <v>2</v>
      </c>
      <c r="C498" s="111">
        <v>14</v>
      </c>
      <c r="D498" s="115">
        <v>4</v>
      </c>
      <c r="E498" s="111">
        <v>2</v>
      </c>
      <c r="F498" s="105">
        <v>14.48</v>
      </c>
      <c r="G498" s="105">
        <v>11.42</v>
      </c>
      <c r="H498" s="105"/>
      <c r="I498" s="94">
        <f>SUM(ППД5[[#This Row],[Комната 1]:[Комната 3]])</f>
        <v>25.9</v>
      </c>
      <c r="J498" s="105">
        <v>15.86</v>
      </c>
      <c r="K498" s="105">
        <v>3.01</v>
      </c>
      <c r="L498" s="105">
        <v>2.67</v>
      </c>
      <c r="M498" s="105"/>
      <c r="N498" s="105">
        <v>9.44</v>
      </c>
      <c r="O498" s="105">
        <v>2.72</v>
      </c>
      <c r="P498" s="105"/>
      <c r="Q498" s="105"/>
      <c r="R498" s="105">
        <f>SUM(ППД5[[#This Row],[Лоджия 1]:[Лоджия 3]])</f>
        <v>2.72</v>
      </c>
      <c r="S498" s="8">
        <f>ROUND(SUM(ППД5[[#This Row],[Площадь по проекту жилая]:[Лоджия 3]]),2)</f>
        <v>59.6</v>
      </c>
      <c r="T498" s="8">
        <f>ROUND(ППД5[[#This Row],[Площадь по проекту(общая)]]-ППД5[[#This Row],[Летние]],2)</f>
        <v>56.88</v>
      </c>
      <c r="U498" s="91">
        <f>ROUND(ППД5[[#This Row],[Площадь по проекту(общая)]]-(SUM(ППД5[[#This Row],[Лоджия 1]:[Лоджия 3]])/2),2)</f>
        <v>58.24</v>
      </c>
      <c r="V498" s="91">
        <f>IF(ППД5[[#This Row],[Статус]]="продажа",ППД5[[#This Row],[Расчетная проектная площадь]],ППД5[[#This Row],[Расчетная ТП площадь]])</f>
        <v>58.050000000000004</v>
      </c>
      <c r="W498" s="91">
        <v>14.5</v>
      </c>
      <c r="X498" s="91">
        <v>11.3</v>
      </c>
      <c r="Y498" s="91"/>
      <c r="Z498" s="91">
        <f>SUM(ППД5[[#This Row],[ТП Комната 1]:[ТП Комната 3]])</f>
        <v>25.8</v>
      </c>
      <c r="AA498" s="91">
        <v>15.8</v>
      </c>
      <c r="AB498" s="91">
        <v>2.7</v>
      </c>
      <c r="AC498" s="91">
        <v>3.1</v>
      </c>
      <c r="AD498" s="91"/>
      <c r="AE498" s="91">
        <v>9.3000000000000007</v>
      </c>
      <c r="AF498" s="91">
        <v>1.35</v>
      </c>
      <c r="AG498" s="91"/>
      <c r="AH498" s="91"/>
      <c r="AI498" s="91">
        <f>SUM(ППД5[[#This Row],[ТП Лоджия 1]:[ТП Лоджия 3]])</f>
        <v>1.35</v>
      </c>
      <c r="AJ498" s="95">
        <v>2.7</v>
      </c>
      <c r="AK498" s="91">
        <f>SUM(ППД5[[#This Row],[Площадь по ТП жилая]:[ТП Лоджия 3]])-ППД5[[#This Row],[ТП Летние]]+ППД5[[#This Row],[кроме того прочая
(без коэффициента)]]</f>
        <v>59.400000000000006</v>
      </c>
      <c r="AL498" s="95">
        <f>ППД5[[#This Row],[ТП Площадь без летних]]+(ППД5[[#This Row],[ТП Летние]])</f>
        <v>58.050000000000004</v>
      </c>
      <c r="AM498" s="91">
        <f>ППД5[[#This Row],[ТП общая S]]-ППД5[[#This Row],[кроме того прочая
(без коэффициента)]]</f>
        <v>56.7</v>
      </c>
      <c r="AN498" s="95">
        <f>SUM(ППД5[[#This Row],[ТП Кухня]:[ТП Коридор]])</f>
        <v>30.900000000000002</v>
      </c>
      <c r="AO498" s="91">
        <f>ППД5[[#This Row],[Расчетная ТП площадь]]-ППД5[[#This Row],[Расчетная проектная площадь]]</f>
        <v>-0.18999999999999773</v>
      </c>
      <c r="AP498" s="335">
        <f>ППД5[[#This Row],[Расчетная ТП площадь]]/ППД5[[#This Row],[Расчетная проектная площадь]]-1</f>
        <v>-3.2623626373625703E-3</v>
      </c>
      <c r="AQ498" s="91">
        <f>ППД5[[#This Row],[% расхождения]]*ППД5[[#This Row],[Стоимость до скидки]]</f>
        <v>-23034.890109889635</v>
      </c>
      <c r="AR498" s="91">
        <f>VLOOKUP(ППД5[[#This Row],[№]],наценкад5[],COLUMN(наценкад5[[#This Row],[Цена м2 с учетом всех K]]),0)</f>
        <v>79535.67300000001</v>
      </c>
      <c r="AS498" s="8">
        <f>ППД5[[#This Row],[м2 после К]]*5%</f>
        <v>3976.7836500000008</v>
      </c>
      <c r="AT498" s="8">
        <f>ППД5[[#This Row],[м2 после К]]+ППД5[[#This Row],[Повышение 16.08.23 - 5%]]</f>
        <v>83512.456650000007</v>
      </c>
      <c r="AU498" s="93">
        <f>ППД5[[#This Row],[Фикс 16.08.23]]*3%</f>
        <v>2505.3736994999999</v>
      </c>
      <c r="AV498" s="93">
        <f>ППД5[[#This Row],[Фикс 16.08.23]]+ППД5[[#This Row],[Повышение 29.08.23 - 3%]]</f>
        <v>86017.8303495</v>
      </c>
      <c r="AW498" s="93"/>
      <c r="AX498" s="93">
        <f>ППД5[[#This Row],[Фикс 29.08.23]]+ППД5[[#This Row],[Повышение 06.09.23 СТ и 1К]]</f>
        <v>86017.8303495</v>
      </c>
      <c r="AY498" s="93"/>
      <c r="AZ498" s="93">
        <f>ППД5[[#This Row],[Повышение 23.10.23  В4 ]]+ППД5[[#This Row],[Фикс 06.09.23]]</f>
        <v>86017.8303495</v>
      </c>
      <c r="BA498" s="93"/>
      <c r="BB498" s="93">
        <f>ППД5[[#This Row],[Повышение 8.11.23 1К 5%]]+ППД5[[#This Row],[Фикс 23.10.23]]</f>
        <v>86017.8303495</v>
      </c>
      <c r="BC498" s="93"/>
      <c r="BD498" s="93">
        <f>ППД5[[#This Row],[Корректировка 24.11.23 - 1К В5, 2К А2, №233]]+ППД5[[#This Row],[Фикс 8.11.23]]</f>
        <v>86017.8303495</v>
      </c>
      <c r="BE498" s="93">
        <f>ППД5[[#This Row],[Фикс 8.11.24]]*1%</f>
        <v>860.17830349500002</v>
      </c>
      <c r="BF498" s="93">
        <f>ППД5[[#This Row],[Наценка за отделку 29.12.23 1%]]+ППД5[[#This Row],[Фикс 8.11.24]]</f>
        <v>86878.008652995006</v>
      </c>
      <c r="BG498" s="93">
        <f>ППД5[[#This Row],[Фикс 29.12.23]]*5%</f>
        <v>4343.9004326497507</v>
      </c>
      <c r="BH498" s="93">
        <f>ППД5[[#This Row],[Фикс 29.12.23]]+ППД5[[#This Row],[Наценка 10.01.24 5%]]</f>
        <v>91221.909085644758</v>
      </c>
      <c r="BI498" s="93"/>
      <c r="BJ498" s="93">
        <f>ППД5[[#This Row],[Наценка 26.02.24 1 Этаж]]+ППД5[[#This Row],[Фикс 10.01.24]]</f>
        <v>91221.909085644758</v>
      </c>
      <c r="BK498" s="93">
        <f>ППД5[[#This Row],[Фикс 26.02.24]]*2%</f>
        <v>1824.4381817128951</v>
      </c>
      <c r="BL498" s="93">
        <f>ППД5[[#This Row],[Фикс 26.02.24]]+ППД5[[#This Row],[Наценка 06.03.24
СТ, 1К - 3%
2К, 3К - 2%]]</f>
        <v>93046.347267357647</v>
      </c>
      <c r="BM498" s="93"/>
      <c r="BN498" s="93">
        <f>ППД5[[#This Row],[Фикс 06.03.24]]+ППД5[[#This Row],[Наценка Г2+500]]</f>
        <v>93046.347267357647</v>
      </c>
      <c r="BO498" s="93">
        <f>ППД5[[#This Row],[Фикс 13.03.25]]*2%</f>
        <v>1860.9269453471529</v>
      </c>
      <c r="BP498" s="93">
        <f>ППД5[[#This Row],[Фикс 13.03.25]]+ППД5[[#This Row],[Наценка 20.03.24
2К, 3К - 2%]]</f>
        <v>94907.274212704797</v>
      </c>
      <c r="BQ498" s="93"/>
      <c r="BR498" s="93">
        <f>ППД5[[#This Row],[Фикс 20.03.24]]+ППД5[[#This Row],[Наценка 08.04.24 
2К: В3 - 150
3К: Г7 +1000]]</f>
        <v>94907.274212704797</v>
      </c>
      <c r="BS498" s="93">
        <f>ППД5[[#This Row],[Фикс 08.04.24]]*1%</f>
        <v>949.07274212704795</v>
      </c>
      <c r="BT498" s="93">
        <f>ППД5[[#This Row],[Фикс 08.04.24]]+ППД5[[#This Row],[Наценка 16.05.24 1%
А4,А6,Б3,Б6,Б7,В2,В3,В5,В6,Г1,Г3-Г5]]</f>
        <v>95856.346954831839</v>
      </c>
      <c r="BU498" s="93"/>
      <c r="BV498" s="93">
        <f>ППД5[[#This Row],[Фикс 16.05.24]]+ППД5[[#This Row],[Наценка 24.05.24
1% - Б4, Б5,Г2,Г6
2% - А1,А3,А5,Б2,Г7]]</f>
        <v>95856.346954831839</v>
      </c>
      <c r="BW498" s="93"/>
      <c r="BX498" s="93">
        <f>ППД5[[#This Row],[Наценка 06.06.24
0К: В2,Г3 +0,5%
1К: А7, Б5/4, Г6 +0,5%
3К: В6 +0,5%
1К: А3 +1%]]+ППД5[[#This Row],[Фикс 24.05.24]]</f>
        <v>95856.346954831839</v>
      </c>
      <c r="BY498" s="93"/>
      <c r="BZ498" s="93">
        <f>ППД5[[#This Row],[Фикс 06.06.24]]+ППД5[[#This Row],[13.06.2024
3К - 2%]]</f>
        <v>95856.346954831839</v>
      </c>
      <c r="CA498" s="47">
        <f>1.5%*ППД5[[#This Row],[Фикс 13.06.24]]</f>
        <v>1437.8452043224775</v>
      </c>
      <c r="CB498" s="93">
        <f>ППД5[[#This Row],[02.07.2024: Г3 А1 А3 Б5 Б7 Г2 Г6 Б3 Б4 В3 Г7 2,5% ост 0,5-1,5%]]+ППД5[[#This Row],[Фикс 13.06.24]]</f>
        <v>97294.192159154321</v>
      </c>
      <c r="CC498" s="93"/>
      <c r="CD498" s="93">
        <f>ППД5[[#This Row],[Фикс 02.07.24]]+ППД5[[#This Row],[04.09.2024 +500
0К - Б2; 1К - А3;
2К - А6, Б4, В3, Г5]]</f>
        <v>97294.192159154321</v>
      </c>
      <c r="CE498" s="93">
        <f>ППД5[[#This Row],[Фикс 04.09.24]]*4%</f>
        <v>3891.7676863661727</v>
      </c>
      <c r="CF498" s="93">
        <f>ППД5[[#This Row],[Наценка 16.09.2024
1К: А1,В7,Г6/7,Г8 - 2%
2К: А4,А5,А6,Б1,Б6,Б3/4,В3,В4,Г4,Г5 - 4%
3К: 4%]]+ППД5[[#This Row],[Фикс 04.09.24]]</f>
        <v>101185.9598455205</v>
      </c>
      <c r="CG498" s="93">
        <f>ППД5[[#This Row],[Фикс 16.09.2024]]*6%</f>
        <v>6071.1575907312299</v>
      </c>
      <c r="CH498" s="93">
        <f>ППД5[[#This Row],[Фикс 16.09.2024]]+ППД5[[#This Row],[Наценка 01.11.24
СТ: 4%
1К: 34-40м 5%; 40м+ 8%; МГН 1%
2К: 55-70м 6%; 70-73м 7%; 73-76м 8% 
3К: 5%]]</f>
        <v>107257.11743625173</v>
      </c>
      <c r="CI498" s="93">
        <f>ППД5[[#This Row],[Фикс 01.11.24]]*13%</f>
        <v>13943.425266712726</v>
      </c>
      <c r="CJ498" s="93">
        <f>ППД5[[#This Row],[Наценка 06.11 13%]]+ППД5[[#This Row],[Фикс 01.11.24]]</f>
        <v>121200.54270296446</v>
      </c>
      <c r="CK498" s="93">
        <v>35</v>
      </c>
      <c r="CL498" s="93">
        <f>ППД5[[#This Row],[Фикс 06.11.24]]+ППД5[[#This Row],[Наценка 18.12.24 распределение КВ]]</f>
        <v>121235.54270296446</v>
      </c>
      <c r="CM498" s="93"/>
      <c r="CN498" s="93">
        <f>ППД5[[#This Row],[Фикс 18.12.24]]+ППД5[[#This Row],[Наценка 10.02.25 +1%
1К: А3
2К: Б3, В3]]</f>
        <v>121235.54270296446</v>
      </c>
      <c r="CO498" s="93">
        <f>ROUND(ППД5[[#This Row],[Фикс 10.02.25]],2)</f>
        <v>121235.54</v>
      </c>
      <c r="CP49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7060800</v>
      </c>
      <c r="CQ498" s="93">
        <f>ROUNDUP(ППД5[[#This Row],[Стоимость до скидки]]+ППД5[[#This Row],[Сумма доплаты]],-2)</f>
        <v>7037800</v>
      </c>
      <c r="CR498" s="68"/>
      <c r="CS498" s="90"/>
      <c r="CT498" s="68">
        <f>ППД5[[#This Row],[Стоимость до скидки]]*ППД5[[#This Row],[Скидка %]]+ППД5[[#This Row],[Скидка фиксированная]]</f>
        <v>0</v>
      </c>
      <c r="CU498" s="3">
        <f>ППД5[[#This Row],[Стоимость ОН без отделки со скидкой]]/ППД5[[#This Row],[Расчетная проектная площадь]]</f>
        <v>121236.26373626373</v>
      </c>
      <c r="CV498" s="3">
        <f>ROUND(ППД5[[#This Row],[Стоимость до скидки]]-ППД5[[#This Row],[Итоговая сумма скидки]],2)</f>
        <v>7060800</v>
      </c>
      <c r="CW49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498" s="218">
        <v>10000</v>
      </c>
      <c r="CY498" s="332">
        <f>ППД5[[#This Row],[Расхождение]]/ППД5[[#This Row],[Расчетная проектная площадь]]</f>
        <v>-3.262362637362598E-3</v>
      </c>
      <c r="CZ498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-8.0000000000000071E-2</v>
      </c>
      <c r="DA498" s="3">
        <f>ППД5[[#This Row],[Цена м2 без отделки со скидкой]]+ППД5[[#This Row],[Стоимость отделки]]</f>
        <v>131236.26373626373</v>
      </c>
      <c r="DB498" s="3">
        <f>ППД5[[#This Row],[Стоимость квартиры с отделкой]]-ППД5[[#This Row],[Стоимость ОН без отделки со скидкой]]</f>
        <v>582400</v>
      </c>
      <c r="DC498" s="3">
        <f>ППД5[[#This Row],[Цена м2 с отделкой]]*ППД5[[#This Row],[Расчетная проектная площадь]]</f>
        <v>7643200</v>
      </c>
      <c r="DD498" s="3"/>
      <c r="DF498" s="155" t="s">
        <v>157</v>
      </c>
      <c r="DG498" s="221" t="s">
        <v>157</v>
      </c>
      <c r="DH498" s="100" t="b">
        <f>EXACT(ППД5[[#This Row],[Статусы CRM]],ППД5[[#This Row],[Статус]])</f>
        <v>1</v>
      </c>
      <c r="DI498" s="213" t="s">
        <v>670</v>
      </c>
      <c r="DJ498" s="204"/>
      <c r="DK498" s="111" t="s">
        <v>763</v>
      </c>
      <c r="DL498" s="216" t="s">
        <v>780</v>
      </c>
      <c r="DM498" s="201" t="b">
        <f>ППД5[[#This Row],[Отделка CRM]]=ППД5[[#This Row],[Отделка]]</f>
        <v>1</v>
      </c>
      <c r="DN498" s="203">
        <v>7643200</v>
      </c>
      <c r="DO49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98" s="207" t="b">
        <f>IF(AND(ППД5[[#This Row],[Статус]]="свободно",ППД5[[#This Row],[Итоговая сумма скидки]]&lt;&gt;0),FALSE,TRUE)</f>
        <v>1</v>
      </c>
      <c r="DQ498" s="240" t="str">
        <f>_xlfn.XLOOKUP(ППД5[[#This Row],[№]],Юрист[№ кв],Юрист[Дата подачи на регистрацию]," ",0,-1)</f>
        <v xml:space="preserve"> </v>
      </c>
      <c r="DR498" s="115" t="str">
        <f>_xlfn.XLOOKUP(ППД5[[#This Row],[№]],Юрист[№ кв],Юрист[МОП],"",0,-1)</f>
        <v/>
      </c>
      <c r="DS498" s="333" t="s">
        <v>3288</v>
      </c>
      <c r="DT498" s="333" t="s">
        <v>3289</v>
      </c>
      <c r="DU498" s="333">
        <v>56.7</v>
      </c>
      <c r="DV498" s="111"/>
    </row>
    <row r="499" spans="1:126" hidden="1" x14ac:dyDescent="0.25">
      <c r="A499" s="112">
        <v>497</v>
      </c>
      <c r="B499" s="111" t="s">
        <v>2</v>
      </c>
      <c r="C499" s="111">
        <v>14</v>
      </c>
      <c r="D499" s="115">
        <v>5</v>
      </c>
      <c r="E499" s="111">
        <v>2</v>
      </c>
      <c r="F499" s="105">
        <v>15.41</v>
      </c>
      <c r="G499" s="105">
        <v>12.78</v>
      </c>
      <c r="H499" s="105"/>
      <c r="I499" s="94">
        <f>SUM(ППД5[[#This Row],[Комната 1]:[Комната 3]])</f>
        <v>28.189999999999998</v>
      </c>
      <c r="J499" s="105">
        <v>13.45</v>
      </c>
      <c r="K499" s="105">
        <v>3.7</v>
      </c>
      <c r="L499" s="105">
        <v>2.72</v>
      </c>
      <c r="M499" s="105"/>
      <c r="N499" s="105">
        <v>8.2200000000000006</v>
      </c>
      <c r="O499" s="105">
        <v>3.03</v>
      </c>
      <c r="P499" s="105"/>
      <c r="Q499" s="105"/>
      <c r="R499" s="105">
        <f>SUM(ППД5[[#This Row],[Лоджия 1]:[Лоджия 3]])</f>
        <v>3.03</v>
      </c>
      <c r="S499" s="8">
        <f>ROUND(SUM(ППД5[[#This Row],[Площадь по проекту жилая]:[Лоджия 3]]),2)</f>
        <v>59.31</v>
      </c>
      <c r="T499" s="8">
        <f>ROUND(ППД5[[#This Row],[Площадь по проекту(общая)]]-ППД5[[#This Row],[Летние]],2)</f>
        <v>56.28</v>
      </c>
      <c r="U499" s="91">
        <f>ROUND(ППД5[[#This Row],[Площадь по проекту(общая)]]-(SUM(ППД5[[#This Row],[Лоджия 1]:[Лоджия 3]])/2),2)</f>
        <v>57.8</v>
      </c>
      <c r="V499" s="91">
        <f>IF(ППД5[[#This Row],[Статус]]="продажа",ППД5[[#This Row],[Расчетная проектная площадь]],ППД5[[#This Row],[Расчетная ТП площадь]])</f>
        <v>57.8</v>
      </c>
      <c r="W499" s="91">
        <v>12.6</v>
      </c>
      <c r="X499" s="91">
        <v>15.3</v>
      </c>
      <c r="Y499" s="91"/>
      <c r="Z499" s="91">
        <f>SUM(ППД5[[#This Row],[ТП Комната 1]:[ТП Комната 3]])</f>
        <v>27.9</v>
      </c>
      <c r="AA499" s="91">
        <v>13.5</v>
      </c>
      <c r="AB499" s="91">
        <v>2.7</v>
      </c>
      <c r="AC499" s="91">
        <v>3.7</v>
      </c>
      <c r="AD499" s="91"/>
      <c r="AE499" s="91">
        <v>8</v>
      </c>
      <c r="AF499" s="91">
        <v>1.5</v>
      </c>
      <c r="AG499" s="91"/>
      <c r="AH499" s="91"/>
      <c r="AI499" s="91">
        <f>SUM(ППД5[[#This Row],[ТП Лоджия 1]:[ТП Лоджия 3]])</f>
        <v>1.5</v>
      </c>
      <c r="AJ499" s="95">
        <v>3</v>
      </c>
      <c r="AK499" s="91">
        <f>SUM(ППД5[[#This Row],[Площадь по ТП жилая]:[ТП Лоджия 3]])-ППД5[[#This Row],[ТП Летние]]+ППД5[[#This Row],[кроме того прочая
(без коэффициента)]]</f>
        <v>58.800000000000004</v>
      </c>
      <c r="AL499" s="95">
        <f>ППД5[[#This Row],[ТП Площадь без летних]]+(ППД5[[#This Row],[ТП Летние]])</f>
        <v>57.300000000000004</v>
      </c>
      <c r="AM499" s="91">
        <f>ППД5[[#This Row],[ТП общая S]]-ППД5[[#This Row],[кроме того прочая
(без коэффициента)]]</f>
        <v>55.800000000000004</v>
      </c>
      <c r="AN499" s="95">
        <f>SUM(ППД5[[#This Row],[ТП Кухня]:[ТП Коридор]])</f>
        <v>27.9</v>
      </c>
      <c r="AO499" s="91">
        <f>ППД5[[#This Row],[Расчетная ТП площадь]]-ППД5[[#This Row],[Расчетная проектная площадь]]</f>
        <v>-0.49999999999999289</v>
      </c>
      <c r="AP499" s="335">
        <f>ППД5[[#This Row],[Расчетная ТП площадь]]/ППД5[[#This Row],[Расчетная проектная площадь]]-1</f>
        <v>-8.650519031141779E-3</v>
      </c>
      <c r="AQ499" s="91">
        <f>ППД5[[#This Row],[% расхождения]]*ППД5[[#This Row],[Стоимость до скидки]]</f>
        <v>-42800.135034601633</v>
      </c>
      <c r="AR499" s="91">
        <f>VLOOKUP(ППД5[[#This Row],[№]],наценкад5[],COLUMN(наценкад5[[#This Row],[Цена м2 с учетом всех K]]),0)</f>
        <v>79149.577499999999</v>
      </c>
      <c r="AS499" s="8">
        <f>ППД5[[#This Row],[м2 после К]]*5%</f>
        <v>3957.4788750000002</v>
      </c>
      <c r="AT499" s="8">
        <f>ППД5[[#This Row],[м2 после К]]+ППД5[[#This Row],[Повышение 16.08.23 - 5%]]</f>
        <v>83107.056375</v>
      </c>
      <c r="AU499" s="93">
        <f>ППД5[[#This Row],[Фикс 16.08.23]]*3%</f>
        <v>2493.2116912500001</v>
      </c>
      <c r="AV499" s="93">
        <f>ППД5[[#This Row],[Фикс 16.08.23]]+ППД5[[#This Row],[Повышение 29.08.23 - 3%]]</f>
        <v>85600.268066250006</v>
      </c>
      <c r="AW499" s="93"/>
      <c r="AX499" s="93">
        <f>ППД5[[#This Row],[Фикс 29.08.23]]+ППД5[[#This Row],[Повышение 06.09.23 СТ и 1К]]</f>
        <v>85600.268066250006</v>
      </c>
      <c r="AY499" s="93"/>
      <c r="AZ499" s="93">
        <f>ППД5[[#This Row],[Повышение 23.10.23  В4 ]]+ППД5[[#This Row],[Фикс 06.09.23]]</f>
        <v>85600.268066250006</v>
      </c>
      <c r="BA499" s="93"/>
      <c r="BB499" s="93">
        <f>ППД5[[#This Row],[Повышение 8.11.23 1К 5%]]+ППД5[[#This Row],[Фикс 23.10.23]]</f>
        <v>85600.268066250006</v>
      </c>
      <c r="BC499" s="93"/>
      <c r="BD499" s="93">
        <f>ППД5[[#This Row],[Корректировка 24.11.23 - 1К В5, 2К А2, №233]]+ППД5[[#This Row],[Фикс 8.11.23]]</f>
        <v>85600.268066250006</v>
      </c>
      <c r="BE499" s="93"/>
      <c r="BF499" s="93">
        <f>ППД5[[#This Row],[Наценка за отделку 29.12.23 1%]]+ППД5[[#This Row],[Фикс 8.11.24]]</f>
        <v>85600.268066250006</v>
      </c>
      <c r="BG499" s="93"/>
      <c r="BH499" s="93">
        <f>ППД5[[#This Row],[Фикс 29.12.23]]+ППД5[[#This Row],[Наценка 10.01.24 5%]]</f>
        <v>85600.268066250006</v>
      </c>
      <c r="BI499" s="93"/>
      <c r="BJ499" s="93">
        <f>ППД5[[#This Row],[Наценка 26.02.24 1 Этаж]]+ППД5[[#This Row],[Фикс 10.01.24]]</f>
        <v>85600.268066250006</v>
      </c>
      <c r="BK499" s="93"/>
      <c r="BL499" s="93">
        <f>ППД5[[#This Row],[Фикс 26.02.24]]+ППД5[[#This Row],[Наценка 06.03.24
СТ, 1К - 3%
2К, 3К - 2%]]</f>
        <v>85600.268066250006</v>
      </c>
      <c r="BM499" s="93"/>
      <c r="BN499" s="93">
        <f>ППД5[[#This Row],[Фикс 06.03.24]]+ППД5[[#This Row],[Наценка Г2+500]]</f>
        <v>85600.268066250006</v>
      </c>
      <c r="BO499" s="93"/>
      <c r="BP499" s="93">
        <f>ППД5[[#This Row],[Фикс 13.03.25]]+ППД5[[#This Row],[Наценка 20.03.24
2К, 3К - 2%]]</f>
        <v>85600.268066250006</v>
      </c>
      <c r="BQ499" s="93"/>
      <c r="BR499" s="93">
        <f>ППД5[[#This Row],[Фикс 20.03.24]]+ППД5[[#This Row],[Наценка 08.04.24 
2К: В3 - 150
3К: Г7 +1000]]</f>
        <v>85600.268066250006</v>
      </c>
      <c r="BS499" s="93"/>
      <c r="BT499" s="93">
        <f>ППД5[[#This Row],[Фикс 08.04.24]]+ППД5[[#This Row],[Наценка 16.05.24 1%
А4,А6,Б3,Б6,Б7,В2,В3,В5,В6,Г1,Г3-Г5]]</f>
        <v>85600.268066250006</v>
      </c>
      <c r="BU499" s="93"/>
      <c r="BV499" s="93">
        <f>ППД5[[#This Row],[Фикс 16.05.24]]+ППД5[[#This Row],[Наценка 24.05.24
1% - Б4, Б5,Г2,Г6
2% - А1,А3,А5,Б2,Г7]]</f>
        <v>85600.268066250006</v>
      </c>
      <c r="BW499" s="93"/>
      <c r="BX499" s="93">
        <f>ППД5[[#This Row],[Наценка 06.06.24
0К: В2,Г3 +0,5%
1К: А7, Б5/4, Г6 +0,5%
3К: В6 +0,5%
1К: А3 +1%]]+ППД5[[#This Row],[Фикс 24.05.24]]</f>
        <v>85600.268066250006</v>
      </c>
      <c r="BY499" s="93"/>
      <c r="BZ499" s="93">
        <f>ППД5[[#This Row],[Фикс 06.06.24]]+ППД5[[#This Row],[13.06.2024
3К - 2%]]</f>
        <v>85600.268066250006</v>
      </c>
      <c r="CA499" s="93"/>
      <c r="CB499" s="93">
        <f>ППД5[[#This Row],[02.07.2024: Г3 А1 А3 Б5 Б7 Г2 Г6 Б3 Б4 В3 Г7 2,5% ост 0,5-1,5%]]+ППД5[[#This Row],[Фикс 13.06.24]]</f>
        <v>85600.268066250006</v>
      </c>
      <c r="CC499" s="93"/>
      <c r="CD499" s="93">
        <f>ППД5[[#This Row],[Фикс 02.07.24]]+ППД5[[#This Row],[04.09.2024 +500
0К - Б2; 1К - А3;
2К - А6, Б4, В3, Г5]]</f>
        <v>85600.268066250006</v>
      </c>
      <c r="CE499" s="93"/>
      <c r="CF499" s="93">
        <f>ППД5[[#This Row],[Наценка 16.09.2024
1К: А1,В7,Г6/7,Г8 - 2%
2К: А4,А5,А6,Б1,Б6,Б3/4,В3,В4,Г4,Г5 - 4%
3К: 4%]]+ППД5[[#This Row],[Фикс 04.09.24]]</f>
        <v>85600.268066250006</v>
      </c>
      <c r="CG499" s="93"/>
      <c r="CH499" s="93">
        <f>ППД5[[#This Row],[Фикс 16.09.2024]]+ППД5[[#This Row],[Наценка 01.11.24
СТ: 4%
1К: 34-40м 5%; 40м+ 8%; МГН 1%
2К: 55-70м 6%; 70-73м 7%; 73-76м 8% 
3К: 5%]]</f>
        <v>85600.268066250006</v>
      </c>
      <c r="CI499" s="93"/>
      <c r="CJ499" s="93">
        <f>ППД5[[#This Row],[Наценка 06.11 13%]]+ППД5[[#This Row],[Фикс 01.11.24]]</f>
        <v>85600.268066250006</v>
      </c>
      <c r="CK499" s="93"/>
      <c r="CL499" s="93">
        <f>ППД5[[#This Row],[Фикс 06.11.24]]+ППД5[[#This Row],[Наценка 18.12.24 распределение КВ]]</f>
        <v>85600.268066250006</v>
      </c>
      <c r="CM499" s="93"/>
      <c r="CN499" s="93">
        <f>ППД5[[#This Row],[Фикс 18.12.24]]+ППД5[[#This Row],[Наценка 10.02.25 +1%
1К: А3
2К: Б3, В3]]</f>
        <v>85600.268066250006</v>
      </c>
      <c r="CO499" s="93">
        <f>ROUND(ППД5[[#This Row],[Фикс 10.02.25]],2)</f>
        <v>85600.27</v>
      </c>
      <c r="CP49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4947695.6100000003</v>
      </c>
      <c r="CQ499" s="93">
        <f>ROUNDUP(ППД5[[#This Row],[Стоимость до скидки]]+ППД5[[#This Row],[Сумма доплаты]],-2)</f>
        <v>4904900</v>
      </c>
      <c r="CR499" s="68"/>
      <c r="CS499" s="90">
        <v>0.02</v>
      </c>
      <c r="CT499" s="68">
        <f>ППД5[[#This Row],[Стоимость до скидки]]*ППД5[[#This Row],[Скидка %]]+ППД5[[#This Row],[Скидка фиксированная]]</f>
        <v>98953.912200000006</v>
      </c>
      <c r="CU499" s="3">
        <f>ППД5[[#This Row],[Стоимость ОН без отделки со скидкой]]/ППД5[[#This Row],[Расчетная проектная площадь]]</f>
        <v>83888.264705882364</v>
      </c>
      <c r="CV499" s="3">
        <f>ROUND(ППД5[[#This Row],[Стоимость до скидки]]-ППД5[[#This Row],[Итоговая сумма скидки]],2)</f>
        <v>4848741.7</v>
      </c>
      <c r="CW49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499" s="197"/>
      <c r="CY499" s="332">
        <f>ППД5[[#This Row],[Расхождение]]/ППД5[[#This Row],[Расчетная проектная площадь]]</f>
        <v>-8.650519031141746E-3</v>
      </c>
      <c r="CZ49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-0.18999999999999773</v>
      </c>
      <c r="DA499" s="3">
        <f>ППД5[[#This Row],[Цена м2 без отделки со скидкой]]+ППД5[[#This Row],[Стоимость отделки]]</f>
        <v>83888.264705882364</v>
      </c>
      <c r="DB499" s="3">
        <f>ППД5[[#This Row],[Стоимость квартиры с отделкой]]-ППД5[[#This Row],[Стоимость ОН без отделки со скидкой]]</f>
        <v>0</v>
      </c>
      <c r="DC499" s="3">
        <f>ППД5[[#This Row],[Цена м2 с отделкой]]*ППД5[[#This Row],[Расчетная проектная площадь]]</f>
        <v>4848741.7</v>
      </c>
      <c r="DD499" s="3"/>
      <c r="DE499" s="111" t="s">
        <v>757</v>
      </c>
      <c r="DF499" s="199" t="s">
        <v>172</v>
      </c>
      <c r="DG499" s="245" t="s">
        <v>172</v>
      </c>
      <c r="DH499" s="100" t="b">
        <f>EXACT(ППД5[[#This Row],[Статусы CRM]],ППД5[[#This Row],[Статус]])</f>
        <v>1</v>
      </c>
      <c r="DI499" s="213" t="s">
        <v>671</v>
      </c>
      <c r="DJ499" s="204"/>
      <c r="DK499" s="111" t="s">
        <v>76</v>
      </c>
      <c r="DL499" s="216" t="s">
        <v>12</v>
      </c>
      <c r="DM499" s="201" t="b">
        <f>ППД5[[#This Row],[Отделка CRM]]=ППД5[[#This Row],[Отделка]]</f>
        <v>1</v>
      </c>
      <c r="DN499" s="203">
        <v>4848741.7</v>
      </c>
      <c r="DO49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499" s="207" t="b">
        <f>IF(AND(ППД5[[#This Row],[Статус]]="свободно",ППД5[[#This Row],[Итоговая сумма скидки]]&lt;&gt;0),FALSE,TRUE)</f>
        <v>1</v>
      </c>
      <c r="DQ499" s="240">
        <f>_xlfn.XLOOKUP(ППД5[[#This Row],[№]],Юрист[№ кв],Юрист[Дата подачи на регистрацию]," ",0,-1)</f>
        <v>45233</v>
      </c>
      <c r="DR499" s="115" t="str">
        <f>_xlfn.XLOOKUP(ППД5[[#This Row],[№]],Юрист[№ кв],Юрист[МОП],"",0,-1)</f>
        <v>Дик</v>
      </c>
      <c r="DS499" s="333" t="s">
        <v>3290</v>
      </c>
      <c r="DT499" s="333" t="s">
        <v>3291</v>
      </c>
      <c r="DU499" s="333">
        <v>55.8</v>
      </c>
      <c r="DV499" s="111"/>
    </row>
    <row r="500" spans="1:126" hidden="1" x14ac:dyDescent="0.25">
      <c r="A500" s="112">
        <v>498</v>
      </c>
      <c r="B500" s="111" t="s">
        <v>2</v>
      </c>
      <c r="C500" s="111">
        <v>14</v>
      </c>
      <c r="D500" s="115">
        <v>6</v>
      </c>
      <c r="E500" s="111">
        <v>1</v>
      </c>
      <c r="F500" s="105">
        <v>12.71</v>
      </c>
      <c r="G500" s="105"/>
      <c r="H500" s="105"/>
      <c r="I500" s="94">
        <f>SUM(ППД5[[#This Row],[Комната 1]:[Комната 3]])</f>
        <v>12.71</v>
      </c>
      <c r="J500" s="105">
        <v>12.55</v>
      </c>
      <c r="K500" s="105">
        <v>4.28</v>
      </c>
      <c r="L500" s="105"/>
      <c r="M500" s="105"/>
      <c r="N500" s="105">
        <v>7.34</v>
      </c>
      <c r="O500" s="105">
        <v>2.84</v>
      </c>
      <c r="P500" s="105"/>
      <c r="Q500" s="105"/>
      <c r="R500" s="105">
        <f>SUM(ППД5[[#This Row],[Лоджия 1]:[Лоджия 3]])</f>
        <v>2.84</v>
      </c>
      <c r="S500" s="8">
        <f>ROUND(SUM(ППД5[[#This Row],[Площадь по проекту жилая]:[Лоджия 3]]),2)</f>
        <v>39.72</v>
      </c>
      <c r="T500" s="8">
        <f>ROUND(ППД5[[#This Row],[Площадь по проекту(общая)]]-ППД5[[#This Row],[Летние]],2)</f>
        <v>36.880000000000003</v>
      </c>
      <c r="U500" s="91">
        <f>ROUND(ППД5[[#This Row],[Площадь по проекту(общая)]]-(SUM(ППД5[[#This Row],[Лоджия 1]:[Лоджия 3]])/2),2)</f>
        <v>38.299999999999997</v>
      </c>
      <c r="V500" s="91">
        <f>IF(ППД5[[#This Row],[Статус]]="продажа",ППД5[[#This Row],[Расчетная проектная площадь]],ППД5[[#This Row],[Расчетная ТП площадь]])</f>
        <v>38.299999999999997</v>
      </c>
      <c r="W500" s="91">
        <v>12.6</v>
      </c>
      <c r="X500" s="91"/>
      <c r="Y500" s="91"/>
      <c r="Z500" s="91">
        <f>SUM(ППД5[[#This Row],[ТП Комната 1]:[ТП Комната 3]])</f>
        <v>12.6</v>
      </c>
      <c r="AA500" s="91">
        <v>12.5</v>
      </c>
      <c r="AB500" s="91">
        <v>4</v>
      </c>
      <c r="AC500" s="91"/>
      <c r="AD500" s="91"/>
      <c r="AE500" s="91">
        <v>7.3</v>
      </c>
      <c r="AF500" s="91">
        <v>1.4</v>
      </c>
      <c r="AG500" s="91"/>
      <c r="AH500" s="91"/>
      <c r="AI500" s="91">
        <f>SUM(ППД5[[#This Row],[ТП Лоджия 1]:[ТП Лоджия 3]])</f>
        <v>1.4</v>
      </c>
      <c r="AJ500" s="95">
        <v>2.8</v>
      </c>
      <c r="AK500" s="91">
        <f>SUM(ППД5[[#This Row],[Площадь по ТП жилая]:[ТП Лоджия 3]])-ППД5[[#This Row],[ТП Летние]]+ППД5[[#This Row],[кроме того прочая
(без коэффициента)]]</f>
        <v>39.199999999999996</v>
      </c>
      <c r="AL500" s="95">
        <f>ППД5[[#This Row],[ТП Площадь без летних]]+(ППД5[[#This Row],[ТП Летние]])</f>
        <v>37.799999999999997</v>
      </c>
      <c r="AM500" s="91">
        <f>ППД5[[#This Row],[ТП общая S]]-ППД5[[#This Row],[кроме того прочая
(без коэффициента)]]</f>
        <v>36.4</v>
      </c>
      <c r="AN500" s="95">
        <f>SUM(ППД5[[#This Row],[ТП Кухня]:[ТП Коридор]])</f>
        <v>23.8</v>
      </c>
      <c r="AO500" s="91">
        <f>ППД5[[#This Row],[Расчетная ТП площадь]]-ППД5[[#This Row],[Расчетная проектная площадь]]</f>
        <v>-0.5</v>
      </c>
      <c r="AP500" s="335">
        <f>ППД5[[#This Row],[Расчетная ТП площадь]]/ППД5[[#This Row],[Расчетная проектная площадь]]-1</f>
        <v>-1.3054830287206221E-2</v>
      </c>
      <c r="AQ500" s="91">
        <f>ППД5[[#This Row],[% расхождения]]*ППД5[[#This Row],[Стоимость до скидки]]</f>
        <v>-54874.673629242629</v>
      </c>
      <c r="AR500" s="91">
        <f>VLOOKUP(ППД5[[#This Row],[№]],наценкад5[],COLUMN(наценкад5[[#This Row],[Цена м2 с учетом всех K]]),0)</f>
        <v>87601.5</v>
      </c>
      <c r="AS500" s="8">
        <f>ППД5[[#This Row],[м2 после К]]*5%</f>
        <v>4380.0749999999998</v>
      </c>
      <c r="AT500" s="8">
        <f>ППД5[[#This Row],[м2 после К]]+ППД5[[#This Row],[Повышение 16.08.23 - 5%]]</f>
        <v>91981.574999999997</v>
      </c>
      <c r="AU500" s="93">
        <f>ППД5[[#This Row],[Фикс 16.08.23]]*3%</f>
        <v>2759.4472499999997</v>
      </c>
      <c r="AV500" s="93">
        <f>ППД5[[#This Row],[Фикс 16.08.23]]+ППД5[[#This Row],[Повышение 29.08.23 - 3%]]</f>
        <v>94741.022249999995</v>
      </c>
      <c r="AW500" s="93">
        <f>ППД5[[#This Row],[Фикс 29.08.23]]*1%</f>
        <v>947.41022249999992</v>
      </c>
      <c r="AX500" s="93">
        <f>ППД5[[#This Row],[Фикс 29.08.23]]+ППД5[[#This Row],[Повышение 06.09.23 СТ и 1К]]</f>
        <v>95688.43247249999</v>
      </c>
      <c r="AY500" s="93"/>
      <c r="AZ500" s="93">
        <f>ППД5[[#This Row],[Повышение 23.10.23  В4 ]]+ППД5[[#This Row],[Фикс 06.09.23]]</f>
        <v>95688.43247249999</v>
      </c>
      <c r="BA500" s="93">
        <f>ППД5[[#This Row],[Фикс 23.10.23]]*5%</f>
        <v>4784.4216236249995</v>
      </c>
      <c r="BB500" s="93">
        <f>ППД5[[#This Row],[Повышение 8.11.23 1К 5%]]+ППД5[[#This Row],[Фикс 23.10.23]]</f>
        <v>100472.854096125</v>
      </c>
      <c r="BC500" s="93"/>
      <c r="BD500" s="93">
        <f>ППД5[[#This Row],[Корректировка 24.11.23 - 1К В5, 2К А2, №233]]+ППД5[[#This Row],[Фикс 8.11.23]]</f>
        <v>100472.854096125</v>
      </c>
      <c r="BE500" s="93">
        <f>ППД5[[#This Row],[Фикс 8.11.24]]*1%</f>
        <v>1004.72854096125</v>
      </c>
      <c r="BF500" s="93">
        <f>ППД5[[#This Row],[Наценка за отделку 29.12.23 1%]]+ППД5[[#This Row],[Фикс 8.11.24]]</f>
        <v>101477.58263708625</v>
      </c>
      <c r="BG500" s="93">
        <f>ППД5[[#This Row],[Фикс 29.12.23]]*5%</f>
        <v>5073.8791318543126</v>
      </c>
      <c r="BH500" s="93">
        <f>ППД5[[#This Row],[Фикс 29.12.23]]+ППД5[[#This Row],[Наценка 10.01.24 5%]]</f>
        <v>106551.46176894056</v>
      </c>
      <c r="BI500" s="93"/>
      <c r="BJ500" s="93">
        <f>ППД5[[#This Row],[Наценка 26.02.24 1 Этаж]]+ППД5[[#This Row],[Фикс 10.01.24]]</f>
        <v>106551.46176894056</v>
      </c>
      <c r="BK500" s="93">
        <f>ППД5[[#This Row],[Фикс 26.02.24]]*3%</f>
        <v>3196.5438530682168</v>
      </c>
      <c r="BL500" s="93">
        <f>ППД5[[#This Row],[Фикс 26.02.24]]+ППД5[[#This Row],[Наценка 06.03.24
СТ, 1К - 3%
2К, 3К - 2%]]</f>
        <v>109748.00562200877</v>
      </c>
      <c r="BM500" s="93"/>
      <c r="BN500" s="93">
        <f>ППД5[[#This Row],[Фикс 06.03.24]]+ППД5[[#This Row],[Наценка Г2+500]]</f>
        <v>109748.00562200877</v>
      </c>
      <c r="BO500" s="93"/>
      <c r="BP500" s="93">
        <f>ППД5[[#This Row],[Фикс 13.03.25]]+ППД5[[#This Row],[Наценка 20.03.24
2К, 3К - 2%]]</f>
        <v>109748.00562200877</v>
      </c>
      <c r="BQ500" s="93"/>
      <c r="BR500" s="93">
        <f>ППД5[[#This Row],[Фикс 20.03.24]]+ППД5[[#This Row],[Наценка 08.04.24 
2К: В3 - 150
3К: Г7 +1000]]</f>
        <v>109748.00562200877</v>
      </c>
      <c r="BS500" s="93"/>
      <c r="BT500" s="93">
        <f>ППД5[[#This Row],[Фикс 08.04.24]]+ППД5[[#This Row],[Наценка 16.05.24 1%
А4,А6,Б3,Б6,Б7,В2,В3,В5,В6,Г1,Г3-Г5]]</f>
        <v>109748.00562200877</v>
      </c>
      <c r="BU500" s="93"/>
      <c r="BV500" s="93">
        <f>ППД5[[#This Row],[Фикс 16.05.24]]+ППД5[[#This Row],[Наценка 24.05.24
1% - Б4, Б5,Г2,Г6
2% - А1,А3,А5,Б2,Г7]]</f>
        <v>109748.00562200877</v>
      </c>
      <c r="BW500" s="93"/>
      <c r="BX500" s="93">
        <f>ППД5[[#This Row],[Наценка 06.06.24
0К: В2,Г3 +0,5%
1К: А7, Б5/4, Г6 +0,5%
3К: В6 +0,5%
1К: А3 +1%]]+ППД5[[#This Row],[Фикс 24.05.24]]</f>
        <v>109748.00562200877</v>
      </c>
      <c r="BY500" s="93"/>
      <c r="BZ500" s="93">
        <f>ППД5[[#This Row],[Фикс 06.06.24]]+ППД5[[#This Row],[13.06.2024
3К - 2%]]</f>
        <v>109748.00562200877</v>
      </c>
      <c r="CA500" s="93"/>
      <c r="CB500" s="93">
        <f>ППД5[[#This Row],[02.07.2024: Г3 А1 А3 Б5 Б7 Г2 Г6 Б3 Б4 В3 Г7 2,5% ост 0,5-1,5%]]+ППД5[[#This Row],[Фикс 13.06.24]]</f>
        <v>109748.00562200877</v>
      </c>
      <c r="CC500" s="93"/>
      <c r="CD500" s="93">
        <f>ППД5[[#This Row],[Фикс 02.07.24]]+ППД5[[#This Row],[04.09.2024 +500
0К - Б2; 1К - А3;
2К - А6, Б4, В3, Г5]]</f>
        <v>109748.00562200877</v>
      </c>
      <c r="CE500" s="93"/>
      <c r="CF500" s="93">
        <f>ППД5[[#This Row],[Наценка 16.09.2024
1К: А1,В7,Г6/7,Г8 - 2%
2К: А4,А5,А6,Б1,Б6,Б3/4,В3,В4,Г4,Г5 - 4%
3К: 4%]]+ППД5[[#This Row],[Фикс 04.09.24]]</f>
        <v>109748.00562200877</v>
      </c>
      <c r="CG500" s="93"/>
      <c r="CH500" s="93">
        <f>ППД5[[#This Row],[Фикс 16.09.2024]]+ППД5[[#This Row],[Наценка 01.11.24
СТ: 4%
1К: 34-40м 5%; 40м+ 8%; МГН 1%
2К: 55-70м 6%; 70-73м 7%; 73-76м 8% 
3К: 5%]]</f>
        <v>109748.00562200877</v>
      </c>
      <c r="CI500" s="93"/>
      <c r="CJ500" s="93">
        <f>ППД5[[#This Row],[Наценка 06.11 13%]]+ППД5[[#This Row],[Фикс 01.11.24]]</f>
        <v>109748.00562200877</v>
      </c>
      <c r="CK500" s="93"/>
      <c r="CL500" s="93">
        <f>ППД5[[#This Row],[Фикс 06.11.24]]+ППД5[[#This Row],[Наценка 18.12.24 распределение КВ]]</f>
        <v>109748.00562200877</v>
      </c>
      <c r="CM500" s="93"/>
      <c r="CN500" s="93">
        <f>ППД5[[#This Row],[Фикс 18.12.24]]+ППД5[[#This Row],[Наценка 10.02.25 +1%
1К: А3
2К: Б3, В3]]</f>
        <v>109748.00562200877</v>
      </c>
      <c r="CO500" s="93">
        <f>ROUND(ППД5[[#This Row],[Фикс 10.02.25]],2)</f>
        <v>109748.01</v>
      </c>
      <c r="CP50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4203400</v>
      </c>
      <c r="CQ500" s="93">
        <f>ROUNDUP(ППД5[[#This Row],[Стоимость до скидки]]+ППД5[[#This Row],[Сумма доплаты]],-2)</f>
        <v>4148600</v>
      </c>
      <c r="CR500" s="68"/>
      <c r="CS500" s="90"/>
      <c r="CT500" s="68">
        <f>ППД5[[#This Row],[Стоимость до скидки]]*ППД5[[#This Row],[Скидка %]]+ППД5[[#This Row],[Скидка фиксированная]]</f>
        <v>0</v>
      </c>
      <c r="CU500" s="3">
        <f>ППД5[[#This Row],[Стоимость ОН без отделки со скидкой]]/ППД5[[#This Row],[Расчетная проектная площадь]]</f>
        <v>109749.34725848565</v>
      </c>
      <c r="CV500" s="3">
        <f>ROUND(ППД5[[#This Row],[Стоимость до скидки]]-ППД5[[#This Row],[Итоговая сумма скидки]],2)</f>
        <v>4203400</v>
      </c>
      <c r="CW50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500" s="197">
        <v>7000</v>
      </c>
      <c r="CY500" s="332">
        <f>ППД5[[#This Row],[Расхождение]]/ППД5[[#This Row],[Расчетная проектная площадь]]</f>
        <v>-1.3054830287206267E-2</v>
      </c>
      <c r="CZ50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-0.37000000000000099</v>
      </c>
      <c r="DA500" s="3">
        <f>ППД5[[#This Row],[Цена м2 без отделки со скидкой]]+ППД5[[#This Row],[Стоимость отделки]]</f>
        <v>116749.34725848565</v>
      </c>
      <c r="DB500" s="3">
        <f>ППД5[[#This Row],[Стоимость квартиры с отделкой]]-ППД5[[#This Row],[Стоимость ОН без отделки со скидкой]]</f>
        <v>268100</v>
      </c>
      <c r="DC500" s="3">
        <f>ППД5[[#This Row],[Цена м2 с отделкой]]*ППД5[[#This Row],[Расчетная проектная площадь]]</f>
        <v>4471500</v>
      </c>
      <c r="DD500" s="3"/>
      <c r="DF500" s="199" t="s">
        <v>172</v>
      </c>
      <c r="DG500" s="245" t="s">
        <v>172</v>
      </c>
      <c r="DH500" s="100" t="b">
        <f>EXACT(ППД5[[#This Row],[Статусы CRM]],ППД5[[#This Row],[Статус]])</f>
        <v>1</v>
      </c>
      <c r="DI500" s="213" t="s">
        <v>672</v>
      </c>
      <c r="DJ500" s="204"/>
      <c r="DK500" s="111" t="s">
        <v>763</v>
      </c>
      <c r="DL500" s="216" t="s">
        <v>780</v>
      </c>
      <c r="DM500" s="201" t="b">
        <f>ППД5[[#This Row],[Отделка CRM]]=ППД5[[#This Row],[Отделка]]</f>
        <v>1</v>
      </c>
      <c r="DN500" s="203">
        <v>4471500</v>
      </c>
      <c r="DO50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00" s="207" t="b">
        <f>IF(AND(ППД5[[#This Row],[Статус]]="свободно",ППД5[[#This Row],[Итоговая сумма скидки]]&lt;&gt;0),FALSE,TRUE)</f>
        <v>1</v>
      </c>
      <c r="DQ500" s="240">
        <f>_xlfn.XLOOKUP(ППД5[[#This Row],[№]],Юрист[№ кв],Юрист[Дата подачи на регистрацию]," ",0,-1)</f>
        <v>45420</v>
      </c>
      <c r="DR500" s="115" t="str">
        <f>_xlfn.XLOOKUP(ППД5[[#This Row],[№]],Юрист[№ кв],Юрист[МОП],"",0,-1)</f>
        <v>Калачева</v>
      </c>
      <c r="DS500" s="333" t="s">
        <v>3292</v>
      </c>
      <c r="DT500" s="333" t="s">
        <v>3293</v>
      </c>
      <c r="DU500" s="333">
        <v>36.4</v>
      </c>
      <c r="DV500" s="111"/>
    </row>
    <row r="501" spans="1:126" hidden="1" x14ac:dyDescent="0.25">
      <c r="A501" s="112">
        <v>499</v>
      </c>
      <c r="B501" s="111" t="s">
        <v>2</v>
      </c>
      <c r="C501" s="111">
        <v>14</v>
      </c>
      <c r="D501" s="115">
        <v>7</v>
      </c>
      <c r="E501" s="111">
        <v>3</v>
      </c>
      <c r="F501" s="105">
        <v>14.49</v>
      </c>
      <c r="G501" s="105">
        <v>13.98</v>
      </c>
      <c r="H501" s="105">
        <v>11.42</v>
      </c>
      <c r="I501" s="94">
        <f>SUM(ППД5[[#This Row],[Комната 1]:[Комната 3]])</f>
        <v>39.89</v>
      </c>
      <c r="J501" s="105">
        <v>16.670000000000002</v>
      </c>
      <c r="K501" s="105">
        <v>4.1399999999999997</v>
      </c>
      <c r="L501" s="105">
        <v>1.89</v>
      </c>
      <c r="M501" s="105"/>
      <c r="N501" s="105">
        <v>11.31</v>
      </c>
      <c r="O501" s="105">
        <v>2.86</v>
      </c>
      <c r="P501" s="105">
        <v>2.79</v>
      </c>
      <c r="Q501" s="105">
        <v>5.42</v>
      </c>
      <c r="R501" s="105">
        <f>SUM(ППД5[[#This Row],[Лоджия 1]:[Лоджия 3]])</f>
        <v>11.07</v>
      </c>
      <c r="S501" s="8">
        <f>ROUND(SUM(ППД5[[#This Row],[Площадь по проекту жилая]:[Лоджия 3]]),2)</f>
        <v>84.97</v>
      </c>
      <c r="T501" s="8">
        <f>ROUND(ППД5[[#This Row],[Площадь по проекту(общая)]]-ППД5[[#This Row],[Летние]],2)</f>
        <v>73.900000000000006</v>
      </c>
      <c r="U501" s="91">
        <f>ROUND(ППД5[[#This Row],[Площадь по проекту(общая)]]-(SUM(ППД5[[#This Row],[Лоджия 1]:[Лоджия 3]])/2),2)</f>
        <v>79.44</v>
      </c>
      <c r="V501" s="91">
        <f>IF(ППД5[[#This Row],[Статус]]="продажа",ППД5[[#This Row],[Расчетная проектная площадь]],ППД5[[#This Row],[Расчетная ТП площадь]])</f>
        <v>79.44</v>
      </c>
      <c r="W501" s="91">
        <v>11.4</v>
      </c>
      <c r="X501" s="91">
        <v>14.4</v>
      </c>
      <c r="Y501" s="91">
        <v>13.9</v>
      </c>
      <c r="Z501" s="91">
        <f>SUM(ППД5[[#This Row],[ТП Комната 1]:[ТП Комната 3]])</f>
        <v>39.700000000000003</v>
      </c>
      <c r="AA501" s="91">
        <v>16.399999999999999</v>
      </c>
      <c r="AB501" s="91">
        <v>1.9</v>
      </c>
      <c r="AC501" s="91">
        <v>4.0999999999999996</v>
      </c>
      <c r="AD501" s="91"/>
      <c r="AE501" s="91">
        <v>11.1</v>
      </c>
      <c r="AF501" s="91">
        <v>1.45</v>
      </c>
      <c r="AG501" s="91">
        <v>2.6</v>
      </c>
      <c r="AH501" s="91">
        <v>1.4</v>
      </c>
      <c r="AI501" s="91">
        <f>SUM(ППД5[[#This Row],[ТП Лоджия 1]:[ТП Лоджия 3]])</f>
        <v>5.4499999999999993</v>
      </c>
      <c r="AJ501" s="95">
        <v>10.899999999999999</v>
      </c>
      <c r="AK501" s="91">
        <f>SUM(ППД5[[#This Row],[Площадь по ТП жилая]:[ТП Лоджия 3]])-ППД5[[#This Row],[ТП Летние]]+ППД5[[#This Row],[кроме того прочая
(без коэффициента)]]</f>
        <v>84.1</v>
      </c>
      <c r="AL501" s="95">
        <f>ППД5[[#This Row],[ТП Площадь без летних]]+(ППД5[[#This Row],[ТП Летние]])</f>
        <v>78.649999999999991</v>
      </c>
      <c r="AM501" s="91">
        <f>ППД5[[#This Row],[ТП общая S]]-ППД5[[#This Row],[кроме того прочая
(без коэффициента)]]</f>
        <v>73.199999999999989</v>
      </c>
      <c r="AN501" s="95">
        <f>SUM(ППД5[[#This Row],[ТП Кухня]:[ТП Коридор]])</f>
        <v>33.5</v>
      </c>
      <c r="AO501" s="91">
        <f>ППД5[[#This Row],[Расчетная ТП площадь]]-ППД5[[#This Row],[Расчетная проектная площадь]]</f>
        <v>-0.79000000000000625</v>
      </c>
      <c r="AP501" s="335">
        <f>ППД5[[#This Row],[Расчетная ТП площадь]]/ППД5[[#This Row],[Расчетная проектная площадь]]-1</f>
        <v>-9.9446122860020747E-3</v>
      </c>
      <c r="AQ501" s="91">
        <f>ППД5[[#This Row],[% расхождения]]*ППД5[[#This Row],[Стоимость до скидки]]</f>
        <v>-70496.362034240112</v>
      </c>
      <c r="AR501" s="91">
        <f>VLOOKUP(ППД5[[#This Row],[№]],наценкад5[],COLUMN(наценкад5[[#This Row],[Цена м2 с учетом всех K]]),0)</f>
        <v>77803.110000000015</v>
      </c>
      <c r="AS501" s="8">
        <f>ППД5[[#This Row],[м2 после К]]*5%</f>
        <v>3890.1555000000008</v>
      </c>
      <c r="AT501" s="8">
        <f>ППД5[[#This Row],[м2 после К]]+ППД5[[#This Row],[Повышение 16.08.23 - 5%]]</f>
        <v>81693.265500000009</v>
      </c>
      <c r="AU501" s="93">
        <f>ППД5[[#This Row],[Фикс 16.08.23]]*3%</f>
        <v>2450.7979650000002</v>
      </c>
      <c r="AV501" s="93">
        <f>ППД5[[#This Row],[Фикс 16.08.23]]+ППД5[[#This Row],[Повышение 29.08.23 - 3%]]</f>
        <v>84144.063465000014</v>
      </c>
      <c r="AW501" s="93"/>
      <c r="AX501" s="93">
        <f>ППД5[[#This Row],[Фикс 29.08.23]]+ППД5[[#This Row],[Повышение 06.09.23 СТ и 1К]]</f>
        <v>84144.063465000014</v>
      </c>
      <c r="AY501" s="93"/>
      <c r="AZ501" s="93">
        <f>ППД5[[#This Row],[Повышение 23.10.23  В4 ]]+ППД5[[#This Row],[Фикс 06.09.23]]</f>
        <v>84144.063465000014</v>
      </c>
      <c r="BA501" s="93"/>
      <c r="BB501" s="93">
        <f>ППД5[[#This Row],[Повышение 8.11.23 1К 5%]]+ППД5[[#This Row],[Фикс 23.10.23]]</f>
        <v>84144.063465000014</v>
      </c>
      <c r="BC501" s="93"/>
      <c r="BD501" s="93">
        <f>ППД5[[#This Row],[Корректировка 24.11.23 - 1К В5, 2К А2, №233]]+ППД5[[#This Row],[Фикс 8.11.23]]</f>
        <v>84144.063465000014</v>
      </c>
      <c r="BE501" s="93">
        <f>ППД5[[#This Row],[Фикс 8.11.24]]*1%</f>
        <v>841.44063465000011</v>
      </c>
      <c r="BF501" s="93">
        <f>ППД5[[#This Row],[Наценка за отделку 29.12.23 1%]]+ППД5[[#This Row],[Фикс 8.11.24]]</f>
        <v>84985.504099650017</v>
      </c>
      <c r="BG501" s="93">
        <f>ППД5[[#This Row],[Фикс 29.12.23]]*5%</f>
        <v>4249.2752049825012</v>
      </c>
      <c r="BH501" s="93">
        <f>ППД5[[#This Row],[Фикс 29.12.23]]+ППД5[[#This Row],[Наценка 10.01.24 5%]]</f>
        <v>89234.779304632524</v>
      </c>
      <c r="BI501" s="93"/>
      <c r="BJ501" s="93">
        <f>ППД5[[#This Row],[Наценка 26.02.24 1 Этаж]]+ППД5[[#This Row],[Фикс 10.01.24]]</f>
        <v>89234.779304632524</v>
      </c>
      <c r="BK501" s="93"/>
      <c r="BL501" s="93">
        <f>ППД5[[#This Row],[Фикс 26.02.24]]+ППД5[[#This Row],[Наценка 06.03.24
СТ, 1К - 3%
2К, 3К - 2%]]</f>
        <v>89234.779304632524</v>
      </c>
      <c r="BM501" s="93"/>
      <c r="BN501" s="93">
        <f>ППД5[[#This Row],[Фикс 06.03.24]]+ППД5[[#This Row],[Наценка Г2+500]]</f>
        <v>89234.779304632524</v>
      </c>
      <c r="BO501" s="93"/>
      <c r="BP501" s="93">
        <f>ППД5[[#This Row],[Фикс 13.03.25]]+ППД5[[#This Row],[Наценка 20.03.24
2К, 3К - 2%]]</f>
        <v>89234.779304632524</v>
      </c>
      <c r="BQ501" s="93"/>
      <c r="BR501" s="93">
        <f>ППД5[[#This Row],[Фикс 20.03.24]]+ППД5[[#This Row],[Наценка 08.04.24 
2К: В3 - 150
3К: Г7 +1000]]</f>
        <v>89234.779304632524</v>
      </c>
      <c r="BS501" s="93"/>
      <c r="BT501" s="93">
        <f>ППД5[[#This Row],[Фикс 08.04.24]]+ППД5[[#This Row],[Наценка 16.05.24 1%
А4,А6,Б3,Б6,Б7,В2,В3,В5,В6,Г1,Г3-Г5]]</f>
        <v>89234.779304632524</v>
      </c>
      <c r="BU501" s="93"/>
      <c r="BV501" s="93">
        <f>ППД5[[#This Row],[Фикс 16.05.24]]+ППД5[[#This Row],[Наценка 24.05.24
1% - Б4, Б5,Г2,Г6
2% - А1,А3,А5,Б2,Г7]]</f>
        <v>89234.779304632524</v>
      </c>
      <c r="BW501" s="93"/>
      <c r="BX501" s="93">
        <f>ППД5[[#This Row],[Наценка 06.06.24
0К: В2,Г3 +0,5%
1К: А7, Б5/4, Г6 +0,5%
3К: В6 +0,5%
1К: А3 +1%]]+ППД5[[#This Row],[Фикс 24.05.24]]</f>
        <v>89234.779304632524</v>
      </c>
      <c r="BY501" s="93"/>
      <c r="BZ501" s="93">
        <f>ППД5[[#This Row],[Фикс 06.06.24]]+ППД5[[#This Row],[13.06.2024
3К - 2%]]</f>
        <v>89234.779304632524</v>
      </c>
      <c r="CA501" s="93"/>
      <c r="CB501" s="93">
        <f>ППД5[[#This Row],[02.07.2024: Г3 А1 А3 Б5 Б7 Г2 Г6 Б3 Б4 В3 Г7 2,5% ост 0,5-1,5%]]+ППД5[[#This Row],[Фикс 13.06.24]]</f>
        <v>89234.779304632524</v>
      </c>
      <c r="CC501" s="93"/>
      <c r="CD501" s="93">
        <f>ППД5[[#This Row],[Фикс 02.07.24]]+ППД5[[#This Row],[04.09.2024 +500
0К - Б2; 1К - А3;
2К - А6, Б4, В3, Г5]]</f>
        <v>89234.779304632524</v>
      </c>
      <c r="CE501" s="93"/>
      <c r="CF501" s="93">
        <f>ППД5[[#This Row],[Наценка 16.09.2024
1К: А1,В7,Г6/7,Г8 - 2%
2К: А4,А5,А6,Б1,Б6,Б3/4,В3,В4,Г4,Г5 - 4%
3К: 4%]]+ППД5[[#This Row],[Фикс 04.09.24]]</f>
        <v>89234.779304632524</v>
      </c>
      <c r="CG501" s="93"/>
      <c r="CH501" s="93">
        <f>ППД5[[#This Row],[Фикс 16.09.2024]]+ППД5[[#This Row],[Наценка 01.11.24
СТ: 4%
1К: 34-40м 5%; 40м+ 8%; МГН 1%
2К: 55-70м 6%; 70-73м 7%; 73-76м 8% 
3К: 5%]]</f>
        <v>89234.779304632524</v>
      </c>
      <c r="CI501" s="93"/>
      <c r="CJ501" s="93">
        <f>ППД5[[#This Row],[Наценка 06.11 13%]]+ППД5[[#This Row],[Фикс 01.11.24]]</f>
        <v>89234.779304632524</v>
      </c>
      <c r="CK501" s="93"/>
      <c r="CL501" s="93">
        <f>ППД5[[#This Row],[Фикс 06.11.24]]+ППД5[[#This Row],[Наценка 18.12.24 распределение КВ]]</f>
        <v>89234.779304632524</v>
      </c>
      <c r="CM501" s="93"/>
      <c r="CN501" s="93">
        <f>ППД5[[#This Row],[Фикс 18.12.24]]+ППД5[[#This Row],[Наценка 10.02.25 +1%
1К: А3
2К: Б3, В3]]</f>
        <v>89234.779304632524</v>
      </c>
      <c r="CO501" s="93">
        <f>ROUND(ППД5[[#This Row],[Фикс 10.02.25]],2)</f>
        <v>89234.78</v>
      </c>
      <c r="CP50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7088900</v>
      </c>
      <c r="CQ501" s="93">
        <f>ROUNDUP(ППД5[[#This Row],[Стоимость до скидки]]+ППД5[[#This Row],[Сумма доплаты]],-2)</f>
        <v>7018500</v>
      </c>
      <c r="CR501" s="68"/>
      <c r="CS501" s="90">
        <v>0.03</v>
      </c>
      <c r="CT501" s="68">
        <f>ППД5[[#This Row],[Стоимость до скидки]]*ППД5[[#This Row],[Скидка %]]+ППД5[[#This Row],[Скидка фиксированная]]</f>
        <v>212667</v>
      </c>
      <c r="CU501" s="3">
        <f>ППД5[[#This Row],[Стоимость ОН без отделки со скидкой]]/ППД5[[#This Row],[Расчетная проектная площадь]]</f>
        <v>86558.824269889228</v>
      </c>
      <c r="CV501" s="3">
        <f>ROUND(ППД5[[#This Row],[Стоимость до скидки]]-ППД5[[#This Row],[Итоговая сумма скидки]],2)</f>
        <v>6876233</v>
      </c>
      <c r="CW50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01" s="197"/>
      <c r="CY501" s="332">
        <f>ППД5[[#This Row],[Расхождение]]/ППД5[[#This Row],[Расчетная проектная площадь]]</f>
        <v>-9.9446122860020938E-3</v>
      </c>
      <c r="CZ50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-0.51000000000000512</v>
      </c>
      <c r="DA501" s="3">
        <f>ППД5[[#This Row],[Цена м2 без отделки со скидкой]]+ППД5[[#This Row],[Стоимость отделки]]</f>
        <v>86558.824269889228</v>
      </c>
      <c r="DB501" s="3">
        <f>ППД5[[#This Row],[Стоимость квартиры с отделкой]]-ППД5[[#This Row],[Стоимость ОН без отделки со скидкой]]</f>
        <v>0</v>
      </c>
      <c r="DC501" s="3">
        <f>ППД5[[#This Row],[Цена м2 с отделкой]]*ППД5[[#This Row],[Расчетная проектная площадь]]</f>
        <v>6876233</v>
      </c>
      <c r="DD501" s="3" t="s">
        <v>155</v>
      </c>
      <c r="DE501" s="111" t="s">
        <v>167</v>
      </c>
      <c r="DF501" s="155" t="s">
        <v>172</v>
      </c>
      <c r="DG501" s="245" t="s">
        <v>172</v>
      </c>
      <c r="DH501" s="100" t="b">
        <f>EXACT(ППД5[[#This Row],[Статусы CRM]],ППД5[[#This Row],[Статус]])</f>
        <v>1</v>
      </c>
      <c r="DI501" s="213" t="s">
        <v>673</v>
      </c>
      <c r="DJ501" s="204"/>
      <c r="DK501" s="111" t="s">
        <v>763</v>
      </c>
      <c r="DL501" s="216" t="s">
        <v>12</v>
      </c>
      <c r="DM501" s="201" t="b">
        <f>ППД5[[#This Row],[Отделка CRM]]=ППД5[[#This Row],[Отделка]]</f>
        <v>1</v>
      </c>
      <c r="DN501" s="203">
        <v>6876233</v>
      </c>
      <c r="DO50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01" s="207" t="b">
        <f>IF(AND(ППД5[[#This Row],[Статус]]="свободно",ППД5[[#This Row],[Итоговая сумма скидки]]&lt;&gt;0),FALSE,TRUE)</f>
        <v>1</v>
      </c>
      <c r="DQ501" s="240">
        <f>_xlfn.XLOOKUP(ППД5[[#This Row],[№]],Юрист[№ кв],Юрист[Дата подачи на регистрацию]," ",0,-1)</f>
        <v>45348</v>
      </c>
      <c r="DR501" s="115" t="str">
        <f>_xlfn.XLOOKUP(ППД5[[#This Row],[№]],Юрист[№ кв],Юрист[МОП],"",0,-1)</f>
        <v>Дик</v>
      </c>
      <c r="DS501" s="333" t="s">
        <v>3294</v>
      </c>
      <c r="DT501" s="333" t="s">
        <v>3295</v>
      </c>
      <c r="DU501" s="333">
        <v>73.2</v>
      </c>
      <c r="DV501" s="111"/>
    </row>
    <row r="502" spans="1:126" hidden="1" x14ac:dyDescent="0.25">
      <c r="A502" s="112">
        <v>500</v>
      </c>
      <c r="B502" s="111" t="s">
        <v>2</v>
      </c>
      <c r="C502" s="111">
        <v>14</v>
      </c>
      <c r="D502" s="115">
        <v>8</v>
      </c>
      <c r="E502" s="111">
        <v>1</v>
      </c>
      <c r="F502" s="105">
        <v>16.79</v>
      </c>
      <c r="G502" s="105"/>
      <c r="H502" s="105"/>
      <c r="I502" s="94">
        <f>SUM(ППД5[[#This Row],[Комната 1]:[Комната 3]])</f>
        <v>16.79</v>
      </c>
      <c r="J502" s="105">
        <v>11.43</v>
      </c>
      <c r="K502" s="105">
        <v>3.56</v>
      </c>
      <c r="L502" s="105"/>
      <c r="M502" s="105"/>
      <c r="N502" s="105">
        <v>6.66</v>
      </c>
      <c r="O502" s="105">
        <v>2.4900000000000002</v>
      </c>
      <c r="P502" s="105"/>
      <c r="Q502" s="105"/>
      <c r="R502" s="105">
        <f>SUM(ППД5[[#This Row],[Лоджия 1]:[Лоджия 3]])</f>
        <v>2.4900000000000002</v>
      </c>
      <c r="S502" s="8">
        <f>ROUND(SUM(ППД5[[#This Row],[Площадь по проекту жилая]:[Лоджия 3]]),2)</f>
        <v>40.93</v>
      </c>
      <c r="T502" s="8">
        <f>ROUND(ППД5[[#This Row],[Площадь по проекту(общая)]]-ППД5[[#This Row],[Летние]],2)</f>
        <v>38.44</v>
      </c>
      <c r="U502" s="91">
        <f>ROUND(ППД5[[#This Row],[Площадь по проекту(общая)]]-(SUM(ППД5[[#This Row],[Лоджия 1]:[Лоджия 3]])/2),2)</f>
        <v>39.69</v>
      </c>
      <c r="V502" s="91">
        <f>IF(ППД5[[#This Row],[Статус]]="продажа",ППД5[[#This Row],[Расчетная проектная площадь]],ППД5[[#This Row],[Расчетная ТП площадь]])</f>
        <v>39.69</v>
      </c>
      <c r="W502" s="91">
        <v>16.8</v>
      </c>
      <c r="X502" s="91"/>
      <c r="Y502" s="91"/>
      <c r="Z502" s="91">
        <f>SUM(ППД5[[#This Row],[ТП Комната 1]:[ТП Комната 3]])</f>
        <v>16.8</v>
      </c>
      <c r="AA502" s="91">
        <v>11.2</v>
      </c>
      <c r="AB502" s="91">
        <v>3.5</v>
      </c>
      <c r="AC502" s="91"/>
      <c r="AD502" s="91"/>
      <c r="AE502" s="91">
        <v>6.7</v>
      </c>
      <c r="AF502" s="92">
        <v>1.25</v>
      </c>
      <c r="AG502" s="91"/>
      <c r="AH502" s="91"/>
      <c r="AI502" s="91">
        <f>SUM(ППД5[[#This Row],[ТП Лоджия 1]:[ТП Лоджия 3]])</f>
        <v>1.25</v>
      </c>
      <c r="AJ502" s="95">
        <v>2.5</v>
      </c>
      <c r="AK502" s="91">
        <f>SUM(ППД5[[#This Row],[Площадь по ТП жилая]:[ТП Лоджия 3]])-ППД5[[#This Row],[ТП Летние]]+ППД5[[#This Row],[кроме того прочая
(без коэффициента)]]</f>
        <v>40.700000000000003</v>
      </c>
      <c r="AL502" s="95">
        <f>ППД5[[#This Row],[ТП Площадь без летних]]+(ППД5[[#This Row],[ТП Летние]])</f>
        <v>39.450000000000003</v>
      </c>
      <c r="AM502" s="91">
        <f>ППД5[[#This Row],[ТП общая S]]-ППД5[[#This Row],[кроме того прочая
(без коэффициента)]]</f>
        <v>38.200000000000003</v>
      </c>
      <c r="AN502" s="95">
        <f>SUM(ППД5[[#This Row],[ТП Кухня]:[ТП Коридор]])</f>
        <v>21.4</v>
      </c>
      <c r="AO502" s="91">
        <f>ППД5[[#This Row],[Расчетная ТП площадь]]-ППД5[[#This Row],[Расчетная проектная площадь]]</f>
        <v>-0.23999999999999488</v>
      </c>
      <c r="AP502" s="335">
        <f>ППД5[[#This Row],[Расчетная ТП площадь]]/ППД5[[#This Row],[Расчетная проектная площадь]]-1</f>
        <v>-6.0468631897202529E-3</v>
      </c>
      <c r="AQ502" s="91">
        <f>ППД5[[#This Row],[% расхождения]]*ППД5[[#This Row],[Стоимость до скидки]]</f>
        <v>-27548.904006046501</v>
      </c>
      <c r="AR502" s="91">
        <f>VLOOKUP(ППД5[[#This Row],[№]],наценкад5[],COLUMN(наценкад5[[#This Row],[Цена м2 с учетом всех K]]),0)</f>
        <v>86384.8125</v>
      </c>
      <c r="AS502" s="8">
        <f>ППД5[[#This Row],[м2 после К]]*5%</f>
        <v>4319.2406250000004</v>
      </c>
      <c r="AT502" s="8">
        <f>ППД5[[#This Row],[м2 после К]]+ППД5[[#This Row],[Повышение 16.08.23 - 5%]]</f>
        <v>90704.053125000006</v>
      </c>
      <c r="AU502" s="93">
        <f>ППД5[[#This Row],[Фикс 16.08.23]]*3%</f>
        <v>2721.1215937500001</v>
      </c>
      <c r="AV502" s="93">
        <f>ППД5[[#This Row],[Фикс 16.08.23]]+ППД5[[#This Row],[Повышение 29.08.23 - 3%]]</f>
        <v>93425.17471875</v>
      </c>
      <c r="AW502" s="93">
        <f>ППД5[[#This Row],[Фикс 29.08.23]]*4.5%</f>
        <v>4204.1328623437503</v>
      </c>
      <c r="AX502" s="93">
        <f>ППД5[[#This Row],[Фикс 29.08.23]]+ППД5[[#This Row],[Повышение 06.09.23 СТ и 1К]]</f>
        <v>97629.307581093744</v>
      </c>
      <c r="AY502" s="93"/>
      <c r="AZ502" s="93">
        <f>ППД5[[#This Row],[Повышение 23.10.23  В4 ]]+ППД5[[#This Row],[Фикс 06.09.23]]</f>
        <v>97629.307581093744</v>
      </c>
      <c r="BA502" s="93">
        <f>ППД5[[#This Row],[Фикс 23.10.23]]*5%</f>
        <v>4881.4653790546872</v>
      </c>
      <c r="BB502" s="93">
        <f>ППД5[[#This Row],[Повышение 8.11.23 1К 5%]]+ППД5[[#This Row],[Фикс 23.10.23]]</f>
        <v>102510.77296014843</v>
      </c>
      <c r="BC502" s="93"/>
      <c r="BD502" s="93">
        <f>ППД5[[#This Row],[Корректировка 24.11.23 - 1К В5, 2К А2, №233]]+ППД5[[#This Row],[Фикс 8.11.23]]</f>
        <v>102510.77296014843</v>
      </c>
      <c r="BE502" s="93">
        <f>ППД5[[#This Row],[Фикс 8.11.24]]*1%</f>
        <v>1025.1077296014844</v>
      </c>
      <c r="BF502" s="93">
        <f>ППД5[[#This Row],[Наценка за отделку 29.12.23 1%]]+ППД5[[#This Row],[Фикс 8.11.24]]</f>
        <v>103535.88068974992</v>
      </c>
      <c r="BG502" s="93">
        <f>ППД5[[#This Row],[Фикс 29.12.23]]*5%</f>
        <v>5176.794034487496</v>
      </c>
      <c r="BH502" s="93">
        <f>ППД5[[#This Row],[Фикс 29.12.23]]+ППД5[[#This Row],[Наценка 10.01.24 5%]]</f>
        <v>108712.67472423741</v>
      </c>
      <c r="BI502" s="93"/>
      <c r="BJ502" s="93">
        <f>ППД5[[#This Row],[Наценка 26.02.24 1 Этаж]]+ППД5[[#This Row],[Фикс 10.01.24]]</f>
        <v>108712.67472423741</v>
      </c>
      <c r="BK502" s="93">
        <f>ППД5[[#This Row],[Фикс 26.02.24]]*3%</f>
        <v>3261.3802417271222</v>
      </c>
      <c r="BL502" s="93">
        <f>ППД5[[#This Row],[Фикс 26.02.24]]+ППД5[[#This Row],[Наценка 06.03.24
СТ, 1К - 3%
2К, 3К - 2%]]</f>
        <v>111974.05496596453</v>
      </c>
      <c r="BM502" s="93"/>
      <c r="BN502" s="93">
        <f>ППД5[[#This Row],[Фикс 06.03.24]]+ППД5[[#This Row],[Наценка Г2+500]]</f>
        <v>111974.05496596453</v>
      </c>
      <c r="BO502" s="93"/>
      <c r="BP502" s="93">
        <f>ППД5[[#This Row],[Фикс 13.03.25]]+ППД5[[#This Row],[Наценка 20.03.24
2К, 3К - 2%]]</f>
        <v>111974.05496596453</v>
      </c>
      <c r="BQ502" s="93"/>
      <c r="BR502" s="93">
        <f>ППД5[[#This Row],[Фикс 20.03.24]]+ППД5[[#This Row],[Наценка 08.04.24 
2К: В3 - 150
3К: Г7 +1000]]</f>
        <v>111974.05496596453</v>
      </c>
      <c r="BS502" s="93"/>
      <c r="BT502" s="93">
        <f>ППД5[[#This Row],[Фикс 08.04.24]]+ППД5[[#This Row],[Наценка 16.05.24 1%
А4,А6,Б3,Б6,Б7,В2,В3,В5,В6,Г1,Г3-Г5]]</f>
        <v>111974.05496596453</v>
      </c>
      <c r="BU502" s="93"/>
      <c r="BV502" s="93">
        <f>ППД5[[#This Row],[Фикс 16.05.24]]+ППД5[[#This Row],[Наценка 24.05.24
1% - Б4, Б5,Г2,Г6
2% - А1,А3,А5,Б2,Г7]]</f>
        <v>111974.05496596453</v>
      </c>
      <c r="BW502" s="93"/>
      <c r="BX502" s="93">
        <f>ППД5[[#This Row],[Наценка 06.06.24
0К: В2,Г3 +0,5%
1К: А7, Б5/4, Г6 +0,5%
3К: В6 +0,5%
1К: А3 +1%]]+ППД5[[#This Row],[Фикс 24.05.24]]</f>
        <v>111974.05496596453</v>
      </c>
      <c r="BY502" s="93"/>
      <c r="BZ502" s="93">
        <f>ППД5[[#This Row],[Фикс 06.06.24]]+ППД5[[#This Row],[13.06.2024
3К - 2%]]</f>
        <v>111974.05496596453</v>
      </c>
      <c r="CA502" s="93">
        <f>0.5%*ППД5[[#This Row],[Фикс 13.06.24]]</f>
        <v>559.87027482982273</v>
      </c>
      <c r="CB502" s="93">
        <f>ППД5[[#This Row],[02.07.2024: Г3 А1 А3 Б5 Б7 Г2 Г6 Б3 Б4 В3 Г7 2,5% ост 0,5-1,5%]]+ППД5[[#This Row],[Фикс 13.06.24]]</f>
        <v>112533.92524079436</v>
      </c>
      <c r="CC502" s="93"/>
      <c r="CD502" s="93">
        <f>ППД5[[#This Row],[Фикс 02.07.24]]+ППД5[[#This Row],[04.09.2024 +500
0К - Б2; 1К - А3;
2К - А6, Б4, В3, Г5]]</f>
        <v>112533.92524079436</v>
      </c>
      <c r="CE502" s="93">
        <f>ППД5[[#This Row],[Фикс 04.09.24]]*2%</f>
        <v>2250.6785048158872</v>
      </c>
      <c r="CF502" s="93">
        <f>ППД5[[#This Row],[Наценка 16.09.2024
1К: А1,В7,Г6/7,Г8 - 2%
2К: А4,А5,А6,Б1,Б6,Б3/4,В3,В4,Г4,Г5 - 4%
3К: 4%]]+ППД5[[#This Row],[Фикс 04.09.24]]</f>
        <v>114784.60374561025</v>
      </c>
      <c r="CG502" s="93"/>
      <c r="CH502" s="93">
        <f>ППД5[[#This Row],[Фикс 16.09.2024]]+ППД5[[#This Row],[Наценка 01.11.24
СТ: 4%
1К: 34-40м 5%; 40м+ 8%; МГН 1%
2К: 55-70м 6%; 70-73м 7%; 73-76м 8% 
3К: 5%]]</f>
        <v>114784.60374561025</v>
      </c>
      <c r="CI502" s="93"/>
      <c r="CJ502" s="93">
        <f>ППД5[[#This Row],[Наценка 06.11 13%]]+ППД5[[#This Row],[Фикс 01.11.24]]</f>
        <v>114784.60374561025</v>
      </c>
      <c r="CK502" s="93"/>
      <c r="CL502" s="93">
        <f>ППД5[[#This Row],[Фикс 06.11.24]]+ППД5[[#This Row],[Наценка 18.12.24 распределение КВ]]</f>
        <v>114784.60374561025</v>
      </c>
      <c r="CM502" s="93"/>
      <c r="CN502" s="93">
        <f>ППД5[[#This Row],[Фикс 18.12.24]]+ППД5[[#This Row],[Наценка 10.02.25 +1%
1К: А3
2К: Б3, В3]]</f>
        <v>114784.60374561025</v>
      </c>
      <c r="CO502" s="93">
        <f>ROUND(ППД5[[#This Row],[Фикс 10.02.25]],2)</f>
        <v>114784.6</v>
      </c>
      <c r="CP50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4555900</v>
      </c>
      <c r="CQ502" s="93">
        <f>ROUNDUP(ППД5[[#This Row],[Стоимость до скидки]]+ППД5[[#This Row],[Сумма доплаты]],-2)</f>
        <v>4528400</v>
      </c>
      <c r="CR502" s="68"/>
      <c r="CS502" s="90"/>
      <c r="CT502" s="68">
        <f>ППД5[[#This Row],[Стоимость до скидки]]*ППД5[[#This Row],[Скидка %]]+ППД5[[#This Row],[Скидка фиксированная]]</f>
        <v>0</v>
      </c>
      <c r="CU502" s="3">
        <f>ППД5[[#This Row],[Стоимость ОН без отделки со скидкой]]/ППД5[[#This Row],[Расчетная проектная площадь]]</f>
        <v>114787.10002519526</v>
      </c>
      <c r="CV502" s="3">
        <f>ROUND(ППД5[[#This Row],[Стоимость до скидки]]-ППД5[[#This Row],[Итоговая сумма скидки]],2)</f>
        <v>4555900</v>
      </c>
      <c r="CW50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02" s="197"/>
      <c r="CY502" s="332">
        <f>ППД5[[#This Row],[Расхождение]]/ППД5[[#This Row],[Расчетная проектная площадь]]</f>
        <v>-6.0468631897202044E-3</v>
      </c>
      <c r="CZ50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-0.25000000000000178</v>
      </c>
      <c r="DA502" s="3">
        <f>ППД5[[#This Row],[Цена м2 без отделки со скидкой]]+ППД5[[#This Row],[Стоимость отделки]]</f>
        <v>114787.10002519526</v>
      </c>
      <c r="DB502" s="3">
        <f>ППД5[[#This Row],[Стоимость квартиры с отделкой]]-ППД5[[#This Row],[Стоимость ОН без отделки со скидкой]]</f>
        <v>0</v>
      </c>
      <c r="DC502" s="3">
        <f>ППД5[[#This Row],[Цена м2 с отделкой]]*ППД5[[#This Row],[Расчетная проектная площадь]]</f>
        <v>4555900</v>
      </c>
      <c r="DD502" s="3"/>
      <c r="DF502" s="199" t="s">
        <v>172</v>
      </c>
      <c r="DG502" s="245" t="s">
        <v>172</v>
      </c>
      <c r="DH502" s="100" t="b">
        <f>EXACT(ППД5[[#This Row],[Статусы CRM]],ППД5[[#This Row],[Статус]])</f>
        <v>1</v>
      </c>
      <c r="DI502" s="213" t="s">
        <v>674</v>
      </c>
      <c r="DJ502" s="204"/>
      <c r="DK502" s="111" t="s">
        <v>763</v>
      </c>
      <c r="DL502" s="216" t="s">
        <v>12</v>
      </c>
      <c r="DM502" s="201" t="b">
        <f>ППД5[[#This Row],[Отделка CRM]]=ППД5[[#This Row],[Отделка]]</f>
        <v>1</v>
      </c>
      <c r="DN502" s="203">
        <v>4555900</v>
      </c>
      <c r="DO50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02" s="207" t="b">
        <f>IF(AND(ППД5[[#This Row],[Статус]]="свободно",ППД5[[#This Row],[Итоговая сумма скидки]]&lt;&gt;0),FALSE,TRUE)</f>
        <v>1</v>
      </c>
      <c r="DQ502" s="240">
        <f>_xlfn.XLOOKUP(ППД5[[#This Row],[№]],Юрист[№ кв],Юрист[Дата подачи на регистрацию]," ",0,-1)</f>
        <v>45595</v>
      </c>
      <c r="DR502" s="115" t="str">
        <f>_xlfn.XLOOKUP(ППД5[[#This Row],[№]],Юрист[№ кв],Юрист[МОП],"",0,-1)</f>
        <v>Полехович</v>
      </c>
      <c r="DS502" s="333" t="s">
        <v>3296</v>
      </c>
      <c r="DT502" s="333" t="s">
        <v>3297</v>
      </c>
      <c r="DU502" s="333">
        <v>38.200000000000003</v>
      </c>
      <c r="DV502" s="111"/>
    </row>
    <row r="503" spans="1:126" hidden="1" x14ac:dyDescent="0.25">
      <c r="A503" s="112">
        <v>501</v>
      </c>
      <c r="B503" s="111" t="s">
        <v>2</v>
      </c>
      <c r="C503" s="111">
        <v>15</v>
      </c>
      <c r="D503" s="338">
        <v>1</v>
      </c>
      <c r="E503" s="111">
        <v>0</v>
      </c>
      <c r="F503" s="105">
        <v>13.74</v>
      </c>
      <c r="G503" s="105"/>
      <c r="H503" s="105"/>
      <c r="I503" s="94">
        <f>SUM(ППД5[[#This Row],[Комната 1]:[Комната 3]])</f>
        <v>13.74</v>
      </c>
      <c r="J503" s="105">
        <v>5.84</v>
      </c>
      <c r="K503" s="105">
        <v>3.76</v>
      </c>
      <c r="L503" s="105"/>
      <c r="M503" s="105"/>
      <c r="N503" s="105">
        <v>3.73</v>
      </c>
      <c r="O503" s="105">
        <v>4.6500000000000004</v>
      </c>
      <c r="P503" s="105"/>
      <c r="Q503" s="105"/>
      <c r="R503" s="105">
        <f>SUM(ППД5[[#This Row],[Лоджия 1]:[Лоджия 3]])</f>
        <v>4.6500000000000004</v>
      </c>
      <c r="S503" s="8">
        <f>ROUND(SUM(ППД5[[#This Row],[Площадь по проекту жилая]:[Лоджия 3]]),2)</f>
        <v>31.72</v>
      </c>
      <c r="T503" s="8">
        <f>ROUND(ППД5[[#This Row],[Площадь по проекту(общая)]]-ППД5[[#This Row],[Летние]],2)</f>
        <v>27.07</v>
      </c>
      <c r="U503" s="91">
        <f>ROUND(ППД5[[#This Row],[Площадь по проекту(общая)]]-(SUM(ППД5[[#This Row],[Лоджия 1]:[Лоджия 3]])/2),2)</f>
        <v>29.4</v>
      </c>
      <c r="V503" s="91">
        <f>IF(ППД5[[#This Row],[Статус]]="продажа",ППД5[[#This Row],[Расчетная проектная площадь]],ППД5[[#This Row],[Расчетная ТП площадь]])</f>
        <v>29.4</v>
      </c>
      <c r="W503" s="91">
        <v>13.7</v>
      </c>
      <c r="X503" s="91"/>
      <c r="Y503" s="91"/>
      <c r="Z503" s="91">
        <f>SUM(ППД5[[#This Row],[ТП Комната 1]:[ТП Комната 3]])</f>
        <v>13.7</v>
      </c>
      <c r="AA503" s="91">
        <v>5.7</v>
      </c>
      <c r="AB503" s="91">
        <v>3.6</v>
      </c>
      <c r="AC503" s="91"/>
      <c r="AD503" s="91"/>
      <c r="AE503" s="91">
        <v>3.8</v>
      </c>
      <c r="AF503" s="91">
        <v>2.2999999999999998</v>
      </c>
      <c r="AG503" s="91"/>
      <c r="AH503" s="91"/>
      <c r="AI503" s="91">
        <f>SUM(ППД5[[#This Row],[ТП Лоджия 1]:[ТП Лоджия 3]])</f>
        <v>2.2999999999999998</v>
      </c>
      <c r="AJ503" s="95">
        <v>4.5999999999999996</v>
      </c>
      <c r="AK503" s="91">
        <f>SUM(ППД5[[#This Row],[Площадь по ТП жилая]:[ТП Лоджия 3]])-ППД5[[#This Row],[ТП Летние]]+ППД5[[#This Row],[кроме того прочая
(без коэффициента)]]</f>
        <v>31.4</v>
      </c>
      <c r="AL503" s="95">
        <f>ППД5[[#This Row],[ТП Площадь без летних]]+(ППД5[[#This Row],[ТП Летние]])</f>
        <v>29.099999999999998</v>
      </c>
      <c r="AM503" s="91">
        <f>ППД5[[#This Row],[ТП общая S]]-ППД5[[#This Row],[кроме того прочая
(без коэффициента)]]</f>
        <v>26.799999999999997</v>
      </c>
      <c r="AN503" s="95">
        <f>SUM(ППД5[[#This Row],[ТП Кухня]:[ТП Коридор]])</f>
        <v>13.100000000000001</v>
      </c>
      <c r="AO503" s="91">
        <f>ППД5[[#This Row],[Расчетная ТП площадь]]-ППД5[[#This Row],[Расчетная проектная площадь]]</f>
        <v>-0.30000000000000071</v>
      </c>
      <c r="AP503" s="335">
        <f>ППД5[[#This Row],[Расчетная ТП площадь]]/ППД5[[#This Row],[Расчетная проектная площадь]]-1</f>
        <v>-1.0204081632653073E-2</v>
      </c>
      <c r="AQ503" s="91">
        <f>ППД5[[#This Row],[% расхождения]]*ППД5[[#This Row],[Стоимость до скидки]]</f>
        <v>-35385.714285714326</v>
      </c>
      <c r="AR503" s="91">
        <f>VLOOKUP(ППД5[[#This Row],[№]],наценкад5[],COLUMN(наценкад5[[#This Row],[Цена м2 с учетом всех K]]),0)</f>
        <v>89353.53</v>
      </c>
      <c r="AS503" s="8">
        <f>ППД5[[#This Row],[м2 после К]]*5%</f>
        <v>4467.6765000000005</v>
      </c>
      <c r="AT503" s="8">
        <f>ППД5[[#This Row],[м2 после К]]+ППД5[[#This Row],[Повышение 16.08.23 - 5%]]</f>
        <v>93821.2065</v>
      </c>
      <c r="AU503" s="93">
        <f>ППД5[[#This Row],[Фикс 16.08.23]]*3%</f>
        <v>2814.636195</v>
      </c>
      <c r="AV503" s="93">
        <f>ППД5[[#This Row],[Фикс 16.08.23]]+ППД5[[#This Row],[Повышение 29.08.23 - 3%]]</f>
        <v>96635.842694999999</v>
      </c>
      <c r="AW503" s="93">
        <f>ППД5[[#This Row],[Фикс 29.08.23]]*9%</f>
        <v>8697.2258425500004</v>
      </c>
      <c r="AX503" s="93">
        <f>ППД5[[#This Row],[Фикс 29.08.23]]+ППД5[[#This Row],[Повышение 06.09.23 СТ и 1К]]</f>
        <v>105333.06853755</v>
      </c>
      <c r="AY503" s="93"/>
      <c r="AZ503" s="93">
        <f>ППД5[[#This Row],[Повышение 23.10.23  В4 ]]+ППД5[[#This Row],[Фикс 06.09.23]]</f>
        <v>105333.06853755</v>
      </c>
      <c r="BA503" s="93"/>
      <c r="BB503" s="93">
        <f>ППД5[[#This Row],[Повышение 8.11.23 1К 5%]]+ППД5[[#This Row],[Фикс 23.10.23]]</f>
        <v>105333.06853755</v>
      </c>
      <c r="BC503" s="93"/>
      <c r="BD503" s="93">
        <f>ППД5[[#This Row],[Корректировка 24.11.23 - 1К В5, 2К А2, №233]]+ППД5[[#This Row],[Фикс 8.11.23]]</f>
        <v>105333.06853755</v>
      </c>
      <c r="BE503" s="93">
        <f>ППД5[[#This Row],[Фикс 8.11.24]]*1%</f>
        <v>1053.3306853755</v>
      </c>
      <c r="BF503" s="93">
        <f>ППД5[[#This Row],[Наценка за отделку 29.12.23 1%]]+ППД5[[#This Row],[Фикс 8.11.24]]</f>
        <v>106386.39922292551</v>
      </c>
      <c r="BG503" s="93">
        <f>ППД5[[#This Row],[Фикс 29.12.23]]*5%</f>
        <v>5319.319961146276</v>
      </c>
      <c r="BH503" s="93">
        <f>ППД5[[#This Row],[Фикс 29.12.23]]+ППД5[[#This Row],[Наценка 10.01.24 5%]]</f>
        <v>111705.71918407179</v>
      </c>
      <c r="BI503" s="93"/>
      <c r="BJ503" s="93">
        <f>ППД5[[#This Row],[Наценка 26.02.24 1 Этаж]]+ППД5[[#This Row],[Фикс 10.01.24]]</f>
        <v>111705.71918407179</v>
      </c>
      <c r="BK503" s="93">
        <f>ППД5[[#This Row],[Фикс 26.02.24]]*3%</f>
        <v>3351.1715755221535</v>
      </c>
      <c r="BL503" s="93">
        <f>ППД5[[#This Row],[Фикс 26.02.24]]+ППД5[[#This Row],[Наценка 06.03.24
СТ, 1К - 3%
2К, 3К - 2%]]</f>
        <v>115056.89075959394</v>
      </c>
      <c r="BM503" s="93"/>
      <c r="BN503" s="93">
        <f>ППД5[[#This Row],[Фикс 06.03.24]]+ППД5[[#This Row],[Наценка Г2+500]]</f>
        <v>115056.89075959394</v>
      </c>
      <c r="BO503" s="93"/>
      <c r="BP503" s="93">
        <f>ППД5[[#This Row],[Фикс 13.03.25]]+ППД5[[#This Row],[Наценка 20.03.24
2К, 3К - 2%]]</f>
        <v>115056.89075959394</v>
      </c>
      <c r="BQ503" s="93"/>
      <c r="BR503" s="93">
        <f>ППД5[[#This Row],[Фикс 20.03.24]]+ППД5[[#This Row],[Наценка 08.04.24 
2К: В3 - 150
3К: Г7 +1000]]</f>
        <v>115056.89075959394</v>
      </c>
      <c r="BS503" s="93">
        <f>ППД5[[#This Row],[Фикс 08.04.24]]*1%</f>
        <v>1150.5689075959394</v>
      </c>
      <c r="BT503" s="93">
        <f>ППД5[[#This Row],[Фикс 08.04.24]]+ППД5[[#This Row],[Наценка 16.05.24 1%
А4,А6,Б3,Б6,Б7,В2,В3,В5,В6,Г1,Г3-Г5]]</f>
        <v>116207.45966718988</v>
      </c>
      <c r="BU503" s="93"/>
      <c r="BV503" s="93">
        <f>ППД5[[#This Row],[Фикс 16.05.24]]+ППД5[[#This Row],[Наценка 24.05.24
1% - Б4, Б5,Г2,Г6
2% - А1,А3,А5,Б2,Г7]]</f>
        <v>116207.45966718988</v>
      </c>
      <c r="BW503" s="93"/>
      <c r="BX503" s="93">
        <f>ППД5[[#This Row],[Наценка 06.06.24
0К: В2,Г3 +0,5%
1К: А7, Б5/4, Г6 +0,5%
3К: В6 +0,5%
1К: А3 +1%]]+ППД5[[#This Row],[Фикс 24.05.24]]</f>
        <v>116207.45966718988</v>
      </c>
      <c r="BY503" s="93"/>
      <c r="BZ503" s="93">
        <f>ППД5[[#This Row],[Фикс 06.06.24]]+ППД5[[#This Row],[13.06.2024
3К - 2%]]</f>
        <v>116207.45966718988</v>
      </c>
      <c r="CA503" s="93">
        <f>1.5%*ППД5[[#This Row],[Фикс 13.06.24]]</f>
        <v>1743.111895007848</v>
      </c>
      <c r="CB503" s="93">
        <f>ППД5[[#This Row],[02.07.2024: Г3 А1 А3 Б5 Б7 Г2 Г6 Б3 Б4 В3 Г7 2,5% ост 0,5-1,5%]]+ППД5[[#This Row],[Фикс 13.06.24]]</f>
        <v>117950.57156219773</v>
      </c>
      <c r="CC503" s="93"/>
      <c r="CD503" s="93">
        <f>ППД5[[#This Row],[Фикс 02.07.24]]+ППД5[[#This Row],[04.09.2024 +500
0К - Б2; 1К - А3;
2К - А6, Б4, В3, Г5]]</f>
        <v>117950.57156219773</v>
      </c>
      <c r="CE503" s="93"/>
      <c r="CF503" s="93">
        <f>ППД5[[#This Row],[Наценка 16.09.2024
1К: А1,В7,Г6/7,Г8 - 2%
2К: А4,А5,А6,Б1,Б6,Б3/4,В3,В4,Г4,Г5 - 4%
3К: 4%]]+ППД5[[#This Row],[Фикс 04.09.24]]</f>
        <v>117950.57156219773</v>
      </c>
      <c r="CG503" s="93"/>
      <c r="CH503" s="93">
        <f>ППД5[[#This Row],[Фикс 16.09.2024]]+ППД5[[#This Row],[Наценка 01.11.24
СТ: 4%
1К: 34-40м 5%; 40м+ 8%; МГН 1%
2К: 55-70м 6%; 70-73м 7%; 73-76м 8% 
3К: 5%]]</f>
        <v>117950.57156219773</v>
      </c>
      <c r="CI503" s="93"/>
      <c r="CJ503" s="93">
        <f>ППД5[[#This Row],[Наценка 06.11 13%]]+ППД5[[#This Row],[Фикс 01.11.24]]</f>
        <v>117950.57156219773</v>
      </c>
      <c r="CK503" s="93"/>
      <c r="CL503" s="93">
        <f>ППД5[[#This Row],[Фикс 06.11.24]]+ППД5[[#This Row],[Наценка 18.12.24 распределение КВ]]</f>
        <v>117950.57156219773</v>
      </c>
      <c r="CM503" s="93"/>
      <c r="CN503" s="93">
        <f>ППД5[[#This Row],[Фикс 18.12.24]]+ППД5[[#This Row],[Наценка 10.02.25 +1%
1К: А3
2К: Б3, В3]]</f>
        <v>117950.57156219773</v>
      </c>
      <c r="CO503" s="93">
        <f>ROUND(ППД5[[#This Row],[Фикс 10.02.25]],2)</f>
        <v>117950.57</v>
      </c>
      <c r="CP50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3467800</v>
      </c>
      <c r="CQ503" s="93">
        <f>ROUNDUP(ППД5[[#This Row],[Стоимость до скидки]]+ППД5[[#This Row],[Сумма доплаты]],-2)</f>
        <v>3432500</v>
      </c>
      <c r="CR503" s="68">
        <v>50000</v>
      </c>
      <c r="CS503" s="90"/>
      <c r="CT503" s="68">
        <f>ППД5[[#This Row],[Стоимость до скидки]]*ППД5[[#This Row],[Скидка %]]+ППД5[[#This Row],[Скидка фиксированная]]</f>
        <v>50000</v>
      </c>
      <c r="CU503" s="3">
        <f>ППД5[[#This Row],[Стоимость ОН без отделки со скидкой]]/ППД5[[#This Row],[Расчетная проектная площадь]]</f>
        <v>116251.70068027212</v>
      </c>
      <c r="CV503" s="3">
        <f>ROUND(ППД5[[#This Row],[Стоимость до скидки]]-ППД5[[#This Row],[Итоговая сумма скидки]],2)</f>
        <v>3417800</v>
      </c>
      <c r="CW50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503" s="197">
        <v>24000</v>
      </c>
      <c r="CY503" s="332">
        <f>ППД5[[#This Row],[Расхождение]]/ППД5[[#This Row],[Расчетная проектная площадь]]</f>
        <v>-1.0204081632653086E-2</v>
      </c>
      <c r="CZ50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-0.22999999999999865</v>
      </c>
      <c r="DA503" s="3">
        <f>ППД5[[#This Row],[Цена м2 без отделки со скидкой]]+ППД5[[#This Row],[Стоимость отделки]]</f>
        <v>140251.70068027213</v>
      </c>
      <c r="DB503" s="3">
        <f>ППД5[[#This Row],[Стоимость квартиры с отделкой]]-ППД5[[#This Row],[Стоимость ОН без отделки со скидкой]]</f>
        <v>705600.00000000047</v>
      </c>
      <c r="DC503" s="3">
        <f>ППД5[[#This Row],[Цена м2 с отделкой]]*ППД5[[#This Row],[Расчетная проектная площадь]]</f>
        <v>4123400.0000000005</v>
      </c>
      <c r="DD503" s="3"/>
      <c r="DE503" s="111" t="s">
        <v>767</v>
      </c>
      <c r="DF503" s="155" t="s">
        <v>172</v>
      </c>
      <c r="DG503" s="245" t="s">
        <v>172</v>
      </c>
      <c r="DH503" s="100" t="b">
        <f>EXACT(ППД5[[#This Row],[Статусы CRM]],ППД5[[#This Row],[Статус]])</f>
        <v>1</v>
      </c>
      <c r="DI503" s="213" t="s">
        <v>675</v>
      </c>
      <c r="DJ503" s="204"/>
      <c r="DK503" s="111" t="s">
        <v>763</v>
      </c>
      <c r="DL503" s="216" t="s">
        <v>14</v>
      </c>
      <c r="DM503" s="201" t="b">
        <f>ППД5[[#This Row],[Отделка CRM]]=ППД5[[#This Row],[Отделка]]</f>
        <v>1</v>
      </c>
      <c r="DN503" s="203">
        <v>4123400</v>
      </c>
      <c r="DO50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-4.6566128730773926E-10</v>
      </c>
      <c r="DP503" s="207" t="b">
        <f>IF(AND(ППД5[[#This Row],[Статус]]="свободно",ППД5[[#This Row],[Итоговая сумма скидки]]&lt;&gt;0),FALSE,TRUE)</f>
        <v>1</v>
      </c>
      <c r="DQ503" s="240">
        <f>_xlfn.XLOOKUP(ППД5[[#This Row],[№]],Юрист[№ кв],Юрист[Дата подачи на регистрацию]," ",0,-1)</f>
        <v>45596</v>
      </c>
      <c r="DR503" s="115" t="str">
        <f>_xlfn.XLOOKUP(ППД5[[#This Row],[№]],Юрист[№ кв],Юрист[МОП],"",0,-1)</f>
        <v>Полехович</v>
      </c>
      <c r="DS503" s="333" t="s">
        <v>3298</v>
      </c>
      <c r="DT503" s="333" t="s">
        <v>3299</v>
      </c>
      <c r="DU503" s="333">
        <v>26.8</v>
      </c>
      <c r="DV503" s="111"/>
    </row>
    <row r="504" spans="1:126" hidden="1" x14ac:dyDescent="0.25">
      <c r="A504" s="112">
        <v>502</v>
      </c>
      <c r="B504" s="111" t="s">
        <v>2</v>
      </c>
      <c r="C504" s="111">
        <v>15</v>
      </c>
      <c r="D504" s="115">
        <v>2</v>
      </c>
      <c r="E504" s="111">
        <v>1</v>
      </c>
      <c r="F504" s="105">
        <v>13.17</v>
      </c>
      <c r="G504" s="105"/>
      <c r="H504" s="105"/>
      <c r="I504" s="94">
        <f>SUM(ППД5[[#This Row],[Комната 1]:[Комната 3]])</f>
        <v>13.17</v>
      </c>
      <c r="J504" s="105">
        <v>16.940000000000001</v>
      </c>
      <c r="K504" s="105">
        <v>3.55</v>
      </c>
      <c r="L504" s="105">
        <v>2.41</v>
      </c>
      <c r="M504" s="105"/>
      <c r="N504" s="105">
        <v>5.8</v>
      </c>
      <c r="O504" s="105">
        <v>2.68</v>
      </c>
      <c r="P504" s="105"/>
      <c r="Q504" s="105"/>
      <c r="R504" s="105">
        <f>SUM(ППД5[[#This Row],[Лоджия 1]:[Лоджия 3]])</f>
        <v>2.68</v>
      </c>
      <c r="S504" s="8">
        <f>ROUND(SUM(ППД5[[#This Row],[Площадь по проекту жилая]:[Лоджия 3]]),2)</f>
        <v>44.55</v>
      </c>
      <c r="T504" s="8">
        <f>ROUND(ППД5[[#This Row],[Площадь по проекту(общая)]]-ППД5[[#This Row],[Летние]],2)</f>
        <v>41.87</v>
      </c>
      <c r="U504" s="91">
        <f>ROUND(ППД5[[#This Row],[Площадь по проекту(общая)]]-(SUM(ППД5[[#This Row],[Лоджия 1]:[Лоджия 3]])/2),2)</f>
        <v>43.21</v>
      </c>
      <c r="V504" s="91">
        <f>IF(ППД5[[#This Row],[Статус]]="продажа",ППД5[[#This Row],[Расчетная проектная площадь]],ППД5[[#This Row],[Расчетная ТП площадь]])</f>
        <v>43.21</v>
      </c>
      <c r="W504" s="91">
        <v>13</v>
      </c>
      <c r="X504" s="91"/>
      <c r="Y504" s="91"/>
      <c r="Z504" s="91">
        <f>SUM(ППД5[[#This Row],[ТП Комната 1]:[ТП Комната 3]])</f>
        <v>13</v>
      </c>
      <c r="AA504" s="91">
        <v>16.8</v>
      </c>
      <c r="AB504" s="91">
        <v>2</v>
      </c>
      <c r="AC504" s="91">
        <v>3.3</v>
      </c>
      <c r="AD504" s="91"/>
      <c r="AE504" s="91">
        <v>5.9</v>
      </c>
      <c r="AF504" s="91">
        <v>1.3</v>
      </c>
      <c r="AG504" s="91"/>
      <c r="AH504" s="91"/>
      <c r="AI504" s="91">
        <f>SUM(ППД5[[#This Row],[ТП Лоджия 1]:[ТП Лоджия 3]])</f>
        <v>1.3</v>
      </c>
      <c r="AJ504" s="95">
        <v>2.6</v>
      </c>
      <c r="AK504" s="91">
        <f>SUM(ППД5[[#This Row],[Площадь по ТП жилая]:[ТП Лоджия 3]])-ППД5[[#This Row],[ТП Летние]]+ППД5[[#This Row],[кроме того прочая
(без коэффициента)]]</f>
        <v>43.6</v>
      </c>
      <c r="AL504" s="95">
        <f>ППД5[[#This Row],[ТП Площадь без летних]]+(ППД5[[#This Row],[ТП Летние]])</f>
        <v>42.3</v>
      </c>
      <c r="AM504" s="91">
        <f>ППД5[[#This Row],[ТП общая S]]-ППД5[[#This Row],[кроме того прочая
(без коэффициента)]]</f>
        <v>41</v>
      </c>
      <c r="AN504" s="95">
        <f>SUM(ППД5[[#This Row],[ТП Кухня]:[ТП Коридор]])</f>
        <v>28</v>
      </c>
      <c r="AO504" s="91">
        <f>ППД5[[#This Row],[Расчетная ТП площадь]]-ППД5[[#This Row],[Расчетная проектная площадь]]</f>
        <v>-0.91000000000000369</v>
      </c>
      <c r="AP504" s="335">
        <f>ППД5[[#This Row],[Расчетная ТП площадь]]/ППД5[[#This Row],[Расчетная проектная площадь]]-1</f>
        <v>-2.1059939828743435E-2</v>
      </c>
      <c r="AQ504" s="91">
        <f>ППД5[[#This Row],[% расхождения]]*ППД5[[#This Row],[Стоимость до скидки]]</f>
        <v>-97096.852580421604</v>
      </c>
      <c r="AR504" s="91">
        <f>VLOOKUP(ППД5[[#This Row],[№]],наценкад5[],COLUMN(наценкад5[[#This Row],[Цена м2 с учетом всех K]]),0)</f>
        <v>85168.125</v>
      </c>
      <c r="AS504" s="8">
        <f>ППД5[[#This Row],[м2 после К]]*5%</f>
        <v>4258.40625</v>
      </c>
      <c r="AT504" s="8">
        <f>ППД5[[#This Row],[м2 после К]]+ППД5[[#This Row],[Повышение 16.08.23 - 5%]]</f>
        <v>89426.53125</v>
      </c>
      <c r="AU504" s="93">
        <f>ППД5[[#This Row],[Фикс 16.08.23]]*3%</f>
        <v>2682.7959375</v>
      </c>
      <c r="AV504" s="93">
        <f>ППД5[[#This Row],[Фикс 16.08.23]]+ППД5[[#This Row],[Повышение 29.08.23 - 3%]]</f>
        <v>92109.327187500006</v>
      </c>
      <c r="AW504" s="93">
        <f>ППД5[[#This Row],[Фикс 29.08.23]]*1%</f>
        <v>921.09327187500003</v>
      </c>
      <c r="AX504" s="93">
        <f>ППД5[[#This Row],[Фикс 29.08.23]]+ППД5[[#This Row],[Повышение 06.09.23 СТ и 1К]]</f>
        <v>93030.420459375004</v>
      </c>
      <c r="AY504" s="93"/>
      <c r="AZ504" s="93">
        <f>ППД5[[#This Row],[Повышение 23.10.23  В4 ]]+ППД5[[#This Row],[Фикс 06.09.23]]</f>
        <v>93030.420459375004</v>
      </c>
      <c r="BA504" s="93">
        <f>ППД5[[#This Row],[Фикс 23.10.23]]*5%</f>
        <v>4651.52102296875</v>
      </c>
      <c r="BB504" s="93">
        <f>ППД5[[#This Row],[Повышение 8.11.23 1К 5%]]+ППД5[[#This Row],[Фикс 23.10.23]]</f>
        <v>97681.941482343755</v>
      </c>
      <c r="BC504" s="93"/>
      <c r="BD504" s="93">
        <f>ППД5[[#This Row],[Корректировка 24.11.23 - 1К В5, 2К А2, №233]]+ППД5[[#This Row],[Фикс 8.11.23]]</f>
        <v>97681.941482343755</v>
      </c>
      <c r="BE504" s="93">
        <f>ППД5[[#This Row],[Фикс 8.11.24]]*1%</f>
        <v>976.81941482343757</v>
      </c>
      <c r="BF504" s="93">
        <f>ППД5[[#This Row],[Наценка за отделку 29.12.23 1%]]+ППД5[[#This Row],[Фикс 8.11.24]]</f>
        <v>98658.760897167187</v>
      </c>
      <c r="BG504" s="93">
        <f>ППД5[[#This Row],[Фикс 29.12.23]]*5%</f>
        <v>4932.9380448583597</v>
      </c>
      <c r="BH504" s="93">
        <f>ППД5[[#This Row],[Фикс 29.12.23]]+ППД5[[#This Row],[Наценка 10.01.24 5%]]</f>
        <v>103591.69894202554</v>
      </c>
      <c r="BI504" s="93"/>
      <c r="BJ504" s="93">
        <f>ППД5[[#This Row],[Наценка 26.02.24 1 Этаж]]+ППД5[[#This Row],[Фикс 10.01.24]]</f>
        <v>103591.69894202554</v>
      </c>
      <c r="BK504" s="93">
        <f>ППД5[[#This Row],[Фикс 26.02.24]]*3%</f>
        <v>3107.7509682607661</v>
      </c>
      <c r="BL504" s="93">
        <f>ППД5[[#This Row],[Фикс 26.02.24]]+ППД5[[#This Row],[Наценка 06.03.24
СТ, 1К - 3%
2К, 3К - 2%]]</f>
        <v>106699.4499102863</v>
      </c>
      <c r="BM504" s="93"/>
      <c r="BN504" s="93">
        <f>ППД5[[#This Row],[Фикс 06.03.24]]+ППД5[[#This Row],[Наценка Г2+500]]</f>
        <v>106699.4499102863</v>
      </c>
      <c r="BO504" s="93"/>
      <c r="BP504" s="93">
        <f>ППД5[[#This Row],[Фикс 13.03.25]]+ППД5[[#This Row],[Наценка 20.03.24
2К, 3К - 2%]]</f>
        <v>106699.4499102863</v>
      </c>
      <c r="BQ504" s="93"/>
      <c r="BR504" s="93">
        <f>ППД5[[#This Row],[Фикс 20.03.24]]+ППД5[[#This Row],[Наценка 08.04.24 
2К: В3 - 150
3К: Г7 +1000]]</f>
        <v>106699.4499102863</v>
      </c>
      <c r="BS504" s="93"/>
      <c r="BT504" s="93">
        <f>ППД5[[#This Row],[Фикс 08.04.24]]+ППД5[[#This Row],[Наценка 16.05.24 1%
А4,А6,Б3,Б6,Б7,В2,В3,В5,В6,Г1,Г3-Г5]]</f>
        <v>106699.4499102863</v>
      </c>
      <c r="BU504" s="93"/>
      <c r="BV504" s="93">
        <f>ППД5[[#This Row],[Фикс 16.05.24]]+ППД5[[#This Row],[Наценка 24.05.24
1% - Б4, Б5,Г2,Г6
2% - А1,А3,А5,Б2,Г7]]</f>
        <v>106699.4499102863</v>
      </c>
      <c r="BW504" s="93"/>
      <c r="BX504" s="93">
        <f>ППД5[[#This Row],[Наценка 06.06.24
0К: В2,Г3 +0,5%
1К: А7, Б5/4, Г6 +0,5%
3К: В6 +0,5%
1К: А3 +1%]]+ППД5[[#This Row],[Фикс 24.05.24]]</f>
        <v>106699.4499102863</v>
      </c>
      <c r="BY504" s="93"/>
      <c r="BZ504" s="93">
        <f>ППД5[[#This Row],[Фикс 06.06.24]]+ППД5[[#This Row],[13.06.2024
3К - 2%]]</f>
        <v>106699.4499102863</v>
      </c>
      <c r="CA504" s="93"/>
      <c r="CB504" s="93">
        <f>ППД5[[#This Row],[02.07.2024: Г3 А1 А3 Б5 Б7 Г2 Г6 Б3 Б4 В3 Г7 2,5% ост 0,5-1,5%]]+ППД5[[#This Row],[Фикс 13.06.24]]</f>
        <v>106699.4499102863</v>
      </c>
      <c r="CC504" s="93"/>
      <c r="CD504" s="93">
        <f>ППД5[[#This Row],[Фикс 02.07.24]]+ППД5[[#This Row],[04.09.2024 +500
0К - Б2; 1К - А3;
2К - А6, Б4, В3, Г5]]</f>
        <v>106699.4499102863</v>
      </c>
      <c r="CE504" s="93"/>
      <c r="CF504" s="93">
        <f>ППД5[[#This Row],[Наценка 16.09.2024
1К: А1,В7,Г6/7,Г8 - 2%
2К: А4,А5,А6,Б1,Б6,Б3/4,В3,В4,Г4,Г5 - 4%
3К: 4%]]+ППД5[[#This Row],[Фикс 04.09.24]]</f>
        <v>106699.4499102863</v>
      </c>
      <c r="CG504" s="93"/>
      <c r="CH504" s="93">
        <f>ППД5[[#This Row],[Фикс 16.09.2024]]+ППД5[[#This Row],[Наценка 01.11.24
СТ: 4%
1К: 34-40м 5%; 40м+ 8%; МГН 1%
2К: 55-70м 6%; 70-73м 7%; 73-76м 8% 
3К: 5%]]</f>
        <v>106699.4499102863</v>
      </c>
      <c r="CI504" s="93"/>
      <c r="CJ504" s="93">
        <f>ППД5[[#This Row],[Наценка 06.11 13%]]+ППД5[[#This Row],[Фикс 01.11.24]]</f>
        <v>106699.4499102863</v>
      </c>
      <c r="CK504" s="93"/>
      <c r="CL504" s="93">
        <f>ППД5[[#This Row],[Фикс 06.11.24]]+ППД5[[#This Row],[Наценка 18.12.24 распределение КВ]]</f>
        <v>106699.4499102863</v>
      </c>
      <c r="CM504" s="93"/>
      <c r="CN504" s="93">
        <f>ППД5[[#This Row],[Фикс 18.12.24]]+ППД5[[#This Row],[Наценка 10.02.25 +1%
1К: А3
2К: Б3, В3]]</f>
        <v>106699.4499102863</v>
      </c>
      <c r="CO504" s="93">
        <f>ROUND(ППД5[[#This Row],[Фикс 10.02.25]],2)</f>
        <v>106699.45</v>
      </c>
      <c r="CP50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4610500</v>
      </c>
      <c r="CQ504" s="93">
        <f>ROUNDUP(ППД5[[#This Row],[Стоимость до скидки]]+ППД5[[#This Row],[Сумма доплаты]],-2)</f>
        <v>4513500</v>
      </c>
      <c r="CR504" s="68">
        <v>88888</v>
      </c>
      <c r="CS504" s="90"/>
      <c r="CT504" s="68">
        <f>ППД5[[#This Row],[Стоимость до скидки]]*ППД5[[#This Row],[Скидка %]]+ППД5[[#This Row],[Скидка фиксированная]]</f>
        <v>88888</v>
      </c>
      <c r="CU504" s="3">
        <f>ППД5[[#This Row],[Стоимость ОН без отделки со скидкой]]/ППД5[[#This Row],[Расчетная проектная площадь]]</f>
        <v>104642.72159222401</v>
      </c>
      <c r="CV504" s="3">
        <f>ROUND(ППД5[[#This Row],[Стоимость до скидки]]-ППД5[[#This Row],[Итоговая сумма скидки]],2)</f>
        <v>4521612</v>
      </c>
      <c r="CW50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04" s="197"/>
      <c r="CY504" s="332">
        <f>ППД5[[#This Row],[Расхождение]]/ППД5[[#This Row],[Расчетная проектная площадь]]</f>
        <v>-2.1059939828743431E-2</v>
      </c>
      <c r="CZ50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-0.70000000000000284</v>
      </c>
      <c r="DA504" s="3">
        <f>ППД5[[#This Row],[Цена м2 без отделки со скидкой]]+ППД5[[#This Row],[Стоимость отделки]]</f>
        <v>104642.72159222401</v>
      </c>
      <c r="DB504" s="3">
        <f>ППД5[[#This Row],[Стоимость квартиры с отделкой]]-ППД5[[#This Row],[Стоимость ОН без отделки со скидкой]]</f>
        <v>0</v>
      </c>
      <c r="DC504" s="3">
        <f>ППД5[[#This Row],[Цена м2 с отделкой]]*ППД5[[#This Row],[Расчетная проектная площадь]]</f>
        <v>4521612</v>
      </c>
      <c r="DD504" s="3"/>
      <c r="DE504" s="111" t="s">
        <v>781</v>
      </c>
      <c r="DF504" s="199" t="s">
        <v>172</v>
      </c>
      <c r="DG504" s="245" t="s">
        <v>172</v>
      </c>
      <c r="DH504" s="100" t="b">
        <f>EXACT(ППД5[[#This Row],[Статусы CRM]],ППД5[[#This Row],[Статус]])</f>
        <v>1</v>
      </c>
      <c r="DI504" s="213" t="s">
        <v>676</v>
      </c>
      <c r="DJ504" s="204"/>
      <c r="DK504" s="111" t="s">
        <v>763</v>
      </c>
      <c r="DL504" s="216" t="s">
        <v>12</v>
      </c>
      <c r="DM504" s="201" t="b">
        <f>ППД5[[#This Row],[Отделка CRM]]=ППД5[[#This Row],[Отделка]]</f>
        <v>1</v>
      </c>
      <c r="DN504" s="203">
        <v>4521612</v>
      </c>
      <c r="DO50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04" s="207" t="b">
        <f>IF(AND(ППД5[[#This Row],[Статус]]="свободно",ППД5[[#This Row],[Итоговая сумма скидки]]&lt;&gt;0),FALSE,TRUE)</f>
        <v>1</v>
      </c>
      <c r="DQ504" s="240">
        <f>_xlfn.XLOOKUP(ППД5[[#This Row],[№]],Юрист[№ кв],Юрист[Дата подачи на регистрацию]," ",0,-1)</f>
        <v>45372</v>
      </c>
      <c r="DR504" s="115" t="str">
        <f>_xlfn.XLOOKUP(ППД5[[#This Row],[№]],Юрист[№ кв],Юрист[МОП],"",0,-1)</f>
        <v>Дик</v>
      </c>
      <c r="DS504" s="333" t="s">
        <v>3300</v>
      </c>
      <c r="DT504" s="333" t="s">
        <v>3301</v>
      </c>
      <c r="DU504" s="333">
        <v>41</v>
      </c>
      <c r="DV504" s="111"/>
    </row>
    <row r="505" spans="1:126" hidden="1" x14ac:dyDescent="0.25">
      <c r="A505" s="112">
        <v>503</v>
      </c>
      <c r="B505" s="111" t="s">
        <v>2</v>
      </c>
      <c r="C505" s="111">
        <v>15</v>
      </c>
      <c r="D505" s="115">
        <v>3</v>
      </c>
      <c r="E505" s="111">
        <v>0</v>
      </c>
      <c r="F505" s="105">
        <v>7.2</v>
      </c>
      <c r="G505" s="105"/>
      <c r="H505" s="105"/>
      <c r="I505" s="94">
        <f>SUM(ППД5[[#This Row],[Комната 1]:[Комната 3]])</f>
        <v>7.2</v>
      </c>
      <c r="J505" s="105">
        <v>5.17</v>
      </c>
      <c r="K505" s="105">
        <v>3.71</v>
      </c>
      <c r="L505" s="105"/>
      <c r="M505" s="105"/>
      <c r="N505" s="105">
        <v>6.96</v>
      </c>
      <c r="O505" s="105">
        <v>2.92</v>
      </c>
      <c r="P505" s="105"/>
      <c r="Q505" s="105"/>
      <c r="R505" s="105">
        <f>SUM(ППД5[[#This Row],[Лоджия 1]:[Лоджия 3]])</f>
        <v>2.92</v>
      </c>
      <c r="S505" s="8">
        <f>ROUND(SUM(ППД5[[#This Row],[Площадь по проекту жилая]:[Лоджия 3]]),2)</f>
        <v>25.96</v>
      </c>
      <c r="T505" s="8">
        <f>ROUND(ППД5[[#This Row],[Площадь по проекту(общая)]]-ППД5[[#This Row],[Летние]],2)</f>
        <v>23.04</v>
      </c>
      <c r="U505" s="91">
        <f>ROUND(ППД5[[#This Row],[Площадь по проекту(общая)]]-(SUM(ППД5[[#This Row],[Лоджия 1]:[Лоджия 3]])/2),2)</f>
        <v>24.5</v>
      </c>
      <c r="V505" s="91">
        <f>IF(ППД5[[#This Row],[Статус]]="продажа",ППД5[[#This Row],[Расчетная проектная площадь]],ППД5[[#This Row],[Расчетная ТП площадь]])</f>
        <v>24.5</v>
      </c>
      <c r="W505" s="91">
        <v>7.2</v>
      </c>
      <c r="X505" s="91"/>
      <c r="Y505" s="91"/>
      <c r="Z505" s="91">
        <f>SUM(ППД5[[#This Row],[ТП Комната 1]:[ТП Комната 3]])</f>
        <v>7.2</v>
      </c>
      <c r="AA505" s="91">
        <v>5.6</v>
      </c>
      <c r="AB505" s="91">
        <v>3.7</v>
      </c>
      <c r="AC505" s="91"/>
      <c r="AD505" s="91"/>
      <c r="AE505" s="91">
        <v>6.6</v>
      </c>
      <c r="AF505" s="91">
        <v>1.45</v>
      </c>
      <c r="AG505" s="91"/>
      <c r="AH505" s="91"/>
      <c r="AI505" s="91">
        <f>SUM(ППД5[[#This Row],[ТП Лоджия 1]:[ТП Лоджия 3]])</f>
        <v>1.45</v>
      </c>
      <c r="AJ505" s="95">
        <v>2.9</v>
      </c>
      <c r="AK505" s="91">
        <f>SUM(ППД5[[#This Row],[Площадь по ТП жилая]:[ТП Лоджия 3]])-ППД5[[#This Row],[ТП Летние]]+ППД5[[#This Row],[кроме того прочая
(без коэффициента)]]</f>
        <v>26</v>
      </c>
      <c r="AL505" s="95">
        <f>ППД5[[#This Row],[ТП Площадь без летних]]+(ППД5[[#This Row],[ТП Летние]])</f>
        <v>24.55</v>
      </c>
      <c r="AM505" s="91">
        <f>ППД5[[#This Row],[ТП общая S]]-ППД5[[#This Row],[кроме того прочая
(без коэффициента)]]</f>
        <v>23.1</v>
      </c>
      <c r="AN505" s="95">
        <f>SUM(ППД5[[#This Row],[ТП Кухня]:[ТП Коридор]])</f>
        <v>15.9</v>
      </c>
      <c r="AO505" s="91">
        <f>ППД5[[#This Row],[Расчетная ТП площадь]]-ППД5[[#This Row],[Расчетная проектная площадь]]</f>
        <v>5.0000000000000711E-2</v>
      </c>
      <c r="AP505" s="335">
        <f>ППД5[[#This Row],[Расчетная ТП площадь]]/ППД5[[#This Row],[Расчетная проектная площадь]]-1</f>
        <v>2.0408163265306367E-3</v>
      </c>
      <c r="AQ505" s="91">
        <f>ППД5[[#This Row],[% расхождения]]*ППД5[[#This Row],[Стоимость до скидки]]</f>
        <v>7173.8775510204941</v>
      </c>
      <c r="AR505" s="91">
        <f>VLOOKUP(ППД5[[#This Row],[№]],наценкад5[],COLUMN(наценкад5[[#This Row],[Цена м2 с учетом всех K]]),0)</f>
        <v>91105.56</v>
      </c>
      <c r="AS505" s="8">
        <f>ППД5[[#This Row],[м2 после К]]*5%</f>
        <v>4555.2780000000002</v>
      </c>
      <c r="AT505" s="8">
        <f>ППД5[[#This Row],[м2 после К]]+ППД5[[#This Row],[Повышение 16.08.23 - 5%]]</f>
        <v>95660.838000000003</v>
      </c>
      <c r="AU505" s="93">
        <f>ППД5[[#This Row],[Фикс 16.08.23]]*3%</f>
        <v>2869.8251399999999</v>
      </c>
      <c r="AV505" s="93">
        <f>ППД5[[#This Row],[Фикс 16.08.23]]+ППД5[[#This Row],[Повышение 29.08.23 - 3%]]</f>
        <v>98530.663140000004</v>
      </c>
      <c r="AW505" s="93">
        <f>ППД5[[#This Row],[Фикс 29.08.23]]*9%</f>
        <v>8867.7596826000008</v>
      </c>
      <c r="AX505" s="93">
        <f>ППД5[[#This Row],[Фикс 29.08.23]]+ППД5[[#This Row],[Повышение 06.09.23 СТ и 1К]]</f>
        <v>107398.4228226</v>
      </c>
      <c r="AY505" s="93"/>
      <c r="AZ505" s="93">
        <f>ППД5[[#This Row],[Повышение 23.10.23  В4 ]]+ППД5[[#This Row],[Фикс 06.09.23]]</f>
        <v>107398.4228226</v>
      </c>
      <c r="BA505" s="93"/>
      <c r="BB505" s="93">
        <f>ППД5[[#This Row],[Повышение 8.11.23 1К 5%]]+ППД5[[#This Row],[Фикс 23.10.23]]</f>
        <v>107398.4228226</v>
      </c>
      <c r="BC505" s="93"/>
      <c r="BD505" s="93">
        <f>ППД5[[#This Row],[Корректировка 24.11.23 - 1К В5, 2К А2, №233]]+ППД5[[#This Row],[Фикс 8.11.23]]</f>
        <v>107398.4228226</v>
      </c>
      <c r="BE505" s="93">
        <f>ППД5[[#This Row],[Фикс 8.11.24]]*1%</f>
        <v>1073.9842282259999</v>
      </c>
      <c r="BF505" s="93">
        <f>ППД5[[#This Row],[Наценка за отделку 29.12.23 1%]]+ППД5[[#This Row],[Фикс 8.11.24]]</f>
        <v>108472.407050826</v>
      </c>
      <c r="BG505" s="93">
        <f>ППД5[[#This Row],[Фикс 29.12.23]]*5%</f>
        <v>5423.6203525413002</v>
      </c>
      <c r="BH505" s="93">
        <f>ППД5[[#This Row],[Фикс 29.12.23]]+ППД5[[#This Row],[Наценка 10.01.24 5%]]</f>
        <v>113896.0274033673</v>
      </c>
      <c r="BI505" s="93"/>
      <c r="BJ505" s="93">
        <f>ППД5[[#This Row],[Наценка 26.02.24 1 Этаж]]+ППД5[[#This Row],[Фикс 10.01.24]]</f>
        <v>113896.0274033673</v>
      </c>
      <c r="BK505" s="93">
        <f>ППД5[[#This Row],[Фикс 26.02.24]]*3%</f>
        <v>3416.880822101019</v>
      </c>
      <c r="BL505" s="93">
        <f>ППД5[[#This Row],[Фикс 26.02.24]]+ППД5[[#This Row],[Наценка 06.03.24
СТ, 1К - 3%
2К, 3К - 2%]]</f>
        <v>117312.90822546833</v>
      </c>
      <c r="BM505" s="93"/>
      <c r="BN505" s="93">
        <f>ППД5[[#This Row],[Фикс 06.03.24]]+ППД5[[#This Row],[Наценка Г2+500]]</f>
        <v>117312.90822546833</v>
      </c>
      <c r="BO505" s="93"/>
      <c r="BP505" s="93">
        <f>ППД5[[#This Row],[Фикс 13.03.25]]+ППД5[[#This Row],[Наценка 20.03.24
2К, 3К - 2%]]</f>
        <v>117312.90822546833</v>
      </c>
      <c r="BQ505" s="93"/>
      <c r="BR505" s="93">
        <f>ППД5[[#This Row],[Фикс 20.03.24]]+ППД5[[#This Row],[Наценка 08.04.24 
2К: В3 - 150
3К: Г7 +1000]]</f>
        <v>117312.90822546833</v>
      </c>
      <c r="BS505" s="93">
        <f>ППД5[[#This Row],[Фикс 08.04.24]]*1%</f>
        <v>1173.1290822546832</v>
      </c>
      <c r="BT505" s="93">
        <f>ППД5[[#This Row],[Фикс 08.04.24]]+ППД5[[#This Row],[Наценка 16.05.24 1%
А4,А6,Б3,Б6,Б7,В2,В3,В5,В6,Г1,Г3-Г5]]</f>
        <v>118486.03730772302</v>
      </c>
      <c r="BU505" s="93"/>
      <c r="BV505" s="93">
        <f>ППД5[[#This Row],[Фикс 16.05.24]]+ППД5[[#This Row],[Наценка 24.05.24
1% - Б4, Б5,Г2,Г6
2% - А1,А3,А5,Б2,Г7]]</f>
        <v>118486.03730772302</v>
      </c>
      <c r="BW505" s="93">
        <f>ППД5[[#This Row],[Фикс 24.05.24]]*0.5%</f>
        <v>592.43018653861509</v>
      </c>
      <c r="BX505" s="93">
        <f>ППД5[[#This Row],[Наценка 06.06.24
0К: В2,Г3 +0,5%
1К: А7, Б5/4, Г6 +0,5%
3К: В6 +0,5%
1К: А3 +1%]]+ППД5[[#This Row],[Фикс 24.05.24]]</f>
        <v>119078.46749426163</v>
      </c>
      <c r="BY505" s="93"/>
      <c r="BZ505" s="93">
        <f>ППД5[[#This Row],[Фикс 06.06.24]]+ППД5[[#This Row],[13.06.2024
3К - 2%]]</f>
        <v>119078.46749426163</v>
      </c>
      <c r="CA505" s="93">
        <f>2.5%*ППД5[[#This Row],[Фикс 13.06.24]]</f>
        <v>2976.961687356541</v>
      </c>
      <c r="CB505" s="93">
        <f>ППД5[[#This Row],[02.07.2024: Г3 А1 А3 Б5 Б7 Г2 Г6 Б3 Б4 В3 Г7 2,5% ост 0,5-1,5%]]+ППД5[[#This Row],[Фикс 13.06.24]]</f>
        <v>122055.42918161816</v>
      </c>
      <c r="CC505" s="93"/>
      <c r="CD505" s="93">
        <f>ППД5[[#This Row],[Фикс 02.07.24]]+ППД5[[#This Row],[04.09.2024 +500
0К - Б2; 1К - А3;
2К - А6, Б4, В3, Г5]]</f>
        <v>122055.42918161816</v>
      </c>
      <c r="CE505" s="93"/>
      <c r="CF505" s="93">
        <f>ППД5[[#This Row],[Наценка 16.09.2024
1К: А1,В7,Г6/7,Г8 - 2%
2К: А4,А5,А6,Б1,Б6,Б3/4,В3,В4,Г4,Г5 - 4%
3К: 4%]]+ППД5[[#This Row],[Фикс 04.09.24]]</f>
        <v>122055.42918161816</v>
      </c>
      <c r="CG505" s="93">
        <f>ППД5[[#This Row],[Фикс 16.09.2024]]*4%</f>
        <v>4882.2171672647264</v>
      </c>
      <c r="CH505" s="93">
        <f>ППД5[[#This Row],[Фикс 16.09.2024]]+ППД5[[#This Row],[Наценка 01.11.24
СТ: 4%
1К: 34-40м 5%; 40м+ 8%; МГН 1%
2К: 55-70м 6%; 70-73м 7%; 73-76м 8% 
3К: 5%]]</f>
        <v>126937.64634888289</v>
      </c>
      <c r="CI505" s="93">
        <f>ППД5[[#This Row],[Фикс 01.11.24]]*13%</f>
        <v>16501.894025354777</v>
      </c>
      <c r="CJ505" s="93">
        <f>ППД5[[#This Row],[Наценка 06.11 13%]]+ППД5[[#This Row],[Фикс 01.11.24]]</f>
        <v>143439.54037423767</v>
      </c>
      <c r="CK505" s="93">
        <v>35</v>
      </c>
      <c r="CL505" s="93">
        <f>ППД5[[#This Row],[Фикс 06.11.24]]+ППД5[[#This Row],[Наценка 18.12.24 распределение КВ]]</f>
        <v>143474.54037423767</v>
      </c>
      <c r="CM505" s="93"/>
      <c r="CN505" s="93">
        <f>ППД5[[#This Row],[Фикс 18.12.24]]+ППД5[[#This Row],[Наценка 10.02.25 +1%
1К: А3
2К: Б3, В3]]</f>
        <v>143474.54037423767</v>
      </c>
      <c r="CO505" s="93">
        <f>ROUND(ППД5[[#This Row],[Фикс 10.02.25]],2)</f>
        <v>143474.54</v>
      </c>
      <c r="CP50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3515200</v>
      </c>
      <c r="CQ505" s="93">
        <f>ROUNDUP(ППД5[[#This Row],[Стоимость до скидки]]+ППД5[[#This Row],[Сумма доплаты]],-2)</f>
        <v>3522400</v>
      </c>
      <c r="CR505" s="68"/>
      <c r="CS505" s="90"/>
      <c r="CT505" s="68">
        <f>ППД5[[#This Row],[Стоимость до скидки]]*ППД5[[#This Row],[Скидка %]]+ППД5[[#This Row],[Скидка фиксированная]]</f>
        <v>0</v>
      </c>
      <c r="CU505" s="3">
        <f>ППД5[[#This Row],[Стоимость ОН без отделки со скидкой]]/ППД5[[#This Row],[Расчетная проектная площадь]]</f>
        <v>143477.55102040817</v>
      </c>
      <c r="CV505" s="3">
        <f>ROUND(ППД5[[#This Row],[Стоимость до скидки]]-ППД5[[#This Row],[Итоговая сумма скидки]],2)</f>
        <v>3515200</v>
      </c>
      <c r="CW50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505" s="197">
        <v>25000</v>
      </c>
      <c r="CY505" s="332">
        <f>ППД5[[#This Row],[Расхождение]]/ППД5[[#This Row],[Расчетная проектная площадь]]</f>
        <v>2.0408163265306411E-3</v>
      </c>
      <c r="CZ50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6.0000000000001386E-2</v>
      </c>
      <c r="DA505" s="3">
        <f>ППД5[[#This Row],[Цена м2 без отделки со скидкой]]+ППД5[[#This Row],[Стоимость отделки]]</f>
        <v>168477.55102040817</v>
      </c>
      <c r="DB505" s="3">
        <f>ППД5[[#This Row],[Стоимость квартиры с отделкой]]-ППД5[[#This Row],[Стоимость ОН без отделки со скидкой]]</f>
        <v>612500</v>
      </c>
      <c r="DC505" s="3">
        <f>ППД5[[#This Row],[Цена м2 с отделкой]]*ППД5[[#This Row],[Расчетная проектная площадь]]</f>
        <v>4127700</v>
      </c>
      <c r="DD505" s="3"/>
      <c r="DF505" s="155" t="s">
        <v>172</v>
      </c>
      <c r="DG505" s="245" t="s">
        <v>172</v>
      </c>
      <c r="DH505" s="100" t="b">
        <f>EXACT(ППД5[[#This Row],[Статусы CRM]],ППД5[[#This Row],[Статус]])</f>
        <v>1</v>
      </c>
      <c r="DI505" s="213" t="s">
        <v>677</v>
      </c>
      <c r="DJ505" s="204"/>
      <c r="DK505" s="111" t="s">
        <v>763</v>
      </c>
      <c r="DL505" s="216" t="s">
        <v>14</v>
      </c>
      <c r="DM505" s="201" t="b">
        <f>ППД5[[#This Row],[Отделка CRM]]=ППД5[[#This Row],[Отделка]]</f>
        <v>1</v>
      </c>
      <c r="DN505" s="203">
        <v>4127700</v>
      </c>
      <c r="DO50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05" s="207" t="b">
        <f>IF(AND(ППД5[[#This Row],[Статус]]="свободно",ППД5[[#This Row],[Итоговая сумма скидки]]&lt;&gt;0),FALSE,TRUE)</f>
        <v>1</v>
      </c>
      <c r="DQ505" s="240">
        <f>_xlfn.XLOOKUP(ППД5[[#This Row],[№]],Юрист[№ кв],Юрист[Дата подачи на регистрацию]," ",0,-1)</f>
        <v>45654</v>
      </c>
      <c r="DR505" s="115" t="str">
        <f>_xlfn.XLOOKUP(ППД5[[#This Row],[№]],Юрист[№ кв],Юрист[МОП],"",0,-1)</f>
        <v>Полехович</v>
      </c>
      <c r="DS505" s="333" t="s">
        <v>3302</v>
      </c>
      <c r="DT505" s="333" t="s">
        <v>3303</v>
      </c>
      <c r="DU505" s="333">
        <v>23.1</v>
      </c>
      <c r="DV505" s="111"/>
    </row>
    <row r="506" spans="1:126" hidden="1" x14ac:dyDescent="0.25">
      <c r="A506" s="112">
        <v>504</v>
      </c>
      <c r="B506" s="111" t="s">
        <v>2</v>
      </c>
      <c r="C506" s="111">
        <v>15</v>
      </c>
      <c r="D506" s="115">
        <v>4</v>
      </c>
      <c r="E506" s="111">
        <v>2</v>
      </c>
      <c r="F506" s="105">
        <v>14.48</v>
      </c>
      <c r="G506" s="105">
        <v>11.42</v>
      </c>
      <c r="H506" s="105"/>
      <c r="I506" s="94">
        <f>SUM(ППД5[[#This Row],[Комната 1]:[Комната 3]])</f>
        <v>25.9</v>
      </c>
      <c r="J506" s="105">
        <v>15.86</v>
      </c>
      <c r="K506" s="105">
        <v>3.01</v>
      </c>
      <c r="L506" s="105">
        <v>2.67</v>
      </c>
      <c r="M506" s="105"/>
      <c r="N506" s="105">
        <v>9.44</v>
      </c>
      <c r="O506" s="105">
        <v>2.72</v>
      </c>
      <c r="P506" s="105"/>
      <c r="Q506" s="105"/>
      <c r="R506" s="105">
        <f>SUM(ППД5[[#This Row],[Лоджия 1]:[Лоджия 3]])</f>
        <v>2.72</v>
      </c>
      <c r="S506" s="8">
        <f>ROUND(SUM(ППД5[[#This Row],[Площадь по проекту жилая]:[Лоджия 3]]),2)</f>
        <v>59.6</v>
      </c>
      <c r="T506" s="8">
        <f>ROUND(ППД5[[#This Row],[Площадь по проекту(общая)]]-ППД5[[#This Row],[Летние]],2)</f>
        <v>56.88</v>
      </c>
      <c r="U506" s="91">
        <f>ROUND(ППД5[[#This Row],[Площадь по проекту(общая)]]-(SUM(ППД5[[#This Row],[Лоджия 1]:[Лоджия 3]])/2),2)</f>
        <v>58.24</v>
      </c>
      <c r="V506" s="91">
        <f>IF(ППД5[[#This Row],[Статус]]="продажа",ППД5[[#This Row],[Расчетная проектная площадь]],ППД5[[#This Row],[Расчетная ТП площадь]])</f>
        <v>58.24</v>
      </c>
      <c r="W506" s="91">
        <v>14.5</v>
      </c>
      <c r="X506" s="91">
        <v>11.3</v>
      </c>
      <c r="Y506" s="91"/>
      <c r="Z506" s="91">
        <f>SUM(ППД5[[#This Row],[ТП Комната 1]:[ТП Комната 3]])</f>
        <v>25.8</v>
      </c>
      <c r="AA506" s="91">
        <v>15.9</v>
      </c>
      <c r="AB506" s="91">
        <v>2.7</v>
      </c>
      <c r="AC506" s="91">
        <v>3</v>
      </c>
      <c r="AD506" s="91"/>
      <c r="AE506" s="91">
        <v>9.4</v>
      </c>
      <c r="AF506" s="91">
        <v>1.35</v>
      </c>
      <c r="AG506" s="91"/>
      <c r="AH506" s="91"/>
      <c r="AI506" s="91">
        <f>SUM(ППД5[[#This Row],[ТП Лоджия 1]:[ТП Лоджия 3]])</f>
        <v>1.35</v>
      </c>
      <c r="AJ506" s="95">
        <v>2.7</v>
      </c>
      <c r="AK506" s="91">
        <f>SUM(ППД5[[#This Row],[Площадь по ТП жилая]:[ТП Лоджия 3]])-ППД5[[#This Row],[ТП Летние]]+ППД5[[#This Row],[кроме того прочая
(без коэффициента)]]</f>
        <v>59.500000000000007</v>
      </c>
      <c r="AL506" s="95">
        <f>ППД5[[#This Row],[ТП Площадь без летних]]+(ППД5[[#This Row],[ТП Летние]])</f>
        <v>58.150000000000006</v>
      </c>
      <c r="AM506" s="91">
        <f>ППД5[[#This Row],[ТП общая S]]-ППД5[[#This Row],[кроме того прочая
(без коэффициента)]]</f>
        <v>56.800000000000004</v>
      </c>
      <c r="AN506" s="95">
        <f>SUM(ППД5[[#This Row],[ТП Кухня]:[ТП Коридор]])</f>
        <v>31</v>
      </c>
      <c r="AO506" s="91">
        <f>ППД5[[#This Row],[Расчетная ТП площадь]]-ППД5[[#This Row],[Расчетная проектная площадь]]</f>
        <v>-8.9999999999996305E-2</v>
      </c>
      <c r="AP506" s="335">
        <f>ППД5[[#This Row],[Расчетная ТП площадь]]/ППД5[[#This Row],[Расчетная проектная площадь]]-1</f>
        <v>-1.5453296703296093E-3</v>
      </c>
      <c r="AQ506" s="91">
        <f>ППД5[[#This Row],[% расхождения]]*ППД5[[#This Row],[Стоимость до скидки]]</f>
        <v>-7741.6047012359577</v>
      </c>
      <c r="AR506" s="91">
        <f>VLOOKUP(ППД5[[#This Row],[№]],наценкад5[],COLUMN(наценкад5[[#This Row],[Цена м2 с учетом всех K]]),0)</f>
        <v>79535.67300000001</v>
      </c>
      <c r="AS506" s="8">
        <f>ППД5[[#This Row],[м2 после К]]*5%</f>
        <v>3976.7836500000008</v>
      </c>
      <c r="AT506" s="8">
        <f>ППД5[[#This Row],[м2 после К]]+ППД5[[#This Row],[Повышение 16.08.23 - 5%]]</f>
        <v>83512.456650000007</v>
      </c>
      <c r="AU506" s="93">
        <f>ППД5[[#This Row],[Фикс 16.08.23]]*3%</f>
        <v>2505.3736994999999</v>
      </c>
      <c r="AV506" s="93">
        <f>ППД5[[#This Row],[Фикс 16.08.23]]+ППД5[[#This Row],[Повышение 29.08.23 - 3%]]</f>
        <v>86017.8303495</v>
      </c>
      <c r="AW506" s="93"/>
      <c r="AX506" s="93">
        <f>ППД5[[#This Row],[Фикс 29.08.23]]+ППД5[[#This Row],[Повышение 06.09.23 СТ и 1К]]</f>
        <v>86017.8303495</v>
      </c>
      <c r="AY506" s="93"/>
      <c r="AZ506" s="93">
        <f>ППД5[[#This Row],[Повышение 23.10.23  В4 ]]+ППД5[[#This Row],[Фикс 06.09.23]]</f>
        <v>86017.8303495</v>
      </c>
      <c r="BA506" s="93"/>
      <c r="BB506" s="93">
        <f>ППД5[[#This Row],[Повышение 8.11.23 1К 5%]]+ППД5[[#This Row],[Фикс 23.10.23]]</f>
        <v>86017.8303495</v>
      </c>
      <c r="BC506" s="93"/>
      <c r="BD506" s="93">
        <f>ППД5[[#This Row],[Корректировка 24.11.23 - 1К В5, 2К А2, №233]]+ППД5[[#This Row],[Фикс 8.11.23]]</f>
        <v>86017.8303495</v>
      </c>
      <c r="BE506" s="93"/>
      <c r="BF506" s="93">
        <f>ППД5[[#This Row],[Наценка за отделку 29.12.23 1%]]+ППД5[[#This Row],[Фикс 8.11.24]]</f>
        <v>86017.8303495</v>
      </c>
      <c r="BG506" s="93"/>
      <c r="BH506" s="93">
        <f>ППД5[[#This Row],[Фикс 29.12.23]]+ППД5[[#This Row],[Наценка 10.01.24 5%]]</f>
        <v>86017.8303495</v>
      </c>
      <c r="BI506" s="93"/>
      <c r="BJ506" s="93">
        <f>ППД5[[#This Row],[Наценка 26.02.24 1 Этаж]]+ППД5[[#This Row],[Фикс 10.01.24]]</f>
        <v>86017.8303495</v>
      </c>
      <c r="BK506" s="93"/>
      <c r="BL506" s="93">
        <f>ППД5[[#This Row],[Фикс 26.02.24]]+ППД5[[#This Row],[Наценка 06.03.24
СТ, 1К - 3%
2К, 3К - 2%]]</f>
        <v>86017.8303495</v>
      </c>
      <c r="BM506" s="93"/>
      <c r="BN506" s="93">
        <f>ППД5[[#This Row],[Фикс 06.03.24]]+ППД5[[#This Row],[Наценка Г2+500]]</f>
        <v>86017.8303495</v>
      </c>
      <c r="BO506" s="93"/>
      <c r="BP506" s="93">
        <f>ППД5[[#This Row],[Фикс 13.03.25]]+ППД5[[#This Row],[Наценка 20.03.24
2К, 3К - 2%]]</f>
        <v>86017.8303495</v>
      </c>
      <c r="BQ506" s="93"/>
      <c r="BR506" s="93">
        <f>ППД5[[#This Row],[Фикс 20.03.24]]+ППД5[[#This Row],[Наценка 08.04.24 
2К: В3 - 150
3К: Г7 +1000]]</f>
        <v>86017.8303495</v>
      </c>
      <c r="BS506" s="93"/>
      <c r="BT506" s="93">
        <f>ППД5[[#This Row],[Фикс 08.04.24]]+ППД5[[#This Row],[Наценка 16.05.24 1%
А4,А6,Б3,Б6,Б7,В2,В3,В5,В6,Г1,Г3-Г5]]</f>
        <v>86017.8303495</v>
      </c>
      <c r="BU506" s="93"/>
      <c r="BV506" s="93">
        <f>ППД5[[#This Row],[Фикс 16.05.24]]+ППД5[[#This Row],[Наценка 24.05.24
1% - Б4, Б5,Г2,Г6
2% - А1,А3,А5,Б2,Г7]]</f>
        <v>86017.8303495</v>
      </c>
      <c r="BW506" s="93"/>
      <c r="BX506" s="93">
        <f>ППД5[[#This Row],[Наценка 06.06.24
0К: В2,Г3 +0,5%
1К: А7, Б5/4, Г6 +0,5%
3К: В6 +0,5%
1К: А3 +1%]]+ППД5[[#This Row],[Фикс 24.05.24]]</f>
        <v>86017.8303495</v>
      </c>
      <c r="BY506" s="93"/>
      <c r="BZ506" s="93">
        <f>ППД5[[#This Row],[Фикс 06.06.24]]+ППД5[[#This Row],[13.06.2024
3К - 2%]]</f>
        <v>86017.8303495</v>
      </c>
      <c r="CA506" s="93"/>
      <c r="CB506" s="93">
        <f>ППД5[[#This Row],[02.07.2024: Г3 А1 А3 Б5 Б7 Г2 Г6 Б3 Б4 В3 Г7 2,5% ост 0,5-1,5%]]+ППД5[[#This Row],[Фикс 13.06.24]]</f>
        <v>86017.8303495</v>
      </c>
      <c r="CC506" s="93"/>
      <c r="CD506" s="93">
        <f>ППД5[[#This Row],[Фикс 02.07.24]]+ППД5[[#This Row],[04.09.2024 +500
0К - Б2; 1К - А3;
2К - А6, Б4, В3, Г5]]</f>
        <v>86017.8303495</v>
      </c>
      <c r="CE506" s="93"/>
      <c r="CF506" s="93">
        <f>ППД5[[#This Row],[Наценка 16.09.2024
1К: А1,В7,Г6/7,Г8 - 2%
2К: А4,А5,А6,Б1,Б6,Б3/4,В3,В4,Г4,Г5 - 4%
3К: 4%]]+ППД5[[#This Row],[Фикс 04.09.24]]</f>
        <v>86017.8303495</v>
      </c>
      <c r="CG506" s="93"/>
      <c r="CH506" s="93">
        <f>ППД5[[#This Row],[Фикс 16.09.2024]]+ППД5[[#This Row],[Наценка 01.11.24
СТ: 4%
1К: 34-40м 5%; 40м+ 8%; МГН 1%
2К: 55-70м 6%; 70-73м 7%; 73-76м 8% 
3К: 5%]]</f>
        <v>86017.8303495</v>
      </c>
      <c r="CI506" s="93"/>
      <c r="CJ506" s="93">
        <f>ППД5[[#This Row],[Наценка 06.11 13%]]+ППД5[[#This Row],[Фикс 01.11.24]]</f>
        <v>86017.8303495</v>
      </c>
      <c r="CK506" s="93"/>
      <c r="CL506" s="93">
        <f>ППД5[[#This Row],[Фикс 06.11.24]]+ППД5[[#This Row],[Наценка 18.12.24 распределение КВ]]</f>
        <v>86017.8303495</v>
      </c>
      <c r="CM506" s="93"/>
      <c r="CN506" s="93">
        <f>ППД5[[#This Row],[Фикс 18.12.24]]+ППД5[[#This Row],[Наценка 10.02.25 +1%
1К: А3
2К: Б3, В3]]</f>
        <v>86017.8303495</v>
      </c>
      <c r="CO506" s="93">
        <f>ROUND(ППД5[[#This Row],[Фикс 10.02.25]],2)</f>
        <v>86017.83</v>
      </c>
      <c r="CP50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5009678.42</v>
      </c>
      <c r="CQ506" s="93">
        <f>ROUNDUP(ППД5[[#This Row],[Стоимость до скидки]]+ППД5[[#This Row],[Сумма доплаты]],-2)</f>
        <v>5002000</v>
      </c>
      <c r="CR506" s="68"/>
      <c r="CS506" s="90"/>
      <c r="CT506" s="68">
        <f>ППД5[[#This Row],[Стоимость до скидки]]*ППД5[[#This Row],[Скидка %]]+ППД5[[#This Row],[Скидка фиксированная]]</f>
        <v>0</v>
      </c>
      <c r="CU506" s="3">
        <f>ППД5[[#This Row],[Стоимость ОН без отделки со скидкой]]/ППД5[[#This Row],[Расчетная проектная площадь]]</f>
        <v>86017.830013736253</v>
      </c>
      <c r="CV506" s="3">
        <f>ROUND(ППД5[[#This Row],[Стоимость до скидки]]-ППД5[[#This Row],[Итоговая сумма скидки]],2)</f>
        <v>5009678.42</v>
      </c>
      <c r="CW50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506" s="197">
        <v>22000</v>
      </c>
      <c r="CY506" s="332">
        <f>ППД5[[#This Row],[Расхождение]]/ППД5[[#This Row],[Расчетная проектная площадь]]</f>
        <v>-1.5453296703296069E-3</v>
      </c>
      <c r="CZ50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2.000000000000135E-2</v>
      </c>
      <c r="DA506" s="3">
        <f>ППД5[[#This Row],[Цена м2 без отделки со скидкой]]+ППД5[[#This Row],[Стоимость отделки]]</f>
        <v>108017.83001373625</v>
      </c>
      <c r="DB506" s="3">
        <f>ППД5[[#This Row],[Стоимость квартиры с отделкой]]-ППД5[[#This Row],[Стоимость ОН без отделки со скидкой]]</f>
        <v>1281280</v>
      </c>
      <c r="DC506" s="3">
        <f>ППД5[[#This Row],[Цена м2 с отделкой]]*ППД5[[#This Row],[Расчетная проектная площадь]]</f>
        <v>6290958.4199999999</v>
      </c>
      <c r="DD506" s="3"/>
      <c r="DF506" s="199" t="s">
        <v>172</v>
      </c>
      <c r="DG506" s="245" t="s">
        <v>172</v>
      </c>
      <c r="DH506" s="100" t="b">
        <f>EXACT(ППД5[[#This Row],[Статусы CRM]],ППД5[[#This Row],[Статус]])</f>
        <v>1</v>
      </c>
      <c r="DI506" s="213" t="s">
        <v>678</v>
      </c>
      <c r="DJ506" s="204"/>
      <c r="DK506" s="111" t="s">
        <v>76</v>
      </c>
      <c r="DL506" s="216" t="s">
        <v>14</v>
      </c>
      <c r="DM506" s="201" t="b">
        <f>ППД5[[#This Row],[Отделка CRM]]=ППД5[[#This Row],[Отделка]]</f>
        <v>1</v>
      </c>
      <c r="DN506" s="203">
        <v>6290958.4199999999</v>
      </c>
      <c r="DO50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06" s="207" t="b">
        <f>IF(AND(ППД5[[#This Row],[Статус]]="свободно",ППД5[[#This Row],[Итоговая сумма скидки]]&lt;&gt;0),FALSE,TRUE)</f>
        <v>1</v>
      </c>
      <c r="DQ506" s="240">
        <f>_xlfn.XLOOKUP(ППД5[[#This Row],[№]],Юрист[№ кв],Юрист[Дата подачи на регистрацию]," ",0,-1)</f>
        <v>45199</v>
      </c>
      <c r="DR506" s="115" t="str">
        <f>_xlfn.XLOOKUP(ППД5[[#This Row],[№]],Юрист[№ кв],Юрист[МОП],"",0,-1)</f>
        <v>Никишов</v>
      </c>
      <c r="DS506" s="333" t="s">
        <v>3304</v>
      </c>
      <c r="DT506" s="333" t="s">
        <v>3305</v>
      </c>
      <c r="DU506" s="333">
        <v>56.8</v>
      </c>
      <c r="DV506" s="111"/>
    </row>
    <row r="507" spans="1:126" hidden="1" x14ac:dyDescent="0.25">
      <c r="A507" s="112">
        <v>505</v>
      </c>
      <c r="B507" s="111" t="s">
        <v>2</v>
      </c>
      <c r="C507" s="111">
        <v>15</v>
      </c>
      <c r="D507" s="115">
        <v>5</v>
      </c>
      <c r="E507" s="111">
        <v>2</v>
      </c>
      <c r="F507" s="105">
        <v>15.41</v>
      </c>
      <c r="G507" s="105">
        <v>12.78</v>
      </c>
      <c r="H507" s="105"/>
      <c r="I507" s="94">
        <f>SUM(ППД5[[#This Row],[Комната 1]:[Комната 3]])</f>
        <v>28.189999999999998</v>
      </c>
      <c r="J507" s="105">
        <v>13.45</v>
      </c>
      <c r="K507" s="105">
        <v>3.7</v>
      </c>
      <c r="L507" s="105">
        <v>2.72</v>
      </c>
      <c r="M507" s="105"/>
      <c r="N507" s="105">
        <v>8.2200000000000006</v>
      </c>
      <c r="O507" s="105">
        <v>3.03</v>
      </c>
      <c r="P507" s="105"/>
      <c r="Q507" s="105"/>
      <c r="R507" s="105">
        <f>SUM(ППД5[[#This Row],[Лоджия 1]:[Лоджия 3]])</f>
        <v>3.03</v>
      </c>
      <c r="S507" s="8">
        <f>ROUND(SUM(ППД5[[#This Row],[Площадь по проекту жилая]:[Лоджия 3]]),2)</f>
        <v>59.31</v>
      </c>
      <c r="T507" s="8">
        <f>ROUND(ППД5[[#This Row],[Площадь по проекту(общая)]]-ППД5[[#This Row],[Летние]],2)</f>
        <v>56.28</v>
      </c>
      <c r="U507" s="91">
        <f>ROUND(ППД5[[#This Row],[Площадь по проекту(общая)]]-(SUM(ППД5[[#This Row],[Лоджия 1]:[Лоджия 3]])/2),2)</f>
        <v>57.8</v>
      </c>
      <c r="V507" s="91">
        <f>IF(ППД5[[#This Row],[Статус]]="продажа",ППД5[[#This Row],[Расчетная проектная площадь]],ППД5[[#This Row],[Расчетная ТП площадь]])</f>
        <v>57.8</v>
      </c>
      <c r="W507" s="91">
        <v>12.7</v>
      </c>
      <c r="X507" s="91">
        <v>15.5</v>
      </c>
      <c r="Y507" s="91"/>
      <c r="Z507" s="91">
        <f>SUM(ППД5[[#This Row],[ТП Комната 1]:[ТП Комната 3]])</f>
        <v>28.2</v>
      </c>
      <c r="AA507" s="91">
        <v>13.5</v>
      </c>
      <c r="AB507" s="91">
        <v>2.7</v>
      </c>
      <c r="AC507" s="91">
        <v>3.7</v>
      </c>
      <c r="AD507" s="91"/>
      <c r="AE507" s="91">
        <v>8.1</v>
      </c>
      <c r="AF507" s="91">
        <v>1.5</v>
      </c>
      <c r="AG507" s="91"/>
      <c r="AH507" s="91"/>
      <c r="AI507" s="91">
        <f>SUM(ППД5[[#This Row],[ТП Лоджия 1]:[ТП Лоджия 3]])</f>
        <v>1.5</v>
      </c>
      <c r="AJ507" s="95">
        <v>3</v>
      </c>
      <c r="AK507" s="91">
        <f>SUM(ППД5[[#This Row],[Площадь по ТП жилая]:[ТП Лоджия 3]])-ППД5[[#This Row],[ТП Летние]]+ППД5[[#This Row],[кроме того прочая
(без коэффициента)]]</f>
        <v>59.20000000000001</v>
      </c>
      <c r="AL507" s="95">
        <f>ППД5[[#This Row],[ТП Площадь без летних]]+(ППД5[[#This Row],[ТП Летние]])</f>
        <v>57.70000000000001</v>
      </c>
      <c r="AM507" s="91">
        <f>ППД5[[#This Row],[ТП общая S]]-ППД5[[#This Row],[кроме того прочая
(без коэффициента)]]</f>
        <v>56.20000000000001</v>
      </c>
      <c r="AN507" s="95">
        <f>SUM(ППД5[[#This Row],[ТП Кухня]:[ТП Коридор]])</f>
        <v>28</v>
      </c>
      <c r="AO507" s="91">
        <f>ППД5[[#This Row],[Расчетная ТП площадь]]-ППД5[[#This Row],[Расчетная проектная площадь]]</f>
        <v>-9.999999999998721E-2</v>
      </c>
      <c r="AP507" s="335">
        <f>ППД5[[#This Row],[Расчетная ТП площадь]]/ППД5[[#This Row],[Расчетная проектная площадь]]-1</f>
        <v>-1.7301038062281782E-3</v>
      </c>
      <c r="AQ507" s="91">
        <f>ППД5[[#This Row],[% расхождения]]*ППД5[[#This Row],[Стоимость до скидки]]</f>
        <v>-8560.0270069194485</v>
      </c>
      <c r="AR507" s="91">
        <f>VLOOKUP(ППД5[[#This Row],[№]],наценкад5[],COLUMN(наценкад5[[#This Row],[Цена м2 с учетом всех K]]),0)</f>
        <v>79149.577499999999</v>
      </c>
      <c r="AS507" s="8">
        <f>ППД5[[#This Row],[м2 после К]]*5%</f>
        <v>3957.4788750000002</v>
      </c>
      <c r="AT507" s="8">
        <f>ППД5[[#This Row],[м2 после К]]+ППД5[[#This Row],[Повышение 16.08.23 - 5%]]</f>
        <v>83107.056375</v>
      </c>
      <c r="AU507" s="93">
        <f>ППД5[[#This Row],[Фикс 16.08.23]]*3%</f>
        <v>2493.2116912500001</v>
      </c>
      <c r="AV507" s="93">
        <f>ППД5[[#This Row],[Фикс 16.08.23]]+ППД5[[#This Row],[Повышение 29.08.23 - 3%]]</f>
        <v>85600.268066250006</v>
      </c>
      <c r="AW507" s="93"/>
      <c r="AX507" s="93">
        <f>ППД5[[#This Row],[Фикс 29.08.23]]+ППД5[[#This Row],[Повышение 06.09.23 СТ и 1К]]</f>
        <v>85600.268066250006</v>
      </c>
      <c r="AY507" s="93"/>
      <c r="AZ507" s="93">
        <f>ППД5[[#This Row],[Повышение 23.10.23  В4 ]]+ППД5[[#This Row],[Фикс 06.09.23]]</f>
        <v>85600.268066250006</v>
      </c>
      <c r="BA507" s="93"/>
      <c r="BB507" s="93">
        <f>ППД5[[#This Row],[Повышение 8.11.23 1К 5%]]+ППД5[[#This Row],[Фикс 23.10.23]]</f>
        <v>85600.268066250006</v>
      </c>
      <c r="BC507" s="93"/>
      <c r="BD507" s="93">
        <f>ППД5[[#This Row],[Корректировка 24.11.23 - 1К В5, 2К А2, №233]]+ППД5[[#This Row],[Фикс 8.11.23]]</f>
        <v>85600.268066250006</v>
      </c>
      <c r="BE507" s="93"/>
      <c r="BF507" s="93">
        <f>ППД5[[#This Row],[Наценка за отделку 29.12.23 1%]]+ППД5[[#This Row],[Фикс 8.11.24]]</f>
        <v>85600.268066250006</v>
      </c>
      <c r="BG507" s="93"/>
      <c r="BH507" s="93">
        <f>ППД5[[#This Row],[Фикс 29.12.23]]+ППД5[[#This Row],[Наценка 10.01.24 5%]]</f>
        <v>85600.268066250006</v>
      </c>
      <c r="BI507" s="93"/>
      <c r="BJ507" s="93">
        <f>ППД5[[#This Row],[Наценка 26.02.24 1 Этаж]]+ППД5[[#This Row],[Фикс 10.01.24]]</f>
        <v>85600.268066250006</v>
      </c>
      <c r="BK507" s="93"/>
      <c r="BL507" s="93">
        <f>ППД5[[#This Row],[Фикс 26.02.24]]+ППД5[[#This Row],[Наценка 06.03.24
СТ, 1К - 3%
2К, 3К - 2%]]</f>
        <v>85600.268066250006</v>
      </c>
      <c r="BM507" s="93"/>
      <c r="BN507" s="93">
        <f>ППД5[[#This Row],[Фикс 06.03.24]]+ППД5[[#This Row],[Наценка Г2+500]]</f>
        <v>85600.268066250006</v>
      </c>
      <c r="BO507" s="93"/>
      <c r="BP507" s="93">
        <f>ППД5[[#This Row],[Фикс 13.03.25]]+ППД5[[#This Row],[Наценка 20.03.24
2К, 3К - 2%]]</f>
        <v>85600.268066250006</v>
      </c>
      <c r="BQ507" s="93"/>
      <c r="BR507" s="93">
        <f>ППД5[[#This Row],[Фикс 20.03.24]]+ППД5[[#This Row],[Наценка 08.04.24 
2К: В3 - 150
3К: Г7 +1000]]</f>
        <v>85600.268066250006</v>
      </c>
      <c r="BS507" s="93"/>
      <c r="BT507" s="93">
        <f>ППД5[[#This Row],[Фикс 08.04.24]]+ППД5[[#This Row],[Наценка 16.05.24 1%
А4,А6,Б3,Б6,Б7,В2,В3,В5,В6,Г1,Г3-Г5]]</f>
        <v>85600.268066250006</v>
      </c>
      <c r="BU507" s="93"/>
      <c r="BV507" s="93">
        <f>ППД5[[#This Row],[Фикс 16.05.24]]+ППД5[[#This Row],[Наценка 24.05.24
1% - Б4, Б5,Г2,Г6
2% - А1,А3,А5,Б2,Г7]]</f>
        <v>85600.268066250006</v>
      </c>
      <c r="BW507" s="93"/>
      <c r="BX507" s="93">
        <f>ППД5[[#This Row],[Наценка 06.06.24
0К: В2,Г3 +0,5%
1К: А7, Б5/4, Г6 +0,5%
3К: В6 +0,5%
1К: А3 +1%]]+ППД5[[#This Row],[Фикс 24.05.24]]</f>
        <v>85600.268066250006</v>
      </c>
      <c r="BY507" s="93"/>
      <c r="BZ507" s="93">
        <f>ППД5[[#This Row],[Фикс 06.06.24]]+ППД5[[#This Row],[13.06.2024
3К - 2%]]</f>
        <v>85600.268066250006</v>
      </c>
      <c r="CA507" s="93"/>
      <c r="CB507" s="93">
        <f>ППД5[[#This Row],[02.07.2024: Г3 А1 А3 Б5 Б7 Г2 Г6 Б3 Б4 В3 Г7 2,5% ост 0,5-1,5%]]+ППД5[[#This Row],[Фикс 13.06.24]]</f>
        <v>85600.268066250006</v>
      </c>
      <c r="CC507" s="93"/>
      <c r="CD507" s="93">
        <f>ППД5[[#This Row],[Фикс 02.07.24]]+ППД5[[#This Row],[04.09.2024 +500
0К - Б2; 1К - А3;
2К - А6, Б4, В3, Г5]]</f>
        <v>85600.268066250006</v>
      </c>
      <c r="CE507" s="93"/>
      <c r="CF507" s="93">
        <f>ППД5[[#This Row],[Наценка 16.09.2024
1К: А1,В7,Г6/7,Г8 - 2%
2К: А4,А5,А6,Б1,Б6,Б3/4,В3,В4,Г4,Г5 - 4%
3К: 4%]]+ППД5[[#This Row],[Фикс 04.09.24]]</f>
        <v>85600.268066250006</v>
      </c>
      <c r="CG507" s="93"/>
      <c r="CH507" s="93">
        <f>ППД5[[#This Row],[Фикс 16.09.2024]]+ППД5[[#This Row],[Наценка 01.11.24
СТ: 4%
1К: 34-40м 5%; 40м+ 8%; МГН 1%
2К: 55-70м 6%; 70-73м 7%; 73-76м 8% 
3К: 5%]]</f>
        <v>85600.268066250006</v>
      </c>
      <c r="CI507" s="93"/>
      <c r="CJ507" s="93">
        <f>ППД5[[#This Row],[Наценка 06.11 13%]]+ППД5[[#This Row],[Фикс 01.11.24]]</f>
        <v>85600.268066250006</v>
      </c>
      <c r="CK507" s="93"/>
      <c r="CL507" s="93">
        <f>ППД5[[#This Row],[Фикс 06.11.24]]+ППД5[[#This Row],[Наценка 18.12.24 распределение КВ]]</f>
        <v>85600.268066250006</v>
      </c>
      <c r="CM507" s="93"/>
      <c r="CN507" s="93">
        <f>ППД5[[#This Row],[Фикс 18.12.24]]+ППД5[[#This Row],[Наценка 10.02.25 +1%
1К: А3
2К: Б3, В3]]</f>
        <v>85600.268066250006</v>
      </c>
      <c r="CO507" s="93">
        <f>ROUND(ППД5[[#This Row],[Фикс 10.02.25]],2)</f>
        <v>85600.27</v>
      </c>
      <c r="CP50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4947695.6100000003</v>
      </c>
      <c r="CQ507" s="93">
        <f>ROUNDUP(ППД5[[#This Row],[Стоимость до скидки]]+ППД5[[#This Row],[Сумма доплаты]],-2)</f>
        <v>4939200</v>
      </c>
      <c r="CR507" s="68"/>
      <c r="CS507" s="90">
        <v>0.03</v>
      </c>
      <c r="CT507" s="68">
        <f>ППД5[[#This Row],[Стоимость до скидки]]*ППД5[[#This Row],[Скидка %]]+ППД5[[#This Row],[Скидка фиксированная]]</f>
        <v>148430.8683</v>
      </c>
      <c r="CU507" s="3">
        <f>ППД5[[#This Row],[Стоимость ОН без отделки со скидкой]]/ППД5[[#This Row],[Расчетная проектная площадь]]</f>
        <v>83032.261937716277</v>
      </c>
      <c r="CV507" s="3">
        <f>ROUND(ППД5[[#This Row],[Стоимость до скидки]]-ППД5[[#This Row],[Итоговая сумма скидки]],2)</f>
        <v>4799264.74</v>
      </c>
      <c r="CW50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07" s="197"/>
      <c r="CY507" s="332">
        <f>ППД5[[#This Row],[Расхождение]]/ППД5[[#This Row],[Расчетная проектная площадь]]</f>
        <v>-1.7301038062281526E-3</v>
      </c>
      <c r="CZ50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-8.9999999999996305E-2</v>
      </c>
      <c r="DA507" s="3">
        <f>ППД5[[#This Row],[Цена м2 без отделки со скидкой]]+ППД5[[#This Row],[Стоимость отделки]]</f>
        <v>83032.261937716277</v>
      </c>
      <c r="DB507" s="3">
        <f>ППД5[[#This Row],[Стоимость квартиры с отделкой]]-ППД5[[#This Row],[Стоимость ОН без отделки со скидкой]]</f>
        <v>0</v>
      </c>
      <c r="DC507" s="3">
        <f>ППД5[[#This Row],[Цена м2 с отделкой]]*ППД5[[#This Row],[Расчетная проектная площадь]]</f>
        <v>4799264.74</v>
      </c>
      <c r="DD507" s="3"/>
      <c r="DE507" s="111" t="s">
        <v>167</v>
      </c>
      <c r="DF507" s="199" t="s">
        <v>172</v>
      </c>
      <c r="DG507" s="245" t="s">
        <v>172</v>
      </c>
      <c r="DH507" s="100" t="b">
        <f>EXACT(ППД5[[#This Row],[Статусы CRM]],ППД5[[#This Row],[Статус]])</f>
        <v>1</v>
      </c>
      <c r="DI507" s="213" t="s">
        <v>679</v>
      </c>
      <c r="DJ507" s="204"/>
      <c r="DK507" s="111" t="s">
        <v>76</v>
      </c>
      <c r="DL507" s="216" t="s">
        <v>12</v>
      </c>
      <c r="DM507" s="201" t="b">
        <f>ППД5[[#This Row],[Отделка CRM]]=ППД5[[#This Row],[Отделка]]</f>
        <v>1</v>
      </c>
      <c r="DN507" s="203">
        <v>4799264.74</v>
      </c>
      <c r="DO50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07" s="207" t="b">
        <f>IF(AND(ППД5[[#This Row],[Статус]]="свободно",ППД5[[#This Row],[Итоговая сумма скидки]]&lt;&gt;0),FALSE,TRUE)</f>
        <v>1</v>
      </c>
      <c r="DQ507" s="240">
        <f>_xlfn.XLOOKUP(ППД5[[#This Row],[№]],Юрист[№ кв],Юрист[Дата подачи на регистрацию]," ",0,-1)</f>
        <v>45253</v>
      </c>
      <c r="DR507" s="115" t="str">
        <f>_xlfn.XLOOKUP(ППД5[[#This Row],[№]],Юрист[№ кв],Юрист[МОП],"",0,-1)</f>
        <v>Дик</v>
      </c>
      <c r="DS507" s="333" t="s">
        <v>3306</v>
      </c>
      <c r="DT507" s="333" t="s">
        <v>3307</v>
      </c>
      <c r="DU507" s="333">
        <v>56.2</v>
      </c>
      <c r="DV507" s="111"/>
    </row>
    <row r="508" spans="1:126" hidden="1" x14ac:dyDescent="0.25">
      <c r="A508" s="112">
        <v>506</v>
      </c>
      <c r="B508" s="111" t="s">
        <v>2</v>
      </c>
      <c r="C508" s="111">
        <v>15</v>
      </c>
      <c r="D508" s="115">
        <v>6</v>
      </c>
      <c r="E508" s="111">
        <v>1</v>
      </c>
      <c r="F508" s="105">
        <v>12.71</v>
      </c>
      <c r="G508" s="105"/>
      <c r="H508" s="105"/>
      <c r="I508" s="94">
        <f>SUM(ППД5[[#This Row],[Комната 1]:[Комната 3]])</f>
        <v>12.71</v>
      </c>
      <c r="J508" s="105">
        <v>12.55</v>
      </c>
      <c r="K508" s="105">
        <v>4.28</v>
      </c>
      <c r="L508" s="105"/>
      <c r="M508" s="105"/>
      <c r="N508" s="105">
        <v>7.34</v>
      </c>
      <c r="O508" s="105">
        <v>2.84</v>
      </c>
      <c r="P508" s="105"/>
      <c r="Q508" s="105"/>
      <c r="R508" s="105">
        <f>SUM(ППД5[[#This Row],[Лоджия 1]:[Лоджия 3]])</f>
        <v>2.84</v>
      </c>
      <c r="S508" s="8">
        <f>ROUND(SUM(ППД5[[#This Row],[Площадь по проекту жилая]:[Лоджия 3]]),2)</f>
        <v>39.72</v>
      </c>
      <c r="T508" s="8">
        <f>ROUND(ППД5[[#This Row],[Площадь по проекту(общая)]]-ППД5[[#This Row],[Летние]],2)</f>
        <v>36.880000000000003</v>
      </c>
      <c r="U508" s="91">
        <f>ROUND(ППД5[[#This Row],[Площадь по проекту(общая)]]-(SUM(ППД5[[#This Row],[Лоджия 1]:[Лоджия 3]])/2),2)</f>
        <v>38.299999999999997</v>
      </c>
      <c r="V508" s="91">
        <f>IF(ППД5[[#This Row],[Статус]]="продажа",ППД5[[#This Row],[Расчетная проектная площадь]],ППД5[[#This Row],[Расчетная ТП площадь]])</f>
        <v>38.299999999999997</v>
      </c>
      <c r="W508" s="91">
        <v>12.7</v>
      </c>
      <c r="X508" s="91"/>
      <c r="Y508" s="91"/>
      <c r="Z508" s="91">
        <f>SUM(ППД5[[#This Row],[ТП Комната 1]:[ТП Комната 3]])</f>
        <v>12.7</v>
      </c>
      <c r="AA508" s="91">
        <v>12.6</v>
      </c>
      <c r="AB508" s="91">
        <v>4</v>
      </c>
      <c r="AC508" s="91"/>
      <c r="AD508" s="91"/>
      <c r="AE508" s="91">
        <v>7.2</v>
      </c>
      <c r="AF508" s="91">
        <v>1.4</v>
      </c>
      <c r="AG508" s="91"/>
      <c r="AH508" s="91"/>
      <c r="AI508" s="91">
        <f>SUM(ППД5[[#This Row],[ТП Лоджия 1]:[ТП Лоджия 3]])</f>
        <v>1.4</v>
      </c>
      <c r="AJ508" s="95">
        <v>2.8</v>
      </c>
      <c r="AK508" s="91">
        <f>SUM(ППД5[[#This Row],[Площадь по ТП жилая]:[ТП Лоджия 3]])-ППД5[[#This Row],[ТП Летние]]+ППД5[[#This Row],[кроме того прочая
(без коэффициента)]]</f>
        <v>39.299999999999997</v>
      </c>
      <c r="AL508" s="95">
        <f>ППД5[[#This Row],[ТП Площадь без летних]]+(ППД5[[#This Row],[ТП Летние]])</f>
        <v>37.9</v>
      </c>
      <c r="AM508" s="91">
        <f>ППД5[[#This Row],[ТП общая S]]-ППД5[[#This Row],[кроме того прочая
(без коэффициента)]]</f>
        <v>36.5</v>
      </c>
      <c r="AN508" s="95">
        <f>SUM(ППД5[[#This Row],[ТП Кухня]:[ТП Коридор]])</f>
        <v>23.8</v>
      </c>
      <c r="AO508" s="91">
        <f>ППД5[[#This Row],[Расчетная ТП площадь]]-ППД5[[#This Row],[Расчетная проектная площадь]]</f>
        <v>-0.39999999999999858</v>
      </c>
      <c r="AP508" s="335">
        <f>ППД5[[#This Row],[Расчетная ТП площадь]]/ППД5[[#This Row],[Расчетная проектная площадь]]-1</f>
        <v>-1.0443864229764954E-2</v>
      </c>
      <c r="AQ508" s="91">
        <f>ППД5[[#This Row],[% расхождения]]*ППД5[[#This Row],[Стоимость до скидки]]</f>
        <v>-44560.835509138131</v>
      </c>
      <c r="AR508" s="91">
        <f>VLOOKUP(ППД5[[#This Row],[№]],наценкад5[],COLUMN(наценкад5[[#This Row],[Цена м2 с учетом всех K]]),0)</f>
        <v>87601.5</v>
      </c>
      <c r="AS508" s="8">
        <f>ППД5[[#This Row],[м2 после К]]*5%</f>
        <v>4380.0749999999998</v>
      </c>
      <c r="AT508" s="8">
        <f>ППД5[[#This Row],[м2 после К]]+ППД5[[#This Row],[Повышение 16.08.23 - 5%]]</f>
        <v>91981.574999999997</v>
      </c>
      <c r="AU508" s="93">
        <f>ППД5[[#This Row],[Фикс 16.08.23]]*3%</f>
        <v>2759.4472499999997</v>
      </c>
      <c r="AV508" s="93">
        <f>ППД5[[#This Row],[Фикс 16.08.23]]+ППД5[[#This Row],[Повышение 29.08.23 - 3%]]</f>
        <v>94741.022249999995</v>
      </c>
      <c r="AW508" s="93">
        <f>ППД5[[#This Row],[Фикс 29.08.23]]*1%</f>
        <v>947.41022249999992</v>
      </c>
      <c r="AX508" s="93">
        <f>ППД5[[#This Row],[Фикс 29.08.23]]+ППД5[[#This Row],[Повышение 06.09.23 СТ и 1К]]</f>
        <v>95688.43247249999</v>
      </c>
      <c r="AY508" s="93"/>
      <c r="AZ508" s="93">
        <f>ППД5[[#This Row],[Повышение 23.10.23  В4 ]]+ППД5[[#This Row],[Фикс 06.09.23]]</f>
        <v>95688.43247249999</v>
      </c>
      <c r="BA508" s="93">
        <f>ППД5[[#This Row],[Фикс 23.10.23]]*5%</f>
        <v>4784.4216236249995</v>
      </c>
      <c r="BB508" s="93">
        <f>ППД5[[#This Row],[Повышение 8.11.23 1К 5%]]+ППД5[[#This Row],[Фикс 23.10.23]]</f>
        <v>100472.854096125</v>
      </c>
      <c r="BC508" s="93"/>
      <c r="BD508" s="93">
        <f>ППД5[[#This Row],[Корректировка 24.11.23 - 1К В5, 2К А2, №233]]+ППД5[[#This Row],[Фикс 8.11.23]]</f>
        <v>100472.854096125</v>
      </c>
      <c r="BE508" s="93">
        <f>ППД5[[#This Row],[Фикс 8.11.24]]*1%</f>
        <v>1004.72854096125</v>
      </c>
      <c r="BF508" s="93">
        <f>ППД5[[#This Row],[Наценка за отделку 29.12.23 1%]]+ППД5[[#This Row],[Фикс 8.11.24]]</f>
        <v>101477.58263708625</v>
      </c>
      <c r="BG508" s="93">
        <f>ППД5[[#This Row],[Фикс 29.12.23]]*5%</f>
        <v>5073.8791318543126</v>
      </c>
      <c r="BH508" s="93">
        <f>ППД5[[#This Row],[Фикс 29.12.23]]+ППД5[[#This Row],[Наценка 10.01.24 5%]]</f>
        <v>106551.46176894056</v>
      </c>
      <c r="BI508" s="93"/>
      <c r="BJ508" s="93">
        <f>ППД5[[#This Row],[Наценка 26.02.24 1 Этаж]]+ППД5[[#This Row],[Фикс 10.01.24]]</f>
        <v>106551.46176894056</v>
      </c>
      <c r="BK508" s="93">
        <f>ППД5[[#This Row],[Фикс 26.02.24]]*3%</f>
        <v>3196.5438530682168</v>
      </c>
      <c r="BL508" s="93">
        <f>ППД5[[#This Row],[Фикс 26.02.24]]+ППД5[[#This Row],[Наценка 06.03.24
СТ, 1К - 3%
2К, 3К - 2%]]</f>
        <v>109748.00562200877</v>
      </c>
      <c r="BM508" s="93"/>
      <c r="BN508" s="93">
        <f>ППД5[[#This Row],[Фикс 06.03.24]]+ППД5[[#This Row],[Наценка Г2+500]]</f>
        <v>109748.00562200877</v>
      </c>
      <c r="BO508" s="93"/>
      <c r="BP508" s="93">
        <f>ППД5[[#This Row],[Фикс 13.03.25]]+ППД5[[#This Row],[Наценка 20.03.24
2К, 3К - 2%]]</f>
        <v>109748.00562200877</v>
      </c>
      <c r="BQ508" s="93"/>
      <c r="BR508" s="93">
        <f>ППД5[[#This Row],[Фикс 20.03.24]]+ППД5[[#This Row],[Наценка 08.04.24 
2К: В3 - 150
3К: Г7 +1000]]</f>
        <v>109748.00562200877</v>
      </c>
      <c r="BS508" s="93"/>
      <c r="BT508" s="93">
        <f>ППД5[[#This Row],[Фикс 08.04.24]]+ППД5[[#This Row],[Наценка 16.05.24 1%
А4,А6,Б3,Б6,Б7,В2,В3,В5,В6,Г1,Г3-Г5]]</f>
        <v>109748.00562200877</v>
      </c>
      <c r="BU508" s="93">
        <f>ППД5[[#This Row],[Фикс 16.05.24]]*1%</f>
        <v>1097.4800562200878</v>
      </c>
      <c r="BV508" s="93">
        <f>ППД5[[#This Row],[Фикс 16.05.24]]+ППД5[[#This Row],[Наценка 24.05.24
1% - Б4, Б5,Г2,Г6
2% - А1,А3,А5,Б2,Г7]]</f>
        <v>110845.48567822886</v>
      </c>
      <c r="BW508" s="93">
        <f>ППД5[[#This Row],[Фикс 24.05.24]]*0.5%</f>
        <v>554.22742839114426</v>
      </c>
      <c r="BX508" s="93">
        <f>ППД5[[#This Row],[Наценка 06.06.24
0К: В2,Г3 +0,5%
1К: А7, Б5/4, Г6 +0,5%
3К: В6 +0,5%
1К: А3 +1%]]+ППД5[[#This Row],[Фикс 24.05.24]]</f>
        <v>111399.71310661999</v>
      </c>
      <c r="BY508" s="93"/>
      <c r="BZ508" s="93">
        <f>ППД5[[#This Row],[Фикс 06.06.24]]+ППД5[[#This Row],[13.06.2024
3К - 2%]]</f>
        <v>111399.71310661999</v>
      </c>
      <c r="CA508" s="93"/>
      <c r="CB508" s="93">
        <f>ППД5[[#This Row],[02.07.2024: Г3 А1 А3 Б5 Б7 Г2 Г6 Б3 Б4 В3 Г7 2,5% ост 0,5-1,5%]]+ППД5[[#This Row],[Фикс 13.06.24]]</f>
        <v>111399.71310661999</v>
      </c>
      <c r="CC508" s="93"/>
      <c r="CD508" s="93">
        <f>ППД5[[#This Row],[Фикс 02.07.24]]+ППД5[[#This Row],[04.09.2024 +500
0К - Б2; 1К - А3;
2К - А6, Б4, В3, Г5]]</f>
        <v>111399.71310661999</v>
      </c>
      <c r="CE508" s="93"/>
      <c r="CF508" s="93">
        <f>ППД5[[#This Row],[Наценка 16.09.2024
1К: А1,В7,Г6/7,Г8 - 2%
2К: А4,А5,А6,Б1,Б6,Б3/4,В3,В4,Г4,Г5 - 4%
3К: 4%]]+ППД5[[#This Row],[Фикс 04.09.24]]</f>
        <v>111399.71310661999</v>
      </c>
      <c r="CG508" s="93"/>
      <c r="CH508" s="93">
        <f>ППД5[[#This Row],[Фикс 16.09.2024]]+ППД5[[#This Row],[Наценка 01.11.24
СТ: 4%
1К: 34-40м 5%; 40м+ 8%; МГН 1%
2К: 55-70м 6%; 70-73м 7%; 73-76м 8% 
3К: 5%]]</f>
        <v>111399.71310661999</v>
      </c>
      <c r="CI508" s="93"/>
      <c r="CJ508" s="93">
        <f>ППД5[[#This Row],[Наценка 06.11 13%]]+ППД5[[#This Row],[Фикс 01.11.24]]</f>
        <v>111399.71310661999</v>
      </c>
      <c r="CK508" s="93"/>
      <c r="CL508" s="93">
        <f>ППД5[[#This Row],[Фикс 06.11.24]]+ППД5[[#This Row],[Наценка 18.12.24 распределение КВ]]</f>
        <v>111399.71310661999</v>
      </c>
      <c r="CM508" s="93"/>
      <c r="CN508" s="93">
        <f>ППД5[[#This Row],[Фикс 18.12.24]]+ППД5[[#This Row],[Наценка 10.02.25 +1%
1К: А3
2К: Б3, В3]]</f>
        <v>111399.71310661999</v>
      </c>
      <c r="CO508" s="93">
        <f>ROUND(ППД5[[#This Row],[Фикс 10.02.25]],2)</f>
        <v>111399.71</v>
      </c>
      <c r="CP50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4266700</v>
      </c>
      <c r="CQ508" s="93">
        <f>ROUNDUP(ППД5[[#This Row],[Стоимость до скидки]]+ППД5[[#This Row],[Сумма доплаты]],-2)</f>
        <v>4222200</v>
      </c>
      <c r="CR508" s="68"/>
      <c r="CS508" s="90"/>
      <c r="CT508" s="68">
        <f>ППД5[[#This Row],[Стоимость до скидки]]*ППД5[[#This Row],[Скидка %]]+ППД5[[#This Row],[Скидка фиксированная]]</f>
        <v>0</v>
      </c>
      <c r="CU508" s="3">
        <f>ППД5[[#This Row],[Стоимость ОН без отделки со скидкой]]/ППД5[[#This Row],[Расчетная проектная площадь]]</f>
        <v>111402.08877284596</v>
      </c>
      <c r="CV508" s="3">
        <f>ROUND(ППД5[[#This Row],[Стоимость до скидки]]-ППД5[[#This Row],[Итоговая сумма скидки]],2)</f>
        <v>4266700</v>
      </c>
      <c r="CW50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08" s="197"/>
      <c r="CY508" s="332">
        <f>ППД5[[#This Row],[Расхождение]]/ППД5[[#This Row],[Расчетная проектная площадь]]</f>
        <v>-1.0443864229764977E-2</v>
      </c>
      <c r="CZ50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-0.37000000000000099</v>
      </c>
      <c r="DA508" s="3">
        <f>ППД5[[#This Row],[Цена м2 без отделки со скидкой]]+ППД5[[#This Row],[Стоимость отделки]]</f>
        <v>111402.08877284596</v>
      </c>
      <c r="DB508" s="3">
        <f>ППД5[[#This Row],[Стоимость квартиры с отделкой]]-ППД5[[#This Row],[Стоимость ОН без отделки со скидкой]]</f>
        <v>0</v>
      </c>
      <c r="DC508" s="3">
        <f>ППД5[[#This Row],[Цена м2 с отделкой]]*ППД5[[#This Row],[Расчетная проектная площадь]]</f>
        <v>4266700</v>
      </c>
      <c r="DD508" s="3"/>
      <c r="DF508" s="155" t="s">
        <v>172</v>
      </c>
      <c r="DG508" s="245" t="s">
        <v>172</v>
      </c>
      <c r="DH508" s="100" t="b">
        <f>EXACT(ППД5[[#This Row],[Статусы CRM]],ППД5[[#This Row],[Статус]])</f>
        <v>1</v>
      </c>
      <c r="DI508" s="213" t="s">
        <v>680</v>
      </c>
      <c r="DJ508" s="204"/>
      <c r="DK508" s="111" t="s">
        <v>763</v>
      </c>
      <c r="DL508" s="216" t="s">
        <v>12</v>
      </c>
      <c r="DM508" s="201" t="b">
        <f>ППД5[[#This Row],[Отделка CRM]]=ППД5[[#This Row],[Отделка]]</f>
        <v>1</v>
      </c>
      <c r="DN508" s="203">
        <v>4266700</v>
      </c>
      <c r="DO50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08" s="207" t="b">
        <f>IF(AND(ППД5[[#This Row],[Статус]]="свободно",ППД5[[#This Row],[Итоговая сумма скидки]]&lt;&gt;0),FALSE,TRUE)</f>
        <v>1</v>
      </c>
      <c r="DQ508" s="240">
        <f>_xlfn.XLOOKUP(ППД5[[#This Row],[№]],Юрист[№ кв],Юрист[Дата подачи на регистрацию]," ",0,-1)</f>
        <v>45468</v>
      </c>
      <c r="DR508" s="115" t="str">
        <f>_xlfn.XLOOKUP(ППД5[[#This Row],[№]],Юрист[№ кв],Юрист[МОП],"",0,-1)</f>
        <v>Никишов</v>
      </c>
      <c r="DS508" s="333" t="s">
        <v>3308</v>
      </c>
      <c r="DT508" s="333" t="s">
        <v>3309</v>
      </c>
      <c r="DU508" s="333">
        <v>36.5</v>
      </c>
      <c r="DV508" s="111"/>
    </row>
    <row r="509" spans="1:126" hidden="1" x14ac:dyDescent="0.25">
      <c r="A509" s="112">
        <v>507</v>
      </c>
      <c r="B509" s="111" t="s">
        <v>2</v>
      </c>
      <c r="C509" s="111">
        <v>15</v>
      </c>
      <c r="D509" s="115">
        <v>7</v>
      </c>
      <c r="E509" s="111">
        <v>3</v>
      </c>
      <c r="F509" s="105">
        <v>14.49</v>
      </c>
      <c r="G509" s="105">
        <v>13.98</v>
      </c>
      <c r="H509" s="105">
        <v>11.42</v>
      </c>
      <c r="I509" s="94">
        <f>SUM(ППД5[[#This Row],[Комната 1]:[Комната 3]])</f>
        <v>39.89</v>
      </c>
      <c r="J509" s="105">
        <v>16.670000000000002</v>
      </c>
      <c r="K509" s="105">
        <v>4.1399999999999997</v>
      </c>
      <c r="L509" s="105">
        <v>1.89</v>
      </c>
      <c r="M509" s="105"/>
      <c r="N509" s="105">
        <v>11.31</v>
      </c>
      <c r="O509" s="105">
        <v>2.86</v>
      </c>
      <c r="P509" s="105">
        <v>2.79</v>
      </c>
      <c r="Q509" s="105">
        <v>5.42</v>
      </c>
      <c r="R509" s="105">
        <f>SUM(ППД5[[#This Row],[Лоджия 1]:[Лоджия 3]])</f>
        <v>11.07</v>
      </c>
      <c r="S509" s="8">
        <f>ROUND(SUM(ППД5[[#This Row],[Площадь по проекту жилая]:[Лоджия 3]]),2)</f>
        <v>84.97</v>
      </c>
      <c r="T509" s="8">
        <f>ROUND(ППД5[[#This Row],[Площадь по проекту(общая)]]-ППД5[[#This Row],[Летние]],2)</f>
        <v>73.900000000000006</v>
      </c>
      <c r="U509" s="91">
        <f>ROUND(ППД5[[#This Row],[Площадь по проекту(общая)]]-(SUM(ППД5[[#This Row],[Лоджия 1]:[Лоджия 3]])/2),2)</f>
        <v>79.44</v>
      </c>
      <c r="V509" s="91">
        <f>IF(ППД5[[#This Row],[Статус]]="продажа",ППД5[[#This Row],[Расчетная проектная площадь]],ППД5[[#This Row],[Расчетная ТП площадь]])</f>
        <v>79.44</v>
      </c>
      <c r="W509" s="91">
        <v>11.3</v>
      </c>
      <c r="X509" s="91">
        <v>14.5</v>
      </c>
      <c r="Y509" s="91">
        <v>14</v>
      </c>
      <c r="Z509" s="91">
        <f>SUM(ППД5[[#This Row],[ТП Комната 1]:[ТП Комната 3]])</f>
        <v>39.799999999999997</v>
      </c>
      <c r="AA509" s="91">
        <v>16.399999999999999</v>
      </c>
      <c r="AB509" s="91">
        <v>1.9</v>
      </c>
      <c r="AC509" s="91">
        <v>4.0999999999999996</v>
      </c>
      <c r="AD509" s="91"/>
      <c r="AE509" s="91">
        <v>11.1</v>
      </c>
      <c r="AF509" s="91">
        <v>1.45</v>
      </c>
      <c r="AG509" s="91">
        <v>2.6</v>
      </c>
      <c r="AH509" s="91">
        <v>1.4</v>
      </c>
      <c r="AI509" s="91">
        <f>SUM(ППД5[[#This Row],[ТП Лоджия 1]:[ТП Лоджия 3]])</f>
        <v>5.4499999999999993</v>
      </c>
      <c r="AJ509" s="95">
        <v>10.899999999999999</v>
      </c>
      <c r="AK509" s="91">
        <f>SUM(ППД5[[#This Row],[Площадь по ТП жилая]:[ТП Лоджия 3]])-ППД5[[#This Row],[ТП Летние]]+ППД5[[#This Row],[кроме того прочая
(без коэффициента)]]</f>
        <v>84.199999999999989</v>
      </c>
      <c r="AL509" s="95">
        <f>ППД5[[#This Row],[ТП Площадь без летних]]+(ППД5[[#This Row],[ТП Летние]])</f>
        <v>78.749999999999986</v>
      </c>
      <c r="AM509" s="91">
        <f>ППД5[[#This Row],[ТП общая S]]-ППД5[[#This Row],[кроме того прочая
(без коэффициента)]]</f>
        <v>73.299999999999983</v>
      </c>
      <c r="AN509" s="95">
        <f>SUM(ППД5[[#This Row],[ТП Кухня]:[ТП Коридор]])</f>
        <v>33.5</v>
      </c>
      <c r="AO509" s="91">
        <f>ППД5[[#This Row],[Расчетная ТП площадь]]-ППД5[[#This Row],[Расчетная проектная площадь]]</f>
        <v>-0.69000000000001194</v>
      </c>
      <c r="AP509" s="335">
        <f>ППД5[[#This Row],[Расчетная ТП площадь]]/ППД5[[#This Row],[Расчетная проектная площадь]]-1</f>
        <v>-8.6858006042297431E-3</v>
      </c>
      <c r="AQ509" s="91">
        <f>ППД5[[#This Row],[% расхождения]]*ППД5[[#This Row],[Стоимость до скидки]]</f>
        <v>-69050.377643505606</v>
      </c>
      <c r="AR509" s="91">
        <f>VLOOKUP(ППД5[[#This Row],[№]],наценкад5[],COLUMN(наценкад5[[#This Row],[Цена м2 с учетом всех K]]),0)</f>
        <v>77803.110000000015</v>
      </c>
      <c r="AS509" s="8">
        <f>ППД5[[#This Row],[м2 после К]]*5%</f>
        <v>3890.1555000000008</v>
      </c>
      <c r="AT509" s="8">
        <f>ППД5[[#This Row],[м2 после К]]+ППД5[[#This Row],[Повышение 16.08.23 - 5%]]</f>
        <v>81693.265500000009</v>
      </c>
      <c r="AU509" s="93">
        <f>ППД5[[#This Row],[Фикс 16.08.23]]*3%</f>
        <v>2450.7979650000002</v>
      </c>
      <c r="AV509" s="93">
        <f>ППД5[[#This Row],[Фикс 16.08.23]]+ППД5[[#This Row],[Повышение 29.08.23 - 3%]]</f>
        <v>84144.063465000014</v>
      </c>
      <c r="AW509" s="93"/>
      <c r="AX509" s="93">
        <f>ППД5[[#This Row],[Фикс 29.08.23]]+ППД5[[#This Row],[Повышение 06.09.23 СТ и 1К]]</f>
        <v>84144.063465000014</v>
      </c>
      <c r="AY509" s="93"/>
      <c r="AZ509" s="93">
        <f>ППД5[[#This Row],[Повышение 23.10.23  В4 ]]+ППД5[[#This Row],[Фикс 06.09.23]]</f>
        <v>84144.063465000014</v>
      </c>
      <c r="BA509" s="93"/>
      <c r="BB509" s="93">
        <f>ППД5[[#This Row],[Повышение 8.11.23 1К 5%]]+ППД5[[#This Row],[Фикс 23.10.23]]</f>
        <v>84144.063465000014</v>
      </c>
      <c r="BC509" s="93"/>
      <c r="BD509" s="93">
        <f>ППД5[[#This Row],[Корректировка 24.11.23 - 1К В5, 2К А2, №233]]+ППД5[[#This Row],[Фикс 8.11.23]]</f>
        <v>84144.063465000014</v>
      </c>
      <c r="BE509" s="93">
        <f>ППД5[[#This Row],[Фикс 8.11.24]]*1%</f>
        <v>841.44063465000011</v>
      </c>
      <c r="BF509" s="93">
        <f>ППД5[[#This Row],[Наценка за отделку 29.12.23 1%]]+ППД5[[#This Row],[Фикс 8.11.24]]</f>
        <v>84985.504099650017</v>
      </c>
      <c r="BG509" s="93">
        <f>ППД5[[#This Row],[Фикс 29.12.23]]*5%</f>
        <v>4249.2752049825012</v>
      </c>
      <c r="BH509" s="93">
        <f>ППД5[[#This Row],[Фикс 29.12.23]]+ППД5[[#This Row],[Наценка 10.01.24 5%]]</f>
        <v>89234.779304632524</v>
      </c>
      <c r="BI509" s="93"/>
      <c r="BJ509" s="93">
        <f>ППД5[[#This Row],[Наценка 26.02.24 1 Этаж]]+ППД5[[#This Row],[Фикс 10.01.24]]</f>
        <v>89234.779304632524</v>
      </c>
      <c r="BK509" s="93">
        <f>ППД5[[#This Row],[Фикс 26.02.24]]*2%</f>
        <v>1784.6955860926505</v>
      </c>
      <c r="BL509" s="93">
        <f>ППД5[[#This Row],[Фикс 26.02.24]]+ППД5[[#This Row],[Наценка 06.03.24
СТ, 1К - 3%
2К, 3К - 2%]]</f>
        <v>91019.474890725178</v>
      </c>
      <c r="BM509" s="93"/>
      <c r="BN509" s="93">
        <f>ППД5[[#This Row],[Фикс 06.03.24]]+ППД5[[#This Row],[Наценка Г2+500]]</f>
        <v>91019.474890725178</v>
      </c>
      <c r="BO509" s="93">
        <f>ППД5[[#This Row],[Фикс 13.03.25]]*2%</f>
        <v>1820.3894978145036</v>
      </c>
      <c r="BP509" s="93">
        <f>ППД5[[#This Row],[Фикс 13.03.25]]+ППД5[[#This Row],[Наценка 20.03.24
2К, 3К - 2%]]</f>
        <v>92839.864388539689</v>
      </c>
      <c r="BQ509" s="93">
        <v>1000</v>
      </c>
      <c r="BR509" s="93">
        <f>ППД5[[#This Row],[Фикс 20.03.24]]+ППД5[[#This Row],[Наценка 08.04.24 
2К: В3 - 150
3К: Г7 +1000]]</f>
        <v>93839.864388539689</v>
      </c>
      <c r="BS509" s="93"/>
      <c r="BT509" s="93">
        <f>ППД5[[#This Row],[Фикс 08.04.24]]+ППД5[[#This Row],[Наценка 16.05.24 1%
А4,А6,Б3,Б6,Б7,В2,В3,В5,В6,Г1,Г3-Г5]]</f>
        <v>93839.864388539689</v>
      </c>
      <c r="BU509" s="93">
        <f>ППД5[[#This Row],[Фикс 16.05.24]]*2%</f>
        <v>1876.7972877707939</v>
      </c>
      <c r="BV509" s="93">
        <f>ППД5[[#This Row],[Фикс 16.05.24]]+ППД5[[#This Row],[Наценка 24.05.24
1% - Б4, Б5,Г2,Г6
2% - А1,А3,А5,Б2,Г7]]</f>
        <v>95716.661676310483</v>
      </c>
      <c r="BW509" s="93"/>
      <c r="BX509" s="93">
        <f>ППД5[[#This Row],[Наценка 06.06.24
0К: В2,Г3 +0,5%
1К: А7, Б5/4, Г6 +0,5%
3К: В6 +0,5%
1К: А3 +1%]]+ППД5[[#This Row],[Фикс 24.05.24]]</f>
        <v>95716.661676310483</v>
      </c>
      <c r="BY509" s="93">
        <f>ППД5[[#This Row],[Фикс 06.06.24]]*2%</f>
        <v>1914.3332335262096</v>
      </c>
      <c r="BZ509" s="93">
        <f>ППД5[[#This Row],[Фикс 06.06.24]]+ППД5[[#This Row],[13.06.2024
3К - 2%]]</f>
        <v>97630.994909836692</v>
      </c>
      <c r="CA509" s="93">
        <f>2.5%*ППД5[[#This Row],[Фикс 13.06.24]]</f>
        <v>2440.7748727459175</v>
      </c>
      <c r="CB509" s="93">
        <f>ППД5[[#This Row],[02.07.2024: Г3 А1 А3 Б5 Б7 Г2 Г6 Б3 Б4 В3 Г7 2,5% ост 0,5-1,5%]]+ППД5[[#This Row],[Фикс 13.06.24]]</f>
        <v>100071.7697825826</v>
      </c>
      <c r="CC509" s="93"/>
      <c r="CD509" s="93">
        <f>ППД5[[#This Row],[Фикс 02.07.24]]+ППД5[[#This Row],[04.09.2024 +500
0К - Б2; 1К - А3;
2К - А6, Б4, В3, Г5]]</f>
        <v>100071.7697825826</v>
      </c>
      <c r="CE509" s="93"/>
      <c r="CF509" s="93">
        <f>ППД5[[#This Row],[Наценка 16.09.2024
1К: А1,В7,Г6/7,Г8 - 2%
2К: А4,А5,А6,Б1,Б6,Б3/4,В3,В4,Г4,Г5 - 4%
3К: 4%]]+ППД5[[#This Row],[Фикс 04.09.24]]</f>
        <v>100071.7697825826</v>
      </c>
      <c r="CG509" s="93"/>
      <c r="CH509" s="93">
        <f>ППД5[[#This Row],[Фикс 16.09.2024]]+ППД5[[#This Row],[Наценка 01.11.24
СТ: 4%
1К: 34-40м 5%; 40м+ 8%; МГН 1%
2К: 55-70м 6%; 70-73м 7%; 73-76м 8% 
3К: 5%]]</f>
        <v>100071.7697825826</v>
      </c>
      <c r="CI509" s="93"/>
      <c r="CJ509" s="93">
        <f>ППД5[[#This Row],[Наценка 06.11 13%]]+ППД5[[#This Row],[Фикс 01.11.24]]</f>
        <v>100071.7697825826</v>
      </c>
      <c r="CK509" s="93"/>
      <c r="CL509" s="93">
        <f>ППД5[[#This Row],[Фикс 06.11.24]]+ППД5[[#This Row],[Наценка 18.12.24 распределение КВ]]</f>
        <v>100071.7697825826</v>
      </c>
      <c r="CM509" s="93"/>
      <c r="CN509" s="93">
        <f>ППД5[[#This Row],[Фикс 18.12.24]]+ППД5[[#This Row],[Наценка 10.02.25 +1%
1К: А3
2К: Б3, В3]]</f>
        <v>100071.7697825826</v>
      </c>
      <c r="CO509" s="93">
        <f>ROUND(ППД5[[#This Row],[Фикс 10.02.25]],2)</f>
        <v>100071.77</v>
      </c>
      <c r="CP50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7949800</v>
      </c>
      <c r="CQ509" s="93">
        <f>ROUNDUP(ППД5[[#This Row],[Стоимость до скидки]]+ППД5[[#This Row],[Сумма доплаты]],-2)</f>
        <v>7880800</v>
      </c>
      <c r="CR509" s="68"/>
      <c r="CS509" s="90"/>
      <c r="CT509" s="68">
        <f>ППД5[[#This Row],[Стоимость до скидки]]*ППД5[[#This Row],[Скидка %]]+ППД5[[#This Row],[Скидка фиксированная]]</f>
        <v>0</v>
      </c>
      <c r="CU509" s="3">
        <f>ППД5[[#This Row],[Стоимость ОН без отделки со скидкой]]/ППД5[[#This Row],[Расчетная проектная площадь]]</f>
        <v>100073.0110775428</v>
      </c>
      <c r="CV509" s="3">
        <f>ROUND(ППД5[[#This Row],[Стоимость до скидки]]-ППД5[[#This Row],[Итоговая сумма скидки]],2)</f>
        <v>7949800</v>
      </c>
      <c r="CW50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509" s="197">
        <v>20000</v>
      </c>
      <c r="CY509" s="332">
        <f>ППД5[[#This Row],[Расхождение]]/ППД5[[#This Row],[Расчетная проектная площадь]]</f>
        <v>-8.685800604229757E-3</v>
      </c>
      <c r="CZ50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-0.51000000000000512</v>
      </c>
      <c r="DA509" s="3">
        <f>ППД5[[#This Row],[Цена м2 без отделки со скидкой]]+ППД5[[#This Row],[Стоимость отделки]]</f>
        <v>120073.0110775428</v>
      </c>
      <c r="DB509" s="3">
        <f>ППД5[[#This Row],[Стоимость квартиры с отделкой]]-ППД5[[#This Row],[Стоимость ОН без отделки со скидкой]]</f>
        <v>1588800</v>
      </c>
      <c r="DC509" s="3">
        <f>ППД5[[#This Row],[Цена м2 с отделкой]]*ППД5[[#This Row],[Расчетная проектная площадь]]</f>
        <v>9538600</v>
      </c>
      <c r="DD509" s="3" t="s">
        <v>155</v>
      </c>
      <c r="DF509" s="155" t="s">
        <v>172</v>
      </c>
      <c r="DG509" s="245" t="s">
        <v>172</v>
      </c>
      <c r="DH509" s="100" t="b">
        <f>EXACT(ППД5[[#This Row],[Статусы CRM]],ППД5[[#This Row],[Статус]])</f>
        <v>1</v>
      </c>
      <c r="DI509" s="213" t="s">
        <v>681</v>
      </c>
      <c r="DJ509" s="204"/>
      <c r="DK509" s="111" t="s">
        <v>763</v>
      </c>
      <c r="DL509" s="216" t="s">
        <v>14</v>
      </c>
      <c r="DM509" s="201" t="b">
        <f>ППД5[[#This Row],[Отделка CRM]]=ППД5[[#This Row],[Отделка]]</f>
        <v>1</v>
      </c>
      <c r="DN509" s="203">
        <v>9538600</v>
      </c>
      <c r="DO50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09" s="207" t="b">
        <f>IF(AND(ППД5[[#This Row],[Статус]]="свободно",ППД5[[#This Row],[Итоговая сумма скидки]]&lt;&gt;0),FALSE,TRUE)</f>
        <v>1</v>
      </c>
      <c r="DQ509" s="240">
        <f>_xlfn.XLOOKUP(ППД5[[#This Row],[№]],Юрист[№ кв],Юрист[Дата подачи на регистрацию]," ",0,-1)</f>
        <v>45534</v>
      </c>
      <c r="DR509" s="115" t="str">
        <f>_xlfn.XLOOKUP(ППД5[[#This Row],[№]],Юрист[№ кв],Юрист[МОП],"",0,-1)</f>
        <v>Дик</v>
      </c>
      <c r="DS509" s="333" t="s">
        <v>3310</v>
      </c>
      <c r="DT509" s="333" t="s">
        <v>3311</v>
      </c>
      <c r="DU509" s="333">
        <v>73.3</v>
      </c>
      <c r="DV509" s="111"/>
    </row>
    <row r="510" spans="1:126" hidden="1" x14ac:dyDescent="0.25">
      <c r="A510" s="112">
        <v>508</v>
      </c>
      <c r="B510" s="111" t="s">
        <v>2</v>
      </c>
      <c r="C510" s="111">
        <v>15</v>
      </c>
      <c r="D510" s="115">
        <v>8</v>
      </c>
      <c r="E510" s="111">
        <v>1</v>
      </c>
      <c r="F510" s="105">
        <v>16.79</v>
      </c>
      <c r="G510" s="105"/>
      <c r="H510" s="105"/>
      <c r="I510" s="94">
        <f>SUM(ППД5[[#This Row],[Комната 1]:[Комната 3]])</f>
        <v>16.79</v>
      </c>
      <c r="J510" s="105">
        <v>11.43</v>
      </c>
      <c r="K510" s="105">
        <v>3.56</v>
      </c>
      <c r="L510" s="105"/>
      <c r="M510" s="105"/>
      <c r="N510" s="105">
        <v>6.66</v>
      </c>
      <c r="O510" s="105">
        <v>2.4900000000000002</v>
      </c>
      <c r="P510" s="105"/>
      <c r="Q510" s="105"/>
      <c r="R510" s="105">
        <f>SUM(ППД5[[#This Row],[Лоджия 1]:[Лоджия 3]])</f>
        <v>2.4900000000000002</v>
      </c>
      <c r="S510" s="8">
        <f>ROUND(SUM(ППД5[[#This Row],[Площадь по проекту жилая]:[Лоджия 3]]),2)</f>
        <v>40.93</v>
      </c>
      <c r="T510" s="8">
        <f>ROUND(ППД5[[#This Row],[Площадь по проекту(общая)]]-ППД5[[#This Row],[Летние]],2)</f>
        <v>38.44</v>
      </c>
      <c r="U510" s="91">
        <f>ROUND(ППД5[[#This Row],[Площадь по проекту(общая)]]-(SUM(ППД5[[#This Row],[Лоджия 1]:[Лоджия 3]])/2),2)</f>
        <v>39.69</v>
      </c>
      <c r="V510" s="91">
        <f>IF(ППД5[[#This Row],[Статус]]="продажа",ППД5[[#This Row],[Расчетная проектная площадь]],ППД5[[#This Row],[Расчетная ТП площадь]])</f>
        <v>39.69</v>
      </c>
      <c r="W510" s="91">
        <v>16.8</v>
      </c>
      <c r="X510" s="91"/>
      <c r="Y510" s="91"/>
      <c r="Z510" s="91">
        <f>SUM(ППД5[[#This Row],[ТП Комната 1]:[ТП Комната 3]])</f>
        <v>16.8</v>
      </c>
      <c r="AA510" s="91">
        <v>11.2</v>
      </c>
      <c r="AB510" s="91">
        <v>3.5</v>
      </c>
      <c r="AC510" s="91"/>
      <c r="AD510" s="91"/>
      <c r="AE510" s="91">
        <v>6.6</v>
      </c>
      <c r="AF510" s="92">
        <v>1.25</v>
      </c>
      <c r="AG510" s="91"/>
      <c r="AH510" s="91"/>
      <c r="AI510" s="91">
        <f>SUM(ППД5[[#This Row],[ТП Лоджия 1]:[ТП Лоджия 3]])</f>
        <v>1.25</v>
      </c>
      <c r="AJ510" s="95">
        <v>2.5</v>
      </c>
      <c r="AK510" s="91">
        <f>SUM(ППД5[[#This Row],[Площадь по ТП жилая]:[ТП Лоджия 3]])-ППД5[[#This Row],[ТП Летние]]+ППД5[[#This Row],[кроме того прочая
(без коэффициента)]]</f>
        <v>40.6</v>
      </c>
      <c r="AL510" s="95">
        <f>ППД5[[#This Row],[ТП Площадь без летних]]+(ППД5[[#This Row],[ТП Летние]])</f>
        <v>39.35</v>
      </c>
      <c r="AM510" s="91">
        <f>ППД5[[#This Row],[ТП общая S]]-ППД5[[#This Row],[кроме того прочая
(без коэффициента)]]</f>
        <v>38.1</v>
      </c>
      <c r="AN510" s="95">
        <f>SUM(ППД5[[#This Row],[ТП Кухня]:[ТП Коридор]])</f>
        <v>21.299999999999997</v>
      </c>
      <c r="AO510" s="91">
        <f>ППД5[[#This Row],[Расчетная ТП площадь]]-ППД5[[#This Row],[Расчетная проектная площадь]]</f>
        <v>-0.33999999999999631</v>
      </c>
      <c r="AP510" s="335">
        <f>ППД5[[#This Row],[Расчетная ТП площадь]]/ППД5[[#This Row],[Расчетная проектная площадь]]-1</f>
        <v>-8.5663895187704231E-3</v>
      </c>
      <c r="AQ510" s="91">
        <f>ППД5[[#This Row],[% расхождения]]*ППД5[[#This Row],[Стоимость до скидки]]</f>
        <v>-31764.557823129075</v>
      </c>
      <c r="AR510" s="91">
        <f>VLOOKUP(ППД5[[#This Row],[№]],наценкад5[],COLUMN(наценкад5[[#This Row],[Цена м2 с учетом всех K]]),0)</f>
        <v>86384.8125</v>
      </c>
      <c r="AS510" s="8">
        <f>ППД5[[#This Row],[м2 после К]]*5%</f>
        <v>4319.2406250000004</v>
      </c>
      <c r="AT510" s="8">
        <f>ППД5[[#This Row],[м2 после К]]+ППД5[[#This Row],[Повышение 16.08.23 - 5%]]</f>
        <v>90704.053125000006</v>
      </c>
      <c r="AU510" s="93">
        <f>ППД5[[#This Row],[Фикс 16.08.23]]*3%</f>
        <v>2721.1215937500001</v>
      </c>
      <c r="AV510" s="93">
        <f>ППД5[[#This Row],[Фикс 16.08.23]]+ППД5[[#This Row],[Повышение 29.08.23 - 3%]]</f>
        <v>93425.17471875</v>
      </c>
      <c r="AW510" s="93"/>
      <c r="AX510" s="93">
        <f>ППД5[[#This Row],[Фикс 29.08.23]]+ППД5[[#This Row],[Повышение 06.09.23 СТ и 1К]]</f>
        <v>93425.17471875</v>
      </c>
      <c r="AY510" s="93"/>
      <c r="AZ510" s="93">
        <f>ППД5[[#This Row],[Повышение 23.10.23  В4 ]]+ППД5[[#This Row],[Фикс 06.09.23]]</f>
        <v>93425.17471875</v>
      </c>
      <c r="BA510" s="93"/>
      <c r="BB510" s="93">
        <f>ППД5[[#This Row],[Повышение 8.11.23 1К 5%]]+ППД5[[#This Row],[Фикс 23.10.23]]</f>
        <v>93425.17471875</v>
      </c>
      <c r="BC510" s="93"/>
      <c r="BD510" s="93">
        <f>ППД5[[#This Row],[Корректировка 24.11.23 - 1К В5, 2К А2, №233]]+ППД5[[#This Row],[Фикс 8.11.23]]</f>
        <v>93425.17471875</v>
      </c>
      <c r="BE510" s="93"/>
      <c r="BF510" s="93">
        <f>ППД5[[#This Row],[Наценка за отделку 29.12.23 1%]]+ППД5[[#This Row],[Фикс 8.11.24]]</f>
        <v>93425.17471875</v>
      </c>
      <c r="BG510" s="93"/>
      <c r="BH510" s="93">
        <f>ППД5[[#This Row],[Фикс 29.12.23]]+ППД5[[#This Row],[Наценка 10.01.24 5%]]</f>
        <v>93425.17471875</v>
      </c>
      <c r="BI510" s="93"/>
      <c r="BJ510" s="93">
        <f>ППД5[[#This Row],[Наценка 26.02.24 1 Этаж]]+ППД5[[#This Row],[Фикс 10.01.24]]</f>
        <v>93425.17471875</v>
      </c>
      <c r="BK510" s="93"/>
      <c r="BL510" s="93">
        <f>ППД5[[#This Row],[Фикс 26.02.24]]+ППД5[[#This Row],[Наценка 06.03.24
СТ, 1К - 3%
2К, 3К - 2%]]</f>
        <v>93425.17471875</v>
      </c>
      <c r="BM510" s="93"/>
      <c r="BN510" s="93">
        <f>ППД5[[#This Row],[Фикс 06.03.24]]+ППД5[[#This Row],[Наценка Г2+500]]</f>
        <v>93425.17471875</v>
      </c>
      <c r="BO510" s="93"/>
      <c r="BP510" s="93">
        <f>ППД5[[#This Row],[Фикс 13.03.25]]+ППД5[[#This Row],[Наценка 20.03.24
2К, 3К - 2%]]</f>
        <v>93425.17471875</v>
      </c>
      <c r="BQ510" s="93"/>
      <c r="BR510" s="93">
        <f>ППД5[[#This Row],[Фикс 20.03.24]]+ППД5[[#This Row],[Наценка 08.04.24 
2К: В3 - 150
3К: Г7 +1000]]</f>
        <v>93425.17471875</v>
      </c>
      <c r="BS510" s="93"/>
      <c r="BT510" s="93">
        <f>ППД5[[#This Row],[Фикс 08.04.24]]+ППД5[[#This Row],[Наценка 16.05.24 1%
А4,А6,Б3,Б6,Б7,В2,В3,В5,В6,Г1,Г3-Г5]]</f>
        <v>93425.17471875</v>
      </c>
      <c r="BU510" s="93"/>
      <c r="BV510" s="93">
        <f>ППД5[[#This Row],[Фикс 16.05.24]]+ППД5[[#This Row],[Наценка 24.05.24
1% - Б4, Б5,Г2,Г6
2% - А1,А3,А5,Б2,Г7]]</f>
        <v>93425.17471875</v>
      </c>
      <c r="BW510" s="93"/>
      <c r="BX510" s="93">
        <f>ППД5[[#This Row],[Наценка 06.06.24
0К: В2,Г3 +0,5%
1К: А7, Б5/4, Г6 +0,5%
3К: В6 +0,5%
1К: А3 +1%]]+ППД5[[#This Row],[Фикс 24.05.24]]</f>
        <v>93425.17471875</v>
      </c>
      <c r="BY510" s="93"/>
      <c r="BZ510" s="93">
        <f>ППД5[[#This Row],[Фикс 06.06.24]]+ППД5[[#This Row],[13.06.2024
3К - 2%]]</f>
        <v>93425.17471875</v>
      </c>
      <c r="CA510" s="93"/>
      <c r="CB510" s="93">
        <f>ППД5[[#This Row],[02.07.2024: Г3 А1 А3 Б5 Б7 Г2 Г6 Б3 Б4 В3 Г7 2,5% ост 0,5-1,5%]]+ППД5[[#This Row],[Фикс 13.06.24]]</f>
        <v>93425.17471875</v>
      </c>
      <c r="CC510" s="93"/>
      <c r="CD510" s="93">
        <f>ППД5[[#This Row],[Фикс 02.07.24]]+ППД5[[#This Row],[04.09.2024 +500
0К - Б2; 1К - А3;
2К - А6, Б4, В3, Г5]]</f>
        <v>93425.17471875</v>
      </c>
      <c r="CE510" s="93"/>
      <c r="CF510" s="93">
        <f>ППД5[[#This Row],[Наценка 16.09.2024
1К: А1,В7,Г6/7,Г8 - 2%
2К: А4,А5,А6,Б1,Б6,Б3/4,В3,В4,Г4,Г5 - 4%
3К: 4%]]+ППД5[[#This Row],[Фикс 04.09.24]]</f>
        <v>93425.17471875</v>
      </c>
      <c r="CG510" s="93"/>
      <c r="CH510" s="93">
        <f>ППД5[[#This Row],[Фикс 16.09.2024]]+ППД5[[#This Row],[Наценка 01.11.24
СТ: 4%
1К: 34-40м 5%; 40м+ 8%; МГН 1%
2К: 55-70м 6%; 70-73м 7%; 73-76м 8% 
3К: 5%]]</f>
        <v>93425.17471875</v>
      </c>
      <c r="CI510" s="93"/>
      <c r="CJ510" s="93">
        <f>ППД5[[#This Row],[Наценка 06.11 13%]]+ППД5[[#This Row],[Фикс 01.11.24]]</f>
        <v>93425.17471875</v>
      </c>
      <c r="CK510" s="93"/>
      <c r="CL510" s="93">
        <f>ППД5[[#This Row],[Фикс 06.11.24]]+ППД5[[#This Row],[Наценка 18.12.24 распределение КВ]]</f>
        <v>93425.17471875</v>
      </c>
      <c r="CM510" s="93"/>
      <c r="CN510" s="93">
        <f>ППД5[[#This Row],[Фикс 18.12.24]]+ППД5[[#This Row],[Наценка 10.02.25 +1%
1К: А3
2К: Б3, В3]]</f>
        <v>93425.17471875</v>
      </c>
      <c r="CO510" s="93">
        <f>ROUND(ППД5[[#This Row],[Фикс 10.02.25]],2)</f>
        <v>93425.17</v>
      </c>
      <c r="CP51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3708045</v>
      </c>
      <c r="CQ510" s="93">
        <f>ROUNDUP(ППД5[[#This Row],[Стоимость до скидки]]+ППД5[[#This Row],[Сумма доплаты]],-2)</f>
        <v>3676300</v>
      </c>
      <c r="CR510" s="68"/>
      <c r="CS510" s="90"/>
      <c r="CT510" s="68">
        <f>ППД5[[#This Row],[Стоимость до скидки]]*ППД5[[#This Row],[Скидка %]]+ППД5[[#This Row],[Скидка фиксированная]]</f>
        <v>0</v>
      </c>
      <c r="CU510" s="3">
        <f>ППД5[[#This Row],[Стоимость ОН без отделки со скидкой]]/ППД5[[#This Row],[Расчетная проектная площадь]]</f>
        <v>93425.170068027219</v>
      </c>
      <c r="CV510" s="3">
        <f>ROUND(ППД5[[#This Row],[Стоимость до скидки]]-ППД5[[#This Row],[Итоговая сумма скидки]],2)</f>
        <v>3708045</v>
      </c>
      <c r="CW51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510" s="197">
        <v>16000</v>
      </c>
      <c r="CY510" s="332">
        <f>ППД5[[#This Row],[Расхождение]]/ППД5[[#This Row],[Расчетная проектная площадь]]</f>
        <v>-8.566389518770378E-3</v>
      </c>
      <c r="CZ51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-0.3500000000000032</v>
      </c>
      <c r="DA510" s="3">
        <f>ППД5[[#This Row],[Цена м2 без отделки со скидкой]]+ППД5[[#This Row],[Стоимость отделки]]</f>
        <v>109425.17006802722</v>
      </c>
      <c r="DB510" s="3">
        <f>ППД5[[#This Row],[Стоимость квартиры с отделкой]]-ППД5[[#This Row],[Стоимость ОН без отделки со скидкой]]</f>
        <v>635040</v>
      </c>
      <c r="DC510" s="3">
        <f>ППД5[[#This Row],[Цена м2 с отделкой]]*ППД5[[#This Row],[Расчетная проектная площадь]]</f>
        <v>4343085</v>
      </c>
      <c r="DD510" s="3"/>
      <c r="DF510" s="199" t="s">
        <v>172</v>
      </c>
      <c r="DG510" s="245" t="s">
        <v>172</v>
      </c>
      <c r="DH510" s="100" t="b">
        <f>EXACT(ППД5[[#This Row],[Статусы CRM]],ППД5[[#This Row],[Статус]])</f>
        <v>1</v>
      </c>
      <c r="DI510" s="213" t="s">
        <v>682</v>
      </c>
      <c r="DJ510" s="204"/>
      <c r="DK510" s="111" t="s">
        <v>76</v>
      </c>
      <c r="DL510" s="216" t="s">
        <v>14</v>
      </c>
      <c r="DM510" s="201" t="b">
        <f>ППД5[[#This Row],[Отделка CRM]]=ППД5[[#This Row],[Отделка]]</f>
        <v>1</v>
      </c>
      <c r="DN510" s="203">
        <v>4343085</v>
      </c>
      <c r="DO51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10" s="207" t="b">
        <f>IF(AND(ППД5[[#This Row],[Статус]]="свободно",ППД5[[#This Row],[Итоговая сумма скидки]]&lt;&gt;0),FALSE,TRUE)</f>
        <v>1</v>
      </c>
      <c r="DQ510" s="240">
        <f>_xlfn.XLOOKUP(ППД5[[#This Row],[№]],Юрист[№ кв],Юрист[Дата подачи на регистрацию]," ",0,-1)</f>
        <v>45188</v>
      </c>
      <c r="DR510" s="115" t="str">
        <f>_xlfn.XLOOKUP(ППД5[[#This Row],[№]],Юрист[№ кв],Юрист[МОП],"",0,-1)</f>
        <v>Кофанова</v>
      </c>
      <c r="DS510" s="333" t="s">
        <v>3312</v>
      </c>
      <c r="DT510" s="333" t="s">
        <v>3313</v>
      </c>
      <c r="DU510" s="333">
        <v>38.1</v>
      </c>
      <c r="DV510" s="111"/>
    </row>
    <row r="511" spans="1:126" hidden="1" x14ac:dyDescent="0.25">
      <c r="A511" s="112">
        <v>509</v>
      </c>
      <c r="B511" s="111" t="s">
        <v>2</v>
      </c>
      <c r="C511" s="111">
        <v>16</v>
      </c>
      <c r="D511" s="338">
        <v>1</v>
      </c>
      <c r="E511" s="111">
        <v>0</v>
      </c>
      <c r="F511" s="105">
        <v>13.74</v>
      </c>
      <c r="G511" s="105"/>
      <c r="H511" s="105"/>
      <c r="I511" s="94">
        <f>SUM(ППД5[[#This Row],[Комната 1]:[Комната 3]])</f>
        <v>13.74</v>
      </c>
      <c r="J511" s="105">
        <v>5.84</v>
      </c>
      <c r="K511" s="105">
        <v>3.76</v>
      </c>
      <c r="L511" s="105"/>
      <c r="M511" s="105"/>
      <c r="N511" s="105">
        <v>3.73</v>
      </c>
      <c r="O511" s="105">
        <v>4.6500000000000004</v>
      </c>
      <c r="P511" s="105"/>
      <c r="Q511" s="105"/>
      <c r="R511" s="105">
        <f>SUM(ППД5[[#This Row],[Лоджия 1]:[Лоджия 3]])</f>
        <v>4.6500000000000004</v>
      </c>
      <c r="S511" s="8">
        <f>ROUND(SUM(ППД5[[#This Row],[Площадь по проекту жилая]:[Лоджия 3]]),2)</f>
        <v>31.72</v>
      </c>
      <c r="T511" s="8">
        <f>ROUND(ППД5[[#This Row],[Площадь по проекту(общая)]]-ППД5[[#This Row],[Летние]],2)</f>
        <v>27.07</v>
      </c>
      <c r="U511" s="91">
        <f>ROUND(ППД5[[#This Row],[Площадь по проекту(общая)]]-(SUM(ППД5[[#This Row],[Лоджия 1]:[Лоджия 3]])/2),2)</f>
        <v>29.4</v>
      </c>
      <c r="V511" s="91">
        <f>IF(ППД5[[#This Row],[Статус]]="продажа",ППД5[[#This Row],[Расчетная проектная площадь]],ППД5[[#This Row],[Расчетная ТП площадь]])</f>
        <v>29.4</v>
      </c>
      <c r="W511" s="91">
        <v>13.7</v>
      </c>
      <c r="X511" s="91"/>
      <c r="Y511" s="91"/>
      <c r="Z511" s="91">
        <f>SUM(ППД5[[#This Row],[ТП Комната 1]:[ТП Комната 3]])</f>
        <v>13.7</v>
      </c>
      <c r="AA511" s="91">
        <v>5.8</v>
      </c>
      <c r="AB511" s="91">
        <v>3.7</v>
      </c>
      <c r="AC511" s="91"/>
      <c r="AD511" s="91"/>
      <c r="AE511" s="91">
        <v>3.8</v>
      </c>
      <c r="AF511" s="91">
        <v>2.2999999999999998</v>
      </c>
      <c r="AG511" s="91"/>
      <c r="AH511" s="91"/>
      <c r="AI511" s="91">
        <f>SUM(ППД5[[#This Row],[ТП Лоджия 1]:[ТП Лоджия 3]])</f>
        <v>2.2999999999999998</v>
      </c>
      <c r="AJ511" s="95">
        <v>4.5999999999999996</v>
      </c>
      <c r="AK511" s="91">
        <f>SUM(ППД5[[#This Row],[Площадь по ТП жилая]:[ТП Лоджия 3]])-ППД5[[#This Row],[ТП Летние]]+ППД5[[#This Row],[кроме того прочая
(без коэффициента)]]</f>
        <v>31.6</v>
      </c>
      <c r="AL511" s="95">
        <f>ППД5[[#This Row],[ТП Площадь без летних]]+(ППД5[[#This Row],[ТП Летние]])</f>
        <v>29.3</v>
      </c>
      <c r="AM511" s="91">
        <f>ППД5[[#This Row],[ТП общая S]]-ППД5[[#This Row],[кроме того прочая
(без коэффициента)]]</f>
        <v>27</v>
      </c>
      <c r="AN511" s="95">
        <f>SUM(ППД5[[#This Row],[ТП Кухня]:[ТП Коридор]])</f>
        <v>13.3</v>
      </c>
      <c r="AO511" s="91">
        <f>ППД5[[#This Row],[Расчетная ТП площадь]]-ППД5[[#This Row],[Расчетная проектная площадь]]</f>
        <v>-9.9999999999997868E-2</v>
      </c>
      <c r="AP511" s="335">
        <f>ППД5[[#This Row],[Расчетная ТП площадь]]/ППД5[[#This Row],[Расчетная проектная площадь]]-1</f>
        <v>-3.4013605442175798E-3</v>
      </c>
      <c r="AQ511" s="91">
        <f>ППД5[[#This Row],[% расхождения]]*ППД5[[#This Row],[Стоимость до скидки]]</f>
        <v>-11505.782312924808</v>
      </c>
      <c r="AR511" s="91">
        <f>VLOOKUP(ППД5[[#This Row],[№]],наценкад5[],COLUMN(наценкад5[[#This Row],[Цена м2 с учетом всех K]]),0)</f>
        <v>89353.53</v>
      </c>
      <c r="AS511" s="8">
        <f>ППД5[[#This Row],[м2 после К]]*5%</f>
        <v>4467.6765000000005</v>
      </c>
      <c r="AT511" s="8">
        <f>ППД5[[#This Row],[м2 после К]]+ППД5[[#This Row],[Повышение 16.08.23 - 5%]]</f>
        <v>93821.2065</v>
      </c>
      <c r="AU511" s="93">
        <f>ППД5[[#This Row],[Фикс 16.08.23]]*3%</f>
        <v>2814.636195</v>
      </c>
      <c r="AV511" s="93">
        <f>ППД5[[#This Row],[Фикс 16.08.23]]+ППД5[[#This Row],[Повышение 29.08.23 - 3%]]</f>
        <v>96635.842694999999</v>
      </c>
      <c r="AW511" s="93">
        <f>ППД5[[#This Row],[Фикс 29.08.23]]*9%</f>
        <v>8697.2258425500004</v>
      </c>
      <c r="AX511" s="93">
        <f>ППД5[[#This Row],[Фикс 29.08.23]]+ППД5[[#This Row],[Повышение 06.09.23 СТ и 1К]]</f>
        <v>105333.06853755</v>
      </c>
      <c r="AY511" s="93"/>
      <c r="AZ511" s="93">
        <f>ППД5[[#This Row],[Повышение 23.10.23  В4 ]]+ППД5[[#This Row],[Фикс 06.09.23]]</f>
        <v>105333.06853755</v>
      </c>
      <c r="BA511" s="93"/>
      <c r="BB511" s="93">
        <f>ППД5[[#This Row],[Повышение 8.11.23 1К 5%]]+ППД5[[#This Row],[Фикс 23.10.23]]</f>
        <v>105333.06853755</v>
      </c>
      <c r="BC511" s="93"/>
      <c r="BD511" s="93">
        <f>ППД5[[#This Row],[Корректировка 24.11.23 - 1К В5, 2К А2, №233]]+ППД5[[#This Row],[Фикс 8.11.23]]</f>
        <v>105333.06853755</v>
      </c>
      <c r="BE511" s="93">
        <f>ППД5[[#This Row],[Фикс 8.11.24]]*1%</f>
        <v>1053.3306853755</v>
      </c>
      <c r="BF511" s="93">
        <f>ППД5[[#This Row],[Наценка за отделку 29.12.23 1%]]+ППД5[[#This Row],[Фикс 8.11.24]]</f>
        <v>106386.39922292551</v>
      </c>
      <c r="BG511" s="93">
        <f>ППД5[[#This Row],[Фикс 29.12.23]]*5%</f>
        <v>5319.319961146276</v>
      </c>
      <c r="BH511" s="93">
        <f>ППД5[[#This Row],[Фикс 29.12.23]]+ППД5[[#This Row],[Наценка 10.01.24 5%]]</f>
        <v>111705.71918407179</v>
      </c>
      <c r="BI511" s="93"/>
      <c r="BJ511" s="93">
        <f>ППД5[[#This Row],[Наценка 26.02.24 1 Этаж]]+ППД5[[#This Row],[Фикс 10.01.24]]</f>
        <v>111705.71918407179</v>
      </c>
      <c r="BK511" s="93">
        <f>ППД5[[#This Row],[Фикс 26.02.24]]*3%</f>
        <v>3351.1715755221535</v>
      </c>
      <c r="BL511" s="93">
        <f>ППД5[[#This Row],[Фикс 26.02.24]]+ППД5[[#This Row],[Наценка 06.03.24
СТ, 1К - 3%
2К, 3К - 2%]]</f>
        <v>115056.89075959394</v>
      </c>
      <c r="BM511" s="93"/>
      <c r="BN511" s="93">
        <f>ППД5[[#This Row],[Фикс 06.03.24]]+ППД5[[#This Row],[Наценка Г2+500]]</f>
        <v>115056.89075959394</v>
      </c>
      <c r="BO511" s="93"/>
      <c r="BP511" s="93">
        <f>ППД5[[#This Row],[Фикс 13.03.25]]+ППД5[[#This Row],[Наценка 20.03.24
2К, 3К - 2%]]</f>
        <v>115056.89075959394</v>
      </c>
      <c r="BQ511" s="93"/>
      <c r="BR511" s="93">
        <f>ППД5[[#This Row],[Фикс 20.03.24]]+ППД5[[#This Row],[Наценка 08.04.24 
2К: В3 - 150
3К: Г7 +1000]]</f>
        <v>115056.89075959394</v>
      </c>
      <c r="BS511" s="93"/>
      <c r="BT511" s="93">
        <f>ППД5[[#This Row],[Фикс 08.04.24]]+ППД5[[#This Row],[Наценка 16.05.24 1%
А4,А6,Б3,Б6,Б7,В2,В3,В5,В6,Г1,Г3-Г5]]</f>
        <v>115056.89075959394</v>
      </c>
      <c r="BU511" s="93"/>
      <c r="BV511" s="93">
        <f>ППД5[[#This Row],[Фикс 16.05.24]]+ППД5[[#This Row],[Наценка 24.05.24
1% - Б4, Б5,Г2,Г6
2% - А1,А3,А5,Б2,Г7]]</f>
        <v>115056.89075959394</v>
      </c>
      <c r="BW511" s="93"/>
      <c r="BX511" s="93">
        <f>ППД5[[#This Row],[Наценка 06.06.24
0К: В2,Г3 +0,5%
1К: А7, Б5/4, Г6 +0,5%
3К: В6 +0,5%
1К: А3 +1%]]+ППД5[[#This Row],[Фикс 24.05.24]]</f>
        <v>115056.89075959394</v>
      </c>
      <c r="BY511" s="93"/>
      <c r="BZ511" s="93">
        <f>ППД5[[#This Row],[Фикс 06.06.24]]+ППД5[[#This Row],[13.06.2024
3К - 2%]]</f>
        <v>115056.89075959394</v>
      </c>
      <c r="CA511" s="93"/>
      <c r="CB511" s="93">
        <f>ППД5[[#This Row],[02.07.2024: Г3 А1 А3 Б5 Б7 Г2 Г6 Б3 Б4 В3 Г7 2,5% ост 0,5-1,5%]]+ППД5[[#This Row],[Фикс 13.06.24]]</f>
        <v>115056.89075959394</v>
      </c>
      <c r="CC511" s="93"/>
      <c r="CD511" s="93">
        <f>ППД5[[#This Row],[Фикс 02.07.24]]+ППД5[[#This Row],[04.09.2024 +500
0К - Б2; 1К - А3;
2К - А6, Б4, В3, Г5]]</f>
        <v>115056.89075959394</v>
      </c>
      <c r="CE511" s="93"/>
      <c r="CF511" s="93">
        <f>ППД5[[#This Row],[Наценка 16.09.2024
1К: А1,В7,Г6/7,Г8 - 2%
2К: А4,А5,А6,Б1,Б6,Б3/4,В3,В4,Г4,Г5 - 4%
3К: 4%]]+ППД5[[#This Row],[Фикс 04.09.24]]</f>
        <v>115056.89075959394</v>
      </c>
      <c r="CG511" s="93"/>
      <c r="CH511" s="93">
        <f>ППД5[[#This Row],[Фикс 16.09.2024]]+ППД5[[#This Row],[Наценка 01.11.24
СТ: 4%
1К: 34-40м 5%; 40м+ 8%; МГН 1%
2К: 55-70м 6%; 70-73м 7%; 73-76м 8% 
3К: 5%]]</f>
        <v>115056.89075959394</v>
      </c>
      <c r="CI511" s="93"/>
      <c r="CJ511" s="93">
        <f>ППД5[[#This Row],[Наценка 06.11 13%]]+ППД5[[#This Row],[Фикс 01.11.24]]</f>
        <v>115056.89075959394</v>
      </c>
      <c r="CK511" s="93"/>
      <c r="CL511" s="93">
        <f>ППД5[[#This Row],[Фикс 06.11.24]]+ППД5[[#This Row],[Наценка 18.12.24 распределение КВ]]</f>
        <v>115056.89075959394</v>
      </c>
      <c r="CM511" s="93"/>
      <c r="CN511" s="93">
        <f>ППД5[[#This Row],[Фикс 18.12.24]]+ППД5[[#This Row],[Наценка 10.02.25 +1%
1К: А3
2К: Б3, В3]]</f>
        <v>115056.89075959394</v>
      </c>
      <c r="CO511" s="93">
        <f>ROUND(ППД5[[#This Row],[Фикс 10.02.25]],2)</f>
        <v>115056.89</v>
      </c>
      <c r="CP51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3382700</v>
      </c>
      <c r="CQ511" s="93">
        <f>ROUNDUP(ППД5[[#This Row],[Стоимость до скидки]]+ППД5[[#This Row],[Сумма доплаты]],-2)</f>
        <v>3371200</v>
      </c>
      <c r="CR511" s="68"/>
      <c r="CS511" s="90"/>
      <c r="CT511" s="68">
        <f>ППД5[[#This Row],[Стоимость до скидки]]*ППД5[[#This Row],[Скидка %]]+ППД5[[#This Row],[Скидка фиксированная]]</f>
        <v>0</v>
      </c>
      <c r="CU511" s="3">
        <f>ППД5[[#This Row],[Стоимость ОН без отделки со скидкой]]/ППД5[[#This Row],[Расчетная проектная площадь]]</f>
        <v>115057.8231292517</v>
      </c>
      <c r="CV511" s="3">
        <f>ROUND(ППД5[[#This Row],[Стоимость до скидки]]-ППД5[[#This Row],[Итоговая сумма скидки]],2)</f>
        <v>3382700</v>
      </c>
      <c r="CW51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511" s="197">
        <v>20000</v>
      </c>
      <c r="CY511" s="332">
        <f>ППД5[[#This Row],[Расхождение]]/ППД5[[#This Row],[Расчетная проектная площадь]]</f>
        <v>-3.4013605442176145E-3</v>
      </c>
      <c r="CZ51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-2.9999999999999361E-2</v>
      </c>
      <c r="DA511" s="3">
        <f>ППД5[[#This Row],[Цена м2 без отделки со скидкой]]+ППД5[[#This Row],[Стоимость отделки]]</f>
        <v>135057.82312925172</v>
      </c>
      <c r="DB511" s="3">
        <f>ППД5[[#This Row],[Стоимость квартиры с отделкой]]-ППД5[[#This Row],[Стоимость ОН без отделки со скидкой]]</f>
        <v>588000.00000000047</v>
      </c>
      <c r="DC511" s="3">
        <f>ППД5[[#This Row],[Цена м2 с отделкой]]*ППД5[[#This Row],[Расчетная проектная площадь]]</f>
        <v>3970700.0000000005</v>
      </c>
      <c r="DD511" s="3"/>
      <c r="DF511" s="199" t="s">
        <v>172</v>
      </c>
      <c r="DG511" s="245" t="s">
        <v>172</v>
      </c>
      <c r="DH511" s="100" t="b">
        <f>EXACT(ППД5[[#This Row],[Статусы CRM]],ППД5[[#This Row],[Статус]])</f>
        <v>1</v>
      </c>
      <c r="DI511" s="213" t="s">
        <v>683</v>
      </c>
      <c r="DJ511" s="204"/>
      <c r="DK511" s="111" t="s">
        <v>763</v>
      </c>
      <c r="DL511" s="216" t="s">
        <v>14</v>
      </c>
      <c r="DM511" s="201" t="b">
        <f>ППД5[[#This Row],[Отделка CRM]]=ППД5[[#This Row],[Отделка]]</f>
        <v>1</v>
      </c>
      <c r="DN511" s="203">
        <v>3970700</v>
      </c>
      <c r="DO51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-4.6566128730773926E-10</v>
      </c>
      <c r="DP511" s="207" t="b">
        <f>IF(AND(ППД5[[#This Row],[Статус]]="свободно",ППД5[[#This Row],[Итоговая сумма скидки]]&lt;&gt;0),FALSE,TRUE)</f>
        <v>1</v>
      </c>
      <c r="DQ511" s="240">
        <f>_xlfn.XLOOKUP(ППД5[[#This Row],[№]],Юрист[№ кв],Юрист[Дата подачи на регистрацию]," ",0,-1)</f>
        <v>45427</v>
      </c>
      <c r="DR511" s="115" t="str">
        <f>_xlfn.XLOOKUP(ППД5[[#This Row],[№]],Юрист[№ кв],Юрист[МОП],"",0,-1)</f>
        <v>Никишов</v>
      </c>
      <c r="DS511" s="333" t="s">
        <v>3314</v>
      </c>
      <c r="DT511" s="333" t="s">
        <v>3315</v>
      </c>
      <c r="DU511" s="333">
        <v>27</v>
      </c>
      <c r="DV511" s="111"/>
    </row>
    <row r="512" spans="1:126" hidden="1" x14ac:dyDescent="0.25">
      <c r="A512" s="112">
        <v>510</v>
      </c>
      <c r="B512" s="111" t="s">
        <v>2</v>
      </c>
      <c r="C512" s="111">
        <v>16</v>
      </c>
      <c r="D512" s="115">
        <v>2</v>
      </c>
      <c r="E512" s="111">
        <v>1</v>
      </c>
      <c r="F512" s="105">
        <v>13.17</v>
      </c>
      <c r="G512" s="105"/>
      <c r="H512" s="105"/>
      <c r="I512" s="94">
        <f>SUM(ППД5[[#This Row],[Комната 1]:[Комната 3]])</f>
        <v>13.17</v>
      </c>
      <c r="J512" s="105">
        <v>16.940000000000001</v>
      </c>
      <c r="K512" s="105">
        <v>3.55</v>
      </c>
      <c r="L512" s="105">
        <v>2.41</v>
      </c>
      <c r="M512" s="105"/>
      <c r="N512" s="105">
        <v>5.8</v>
      </c>
      <c r="O512" s="105">
        <v>2.68</v>
      </c>
      <c r="P512" s="105"/>
      <c r="Q512" s="105"/>
      <c r="R512" s="105">
        <f>SUM(ППД5[[#This Row],[Лоджия 1]:[Лоджия 3]])</f>
        <v>2.68</v>
      </c>
      <c r="S512" s="8">
        <f>ROUND(SUM(ППД5[[#This Row],[Площадь по проекту жилая]:[Лоджия 3]]),2)</f>
        <v>44.55</v>
      </c>
      <c r="T512" s="8">
        <f>ROUND(ППД5[[#This Row],[Площадь по проекту(общая)]]-ППД5[[#This Row],[Летние]],2)</f>
        <v>41.87</v>
      </c>
      <c r="U512" s="91">
        <f>ROUND(ППД5[[#This Row],[Площадь по проекту(общая)]]-(SUM(ППД5[[#This Row],[Лоджия 1]:[Лоджия 3]])/2),2)</f>
        <v>43.21</v>
      </c>
      <c r="V512" s="91">
        <f>IF(ППД5[[#This Row],[Статус]]="продажа",ППД5[[#This Row],[Расчетная проектная площадь]],ППД5[[#This Row],[Расчетная ТП площадь]])</f>
        <v>42.25</v>
      </c>
      <c r="W512" s="91">
        <v>12.9</v>
      </c>
      <c r="X512" s="91"/>
      <c r="Y512" s="91"/>
      <c r="Z512" s="91">
        <f>SUM(ППД5[[#This Row],[ТП Комната 1]:[ТП Комната 3]])</f>
        <v>12.9</v>
      </c>
      <c r="AA512" s="91">
        <v>16.8</v>
      </c>
      <c r="AB512" s="91">
        <v>2.1</v>
      </c>
      <c r="AC512" s="91">
        <v>3.3</v>
      </c>
      <c r="AD512" s="91"/>
      <c r="AE512" s="91">
        <v>5.8</v>
      </c>
      <c r="AF512" s="91">
        <v>1.35</v>
      </c>
      <c r="AG512" s="91"/>
      <c r="AH512" s="91"/>
      <c r="AI512" s="91">
        <f>SUM(ППД5[[#This Row],[ТП Лоджия 1]:[ТП Лоджия 3]])</f>
        <v>1.35</v>
      </c>
      <c r="AJ512" s="95">
        <v>2.7</v>
      </c>
      <c r="AK512" s="91">
        <f>SUM(ППД5[[#This Row],[Площадь по ТП жилая]:[ТП Лоджия 3]])-ППД5[[#This Row],[ТП Летние]]+ППД5[[#This Row],[кроме того прочая
(без коэффициента)]]</f>
        <v>43.6</v>
      </c>
      <c r="AL512" s="95">
        <f>ППД5[[#This Row],[ТП Площадь без летних]]+(ППД5[[#This Row],[ТП Летние]])</f>
        <v>42.25</v>
      </c>
      <c r="AM512" s="91">
        <f>ППД5[[#This Row],[ТП общая S]]-ППД5[[#This Row],[кроме того прочая
(без коэффициента)]]</f>
        <v>40.9</v>
      </c>
      <c r="AN512" s="95">
        <f>SUM(ППД5[[#This Row],[ТП Кухня]:[ТП Коридор]])</f>
        <v>28.000000000000004</v>
      </c>
      <c r="AO512" s="91">
        <f>ППД5[[#This Row],[Расчетная ТП площадь]]-ППД5[[#This Row],[Расчетная проектная площадь]]</f>
        <v>-0.96000000000000085</v>
      </c>
      <c r="AP512" s="335">
        <f>ППД5[[#This Row],[Расчетная ТП площадь]]/ППД5[[#This Row],[Расчетная проектная площадь]]-1</f>
        <v>-2.2217079379773241E-2</v>
      </c>
      <c r="AQ512" s="91">
        <f>ППД5[[#This Row],[% расхождения]]*ППД5[[#This Row],[Стоимость до скидки]]</f>
        <v>-130054.3392733166</v>
      </c>
      <c r="AR512" s="91">
        <f>VLOOKUP(ППД5[[#This Row],[№]],наценкад5[],COLUMN(наценкад5[[#This Row],[Цена м2 с учетом всех K]]),0)</f>
        <v>85168.125</v>
      </c>
      <c r="AS512" s="8">
        <f>ППД5[[#This Row],[м2 после К]]*5%</f>
        <v>4258.40625</v>
      </c>
      <c r="AT512" s="8">
        <f>ППД5[[#This Row],[м2 после К]]+ППД5[[#This Row],[Повышение 16.08.23 - 5%]]</f>
        <v>89426.53125</v>
      </c>
      <c r="AU512" s="93">
        <f>ППД5[[#This Row],[Фикс 16.08.23]]*3%</f>
        <v>2682.7959375</v>
      </c>
      <c r="AV512" s="93">
        <f>ППД5[[#This Row],[Фикс 16.08.23]]+ППД5[[#This Row],[Повышение 29.08.23 - 3%]]</f>
        <v>92109.327187500006</v>
      </c>
      <c r="AW512" s="93">
        <f>ППД5[[#This Row],[Фикс 29.08.23]]*1%</f>
        <v>921.09327187500003</v>
      </c>
      <c r="AX512" s="93">
        <f>ППД5[[#This Row],[Фикс 29.08.23]]+ППД5[[#This Row],[Повышение 06.09.23 СТ и 1К]]</f>
        <v>93030.420459375004</v>
      </c>
      <c r="AY512" s="93"/>
      <c r="AZ512" s="93">
        <f>ППД5[[#This Row],[Повышение 23.10.23  В4 ]]+ППД5[[#This Row],[Фикс 06.09.23]]</f>
        <v>93030.420459375004</v>
      </c>
      <c r="BA512" s="93">
        <f>ППД5[[#This Row],[Фикс 23.10.23]]*5%</f>
        <v>4651.52102296875</v>
      </c>
      <c r="BB512" s="93">
        <f>ППД5[[#This Row],[Повышение 8.11.23 1К 5%]]+ППД5[[#This Row],[Фикс 23.10.23]]</f>
        <v>97681.941482343755</v>
      </c>
      <c r="BC512" s="93"/>
      <c r="BD512" s="93">
        <f>ППД5[[#This Row],[Корректировка 24.11.23 - 1К В5, 2К А2, №233]]+ППД5[[#This Row],[Фикс 8.11.23]]</f>
        <v>97681.941482343755</v>
      </c>
      <c r="BE512" s="93">
        <f>ППД5[[#This Row],[Фикс 8.11.24]]*1%</f>
        <v>976.81941482343757</v>
      </c>
      <c r="BF512" s="93">
        <f>ППД5[[#This Row],[Наценка за отделку 29.12.23 1%]]+ППД5[[#This Row],[Фикс 8.11.24]]</f>
        <v>98658.760897167187</v>
      </c>
      <c r="BG512" s="93">
        <f>ППД5[[#This Row],[Фикс 29.12.23]]*5%</f>
        <v>4932.9380448583597</v>
      </c>
      <c r="BH512" s="93">
        <f>ППД5[[#This Row],[Фикс 29.12.23]]+ППД5[[#This Row],[Наценка 10.01.24 5%]]</f>
        <v>103591.69894202554</v>
      </c>
      <c r="BI512" s="93"/>
      <c r="BJ512" s="93">
        <f>ППД5[[#This Row],[Наценка 26.02.24 1 Этаж]]+ППД5[[#This Row],[Фикс 10.01.24]]</f>
        <v>103591.69894202554</v>
      </c>
      <c r="BK512" s="93">
        <f>ППД5[[#This Row],[Фикс 26.02.24]]*3%</f>
        <v>3107.7509682607661</v>
      </c>
      <c r="BL512" s="93">
        <f>ППД5[[#This Row],[Фикс 26.02.24]]+ППД5[[#This Row],[Наценка 06.03.24
СТ, 1К - 3%
2К, 3К - 2%]]</f>
        <v>106699.4499102863</v>
      </c>
      <c r="BM512" s="93">
        <v>500</v>
      </c>
      <c r="BN512" s="93">
        <f>ППД5[[#This Row],[Фикс 06.03.24]]+ППД5[[#This Row],[Наценка Г2+500]]</f>
        <v>107199.4499102863</v>
      </c>
      <c r="BO512" s="93"/>
      <c r="BP512" s="93">
        <f>ППД5[[#This Row],[Фикс 13.03.25]]+ППД5[[#This Row],[Наценка 20.03.24
2К, 3К - 2%]]</f>
        <v>107199.4499102863</v>
      </c>
      <c r="BQ512" s="93"/>
      <c r="BR512" s="93">
        <f>ППД5[[#This Row],[Фикс 20.03.24]]+ППД5[[#This Row],[Наценка 08.04.24 
2К: В3 - 150
3К: Г7 +1000]]</f>
        <v>107199.4499102863</v>
      </c>
      <c r="BS512" s="93"/>
      <c r="BT512" s="93">
        <f>ППД5[[#This Row],[Фикс 08.04.24]]+ППД5[[#This Row],[Наценка 16.05.24 1%
А4,А6,Б3,Б6,Б7,В2,В3,В5,В6,Г1,Г3-Г5]]</f>
        <v>107199.4499102863</v>
      </c>
      <c r="BU512" s="93">
        <f>ППД5[[#This Row],[Фикс 16.05.24]]*1%</f>
        <v>1071.9944991028631</v>
      </c>
      <c r="BV512" s="93">
        <f>ППД5[[#This Row],[Фикс 16.05.24]]+ППД5[[#This Row],[Наценка 24.05.24
1% - Б4, Б5,Г2,Г6
2% - А1,А3,А5,Б2,Г7]]</f>
        <v>108271.44440938917</v>
      </c>
      <c r="BW512" s="93"/>
      <c r="BX512" s="93">
        <f>ППД5[[#This Row],[Наценка 06.06.24
0К: В2,Г3 +0,5%
1К: А7, Б5/4, Г6 +0,5%
3К: В6 +0,5%
1К: А3 +1%]]+ППД5[[#This Row],[Фикс 24.05.24]]</f>
        <v>108271.44440938917</v>
      </c>
      <c r="BY512" s="93"/>
      <c r="BZ512" s="93">
        <f>ППД5[[#This Row],[Фикс 06.06.24]]+ППД5[[#This Row],[13.06.2024
3К - 2%]]</f>
        <v>108271.44440938917</v>
      </c>
      <c r="CA512" s="93">
        <f>2.5%*ППД5[[#This Row],[Фикс 13.06.24]]</f>
        <v>2706.7861102347292</v>
      </c>
      <c r="CB512" s="93">
        <f>ППД5[[#This Row],[02.07.2024: Г3 А1 А3 Б5 Б7 Г2 Г6 Б3 Б4 В3 Г7 2,5% ост 0,5-1,5%]]+ППД5[[#This Row],[Фикс 13.06.24]]</f>
        <v>110978.23051962389</v>
      </c>
      <c r="CC512" s="93"/>
      <c r="CD512" s="93">
        <f>ППД5[[#This Row],[Фикс 02.07.24]]+ППД5[[#This Row],[04.09.2024 +500
0К - Б2; 1К - А3;
2К - А6, Б4, В3, Г5]]</f>
        <v>110978.23051962389</v>
      </c>
      <c r="CE512" s="93"/>
      <c r="CF512" s="93">
        <f>ППД5[[#This Row],[Наценка 16.09.2024
1К: А1,В7,Г6/7,Г8 - 2%
2К: А4,А5,А6,Б1,Б6,Б3/4,В3,В4,Г4,Г5 - 4%
3К: 4%]]+ППД5[[#This Row],[Фикс 04.09.24]]</f>
        <v>110978.23051962389</v>
      </c>
      <c r="CG512" s="93">
        <f>ППД5[[#This Row],[Фикс 16.09.2024]]*8%</f>
        <v>8878.2584415699112</v>
      </c>
      <c r="CH512" s="93">
        <f>ППД5[[#This Row],[Фикс 16.09.2024]]+ППД5[[#This Row],[Наценка 01.11.24
СТ: 4%
1К: 34-40м 5%; 40м+ 8%; МГН 1%
2К: 55-70м 6%; 70-73м 7%; 73-76м 8% 
3К: 5%]]</f>
        <v>119856.4889611938</v>
      </c>
      <c r="CI512" s="93">
        <f>ППД5[[#This Row],[Фикс 01.11.24]]*13%</f>
        <v>15581.343564955194</v>
      </c>
      <c r="CJ512" s="93">
        <f>ППД5[[#This Row],[Наценка 06.11 13%]]+ППД5[[#This Row],[Фикс 01.11.24]]</f>
        <v>135437.832526149</v>
      </c>
      <c r="CK512" s="93">
        <v>35</v>
      </c>
      <c r="CL512" s="93">
        <f>ППД5[[#This Row],[Фикс 06.11.24]]+ППД5[[#This Row],[Наценка 18.12.24 распределение КВ]]</f>
        <v>135472.832526149</v>
      </c>
      <c r="CM512" s="93"/>
      <c r="CN512" s="93">
        <f>ППД5[[#This Row],[Фикс 18.12.24]]+ППД5[[#This Row],[Наценка 10.02.25 +1%
1К: А3
2К: Б3, В3]]</f>
        <v>135472.832526149</v>
      </c>
      <c r="CO512" s="93">
        <f>ROUND(ППД5[[#This Row],[Фикс 10.02.25]],2)</f>
        <v>135472.82999999999</v>
      </c>
      <c r="CP51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5853800</v>
      </c>
      <c r="CQ512" s="93">
        <f>ROUNDUP(ППД5[[#This Row],[Стоимость до скидки]]+ППД5[[#This Row],[Сумма доплаты]],-2)</f>
        <v>5723800</v>
      </c>
      <c r="CR512" s="68">
        <f>ППД5[[#This Row],[Расчетная проектная площадь]]*8000+100000</f>
        <v>445680</v>
      </c>
      <c r="CS512" s="90"/>
      <c r="CT512" s="68">
        <f>ППД5[[#This Row],[Стоимость до скидки]]*ППД5[[#This Row],[Скидка %]]+ППД5[[#This Row],[Скидка фиксированная]]</f>
        <v>445680</v>
      </c>
      <c r="CU512" s="3">
        <f>ППД5[[#This Row],[Стоимость ОН без отделки со скидкой]]/ППД5[[#This Row],[Расчетная проектная площадь]]</f>
        <v>125158.9909743115</v>
      </c>
      <c r="CV512" s="3">
        <f>ROUND(ППД5[[#This Row],[Стоимость до скидки]]-ППД5[[#This Row],[Итоговая сумма скидки]],2)</f>
        <v>5408120</v>
      </c>
      <c r="CW51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512" s="197">
        <v>10000</v>
      </c>
      <c r="CY512" s="332">
        <f>ППД5[[#This Row],[Расхождение]]/ППД5[[#This Row],[Расчетная проектная площадь]]</f>
        <v>-2.2217079379773221E-2</v>
      </c>
      <c r="CZ51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-0.69999999999999929</v>
      </c>
      <c r="DA512" s="3">
        <f>ППД5[[#This Row],[Цена м2 без отделки со скидкой]]+ППД5[[#This Row],[Стоимость отделки]]</f>
        <v>135158.99097431148</v>
      </c>
      <c r="DB512" s="3">
        <f>ППД5[[#This Row],[Стоимость квартиры с отделкой]]-ППД5[[#This Row],[Стоимость ОН без отделки со скидкой]]</f>
        <v>432099.99999999907</v>
      </c>
      <c r="DC512" s="3">
        <f>ППД5[[#This Row],[Цена м2 с отделкой]]*ППД5[[#This Row],[Расчетная проектная площадь]]</f>
        <v>5840219.9999999991</v>
      </c>
      <c r="DD512" s="3"/>
      <c r="DE512" s="111" t="s">
        <v>2275</v>
      </c>
      <c r="DF512" s="199" t="s">
        <v>157</v>
      </c>
      <c r="DG512" s="221" t="s">
        <v>157</v>
      </c>
      <c r="DH512" s="100" t="b">
        <f>EXACT(ППД5[[#This Row],[Статусы CRM]],ППД5[[#This Row],[Статус]])</f>
        <v>1</v>
      </c>
      <c r="DI512" s="213" t="s">
        <v>684</v>
      </c>
      <c r="DJ512" s="204"/>
      <c r="DK512" s="111" t="s">
        <v>763</v>
      </c>
      <c r="DL512" s="216" t="s">
        <v>780</v>
      </c>
      <c r="DM512" s="201" t="b">
        <f>ППД5[[#This Row],[Отделка CRM]]=ППД5[[#This Row],[Отделка]]</f>
        <v>1</v>
      </c>
      <c r="DN512" s="203">
        <v>5840220</v>
      </c>
      <c r="DO51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9.3132257461547852E-10</v>
      </c>
      <c r="DP512" s="207" t="b">
        <f>IF(AND(ППД5[[#This Row],[Статус]]="свободно",ППД5[[#This Row],[Итоговая сумма скидки]]&lt;&gt;0),FALSE,TRUE)</f>
        <v>0</v>
      </c>
      <c r="DQ512" s="240" t="str">
        <f>_xlfn.XLOOKUP(ППД5[[#This Row],[№]],Юрист[№ кв],Юрист[Дата подачи на регистрацию]," ",0,-1)</f>
        <v xml:space="preserve"> </v>
      </c>
      <c r="DR512" s="115" t="str">
        <f>_xlfn.XLOOKUP(ППД5[[#This Row],[№]],Юрист[№ кв],Юрист[МОП],"",0,-1)</f>
        <v/>
      </c>
      <c r="DS512" s="333" t="s">
        <v>3316</v>
      </c>
      <c r="DT512" s="333" t="s">
        <v>3317</v>
      </c>
      <c r="DU512" s="333">
        <v>40.9</v>
      </c>
      <c r="DV512" s="111"/>
    </row>
    <row r="513" spans="1:126" hidden="1" x14ac:dyDescent="0.25">
      <c r="A513" s="112">
        <v>511</v>
      </c>
      <c r="B513" s="111" t="s">
        <v>2</v>
      </c>
      <c r="C513" s="111">
        <v>16</v>
      </c>
      <c r="D513" s="115">
        <v>3</v>
      </c>
      <c r="E513" s="111">
        <v>0</v>
      </c>
      <c r="F513" s="105">
        <v>7.2</v>
      </c>
      <c r="G513" s="105"/>
      <c r="H513" s="105"/>
      <c r="I513" s="94">
        <f>SUM(ППД5[[#This Row],[Комната 1]:[Комната 3]])</f>
        <v>7.2</v>
      </c>
      <c r="J513" s="105">
        <v>5.17</v>
      </c>
      <c r="K513" s="105">
        <v>3.71</v>
      </c>
      <c r="L513" s="105"/>
      <c r="M513" s="105"/>
      <c r="N513" s="105">
        <v>6.96</v>
      </c>
      <c r="O513" s="105">
        <v>2.92</v>
      </c>
      <c r="P513" s="105"/>
      <c r="Q513" s="105"/>
      <c r="R513" s="105">
        <f>SUM(ППД5[[#This Row],[Лоджия 1]:[Лоджия 3]])</f>
        <v>2.92</v>
      </c>
      <c r="S513" s="8">
        <f>ROUND(SUM(ППД5[[#This Row],[Площадь по проекту жилая]:[Лоджия 3]]),2)</f>
        <v>25.96</v>
      </c>
      <c r="T513" s="8">
        <f>ROUND(ППД5[[#This Row],[Площадь по проекту(общая)]]-ППД5[[#This Row],[Летние]],2)</f>
        <v>23.04</v>
      </c>
      <c r="U513" s="91">
        <f>ROUND(ППД5[[#This Row],[Площадь по проекту(общая)]]-(SUM(ППД5[[#This Row],[Лоджия 1]:[Лоджия 3]])/2),2)</f>
        <v>24.5</v>
      </c>
      <c r="V513" s="91">
        <f>IF(ППД5[[#This Row],[Статус]]="продажа",ППД5[[#This Row],[Расчетная проектная площадь]],ППД5[[#This Row],[Расчетная ТП площадь]])</f>
        <v>24.5</v>
      </c>
      <c r="W513" s="91">
        <v>7.2</v>
      </c>
      <c r="X513" s="91"/>
      <c r="Y513" s="91"/>
      <c r="Z513" s="91">
        <f>SUM(ППД5[[#This Row],[ТП Комната 1]:[ТП Комната 3]])</f>
        <v>7.2</v>
      </c>
      <c r="AA513" s="91">
        <v>5.5</v>
      </c>
      <c r="AB513" s="91">
        <v>3.7</v>
      </c>
      <c r="AC513" s="91"/>
      <c r="AD513" s="91"/>
      <c r="AE513" s="91">
        <v>6.4</v>
      </c>
      <c r="AF513" s="91">
        <v>1.45</v>
      </c>
      <c r="AG513" s="91"/>
      <c r="AH513" s="91"/>
      <c r="AI513" s="91">
        <f>SUM(ППД5[[#This Row],[ТП Лоджия 1]:[ТП Лоджия 3]])</f>
        <v>1.45</v>
      </c>
      <c r="AJ513" s="95">
        <v>2.9</v>
      </c>
      <c r="AK513" s="91">
        <f>SUM(ППД5[[#This Row],[Площадь по ТП жилая]:[ТП Лоджия 3]])-ППД5[[#This Row],[ТП Летние]]+ППД5[[#This Row],[кроме того прочая
(без коэффициента)]]</f>
        <v>25.699999999999996</v>
      </c>
      <c r="AL513" s="95">
        <f>ППД5[[#This Row],[ТП Площадь без летних]]+(ППД5[[#This Row],[ТП Летние]])</f>
        <v>24.249999999999996</v>
      </c>
      <c r="AM513" s="91">
        <f>ППД5[[#This Row],[ТП общая S]]-ППД5[[#This Row],[кроме того прочая
(без коэффициента)]]</f>
        <v>22.799999999999997</v>
      </c>
      <c r="AN513" s="95">
        <f>SUM(ППД5[[#This Row],[ТП Кухня]:[ТП Коридор]])</f>
        <v>15.6</v>
      </c>
      <c r="AO513" s="91">
        <f>ППД5[[#This Row],[Расчетная ТП площадь]]-ППД5[[#This Row],[Расчетная проектная площадь]]</f>
        <v>-0.25000000000000355</v>
      </c>
      <c r="AP513" s="335">
        <f>ППД5[[#This Row],[Расчетная ТП площадь]]/ППД5[[#This Row],[Расчетная проектная площадь]]-1</f>
        <v>-1.0204081632653184E-2</v>
      </c>
      <c r="AQ513" s="91">
        <f>ППД5[[#This Row],[% расхождения]]*ППД5[[#This Row],[Стоимость до скидки]]</f>
        <v>-26850.00000000032</v>
      </c>
      <c r="AR513" s="91">
        <f>VLOOKUP(ППД5[[#This Row],[№]],наценкад5[],COLUMN(наценкад5[[#This Row],[Цена м2 с учетом всех K]]),0)</f>
        <v>91105.56</v>
      </c>
      <c r="AS513" s="8">
        <f>ППД5[[#This Row],[м2 после К]]*5%</f>
        <v>4555.2780000000002</v>
      </c>
      <c r="AT513" s="8">
        <f>ППД5[[#This Row],[м2 после К]]+ППД5[[#This Row],[Повышение 16.08.23 - 5%]]</f>
        <v>95660.838000000003</v>
      </c>
      <c r="AU513" s="93">
        <f>ППД5[[#This Row],[Фикс 16.08.23]]*3%</f>
        <v>2869.8251399999999</v>
      </c>
      <c r="AV513" s="93">
        <f>ППД5[[#This Row],[Фикс 16.08.23]]+ППД5[[#This Row],[Повышение 29.08.23 - 3%]]</f>
        <v>98530.663140000004</v>
      </c>
      <c r="AW513" s="93">
        <f>ППД5[[#This Row],[Фикс 29.08.23]]*9%</f>
        <v>8867.7596826000008</v>
      </c>
      <c r="AX513" s="93">
        <f>ППД5[[#This Row],[Фикс 29.08.23]]+ППД5[[#This Row],[Повышение 06.09.23 СТ и 1К]]</f>
        <v>107398.4228226</v>
      </c>
      <c r="AY513" s="93"/>
      <c r="AZ513" s="93">
        <f>ППД5[[#This Row],[Повышение 23.10.23  В4 ]]+ППД5[[#This Row],[Фикс 06.09.23]]</f>
        <v>107398.4228226</v>
      </c>
      <c r="BA513" s="93"/>
      <c r="BB513" s="93">
        <f>ППД5[[#This Row],[Повышение 8.11.23 1К 5%]]+ППД5[[#This Row],[Фикс 23.10.23]]</f>
        <v>107398.4228226</v>
      </c>
      <c r="BC513" s="93"/>
      <c r="BD513" s="93">
        <f>ППД5[[#This Row],[Корректировка 24.11.23 - 1К В5, 2К А2, №233]]+ППД5[[#This Row],[Фикс 8.11.23]]</f>
        <v>107398.4228226</v>
      </c>
      <c r="BE513" s="93"/>
      <c r="BF513" s="93">
        <f>ППД5[[#This Row],[Наценка за отделку 29.12.23 1%]]+ППД5[[#This Row],[Фикс 8.11.24]]</f>
        <v>107398.4228226</v>
      </c>
      <c r="BG513" s="93"/>
      <c r="BH513" s="93">
        <f>ППД5[[#This Row],[Фикс 29.12.23]]+ППД5[[#This Row],[Наценка 10.01.24 5%]]</f>
        <v>107398.4228226</v>
      </c>
      <c r="BI513" s="93"/>
      <c r="BJ513" s="93">
        <f>ППД5[[#This Row],[Наценка 26.02.24 1 Этаж]]+ППД5[[#This Row],[Фикс 10.01.24]]</f>
        <v>107398.4228226</v>
      </c>
      <c r="BK513" s="93"/>
      <c r="BL513" s="93">
        <f>ППД5[[#This Row],[Фикс 26.02.24]]+ППД5[[#This Row],[Наценка 06.03.24
СТ, 1К - 3%
2К, 3К - 2%]]</f>
        <v>107398.4228226</v>
      </c>
      <c r="BM513" s="93"/>
      <c r="BN513" s="93">
        <f>ППД5[[#This Row],[Фикс 06.03.24]]+ППД5[[#This Row],[Наценка Г2+500]]</f>
        <v>107398.4228226</v>
      </c>
      <c r="BO513" s="93"/>
      <c r="BP513" s="93">
        <f>ППД5[[#This Row],[Фикс 13.03.25]]+ППД5[[#This Row],[Наценка 20.03.24
2К, 3К - 2%]]</f>
        <v>107398.4228226</v>
      </c>
      <c r="BQ513" s="93"/>
      <c r="BR513" s="93">
        <f>ППД5[[#This Row],[Фикс 20.03.24]]+ППД5[[#This Row],[Наценка 08.04.24 
2К: В3 - 150
3К: Г7 +1000]]</f>
        <v>107398.4228226</v>
      </c>
      <c r="BS513" s="93"/>
      <c r="BT513" s="93">
        <f>ППД5[[#This Row],[Фикс 08.04.24]]+ППД5[[#This Row],[Наценка 16.05.24 1%
А4,А6,Б3,Б6,Б7,В2,В3,В5,В6,Г1,Г3-Г5]]</f>
        <v>107398.4228226</v>
      </c>
      <c r="BU513" s="93"/>
      <c r="BV513" s="93">
        <f>ППД5[[#This Row],[Фикс 16.05.24]]+ППД5[[#This Row],[Наценка 24.05.24
1% - Б4, Б5,Г2,Г6
2% - А1,А3,А5,Б2,Г7]]</f>
        <v>107398.4228226</v>
      </c>
      <c r="BW513" s="93"/>
      <c r="BX513" s="93">
        <f>ППД5[[#This Row],[Наценка 06.06.24
0К: В2,Г3 +0,5%
1К: А7, Б5/4, Г6 +0,5%
3К: В6 +0,5%
1К: А3 +1%]]+ППД5[[#This Row],[Фикс 24.05.24]]</f>
        <v>107398.4228226</v>
      </c>
      <c r="BY513" s="93"/>
      <c r="BZ513" s="93">
        <f>ППД5[[#This Row],[Фикс 06.06.24]]+ППД5[[#This Row],[13.06.2024
3К - 2%]]</f>
        <v>107398.4228226</v>
      </c>
      <c r="CA513" s="93"/>
      <c r="CB513" s="93">
        <f>ППД5[[#This Row],[02.07.2024: Г3 А1 А3 Б5 Б7 Г2 Г6 Б3 Б4 В3 Г7 2,5% ост 0,5-1,5%]]+ППД5[[#This Row],[Фикс 13.06.24]]</f>
        <v>107398.4228226</v>
      </c>
      <c r="CC513" s="93"/>
      <c r="CD513" s="93">
        <f>ППД5[[#This Row],[Фикс 02.07.24]]+ППД5[[#This Row],[04.09.2024 +500
0К - Б2; 1К - А3;
2К - А6, Б4, В3, Г5]]</f>
        <v>107398.4228226</v>
      </c>
      <c r="CE513" s="93"/>
      <c r="CF513" s="93">
        <f>ППД5[[#This Row],[Наценка 16.09.2024
1К: А1,В7,Г6/7,Г8 - 2%
2К: А4,А5,А6,Б1,Б6,Б3/4,В3,В4,Г4,Г5 - 4%
3К: 4%]]+ППД5[[#This Row],[Фикс 04.09.24]]</f>
        <v>107398.4228226</v>
      </c>
      <c r="CG513" s="93"/>
      <c r="CH513" s="93">
        <f>ППД5[[#This Row],[Фикс 16.09.2024]]+ППД5[[#This Row],[Наценка 01.11.24
СТ: 4%
1К: 34-40м 5%; 40м+ 8%; МГН 1%
2К: 55-70м 6%; 70-73м 7%; 73-76м 8% 
3К: 5%]]</f>
        <v>107398.4228226</v>
      </c>
      <c r="CI513" s="93"/>
      <c r="CJ513" s="93">
        <f>ППД5[[#This Row],[Наценка 06.11 13%]]+ППД5[[#This Row],[Фикс 01.11.24]]</f>
        <v>107398.4228226</v>
      </c>
      <c r="CK513" s="93"/>
      <c r="CL513" s="93">
        <f>ППД5[[#This Row],[Фикс 06.11.24]]+ППД5[[#This Row],[Наценка 18.12.24 распределение КВ]]</f>
        <v>107398.4228226</v>
      </c>
      <c r="CM513" s="93"/>
      <c r="CN513" s="93">
        <f>ППД5[[#This Row],[Фикс 18.12.24]]+ППД5[[#This Row],[Наценка 10.02.25 +1%
1К: А3
2К: Б3, В3]]</f>
        <v>107398.4228226</v>
      </c>
      <c r="CO513" s="93">
        <f>ROUND(ППД5[[#This Row],[Фикс 10.02.25]],2)</f>
        <v>107398.42</v>
      </c>
      <c r="CP51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2631300</v>
      </c>
      <c r="CQ513" s="93">
        <f>ROUNDUP(ППД5[[#This Row],[Стоимость до скидки]]+ППД5[[#This Row],[Сумма доплаты]],-2)</f>
        <v>2604500</v>
      </c>
      <c r="CR513" s="68"/>
      <c r="CS513" s="90"/>
      <c r="CT513" s="68">
        <f>ППД5[[#This Row],[Стоимость до скидки]]*ППД5[[#This Row],[Скидка %]]+ППД5[[#This Row],[Скидка фиксированная]]</f>
        <v>0</v>
      </c>
      <c r="CU513" s="3">
        <f>ППД5[[#This Row],[Стоимость ОН без отделки со скидкой]]/ППД5[[#This Row],[Расчетная проектная площадь]]</f>
        <v>107400</v>
      </c>
      <c r="CV513" s="3">
        <f>ROUND(ППД5[[#This Row],[Стоимость до скидки]]-ППД5[[#This Row],[Итоговая сумма скидки]],2)</f>
        <v>2631300</v>
      </c>
      <c r="CW51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513" s="197">
        <v>7500</v>
      </c>
      <c r="CY513" s="332">
        <f>ППД5[[#This Row],[Расхождение]]/ППД5[[#This Row],[Расчетная проектная площадь]]</f>
        <v>-1.0204081632653206E-2</v>
      </c>
      <c r="CZ51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-0.23999999999999932</v>
      </c>
      <c r="DA513" s="3">
        <f>ППД5[[#This Row],[Цена м2 без отделки со скидкой]]+ППД5[[#This Row],[Стоимость отделки]]</f>
        <v>114900</v>
      </c>
      <c r="DB513" s="3">
        <f>ППД5[[#This Row],[Стоимость квартиры с отделкой]]-ППД5[[#This Row],[Стоимость ОН без отделки со скидкой]]</f>
        <v>183750</v>
      </c>
      <c r="DC513" s="3">
        <f>ППД5[[#This Row],[Цена м2 с отделкой]]*ППД5[[#This Row],[Расчетная проектная площадь]]</f>
        <v>2815050</v>
      </c>
      <c r="DD513" s="3"/>
      <c r="DF513" s="199" t="s">
        <v>172</v>
      </c>
      <c r="DG513" s="245" t="s">
        <v>172</v>
      </c>
      <c r="DH513" s="100" t="b">
        <f>EXACT(ППД5[[#This Row],[Статусы CRM]],ППД5[[#This Row],[Статус]])</f>
        <v>1</v>
      </c>
      <c r="DI513" s="213" t="s">
        <v>685</v>
      </c>
      <c r="DJ513" s="204"/>
      <c r="DK513" s="111" t="s">
        <v>763</v>
      </c>
      <c r="DL513" s="216" t="s">
        <v>13</v>
      </c>
      <c r="DM513" s="201" t="b">
        <f>ППД5[[#This Row],[Отделка CRM]]=ППД5[[#This Row],[Отделка]]</f>
        <v>1</v>
      </c>
      <c r="DN513" s="203">
        <v>2815050</v>
      </c>
      <c r="DO51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13" s="207" t="b">
        <f>IF(AND(ППД5[[#This Row],[Статус]]="свободно",ППД5[[#This Row],[Итоговая сумма скидки]]&lt;&gt;0),FALSE,TRUE)</f>
        <v>1</v>
      </c>
      <c r="DQ513" s="240">
        <f>_xlfn.XLOOKUP(ППД5[[#This Row],[№]],Юрист[№ кв],Юрист[Дата подачи на регистрацию]," ",0,-1)</f>
        <v>45268</v>
      </c>
      <c r="DR513" s="115" t="str">
        <f>_xlfn.XLOOKUP(ППД5[[#This Row],[№]],Юрист[№ кв],Юрист[МОП],"",0,-1)</f>
        <v>Никишов</v>
      </c>
      <c r="DS513" s="333" t="s">
        <v>3318</v>
      </c>
      <c r="DT513" s="333" t="s">
        <v>3319</v>
      </c>
      <c r="DU513" s="333">
        <v>22.8</v>
      </c>
      <c r="DV513" s="111"/>
    </row>
    <row r="514" spans="1:126" hidden="1" x14ac:dyDescent="0.25">
      <c r="A514" s="112">
        <v>512</v>
      </c>
      <c r="B514" s="111" t="s">
        <v>2</v>
      </c>
      <c r="C514" s="111">
        <v>16</v>
      </c>
      <c r="D514" s="115">
        <v>4</v>
      </c>
      <c r="E514" s="111">
        <v>2</v>
      </c>
      <c r="F514" s="105">
        <v>14.48</v>
      </c>
      <c r="G514" s="105">
        <v>11.42</v>
      </c>
      <c r="H514" s="105"/>
      <c r="I514" s="94">
        <f>SUM(ППД5[[#This Row],[Комната 1]:[Комната 3]])</f>
        <v>25.9</v>
      </c>
      <c r="J514" s="105">
        <v>15.86</v>
      </c>
      <c r="K514" s="105">
        <v>3.01</v>
      </c>
      <c r="L514" s="105">
        <v>2.67</v>
      </c>
      <c r="M514" s="105"/>
      <c r="N514" s="105">
        <v>9.44</v>
      </c>
      <c r="O514" s="105">
        <v>2.72</v>
      </c>
      <c r="P514" s="105"/>
      <c r="Q514" s="105"/>
      <c r="R514" s="105">
        <f>SUM(ППД5[[#This Row],[Лоджия 1]:[Лоджия 3]])</f>
        <v>2.72</v>
      </c>
      <c r="S514" s="8">
        <f>ROUND(SUM(ППД5[[#This Row],[Площадь по проекту жилая]:[Лоджия 3]]),2)</f>
        <v>59.6</v>
      </c>
      <c r="T514" s="8">
        <f>ROUND(ППД5[[#This Row],[Площадь по проекту(общая)]]-ППД5[[#This Row],[Летние]],2)</f>
        <v>56.88</v>
      </c>
      <c r="U514" s="91">
        <f>ROUND(ППД5[[#This Row],[Площадь по проекту(общая)]]-(SUM(ППД5[[#This Row],[Лоджия 1]:[Лоджия 3]])/2),2)</f>
        <v>58.24</v>
      </c>
      <c r="V514" s="91">
        <f>IF(ППД5[[#This Row],[Статус]]="продажа",ППД5[[#This Row],[Расчетная проектная площадь]],ППД5[[#This Row],[Расчетная ТП площадь]])</f>
        <v>58.24</v>
      </c>
      <c r="W514" s="91">
        <v>14.5</v>
      </c>
      <c r="X514" s="91">
        <v>11.3</v>
      </c>
      <c r="Y514" s="91"/>
      <c r="Z514" s="91">
        <f>SUM(ППД5[[#This Row],[ТП Комната 1]:[ТП Комната 3]])</f>
        <v>25.8</v>
      </c>
      <c r="AA514" s="91">
        <v>15.8</v>
      </c>
      <c r="AB514" s="91">
        <v>2.6</v>
      </c>
      <c r="AC514" s="91">
        <v>3</v>
      </c>
      <c r="AD514" s="91"/>
      <c r="AE514" s="91">
        <v>9.3000000000000007</v>
      </c>
      <c r="AF514" s="91">
        <v>1.35</v>
      </c>
      <c r="AG514" s="91"/>
      <c r="AH514" s="91"/>
      <c r="AI514" s="91">
        <f>SUM(ППД5[[#This Row],[ТП Лоджия 1]:[ТП Лоджия 3]])</f>
        <v>1.35</v>
      </c>
      <c r="AJ514" s="95">
        <v>2.7</v>
      </c>
      <c r="AK514" s="91">
        <f>SUM(ППД5[[#This Row],[Площадь по ТП жилая]:[ТП Лоджия 3]])-ППД5[[#This Row],[ТП Летние]]+ППД5[[#This Row],[кроме того прочая
(без коэффициента)]]</f>
        <v>59.2</v>
      </c>
      <c r="AL514" s="95">
        <f>ППД5[[#This Row],[ТП Площадь без летних]]+(ППД5[[#This Row],[ТП Летние]])</f>
        <v>57.85</v>
      </c>
      <c r="AM514" s="91">
        <f>ППД5[[#This Row],[ТП общая S]]-ППД5[[#This Row],[кроме того прочая
(без коэффициента)]]</f>
        <v>56.5</v>
      </c>
      <c r="AN514" s="95">
        <f>SUM(ППД5[[#This Row],[ТП Кухня]:[ТП Коридор]])</f>
        <v>30.700000000000003</v>
      </c>
      <c r="AO514" s="91">
        <f>ППД5[[#This Row],[Расчетная ТП площадь]]-ППД5[[#This Row],[Расчетная проектная площадь]]</f>
        <v>-0.39000000000000057</v>
      </c>
      <c r="AP514" s="335">
        <f>ППД5[[#This Row],[Расчетная ТП площадь]]/ППД5[[#This Row],[Расчетная проектная площадь]]-1</f>
        <v>-6.6964285714286031E-3</v>
      </c>
      <c r="AQ514" s="91">
        <f>ППД5[[#This Row],[% расхождения]]*ППД5[[#This Row],[Стоимость до скидки]]</f>
        <v>-37945.312500000182</v>
      </c>
      <c r="AR514" s="91">
        <f>VLOOKUP(ППД5[[#This Row],[№]],наценкад5[],COLUMN(наценкад5[[#This Row],[Цена м2 с учетом всех K]]),0)</f>
        <v>79535.67300000001</v>
      </c>
      <c r="AS514" s="8">
        <f>ППД5[[#This Row],[м2 после К]]*5%</f>
        <v>3976.7836500000008</v>
      </c>
      <c r="AT514" s="8">
        <f>ППД5[[#This Row],[м2 после К]]+ППД5[[#This Row],[Повышение 16.08.23 - 5%]]</f>
        <v>83512.456650000007</v>
      </c>
      <c r="AU514" s="93">
        <f>ППД5[[#This Row],[Фикс 16.08.23]]*3%</f>
        <v>2505.3736994999999</v>
      </c>
      <c r="AV514" s="93">
        <f>ППД5[[#This Row],[Фикс 16.08.23]]+ППД5[[#This Row],[Повышение 29.08.23 - 3%]]</f>
        <v>86017.8303495</v>
      </c>
      <c r="AW514" s="93"/>
      <c r="AX514" s="93">
        <f>ППД5[[#This Row],[Фикс 29.08.23]]+ППД5[[#This Row],[Повышение 06.09.23 СТ и 1К]]</f>
        <v>86017.8303495</v>
      </c>
      <c r="AY514" s="93"/>
      <c r="AZ514" s="93">
        <f>ППД5[[#This Row],[Повышение 23.10.23  В4 ]]+ППД5[[#This Row],[Фикс 06.09.23]]</f>
        <v>86017.8303495</v>
      </c>
      <c r="BA514" s="93"/>
      <c r="BB514" s="93">
        <f>ППД5[[#This Row],[Повышение 8.11.23 1К 5%]]+ППД5[[#This Row],[Фикс 23.10.23]]</f>
        <v>86017.8303495</v>
      </c>
      <c r="BC514" s="93"/>
      <c r="BD514" s="93">
        <f>ППД5[[#This Row],[Корректировка 24.11.23 - 1К В5, 2К А2, №233]]+ППД5[[#This Row],[Фикс 8.11.23]]</f>
        <v>86017.8303495</v>
      </c>
      <c r="BE514" s="93">
        <f>ППД5[[#This Row],[Фикс 8.11.24]]*1%</f>
        <v>860.17830349500002</v>
      </c>
      <c r="BF514" s="93">
        <f>ППД5[[#This Row],[Наценка за отделку 29.12.23 1%]]+ППД5[[#This Row],[Фикс 8.11.24]]</f>
        <v>86878.008652995006</v>
      </c>
      <c r="BG514" s="93">
        <f>ППД5[[#This Row],[Фикс 29.12.23]]*5%</f>
        <v>4343.9004326497507</v>
      </c>
      <c r="BH514" s="93">
        <f>ППД5[[#This Row],[Фикс 29.12.23]]+ППД5[[#This Row],[Наценка 10.01.24 5%]]</f>
        <v>91221.909085644758</v>
      </c>
      <c r="BI514" s="93"/>
      <c r="BJ514" s="93">
        <f>ППД5[[#This Row],[Наценка 26.02.24 1 Этаж]]+ППД5[[#This Row],[Фикс 10.01.24]]</f>
        <v>91221.909085644758</v>
      </c>
      <c r="BK514" s="93">
        <f>ППД5[[#This Row],[Фикс 26.02.24]]*2%</f>
        <v>1824.4381817128951</v>
      </c>
      <c r="BL514" s="93">
        <f>ППД5[[#This Row],[Фикс 26.02.24]]+ППД5[[#This Row],[Наценка 06.03.24
СТ, 1К - 3%
2К, 3К - 2%]]</f>
        <v>93046.347267357647</v>
      </c>
      <c r="BM514" s="93"/>
      <c r="BN514" s="93">
        <f>ППД5[[#This Row],[Фикс 06.03.24]]+ППД5[[#This Row],[Наценка Г2+500]]</f>
        <v>93046.347267357647</v>
      </c>
      <c r="BO514" s="93">
        <f>ППД5[[#This Row],[Фикс 13.03.25]]*2%</f>
        <v>1860.9269453471529</v>
      </c>
      <c r="BP514" s="93">
        <f>ППД5[[#This Row],[Фикс 13.03.25]]+ППД5[[#This Row],[Наценка 20.03.24
2К, 3К - 2%]]</f>
        <v>94907.274212704797</v>
      </c>
      <c r="BQ514" s="93"/>
      <c r="BR514" s="93">
        <f>ППД5[[#This Row],[Фикс 20.03.24]]+ППД5[[#This Row],[Наценка 08.04.24 
2К: В3 - 150
3К: Г7 +1000]]</f>
        <v>94907.274212704797</v>
      </c>
      <c r="BS514" s="93">
        <f>ППД5[[#This Row],[Фикс 08.04.24]]*1%</f>
        <v>949.07274212704795</v>
      </c>
      <c r="BT514" s="93">
        <f>ППД5[[#This Row],[Фикс 08.04.24]]+ППД5[[#This Row],[Наценка 16.05.24 1%
А4,А6,Б3,Б6,Б7,В2,В3,В5,В6,Г1,Г3-Г5]]</f>
        <v>95856.346954831839</v>
      </c>
      <c r="BU514" s="93"/>
      <c r="BV514" s="93">
        <f>ППД5[[#This Row],[Фикс 16.05.24]]+ППД5[[#This Row],[Наценка 24.05.24
1% - Б4, Б5,Г2,Г6
2% - А1,А3,А5,Б2,Г7]]</f>
        <v>95856.346954831839</v>
      </c>
      <c r="BW514" s="93"/>
      <c r="BX514" s="93">
        <f>ППД5[[#This Row],[Наценка 06.06.24
0К: В2,Г3 +0,5%
1К: А7, Б5/4, Г6 +0,5%
3К: В6 +0,5%
1К: А3 +1%]]+ППД5[[#This Row],[Фикс 24.05.24]]</f>
        <v>95856.346954831839</v>
      </c>
      <c r="BY514" s="93"/>
      <c r="BZ514" s="93">
        <f>ППД5[[#This Row],[Фикс 06.06.24]]+ППД5[[#This Row],[13.06.2024
3К - 2%]]</f>
        <v>95856.346954831839</v>
      </c>
      <c r="CA514" s="47">
        <f>1.5%*ППД5[[#This Row],[Фикс 13.06.24]]</f>
        <v>1437.8452043224775</v>
      </c>
      <c r="CB514" s="93">
        <f>ППД5[[#This Row],[02.07.2024: Г3 А1 А3 Б5 Б7 Г2 Г6 Б3 Б4 В3 Г7 2,5% ост 0,5-1,5%]]+ППД5[[#This Row],[Фикс 13.06.24]]</f>
        <v>97294.192159154321</v>
      </c>
      <c r="CC514" s="93"/>
      <c r="CD514" s="93">
        <f>ППД5[[#This Row],[Фикс 02.07.24]]+ППД5[[#This Row],[04.09.2024 +500
0К - Б2; 1К - А3;
2К - А6, Б4, В3, Г5]]</f>
        <v>97294.192159154321</v>
      </c>
      <c r="CE514" s="93"/>
      <c r="CF514" s="93">
        <f>ППД5[[#This Row],[Наценка 16.09.2024
1К: А1,В7,Г6/7,Г8 - 2%
2К: А4,А5,А6,Б1,Б6,Б3/4,В3,В4,Г4,Г5 - 4%
3К: 4%]]+ППД5[[#This Row],[Фикс 04.09.24]]</f>
        <v>97294.192159154321</v>
      </c>
      <c r="CG514" s="93"/>
      <c r="CH514" s="93">
        <f>ППД5[[#This Row],[Фикс 16.09.2024]]+ППД5[[#This Row],[Наценка 01.11.24
СТ: 4%
1К: 34-40м 5%; 40м+ 8%; МГН 1%
2К: 55-70м 6%; 70-73м 7%; 73-76м 8% 
3К: 5%]]</f>
        <v>97294.192159154321</v>
      </c>
      <c r="CI514" s="93"/>
      <c r="CJ514" s="93">
        <f>ППД5[[#This Row],[Наценка 06.11 13%]]+ППД5[[#This Row],[Фикс 01.11.24]]</f>
        <v>97294.192159154321</v>
      </c>
      <c r="CK514" s="93"/>
      <c r="CL514" s="93">
        <f>ППД5[[#This Row],[Фикс 06.11.24]]+ППД5[[#This Row],[Наценка 18.12.24 распределение КВ]]</f>
        <v>97294.192159154321</v>
      </c>
      <c r="CM514" s="93"/>
      <c r="CN514" s="93">
        <f>ППД5[[#This Row],[Фикс 18.12.24]]+ППД5[[#This Row],[Наценка 10.02.25 +1%
1К: А3
2К: Б3, В3]]</f>
        <v>97294.192159154321</v>
      </c>
      <c r="CO514" s="93">
        <f>ROUND(ППД5[[#This Row],[Фикс 10.02.25]],2)</f>
        <v>97294.19</v>
      </c>
      <c r="CP51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5666500</v>
      </c>
      <c r="CQ514" s="93">
        <f>ROUNDUP(ППД5[[#This Row],[Стоимость до скидки]]+ППД5[[#This Row],[Сумма доплаты]],-2)</f>
        <v>5628600</v>
      </c>
      <c r="CR514" s="68"/>
      <c r="CS514" s="90">
        <v>0.03</v>
      </c>
      <c r="CT514" s="68">
        <f>ППД5[[#This Row],[Стоимость до скидки]]*ППД5[[#This Row],[Скидка %]]+ППД5[[#This Row],[Скидка фиксированная]]</f>
        <v>169995</v>
      </c>
      <c r="CU514" s="3">
        <f>ППД5[[#This Row],[Стоимость ОН без отделки со скидкой]]/ППД5[[#This Row],[Расчетная проектная площадь]]</f>
        <v>94376.802884615376</v>
      </c>
      <c r="CV514" s="3">
        <f>ROUND(ППД5[[#This Row],[Стоимость до скидки]]-ППД5[[#This Row],[Итоговая сумма скидки]],2)</f>
        <v>5496505</v>
      </c>
      <c r="CW51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14" s="197"/>
      <c r="CY514" s="332">
        <f>ППД5[[#This Row],[Расхождение]]/ППД5[[#This Row],[Расчетная проектная площадь]]</f>
        <v>-6.6964285714285806E-3</v>
      </c>
      <c r="CZ51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-0.27999999999999581</v>
      </c>
      <c r="DA514" s="3">
        <f>ППД5[[#This Row],[Цена м2 без отделки со скидкой]]+ППД5[[#This Row],[Стоимость отделки]]</f>
        <v>94376.802884615376</v>
      </c>
      <c r="DB514" s="3">
        <f>ППД5[[#This Row],[Стоимость квартиры с отделкой]]-ППД5[[#This Row],[Стоимость ОН без отделки со скидкой]]</f>
        <v>0</v>
      </c>
      <c r="DC514" s="3">
        <f>ППД5[[#This Row],[Цена м2 с отделкой]]*ППД5[[#This Row],[Расчетная проектная площадь]]</f>
        <v>5496505</v>
      </c>
      <c r="DD514" s="3"/>
      <c r="DE514" s="111" t="s">
        <v>162</v>
      </c>
      <c r="DF514" s="155" t="s">
        <v>172</v>
      </c>
      <c r="DG514" s="245" t="s">
        <v>172</v>
      </c>
      <c r="DH514" s="100" t="b">
        <f>EXACT(ППД5[[#This Row],[Статусы CRM]],ППД5[[#This Row],[Статус]])</f>
        <v>1</v>
      </c>
      <c r="DI514" s="213" t="s">
        <v>686</v>
      </c>
      <c r="DJ514" s="204"/>
      <c r="DK514" s="111" t="s">
        <v>763</v>
      </c>
      <c r="DL514" s="216" t="s">
        <v>12</v>
      </c>
      <c r="DM514" s="201" t="b">
        <f>ППД5[[#This Row],[Отделка CRM]]=ППД5[[#This Row],[Отделка]]</f>
        <v>1</v>
      </c>
      <c r="DN514" s="203">
        <v>5496505</v>
      </c>
      <c r="DO51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14" s="207" t="b">
        <f>IF(AND(ППД5[[#This Row],[Статус]]="свободно",ППД5[[#This Row],[Итоговая сумма скидки]]&lt;&gt;0),FALSE,TRUE)</f>
        <v>1</v>
      </c>
      <c r="DQ514" s="240">
        <f>_xlfn.XLOOKUP(ППД5[[#This Row],[№]],Юрист[№ кв],Юрист[Дата подачи на регистрацию]," ",0,-1)</f>
        <v>45555</v>
      </c>
      <c r="DR514" s="115" t="str">
        <f>_xlfn.XLOOKUP(ППД5[[#This Row],[№]],Юрист[№ кв],Юрист[МОП],"",0,-1)</f>
        <v>Никишов</v>
      </c>
      <c r="DS514" s="333" t="s">
        <v>3320</v>
      </c>
      <c r="DT514" s="333" t="s">
        <v>3321</v>
      </c>
      <c r="DU514" s="333">
        <v>56.5</v>
      </c>
      <c r="DV514" s="111"/>
    </row>
    <row r="515" spans="1:126" hidden="1" x14ac:dyDescent="0.25">
      <c r="A515" s="112">
        <v>513</v>
      </c>
      <c r="B515" s="111" t="s">
        <v>2</v>
      </c>
      <c r="C515" s="111">
        <v>16</v>
      </c>
      <c r="D515" s="115">
        <v>5</v>
      </c>
      <c r="E515" s="111">
        <v>2</v>
      </c>
      <c r="F515" s="105">
        <v>15.41</v>
      </c>
      <c r="G515" s="105">
        <v>12.78</v>
      </c>
      <c r="H515" s="105"/>
      <c r="I515" s="94">
        <f>SUM(ППД5[[#This Row],[Комната 1]:[Комната 3]])</f>
        <v>28.189999999999998</v>
      </c>
      <c r="J515" s="105">
        <v>13.45</v>
      </c>
      <c r="K515" s="105">
        <v>3.7</v>
      </c>
      <c r="L515" s="105">
        <v>2.72</v>
      </c>
      <c r="M515" s="105"/>
      <c r="N515" s="105">
        <v>8.2200000000000006</v>
      </c>
      <c r="O515" s="105">
        <v>3.03</v>
      </c>
      <c r="P515" s="105"/>
      <c r="Q515" s="105"/>
      <c r="R515" s="105">
        <f>SUM(ППД5[[#This Row],[Лоджия 1]:[Лоджия 3]])</f>
        <v>3.03</v>
      </c>
      <c r="S515" s="8">
        <f>ROUND(SUM(ППД5[[#This Row],[Площадь по проекту жилая]:[Лоджия 3]]),2)</f>
        <v>59.31</v>
      </c>
      <c r="T515" s="8">
        <f>ROUND(ППД5[[#This Row],[Площадь по проекту(общая)]]-ППД5[[#This Row],[Летние]],2)</f>
        <v>56.28</v>
      </c>
      <c r="U515" s="91">
        <f>ROUND(ППД5[[#This Row],[Площадь по проекту(общая)]]-(SUM(ППД5[[#This Row],[Лоджия 1]:[Лоджия 3]])/2),2)</f>
        <v>57.8</v>
      </c>
      <c r="V515" s="91">
        <f>IF(ППД5[[#This Row],[Статус]]="продажа",ППД5[[#This Row],[Расчетная проектная площадь]],ППД5[[#This Row],[Расчетная ТП площадь]])</f>
        <v>57.8</v>
      </c>
      <c r="W515" s="91">
        <v>12.7</v>
      </c>
      <c r="X515" s="91">
        <v>15.3</v>
      </c>
      <c r="Y515" s="91"/>
      <c r="Z515" s="91">
        <f>SUM(ППД5[[#This Row],[ТП Комната 1]:[ТП Комната 3]])</f>
        <v>28</v>
      </c>
      <c r="AA515" s="91">
        <v>13.6</v>
      </c>
      <c r="AB515" s="91">
        <v>2.7</v>
      </c>
      <c r="AC515" s="91">
        <v>3.7</v>
      </c>
      <c r="AD515" s="91"/>
      <c r="AE515" s="91">
        <v>8.1</v>
      </c>
      <c r="AF515" s="91">
        <v>1.55</v>
      </c>
      <c r="AG515" s="91"/>
      <c r="AH515" s="91"/>
      <c r="AI515" s="91">
        <f>SUM(ППД5[[#This Row],[ТП Лоджия 1]:[ТП Лоджия 3]])</f>
        <v>1.55</v>
      </c>
      <c r="AJ515" s="95">
        <v>3.1</v>
      </c>
      <c r="AK515" s="91">
        <f>SUM(ППД5[[#This Row],[Площадь по ТП жилая]:[ТП Лоджия 3]])-ППД5[[#This Row],[ТП Летние]]+ППД5[[#This Row],[кроме того прочая
(без коэффициента)]]</f>
        <v>59.20000000000001</v>
      </c>
      <c r="AL515" s="95">
        <f>ППД5[[#This Row],[ТП Площадь без летних]]+(ППД5[[#This Row],[ТП Летние]])</f>
        <v>57.650000000000006</v>
      </c>
      <c r="AM515" s="91">
        <f>ППД5[[#This Row],[ТП общая S]]-ППД5[[#This Row],[кроме того прочая
(без коэффициента)]]</f>
        <v>56.100000000000009</v>
      </c>
      <c r="AN515" s="95">
        <f>SUM(ППД5[[#This Row],[ТП Кухня]:[ТП Коридор]])</f>
        <v>28.1</v>
      </c>
      <c r="AO515" s="91">
        <f>ППД5[[#This Row],[Расчетная ТП площадь]]-ППД5[[#This Row],[Расчетная проектная площадь]]</f>
        <v>-0.14999999999999147</v>
      </c>
      <c r="AP515" s="335">
        <f>ППД5[[#This Row],[Расчетная ТП площадь]]/ППД5[[#This Row],[Расчетная проектная площадь]]-1</f>
        <v>-2.5951557093424338E-3</v>
      </c>
      <c r="AQ515" s="91">
        <f>ППД5[[#This Row],[% расхождения]]*ППД5[[#This Row],[Стоимость до скидки]]</f>
        <v>-18185.294117646172</v>
      </c>
      <c r="AR515" s="91">
        <f>VLOOKUP(ППД5[[#This Row],[№]],наценкад5[],COLUMN(наценкад5[[#This Row],[Цена м2 с учетом всех K]]),0)</f>
        <v>79149.577499999999</v>
      </c>
      <c r="AS515" s="8">
        <f>ППД5[[#This Row],[м2 после К]]*5%</f>
        <v>3957.4788750000002</v>
      </c>
      <c r="AT515" s="8">
        <f>ППД5[[#This Row],[м2 после К]]+ППД5[[#This Row],[Повышение 16.08.23 - 5%]]</f>
        <v>83107.056375</v>
      </c>
      <c r="AU515" s="93">
        <f>ППД5[[#This Row],[Фикс 16.08.23]]*3%</f>
        <v>2493.2116912500001</v>
      </c>
      <c r="AV515" s="93">
        <f>ППД5[[#This Row],[Фикс 16.08.23]]+ППД5[[#This Row],[Повышение 29.08.23 - 3%]]</f>
        <v>85600.268066250006</v>
      </c>
      <c r="AW515" s="93"/>
      <c r="AX515" s="93">
        <f>ППД5[[#This Row],[Фикс 29.08.23]]+ППД5[[#This Row],[Повышение 06.09.23 СТ и 1К]]</f>
        <v>85600.268066250006</v>
      </c>
      <c r="AY515" s="93"/>
      <c r="AZ515" s="93">
        <f>ППД5[[#This Row],[Повышение 23.10.23  В4 ]]+ППД5[[#This Row],[Фикс 06.09.23]]</f>
        <v>85600.268066250006</v>
      </c>
      <c r="BA515" s="93"/>
      <c r="BB515" s="93">
        <f>ППД5[[#This Row],[Повышение 8.11.23 1К 5%]]+ППД5[[#This Row],[Фикс 23.10.23]]</f>
        <v>85600.268066250006</v>
      </c>
      <c r="BC515" s="93"/>
      <c r="BD515" s="93">
        <f>ППД5[[#This Row],[Корректировка 24.11.23 - 1К В5, 2К А2, №233]]+ППД5[[#This Row],[Фикс 8.11.23]]</f>
        <v>85600.268066250006</v>
      </c>
      <c r="BE515" s="93">
        <f>ППД5[[#This Row],[Фикс 8.11.24]]*1%</f>
        <v>856.0026806625001</v>
      </c>
      <c r="BF515" s="93">
        <f>ППД5[[#This Row],[Наценка за отделку 29.12.23 1%]]+ППД5[[#This Row],[Фикс 8.11.24]]</f>
        <v>86456.270746912502</v>
      </c>
      <c r="BG515" s="93">
        <f>ППД5[[#This Row],[Фикс 29.12.23]]*5%</f>
        <v>4322.8135373456253</v>
      </c>
      <c r="BH515" s="93">
        <f>ППД5[[#This Row],[Фикс 29.12.23]]+ППД5[[#This Row],[Наценка 10.01.24 5%]]</f>
        <v>90779.084284258133</v>
      </c>
      <c r="BI515" s="93"/>
      <c r="BJ515" s="93">
        <f>ППД5[[#This Row],[Наценка 26.02.24 1 Этаж]]+ППД5[[#This Row],[Фикс 10.01.24]]</f>
        <v>90779.084284258133</v>
      </c>
      <c r="BK515" s="93">
        <f>ППД5[[#This Row],[Фикс 26.02.24]]*2%</f>
        <v>1815.5816856851627</v>
      </c>
      <c r="BL515" s="93">
        <f>ППД5[[#This Row],[Фикс 26.02.24]]+ППД5[[#This Row],[Наценка 06.03.24
СТ, 1К - 3%
2К, 3К - 2%]]</f>
        <v>92594.665969943293</v>
      </c>
      <c r="BM515" s="93"/>
      <c r="BN515" s="93">
        <f>ППД5[[#This Row],[Фикс 06.03.24]]+ППД5[[#This Row],[Наценка Г2+500]]</f>
        <v>92594.665969943293</v>
      </c>
      <c r="BO515" s="93">
        <f>ППД5[[#This Row],[Фикс 13.03.25]]*2%</f>
        <v>1851.893319398866</v>
      </c>
      <c r="BP515" s="93">
        <f>ППД5[[#This Row],[Фикс 13.03.25]]+ППД5[[#This Row],[Наценка 20.03.24
2К, 3К - 2%]]</f>
        <v>94446.559289342156</v>
      </c>
      <c r="BQ515" s="93"/>
      <c r="BR515" s="93">
        <f>ППД5[[#This Row],[Фикс 20.03.24]]+ППД5[[#This Row],[Наценка 08.04.24 
2К: В3 - 150
3К: Г7 +1000]]</f>
        <v>94446.559289342156</v>
      </c>
      <c r="BS515" s="93">
        <f>ППД5[[#This Row],[Фикс 08.04.24]]*1%</f>
        <v>944.46559289342156</v>
      </c>
      <c r="BT515" s="93">
        <f>ППД5[[#This Row],[Фикс 08.04.24]]+ППД5[[#This Row],[Наценка 16.05.24 1%
А4,А6,Б3,Б6,Б7,В2,В3,В5,В6,Г1,Г3-Г5]]</f>
        <v>95391.024882235579</v>
      </c>
      <c r="BU515" s="93"/>
      <c r="BV515" s="93">
        <f>ППД5[[#This Row],[Фикс 16.05.24]]+ППД5[[#This Row],[Наценка 24.05.24
1% - Б4, Б5,Г2,Г6
2% - А1,А3,А5,Б2,Г7]]</f>
        <v>95391.024882235579</v>
      </c>
      <c r="BW515" s="93"/>
      <c r="BX515" s="93">
        <f>ППД5[[#This Row],[Наценка 06.06.24
0К: В2,Г3 +0,5%
1К: А7, Б5/4, Г6 +0,5%
3К: В6 +0,5%
1К: А3 +1%]]+ППД5[[#This Row],[Фикс 24.05.24]]</f>
        <v>95391.024882235579</v>
      </c>
      <c r="BY515" s="93"/>
      <c r="BZ515" s="93">
        <f>ППД5[[#This Row],[Фикс 06.06.24]]+ППД5[[#This Row],[13.06.2024
3К - 2%]]</f>
        <v>95391.024882235579</v>
      </c>
      <c r="CA515" s="47">
        <f>1.5%*ППД5[[#This Row],[Фикс 13.06.24]]</f>
        <v>1430.8653732335335</v>
      </c>
      <c r="CB515" s="93">
        <f>ППД5[[#This Row],[02.07.2024: Г3 А1 А3 Б5 Б7 Г2 Г6 Б3 Б4 В3 Г7 2,5% ост 0,5-1,5%]]+ППД5[[#This Row],[Фикс 13.06.24]]</f>
        <v>96821.890255469116</v>
      </c>
      <c r="CC515" s="93">
        <v>500</v>
      </c>
      <c r="CD515" s="93">
        <f>ППД5[[#This Row],[Фикс 02.07.24]]+ППД5[[#This Row],[04.09.2024 +500
0К - Б2; 1К - А3;
2К - А6, Б4, В3, Г5]]</f>
        <v>97321.890255469116</v>
      </c>
      <c r="CE515" s="93">
        <f>ППД5[[#This Row],[Фикс 04.09.24]]*4%</f>
        <v>3892.8756102187649</v>
      </c>
      <c r="CF515" s="93">
        <f>ППД5[[#This Row],[Наценка 16.09.2024
1К: А1,В7,Г6/7,Г8 - 2%
2К: А4,А5,А6,Б1,Б6,Б3/4,В3,В4,Г4,Г5 - 4%
3К: 4%]]+ППД5[[#This Row],[Фикс 04.09.24]]</f>
        <v>101214.76586568788</v>
      </c>
      <c r="CG515" s="93">
        <f>ППД5[[#This Row],[Фикс 16.09.2024]]*6%</f>
        <v>6072.8859519412727</v>
      </c>
      <c r="CH515" s="93">
        <f>ППД5[[#This Row],[Фикс 16.09.2024]]+ППД5[[#This Row],[Наценка 01.11.24
СТ: 4%
1К: 34-40м 5%; 40м+ 8%; МГН 1%
2К: 55-70м 6%; 70-73м 7%; 73-76м 8% 
3К: 5%]]</f>
        <v>107287.65181762914</v>
      </c>
      <c r="CI515" s="93">
        <f>ППД5[[#This Row],[Фикс 01.11.24]]*13%</f>
        <v>13947.39473629179</v>
      </c>
      <c r="CJ515" s="93">
        <f>ППД5[[#This Row],[Наценка 06.11 13%]]+ППД5[[#This Row],[Фикс 01.11.24]]</f>
        <v>121235.04655392093</v>
      </c>
      <c r="CK515" s="93"/>
      <c r="CL515" s="93">
        <f>ППД5[[#This Row],[Фикс 06.11.24]]+ППД5[[#This Row],[Наценка 18.12.24 распределение КВ]]</f>
        <v>121235.04655392093</v>
      </c>
      <c r="CM515" s="93"/>
      <c r="CN515" s="93">
        <f>ППД5[[#This Row],[Фикс 18.12.24]]+ППД5[[#This Row],[Наценка 10.02.25 +1%
1К: А3
2К: Б3, В3]]</f>
        <v>121235.04655392093</v>
      </c>
      <c r="CO515" s="93">
        <f>ROUND(ППД5[[#This Row],[Фикс 10.02.25]],2)</f>
        <v>121235.05</v>
      </c>
      <c r="CP51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7007400</v>
      </c>
      <c r="CQ515" s="93">
        <f>ROUNDUP(ППД5[[#This Row],[Стоимость до скидки]]+ППД5[[#This Row],[Сумма доплаты]],-2)</f>
        <v>6989300</v>
      </c>
      <c r="CR515" s="68"/>
      <c r="CS515" s="90">
        <v>0.02</v>
      </c>
      <c r="CT515" s="68">
        <f>ППД5[[#This Row],[Стоимость до скидки]]*ППД5[[#This Row],[Скидка %]]+ППД5[[#This Row],[Скидка фиксированная]]</f>
        <v>140148</v>
      </c>
      <c r="CU515" s="3">
        <f>ППД5[[#This Row],[Стоимость ОН без отделки со скидкой]]/ППД5[[#This Row],[Расчетная проектная площадь]]</f>
        <v>118810.58823529413</v>
      </c>
      <c r="CV515" s="3">
        <f>ROUND(ППД5[[#This Row],[Стоимость до скидки]]-ППД5[[#This Row],[Итоговая сумма скидки]],2)</f>
        <v>6867252</v>
      </c>
      <c r="CW51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515" s="197">
        <v>25000</v>
      </c>
      <c r="CY515" s="332">
        <f>ППД5[[#This Row],[Расхождение]]/ППД5[[#This Row],[Расчетная проектная площадь]]</f>
        <v>-2.595155709342413E-3</v>
      </c>
      <c r="CZ51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1.0000000000005116E-2</v>
      </c>
      <c r="DA515" s="3">
        <f>ППД5[[#This Row],[Цена м2 без отделки со скидкой]]+ППД5[[#This Row],[Стоимость отделки]]</f>
        <v>143810.58823529413</v>
      </c>
      <c r="DB515" s="3">
        <f>ППД5[[#This Row],[Стоимость квартиры с отделкой]]-ППД5[[#This Row],[Стоимость ОН без отделки со скидкой]]</f>
        <v>1445000</v>
      </c>
      <c r="DC515" s="3">
        <f>ППД5[[#This Row],[Цена м2 с отделкой]]*ППД5[[#This Row],[Расчетная проектная площадь]]</f>
        <v>8312252</v>
      </c>
      <c r="DD515" s="3"/>
      <c r="DE515" s="111" t="s">
        <v>757</v>
      </c>
      <c r="DF515" s="199" t="s">
        <v>172</v>
      </c>
      <c r="DG515" s="245" t="s">
        <v>172</v>
      </c>
      <c r="DH515" s="100" t="b">
        <f>EXACT(ППД5[[#This Row],[Статусы CRM]],ППД5[[#This Row],[Статус]])</f>
        <v>1</v>
      </c>
      <c r="DI515" s="213" t="s">
        <v>687</v>
      </c>
      <c r="DJ515" s="204"/>
      <c r="DK515" s="111" t="s">
        <v>763</v>
      </c>
      <c r="DL515" s="216" t="s">
        <v>14</v>
      </c>
      <c r="DM515" s="201" t="b">
        <f>ППД5[[#This Row],[Отделка CRM]]=ППД5[[#This Row],[Отделка]]</f>
        <v>1</v>
      </c>
      <c r="DN515" s="203">
        <v>8312252</v>
      </c>
      <c r="DO51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15" s="207" t="b">
        <f>IF(AND(ППД5[[#This Row],[Статус]]="свободно",ППД5[[#This Row],[Итоговая сумма скидки]]&lt;&gt;0),FALSE,TRUE)</f>
        <v>1</v>
      </c>
      <c r="DQ515" s="240">
        <f>_xlfn.XLOOKUP(ППД5[[#This Row],[№]],Юрист[№ кв],Юрист[Дата подачи на регистрацию]," ",0,-1)</f>
        <v>45643</v>
      </c>
      <c r="DR515" s="115" t="str">
        <f>_xlfn.XLOOKUP(ППД5[[#This Row],[№]],Юрист[№ кв],Юрист[МОП],"",0,-1)</f>
        <v>Полехович</v>
      </c>
      <c r="DS515" s="333" t="s">
        <v>3322</v>
      </c>
      <c r="DT515" s="333" t="s">
        <v>3323</v>
      </c>
      <c r="DU515" s="333">
        <v>56.1</v>
      </c>
      <c r="DV515" s="111"/>
    </row>
    <row r="516" spans="1:126" hidden="1" x14ac:dyDescent="0.25">
      <c r="A516" s="112">
        <v>514</v>
      </c>
      <c r="B516" s="111" t="s">
        <v>2</v>
      </c>
      <c r="C516" s="111">
        <v>16</v>
      </c>
      <c r="D516" s="115">
        <v>6</v>
      </c>
      <c r="E516" s="111">
        <v>1</v>
      </c>
      <c r="F516" s="105">
        <v>12.71</v>
      </c>
      <c r="G516" s="105"/>
      <c r="H516" s="105"/>
      <c r="I516" s="94">
        <f>SUM(ППД5[[#This Row],[Комната 1]:[Комната 3]])</f>
        <v>12.71</v>
      </c>
      <c r="J516" s="105">
        <v>12.55</v>
      </c>
      <c r="K516" s="105">
        <v>4.28</v>
      </c>
      <c r="L516" s="105"/>
      <c r="M516" s="105"/>
      <c r="N516" s="105">
        <v>7.34</v>
      </c>
      <c r="O516" s="105">
        <v>2.84</v>
      </c>
      <c r="P516" s="105"/>
      <c r="Q516" s="105"/>
      <c r="R516" s="105">
        <f>SUM(ППД5[[#This Row],[Лоджия 1]:[Лоджия 3]])</f>
        <v>2.84</v>
      </c>
      <c r="S516" s="8">
        <f>ROUND(SUM(ППД5[[#This Row],[Площадь по проекту жилая]:[Лоджия 3]]),2)</f>
        <v>39.72</v>
      </c>
      <c r="T516" s="8">
        <f>ROUND(ППД5[[#This Row],[Площадь по проекту(общая)]]-ППД5[[#This Row],[Летние]],2)</f>
        <v>36.880000000000003</v>
      </c>
      <c r="U516" s="91">
        <f>ROUND(ППД5[[#This Row],[Площадь по проекту(общая)]]-(SUM(ППД5[[#This Row],[Лоджия 1]:[Лоджия 3]])/2),2)</f>
        <v>38.299999999999997</v>
      </c>
      <c r="V516" s="91">
        <f>IF(ППД5[[#This Row],[Статус]]="продажа",ППД5[[#This Row],[Расчетная проектная площадь]],ППД5[[#This Row],[Расчетная ТП площадь]])</f>
        <v>37.85</v>
      </c>
      <c r="W516" s="91">
        <v>12.5</v>
      </c>
      <c r="X516" s="91"/>
      <c r="Y516" s="91"/>
      <c r="Z516" s="91">
        <f>SUM(ППД5[[#This Row],[ТП Комната 1]:[ТП Комната 3]])</f>
        <v>12.5</v>
      </c>
      <c r="AA516" s="91">
        <v>12.7</v>
      </c>
      <c r="AB516" s="91">
        <v>4</v>
      </c>
      <c r="AC516" s="91"/>
      <c r="AD516" s="91"/>
      <c r="AE516" s="91">
        <v>7.2</v>
      </c>
      <c r="AF516" s="91">
        <v>1.45</v>
      </c>
      <c r="AG516" s="91"/>
      <c r="AH516" s="91"/>
      <c r="AI516" s="91">
        <f>SUM(ППД5[[#This Row],[ТП Лоджия 1]:[ТП Лоджия 3]])</f>
        <v>1.45</v>
      </c>
      <c r="AJ516" s="95">
        <v>2.9</v>
      </c>
      <c r="AK516" s="91">
        <f>SUM(ППД5[[#This Row],[Площадь по ТП жилая]:[ТП Лоджия 3]])-ППД5[[#This Row],[ТП Летние]]+ППД5[[#This Row],[кроме того прочая
(без коэффициента)]]</f>
        <v>39.299999999999997</v>
      </c>
      <c r="AL516" s="95">
        <f>ППД5[[#This Row],[ТП Площадь без летних]]+(ППД5[[#This Row],[ТП Летние]])</f>
        <v>37.85</v>
      </c>
      <c r="AM516" s="91">
        <f>ППД5[[#This Row],[ТП общая S]]-ППД5[[#This Row],[кроме того прочая
(без коэффициента)]]</f>
        <v>36.4</v>
      </c>
      <c r="AN516" s="95">
        <f>SUM(ППД5[[#This Row],[ТП Кухня]:[ТП Коридор]])</f>
        <v>23.9</v>
      </c>
      <c r="AO516" s="91">
        <f>ППД5[[#This Row],[Расчетная ТП площадь]]-ППД5[[#This Row],[Расчетная проектная площадь]]</f>
        <v>-0.44999999999999574</v>
      </c>
      <c r="AP516" s="335">
        <f>ППД5[[#This Row],[Расчетная ТП площадь]]/ППД5[[#This Row],[Расчетная проектная площадь]]-1</f>
        <v>-1.1749347258485532E-2</v>
      </c>
      <c r="AQ516" s="91">
        <f>ППД5[[#This Row],[% расхождения]]*ППД5[[#This Row],[Стоимость до скидки]]</f>
        <v>-62202.219321148252</v>
      </c>
      <c r="AR516" s="91">
        <f>VLOOKUP(ППД5[[#This Row],[№]],наценкад5[],COLUMN(наценкад5[[#This Row],[Цена м2 с учетом всех K]]),0)</f>
        <v>87601.5</v>
      </c>
      <c r="AS516" s="8">
        <f>ППД5[[#This Row],[м2 после К]]*5%</f>
        <v>4380.0749999999998</v>
      </c>
      <c r="AT516" s="8">
        <f>ППД5[[#This Row],[м2 после К]]+ППД5[[#This Row],[Повышение 16.08.23 - 5%]]</f>
        <v>91981.574999999997</v>
      </c>
      <c r="AU516" s="93">
        <f>ППД5[[#This Row],[Фикс 16.08.23]]*3%</f>
        <v>2759.4472499999997</v>
      </c>
      <c r="AV516" s="93">
        <f>ППД5[[#This Row],[Фикс 16.08.23]]+ППД5[[#This Row],[Повышение 29.08.23 - 3%]]</f>
        <v>94741.022249999995</v>
      </c>
      <c r="AW516" s="93">
        <f>ППД5[[#This Row],[Фикс 29.08.23]]*1%</f>
        <v>947.41022249999992</v>
      </c>
      <c r="AX516" s="93">
        <f>ППД5[[#This Row],[Фикс 29.08.23]]+ППД5[[#This Row],[Повышение 06.09.23 СТ и 1К]]</f>
        <v>95688.43247249999</v>
      </c>
      <c r="AY516" s="93"/>
      <c r="AZ516" s="93">
        <f>ППД5[[#This Row],[Повышение 23.10.23  В4 ]]+ППД5[[#This Row],[Фикс 06.09.23]]</f>
        <v>95688.43247249999</v>
      </c>
      <c r="BA516" s="93">
        <f>ППД5[[#This Row],[Фикс 23.10.23]]*5%</f>
        <v>4784.4216236249995</v>
      </c>
      <c r="BB516" s="93">
        <f>ППД5[[#This Row],[Повышение 8.11.23 1К 5%]]+ППД5[[#This Row],[Фикс 23.10.23]]</f>
        <v>100472.854096125</v>
      </c>
      <c r="BC516" s="93"/>
      <c r="BD516" s="93">
        <f>ППД5[[#This Row],[Корректировка 24.11.23 - 1К В5, 2К А2, №233]]+ППД5[[#This Row],[Фикс 8.11.23]]</f>
        <v>100472.854096125</v>
      </c>
      <c r="BE516" s="93">
        <f>ППД5[[#This Row],[Фикс 8.11.24]]*1%</f>
        <v>1004.72854096125</v>
      </c>
      <c r="BF516" s="93">
        <f>ППД5[[#This Row],[Наценка за отделку 29.12.23 1%]]+ППД5[[#This Row],[Фикс 8.11.24]]</f>
        <v>101477.58263708625</v>
      </c>
      <c r="BG516" s="93">
        <f>ППД5[[#This Row],[Фикс 29.12.23]]*5%</f>
        <v>5073.8791318543126</v>
      </c>
      <c r="BH516" s="93">
        <f>ППД5[[#This Row],[Фикс 29.12.23]]+ППД5[[#This Row],[Наценка 10.01.24 5%]]</f>
        <v>106551.46176894056</v>
      </c>
      <c r="BI516" s="93"/>
      <c r="BJ516" s="93">
        <f>ППД5[[#This Row],[Наценка 26.02.24 1 Этаж]]+ППД5[[#This Row],[Фикс 10.01.24]]</f>
        <v>106551.46176894056</v>
      </c>
      <c r="BK516" s="93">
        <f>ППД5[[#This Row],[Фикс 26.02.24]]*3%</f>
        <v>3196.5438530682168</v>
      </c>
      <c r="BL516" s="93">
        <f>ППД5[[#This Row],[Фикс 26.02.24]]+ППД5[[#This Row],[Наценка 06.03.24
СТ, 1К - 3%
2К, 3К - 2%]]</f>
        <v>109748.00562200877</v>
      </c>
      <c r="BM516" s="93"/>
      <c r="BN516" s="93">
        <f>ППД5[[#This Row],[Фикс 06.03.24]]+ППД5[[#This Row],[Наценка Г2+500]]</f>
        <v>109748.00562200877</v>
      </c>
      <c r="BO516" s="93"/>
      <c r="BP516" s="93">
        <f>ППД5[[#This Row],[Фикс 13.03.25]]+ППД5[[#This Row],[Наценка 20.03.24
2К, 3К - 2%]]</f>
        <v>109748.00562200877</v>
      </c>
      <c r="BQ516" s="93"/>
      <c r="BR516" s="93">
        <f>ППД5[[#This Row],[Фикс 20.03.24]]+ППД5[[#This Row],[Наценка 08.04.24 
2К: В3 - 150
3К: Г7 +1000]]</f>
        <v>109748.00562200877</v>
      </c>
      <c r="BS516" s="93"/>
      <c r="BT516" s="93">
        <f>ППД5[[#This Row],[Фикс 08.04.24]]+ППД5[[#This Row],[Наценка 16.05.24 1%
А4,А6,Б3,Б6,Б7,В2,В3,В5,В6,Г1,Г3-Г5]]</f>
        <v>109748.00562200877</v>
      </c>
      <c r="BU516" s="93">
        <f>ППД5[[#This Row],[Фикс 16.05.24]]*1%</f>
        <v>1097.4800562200878</v>
      </c>
      <c r="BV516" s="93">
        <f>ППД5[[#This Row],[Фикс 16.05.24]]+ППД5[[#This Row],[Наценка 24.05.24
1% - Б4, Б5,Г2,Г6
2% - А1,А3,А5,Б2,Г7]]</f>
        <v>110845.48567822886</v>
      </c>
      <c r="BW516" s="93">
        <f>ППД5[[#This Row],[Фикс 24.05.24]]*0.5%</f>
        <v>554.22742839114426</v>
      </c>
      <c r="BX516" s="93">
        <f>ППД5[[#This Row],[Наценка 06.06.24
0К: В2,Г3 +0,5%
1К: А7, Б5/4, Г6 +0,5%
3К: В6 +0,5%
1К: А3 +1%]]+ППД5[[#This Row],[Фикс 24.05.24]]</f>
        <v>111399.71310661999</v>
      </c>
      <c r="BY516" s="93"/>
      <c r="BZ516" s="93">
        <f>ППД5[[#This Row],[Фикс 06.06.24]]+ППД5[[#This Row],[13.06.2024
3К - 2%]]</f>
        <v>111399.71310661999</v>
      </c>
      <c r="CA516" s="93">
        <f>2.5%*ППД5[[#This Row],[Фикс 13.06.24]]</f>
        <v>2784.9928276655</v>
      </c>
      <c r="CB516" s="93">
        <f>ППД5[[#This Row],[02.07.2024: Г3 А1 А3 Б5 Б7 Г2 Г6 Б3 Б4 В3 Г7 2,5% ост 0,5-1,5%]]+ППД5[[#This Row],[Фикс 13.06.24]]</f>
        <v>114184.70593428549</v>
      </c>
      <c r="CC516" s="93"/>
      <c r="CD516" s="93">
        <f>ППД5[[#This Row],[Фикс 02.07.24]]+ППД5[[#This Row],[04.09.2024 +500
0К - Б2; 1К - А3;
2К - А6, Б4, В3, Г5]]</f>
        <v>114184.70593428549</v>
      </c>
      <c r="CE516" s="93">
        <f>ППД5[[#This Row],[Фикс 04.09.24]]*2%</f>
        <v>2283.6941186857098</v>
      </c>
      <c r="CF516" s="93">
        <f>ППД5[[#This Row],[Наценка 16.09.2024
1К: А1,В7,Г6/7,Г8 - 2%
2К: А4,А5,А6,Б1,Б6,Б3/4,В3,В4,Г4,Г5 - 4%
3К: 4%]]+ППД5[[#This Row],[Фикс 04.09.24]]</f>
        <v>116468.40005297121</v>
      </c>
      <c r="CG516" s="93">
        <f>ППД5[[#This Row],[Фикс 16.09.2024]]*5%</f>
        <v>5823.4200026485605</v>
      </c>
      <c r="CH516" s="93">
        <f>ППД5[[#This Row],[Фикс 16.09.2024]]+ППД5[[#This Row],[Наценка 01.11.24
СТ: 4%
1К: 34-40м 5%; 40м+ 8%; МГН 1%
2К: 55-70м 6%; 70-73м 7%; 73-76м 8% 
3К: 5%]]</f>
        <v>122291.82005561977</v>
      </c>
      <c r="CI516" s="93">
        <f>ППД5[[#This Row],[Фикс 01.11.24]]*13%</f>
        <v>15897.936607230571</v>
      </c>
      <c r="CJ516" s="93">
        <f>ППД5[[#This Row],[Наценка 06.11 13%]]+ППД5[[#This Row],[Фикс 01.11.24]]</f>
        <v>138189.75666285033</v>
      </c>
      <c r="CK516" s="93">
        <v>35</v>
      </c>
      <c r="CL516" s="93">
        <f>ППД5[[#This Row],[Фикс 06.11.24]]+ППД5[[#This Row],[Наценка 18.12.24 распределение КВ]]</f>
        <v>138224.75666285033</v>
      </c>
      <c r="CM516" s="93"/>
      <c r="CN516" s="93">
        <f>ППД5[[#This Row],[Фикс 18.12.24]]+ППД5[[#This Row],[Наценка 10.02.25 +1%
1К: А3
2К: Б3, В3]]</f>
        <v>138224.75666285033</v>
      </c>
      <c r="CO516" s="93">
        <f>ROUND(ППД5[[#This Row],[Фикс 10.02.25]],2)</f>
        <v>138224.76</v>
      </c>
      <c r="CP51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5294100</v>
      </c>
      <c r="CQ516" s="93">
        <f>ROUNDUP(ППД5[[#This Row],[Стоимость до скидки]]+ППД5[[#This Row],[Сумма доплаты]],-2)</f>
        <v>5231900</v>
      </c>
      <c r="CR516" s="68"/>
      <c r="CS516" s="90"/>
      <c r="CT516" s="68">
        <f>ППД5[[#This Row],[Стоимость до скидки]]*ППД5[[#This Row],[Скидка %]]+ППД5[[#This Row],[Скидка фиксированная]]</f>
        <v>0</v>
      </c>
      <c r="CU516" s="3">
        <f>ППД5[[#This Row],[Стоимость ОН без отделки со скидкой]]/ППД5[[#This Row],[Расчетная проектная площадь]]</f>
        <v>138227.1540469974</v>
      </c>
      <c r="CV516" s="3">
        <f>ROUND(ППД5[[#This Row],[Стоимость до скидки]]-ППД5[[#This Row],[Итоговая сумма скидки]],2)</f>
        <v>5294100</v>
      </c>
      <c r="CW51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16" s="197"/>
      <c r="CY516" s="332">
        <f>ППД5[[#This Row],[Расхождение]]/ППД5[[#This Row],[Расчетная проектная площадь]]</f>
        <v>-1.1749347258485528E-2</v>
      </c>
      <c r="CZ51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-0.27000000000000313</v>
      </c>
      <c r="DA516" s="3">
        <f>ППД5[[#This Row],[Цена м2 без отделки со скидкой]]+ППД5[[#This Row],[Стоимость отделки]]</f>
        <v>138227.1540469974</v>
      </c>
      <c r="DB516" s="3">
        <f>ППД5[[#This Row],[Стоимость квартиры с отделкой]]-ППД5[[#This Row],[Стоимость ОН без отделки со скидкой]]</f>
        <v>0</v>
      </c>
      <c r="DC516" s="3">
        <f>ППД5[[#This Row],[Цена м2 с отделкой]]*ППД5[[#This Row],[Расчетная проектная площадь]]</f>
        <v>5294100</v>
      </c>
      <c r="DD516" s="3"/>
      <c r="DF516" s="155" t="s">
        <v>157</v>
      </c>
      <c r="DG516" s="221" t="s">
        <v>157</v>
      </c>
      <c r="DH516" s="100" t="b">
        <f>EXACT(ППД5[[#This Row],[Статусы CRM]],ППД5[[#This Row],[Статус]])</f>
        <v>1</v>
      </c>
      <c r="DI516" s="213" t="s">
        <v>688</v>
      </c>
      <c r="DJ516" s="204"/>
      <c r="DK516" s="111" t="s">
        <v>763</v>
      </c>
      <c r="DL516" s="216" t="s">
        <v>12</v>
      </c>
      <c r="DM516" s="201" t="b">
        <f>ППД5[[#This Row],[Отделка CRM]]=ППД5[[#This Row],[Отделка]]</f>
        <v>1</v>
      </c>
      <c r="DN516" s="203">
        <v>5294100</v>
      </c>
      <c r="DO51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16" s="207" t="b">
        <f>IF(AND(ППД5[[#This Row],[Статус]]="свободно",ППД5[[#This Row],[Итоговая сумма скидки]]&lt;&gt;0),FALSE,TRUE)</f>
        <v>1</v>
      </c>
      <c r="DQ516" s="240" t="str">
        <f>_xlfn.XLOOKUP(ППД5[[#This Row],[№]],Юрист[№ кв],Юрист[Дата подачи на регистрацию]," ",0,-1)</f>
        <v xml:space="preserve"> </v>
      </c>
      <c r="DR516" s="115" t="str">
        <f>_xlfn.XLOOKUP(ППД5[[#This Row],[№]],Юрист[№ кв],Юрист[МОП],"",0,-1)</f>
        <v/>
      </c>
      <c r="DS516" s="333" t="s">
        <v>3324</v>
      </c>
      <c r="DT516" s="333" t="s">
        <v>3325</v>
      </c>
      <c r="DU516" s="333">
        <v>36.4</v>
      </c>
      <c r="DV516" s="111"/>
    </row>
    <row r="517" spans="1:126" hidden="1" x14ac:dyDescent="0.25">
      <c r="A517" s="112">
        <v>515</v>
      </c>
      <c r="B517" s="111" t="s">
        <v>2</v>
      </c>
      <c r="C517" s="111">
        <v>16</v>
      </c>
      <c r="D517" s="115">
        <v>7</v>
      </c>
      <c r="E517" s="111">
        <v>3</v>
      </c>
      <c r="F517" s="105">
        <v>14.49</v>
      </c>
      <c r="G517" s="105">
        <v>13.98</v>
      </c>
      <c r="H517" s="105">
        <v>11.42</v>
      </c>
      <c r="I517" s="94">
        <f>SUM(ППД5[[#This Row],[Комната 1]:[Комната 3]])</f>
        <v>39.89</v>
      </c>
      <c r="J517" s="105">
        <v>16.670000000000002</v>
      </c>
      <c r="K517" s="105">
        <v>4.1399999999999997</v>
      </c>
      <c r="L517" s="105">
        <v>1.89</v>
      </c>
      <c r="M517" s="105"/>
      <c r="N517" s="105">
        <v>11.31</v>
      </c>
      <c r="O517" s="105">
        <v>2.86</v>
      </c>
      <c r="P517" s="105">
        <v>2.79</v>
      </c>
      <c r="Q517" s="105">
        <v>5.42</v>
      </c>
      <c r="R517" s="105">
        <f>SUM(ППД5[[#This Row],[Лоджия 1]:[Лоджия 3]])</f>
        <v>11.07</v>
      </c>
      <c r="S517" s="8">
        <f>ROUND(SUM(ППД5[[#This Row],[Площадь по проекту жилая]:[Лоджия 3]]),2)</f>
        <v>84.97</v>
      </c>
      <c r="T517" s="8">
        <f>ROUND(ППД5[[#This Row],[Площадь по проекту(общая)]]-ППД5[[#This Row],[Летние]],2)</f>
        <v>73.900000000000006</v>
      </c>
      <c r="U517" s="91">
        <f>ROUND(ППД5[[#This Row],[Площадь по проекту(общая)]]-(SUM(ППД5[[#This Row],[Лоджия 1]:[Лоджия 3]])/2),2)</f>
        <v>79.44</v>
      </c>
      <c r="V517" s="91">
        <f>IF(ППД5[[#This Row],[Статус]]="продажа",ППД5[[#This Row],[Расчетная проектная площадь]],ППД5[[#This Row],[Расчетная ТП площадь]])</f>
        <v>79.44</v>
      </c>
      <c r="W517" s="91">
        <v>11.3</v>
      </c>
      <c r="X517" s="91">
        <v>14.5</v>
      </c>
      <c r="Y517" s="91">
        <v>13.9</v>
      </c>
      <c r="Z517" s="91">
        <f>SUM(ППД5[[#This Row],[ТП Комната 1]:[ТП Комната 3]])</f>
        <v>39.700000000000003</v>
      </c>
      <c r="AA517" s="91">
        <v>16.399999999999999</v>
      </c>
      <c r="AB517" s="91">
        <v>1.9</v>
      </c>
      <c r="AC517" s="91">
        <v>4</v>
      </c>
      <c r="AD517" s="91"/>
      <c r="AE517" s="91">
        <v>11</v>
      </c>
      <c r="AF517" s="91">
        <v>1.45</v>
      </c>
      <c r="AG517" s="91">
        <v>2.65</v>
      </c>
      <c r="AH517" s="91">
        <v>1.4</v>
      </c>
      <c r="AI517" s="91">
        <f>SUM(ППД5[[#This Row],[ТП Лоджия 1]:[ТП Лоджия 3]])</f>
        <v>5.5</v>
      </c>
      <c r="AJ517" s="95">
        <v>11</v>
      </c>
      <c r="AK517" s="91">
        <f>SUM(ППД5[[#This Row],[Площадь по ТП жилая]:[ТП Лоджия 3]])-ППД5[[#This Row],[ТП Летние]]+ППД5[[#This Row],[кроме того прочая
(без коэффициента)]]</f>
        <v>84.000000000000014</v>
      </c>
      <c r="AL517" s="95">
        <f>ППД5[[#This Row],[ТП Площадь без летних]]+(ППД5[[#This Row],[ТП Летние]])</f>
        <v>78.500000000000014</v>
      </c>
      <c r="AM517" s="91">
        <f>ППД5[[#This Row],[ТП общая S]]-ППД5[[#This Row],[кроме того прочая
(без коэффициента)]]</f>
        <v>73.000000000000014</v>
      </c>
      <c r="AN517" s="95">
        <f>SUM(ППД5[[#This Row],[ТП Кухня]:[ТП Коридор]])</f>
        <v>33.299999999999997</v>
      </c>
      <c r="AO517" s="91">
        <f>ППД5[[#This Row],[Расчетная ТП площадь]]-ППД5[[#This Row],[Расчетная проектная площадь]]</f>
        <v>-0.93999999999998352</v>
      </c>
      <c r="AP517" s="335">
        <f>ППД5[[#This Row],[Расчетная ТП площадь]]/ППД5[[#This Row],[Расчетная проектная площадь]]-1</f>
        <v>-1.1832829808660406E-2</v>
      </c>
      <c r="AQ517" s="91">
        <f>ППД5[[#This Row],[% расхождения]]*ППД5[[#This Row],[Стоимость до скидки]]</f>
        <v>-85668.504531720464</v>
      </c>
      <c r="AR517" s="91">
        <f>VLOOKUP(ППД5[[#This Row],[№]],наценкад5[],COLUMN(наценкад5[[#This Row],[Цена м2 с учетом всех K]]),0)</f>
        <v>76375.530000000013</v>
      </c>
      <c r="AS517" s="8">
        <f>ППД5[[#This Row],[м2 после К]]*5%</f>
        <v>3818.7765000000009</v>
      </c>
      <c r="AT517" s="8">
        <f>ППД5[[#This Row],[м2 после К]]+ППД5[[#This Row],[Повышение 16.08.23 - 5%]]</f>
        <v>80194.306500000021</v>
      </c>
      <c r="AU517" s="93">
        <f>ППД5[[#This Row],[Фикс 16.08.23]]*3%</f>
        <v>2405.8291950000007</v>
      </c>
      <c r="AV517" s="93">
        <f>ППД5[[#This Row],[Фикс 16.08.23]]+ППД5[[#This Row],[Повышение 29.08.23 - 3%]]</f>
        <v>82600.135695000019</v>
      </c>
      <c r="AW517" s="93"/>
      <c r="AX517" s="93">
        <f>ППД5[[#This Row],[Фикс 29.08.23]]+ППД5[[#This Row],[Повышение 06.09.23 СТ и 1К]]</f>
        <v>82600.135695000019</v>
      </c>
      <c r="AY517" s="93"/>
      <c r="AZ517" s="93">
        <f>ППД5[[#This Row],[Повышение 23.10.23  В4 ]]+ППД5[[#This Row],[Фикс 06.09.23]]</f>
        <v>82600.135695000019</v>
      </c>
      <c r="BA517" s="93"/>
      <c r="BB517" s="93">
        <f>ППД5[[#This Row],[Повышение 8.11.23 1К 5%]]+ППД5[[#This Row],[Фикс 23.10.23]]</f>
        <v>82600.135695000019</v>
      </c>
      <c r="BC517" s="93"/>
      <c r="BD517" s="93">
        <f>ППД5[[#This Row],[Корректировка 24.11.23 - 1К В5, 2К А2, №233]]+ППД5[[#This Row],[Фикс 8.11.23]]</f>
        <v>82600.135695000019</v>
      </c>
      <c r="BE517" s="93">
        <f>ППД5[[#This Row],[Фикс 8.11.24]]*1%</f>
        <v>826.00135695000017</v>
      </c>
      <c r="BF517" s="93">
        <f>ППД5[[#This Row],[Наценка за отделку 29.12.23 1%]]+ППД5[[#This Row],[Фикс 8.11.24]]</f>
        <v>83426.13705195002</v>
      </c>
      <c r="BG517" s="93">
        <f>ППД5[[#This Row],[Фикс 29.12.23]]*5%</f>
        <v>4171.3068525975013</v>
      </c>
      <c r="BH517" s="93">
        <f>ППД5[[#This Row],[Фикс 29.12.23]]+ППД5[[#This Row],[Наценка 10.01.24 5%]]</f>
        <v>87597.443904547516</v>
      </c>
      <c r="BI517" s="93"/>
      <c r="BJ517" s="93">
        <f>ППД5[[#This Row],[Наценка 26.02.24 1 Этаж]]+ППД5[[#This Row],[Фикс 10.01.24]]</f>
        <v>87597.443904547516</v>
      </c>
      <c r="BK517" s="93">
        <f>ППД5[[#This Row],[Фикс 26.02.24]]*2%</f>
        <v>1751.9488780909503</v>
      </c>
      <c r="BL517" s="93">
        <f>ППД5[[#This Row],[Фикс 26.02.24]]+ППД5[[#This Row],[Наценка 06.03.24
СТ, 1К - 3%
2К, 3К - 2%]]</f>
        <v>89349.392782638461</v>
      </c>
      <c r="BM517" s="93"/>
      <c r="BN517" s="93">
        <f>ППД5[[#This Row],[Фикс 06.03.24]]+ППД5[[#This Row],[Наценка Г2+500]]</f>
        <v>89349.392782638461</v>
      </c>
      <c r="BO517" s="93">
        <f>ППД5[[#This Row],[Фикс 13.03.25]]*2%</f>
        <v>1786.9878556527692</v>
      </c>
      <c r="BP517" s="93">
        <f>ППД5[[#This Row],[Фикс 13.03.25]]+ППД5[[#This Row],[Наценка 20.03.24
2К, 3К - 2%]]</f>
        <v>91136.38063829123</v>
      </c>
      <c r="BQ517" s="93"/>
      <c r="BR517" s="93">
        <f>ППД5[[#This Row],[Фикс 20.03.24]]+ППД5[[#This Row],[Наценка 08.04.24 
2К: В3 - 150
3К: Г7 +1000]]</f>
        <v>91136.38063829123</v>
      </c>
      <c r="BS517" s="93"/>
      <c r="BT517" s="93">
        <f>ППД5[[#This Row],[Фикс 08.04.24]]+ППД5[[#This Row],[Наценка 16.05.24 1%
А4,А6,Б3,Б6,Б7,В2,В3,В5,В6,Г1,Г3-Г5]]</f>
        <v>91136.38063829123</v>
      </c>
      <c r="BU517" s="93"/>
      <c r="BV517" s="93">
        <f>ППД5[[#This Row],[Фикс 16.05.24]]+ППД5[[#This Row],[Наценка 24.05.24
1% - Б4, Б5,Г2,Г6
2% - А1,А3,А5,Б2,Г7]]</f>
        <v>91136.38063829123</v>
      </c>
      <c r="BW517" s="93"/>
      <c r="BX517" s="93">
        <f>ППД5[[#This Row],[Наценка 06.06.24
0К: В2,Г3 +0,5%
1К: А7, Б5/4, Г6 +0,5%
3К: В6 +0,5%
1К: А3 +1%]]+ППД5[[#This Row],[Фикс 24.05.24]]</f>
        <v>91136.38063829123</v>
      </c>
      <c r="BY517" s="93"/>
      <c r="BZ517" s="93">
        <f>ППД5[[#This Row],[Фикс 06.06.24]]+ППД5[[#This Row],[13.06.2024
3К - 2%]]</f>
        <v>91136.38063829123</v>
      </c>
      <c r="CA517" s="93"/>
      <c r="CB517" s="93">
        <f>ППД5[[#This Row],[02.07.2024: Г3 А1 А3 Б5 Б7 Г2 Г6 Б3 Б4 В3 Г7 2,5% ост 0,5-1,5%]]+ППД5[[#This Row],[Фикс 13.06.24]]</f>
        <v>91136.38063829123</v>
      </c>
      <c r="CC517" s="93"/>
      <c r="CD517" s="93">
        <f>ППД5[[#This Row],[Фикс 02.07.24]]+ППД5[[#This Row],[04.09.2024 +500
0К - Б2; 1К - А3;
2К - А6, Б4, В3, Г5]]</f>
        <v>91136.38063829123</v>
      </c>
      <c r="CE517" s="93"/>
      <c r="CF517" s="93">
        <f>ППД5[[#This Row],[Наценка 16.09.2024
1К: А1,В7,Г6/7,Г8 - 2%
2К: А4,А5,А6,Б1,Б6,Б3/4,В3,В4,Г4,Г5 - 4%
3К: 4%]]+ППД5[[#This Row],[Фикс 04.09.24]]</f>
        <v>91136.38063829123</v>
      </c>
      <c r="CG517" s="93"/>
      <c r="CH517" s="93">
        <f>ППД5[[#This Row],[Фикс 16.09.2024]]+ППД5[[#This Row],[Наценка 01.11.24
СТ: 4%
1К: 34-40м 5%; 40м+ 8%; МГН 1%
2К: 55-70м 6%; 70-73м 7%; 73-76м 8% 
3К: 5%]]</f>
        <v>91136.38063829123</v>
      </c>
      <c r="CI517" s="93"/>
      <c r="CJ517" s="93">
        <f>ППД5[[#This Row],[Наценка 06.11 13%]]+ППД5[[#This Row],[Фикс 01.11.24]]</f>
        <v>91136.38063829123</v>
      </c>
      <c r="CK517" s="93"/>
      <c r="CL517" s="93">
        <f>ППД5[[#This Row],[Фикс 06.11.24]]+ППД5[[#This Row],[Наценка 18.12.24 распределение КВ]]</f>
        <v>91136.38063829123</v>
      </c>
      <c r="CM517" s="93"/>
      <c r="CN517" s="93">
        <f>ППД5[[#This Row],[Фикс 18.12.24]]+ППД5[[#This Row],[Наценка 10.02.25 +1%
1К: А3
2К: Б3, В3]]</f>
        <v>91136.38063829123</v>
      </c>
      <c r="CO517" s="93">
        <f>ROUND(ППД5[[#This Row],[Фикс 10.02.25]],2)</f>
        <v>91136.38</v>
      </c>
      <c r="CP51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7239900</v>
      </c>
      <c r="CQ517" s="93">
        <f>ROUNDUP(ППД5[[#This Row],[Стоимость до скидки]]+ППД5[[#This Row],[Сумма доплаты]],-2)</f>
        <v>7154300</v>
      </c>
      <c r="CR517" s="68">
        <v>90000</v>
      </c>
      <c r="CS517" s="90"/>
      <c r="CT517" s="68">
        <f>ППД5[[#This Row],[Стоимость до скидки]]*ППД5[[#This Row],[Скидка %]]+ППД5[[#This Row],[Скидка фиксированная]]</f>
        <v>90000</v>
      </c>
      <c r="CU517" s="3">
        <f>ППД5[[#This Row],[Стоимость ОН без отделки со скидкой]]/ППД5[[#This Row],[Расчетная проектная площадь]]</f>
        <v>90003.776435045322</v>
      </c>
      <c r="CV517" s="3">
        <f>ROUND(ППД5[[#This Row],[Стоимость до скидки]]-ППД5[[#This Row],[Итоговая сумма скидки]],2)</f>
        <v>7149900</v>
      </c>
      <c r="CW51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17" s="197"/>
      <c r="CY517" s="332">
        <f>ППД5[[#This Row],[Расхождение]]/ППД5[[#This Row],[Расчетная проектная площадь]]</f>
        <v>-1.1832829808660418E-2</v>
      </c>
      <c r="CZ51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-0.71000000000000796</v>
      </c>
      <c r="DA517" s="3">
        <f>ППД5[[#This Row],[Цена м2 без отделки со скидкой]]+ППД5[[#This Row],[Стоимость отделки]]</f>
        <v>90003.776435045322</v>
      </c>
      <c r="DB517" s="3">
        <f>ППД5[[#This Row],[Стоимость квартиры с отделкой]]-ППД5[[#This Row],[Стоимость ОН без отделки со скидкой]]</f>
        <v>0</v>
      </c>
      <c r="DC517" s="3">
        <f>ППД5[[#This Row],[Цена м2 с отделкой]]*ППД5[[#This Row],[Расчетная проектная площадь]]</f>
        <v>7149900</v>
      </c>
      <c r="DD517" s="3" t="s">
        <v>155</v>
      </c>
      <c r="DE517" s="111" t="s">
        <v>791</v>
      </c>
      <c r="DF517" s="155" t="s">
        <v>172</v>
      </c>
      <c r="DG517" s="245" t="s">
        <v>172</v>
      </c>
      <c r="DH517" s="100" t="b">
        <f>EXACT(ППД5[[#This Row],[Статусы CRM]],ППД5[[#This Row],[Статус]])</f>
        <v>1</v>
      </c>
      <c r="DI517" s="213" t="s">
        <v>689</v>
      </c>
      <c r="DJ517" s="204"/>
      <c r="DK517" s="111" t="s">
        <v>763</v>
      </c>
      <c r="DL517" s="216" t="s">
        <v>12</v>
      </c>
      <c r="DM517" s="201" t="b">
        <f>ППД5[[#This Row],[Отделка CRM]]=ППД5[[#This Row],[Отделка]]</f>
        <v>1</v>
      </c>
      <c r="DN517" s="203">
        <v>7149900</v>
      </c>
      <c r="DO51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17" s="207" t="b">
        <f>IF(AND(ППД5[[#This Row],[Статус]]="свободно",ППД5[[#This Row],[Итоговая сумма скидки]]&lt;&gt;0),FALSE,TRUE)</f>
        <v>1</v>
      </c>
      <c r="DQ517" s="240">
        <f>_xlfn.XLOOKUP(ППД5[[#This Row],[№]],Юрист[№ кв],Юрист[Дата подачи на регистрацию]," ",0,-1)</f>
        <v>45412</v>
      </c>
      <c r="DR517" s="115" t="str">
        <f>_xlfn.XLOOKUP(ППД5[[#This Row],[№]],Юрист[№ кв],Юрист[МОП],"",0,-1)</f>
        <v>Полехович</v>
      </c>
      <c r="DS517" s="333" t="s">
        <v>3326</v>
      </c>
      <c r="DT517" s="333" t="s">
        <v>3327</v>
      </c>
      <c r="DU517" s="333">
        <v>73</v>
      </c>
      <c r="DV517" s="111"/>
    </row>
    <row r="518" spans="1:126" hidden="1" x14ac:dyDescent="0.25">
      <c r="A518" s="112">
        <v>516</v>
      </c>
      <c r="B518" s="111" t="s">
        <v>2</v>
      </c>
      <c r="C518" s="111">
        <v>16</v>
      </c>
      <c r="D518" s="115">
        <v>8</v>
      </c>
      <c r="E518" s="111">
        <v>1</v>
      </c>
      <c r="F518" s="105">
        <v>16.79</v>
      </c>
      <c r="G518" s="105"/>
      <c r="H518" s="105"/>
      <c r="I518" s="94">
        <f>SUM(ППД5[[#This Row],[Комната 1]:[Комната 3]])</f>
        <v>16.79</v>
      </c>
      <c r="J518" s="105">
        <v>11.43</v>
      </c>
      <c r="K518" s="105">
        <v>3.56</v>
      </c>
      <c r="L518" s="105"/>
      <c r="M518" s="105"/>
      <c r="N518" s="105">
        <v>6.66</v>
      </c>
      <c r="O518" s="105">
        <v>2.4900000000000002</v>
      </c>
      <c r="P518" s="105"/>
      <c r="Q518" s="105"/>
      <c r="R518" s="105">
        <f>SUM(ППД5[[#This Row],[Лоджия 1]:[Лоджия 3]])</f>
        <v>2.4900000000000002</v>
      </c>
      <c r="S518" s="8">
        <f>ROUND(SUM(ППД5[[#This Row],[Площадь по проекту жилая]:[Лоджия 3]]),2)</f>
        <v>40.93</v>
      </c>
      <c r="T518" s="8">
        <f>ROUND(ППД5[[#This Row],[Площадь по проекту(общая)]]-ППД5[[#This Row],[Летние]],2)</f>
        <v>38.44</v>
      </c>
      <c r="U518" s="91">
        <f>ROUND(ППД5[[#This Row],[Площадь по проекту(общая)]]-(SUM(ППД5[[#This Row],[Лоджия 1]:[Лоджия 3]])/2),2)</f>
        <v>39.69</v>
      </c>
      <c r="V518" s="91">
        <f>IF(ППД5[[#This Row],[Статус]]="продажа",ППД5[[#This Row],[Расчетная проектная площадь]],ППД5[[#This Row],[Расчетная ТП площадь]])</f>
        <v>39.69</v>
      </c>
      <c r="W518" s="91">
        <v>16.8</v>
      </c>
      <c r="X518" s="91"/>
      <c r="Y518" s="91"/>
      <c r="Z518" s="91">
        <f>SUM(ППД5[[#This Row],[ТП Комната 1]:[ТП Комната 3]])</f>
        <v>16.8</v>
      </c>
      <c r="AA518" s="91">
        <v>11.3</v>
      </c>
      <c r="AB518" s="91">
        <v>3.6</v>
      </c>
      <c r="AC518" s="91"/>
      <c r="AD518" s="91"/>
      <c r="AE518" s="91">
        <v>6.6</v>
      </c>
      <c r="AF518" s="92">
        <v>1.25</v>
      </c>
      <c r="AG518" s="91"/>
      <c r="AH518" s="91"/>
      <c r="AI518" s="91">
        <f>SUM(ППД5[[#This Row],[ТП Лоджия 1]:[ТП Лоджия 3]])</f>
        <v>1.25</v>
      </c>
      <c r="AJ518" s="95">
        <v>2.5</v>
      </c>
      <c r="AK518" s="91">
        <f>SUM(ППД5[[#This Row],[Площадь по ТП жилая]:[ТП Лоджия 3]])-ППД5[[#This Row],[ТП Летние]]+ППД5[[#This Row],[кроме того прочая
(без коэффициента)]]</f>
        <v>40.800000000000004</v>
      </c>
      <c r="AL518" s="95">
        <f>ППД5[[#This Row],[ТП Площадь без летних]]+(ППД5[[#This Row],[ТП Летние]])</f>
        <v>39.550000000000004</v>
      </c>
      <c r="AM518" s="91">
        <f>ППД5[[#This Row],[ТП общая S]]-ППД5[[#This Row],[кроме того прочая
(без коэффициента)]]</f>
        <v>38.300000000000004</v>
      </c>
      <c r="AN518" s="95">
        <f>SUM(ППД5[[#This Row],[ТП Кухня]:[ТП Коридор]])</f>
        <v>21.5</v>
      </c>
      <c r="AO518" s="91">
        <f>ППД5[[#This Row],[Расчетная ТП площадь]]-ППД5[[#This Row],[Расчетная проектная площадь]]</f>
        <v>-0.13999999999999346</v>
      </c>
      <c r="AP518" s="335">
        <f>ППД5[[#This Row],[Расчетная ТП площадь]]/ППД5[[#This Row],[Расчетная проектная площадь]]-1</f>
        <v>-3.5273368606700828E-3</v>
      </c>
      <c r="AQ518" s="91">
        <f>ППД5[[#This Row],[% расхождения]]*ППД5[[#This Row],[Стоимость до скидки]]</f>
        <v>-15458.906525572706</v>
      </c>
      <c r="AR518" s="91">
        <f>VLOOKUP(ППД5[[#This Row],[№]],наценкад5[],COLUMN(наценкад5[[#This Row],[Цена м2 с учетом всех K]]),0)</f>
        <v>84762.5625</v>
      </c>
      <c r="AS518" s="8">
        <f>ППД5[[#This Row],[м2 после К]]*5%</f>
        <v>4238.1281250000002</v>
      </c>
      <c r="AT518" s="8">
        <f>ППД5[[#This Row],[м2 после К]]+ППД5[[#This Row],[Повышение 16.08.23 - 5%]]</f>
        <v>89000.690625000003</v>
      </c>
      <c r="AU518" s="93">
        <f>ППД5[[#This Row],[Фикс 16.08.23]]*3%</f>
        <v>2670.02071875</v>
      </c>
      <c r="AV518" s="93">
        <f>ППД5[[#This Row],[Фикс 16.08.23]]+ППД5[[#This Row],[Повышение 29.08.23 - 3%]]</f>
        <v>91670.711343750008</v>
      </c>
      <c r="AW518" s="93">
        <f>ППД5[[#This Row],[Фикс 29.08.23]]*4.5%</f>
        <v>4125.1820104687504</v>
      </c>
      <c r="AX518" s="93">
        <f>ППД5[[#This Row],[Фикс 29.08.23]]+ППД5[[#This Row],[Повышение 06.09.23 СТ и 1К]]</f>
        <v>95795.893354218759</v>
      </c>
      <c r="AY518" s="93"/>
      <c r="AZ518" s="93">
        <f>ППД5[[#This Row],[Повышение 23.10.23  В4 ]]+ППД5[[#This Row],[Фикс 06.09.23]]</f>
        <v>95795.893354218759</v>
      </c>
      <c r="BA518" s="93">
        <f>ППД5[[#This Row],[Фикс 23.10.23]]*5%</f>
        <v>4789.7946677109385</v>
      </c>
      <c r="BB518" s="93">
        <f>ППД5[[#This Row],[Повышение 8.11.23 1К 5%]]+ППД5[[#This Row],[Фикс 23.10.23]]</f>
        <v>100585.6880219297</v>
      </c>
      <c r="BC518" s="93"/>
      <c r="BD518" s="93">
        <f>ППД5[[#This Row],[Корректировка 24.11.23 - 1К В5, 2К А2, №233]]+ППД5[[#This Row],[Фикс 8.11.23]]</f>
        <v>100585.6880219297</v>
      </c>
      <c r="BE518" s="93">
        <f>ППД5[[#This Row],[Фикс 8.11.24]]*1%</f>
        <v>1005.8568802192971</v>
      </c>
      <c r="BF518" s="93">
        <f>ППД5[[#This Row],[Наценка за отделку 29.12.23 1%]]+ППД5[[#This Row],[Фикс 8.11.24]]</f>
        <v>101591.54490214901</v>
      </c>
      <c r="BG518" s="93">
        <f>ППД5[[#This Row],[Фикс 29.12.23]]*5%</f>
        <v>5079.5772451074508</v>
      </c>
      <c r="BH518" s="93">
        <f>ППД5[[#This Row],[Фикс 29.12.23]]+ППД5[[#This Row],[Наценка 10.01.24 5%]]</f>
        <v>106671.12214725645</v>
      </c>
      <c r="BI518" s="93"/>
      <c r="BJ518" s="93">
        <f>ППД5[[#This Row],[Наценка 26.02.24 1 Этаж]]+ППД5[[#This Row],[Фикс 10.01.24]]</f>
        <v>106671.12214725645</v>
      </c>
      <c r="BK518" s="93">
        <f>ППД5[[#This Row],[Фикс 26.02.24]]*3%</f>
        <v>3200.1336644176936</v>
      </c>
      <c r="BL518" s="93">
        <f>ППД5[[#This Row],[Фикс 26.02.24]]+ППД5[[#This Row],[Наценка 06.03.24
СТ, 1К - 3%
2К, 3К - 2%]]</f>
        <v>109871.25581167414</v>
      </c>
      <c r="BM518" s="93"/>
      <c r="BN518" s="93">
        <f>ППД5[[#This Row],[Фикс 06.03.24]]+ППД5[[#This Row],[Наценка Г2+500]]</f>
        <v>109871.25581167414</v>
      </c>
      <c r="BO518" s="93"/>
      <c r="BP518" s="93">
        <f>ППД5[[#This Row],[Фикс 13.03.25]]+ППД5[[#This Row],[Наценка 20.03.24
2К, 3К - 2%]]</f>
        <v>109871.25581167414</v>
      </c>
      <c r="BQ518" s="93"/>
      <c r="BR518" s="93">
        <f>ППД5[[#This Row],[Фикс 20.03.24]]+ППД5[[#This Row],[Наценка 08.04.24 
2К: В3 - 150
3К: Г7 +1000]]</f>
        <v>109871.25581167414</v>
      </c>
      <c r="BS518" s="93"/>
      <c r="BT518" s="93">
        <f>ППД5[[#This Row],[Фикс 08.04.24]]+ППД5[[#This Row],[Наценка 16.05.24 1%
А4,А6,Б3,Б6,Б7,В2,В3,В5,В6,Г1,Г3-Г5]]</f>
        <v>109871.25581167414</v>
      </c>
      <c r="BU518" s="93"/>
      <c r="BV518" s="93">
        <f>ППД5[[#This Row],[Фикс 16.05.24]]+ППД5[[#This Row],[Наценка 24.05.24
1% - Б4, Б5,Г2,Г6
2% - А1,А3,А5,Б2,Г7]]</f>
        <v>109871.25581167414</v>
      </c>
      <c r="BW518" s="93"/>
      <c r="BX518" s="93">
        <f>ППД5[[#This Row],[Наценка 06.06.24
0К: В2,Г3 +0,5%
1К: А7, Б5/4, Г6 +0,5%
3К: В6 +0,5%
1К: А3 +1%]]+ППД5[[#This Row],[Фикс 24.05.24]]</f>
        <v>109871.25581167414</v>
      </c>
      <c r="BY518" s="93"/>
      <c r="BZ518" s="93">
        <f>ППД5[[#This Row],[Фикс 06.06.24]]+ППД5[[#This Row],[13.06.2024
3К - 2%]]</f>
        <v>109871.25581167414</v>
      </c>
      <c r="CA518" s="93">
        <f>0.5%*ППД5[[#This Row],[Фикс 13.06.24]]</f>
        <v>549.35627905837077</v>
      </c>
      <c r="CB518" s="93">
        <f>ППД5[[#This Row],[02.07.2024: Г3 А1 А3 Б5 Б7 Г2 Г6 Б3 Б4 В3 Г7 2,5% ост 0,5-1,5%]]+ППД5[[#This Row],[Фикс 13.06.24]]</f>
        <v>110420.61209073251</v>
      </c>
      <c r="CC518" s="93"/>
      <c r="CD518" s="93">
        <f>ППД5[[#This Row],[Фикс 02.07.24]]+ППД5[[#This Row],[04.09.2024 +500
0К - Б2; 1К - А3;
2К - А6, Б4, В3, Г5]]</f>
        <v>110420.61209073251</v>
      </c>
      <c r="CE518" s="93"/>
      <c r="CF518" s="93">
        <f>ППД5[[#This Row],[Наценка 16.09.2024
1К: А1,В7,Г6/7,Г8 - 2%
2К: А4,А5,А6,Б1,Б6,Б3/4,В3,В4,Г4,Г5 - 4%
3К: 4%]]+ППД5[[#This Row],[Фикс 04.09.24]]</f>
        <v>110420.61209073251</v>
      </c>
      <c r="CG518" s="93"/>
      <c r="CH518" s="93">
        <f>ППД5[[#This Row],[Фикс 16.09.2024]]+ППД5[[#This Row],[Наценка 01.11.24
СТ: 4%
1К: 34-40м 5%; 40м+ 8%; МГН 1%
2К: 55-70м 6%; 70-73м 7%; 73-76м 8% 
3К: 5%]]</f>
        <v>110420.61209073251</v>
      </c>
      <c r="CI518" s="93"/>
      <c r="CJ518" s="93">
        <f>ППД5[[#This Row],[Наценка 06.11 13%]]+ППД5[[#This Row],[Фикс 01.11.24]]</f>
        <v>110420.61209073251</v>
      </c>
      <c r="CK518" s="93"/>
      <c r="CL518" s="93">
        <f>ППД5[[#This Row],[Фикс 06.11.24]]+ППД5[[#This Row],[Наценка 18.12.24 распределение КВ]]</f>
        <v>110420.61209073251</v>
      </c>
      <c r="CM518" s="93"/>
      <c r="CN518" s="93">
        <f>ППД5[[#This Row],[Фикс 18.12.24]]+ППД5[[#This Row],[Наценка 10.02.25 +1%
1К: А3
2К: Б3, В3]]</f>
        <v>110420.61209073251</v>
      </c>
      <c r="CO518" s="93">
        <f>ROUND(ППД5[[#This Row],[Фикс 10.02.25]],2)</f>
        <v>110420.61</v>
      </c>
      <c r="CP51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4382600</v>
      </c>
      <c r="CQ518" s="93">
        <f>ROUNDUP(ППД5[[#This Row],[Стоимость до скидки]]+ППД5[[#This Row],[Сумма доплаты]],-2)</f>
        <v>4367200</v>
      </c>
      <c r="CR518" s="68"/>
      <c r="CS518" s="90"/>
      <c r="CT518" s="68">
        <f>ППД5[[#This Row],[Стоимость до скидки]]*ППД5[[#This Row],[Скидка %]]+ППД5[[#This Row],[Скидка фиксированная]]</f>
        <v>0</v>
      </c>
      <c r="CU518" s="3">
        <f>ППД5[[#This Row],[Стоимость ОН без отделки со скидкой]]/ППД5[[#This Row],[Расчетная проектная площадь]]</f>
        <v>110420.76089695138</v>
      </c>
      <c r="CV518" s="3">
        <f>ROUND(ППД5[[#This Row],[Стоимость до скидки]]-ППД5[[#This Row],[Итоговая сумма скидки]],2)</f>
        <v>4382600</v>
      </c>
      <c r="CW51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518" s="197">
        <v>7000</v>
      </c>
      <c r="CY518" s="332">
        <f>ППД5[[#This Row],[Расхождение]]/ППД5[[#This Row],[Расчетная проектная площадь]]</f>
        <v>-3.5273368606700294E-3</v>
      </c>
      <c r="CZ51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-0.15000000000000036</v>
      </c>
      <c r="DA518" s="3">
        <f>ППД5[[#This Row],[Цена м2 без отделки со скидкой]]+ППД5[[#This Row],[Стоимость отделки]]</f>
        <v>117420.76089695138</v>
      </c>
      <c r="DB518" s="3">
        <f>ППД5[[#This Row],[Стоимость квартиры с отделкой]]-ППД5[[#This Row],[Стоимость ОН без отделки со скидкой]]</f>
        <v>277830</v>
      </c>
      <c r="DC518" s="3">
        <f>ППД5[[#This Row],[Цена м2 с отделкой]]*ППД5[[#This Row],[Расчетная проектная площадь]]</f>
        <v>4660430</v>
      </c>
      <c r="DD518" s="3"/>
      <c r="DF518" s="199" t="s">
        <v>172</v>
      </c>
      <c r="DG518" s="245" t="s">
        <v>172</v>
      </c>
      <c r="DH518" s="100" t="b">
        <f>EXACT(ППД5[[#This Row],[Статусы CRM]],ППД5[[#This Row],[Статус]])</f>
        <v>1</v>
      </c>
      <c r="DI518" s="213" t="s">
        <v>690</v>
      </c>
      <c r="DJ518" s="204"/>
      <c r="DK518" s="111" t="s">
        <v>763</v>
      </c>
      <c r="DL518" s="216" t="s">
        <v>780</v>
      </c>
      <c r="DM518" s="201" t="b">
        <f>ППД5[[#This Row],[Отделка CRM]]=ППД5[[#This Row],[Отделка]]</f>
        <v>1</v>
      </c>
      <c r="DN518" s="203">
        <v>4660430</v>
      </c>
      <c r="DO51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18" s="207" t="b">
        <f>IF(AND(ППД5[[#This Row],[Статус]]="свободно",ППД5[[#This Row],[Итоговая сумма скидки]]&lt;&gt;0),FALSE,TRUE)</f>
        <v>1</v>
      </c>
      <c r="DQ518" s="240">
        <f>_xlfn.XLOOKUP(ППД5[[#This Row],[№]],Юрист[№ кв],Юрист[Дата подачи на регистрацию]," ",0,-1)</f>
        <v>45495</v>
      </c>
      <c r="DR518" s="115" t="str">
        <f>_xlfn.XLOOKUP(ППД5[[#This Row],[№]],Юрист[№ кв],Юрист[МОП],"",0,-1)</f>
        <v>Полехович</v>
      </c>
      <c r="DS518" s="333" t="s">
        <v>3328</v>
      </c>
      <c r="DT518" s="333" t="s">
        <v>3329</v>
      </c>
      <c r="DU518" s="333">
        <v>38.299999999999997</v>
      </c>
      <c r="DV518" s="111"/>
    </row>
    <row r="519" spans="1:126" hidden="1" x14ac:dyDescent="0.25">
      <c r="A519" s="112">
        <v>517</v>
      </c>
      <c r="B519" s="111" t="s">
        <v>2</v>
      </c>
      <c r="C519" s="111">
        <v>17</v>
      </c>
      <c r="D519" s="338">
        <v>1</v>
      </c>
      <c r="E519" s="111">
        <v>0</v>
      </c>
      <c r="F519" s="105">
        <v>13.74</v>
      </c>
      <c r="G519" s="105"/>
      <c r="H519" s="105"/>
      <c r="I519" s="94">
        <f>SUM(ППД5[[#This Row],[Комната 1]:[Комната 3]])</f>
        <v>13.74</v>
      </c>
      <c r="J519" s="105">
        <v>5.84</v>
      </c>
      <c r="K519" s="105">
        <v>3.76</v>
      </c>
      <c r="L519" s="105"/>
      <c r="M519" s="105"/>
      <c r="N519" s="105">
        <v>3.73</v>
      </c>
      <c r="O519" s="105">
        <v>4.6500000000000004</v>
      </c>
      <c r="P519" s="105"/>
      <c r="Q519" s="105"/>
      <c r="R519" s="105">
        <f>SUM(ППД5[[#This Row],[Лоджия 1]:[Лоджия 3]])</f>
        <v>4.6500000000000004</v>
      </c>
      <c r="S519" s="8">
        <f>ROUND(SUM(ППД5[[#This Row],[Площадь по проекту жилая]:[Лоджия 3]]),2)</f>
        <v>31.72</v>
      </c>
      <c r="T519" s="8">
        <f>ROUND(ППД5[[#This Row],[Площадь по проекту(общая)]]-ППД5[[#This Row],[Летние]],2)</f>
        <v>27.07</v>
      </c>
      <c r="U519" s="91">
        <f>ROUND(ППД5[[#This Row],[Площадь по проекту(общая)]]-(SUM(ППД5[[#This Row],[Лоджия 1]:[Лоджия 3]])/2),2)</f>
        <v>29.4</v>
      </c>
      <c r="V519" s="91">
        <f>IF(ППД5[[#This Row],[Статус]]="продажа",ППД5[[#This Row],[Расчетная проектная площадь]],ППД5[[#This Row],[Расчетная ТП площадь]])</f>
        <v>29.3</v>
      </c>
      <c r="W519" s="91">
        <v>13.7</v>
      </c>
      <c r="X519" s="91"/>
      <c r="Y519" s="91"/>
      <c r="Z519" s="91">
        <f>SUM(ППД5[[#This Row],[ТП Комната 1]:[ТП Комната 3]])</f>
        <v>13.7</v>
      </c>
      <c r="AA519" s="91">
        <v>5.8</v>
      </c>
      <c r="AB519" s="91">
        <v>3.8</v>
      </c>
      <c r="AC519" s="91"/>
      <c r="AD519" s="91"/>
      <c r="AE519" s="91">
        <v>3.7</v>
      </c>
      <c r="AF519" s="91">
        <v>2.2999999999999998</v>
      </c>
      <c r="AG519" s="91"/>
      <c r="AH519" s="91"/>
      <c r="AI519" s="91">
        <f>SUM(ППД5[[#This Row],[ТП Лоджия 1]:[ТП Лоджия 3]])</f>
        <v>2.2999999999999998</v>
      </c>
      <c r="AJ519" s="95">
        <v>4.5999999999999996</v>
      </c>
      <c r="AK519" s="91">
        <f>SUM(ППД5[[#This Row],[Площадь по ТП жилая]:[ТП Лоджия 3]])-ППД5[[#This Row],[ТП Летние]]+ППД5[[#This Row],[кроме того прочая
(без коэффициента)]]</f>
        <v>31.6</v>
      </c>
      <c r="AL519" s="95">
        <f>ППД5[[#This Row],[ТП Площадь без летних]]+(ППД5[[#This Row],[ТП Летние]])</f>
        <v>29.3</v>
      </c>
      <c r="AM519" s="91">
        <f>ППД5[[#This Row],[ТП общая S]]-ППД5[[#This Row],[кроме того прочая
(без коэффициента)]]</f>
        <v>27</v>
      </c>
      <c r="AN519" s="95">
        <f>SUM(ППД5[[#This Row],[ТП Кухня]:[ТП Коридор]])</f>
        <v>13.3</v>
      </c>
      <c r="AO519" s="91">
        <f>ППД5[[#This Row],[Расчетная ТП площадь]]-ППД5[[#This Row],[Расчетная проектная площадь]]</f>
        <v>-9.9999999999997868E-2</v>
      </c>
      <c r="AP519" s="335">
        <f>ППД5[[#This Row],[Расчетная ТП площадь]]/ППД5[[#This Row],[Расчетная проектная площадь]]-1</f>
        <v>-3.4013605442175798E-3</v>
      </c>
      <c r="AQ519" s="91">
        <f>ППД5[[#This Row],[% расхождения]]*ППД5[[#This Row],[Стоимость до скидки]]</f>
        <v>-13865.306122448543</v>
      </c>
      <c r="AR519" s="91">
        <f>VLOOKUP(ППД5[[#This Row],[№]],наценкад5[],COLUMN(наценкад5[[#This Row],[Цена м2 с учетом всех K]]),0)</f>
        <v>89353.53</v>
      </c>
      <c r="AS519" s="8">
        <f>ППД5[[#This Row],[м2 после К]]*5%</f>
        <v>4467.6765000000005</v>
      </c>
      <c r="AT519" s="8">
        <f>ППД5[[#This Row],[м2 после К]]+ППД5[[#This Row],[Повышение 16.08.23 - 5%]]</f>
        <v>93821.2065</v>
      </c>
      <c r="AU519" s="93">
        <f>ППД5[[#This Row],[Фикс 16.08.23]]*3%</f>
        <v>2814.636195</v>
      </c>
      <c r="AV519" s="93">
        <f>ППД5[[#This Row],[Фикс 16.08.23]]+ППД5[[#This Row],[Повышение 29.08.23 - 3%]]</f>
        <v>96635.842694999999</v>
      </c>
      <c r="AW519" s="93">
        <f>ППД5[[#This Row],[Фикс 29.08.23]]*9%</f>
        <v>8697.2258425500004</v>
      </c>
      <c r="AX519" s="93">
        <f>ППД5[[#This Row],[Фикс 29.08.23]]+ППД5[[#This Row],[Повышение 06.09.23 СТ и 1К]]</f>
        <v>105333.06853755</v>
      </c>
      <c r="AY519" s="93"/>
      <c r="AZ519" s="93">
        <f>ППД5[[#This Row],[Повышение 23.10.23  В4 ]]+ППД5[[#This Row],[Фикс 06.09.23]]</f>
        <v>105333.06853755</v>
      </c>
      <c r="BA519" s="93"/>
      <c r="BB519" s="93">
        <f>ППД5[[#This Row],[Повышение 8.11.23 1К 5%]]+ППД5[[#This Row],[Фикс 23.10.23]]</f>
        <v>105333.06853755</v>
      </c>
      <c r="BC519" s="93"/>
      <c r="BD519" s="93">
        <f>ППД5[[#This Row],[Корректировка 24.11.23 - 1К В5, 2К А2, №233]]+ППД5[[#This Row],[Фикс 8.11.23]]</f>
        <v>105333.06853755</v>
      </c>
      <c r="BE519" s="93">
        <f>ППД5[[#This Row],[Фикс 8.11.24]]*1%</f>
        <v>1053.3306853755</v>
      </c>
      <c r="BF519" s="93">
        <f>ППД5[[#This Row],[Наценка за отделку 29.12.23 1%]]+ППД5[[#This Row],[Фикс 8.11.24]]</f>
        <v>106386.39922292551</v>
      </c>
      <c r="BG519" s="93">
        <f>ППД5[[#This Row],[Фикс 29.12.23]]*5%</f>
        <v>5319.319961146276</v>
      </c>
      <c r="BH519" s="93">
        <f>ППД5[[#This Row],[Фикс 29.12.23]]+ППД5[[#This Row],[Наценка 10.01.24 5%]]</f>
        <v>111705.71918407179</v>
      </c>
      <c r="BI519" s="93"/>
      <c r="BJ519" s="93">
        <f>ППД5[[#This Row],[Наценка 26.02.24 1 Этаж]]+ППД5[[#This Row],[Фикс 10.01.24]]</f>
        <v>111705.71918407179</v>
      </c>
      <c r="BK519" s="93">
        <f>ППД5[[#This Row],[Фикс 26.02.24]]*3%</f>
        <v>3351.1715755221535</v>
      </c>
      <c r="BL519" s="93">
        <f>ППД5[[#This Row],[Фикс 26.02.24]]+ППД5[[#This Row],[Наценка 06.03.24
СТ, 1К - 3%
2К, 3К - 2%]]</f>
        <v>115056.89075959394</v>
      </c>
      <c r="BM519" s="93"/>
      <c r="BN519" s="93">
        <f>ППД5[[#This Row],[Фикс 06.03.24]]+ППД5[[#This Row],[Наценка Г2+500]]</f>
        <v>115056.89075959394</v>
      </c>
      <c r="BO519" s="93"/>
      <c r="BP519" s="93">
        <f>ППД5[[#This Row],[Фикс 13.03.25]]+ППД5[[#This Row],[Наценка 20.03.24
2К, 3К - 2%]]</f>
        <v>115056.89075959394</v>
      </c>
      <c r="BQ519" s="93"/>
      <c r="BR519" s="93">
        <f>ППД5[[#This Row],[Фикс 20.03.24]]+ППД5[[#This Row],[Наценка 08.04.24 
2К: В3 - 150
3К: Г7 +1000]]</f>
        <v>115056.89075959394</v>
      </c>
      <c r="BS519" s="93">
        <f>ППД5[[#This Row],[Фикс 08.04.24]]*1%</f>
        <v>1150.5689075959394</v>
      </c>
      <c r="BT519" s="93">
        <f>ППД5[[#This Row],[Фикс 08.04.24]]+ППД5[[#This Row],[Наценка 16.05.24 1%
А4,А6,Б3,Б6,Б7,В2,В3,В5,В6,Г1,Г3-Г5]]</f>
        <v>116207.45966718988</v>
      </c>
      <c r="BU519" s="93"/>
      <c r="BV519" s="93">
        <f>ППД5[[#This Row],[Фикс 16.05.24]]+ППД5[[#This Row],[Наценка 24.05.24
1% - Б4, Б5,Г2,Г6
2% - А1,А3,А5,Б2,Г7]]</f>
        <v>116207.45966718988</v>
      </c>
      <c r="BW519" s="93"/>
      <c r="BX519" s="93">
        <f>ППД5[[#This Row],[Наценка 06.06.24
0К: В2,Г3 +0,5%
1К: А7, Б5/4, Г6 +0,5%
3К: В6 +0,5%
1К: А3 +1%]]+ППД5[[#This Row],[Фикс 24.05.24]]</f>
        <v>116207.45966718988</v>
      </c>
      <c r="BY519" s="93"/>
      <c r="BZ519" s="93">
        <f>ППД5[[#This Row],[Фикс 06.06.24]]+ППД5[[#This Row],[13.06.2024
3К - 2%]]</f>
        <v>116207.45966718988</v>
      </c>
      <c r="CA519" s="93">
        <f>1.5%*ППД5[[#This Row],[Фикс 13.06.24]]</f>
        <v>1743.111895007848</v>
      </c>
      <c r="CB519" s="93">
        <f>ППД5[[#This Row],[02.07.2024: Г3 А1 А3 Б5 Б7 Г2 Г6 Б3 Б4 В3 Г7 2,5% ост 0,5-1,5%]]+ППД5[[#This Row],[Фикс 13.06.24]]</f>
        <v>117950.57156219773</v>
      </c>
      <c r="CC519" s="93"/>
      <c r="CD519" s="93">
        <f>ППД5[[#This Row],[Фикс 02.07.24]]+ППД5[[#This Row],[04.09.2024 +500
0К - Б2; 1К - А3;
2К - А6, Б4, В3, Г5]]</f>
        <v>117950.57156219773</v>
      </c>
      <c r="CE519" s="93"/>
      <c r="CF519" s="93">
        <f>ППД5[[#This Row],[Наценка 16.09.2024
1К: А1,В7,Г6/7,Г8 - 2%
2К: А4,А5,А6,Б1,Б6,Б3/4,В3,В4,Г4,Г5 - 4%
3К: 4%]]+ППД5[[#This Row],[Фикс 04.09.24]]</f>
        <v>117950.57156219773</v>
      </c>
      <c r="CG519" s="93">
        <f>ППД5[[#This Row],[Фикс 16.09.2024]]*4%</f>
        <v>4718.0228624879092</v>
      </c>
      <c r="CH519" s="93">
        <f>ППД5[[#This Row],[Фикс 16.09.2024]]+ППД5[[#This Row],[Наценка 01.11.24
СТ: 4%
1К: 34-40м 5%; 40м+ 8%; МГН 1%
2К: 55-70м 6%; 70-73м 7%; 73-76м 8% 
3К: 5%]]</f>
        <v>122668.59442468564</v>
      </c>
      <c r="CI519" s="93">
        <f>ППД5[[#This Row],[Фикс 01.11.24]]*13%</f>
        <v>15946.917275209133</v>
      </c>
      <c r="CJ519" s="93">
        <f>ППД5[[#This Row],[Наценка 06.11 13%]]+ППД5[[#This Row],[Фикс 01.11.24]]</f>
        <v>138615.51169989476</v>
      </c>
      <c r="CK519" s="93">
        <v>35</v>
      </c>
      <c r="CL519" s="93">
        <f>ППД5[[#This Row],[Фикс 06.11.24]]+ППД5[[#This Row],[Наценка 18.12.24 распределение КВ]]</f>
        <v>138650.51169989476</v>
      </c>
      <c r="CM519" s="93"/>
      <c r="CN519" s="93">
        <f>ППД5[[#This Row],[Фикс 18.12.24]]+ППД5[[#This Row],[Наценка 10.02.25 +1%
1К: А3
2К: Б3, В3]]</f>
        <v>138650.51169989476</v>
      </c>
      <c r="CO519" s="93">
        <f>ROUND(ППД5[[#This Row],[Фикс 10.02.25]],2)</f>
        <v>138650.51</v>
      </c>
      <c r="CP51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4076400</v>
      </c>
      <c r="CQ519" s="93">
        <f>ROUNDUP(ППД5[[#This Row],[Стоимость до скидки]]+ППД5[[#This Row],[Сумма доплаты]],-2)</f>
        <v>4062600</v>
      </c>
      <c r="CR519" s="68"/>
      <c r="CS519" s="90"/>
      <c r="CT519" s="68">
        <f>ППД5[[#This Row],[Стоимость до скидки]]*ППД5[[#This Row],[Скидка %]]+ППД5[[#This Row],[Скидка фиксированная]]</f>
        <v>0</v>
      </c>
      <c r="CU519" s="3">
        <f>ППД5[[#This Row],[Стоимость ОН без отделки со скидкой]]/ППД5[[#This Row],[Расчетная проектная площадь]]</f>
        <v>138653.06122448979</v>
      </c>
      <c r="CV519" s="3">
        <f>ROUND(ППД5[[#This Row],[Стоимость до скидки]]-ППД5[[#This Row],[Итоговая сумма скидки]],2)</f>
        <v>4076400</v>
      </c>
      <c r="CW51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519" s="218">
        <v>10000</v>
      </c>
      <c r="CY519" s="332">
        <f>ППД5[[#This Row],[Расхождение]]/ППД5[[#This Row],[Расчетная проектная площадь]]</f>
        <v>-3.4013605442176145E-3</v>
      </c>
      <c r="CZ519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-2.9999999999999361E-2</v>
      </c>
      <c r="DA519" s="3">
        <f>ППД5[[#This Row],[Цена м2 без отделки со скидкой]]+ППД5[[#This Row],[Стоимость отделки]]</f>
        <v>148653.06122448979</v>
      </c>
      <c r="DB519" s="3">
        <f>ППД5[[#This Row],[Стоимость квартиры с отделкой]]-ППД5[[#This Row],[Стоимость ОН без отделки со скидкой]]</f>
        <v>294000</v>
      </c>
      <c r="DC519" s="3">
        <f>ППД5[[#This Row],[Цена м2 с отделкой]]*ППД5[[#This Row],[Расчетная проектная площадь]]</f>
        <v>4370400</v>
      </c>
      <c r="DD519" s="3"/>
      <c r="DF519" s="155" t="s">
        <v>15</v>
      </c>
      <c r="DG519" s="245" t="s">
        <v>15</v>
      </c>
      <c r="DH519" s="100" t="b">
        <f>EXACT(ППД5[[#This Row],[Статусы CRM]],ППД5[[#This Row],[Статус]])</f>
        <v>1</v>
      </c>
      <c r="DI519" s="213" t="s">
        <v>691</v>
      </c>
      <c r="DJ519" s="204"/>
      <c r="DK519" s="111" t="s">
        <v>763</v>
      </c>
      <c r="DL519" s="216" t="s">
        <v>780</v>
      </c>
      <c r="DM519" s="201" t="b">
        <f>ППД5[[#This Row],[Отделка CRM]]=ППД5[[#This Row],[Отделка]]</f>
        <v>1</v>
      </c>
      <c r="DN519" s="203">
        <v>4370400</v>
      </c>
      <c r="DO51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19" s="207" t="b">
        <f>IF(AND(ППД5[[#This Row],[Статус]]="свободно",ППД5[[#This Row],[Итоговая сумма скидки]]&lt;&gt;0),FALSE,TRUE)</f>
        <v>1</v>
      </c>
      <c r="DQ519" s="240" t="str">
        <f>_xlfn.XLOOKUP(ППД5[[#This Row],[№]],Юрист[№ кв],Юрист[Дата подачи на регистрацию]," ",0,-1)</f>
        <v xml:space="preserve"> </v>
      </c>
      <c r="DR519" s="115" t="str">
        <f>_xlfn.XLOOKUP(ППД5[[#This Row],[№]],Юрист[№ кв],Юрист[МОП],"",0,-1)</f>
        <v/>
      </c>
      <c r="DS519" s="333" t="s">
        <v>3330</v>
      </c>
      <c r="DT519" s="333" t="s">
        <v>3331</v>
      </c>
      <c r="DU519" s="333">
        <v>27</v>
      </c>
      <c r="DV519" s="111"/>
    </row>
    <row r="520" spans="1:126" hidden="1" x14ac:dyDescent="0.25">
      <c r="A520" s="112">
        <v>518</v>
      </c>
      <c r="B520" s="111" t="s">
        <v>2</v>
      </c>
      <c r="C520" s="111">
        <v>17</v>
      </c>
      <c r="D520" s="115">
        <v>2</v>
      </c>
      <c r="E520" s="111">
        <v>1</v>
      </c>
      <c r="F520" s="105">
        <v>13.17</v>
      </c>
      <c r="G520" s="105"/>
      <c r="H520" s="105"/>
      <c r="I520" s="94">
        <f>SUM(ППД5[[#This Row],[Комната 1]:[Комната 3]])</f>
        <v>13.17</v>
      </c>
      <c r="J520" s="105">
        <v>16.940000000000001</v>
      </c>
      <c r="K520" s="105">
        <v>3.55</v>
      </c>
      <c r="L520" s="105">
        <v>2.41</v>
      </c>
      <c r="M520" s="105"/>
      <c r="N520" s="105">
        <v>5.8</v>
      </c>
      <c r="O520" s="105">
        <v>2.68</v>
      </c>
      <c r="P520" s="105"/>
      <c r="Q520" s="105"/>
      <c r="R520" s="105">
        <f>SUM(ППД5[[#This Row],[Лоджия 1]:[Лоджия 3]])</f>
        <v>2.68</v>
      </c>
      <c r="S520" s="8">
        <f>ROUND(SUM(ППД5[[#This Row],[Площадь по проекту жилая]:[Лоджия 3]]),2)</f>
        <v>44.55</v>
      </c>
      <c r="T520" s="8">
        <f>ROUND(ППД5[[#This Row],[Площадь по проекту(общая)]]-ППД5[[#This Row],[Летние]],2)</f>
        <v>41.87</v>
      </c>
      <c r="U520" s="91">
        <f>ROUND(ППД5[[#This Row],[Площадь по проекту(общая)]]-(SUM(ППД5[[#This Row],[Лоджия 1]:[Лоджия 3]])/2),2)</f>
        <v>43.21</v>
      </c>
      <c r="V520" s="91">
        <f>IF(ППД5[[#This Row],[Статус]]="продажа",ППД5[[#This Row],[Расчетная проектная площадь]],ППД5[[#This Row],[Расчетная ТП площадь]])</f>
        <v>43.21</v>
      </c>
      <c r="W520" s="91">
        <v>12.9</v>
      </c>
      <c r="X520" s="91"/>
      <c r="Y520" s="91"/>
      <c r="Z520" s="91">
        <f>SUM(ППД5[[#This Row],[ТП Комната 1]:[ТП Комната 3]])</f>
        <v>12.9</v>
      </c>
      <c r="AA520" s="91">
        <v>16.8</v>
      </c>
      <c r="AB520" s="91">
        <v>2</v>
      </c>
      <c r="AC520" s="91">
        <v>3.3</v>
      </c>
      <c r="AD520" s="91"/>
      <c r="AE520" s="91">
        <v>5.8</v>
      </c>
      <c r="AF520" s="91">
        <v>1.35</v>
      </c>
      <c r="AG520" s="91"/>
      <c r="AH520" s="91"/>
      <c r="AI520" s="91">
        <f>SUM(ППД5[[#This Row],[ТП Лоджия 1]:[ТП Лоджия 3]])</f>
        <v>1.35</v>
      </c>
      <c r="AJ520" s="95">
        <v>2.7</v>
      </c>
      <c r="AK520" s="91">
        <f>SUM(ППД5[[#This Row],[Площадь по ТП жилая]:[ТП Лоджия 3]])-ППД5[[#This Row],[ТП Летние]]+ППД5[[#This Row],[кроме того прочая
(без коэффициента)]]</f>
        <v>43.5</v>
      </c>
      <c r="AL520" s="95">
        <f>ППД5[[#This Row],[ТП Площадь без летних]]+(ППД5[[#This Row],[ТП Летние]])</f>
        <v>42.15</v>
      </c>
      <c r="AM520" s="91">
        <f>ППД5[[#This Row],[ТП общая S]]-ППД5[[#This Row],[кроме того прочая
(без коэффициента)]]</f>
        <v>40.799999999999997</v>
      </c>
      <c r="AN520" s="95">
        <f>SUM(ППД5[[#This Row],[ТП Кухня]:[ТП Коридор]])</f>
        <v>27.900000000000002</v>
      </c>
      <c r="AO520" s="91">
        <f>ППД5[[#This Row],[Расчетная ТП площадь]]-ППД5[[#This Row],[Расчетная проектная площадь]]</f>
        <v>-1.0600000000000023</v>
      </c>
      <c r="AP520" s="335">
        <f>ППД5[[#This Row],[Расчетная ТП площадь]]/ППД5[[#This Row],[Расчетная проектная площадь]]-1</f>
        <v>-2.4531358481832966E-2</v>
      </c>
      <c r="AQ520" s="91">
        <f>ППД5[[#This Row],[% расхождения]]*ППД5[[#This Row],[Стоимость до скидки]]</f>
        <v>-143564.86924323108</v>
      </c>
      <c r="AR520" s="91">
        <f>VLOOKUP(ППД5[[#This Row],[№]],наценкад5[],COLUMN(наценкад5[[#This Row],[Цена м2 с учетом всех K]]),0)</f>
        <v>85168.125</v>
      </c>
      <c r="AS520" s="8">
        <f>ППД5[[#This Row],[м2 после К]]*5%</f>
        <v>4258.40625</v>
      </c>
      <c r="AT520" s="8">
        <f>ППД5[[#This Row],[м2 после К]]+ППД5[[#This Row],[Повышение 16.08.23 - 5%]]</f>
        <v>89426.53125</v>
      </c>
      <c r="AU520" s="93">
        <f>ППД5[[#This Row],[Фикс 16.08.23]]*3%</f>
        <v>2682.7959375</v>
      </c>
      <c r="AV520" s="93">
        <f>ППД5[[#This Row],[Фикс 16.08.23]]+ППД5[[#This Row],[Повышение 29.08.23 - 3%]]</f>
        <v>92109.327187500006</v>
      </c>
      <c r="AW520" s="93">
        <f>ППД5[[#This Row],[Фикс 29.08.23]]*1%</f>
        <v>921.09327187500003</v>
      </c>
      <c r="AX520" s="93">
        <f>ППД5[[#This Row],[Фикс 29.08.23]]+ППД5[[#This Row],[Повышение 06.09.23 СТ и 1К]]</f>
        <v>93030.420459375004</v>
      </c>
      <c r="AY520" s="93"/>
      <c r="AZ520" s="93">
        <f>ППД5[[#This Row],[Повышение 23.10.23  В4 ]]+ППД5[[#This Row],[Фикс 06.09.23]]</f>
        <v>93030.420459375004</v>
      </c>
      <c r="BA520" s="93">
        <f>ППД5[[#This Row],[Фикс 23.10.23]]*5%</f>
        <v>4651.52102296875</v>
      </c>
      <c r="BB520" s="93">
        <f>ППД5[[#This Row],[Повышение 8.11.23 1К 5%]]+ППД5[[#This Row],[Фикс 23.10.23]]</f>
        <v>97681.941482343755</v>
      </c>
      <c r="BC520" s="93"/>
      <c r="BD520" s="93">
        <f>ППД5[[#This Row],[Корректировка 24.11.23 - 1К В5, 2К А2, №233]]+ППД5[[#This Row],[Фикс 8.11.23]]</f>
        <v>97681.941482343755</v>
      </c>
      <c r="BE520" s="93">
        <f>ППД5[[#This Row],[Фикс 8.11.24]]*1%</f>
        <v>976.81941482343757</v>
      </c>
      <c r="BF520" s="93">
        <f>ППД5[[#This Row],[Наценка за отделку 29.12.23 1%]]+ППД5[[#This Row],[Фикс 8.11.24]]</f>
        <v>98658.760897167187</v>
      </c>
      <c r="BG520" s="93">
        <f>ППД5[[#This Row],[Фикс 29.12.23]]*5%</f>
        <v>4932.9380448583597</v>
      </c>
      <c r="BH520" s="93">
        <f>ППД5[[#This Row],[Фикс 29.12.23]]+ППД5[[#This Row],[Наценка 10.01.24 5%]]</f>
        <v>103591.69894202554</v>
      </c>
      <c r="BI520" s="93"/>
      <c r="BJ520" s="93">
        <f>ППД5[[#This Row],[Наценка 26.02.24 1 Этаж]]+ППД5[[#This Row],[Фикс 10.01.24]]</f>
        <v>103591.69894202554</v>
      </c>
      <c r="BK520" s="93">
        <f>ППД5[[#This Row],[Фикс 26.02.24]]*3%</f>
        <v>3107.7509682607661</v>
      </c>
      <c r="BL520" s="93">
        <f>ППД5[[#This Row],[Фикс 26.02.24]]+ППД5[[#This Row],[Наценка 06.03.24
СТ, 1К - 3%
2К, 3К - 2%]]</f>
        <v>106699.4499102863</v>
      </c>
      <c r="BM520" s="93">
        <v>500</v>
      </c>
      <c r="BN520" s="93">
        <f>ППД5[[#This Row],[Фикс 06.03.24]]+ППД5[[#This Row],[Наценка Г2+500]]</f>
        <v>107199.4499102863</v>
      </c>
      <c r="BO520" s="93"/>
      <c r="BP520" s="93">
        <f>ППД5[[#This Row],[Фикс 13.03.25]]+ППД5[[#This Row],[Наценка 20.03.24
2К, 3К - 2%]]</f>
        <v>107199.4499102863</v>
      </c>
      <c r="BQ520" s="93"/>
      <c r="BR520" s="93">
        <f>ППД5[[#This Row],[Фикс 20.03.24]]+ППД5[[#This Row],[Наценка 08.04.24 
2К: В3 - 150
3К: Г7 +1000]]</f>
        <v>107199.4499102863</v>
      </c>
      <c r="BS520" s="93"/>
      <c r="BT520" s="93">
        <f>ППД5[[#This Row],[Фикс 08.04.24]]+ППД5[[#This Row],[Наценка 16.05.24 1%
А4,А6,Б3,Б6,Б7,В2,В3,В5,В6,Г1,Г3-Г5]]</f>
        <v>107199.4499102863</v>
      </c>
      <c r="BU520" s="93">
        <f>ППД5[[#This Row],[Фикс 16.05.24]]*1%</f>
        <v>1071.9944991028631</v>
      </c>
      <c r="BV520" s="93">
        <f>ППД5[[#This Row],[Фикс 16.05.24]]+ППД5[[#This Row],[Наценка 24.05.24
1% - Б4, Б5,Г2,Г6
2% - А1,А3,А5,Б2,Г7]]</f>
        <v>108271.44440938917</v>
      </c>
      <c r="BW520" s="93"/>
      <c r="BX520" s="93">
        <f>ППД5[[#This Row],[Наценка 06.06.24
0К: В2,Г3 +0,5%
1К: А7, Б5/4, Г6 +0,5%
3К: В6 +0,5%
1К: А3 +1%]]+ППД5[[#This Row],[Фикс 24.05.24]]</f>
        <v>108271.44440938917</v>
      </c>
      <c r="BY520" s="93"/>
      <c r="BZ520" s="93">
        <f>ППД5[[#This Row],[Фикс 06.06.24]]+ППД5[[#This Row],[13.06.2024
3К - 2%]]</f>
        <v>108271.44440938917</v>
      </c>
      <c r="CA520" s="93">
        <f>2.5%*ППД5[[#This Row],[Фикс 13.06.24]]</f>
        <v>2706.7861102347292</v>
      </c>
      <c r="CB520" s="93">
        <f>ППД5[[#This Row],[02.07.2024: Г3 А1 А3 Б5 Б7 Г2 Г6 Б3 Б4 В3 Г7 2,5% ост 0,5-1,5%]]+ППД5[[#This Row],[Фикс 13.06.24]]</f>
        <v>110978.23051962389</v>
      </c>
      <c r="CC520" s="93"/>
      <c r="CD520" s="93">
        <f>ППД5[[#This Row],[Фикс 02.07.24]]+ППД5[[#This Row],[04.09.2024 +500
0К - Б2; 1К - А3;
2К - А6, Б4, В3, Г5]]</f>
        <v>110978.23051962389</v>
      </c>
      <c r="CE520" s="93"/>
      <c r="CF520" s="93">
        <f>ППД5[[#This Row],[Наценка 16.09.2024
1К: А1,В7,Г6/7,Г8 - 2%
2К: А4,А5,А6,Б1,Б6,Б3/4,В3,В4,Г4,Г5 - 4%
3К: 4%]]+ППД5[[#This Row],[Фикс 04.09.24]]</f>
        <v>110978.23051962389</v>
      </c>
      <c r="CG520" s="93">
        <f>8%*ППД5[[#This Row],[Фикс 16.09.2024]]</f>
        <v>8878.2584415699112</v>
      </c>
      <c r="CH520" s="93">
        <f>ППД5[[#This Row],[Фикс 16.09.2024]]+ППД5[[#This Row],[Наценка 01.11.24
СТ: 4%
1К: 34-40м 5%; 40м+ 8%; МГН 1%
2К: 55-70м 6%; 70-73м 7%; 73-76м 8% 
3К: 5%]]</f>
        <v>119856.4889611938</v>
      </c>
      <c r="CI520" s="93">
        <f>ППД5[[#This Row],[Фикс 01.11.24]]*13%</f>
        <v>15581.343564955194</v>
      </c>
      <c r="CJ520" s="93">
        <f>ППД5[[#This Row],[Наценка 06.11 13%]]+ППД5[[#This Row],[Фикс 01.11.24]]</f>
        <v>135437.832526149</v>
      </c>
      <c r="CK520" s="93"/>
      <c r="CL520" s="93">
        <f>ППД5[[#This Row],[Фикс 06.11.24]]+ППД5[[#This Row],[Наценка 18.12.24 распределение КВ]]</f>
        <v>135437.832526149</v>
      </c>
      <c r="CM520" s="93"/>
      <c r="CN520" s="93">
        <f>ППД5[[#This Row],[Фикс 18.12.24]]+ППД5[[#This Row],[Наценка 10.02.25 +1%
1К: А3
2К: Б3, В3]]</f>
        <v>135437.832526149</v>
      </c>
      <c r="CO520" s="93">
        <f>ROUND(ППД5[[#This Row],[Фикс 10.02.25]],2)</f>
        <v>135437.82999999999</v>
      </c>
      <c r="CP52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5852300</v>
      </c>
      <c r="CQ520" s="93">
        <f>ROUNDUP(ППД5[[#This Row],[Стоимость до скидки]]+ППД5[[#This Row],[Сумма доплаты]],-2)</f>
        <v>5708800</v>
      </c>
      <c r="CR520" s="68"/>
      <c r="CS520" s="90">
        <v>0.02</v>
      </c>
      <c r="CT520" s="68">
        <f>ППД5[[#This Row],[Стоимость до скидки]]*ППД5[[#This Row],[Скидка %]]+ППД5[[#This Row],[Скидка фиксированная]]</f>
        <v>117046</v>
      </c>
      <c r="CU520" s="3">
        <f>ППД5[[#This Row],[Стоимость ОН без отделки со скидкой]]/ППД5[[#This Row],[Расчетная проектная площадь]]</f>
        <v>132729.78477204349</v>
      </c>
      <c r="CV520" s="3">
        <f>ROUND(ППД5[[#This Row],[Стоимость до скидки]]-ППД5[[#This Row],[Итоговая сумма скидки]],2)</f>
        <v>5735254</v>
      </c>
      <c r="CW52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520" s="218">
        <v>10000</v>
      </c>
      <c r="CY520" s="332">
        <f>ППД5[[#This Row],[Расхождение]]/ППД5[[#This Row],[Расчетная проектная площадь]]</f>
        <v>-2.4531358481832962E-2</v>
      </c>
      <c r="CZ520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-0.80000000000000071</v>
      </c>
      <c r="DA520" s="3">
        <f>ППД5[[#This Row],[Цена м2 без отделки со скидкой]]+ППД5[[#This Row],[Стоимость отделки]]</f>
        <v>142729.78477204349</v>
      </c>
      <c r="DB520" s="3">
        <f>ППД5[[#This Row],[Стоимость квартиры с отделкой]]-ППД5[[#This Row],[Стоимость ОН без отделки со скидкой]]</f>
        <v>432099.99999999907</v>
      </c>
      <c r="DC520" s="3">
        <f>ППД5[[#This Row],[Цена м2 с отделкой]]*ППД5[[#This Row],[Расчетная проектная площадь]]</f>
        <v>6167353.9999999991</v>
      </c>
      <c r="DD520" s="3"/>
      <c r="DE520" s="111" t="s">
        <v>757</v>
      </c>
      <c r="DF520" s="199" t="s">
        <v>172</v>
      </c>
      <c r="DG520" s="245" t="s">
        <v>172</v>
      </c>
      <c r="DH520" s="100" t="b">
        <f>EXACT(ППД5[[#This Row],[Статусы CRM]],ППД5[[#This Row],[Статус]])</f>
        <v>1</v>
      </c>
      <c r="DI520" s="213" t="s">
        <v>692</v>
      </c>
      <c r="DJ520" s="204"/>
      <c r="DK520" s="111" t="s">
        <v>763</v>
      </c>
      <c r="DL520" s="216" t="s">
        <v>780</v>
      </c>
      <c r="DM520" s="201" t="b">
        <f>ППД5[[#This Row],[Отделка CRM]]=ППД5[[#This Row],[Отделка]]</f>
        <v>1</v>
      </c>
      <c r="DN520" s="203">
        <v>6167354</v>
      </c>
      <c r="DO52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9.3132257461547852E-10</v>
      </c>
      <c r="DP520" s="207" t="b">
        <f>IF(AND(ППД5[[#This Row],[Статус]]="свободно",ППД5[[#This Row],[Итоговая сумма скидки]]&lt;&gt;0),FALSE,TRUE)</f>
        <v>1</v>
      </c>
      <c r="DQ520" s="240">
        <f>_xlfn.XLOOKUP(ППД5[[#This Row],[№]],Юрист[№ кв],Юрист[Дата подачи на регистрацию]," ",0,-1)</f>
        <v>45621</v>
      </c>
      <c r="DR520" s="115" t="str">
        <f>_xlfn.XLOOKUP(ППД5[[#This Row],[№]],Юрист[№ кв],Юрист[МОП],"",0,-1)</f>
        <v>Никишов</v>
      </c>
      <c r="DS520" s="333" t="s">
        <v>3332</v>
      </c>
      <c r="DT520" s="333" t="s">
        <v>3333</v>
      </c>
      <c r="DU520" s="333">
        <v>40.799999999999997</v>
      </c>
      <c r="DV520" s="111"/>
    </row>
    <row r="521" spans="1:126" hidden="1" x14ac:dyDescent="0.25">
      <c r="A521" s="112">
        <v>519</v>
      </c>
      <c r="B521" s="111" t="s">
        <v>2</v>
      </c>
      <c r="C521" s="111">
        <v>17</v>
      </c>
      <c r="D521" s="115">
        <v>3</v>
      </c>
      <c r="E521" s="111">
        <v>0</v>
      </c>
      <c r="F521" s="105">
        <v>7.2</v>
      </c>
      <c r="G521" s="105"/>
      <c r="H521" s="105"/>
      <c r="I521" s="94">
        <f>SUM(ППД5[[#This Row],[Комната 1]:[Комната 3]])</f>
        <v>7.2</v>
      </c>
      <c r="J521" s="105">
        <v>5.17</v>
      </c>
      <c r="K521" s="105">
        <v>3.71</v>
      </c>
      <c r="L521" s="105"/>
      <c r="M521" s="105"/>
      <c r="N521" s="105">
        <v>6.96</v>
      </c>
      <c r="O521" s="105">
        <v>2.92</v>
      </c>
      <c r="P521" s="105"/>
      <c r="Q521" s="105"/>
      <c r="R521" s="105">
        <f>SUM(ППД5[[#This Row],[Лоджия 1]:[Лоджия 3]])</f>
        <v>2.92</v>
      </c>
      <c r="S521" s="8">
        <f>ROUND(SUM(ППД5[[#This Row],[Площадь по проекту жилая]:[Лоджия 3]]),2)</f>
        <v>25.96</v>
      </c>
      <c r="T521" s="8">
        <f>ROUND(ППД5[[#This Row],[Площадь по проекту(общая)]]-ППД5[[#This Row],[Летние]],2)</f>
        <v>23.04</v>
      </c>
      <c r="U521" s="91">
        <f>ROUND(ППД5[[#This Row],[Площадь по проекту(общая)]]-(SUM(ППД5[[#This Row],[Лоджия 1]:[Лоджия 3]])/2),2)</f>
        <v>24.5</v>
      </c>
      <c r="V521" s="91">
        <f>IF(ППД5[[#This Row],[Статус]]="продажа",ППД5[[#This Row],[Расчетная проектная площадь]],ППД5[[#This Row],[Расчетная ТП площадь]])</f>
        <v>24.5</v>
      </c>
      <c r="W521" s="91">
        <v>7.2</v>
      </c>
      <c r="X521" s="91"/>
      <c r="Y521" s="91"/>
      <c r="Z521" s="91">
        <f>SUM(ППД5[[#This Row],[ТП Комната 1]:[ТП Комната 3]])</f>
        <v>7.2</v>
      </c>
      <c r="AA521" s="91">
        <v>5.7</v>
      </c>
      <c r="AB521" s="91">
        <v>3.7</v>
      </c>
      <c r="AC521" s="91"/>
      <c r="AD521" s="91"/>
      <c r="AE521" s="91">
        <v>6.5</v>
      </c>
      <c r="AF521" s="91">
        <v>1.5</v>
      </c>
      <c r="AG521" s="91"/>
      <c r="AH521" s="91"/>
      <c r="AI521" s="91">
        <f>SUM(ППД5[[#This Row],[ТП Лоджия 1]:[ТП Лоджия 3]])</f>
        <v>1.5</v>
      </c>
      <c r="AJ521" s="95">
        <v>3</v>
      </c>
      <c r="AK521" s="91">
        <f>SUM(ППД5[[#This Row],[Площадь по ТП жилая]:[ТП Лоджия 3]])-ППД5[[#This Row],[ТП Летние]]+ППД5[[#This Row],[кроме того прочая
(без коэффициента)]]</f>
        <v>26.1</v>
      </c>
      <c r="AL521" s="95">
        <f>ППД5[[#This Row],[ТП Площадь без летних]]+(ППД5[[#This Row],[ТП Летние]])</f>
        <v>24.6</v>
      </c>
      <c r="AM521" s="91">
        <f>ППД5[[#This Row],[ТП общая S]]-ППД5[[#This Row],[кроме того прочая
(без коэффициента)]]</f>
        <v>23.1</v>
      </c>
      <c r="AN521" s="95">
        <f>SUM(ППД5[[#This Row],[ТП Кухня]:[ТП Коридор]])</f>
        <v>15.9</v>
      </c>
      <c r="AO521" s="91">
        <f>ППД5[[#This Row],[Расчетная ТП площадь]]-ППД5[[#This Row],[Расчетная проектная площадь]]</f>
        <v>0.10000000000000142</v>
      </c>
      <c r="AP521" s="335">
        <f>ППД5[[#This Row],[Расчетная ТП площадь]]/ППД5[[#This Row],[Расчетная проектная площадь]]-1</f>
        <v>4.0816326530612734E-3</v>
      </c>
      <c r="AQ521" s="91">
        <f>ППД5[[#This Row],[% расхождения]]*ППД5[[#This Row],[Стоимость до скидки]]</f>
        <v>11389.795918367483</v>
      </c>
      <c r="AR521" s="91">
        <f>VLOOKUP(ППД5[[#This Row],[№]],наценкад5[],COLUMN(наценкад5[[#This Row],[Цена м2 с учетом всех K]]),0)</f>
        <v>91105.56</v>
      </c>
      <c r="AS521" s="8">
        <f>ППД5[[#This Row],[м2 после К]]*5%</f>
        <v>4555.2780000000002</v>
      </c>
      <c r="AT521" s="8">
        <f>ППД5[[#This Row],[м2 после К]]+ППД5[[#This Row],[Повышение 16.08.23 - 5%]]</f>
        <v>95660.838000000003</v>
      </c>
      <c r="AU521" s="93">
        <f>ППД5[[#This Row],[Фикс 16.08.23]]*3%</f>
        <v>2869.8251399999999</v>
      </c>
      <c r="AV521" s="93">
        <f>ППД5[[#This Row],[Фикс 16.08.23]]+ППД5[[#This Row],[Повышение 29.08.23 - 3%]]</f>
        <v>98530.663140000004</v>
      </c>
      <c r="AW521" s="93">
        <f>ППД5[[#This Row],[Фикс 29.08.23]]*9%</f>
        <v>8867.7596826000008</v>
      </c>
      <c r="AX521" s="93">
        <f>ППД5[[#This Row],[Фикс 29.08.23]]+ППД5[[#This Row],[Повышение 06.09.23 СТ и 1К]]</f>
        <v>107398.4228226</v>
      </c>
      <c r="AY521" s="93"/>
      <c r="AZ521" s="93">
        <f>ППД5[[#This Row],[Повышение 23.10.23  В4 ]]+ППД5[[#This Row],[Фикс 06.09.23]]</f>
        <v>107398.4228226</v>
      </c>
      <c r="BA521" s="93"/>
      <c r="BB521" s="93">
        <f>ППД5[[#This Row],[Повышение 8.11.23 1К 5%]]+ППД5[[#This Row],[Фикс 23.10.23]]</f>
        <v>107398.4228226</v>
      </c>
      <c r="BC521" s="93"/>
      <c r="BD521" s="93">
        <f>ППД5[[#This Row],[Корректировка 24.11.23 - 1К В5, 2К А2, №233]]+ППД5[[#This Row],[Фикс 8.11.23]]</f>
        <v>107398.4228226</v>
      </c>
      <c r="BE521" s="93">
        <f>ППД5[[#This Row],[Фикс 8.11.24]]*1%</f>
        <v>1073.9842282259999</v>
      </c>
      <c r="BF521" s="93">
        <f>ППД5[[#This Row],[Наценка за отделку 29.12.23 1%]]+ППД5[[#This Row],[Фикс 8.11.24]]</f>
        <v>108472.407050826</v>
      </c>
      <c r="BG521" s="93">
        <f>ППД5[[#This Row],[Фикс 29.12.23]]*5%</f>
        <v>5423.6203525413002</v>
      </c>
      <c r="BH521" s="93">
        <f>ППД5[[#This Row],[Фикс 29.12.23]]+ППД5[[#This Row],[Наценка 10.01.24 5%]]</f>
        <v>113896.0274033673</v>
      </c>
      <c r="BI521" s="93"/>
      <c r="BJ521" s="93">
        <f>ППД5[[#This Row],[Наценка 26.02.24 1 Этаж]]+ППД5[[#This Row],[Фикс 10.01.24]]</f>
        <v>113896.0274033673</v>
      </c>
      <c r="BK521" s="93"/>
      <c r="BL521" s="93">
        <f>ППД5[[#This Row],[Фикс 26.02.24]]+ППД5[[#This Row],[Наценка 06.03.24
СТ, 1К - 3%
2К, 3К - 2%]]</f>
        <v>113896.0274033673</v>
      </c>
      <c r="BM521" s="93"/>
      <c r="BN521" s="93">
        <f>ППД5[[#This Row],[Фикс 06.03.24]]+ППД5[[#This Row],[Наценка Г2+500]]</f>
        <v>113896.0274033673</v>
      </c>
      <c r="BO521" s="93"/>
      <c r="BP521" s="93">
        <f>ППД5[[#This Row],[Фикс 13.03.25]]+ППД5[[#This Row],[Наценка 20.03.24
2К, 3К - 2%]]</f>
        <v>113896.0274033673</v>
      </c>
      <c r="BQ521" s="93"/>
      <c r="BR521" s="93">
        <f>ППД5[[#This Row],[Фикс 20.03.24]]+ППД5[[#This Row],[Наценка 08.04.24 
2К: В3 - 150
3К: Г7 +1000]]</f>
        <v>113896.0274033673</v>
      </c>
      <c r="BS521" s="93"/>
      <c r="BT521" s="93">
        <f>ППД5[[#This Row],[Фикс 08.04.24]]+ППД5[[#This Row],[Наценка 16.05.24 1%
А4,А6,Б3,Б6,Б7,В2,В3,В5,В6,Г1,Г3-Г5]]</f>
        <v>113896.0274033673</v>
      </c>
      <c r="BU521" s="93"/>
      <c r="BV521" s="93">
        <f>ППД5[[#This Row],[Фикс 16.05.24]]+ППД5[[#This Row],[Наценка 24.05.24
1% - Б4, Б5,Г2,Г6
2% - А1,А3,А5,Б2,Г7]]</f>
        <v>113896.0274033673</v>
      </c>
      <c r="BW521" s="93"/>
      <c r="BX521" s="93">
        <f>ППД5[[#This Row],[Наценка 06.06.24
0К: В2,Г3 +0,5%
1К: А7, Б5/4, Г6 +0,5%
3К: В6 +0,5%
1К: А3 +1%]]+ППД5[[#This Row],[Фикс 24.05.24]]</f>
        <v>113896.0274033673</v>
      </c>
      <c r="BY521" s="93"/>
      <c r="BZ521" s="93">
        <f>ППД5[[#This Row],[Фикс 06.06.24]]+ППД5[[#This Row],[13.06.2024
3К - 2%]]</f>
        <v>113896.0274033673</v>
      </c>
      <c r="CA521" s="93"/>
      <c r="CB521" s="93">
        <f>ППД5[[#This Row],[02.07.2024: Г3 А1 А3 Б5 Б7 Г2 Г6 Б3 Б4 В3 Г7 2,5% ост 0,5-1,5%]]+ППД5[[#This Row],[Фикс 13.06.24]]</f>
        <v>113896.0274033673</v>
      </c>
      <c r="CC521" s="93"/>
      <c r="CD521" s="93">
        <f>ППД5[[#This Row],[Фикс 02.07.24]]+ППД5[[#This Row],[04.09.2024 +500
0К - Б2; 1К - А3;
2К - А6, Б4, В3, Г5]]</f>
        <v>113896.0274033673</v>
      </c>
      <c r="CE521" s="93"/>
      <c r="CF521" s="93">
        <f>ППД5[[#This Row],[Наценка 16.09.2024
1К: А1,В7,Г6/7,Г8 - 2%
2К: А4,А5,А6,Б1,Б6,Б3/4,В3,В4,Г4,Г5 - 4%
3К: 4%]]+ППД5[[#This Row],[Фикс 04.09.24]]</f>
        <v>113896.0274033673</v>
      </c>
      <c r="CG521" s="93"/>
      <c r="CH521" s="93">
        <f>ППД5[[#This Row],[Фикс 16.09.2024]]+ППД5[[#This Row],[Наценка 01.11.24
СТ: 4%
1К: 34-40м 5%; 40м+ 8%; МГН 1%
2К: 55-70м 6%; 70-73м 7%; 73-76м 8% 
3К: 5%]]</f>
        <v>113896.0274033673</v>
      </c>
      <c r="CI521" s="93"/>
      <c r="CJ521" s="93">
        <f>ППД5[[#This Row],[Наценка 06.11 13%]]+ППД5[[#This Row],[Фикс 01.11.24]]</f>
        <v>113896.0274033673</v>
      </c>
      <c r="CK521" s="93"/>
      <c r="CL521" s="93">
        <f>ППД5[[#This Row],[Фикс 06.11.24]]+ППД5[[#This Row],[Наценка 18.12.24 распределение КВ]]</f>
        <v>113896.0274033673</v>
      </c>
      <c r="CM521" s="93"/>
      <c r="CN521" s="93">
        <f>ППД5[[#This Row],[Фикс 18.12.24]]+ППД5[[#This Row],[Наценка 10.02.25 +1%
1К: А3
2К: Б3, В3]]</f>
        <v>113896.0274033673</v>
      </c>
      <c r="CO521" s="93">
        <f>ROUND(ППД5[[#This Row],[Фикс 10.02.25]],2)</f>
        <v>113896.03</v>
      </c>
      <c r="CP52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2790500</v>
      </c>
      <c r="CQ521" s="93">
        <f>ROUNDUP(ППД5[[#This Row],[Стоимость до скидки]]+ППД5[[#This Row],[Сумма доплаты]],-2)</f>
        <v>2801900</v>
      </c>
      <c r="CR521" s="68"/>
      <c r="CS521" s="90"/>
      <c r="CT521" s="68">
        <f>ППД5[[#This Row],[Стоимость до скидки]]*ППД5[[#This Row],[Скидка %]]+ППД5[[#This Row],[Скидка фиксированная]]</f>
        <v>0</v>
      </c>
      <c r="CU521" s="3">
        <f>ППД5[[#This Row],[Стоимость ОН без отделки со скидкой]]/ППД5[[#This Row],[Расчетная проектная площадь]]</f>
        <v>113897.95918367348</v>
      </c>
      <c r="CV521" s="3">
        <f>ROUND(ППД5[[#This Row],[Стоимость до скидки]]-ППД5[[#This Row],[Итоговая сумма скидки]],2)</f>
        <v>2790500</v>
      </c>
      <c r="CW52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521" s="197">
        <v>20000</v>
      </c>
      <c r="CY521" s="332">
        <f>ППД5[[#This Row],[Расхождение]]/ППД5[[#This Row],[Расчетная проектная площадь]]</f>
        <v>4.0816326530612821E-3</v>
      </c>
      <c r="CZ52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6.0000000000001386E-2</v>
      </c>
      <c r="DA521" s="3">
        <f>ППД5[[#This Row],[Цена м2 без отделки со скидкой]]+ППД5[[#This Row],[Стоимость отделки]]</f>
        <v>133897.95918367349</v>
      </c>
      <c r="DB521" s="3">
        <f>ППД5[[#This Row],[Стоимость квартиры с отделкой]]-ППД5[[#This Row],[Стоимость ОН без отделки со скидкой]]</f>
        <v>490000.00000000047</v>
      </c>
      <c r="DC521" s="3">
        <f>ППД5[[#This Row],[Цена м2 с отделкой]]*ППД5[[#This Row],[Расчетная проектная площадь]]</f>
        <v>3280500.0000000005</v>
      </c>
      <c r="DD521" s="3"/>
      <c r="DF521" s="155" t="s">
        <v>172</v>
      </c>
      <c r="DG521" s="245" t="s">
        <v>172</v>
      </c>
      <c r="DH521" s="100" t="b">
        <f>EXACT(ППД5[[#This Row],[Статусы CRM]],ППД5[[#This Row],[Статус]])</f>
        <v>1</v>
      </c>
      <c r="DI521" s="213" t="s">
        <v>693</v>
      </c>
      <c r="DJ521" s="204"/>
      <c r="DK521" s="111" t="s">
        <v>763</v>
      </c>
      <c r="DL521" s="216" t="s">
        <v>14</v>
      </c>
      <c r="DM521" s="201" t="b">
        <f>ППД5[[#This Row],[Отделка CRM]]=ППД5[[#This Row],[Отделка]]</f>
        <v>1</v>
      </c>
      <c r="DN521" s="203">
        <v>3280500</v>
      </c>
      <c r="DO52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-4.6566128730773926E-10</v>
      </c>
      <c r="DP521" s="207" t="b">
        <f>IF(AND(ППД5[[#This Row],[Статус]]="свободно",ППД5[[#This Row],[Итоговая сумма скидки]]&lt;&gt;0),FALSE,TRUE)</f>
        <v>1</v>
      </c>
      <c r="DQ521" s="240">
        <f>_xlfn.XLOOKUP(ППД5[[#This Row],[№]],Юрист[№ кв],Юрист[Дата подачи на регистрацию]," ",0,-1)</f>
        <v>45344</v>
      </c>
      <c r="DR521" s="115" t="str">
        <f>_xlfn.XLOOKUP(ППД5[[#This Row],[№]],Юрист[№ кв],Юрист[МОП],"",0,-1)</f>
        <v>Дик</v>
      </c>
      <c r="DS521" s="333" t="s">
        <v>3334</v>
      </c>
      <c r="DT521" s="333" t="s">
        <v>3335</v>
      </c>
      <c r="DU521" s="333">
        <v>23.1</v>
      </c>
      <c r="DV521" s="111"/>
    </row>
    <row r="522" spans="1:126" hidden="1" x14ac:dyDescent="0.25">
      <c r="A522" s="112">
        <v>520</v>
      </c>
      <c r="B522" s="111" t="s">
        <v>2</v>
      </c>
      <c r="C522" s="111">
        <v>17</v>
      </c>
      <c r="D522" s="115">
        <v>4</v>
      </c>
      <c r="E522" s="111">
        <v>2</v>
      </c>
      <c r="F522" s="105">
        <v>14.48</v>
      </c>
      <c r="G522" s="105">
        <v>11.42</v>
      </c>
      <c r="H522" s="105"/>
      <c r="I522" s="94">
        <f>SUM(ППД5[[#This Row],[Комната 1]:[Комната 3]])</f>
        <v>25.9</v>
      </c>
      <c r="J522" s="105">
        <v>15.86</v>
      </c>
      <c r="K522" s="105">
        <v>3.01</v>
      </c>
      <c r="L522" s="105">
        <v>2.67</v>
      </c>
      <c r="M522" s="105"/>
      <c r="N522" s="105">
        <v>9.44</v>
      </c>
      <c r="O522" s="105">
        <v>2.72</v>
      </c>
      <c r="P522" s="105"/>
      <c r="Q522" s="105"/>
      <c r="R522" s="105">
        <f>SUM(ППД5[[#This Row],[Лоджия 1]:[Лоджия 3]])</f>
        <v>2.72</v>
      </c>
      <c r="S522" s="8">
        <f>ROUND(SUM(ППД5[[#This Row],[Площадь по проекту жилая]:[Лоджия 3]]),2)</f>
        <v>59.6</v>
      </c>
      <c r="T522" s="8">
        <f>ROUND(ППД5[[#This Row],[Площадь по проекту(общая)]]-ППД5[[#This Row],[Летние]],2)</f>
        <v>56.88</v>
      </c>
      <c r="U522" s="91">
        <f>ROUND(ППД5[[#This Row],[Площадь по проекту(общая)]]-(SUM(ППД5[[#This Row],[Лоджия 1]:[Лоджия 3]])/2),2)</f>
        <v>58.24</v>
      </c>
      <c r="V522" s="91">
        <f>IF(ППД5[[#This Row],[Статус]]="продажа",ППД5[[#This Row],[Расчетная проектная площадь]],ППД5[[#This Row],[Расчетная ТП площадь]])</f>
        <v>58.24</v>
      </c>
      <c r="W522" s="91">
        <v>14.5</v>
      </c>
      <c r="X522" s="91">
        <v>11.4</v>
      </c>
      <c r="Y522" s="91"/>
      <c r="Z522" s="91">
        <f>SUM(ППД5[[#This Row],[ТП Комната 1]:[ТП Комната 3]])</f>
        <v>25.9</v>
      </c>
      <c r="AA522" s="91">
        <v>15.8</v>
      </c>
      <c r="AB522" s="91">
        <v>2.6</v>
      </c>
      <c r="AC522" s="91">
        <v>3</v>
      </c>
      <c r="AD522" s="91"/>
      <c r="AE522" s="91">
        <v>9.4</v>
      </c>
      <c r="AF522" s="91">
        <v>1.35</v>
      </c>
      <c r="AG522" s="91"/>
      <c r="AH522" s="91"/>
      <c r="AI522" s="91">
        <f>SUM(ППД5[[#This Row],[ТП Лоджия 1]:[ТП Лоджия 3]])</f>
        <v>1.35</v>
      </c>
      <c r="AJ522" s="95">
        <v>2.7</v>
      </c>
      <c r="AK522" s="91">
        <f>SUM(ППД5[[#This Row],[Площадь по ТП жилая]:[ТП Лоджия 3]])-ППД5[[#This Row],[ТП Летние]]+ППД5[[#This Row],[кроме того прочая
(без коэффициента)]]</f>
        <v>59.400000000000006</v>
      </c>
      <c r="AL522" s="95">
        <f>ППД5[[#This Row],[ТП Площадь без летних]]+(ППД5[[#This Row],[ТП Летние]])</f>
        <v>58.050000000000004</v>
      </c>
      <c r="AM522" s="91">
        <f>ППД5[[#This Row],[ТП общая S]]-ППД5[[#This Row],[кроме того прочая
(без коэффициента)]]</f>
        <v>56.7</v>
      </c>
      <c r="AN522" s="95">
        <f>SUM(ППД5[[#This Row],[ТП Кухня]:[ТП Коридор]])</f>
        <v>30.800000000000004</v>
      </c>
      <c r="AO522" s="91">
        <f>ППД5[[#This Row],[Расчетная ТП площадь]]-ППД5[[#This Row],[Расчетная проектная площадь]]</f>
        <v>-0.18999999999999773</v>
      </c>
      <c r="AP522" s="335">
        <f>ППД5[[#This Row],[Расчетная ТП площадь]]/ППД5[[#This Row],[Расчетная проектная площадь]]-1</f>
        <v>-3.2623626373625703E-3</v>
      </c>
      <c r="AQ522" s="91">
        <f>ППД5[[#This Row],[% расхождения]]*ППД5[[#This Row],[Стоимость до скидки]]</f>
        <v>-18486.177884615005</v>
      </c>
      <c r="AR522" s="91">
        <f>VLOOKUP(ППД5[[#This Row],[№]],наценкад5[],COLUMN(наценкад5[[#This Row],[Цена м2 с учетом всех K]]),0)</f>
        <v>79535.67300000001</v>
      </c>
      <c r="AS522" s="8">
        <f>ППД5[[#This Row],[м2 после К]]*5%</f>
        <v>3976.7836500000008</v>
      </c>
      <c r="AT522" s="8">
        <f>ППД5[[#This Row],[м2 после К]]+ППД5[[#This Row],[Повышение 16.08.23 - 5%]]</f>
        <v>83512.456650000007</v>
      </c>
      <c r="AU522" s="93">
        <f>ППД5[[#This Row],[Фикс 16.08.23]]*3%</f>
        <v>2505.3736994999999</v>
      </c>
      <c r="AV522" s="93">
        <f>ППД5[[#This Row],[Фикс 16.08.23]]+ППД5[[#This Row],[Повышение 29.08.23 - 3%]]</f>
        <v>86017.8303495</v>
      </c>
      <c r="AW522" s="93"/>
      <c r="AX522" s="93">
        <f>ППД5[[#This Row],[Фикс 29.08.23]]+ППД5[[#This Row],[Повышение 06.09.23 СТ и 1К]]</f>
        <v>86017.8303495</v>
      </c>
      <c r="AY522" s="93"/>
      <c r="AZ522" s="93">
        <f>ППД5[[#This Row],[Повышение 23.10.23  В4 ]]+ППД5[[#This Row],[Фикс 06.09.23]]</f>
        <v>86017.8303495</v>
      </c>
      <c r="BA522" s="93"/>
      <c r="BB522" s="93">
        <f>ППД5[[#This Row],[Повышение 8.11.23 1К 5%]]+ППД5[[#This Row],[Фикс 23.10.23]]</f>
        <v>86017.8303495</v>
      </c>
      <c r="BC522" s="93"/>
      <c r="BD522" s="93">
        <f>ППД5[[#This Row],[Корректировка 24.11.23 - 1К В5, 2К А2, №233]]+ППД5[[#This Row],[Фикс 8.11.23]]</f>
        <v>86017.8303495</v>
      </c>
      <c r="BE522" s="93">
        <f>ППД5[[#This Row],[Фикс 8.11.24]]*1%</f>
        <v>860.17830349500002</v>
      </c>
      <c r="BF522" s="93">
        <f>ППД5[[#This Row],[Наценка за отделку 29.12.23 1%]]+ППД5[[#This Row],[Фикс 8.11.24]]</f>
        <v>86878.008652995006</v>
      </c>
      <c r="BG522" s="93">
        <f>ППД5[[#This Row],[Фикс 29.12.23]]*5%</f>
        <v>4343.9004326497507</v>
      </c>
      <c r="BH522" s="93">
        <f>ППД5[[#This Row],[Фикс 29.12.23]]+ППД5[[#This Row],[Наценка 10.01.24 5%]]</f>
        <v>91221.909085644758</v>
      </c>
      <c r="BI522" s="93"/>
      <c r="BJ522" s="93">
        <f>ППД5[[#This Row],[Наценка 26.02.24 1 Этаж]]+ППД5[[#This Row],[Фикс 10.01.24]]</f>
        <v>91221.909085644758</v>
      </c>
      <c r="BK522" s="93">
        <f>ППД5[[#This Row],[Фикс 26.02.24]]*2%</f>
        <v>1824.4381817128951</v>
      </c>
      <c r="BL522" s="93">
        <f>ППД5[[#This Row],[Фикс 26.02.24]]+ППД5[[#This Row],[Наценка 06.03.24
СТ, 1К - 3%
2К, 3К - 2%]]</f>
        <v>93046.347267357647</v>
      </c>
      <c r="BM522" s="93"/>
      <c r="BN522" s="93">
        <f>ППД5[[#This Row],[Фикс 06.03.24]]+ППД5[[#This Row],[Наценка Г2+500]]</f>
        <v>93046.347267357647</v>
      </c>
      <c r="BO522" s="93">
        <f>ППД5[[#This Row],[Фикс 13.03.25]]*2%</f>
        <v>1860.9269453471529</v>
      </c>
      <c r="BP522" s="93">
        <f>ППД5[[#This Row],[Фикс 13.03.25]]+ППД5[[#This Row],[Наценка 20.03.24
2К, 3К - 2%]]</f>
        <v>94907.274212704797</v>
      </c>
      <c r="BQ522" s="93"/>
      <c r="BR522" s="93">
        <f>ППД5[[#This Row],[Фикс 20.03.24]]+ППД5[[#This Row],[Наценка 08.04.24 
2К: В3 - 150
3К: Г7 +1000]]</f>
        <v>94907.274212704797</v>
      </c>
      <c r="BS522" s="93">
        <f>ППД5[[#This Row],[Фикс 08.04.24]]*1%</f>
        <v>949.07274212704795</v>
      </c>
      <c r="BT522" s="93">
        <f>ППД5[[#This Row],[Фикс 08.04.24]]+ППД5[[#This Row],[Наценка 16.05.24 1%
А4,А6,Б3,Б6,Б7,В2,В3,В5,В6,Г1,Г3-Г5]]</f>
        <v>95856.346954831839</v>
      </c>
      <c r="BU522" s="93"/>
      <c r="BV522" s="93">
        <f>ППД5[[#This Row],[Фикс 16.05.24]]+ППД5[[#This Row],[Наценка 24.05.24
1% - Б4, Б5,Г2,Г6
2% - А1,А3,А5,Б2,Г7]]</f>
        <v>95856.346954831839</v>
      </c>
      <c r="BW522" s="93"/>
      <c r="BX522" s="93">
        <f>ППД5[[#This Row],[Наценка 06.06.24
0К: В2,Г3 +0,5%
1К: А7, Б5/4, Г6 +0,5%
3К: В6 +0,5%
1К: А3 +1%]]+ППД5[[#This Row],[Фикс 24.05.24]]</f>
        <v>95856.346954831839</v>
      </c>
      <c r="BY522" s="93"/>
      <c r="BZ522" s="93">
        <f>ППД5[[#This Row],[Фикс 06.06.24]]+ППД5[[#This Row],[13.06.2024
3К - 2%]]</f>
        <v>95856.346954831839</v>
      </c>
      <c r="CA522" s="47">
        <f>1.5%*ППД5[[#This Row],[Фикс 13.06.24]]</f>
        <v>1437.8452043224775</v>
      </c>
      <c r="CB522" s="93">
        <f>ППД5[[#This Row],[02.07.2024: Г3 А1 А3 Б5 Б7 Г2 Г6 Б3 Б4 В3 Г7 2,5% ост 0,5-1,5%]]+ППД5[[#This Row],[Фикс 13.06.24]]</f>
        <v>97294.192159154321</v>
      </c>
      <c r="CC522" s="93"/>
      <c r="CD522" s="93">
        <f>ППД5[[#This Row],[Фикс 02.07.24]]+ППД5[[#This Row],[04.09.2024 +500
0К - Б2; 1К - А3;
2К - А6, Б4, В3, Г5]]</f>
        <v>97294.192159154321</v>
      </c>
      <c r="CE522" s="93"/>
      <c r="CF522" s="93">
        <f>ППД5[[#This Row],[Наценка 16.09.2024
1К: А1,В7,Г6/7,Г8 - 2%
2К: А4,А5,А6,Б1,Б6,Б3/4,В3,В4,Г4,Г5 - 4%
3К: 4%]]+ППД5[[#This Row],[Фикс 04.09.24]]</f>
        <v>97294.192159154321</v>
      </c>
      <c r="CG522" s="93"/>
      <c r="CH522" s="93">
        <f>ППД5[[#This Row],[Фикс 16.09.2024]]+ППД5[[#This Row],[Наценка 01.11.24
СТ: 4%
1К: 34-40м 5%; 40м+ 8%; МГН 1%
2К: 55-70м 6%; 70-73м 7%; 73-76м 8% 
3К: 5%]]</f>
        <v>97294.192159154321</v>
      </c>
      <c r="CI522" s="93"/>
      <c r="CJ522" s="93">
        <f>ППД5[[#This Row],[Наценка 06.11 13%]]+ППД5[[#This Row],[Фикс 01.11.24]]</f>
        <v>97294.192159154321</v>
      </c>
      <c r="CK522" s="93"/>
      <c r="CL522" s="93">
        <f>ППД5[[#This Row],[Фикс 06.11.24]]+ППД5[[#This Row],[Наценка 18.12.24 распределение КВ]]</f>
        <v>97294.192159154321</v>
      </c>
      <c r="CM522" s="93"/>
      <c r="CN522" s="93">
        <f>ППД5[[#This Row],[Фикс 18.12.24]]+ППД5[[#This Row],[Наценка 10.02.25 +1%
1К: А3
2К: Б3, В3]]</f>
        <v>97294.192159154321</v>
      </c>
      <c r="CO522" s="93">
        <f>ROUND(ППД5[[#This Row],[Фикс 10.02.25]],2)</f>
        <v>97294.19</v>
      </c>
      <c r="CP52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5666500</v>
      </c>
      <c r="CQ522" s="93">
        <f>ROUNDUP(ППД5[[#This Row],[Стоимость до скидки]]+ППД5[[#This Row],[Сумма доплаты]],-2)</f>
        <v>5648100</v>
      </c>
      <c r="CR522" s="68"/>
      <c r="CS522" s="90"/>
      <c r="CT522" s="68">
        <f>ППД5[[#This Row],[Стоимость до скидки]]*ППД5[[#This Row],[Скидка %]]+ППД5[[#This Row],[Скидка фиксированная]]</f>
        <v>0</v>
      </c>
      <c r="CU522" s="3">
        <f>ППД5[[#This Row],[Стоимость ОН без отделки со скидкой]]/ППД5[[#This Row],[Расчетная проектная площадь]]</f>
        <v>97295.673076923078</v>
      </c>
      <c r="CV522" s="3">
        <f>ROUND(ППД5[[#This Row],[Стоимость до скидки]]-ППД5[[#This Row],[Итоговая сумма скидки]],2)</f>
        <v>5666500</v>
      </c>
      <c r="CW52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522" s="197">
        <v>20000</v>
      </c>
      <c r="CY522" s="332">
        <f>ППД5[[#This Row],[Расхождение]]/ППД5[[#This Row],[Расчетная проектная площадь]]</f>
        <v>-3.262362637362598E-3</v>
      </c>
      <c r="CZ52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-0.17999999999999439</v>
      </c>
      <c r="DA522" s="3">
        <f>ППД5[[#This Row],[Цена м2 без отделки со скидкой]]+ППД5[[#This Row],[Стоимость отделки]]</f>
        <v>117295.67307692308</v>
      </c>
      <c r="DB522" s="3">
        <f>ППД5[[#This Row],[Стоимость квартиры с отделкой]]-ППД5[[#This Row],[Стоимость ОН без отделки со скидкой]]</f>
        <v>1164800</v>
      </c>
      <c r="DC522" s="3">
        <f>ППД5[[#This Row],[Цена м2 с отделкой]]*ППД5[[#This Row],[Расчетная проектная площадь]]</f>
        <v>6831300</v>
      </c>
      <c r="DD522" s="3"/>
      <c r="DF522" s="199" t="s">
        <v>172</v>
      </c>
      <c r="DG522" s="245" t="s">
        <v>172</v>
      </c>
      <c r="DH522" s="100" t="b">
        <f>EXACT(ППД5[[#This Row],[Статусы CRM]],ППД5[[#This Row],[Статус]])</f>
        <v>1</v>
      </c>
      <c r="DI522" s="213" t="s">
        <v>694</v>
      </c>
      <c r="DJ522" s="204"/>
      <c r="DK522" s="111" t="s">
        <v>763</v>
      </c>
      <c r="DL522" s="216" t="s">
        <v>14</v>
      </c>
      <c r="DM522" s="201" t="b">
        <f>ППД5[[#This Row],[Отделка CRM]]=ППД5[[#This Row],[Отделка]]</f>
        <v>1</v>
      </c>
      <c r="DN522" s="203">
        <v>6831300</v>
      </c>
      <c r="DO52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22" s="207" t="b">
        <f>IF(AND(ППД5[[#This Row],[Статус]]="свободно",ППД5[[#This Row],[Итоговая сумма скидки]]&lt;&gt;0),FALSE,TRUE)</f>
        <v>1</v>
      </c>
      <c r="DQ522" s="240">
        <f>_xlfn.XLOOKUP(ППД5[[#This Row],[№]],Юрист[№ кв],Юрист[Дата подачи на регистрацию]," ",0,-1)</f>
        <v>45582</v>
      </c>
      <c r="DR522" s="115" t="str">
        <f>_xlfn.XLOOKUP(ППД5[[#This Row],[№]],Юрист[№ кв],Юрист[МОП],"",0,-1)</f>
        <v>Никишов</v>
      </c>
      <c r="DS522" s="333" t="s">
        <v>3336</v>
      </c>
      <c r="DT522" s="333" t="s">
        <v>3337</v>
      </c>
      <c r="DU522" s="333">
        <v>56.7</v>
      </c>
      <c r="DV522" s="111"/>
    </row>
    <row r="523" spans="1:126" hidden="1" x14ac:dyDescent="0.25">
      <c r="A523" s="112">
        <v>521</v>
      </c>
      <c r="B523" s="111" t="s">
        <v>2</v>
      </c>
      <c r="C523" s="111">
        <v>17</v>
      </c>
      <c r="D523" s="115">
        <v>5</v>
      </c>
      <c r="E523" s="111">
        <v>2</v>
      </c>
      <c r="F523" s="105">
        <v>15.41</v>
      </c>
      <c r="G523" s="105">
        <v>12.78</v>
      </c>
      <c r="H523" s="105"/>
      <c r="I523" s="94">
        <f>SUM(ППД5[[#This Row],[Комната 1]:[Комната 3]])</f>
        <v>28.189999999999998</v>
      </c>
      <c r="J523" s="105">
        <v>13.45</v>
      </c>
      <c r="K523" s="105">
        <v>3.7</v>
      </c>
      <c r="L523" s="105">
        <v>2.72</v>
      </c>
      <c r="M523" s="105"/>
      <c r="N523" s="105">
        <v>8.2200000000000006</v>
      </c>
      <c r="O523" s="105">
        <v>3.03</v>
      </c>
      <c r="P523" s="105"/>
      <c r="Q523" s="105"/>
      <c r="R523" s="105">
        <f>SUM(ППД5[[#This Row],[Лоджия 1]:[Лоджия 3]])</f>
        <v>3.03</v>
      </c>
      <c r="S523" s="8">
        <f>ROUND(SUM(ППД5[[#This Row],[Площадь по проекту жилая]:[Лоджия 3]]),2)</f>
        <v>59.31</v>
      </c>
      <c r="T523" s="8">
        <f>ROUND(ППД5[[#This Row],[Площадь по проекту(общая)]]-ППД5[[#This Row],[Летние]],2)</f>
        <v>56.28</v>
      </c>
      <c r="U523" s="91">
        <f>ROUND(ППД5[[#This Row],[Площадь по проекту(общая)]]-(SUM(ППД5[[#This Row],[Лоджия 1]:[Лоджия 3]])/2),2)</f>
        <v>57.8</v>
      </c>
      <c r="V523" s="91">
        <f>IF(ППД5[[#This Row],[Статус]]="продажа",ППД5[[#This Row],[Расчетная проектная площадь]],ППД5[[#This Row],[Расчетная ТП площадь]])</f>
        <v>57.8</v>
      </c>
      <c r="W523" s="91">
        <v>12.6</v>
      </c>
      <c r="X523" s="91">
        <v>15.4</v>
      </c>
      <c r="Y523" s="91"/>
      <c r="Z523" s="91">
        <f>SUM(ППД5[[#This Row],[ТП Комната 1]:[ТП Комната 3]])</f>
        <v>28</v>
      </c>
      <c r="AA523" s="91">
        <v>13.5</v>
      </c>
      <c r="AB523" s="91">
        <v>2.8</v>
      </c>
      <c r="AC523" s="91">
        <v>3.7</v>
      </c>
      <c r="AD523" s="91"/>
      <c r="AE523" s="91">
        <v>8</v>
      </c>
      <c r="AF523" s="91">
        <v>1.5</v>
      </c>
      <c r="AG523" s="91"/>
      <c r="AH523" s="91"/>
      <c r="AI523" s="91">
        <f>SUM(ППД5[[#This Row],[ТП Лоджия 1]:[ТП Лоджия 3]])</f>
        <v>1.5</v>
      </c>
      <c r="AJ523" s="95">
        <v>3</v>
      </c>
      <c r="AK523" s="91">
        <f>SUM(ППД5[[#This Row],[Площадь по ТП жилая]:[ТП Лоджия 3]])-ППД5[[#This Row],[ТП Летние]]+ППД5[[#This Row],[кроме того прочая
(без коэффициента)]]</f>
        <v>59</v>
      </c>
      <c r="AL523" s="95">
        <f>ППД5[[#This Row],[ТП Площадь без летних]]+(ППД5[[#This Row],[ТП Летние]])</f>
        <v>57.5</v>
      </c>
      <c r="AM523" s="91">
        <f>ППД5[[#This Row],[ТП общая S]]-ППД5[[#This Row],[кроме того прочая
(без коэффициента)]]</f>
        <v>56</v>
      </c>
      <c r="AN523" s="95">
        <f>SUM(ППД5[[#This Row],[ТП Кухня]:[ТП Коридор]])</f>
        <v>28</v>
      </c>
      <c r="AO523" s="91">
        <f>ППД5[[#This Row],[Расчетная ТП площадь]]-ППД5[[#This Row],[Расчетная проектная площадь]]</f>
        <v>-0.29999999999999716</v>
      </c>
      <c r="AP523" s="335">
        <f>ППД5[[#This Row],[Расчетная ТП площадь]]/ППД5[[#This Row],[Расчетная проектная площадь]]-1</f>
        <v>-5.1903114186850896E-3</v>
      </c>
      <c r="AQ523" s="91">
        <f>ППД5[[#This Row],[% расхождения]]*ППД5[[#This Row],[Стоимость до скидки]]</f>
        <v>-28617.820069203979</v>
      </c>
      <c r="AR523" s="91">
        <f>VLOOKUP(ППД5[[#This Row],[№]],наценкад5[],COLUMN(наценкад5[[#This Row],[Цена м2 с учетом всех K]]),0)</f>
        <v>79149.577499999999</v>
      </c>
      <c r="AS523" s="8">
        <f>ППД5[[#This Row],[м2 после К]]*5%</f>
        <v>3957.4788750000002</v>
      </c>
      <c r="AT523" s="8">
        <f>ППД5[[#This Row],[м2 после К]]+ППД5[[#This Row],[Повышение 16.08.23 - 5%]]</f>
        <v>83107.056375</v>
      </c>
      <c r="AU523" s="93">
        <f>ППД5[[#This Row],[Фикс 16.08.23]]*3%</f>
        <v>2493.2116912500001</v>
      </c>
      <c r="AV523" s="93">
        <f>ППД5[[#This Row],[Фикс 16.08.23]]+ППД5[[#This Row],[Повышение 29.08.23 - 3%]]</f>
        <v>85600.268066250006</v>
      </c>
      <c r="AW523" s="93"/>
      <c r="AX523" s="93">
        <f>ППД5[[#This Row],[Фикс 29.08.23]]+ППД5[[#This Row],[Повышение 06.09.23 СТ и 1К]]</f>
        <v>85600.268066250006</v>
      </c>
      <c r="AY523" s="93"/>
      <c r="AZ523" s="93">
        <f>ППД5[[#This Row],[Повышение 23.10.23  В4 ]]+ППД5[[#This Row],[Фикс 06.09.23]]</f>
        <v>85600.268066250006</v>
      </c>
      <c r="BA523" s="93"/>
      <c r="BB523" s="93">
        <f>ППД5[[#This Row],[Повышение 8.11.23 1К 5%]]+ППД5[[#This Row],[Фикс 23.10.23]]</f>
        <v>85600.268066250006</v>
      </c>
      <c r="BC523" s="93"/>
      <c r="BD523" s="93">
        <f>ППД5[[#This Row],[Корректировка 24.11.23 - 1К В5, 2К А2, №233]]+ППД5[[#This Row],[Фикс 8.11.23]]</f>
        <v>85600.268066250006</v>
      </c>
      <c r="BE523" s="93">
        <f>ППД5[[#This Row],[Фикс 8.11.24]]*1%</f>
        <v>856.0026806625001</v>
      </c>
      <c r="BF523" s="93">
        <f>ППД5[[#This Row],[Наценка за отделку 29.12.23 1%]]+ППД5[[#This Row],[Фикс 8.11.24]]</f>
        <v>86456.270746912502</v>
      </c>
      <c r="BG523" s="93">
        <f>ППД5[[#This Row],[Фикс 29.12.23]]*5%</f>
        <v>4322.8135373456253</v>
      </c>
      <c r="BH523" s="93">
        <f>ППД5[[#This Row],[Фикс 29.12.23]]+ППД5[[#This Row],[Наценка 10.01.24 5%]]</f>
        <v>90779.084284258133</v>
      </c>
      <c r="BI523" s="93"/>
      <c r="BJ523" s="93">
        <f>ППД5[[#This Row],[Наценка 26.02.24 1 Этаж]]+ППД5[[#This Row],[Фикс 10.01.24]]</f>
        <v>90779.084284258133</v>
      </c>
      <c r="BK523" s="93">
        <f>ППД5[[#This Row],[Фикс 26.02.24]]*2%</f>
        <v>1815.5816856851627</v>
      </c>
      <c r="BL523" s="93">
        <f>ППД5[[#This Row],[Фикс 26.02.24]]+ППД5[[#This Row],[Наценка 06.03.24
СТ, 1К - 3%
2К, 3К - 2%]]</f>
        <v>92594.665969943293</v>
      </c>
      <c r="BM523" s="93"/>
      <c r="BN523" s="93">
        <f>ППД5[[#This Row],[Фикс 06.03.24]]+ППД5[[#This Row],[Наценка Г2+500]]</f>
        <v>92594.665969943293</v>
      </c>
      <c r="BO523" s="93">
        <f>ППД5[[#This Row],[Фикс 13.03.25]]*2%</f>
        <v>1851.893319398866</v>
      </c>
      <c r="BP523" s="93">
        <f>ППД5[[#This Row],[Фикс 13.03.25]]+ППД5[[#This Row],[Наценка 20.03.24
2К, 3К - 2%]]</f>
        <v>94446.559289342156</v>
      </c>
      <c r="BQ523" s="93"/>
      <c r="BR523" s="93">
        <f>ППД5[[#This Row],[Фикс 20.03.24]]+ППД5[[#This Row],[Наценка 08.04.24 
2К: В3 - 150
3К: Г7 +1000]]</f>
        <v>94446.559289342156</v>
      </c>
      <c r="BS523" s="93">
        <f>ППД5[[#This Row],[Фикс 08.04.24]]*1%</f>
        <v>944.46559289342156</v>
      </c>
      <c r="BT523" s="93">
        <f>ППД5[[#This Row],[Фикс 08.04.24]]+ППД5[[#This Row],[Наценка 16.05.24 1%
А4,А6,Б3,Б6,Б7,В2,В3,В5,В6,Г1,Г3-Г5]]</f>
        <v>95391.024882235579</v>
      </c>
      <c r="BU523" s="93"/>
      <c r="BV523" s="93">
        <f>ППД5[[#This Row],[Фикс 16.05.24]]+ППД5[[#This Row],[Наценка 24.05.24
1% - Б4, Б5,Г2,Г6
2% - А1,А3,А5,Б2,Г7]]</f>
        <v>95391.024882235579</v>
      </c>
      <c r="BW523" s="93"/>
      <c r="BX523" s="93">
        <f>ППД5[[#This Row],[Наценка 06.06.24
0К: В2,Г3 +0,5%
1К: А7, Б5/4, Г6 +0,5%
3К: В6 +0,5%
1К: А3 +1%]]+ППД5[[#This Row],[Фикс 24.05.24]]</f>
        <v>95391.024882235579</v>
      </c>
      <c r="BY523" s="93"/>
      <c r="BZ523" s="93">
        <f>ППД5[[#This Row],[Фикс 06.06.24]]+ППД5[[#This Row],[13.06.2024
3К - 2%]]</f>
        <v>95391.024882235579</v>
      </c>
      <c r="CA523" s="93"/>
      <c r="CB523" s="93">
        <f>ППД5[[#This Row],[02.07.2024: Г3 А1 А3 Б5 Б7 Г2 Г6 Б3 Б4 В3 Г7 2,5% ост 0,5-1,5%]]+ППД5[[#This Row],[Фикс 13.06.24]]</f>
        <v>95391.024882235579</v>
      </c>
      <c r="CC523" s="93"/>
      <c r="CD523" s="93">
        <f>ППД5[[#This Row],[Фикс 02.07.24]]+ППД5[[#This Row],[04.09.2024 +500
0К - Б2; 1К - А3;
2К - А6, Б4, В3, Г5]]</f>
        <v>95391.024882235579</v>
      </c>
      <c r="CE523" s="93"/>
      <c r="CF523" s="93">
        <f>ППД5[[#This Row],[Наценка 16.09.2024
1К: А1,В7,Г6/7,Г8 - 2%
2К: А4,А5,А6,Б1,Б6,Б3/4,В3,В4,Г4,Г5 - 4%
3К: 4%]]+ППД5[[#This Row],[Фикс 04.09.24]]</f>
        <v>95391.024882235579</v>
      </c>
      <c r="CG523" s="93"/>
      <c r="CH523" s="93">
        <f>ППД5[[#This Row],[Фикс 16.09.2024]]+ППД5[[#This Row],[Наценка 01.11.24
СТ: 4%
1К: 34-40м 5%; 40м+ 8%; МГН 1%
2К: 55-70м 6%; 70-73м 7%; 73-76м 8% 
3К: 5%]]</f>
        <v>95391.024882235579</v>
      </c>
      <c r="CI523" s="93"/>
      <c r="CJ523" s="93">
        <f>ППД5[[#This Row],[Наценка 06.11 13%]]+ППД5[[#This Row],[Фикс 01.11.24]]</f>
        <v>95391.024882235579</v>
      </c>
      <c r="CK523" s="93"/>
      <c r="CL523" s="93">
        <f>ППД5[[#This Row],[Фикс 06.11.24]]+ППД5[[#This Row],[Наценка 18.12.24 распределение КВ]]</f>
        <v>95391.024882235579</v>
      </c>
      <c r="CM523" s="93"/>
      <c r="CN523" s="93">
        <f>ППД5[[#This Row],[Фикс 18.12.24]]+ППД5[[#This Row],[Наценка 10.02.25 +1%
1К: А3
2К: Б3, В3]]</f>
        <v>95391.024882235579</v>
      </c>
      <c r="CO523" s="93">
        <f>ROUND(ППД5[[#This Row],[Фикс 10.02.25]],2)</f>
        <v>95391.02</v>
      </c>
      <c r="CP52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5513700</v>
      </c>
      <c r="CQ523" s="93">
        <f>ROUNDUP(ППД5[[#This Row],[Стоимость до скидки]]+ППД5[[#This Row],[Сумма доплаты]],-2)</f>
        <v>5485100</v>
      </c>
      <c r="CR523" s="68"/>
      <c r="CS523" s="90"/>
      <c r="CT523" s="68">
        <f>ППД5[[#This Row],[Стоимость до скидки]]*ППД5[[#This Row],[Скидка %]]+ППД5[[#This Row],[Скидка фиксированная]]</f>
        <v>0</v>
      </c>
      <c r="CU523" s="3">
        <f>ППД5[[#This Row],[Стоимость ОН без отделки со скидкой]]/ППД5[[#This Row],[Расчетная проектная площадь]]</f>
        <v>95392.733564013848</v>
      </c>
      <c r="CV523" s="3">
        <f>ROUND(ППД5[[#This Row],[Стоимость до скидки]]-ППД5[[#This Row],[Итоговая сумма скидки]],2)</f>
        <v>5513700</v>
      </c>
      <c r="CW52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523" s="197">
        <v>20000</v>
      </c>
      <c r="CY523" s="332">
        <f>ППД5[[#This Row],[Расхождение]]/ППД5[[#This Row],[Расчетная проектная площадь]]</f>
        <v>-5.1903114186850723E-3</v>
      </c>
      <c r="CZ52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-8.9999999999996305E-2</v>
      </c>
      <c r="DA523" s="3">
        <f>ППД5[[#This Row],[Цена м2 без отделки со скидкой]]+ППД5[[#This Row],[Стоимость отделки]]</f>
        <v>115392.73356401385</v>
      </c>
      <c r="DB523" s="3">
        <f>ППД5[[#This Row],[Стоимость квартиры с отделкой]]-ППД5[[#This Row],[Стоимость ОН без отделки со скидкой]]</f>
        <v>1156000</v>
      </c>
      <c r="DC523" s="3">
        <f>ППД5[[#This Row],[Цена м2 с отделкой]]*ППД5[[#This Row],[Расчетная проектная площадь]]</f>
        <v>6669700</v>
      </c>
      <c r="DD523" s="3"/>
      <c r="DF523" s="199" t="s">
        <v>172</v>
      </c>
      <c r="DG523" s="245" t="s">
        <v>172</v>
      </c>
      <c r="DH523" s="100" t="b">
        <f>EXACT(ППД5[[#This Row],[Статусы CRM]],ППД5[[#This Row],[Статус]])</f>
        <v>1</v>
      </c>
      <c r="DI523" s="213" t="s">
        <v>695</v>
      </c>
      <c r="DJ523" s="204"/>
      <c r="DK523" s="111" t="s">
        <v>763</v>
      </c>
      <c r="DL523" s="216" t="s">
        <v>14</v>
      </c>
      <c r="DM523" s="201" t="b">
        <f>ППД5[[#This Row],[Отделка CRM]]=ППД5[[#This Row],[Отделка]]</f>
        <v>1</v>
      </c>
      <c r="DN523" s="203">
        <v>6669700</v>
      </c>
      <c r="DO52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23" s="207" t="b">
        <f>IF(AND(ППД5[[#This Row],[Статус]]="свободно",ППД5[[#This Row],[Итоговая сумма скидки]]&lt;&gt;0),FALSE,TRUE)</f>
        <v>1</v>
      </c>
      <c r="DQ523" s="240">
        <f>_xlfn.XLOOKUP(ППД5[[#This Row],[№]],Юрист[№ кв],Юрист[Дата подачи на регистрацию]," ",0,-1)</f>
        <v>45471</v>
      </c>
      <c r="DR523" s="115" t="str">
        <f>_xlfn.XLOOKUP(ППД5[[#This Row],[№]],Юрист[№ кв],Юрист[МОП],"",0,-1)</f>
        <v>Дик</v>
      </c>
      <c r="DS523" s="333" t="s">
        <v>3338</v>
      </c>
      <c r="DT523" s="333" t="s">
        <v>3339</v>
      </c>
      <c r="DU523" s="333">
        <v>56</v>
      </c>
      <c r="DV523" s="111"/>
    </row>
    <row r="524" spans="1:126" hidden="1" x14ac:dyDescent="0.25">
      <c r="A524" s="112">
        <v>522</v>
      </c>
      <c r="B524" s="111" t="s">
        <v>2</v>
      </c>
      <c r="C524" s="111">
        <v>17</v>
      </c>
      <c r="D524" s="115">
        <v>6</v>
      </c>
      <c r="E524" s="111">
        <v>1</v>
      </c>
      <c r="F524" s="105">
        <v>12.71</v>
      </c>
      <c r="G524" s="105"/>
      <c r="H524" s="105"/>
      <c r="I524" s="94">
        <f>SUM(ППД5[[#This Row],[Комната 1]:[Комната 3]])</f>
        <v>12.71</v>
      </c>
      <c r="J524" s="105">
        <v>12.55</v>
      </c>
      <c r="K524" s="105">
        <v>4.28</v>
      </c>
      <c r="L524" s="105"/>
      <c r="M524" s="105"/>
      <c r="N524" s="105">
        <v>7.34</v>
      </c>
      <c r="O524" s="105">
        <v>2.84</v>
      </c>
      <c r="P524" s="105"/>
      <c r="Q524" s="105"/>
      <c r="R524" s="105">
        <f>SUM(ППД5[[#This Row],[Лоджия 1]:[Лоджия 3]])</f>
        <v>2.84</v>
      </c>
      <c r="S524" s="8">
        <f>ROUND(SUM(ППД5[[#This Row],[Площадь по проекту жилая]:[Лоджия 3]]),2)</f>
        <v>39.72</v>
      </c>
      <c r="T524" s="8">
        <f>ROUND(ППД5[[#This Row],[Площадь по проекту(общая)]]-ППД5[[#This Row],[Летние]],2)</f>
        <v>36.880000000000003</v>
      </c>
      <c r="U524" s="91">
        <f>ROUND(ППД5[[#This Row],[Площадь по проекту(общая)]]-(SUM(ППД5[[#This Row],[Лоджия 1]:[Лоджия 3]])/2),2)</f>
        <v>38.299999999999997</v>
      </c>
      <c r="V524" s="91">
        <f>IF(ППД5[[#This Row],[Статус]]="продажа",ППД5[[#This Row],[Расчетная проектная площадь]],ППД5[[#This Row],[Расчетная ТП площадь]])</f>
        <v>38.299999999999997</v>
      </c>
      <c r="W524" s="91">
        <v>12.5</v>
      </c>
      <c r="X524" s="91"/>
      <c r="Y524" s="91"/>
      <c r="Z524" s="91">
        <f>SUM(ППД5[[#This Row],[ТП Комната 1]:[ТП Комната 3]])</f>
        <v>12.5</v>
      </c>
      <c r="AA524" s="91">
        <v>12.6</v>
      </c>
      <c r="AB524" s="91">
        <v>4</v>
      </c>
      <c r="AC524" s="91"/>
      <c r="AD524" s="91"/>
      <c r="AE524" s="91">
        <v>7.3</v>
      </c>
      <c r="AF524" s="91">
        <v>1.45</v>
      </c>
      <c r="AG524" s="91"/>
      <c r="AH524" s="91"/>
      <c r="AI524" s="91">
        <f>SUM(ППД5[[#This Row],[ТП Лоджия 1]:[ТП Лоджия 3]])</f>
        <v>1.45</v>
      </c>
      <c r="AJ524" s="95">
        <v>2.9</v>
      </c>
      <c r="AK524" s="91">
        <f>SUM(ППД5[[#This Row],[Площадь по ТП жилая]:[ТП Лоджия 3]])-ППД5[[#This Row],[ТП Летние]]+ППД5[[#This Row],[кроме того прочая
(без коэффициента)]]</f>
        <v>39.299999999999997</v>
      </c>
      <c r="AL524" s="95">
        <f>ППД5[[#This Row],[ТП Площадь без летних]]+(ППД5[[#This Row],[ТП Летние]])</f>
        <v>37.85</v>
      </c>
      <c r="AM524" s="91">
        <f>ППД5[[#This Row],[ТП общая S]]-ППД5[[#This Row],[кроме того прочая
(без коэффициента)]]</f>
        <v>36.4</v>
      </c>
      <c r="AN524" s="95">
        <f>SUM(ППД5[[#This Row],[ТП Кухня]:[ТП Коридор]])</f>
        <v>23.900000000000002</v>
      </c>
      <c r="AO524" s="91">
        <f>ППД5[[#This Row],[Расчетная ТП площадь]]-ППД5[[#This Row],[Расчетная проектная площадь]]</f>
        <v>-0.44999999999999574</v>
      </c>
      <c r="AP524" s="335">
        <f>ППД5[[#This Row],[Расчетная ТП площадь]]/ППД5[[#This Row],[Расчетная проектная площадь]]-1</f>
        <v>-1.1749347258485532E-2</v>
      </c>
      <c r="AQ524" s="91">
        <f>ППД5[[#This Row],[% расхождения]]*ППД5[[#This Row],[Стоимость до скидки]]</f>
        <v>-45213.838120104025</v>
      </c>
      <c r="AR524" s="91">
        <f>VLOOKUP(ППД5[[#This Row],[№]],наценкад5[],COLUMN(наценкад5[[#This Row],[Цена м2 с учетом всех K]]),0)</f>
        <v>87601.5</v>
      </c>
      <c r="AS524" s="8">
        <f>ППД5[[#This Row],[м2 после К]]*5%</f>
        <v>4380.0749999999998</v>
      </c>
      <c r="AT524" s="8">
        <f>ППД5[[#This Row],[м2 после К]]+ППД5[[#This Row],[Повышение 16.08.23 - 5%]]</f>
        <v>91981.574999999997</v>
      </c>
      <c r="AU524" s="93">
        <f>ППД5[[#This Row],[Фикс 16.08.23]]*3%</f>
        <v>2759.4472499999997</v>
      </c>
      <c r="AV524" s="93">
        <f>ППД5[[#This Row],[Фикс 16.08.23]]+ППД5[[#This Row],[Повышение 29.08.23 - 3%]]</f>
        <v>94741.022249999995</v>
      </c>
      <c r="AW524" s="93">
        <f>ППД5[[#This Row],[Фикс 29.08.23]]*1%</f>
        <v>947.41022249999992</v>
      </c>
      <c r="AX524" s="93">
        <f>ППД5[[#This Row],[Фикс 29.08.23]]+ППД5[[#This Row],[Повышение 06.09.23 СТ и 1К]]</f>
        <v>95688.43247249999</v>
      </c>
      <c r="AY524" s="93"/>
      <c r="AZ524" s="93">
        <f>ППД5[[#This Row],[Повышение 23.10.23  В4 ]]+ППД5[[#This Row],[Фикс 06.09.23]]</f>
        <v>95688.43247249999</v>
      </c>
      <c r="BA524" s="93">
        <f>ППД5[[#This Row],[Фикс 23.10.23]]*5%</f>
        <v>4784.4216236249995</v>
      </c>
      <c r="BB524" s="93">
        <f>ППД5[[#This Row],[Повышение 8.11.23 1К 5%]]+ППД5[[#This Row],[Фикс 23.10.23]]</f>
        <v>100472.854096125</v>
      </c>
      <c r="BC524" s="93"/>
      <c r="BD524" s="93">
        <f>ППД5[[#This Row],[Корректировка 24.11.23 - 1К В5, 2К А2, №233]]+ППД5[[#This Row],[Фикс 8.11.23]]</f>
        <v>100472.854096125</v>
      </c>
      <c r="BE524" s="93"/>
      <c r="BF524" s="93">
        <f>ППД5[[#This Row],[Наценка за отделку 29.12.23 1%]]+ППД5[[#This Row],[Фикс 8.11.24]]</f>
        <v>100472.854096125</v>
      </c>
      <c r="BG524" s="93"/>
      <c r="BH524" s="93">
        <f>ППД5[[#This Row],[Фикс 29.12.23]]+ППД5[[#This Row],[Наценка 10.01.24 5%]]</f>
        <v>100472.854096125</v>
      </c>
      <c r="BI524" s="93"/>
      <c r="BJ524" s="93">
        <f>ППД5[[#This Row],[Наценка 26.02.24 1 Этаж]]+ППД5[[#This Row],[Фикс 10.01.24]]</f>
        <v>100472.854096125</v>
      </c>
      <c r="BK524" s="93"/>
      <c r="BL524" s="93">
        <f>ППД5[[#This Row],[Фикс 26.02.24]]+ППД5[[#This Row],[Наценка 06.03.24
СТ, 1К - 3%
2К, 3К - 2%]]</f>
        <v>100472.854096125</v>
      </c>
      <c r="BM524" s="93"/>
      <c r="BN524" s="93">
        <f>ППД5[[#This Row],[Фикс 06.03.24]]+ППД5[[#This Row],[Наценка Г2+500]]</f>
        <v>100472.854096125</v>
      </c>
      <c r="BO524" s="93"/>
      <c r="BP524" s="93">
        <f>ППД5[[#This Row],[Фикс 13.03.25]]+ППД5[[#This Row],[Наценка 20.03.24
2К, 3К - 2%]]</f>
        <v>100472.854096125</v>
      </c>
      <c r="BQ524" s="93"/>
      <c r="BR524" s="93">
        <f>ППД5[[#This Row],[Фикс 20.03.24]]+ППД5[[#This Row],[Наценка 08.04.24 
2К: В3 - 150
3К: Г7 +1000]]</f>
        <v>100472.854096125</v>
      </c>
      <c r="BS524" s="93"/>
      <c r="BT524" s="93">
        <f>ППД5[[#This Row],[Фикс 08.04.24]]+ППД5[[#This Row],[Наценка 16.05.24 1%
А4,А6,Б3,Б6,Б7,В2,В3,В5,В6,Г1,Г3-Г5]]</f>
        <v>100472.854096125</v>
      </c>
      <c r="BU524" s="93"/>
      <c r="BV524" s="93">
        <f>ППД5[[#This Row],[Фикс 16.05.24]]+ППД5[[#This Row],[Наценка 24.05.24
1% - Б4, Б5,Г2,Г6
2% - А1,А3,А5,Б2,Г7]]</f>
        <v>100472.854096125</v>
      </c>
      <c r="BW524" s="93"/>
      <c r="BX524" s="93">
        <f>ППД5[[#This Row],[Наценка 06.06.24
0К: В2,Г3 +0,5%
1К: А7, Б5/4, Г6 +0,5%
3К: В6 +0,5%
1К: А3 +1%]]+ППД5[[#This Row],[Фикс 24.05.24]]</f>
        <v>100472.854096125</v>
      </c>
      <c r="BY524" s="93"/>
      <c r="BZ524" s="93">
        <f>ППД5[[#This Row],[Фикс 06.06.24]]+ППД5[[#This Row],[13.06.2024
3К - 2%]]</f>
        <v>100472.854096125</v>
      </c>
      <c r="CA524" s="93"/>
      <c r="CB524" s="93">
        <f>ППД5[[#This Row],[02.07.2024: Г3 А1 А3 Б5 Б7 Г2 Г6 Б3 Б4 В3 Г7 2,5% ост 0,5-1,5%]]+ППД5[[#This Row],[Фикс 13.06.24]]</f>
        <v>100472.854096125</v>
      </c>
      <c r="CC524" s="93"/>
      <c r="CD524" s="93">
        <f>ППД5[[#This Row],[Фикс 02.07.24]]+ППД5[[#This Row],[04.09.2024 +500
0К - Б2; 1К - А3;
2К - А6, Б4, В3, Г5]]</f>
        <v>100472.854096125</v>
      </c>
      <c r="CE524" s="93"/>
      <c r="CF524" s="93">
        <f>ППД5[[#This Row],[Наценка 16.09.2024
1К: А1,В7,Г6/7,Г8 - 2%
2К: А4,А5,А6,Б1,Б6,Б3/4,В3,В4,Г4,Г5 - 4%
3К: 4%]]+ППД5[[#This Row],[Фикс 04.09.24]]</f>
        <v>100472.854096125</v>
      </c>
      <c r="CG524" s="93"/>
      <c r="CH524" s="93">
        <f>ППД5[[#This Row],[Фикс 16.09.2024]]+ППД5[[#This Row],[Наценка 01.11.24
СТ: 4%
1К: 34-40м 5%; 40м+ 8%; МГН 1%
2К: 55-70м 6%; 70-73м 7%; 73-76м 8% 
3К: 5%]]</f>
        <v>100472.854096125</v>
      </c>
      <c r="CI524" s="93"/>
      <c r="CJ524" s="93">
        <f>ППД5[[#This Row],[Наценка 06.11 13%]]+ППД5[[#This Row],[Фикс 01.11.24]]</f>
        <v>100472.854096125</v>
      </c>
      <c r="CK524" s="93"/>
      <c r="CL524" s="93">
        <f>ППД5[[#This Row],[Фикс 06.11.24]]+ППД5[[#This Row],[Наценка 18.12.24 распределение КВ]]</f>
        <v>100472.854096125</v>
      </c>
      <c r="CM524" s="93"/>
      <c r="CN524" s="93">
        <f>ППД5[[#This Row],[Фикс 18.12.24]]+ППД5[[#This Row],[Наценка 10.02.25 +1%
1К: А3
2К: Б3, В3]]</f>
        <v>100472.854096125</v>
      </c>
      <c r="CO524" s="93">
        <f>ROUND(ППД5[[#This Row],[Фикс 10.02.25]],2)</f>
        <v>100472.85</v>
      </c>
      <c r="CP52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3848200</v>
      </c>
      <c r="CQ524" s="93">
        <f>ROUNDUP(ППД5[[#This Row],[Стоимость до скидки]]+ППД5[[#This Row],[Сумма доплаты]],-2)</f>
        <v>3803000</v>
      </c>
      <c r="CR524" s="68"/>
      <c r="CS524" s="90">
        <v>0.02</v>
      </c>
      <c r="CT524" s="68">
        <f>ППД5[[#This Row],[Стоимость до скидки]]*ППД5[[#This Row],[Скидка %]]+ППД5[[#This Row],[Скидка фиксированная]]</f>
        <v>76964</v>
      </c>
      <c r="CU524" s="3">
        <f>ППД5[[#This Row],[Стоимость ОН без отделки со скидкой]]/ППД5[[#This Row],[Расчетная проектная площадь]]</f>
        <v>98465.691906005231</v>
      </c>
      <c r="CV524" s="3">
        <f>ROUND(ППД5[[#This Row],[Стоимость до скидки]]-ППД5[[#This Row],[Итоговая сумма скидки]],2)</f>
        <v>3771236</v>
      </c>
      <c r="CW52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524" s="197">
        <v>7500</v>
      </c>
      <c r="CY524" s="332">
        <f>ППД5[[#This Row],[Расхождение]]/ППД5[[#This Row],[Расчетная проектная площадь]]</f>
        <v>-1.1749347258485528E-2</v>
      </c>
      <c r="CZ52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-0.26999999999999957</v>
      </c>
      <c r="DA524" s="3">
        <f>ППД5[[#This Row],[Цена м2 без отделки со скидкой]]+ППД5[[#This Row],[Стоимость отделки]]</f>
        <v>105965.69190600523</v>
      </c>
      <c r="DB524" s="3">
        <f>ППД5[[#This Row],[Стоимость квартиры с отделкой]]-ППД5[[#This Row],[Стоимость ОН без отделки со скидкой]]</f>
        <v>287250</v>
      </c>
      <c r="DC524" s="3">
        <f>ППД5[[#This Row],[Цена м2 с отделкой]]*ППД5[[#This Row],[Расчетная проектная площадь]]</f>
        <v>4058486</v>
      </c>
      <c r="DD524" s="3"/>
      <c r="DE524" s="111" t="s">
        <v>170</v>
      </c>
      <c r="DF524" s="199" t="s">
        <v>172</v>
      </c>
      <c r="DG524" s="245" t="s">
        <v>172</v>
      </c>
      <c r="DH524" s="100" t="b">
        <f>EXACT(ППД5[[#This Row],[Статусы CRM]],ППД5[[#This Row],[Статус]])</f>
        <v>1</v>
      </c>
      <c r="DI524" s="213" t="s">
        <v>696</v>
      </c>
      <c r="DJ524" s="204"/>
      <c r="DK524" s="111" t="s">
        <v>763</v>
      </c>
      <c r="DL524" s="216" t="s">
        <v>13</v>
      </c>
      <c r="DM524" s="201" t="b">
        <f>ППД5[[#This Row],[Отделка CRM]]=ППД5[[#This Row],[Отделка]]</f>
        <v>1</v>
      </c>
      <c r="DN524" s="203">
        <v>4058486</v>
      </c>
      <c r="DO52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24" s="207" t="b">
        <f>IF(AND(ППД5[[#This Row],[Статус]]="свободно",ППД5[[#This Row],[Итоговая сумма скидки]]&lt;&gt;0),FALSE,TRUE)</f>
        <v>1</v>
      </c>
      <c r="DQ524" s="240">
        <f>_xlfn.XLOOKUP(ППД5[[#This Row],[№]],Юрист[№ кв],Юрист[Дата подачи на регистрацию]," ",0,-1)</f>
        <v>45274</v>
      </c>
      <c r="DR524" s="115" t="str">
        <f>_xlfn.XLOOKUP(ППД5[[#This Row],[№]],Юрист[№ кв],Юрист[МОП],"",0,-1)</f>
        <v>Дик</v>
      </c>
      <c r="DS524" s="333" t="s">
        <v>3340</v>
      </c>
      <c r="DT524" s="333" t="s">
        <v>3341</v>
      </c>
      <c r="DU524" s="333">
        <v>36.4</v>
      </c>
      <c r="DV524" s="111"/>
    </row>
    <row r="525" spans="1:126" hidden="1" x14ac:dyDescent="0.25">
      <c r="A525" s="112">
        <v>523</v>
      </c>
      <c r="B525" s="111" t="s">
        <v>2</v>
      </c>
      <c r="C525" s="111">
        <v>17</v>
      </c>
      <c r="D525" s="115">
        <v>7</v>
      </c>
      <c r="E525" s="111">
        <v>3</v>
      </c>
      <c r="F525" s="105">
        <v>14.49</v>
      </c>
      <c r="G525" s="105">
        <v>13.98</v>
      </c>
      <c r="H525" s="105">
        <v>11.42</v>
      </c>
      <c r="I525" s="94">
        <f>SUM(ППД5[[#This Row],[Комната 1]:[Комната 3]])</f>
        <v>39.89</v>
      </c>
      <c r="J525" s="105">
        <v>16.670000000000002</v>
      </c>
      <c r="K525" s="105">
        <v>4.1399999999999997</v>
      </c>
      <c r="L525" s="105">
        <v>1.89</v>
      </c>
      <c r="M525" s="105"/>
      <c r="N525" s="105">
        <v>11.31</v>
      </c>
      <c r="O525" s="105">
        <v>2.86</v>
      </c>
      <c r="P525" s="105">
        <v>2.79</v>
      </c>
      <c r="Q525" s="105">
        <v>5.42</v>
      </c>
      <c r="R525" s="105">
        <f>SUM(ППД5[[#This Row],[Лоджия 1]:[Лоджия 3]])</f>
        <v>11.07</v>
      </c>
      <c r="S525" s="8">
        <f>ROUND(SUM(ППД5[[#This Row],[Площадь по проекту жилая]:[Лоджия 3]]),2)</f>
        <v>84.97</v>
      </c>
      <c r="T525" s="8">
        <f>ROUND(ППД5[[#This Row],[Площадь по проекту(общая)]]-ППД5[[#This Row],[Летние]],2)</f>
        <v>73.900000000000006</v>
      </c>
      <c r="U525" s="91">
        <f>ROUND(ППД5[[#This Row],[Площадь по проекту(общая)]]-(SUM(ППД5[[#This Row],[Лоджия 1]:[Лоджия 3]])/2),2)</f>
        <v>79.44</v>
      </c>
      <c r="V525" s="91">
        <f>IF(ППД5[[#This Row],[Статус]]="продажа",ППД5[[#This Row],[Расчетная проектная площадь]],ППД5[[#This Row],[Расчетная ТП площадь]])</f>
        <v>79.44</v>
      </c>
      <c r="W525" s="91">
        <v>11.4</v>
      </c>
      <c r="X525" s="91">
        <v>14.5</v>
      </c>
      <c r="Y525" s="91">
        <v>13.9</v>
      </c>
      <c r="Z525" s="91">
        <f>SUM(ППД5[[#This Row],[ТП Комната 1]:[ТП Комната 3]])</f>
        <v>39.799999999999997</v>
      </c>
      <c r="AA525" s="91">
        <v>16.3</v>
      </c>
      <c r="AB525" s="91">
        <v>1.9</v>
      </c>
      <c r="AC525" s="91">
        <v>4.0999999999999996</v>
      </c>
      <c r="AD525" s="91"/>
      <c r="AE525" s="91">
        <v>11.1</v>
      </c>
      <c r="AF525" s="91">
        <v>1.45</v>
      </c>
      <c r="AG525" s="91">
        <v>2.65</v>
      </c>
      <c r="AH525" s="91">
        <v>1.35</v>
      </c>
      <c r="AI525" s="91">
        <f>SUM(ППД5[[#This Row],[ТП Лоджия 1]:[ТП Лоджия 3]])</f>
        <v>5.4499999999999993</v>
      </c>
      <c r="AJ525" s="95">
        <v>10.899999999999999</v>
      </c>
      <c r="AK525" s="91">
        <f>SUM(ППД5[[#This Row],[Площадь по ТП жилая]:[ТП Лоджия 3]])-ППД5[[#This Row],[ТП Летние]]+ППД5[[#This Row],[кроме того прочая
(без коэффициента)]]</f>
        <v>84.1</v>
      </c>
      <c r="AL525" s="95">
        <f>ППД5[[#This Row],[ТП Площадь без летних]]+(ППД5[[#This Row],[ТП Летние]])</f>
        <v>78.649999999999991</v>
      </c>
      <c r="AM525" s="91">
        <f>ППД5[[#This Row],[ТП общая S]]-ППД5[[#This Row],[кроме того прочая
(без коэффициента)]]</f>
        <v>73.199999999999989</v>
      </c>
      <c r="AN525" s="95">
        <f>SUM(ППД5[[#This Row],[ТП Кухня]:[ТП Коридор]])</f>
        <v>33.4</v>
      </c>
      <c r="AO525" s="91">
        <f>ППД5[[#This Row],[Расчетная ТП площадь]]-ППД5[[#This Row],[Расчетная проектная площадь]]</f>
        <v>-0.79000000000000625</v>
      </c>
      <c r="AP525" s="335">
        <f>ППД5[[#This Row],[Расчетная ТП площадь]]/ППД5[[#This Row],[Расчетная проектная площадь]]-1</f>
        <v>-9.9446122860020747E-3</v>
      </c>
      <c r="AQ525" s="91">
        <f>ППД5[[#This Row],[% расхождения]]*ППД5[[#This Row],[Стоимость до скидки]]</f>
        <v>-97553.663141994548</v>
      </c>
      <c r="AR525" s="91">
        <f>VLOOKUP(ППД5[[#This Row],[№]],наценкад5[],COLUMN(наценкад5[[#This Row],[Цена м2 с учетом всех K]]),0)</f>
        <v>77803.110000000015</v>
      </c>
      <c r="AS525" s="8">
        <f>ППД5[[#This Row],[м2 после К]]*5%</f>
        <v>3890.1555000000008</v>
      </c>
      <c r="AT525" s="8">
        <f>ППД5[[#This Row],[м2 после К]]+ППД5[[#This Row],[Повышение 16.08.23 - 5%]]</f>
        <v>81693.265500000009</v>
      </c>
      <c r="AU525" s="93">
        <f>ППД5[[#This Row],[Фикс 16.08.23]]*3%</f>
        <v>2450.7979650000002</v>
      </c>
      <c r="AV525" s="93">
        <f>ППД5[[#This Row],[Фикс 16.08.23]]+ППД5[[#This Row],[Повышение 29.08.23 - 3%]]</f>
        <v>84144.063465000014</v>
      </c>
      <c r="AW525" s="93"/>
      <c r="AX525" s="93">
        <f>ППД5[[#This Row],[Фикс 29.08.23]]+ППД5[[#This Row],[Повышение 06.09.23 СТ и 1К]]</f>
        <v>84144.063465000014</v>
      </c>
      <c r="AY525" s="93"/>
      <c r="AZ525" s="93">
        <f>ППД5[[#This Row],[Повышение 23.10.23  В4 ]]+ППД5[[#This Row],[Фикс 06.09.23]]</f>
        <v>84144.063465000014</v>
      </c>
      <c r="BA525" s="93"/>
      <c r="BB525" s="93">
        <f>ППД5[[#This Row],[Повышение 8.11.23 1К 5%]]+ППД5[[#This Row],[Фикс 23.10.23]]</f>
        <v>84144.063465000014</v>
      </c>
      <c r="BC525" s="93"/>
      <c r="BD525" s="93">
        <f>ППД5[[#This Row],[Корректировка 24.11.23 - 1К В5, 2К А2, №233]]+ППД5[[#This Row],[Фикс 8.11.23]]</f>
        <v>84144.063465000014</v>
      </c>
      <c r="BE525" s="93">
        <f>ППД5[[#This Row],[Фикс 8.11.24]]*1%</f>
        <v>841.44063465000011</v>
      </c>
      <c r="BF525" s="93">
        <f>ППД5[[#This Row],[Наценка за отделку 29.12.23 1%]]+ППД5[[#This Row],[Фикс 8.11.24]]</f>
        <v>84985.504099650017</v>
      </c>
      <c r="BG525" s="93">
        <f>ППД5[[#This Row],[Фикс 29.12.23]]*5%</f>
        <v>4249.2752049825012</v>
      </c>
      <c r="BH525" s="93">
        <f>ППД5[[#This Row],[Фикс 29.12.23]]+ППД5[[#This Row],[Наценка 10.01.24 5%]]</f>
        <v>89234.779304632524</v>
      </c>
      <c r="BI525" s="93"/>
      <c r="BJ525" s="93">
        <f>ППД5[[#This Row],[Наценка 26.02.24 1 Этаж]]+ППД5[[#This Row],[Фикс 10.01.24]]</f>
        <v>89234.779304632524</v>
      </c>
      <c r="BK525" s="93">
        <f>ППД5[[#This Row],[Фикс 26.02.24]]*2%</f>
        <v>1784.6955860926505</v>
      </c>
      <c r="BL525" s="93">
        <f>ППД5[[#This Row],[Фикс 26.02.24]]+ППД5[[#This Row],[Наценка 06.03.24
СТ, 1К - 3%
2К, 3К - 2%]]</f>
        <v>91019.474890725178</v>
      </c>
      <c r="BM525" s="93"/>
      <c r="BN525" s="93">
        <f>ППД5[[#This Row],[Фикс 06.03.24]]+ППД5[[#This Row],[Наценка Г2+500]]</f>
        <v>91019.474890725178</v>
      </c>
      <c r="BO525" s="93">
        <f>ППД5[[#This Row],[Фикс 13.03.25]]*2%</f>
        <v>1820.3894978145036</v>
      </c>
      <c r="BP525" s="93">
        <f>ППД5[[#This Row],[Фикс 13.03.25]]+ППД5[[#This Row],[Наценка 20.03.24
2К, 3К - 2%]]</f>
        <v>92839.864388539689</v>
      </c>
      <c r="BQ525" s="93">
        <v>1000</v>
      </c>
      <c r="BR525" s="93">
        <f>ППД5[[#This Row],[Фикс 20.03.24]]+ППД5[[#This Row],[Наценка 08.04.24 
2К: В3 - 150
3К: Г7 +1000]]</f>
        <v>93839.864388539689</v>
      </c>
      <c r="BS525" s="93"/>
      <c r="BT525" s="93">
        <f>ППД5[[#This Row],[Фикс 08.04.24]]+ППД5[[#This Row],[Наценка 16.05.24 1%
А4,А6,Б3,Б6,Б7,В2,В3,В5,В6,Г1,Г3-Г5]]</f>
        <v>93839.864388539689</v>
      </c>
      <c r="BU525" s="93">
        <f>ППД5[[#This Row],[Фикс 16.05.24]]*2%</f>
        <v>1876.7972877707939</v>
      </c>
      <c r="BV525" s="93">
        <f>ППД5[[#This Row],[Фикс 16.05.24]]+ППД5[[#This Row],[Наценка 24.05.24
1% - Б4, Б5,Г2,Г6
2% - А1,А3,А5,Б2,Г7]]</f>
        <v>95716.661676310483</v>
      </c>
      <c r="BW525" s="93"/>
      <c r="BX525" s="93">
        <f>ППД5[[#This Row],[Наценка 06.06.24
0К: В2,Г3 +0,5%
1К: А7, Б5/4, Г6 +0,5%
3К: В6 +0,5%
1К: А3 +1%]]+ППД5[[#This Row],[Фикс 24.05.24]]</f>
        <v>95716.661676310483</v>
      </c>
      <c r="BY525" s="93">
        <f>ППД5[[#This Row],[Фикс 06.06.24]]*2%</f>
        <v>1914.3332335262096</v>
      </c>
      <c r="BZ525" s="93">
        <f>ППД5[[#This Row],[Фикс 06.06.24]]+ППД5[[#This Row],[13.06.2024
3К - 2%]]</f>
        <v>97630.994909836692</v>
      </c>
      <c r="CA525" s="93">
        <f>ППД5[[#This Row],[Фикс 13.06.24]]*2.5%</f>
        <v>2440.7748727459175</v>
      </c>
      <c r="CB525" s="93">
        <f>ППД5[[#This Row],[02.07.2024: Г3 А1 А3 Б5 Б7 Г2 Г6 Б3 Б4 В3 Г7 2,5% ост 0,5-1,5%]]+ППД5[[#This Row],[Фикс 13.06.24]]</f>
        <v>100071.7697825826</v>
      </c>
      <c r="CC525" s="93"/>
      <c r="CD525" s="93">
        <f>ППД5[[#This Row],[Фикс 02.07.24]]+ППД5[[#This Row],[04.09.2024 +500
0К - Б2; 1К - А3;
2К - А6, Б4, В3, Г5]]</f>
        <v>100071.7697825826</v>
      </c>
      <c r="CE525" s="93">
        <f>ППД5[[#This Row],[Фикс 04.09.24]]*4%</f>
        <v>4002.870791303304</v>
      </c>
      <c r="CF525" s="93">
        <f>ППД5[[#This Row],[Наценка 16.09.2024
1К: А1,В7,Г6/7,Г8 - 2%
2К: А4,А5,А6,Б1,Б6,Б3/4,В3,В4,Г4,Г5 - 4%
3К: 4%]]+ППД5[[#This Row],[Фикс 04.09.24]]</f>
        <v>104074.6405738859</v>
      </c>
      <c r="CG525" s="93">
        <f>ППД5[[#This Row],[Фикс 16.09.2024]]*5%</f>
        <v>5203.7320286942959</v>
      </c>
      <c r="CH525" s="93">
        <f>ППД5[[#This Row],[Фикс 16.09.2024]]+ППД5[[#This Row],[Наценка 01.11.24
СТ: 4%
1К: 34-40м 5%; 40м+ 8%; МГН 1%
2К: 55-70м 6%; 70-73м 7%; 73-76м 8% 
3К: 5%]]</f>
        <v>109278.3726025802</v>
      </c>
      <c r="CI525" s="93">
        <f>ППД5[[#This Row],[Фикс 01.11.24]]*13%</f>
        <v>14206.188438335426</v>
      </c>
      <c r="CJ525" s="93">
        <f>ППД5[[#This Row],[Наценка 06.11 13%]]+ППД5[[#This Row],[Фикс 01.11.24]]</f>
        <v>123484.56104091564</v>
      </c>
      <c r="CK525" s="93"/>
      <c r="CL525" s="93">
        <f>ППД5[[#This Row],[Фикс 06.11.24]]+ППД5[[#This Row],[Наценка 18.12.24 распределение КВ]]</f>
        <v>123484.56104091564</v>
      </c>
      <c r="CM525" s="93"/>
      <c r="CN525" s="93">
        <f>ППД5[[#This Row],[Фикс 18.12.24]]+ППД5[[#This Row],[Наценка 10.02.25 +1%
1К: А3
2К: Б3, В3]]</f>
        <v>123484.56104091564</v>
      </c>
      <c r="CO525" s="93">
        <f>ROUND(ППД5[[#This Row],[Фикс 10.02.25]],2)</f>
        <v>123484.56</v>
      </c>
      <c r="CP52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9809700</v>
      </c>
      <c r="CQ525" s="93">
        <f>ROUNDUP(ППД5[[#This Row],[Стоимость до скидки]]+ППД5[[#This Row],[Сумма доплаты]],-2)</f>
        <v>9712200</v>
      </c>
      <c r="CR525" s="68"/>
      <c r="CS525" s="90">
        <v>0.02</v>
      </c>
      <c r="CT525" s="68">
        <f>ППД5[[#This Row],[Стоимость до скидки]]*ППД5[[#This Row],[Скидка %]]+ППД5[[#This Row],[Скидка фиксированная]]</f>
        <v>196194</v>
      </c>
      <c r="CU525" s="3">
        <f>ППД5[[#This Row],[Стоимость ОН без отделки со скидкой]]/ППД5[[#This Row],[Расчетная проектная площадь]]</f>
        <v>121015.93655589124</v>
      </c>
      <c r="CV525" s="3">
        <f>ROUND(ППД5[[#This Row],[Стоимость до скидки]]-ППД5[[#This Row],[Итоговая сумма скидки]],2)</f>
        <v>9613506</v>
      </c>
      <c r="CW52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525" s="218">
        <v>10000</v>
      </c>
      <c r="CY525" s="332">
        <f>ППД5[[#This Row],[Расхождение]]/ППД5[[#This Row],[Расчетная проектная площадь]]</f>
        <v>-9.9446122860020938E-3</v>
      </c>
      <c r="CZ525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-0.61000000000000654</v>
      </c>
      <c r="DA525" s="3">
        <f>ППД5[[#This Row],[Цена м2 без отделки со скидкой]]+ППД5[[#This Row],[Стоимость отделки]]</f>
        <v>131015.93655589124</v>
      </c>
      <c r="DB525" s="3">
        <f>ППД5[[#This Row],[Стоимость квартиры с отделкой]]-ППД5[[#This Row],[Стоимость ОН без отделки со скидкой]]</f>
        <v>794400</v>
      </c>
      <c r="DC525" s="3">
        <f>ППД5[[#This Row],[Цена м2 с отделкой]]*ППД5[[#This Row],[Расчетная проектная площадь]]</f>
        <v>10407906</v>
      </c>
      <c r="DD525" s="3" t="s">
        <v>155</v>
      </c>
      <c r="DE525" s="111" t="s">
        <v>816</v>
      </c>
      <c r="DF525" s="155" t="s">
        <v>172</v>
      </c>
      <c r="DG525" s="245" t="s">
        <v>172</v>
      </c>
      <c r="DH525" s="100" t="b">
        <f>EXACT(ППД5[[#This Row],[Статусы CRM]],ППД5[[#This Row],[Статус]])</f>
        <v>1</v>
      </c>
      <c r="DI525" s="213" t="s">
        <v>697</v>
      </c>
      <c r="DJ525" s="204"/>
      <c r="DK525" s="111" t="s">
        <v>763</v>
      </c>
      <c r="DL525" s="216" t="s">
        <v>780</v>
      </c>
      <c r="DM525" s="201" t="b">
        <f>ППД5[[#This Row],[Отделка CRM]]=ППД5[[#This Row],[Отделка]]</f>
        <v>1</v>
      </c>
      <c r="DN525" s="203">
        <v>10407906</v>
      </c>
      <c r="DO52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25" s="207" t="b">
        <f>IF(AND(ППД5[[#This Row],[Статус]]="свободно",ППД5[[#This Row],[Итоговая сумма скидки]]&lt;&gt;0),FALSE,TRUE)</f>
        <v>1</v>
      </c>
      <c r="DQ525" s="240">
        <f>_xlfn.XLOOKUP(ППД5[[#This Row],[№]],Юрист[№ кв],Юрист[Дата подачи на регистрацию]," ",0,-1)</f>
        <v>45635</v>
      </c>
      <c r="DR525" s="115" t="str">
        <f>_xlfn.XLOOKUP(ППД5[[#This Row],[№]],Юрист[№ кв],Юрист[МОП],"",0,-1)</f>
        <v>Дик</v>
      </c>
      <c r="DS525" s="333" t="s">
        <v>3342</v>
      </c>
      <c r="DT525" s="333" t="s">
        <v>3343</v>
      </c>
      <c r="DU525" s="333">
        <v>73.2</v>
      </c>
      <c r="DV525" s="111"/>
    </row>
    <row r="526" spans="1:126" hidden="1" x14ac:dyDescent="0.25">
      <c r="A526" s="112">
        <v>524</v>
      </c>
      <c r="B526" s="111" t="s">
        <v>2</v>
      </c>
      <c r="C526" s="111">
        <v>17</v>
      </c>
      <c r="D526" s="115">
        <v>8</v>
      </c>
      <c r="E526" s="111">
        <v>1</v>
      </c>
      <c r="F526" s="105">
        <v>16.79</v>
      </c>
      <c r="G526" s="105"/>
      <c r="H526" s="105"/>
      <c r="I526" s="94">
        <f>SUM(ППД5[[#This Row],[Комната 1]:[Комната 3]])</f>
        <v>16.79</v>
      </c>
      <c r="J526" s="105">
        <v>11.43</v>
      </c>
      <c r="K526" s="105">
        <v>3.56</v>
      </c>
      <c r="L526" s="105"/>
      <c r="M526" s="105"/>
      <c r="N526" s="105">
        <v>6.66</v>
      </c>
      <c r="O526" s="105">
        <v>2.4900000000000002</v>
      </c>
      <c r="P526" s="105"/>
      <c r="Q526" s="105"/>
      <c r="R526" s="105">
        <f>SUM(ППД5[[#This Row],[Лоджия 1]:[Лоджия 3]])</f>
        <v>2.4900000000000002</v>
      </c>
      <c r="S526" s="8">
        <f>ROUND(SUM(ППД5[[#This Row],[Площадь по проекту жилая]:[Лоджия 3]]),2)</f>
        <v>40.93</v>
      </c>
      <c r="T526" s="8">
        <f>ROUND(ППД5[[#This Row],[Площадь по проекту(общая)]]-ППД5[[#This Row],[Летние]],2)</f>
        <v>38.44</v>
      </c>
      <c r="U526" s="91">
        <f>ROUND(ППД5[[#This Row],[Площадь по проекту(общая)]]-(SUM(ППД5[[#This Row],[Лоджия 1]:[Лоджия 3]])/2),2)</f>
        <v>39.69</v>
      </c>
      <c r="V526" s="91">
        <f>IF(ППД5[[#This Row],[Статус]]="продажа",ППД5[[#This Row],[Расчетная проектная площадь]],ППД5[[#This Row],[Расчетная ТП площадь]])</f>
        <v>39.69</v>
      </c>
      <c r="W526" s="91">
        <v>16.8</v>
      </c>
      <c r="X526" s="91"/>
      <c r="Y526" s="91"/>
      <c r="Z526" s="91">
        <f>SUM(ППД5[[#This Row],[ТП Комната 1]:[ТП Комната 3]])</f>
        <v>16.8</v>
      </c>
      <c r="AA526" s="91">
        <v>11.3</v>
      </c>
      <c r="AB526" s="91">
        <v>3.6</v>
      </c>
      <c r="AC526" s="91"/>
      <c r="AD526" s="91"/>
      <c r="AE526" s="91">
        <v>6.6</v>
      </c>
      <c r="AF526" s="92">
        <v>1.25</v>
      </c>
      <c r="AG526" s="91"/>
      <c r="AH526" s="91"/>
      <c r="AI526" s="91">
        <f>SUM(ППД5[[#This Row],[ТП Лоджия 1]:[ТП Лоджия 3]])</f>
        <v>1.25</v>
      </c>
      <c r="AJ526" s="95">
        <v>2.5</v>
      </c>
      <c r="AK526" s="91">
        <f>SUM(ППД5[[#This Row],[Площадь по ТП жилая]:[ТП Лоджия 3]])-ППД5[[#This Row],[ТП Летние]]+ППД5[[#This Row],[кроме того прочая
(без коэффициента)]]</f>
        <v>40.800000000000004</v>
      </c>
      <c r="AL526" s="95">
        <f>ППД5[[#This Row],[ТП Площадь без летних]]+(ППД5[[#This Row],[ТП Летние]])</f>
        <v>39.550000000000004</v>
      </c>
      <c r="AM526" s="91">
        <f>ППД5[[#This Row],[ТП общая S]]-ППД5[[#This Row],[кроме того прочая
(без коэффициента)]]</f>
        <v>38.300000000000004</v>
      </c>
      <c r="AN526" s="95">
        <f>SUM(ППД5[[#This Row],[ТП Кухня]:[ТП Коридор]])</f>
        <v>21.5</v>
      </c>
      <c r="AO526" s="91">
        <f>ППД5[[#This Row],[Расчетная ТП площадь]]-ППД5[[#This Row],[Расчетная проектная площадь]]</f>
        <v>-0.13999999999999346</v>
      </c>
      <c r="AP526" s="335">
        <f>ППД5[[#This Row],[Расчетная ТП площадь]]/ППД5[[#This Row],[Расчетная проектная площадь]]-1</f>
        <v>-3.5273368606700828E-3</v>
      </c>
      <c r="AQ526" s="91">
        <f>ППД5[[#This Row],[% расхождения]]*ППД5[[#This Row],[Стоимость до скидки]]</f>
        <v>-13668.103386242956</v>
      </c>
      <c r="AR526" s="91">
        <f>VLOOKUP(ППД5[[#This Row],[№]],наценкад5[],COLUMN(наценкад5[[#This Row],[Цена м2 с учетом всех K]]),0)</f>
        <v>86384.8125</v>
      </c>
      <c r="AS526" s="8">
        <f>ППД5[[#This Row],[м2 после К]]*5%</f>
        <v>4319.2406250000004</v>
      </c>
      <c r="AT526" s="8">
        <f>ППД5[[#This Row],[м2 после К]]+ППД5[[#This Row],[Повышение 16.08.23 - 5%]]</f>
        <v>90704.053125000006</v>
      </c>
      <c r="AU526" s="93">
        <f>ППД5[[#This Row],[Фикс 16.08.23]]*3%</f>
        <v>2721.1215937500001</v>
      </c>
      <c r="AV526" s="93">
        <f>ППД5[[#This Row],[Фикс 16.08.23]]+ППД5[[#This Row],[Повышение 29.08.23 - 3%]]</f>
        <v>93425.17471875</v>
      </c>
      <c r="AW526" s="93">
        <f>ППД5[[#This Row],[Фикс 29.08.23]]*4.5%</f>
        <v>4204.1328623437503</v>
      </c>
      <c r="AX526" s="93">
        <f>ППД5[[#This Row],[Фикс 29.08.23]]+ППД5[[#This Row],[Повышение 06.09.23 СТ и 1К]]</f>
        <v>97629.307581093744</v>
      </c>
      <c r="AY526" s="93"/>
      <c r="AZ526" s="93">
        <f>ППД5[[#This Row],[Повышение 23.10.23  В4 ]]+ППД5[[#This Row],[Фикс 06.09.23]]</f>
        <v>97629.307581093744</v>
      </c>
      <c r="BA526" s="93"/>
      <c r="BB526" s="93">
        <f>ППД5[[#This Row],[Повышение 8.11.23 1К 5%]]+ППД5[[#This Row],[Фикс 23.10.23]]</f>
        <v>97629.307581093744</v>
      </c>
      <c r="BC526" s="93"/>
      <c r="BD526" s="93">
        <f>ППД5[[#This Row],[Корректировка 24.11.23 - 1К В5, 2К А2, №233]]+ППД5[[#This Row],[Фикс 8.11.23]]</f>
        <v>97629.307581093744</v>
      </c>
      <c r="BE526" s="93"/>
      <c r="BF526" s="93">
        <f>ППД5[[#This Row],[Наценка за отделку 29.12.23 1%]]+ППД5[[#This Row],[Фикс 8.11.24]]</f>
        <v>97629.307581093744</v>
      </c>
      <c r="BG526" s="93"/>
      <c r="BH526" s="93">
        <f>ППД5[[#This Row],[Фикс 29.12.23]]+ППД5[[#This Row],[Наценка 10.01.24 5%]]</f>
        <v>97629.307581093744</v>
      </c>
      <c r="BI526" s="93"/>
      <c r="BJ526" s="93">
        <f>ППД5[[#This Row],[Наценка 26.02.24 1 Этаж]]+ППД5[[#This Row],[Фикс 10.01.24]]</f>
        <v>97629.307581093744</v>
      </c>
      <c r="BK526" s="93"/>
      <c r="BL526" s="93">
        <f>ППД5[[#This Row],[Фикс 26.02.24]]+ППД5[[#This Row],[Наценка 06.03.24
СТ, 1К - 3%
2К, 3К - 2%]]</f>
        <v>97629.307581093744</v>
      </c>
      <c r="BM526" s="93"/>
      <c r="BN526" s="93">
        <f>ППД5[[#This Row],[Фикс 06.03.24]]+ППД5[[#This Row],[Наценка Г2+500]]</f>
        <v>97629.307581093744</v>
      </c>
      <c r="BO526" s="93"/>
      <c r="BP526" s="93">
        <f>ППД5[[#This Row],[Фикс 13.03.25]]+ППД5[[#This Row],[Наценка 20.03.24
2К, 3К - 2%]]</f>
        <v>97629.307581093744</v>
      </c>
      <c r="BQ526" s="93"/>
      <c r="BR526" s="93">
        <f>ППД5[[#This Row],[Фикс 20.03.24]]+ППД5[[#This Row],[Наценка 08.04.24 
2К: В3 - 150
3К: Г7 +1000]]</f>
        <v>97629.307581093744</v>
      </c>
      <c r="BS526" s="93"/>
      <c r="BT526" s="93">
        <f>ППД5[[#This Row],[Фикс 08.04.24]]+ППД5[[#This Row],[Наценка 16.05.24 1%
А4,А6,Б3,Б6,Б7,В2,В3,В5,В6,Г1,Г3-Г5]]</f>
        <v>97629.307581093744</v>
      </c>
      <c r="BU526" s="93"/>
      <c r="BV526" s="93">
        <f>ППД5[[#This Row],[Фикс 16.05.24]]+ППД5[[#This Row],[Наценка 24.05.24
1% - Б4, Б5,Г2,Г6
2% - А1,А3,А5,Б2,Г7]]</f>
        <v>97629.307581093744</v>
      </c>
      <c r="BW526" s="93"/>
      <c r="BX526" s="93">
        <f>ППД5[[#This Row],[Наценка 06.06.24
0К: В2,Г3 +0,5%
1К: А7, Б5/4, Г6 +0,5%
3К: В6 +0,5%
1К: А3 +1%]]+ППД5[[#This Row],[Фикс 24.05.24]]</f>
        <v>97629.307581093744</v>
      </c>
      <c r="BY526" s="93"/>
      <c r="BZ526" s="93">
        <f>ППД5[[#This Row],[Фикс 06.06.24]]+ППД5[[#This Row],[13.06.2024
3К - 2%]]</f>
        <v>97629.307581093744</v>
      </c>
      <c r="CA526" s="93"/>
      <c r="CB526" s="93">
        <f>ППД5[[#This Row],[02.07.2024: Г3 А1 А3 Б5 Б7 Г2 Г6 Б3 Б4 В3 Г7 2,5% ост 0,5-1,5%]]+ППД5[[#This Row],[Фикс 13.06.24]]</f>
        <v>97629.307581093744</v>
      </c>
      <c r="CC526" s="93"/>
      <c r="CD526" s="93">
        <f>ППД5[[#This Row],[Фикс 02.07.24]]+ППД5[[#This Row],[04.09.2024 +500
0К - Б2; 1К - А3;
2К - А6, Б4, В3, Г5]]</f>
        <v>97629.307581093744</v>
      </c>
      <c r="CE526" s="93"/>
      <c r="CF526" s="93">
        <f>ППД5[[#This Row],[Наценка 16.09.2024
1К: А1,В7,Г6/7,Г8 - 2%
2К: А4,А5,А6,Б1,Б6,Б3/4,В3,В4,Г4,Г5 - 4%
3К: 4%]]+ППД5[[#This Row],[Фикс 04.09.24]]</f>
        <v>97629.307581093744</v>
      </c>
      <c r="CG526" s="93"/>
      <c r="CH526" s="93">
        <f>ППД5[[#This Row],[Фикс 16.09.2024]]+ППД5[[#This Row],[Наценка 01.11.24
СТ: 4%
1К: 34-40м 5%; 40м+ 8%; МГН 1%
2К: 55-70м 6%; 70-73м 7%; 73-76м 8% 
3К: 5%]]</f>
        <v>97629.307581093744</v>
      </c>
      <c r="CI526" s="93"/>
      <c r="CJ526" s="93">
        <f>ППД5[[#This Row],[Наценка 06.11 13%]]+ППД5[[#This Row],[Фикс 01.11.24]]</f>
        <v>97629.307581093744</v>
      </c>
      <c r="CK526" s="93"/>
      <c r="CL526" s="93">
        <f>ППД5[[#This Row],[Фикс 06.11.24]]+ППД5[[#This Row],[Наценка 18.12.24 распределение КВ]]</f>
        <v>97629.307581093744</v>
      </c>
      <c r="CM526" s="93"/>
      <c r="CN526" s="93">
        <f>ППД5[[#This Row],[Фикс 18.12.24]]+ППД5[[#This Row],[Наценка 10.02.25 +1%
1К: А3
2К: Б3, В3]]</f>
        <v>97629.307581093744</v>
      </c>
      <c r="CO526" s="93">
        <f>ROUND(ППД5[[#This Row],[Фикс 10.02.25]],2)</f>
        <v>97629.31</v>
      </c>
      <c r="CP52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3874907.31</v>
      </c>
      <c r="CQ526" s="93">
        <f>ROUNDUP(ППД5[[#This Row],[Стоимость до скидки]]+ППД5[[#This Row],[Сумма доплаты]],-2)</f>
        <v>3861300</v>
      </c>
      <c r="CR526" s="68"/>
      <c r="CS526" s="90">
        <v>0.02</v>
      </c>
      <c r="CT526" s="68">
        <f>ППД5[[#This Row],[Стоимость до скидки]]*ППД5[[#This Row],[Скидка %]]+ППД5[[#This Row],[Скидка фиксированная]]</f>
        <v>77498.146200000003</v>
      </c>
      <c r="CU526" s="3">
        <f>ППД5[[#This Row],[Стоимость ОН без отделки со скидкой]]/ППД5[[#This Row],[Расчетная проектная площадь]]</f>
        <v>95676.723607961714</v>
      </c>
      <c r="CV526" s="3">
        <f>ROUND(ППД5[[#This Row],[Стоимость до скидки]]-ППД5[[#This Row],[Итоговая сумма скидки]],2)</f>
        <v>3797409.16</v>
      </c>
      <c r="CW52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26" s="197"/>
      <c r="CY526" s="332">
        <f>ППД5[[#This Row],[Расхождение]]/ППД5[[#This Row],[Расчетная проектная площадь]]</f>
        <v>-3.5273368606700294E-3</v>
      </c>
      <c r="CZ52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-0.15000000000000036</v>
      </c>
      <c r="DA526" s="3">
        <f>ППД5[[#This Row],[Цена м2 без отделки со скидкой]]+ППД5[[#This Row],[Стоимость отделки]]</f>
        <v>95676.723607961714</v>
      </c>
      <c r="DB526" s="3">
        <f>ППД5[[#This Row],[Стоимость квартиры с отделкой]]-ППД5[[#This Row],[Стоимость ОН без отделки со скидкой]]</f>
        <v>0</v>
      </c>
      <c r="DC526" s="3">
        <f>ППД5[[#This Row],[Цена м2 с отделкой]]*ППД5[[#This Row],[Расчетная проектная площадь]]</f>
        <v>3797409.16</v>
      </c>
      <c r="DD526" s="3"/>
      <c r="DE526" s="111" t="s">
        <v>167</v>
      </c>
      <c r="DF526" s="199" t="s">
        <v>172</v>
      </c>
      <c r="DG526" s="245" t="s">
        <v>172</v>
      </c>
      <c r="DH526" s="100" t="b">
        <f>EXACT(ППД5[[#This Row],[Статусы CRM]],ППД5[[#This Row],[Статус]])</f>
        <v>1</v>
      </c>
      <c r="DI526" s="213" t="s">
        <v>698</v>
      </c>
      <c r="DJ526" s="204"/>
      <c r="DK526" s="111" t="s">
        <v>76</v>
      </c>
      <c r="DL526" s="216" t="s">
        <v>12</v>
      </c>
      <c r="DM526" s="201" t="b">
        <f>ППД5[[#This Row],[Отделка CRM]]=ППД5[[#This Row],[Отделка]]</f>
        <v>1</v>
      </c>
      <c r="DN526" s="203">
        <v>3797409.16</v>
      </c>
      <c r="DO52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26" s="207" t="b">
        <f>IF(AND(ППД5[[#This Row],[Статус]]="свободно",ППД5[[#This Row],[Итоговая сумма скидки]]&lt;&gt;0),FALSE,TRUE)</f>
        <v>1</v>
      </c>
      <c r="DQ526" s="240">
        <f>_xlfn.XLOOKUP(ППД5[[#This Row],[№]],Юрист[№ кв],Юрист[Дата подачи на регистрацию]," ",0,-1)</f>
        <v>45197</v>
      </c>
      <c r="DR526" s="115" t="str">
        <f>_xlfn.XLOOKUP(ППД5[[#This Row],[№]],Юрист[№ кв],Юрист[МОП],"",0,-1)</f>
        <v>Дик</v>
      </c>
      <c r="DS526" s="333" t="s">
        <v>3344</v>
      </c>
      <c r="DT526" s="333" t="s">
        <v>3345</v>
      </c>
      <c r="DU526" s="333">
        <v>38.299999999999997</v>
      </c>
      <c r="DV526" s="111"/>
    </row>
    <row r="527" spans="1:126" hidden="1" x14ac:dyDescent="0.25">
      <c r="A527" s="112">
        <v>525</v>
      </c>
      <c r="B527" s="111" t="s">
        <v>2</v>
      </c>
      <c r="C527" s="111">
        <v>18</v>
      </c>
      <c r="D527" s="338">
        <v>1</v>
      </c>
      <c r="E527" s="111">
        <v>0</v>
      </c>
      <c r="F527" s="105">
        <v>13.74</v>
      </c>
      <c r="G527" s="105"/>
      <c r="H527" s="105"/>
      <c r="I527" s="94">
        <f>SUM(ППД5[[#This Row],[Комната 1]:[Комната 3]])</f>
        <v>13.74</v>
      </c>
      <c r="J527" s="105">
        <v>5.84</v>
      </c>
      <c r="K527" s="105">
        <v>3.76</v>
      </c>
      <c r="L527" s="105"/>
      <c r="M527" s="105"/>
      <c r="N527" s="105">
        <v>3.73</v>
      </c>
      <c r="O527" s="105">
        <v>4.6500000000000004</v>
      </c>
      <c r="P527" s="105"/>
      <c r="Q527" s="105"/>
      <c r="R527" s="105">
        <f>SUM(ППД5[[#This Row],[Лоджия 1]:[Лоджия 3]])</f>
        <v>4.6500000000000004</v>
      </c>
      <c r="S527" s="8">
        <f>ROUND(SUM(ППД5[[#This Row],[Площадь по проекту жилая]:[Лоджия 3]]),2)</f>
        <v>31.72</v>
      </c>
      <c r="T527" s="8">
        <f>ROUND(ППД5[[#This Row],[Площадь по проекту(общая)]]-ППД5[[#This Row],[Летние]],2)</f>
        <v>27.07</v>
      </c>
      <c r="U527" s="91">
        <f>ROUND(ППД5[[#This Row],[Площадь по проекту(общая)]]-(SUM(ППД5[[#This Row],[Лоджия 1]:[Лоджия 3]])/2),2)</f>
        <v>29.4</v>
      </c>
      <c r="V527" s="91">
        <f>IF(ППД5[[#This Row],[Статус]]="продажа",ППД5[[#This Row],[Расчетная проектная площадь]],ППД5[[#This Row],[Расчетная ТП площадь]])</f>
        <v>29.4</v>
      </c>
      <c r="W527" s="91">
        <v>13.7</v>
      </c>
      <c r="X527" s="91"/>
      <c r="Y527" s="91"/>
      <c r="Z527" s="91">
        <f>SUM(ППД5[[#This Row],[ТП Комната 1]:[ТП Комната 3]])</f>
        <v>13.7</v>
      </c>
      <c r="AA527" s="91">
        <v>5.8</v>
      </c>
      <c r="AB527" s="91">
        <v>3.8</v>
      </c>
      <c r="AC527" s="91"/>
      <c r="AD527" s="91"/>
      <c r="AE527" s="91">
        <v>3.8</v>
      </c>
      <c r="AF527" s="91">
        <v>2.2999999999999998</v>
      </c>
      <c r="AG527" s="91"/>
      <c r="AH527" s="91"/>
      <c r="AI527" s="91">
        <f>SUM(ППД5[[#This Row],[ТП Лоджия 1]:[ТП Лоджия 3]])</f>
        <v>2.2999999999999998</v>
      </c>
      <c r="AJ527" s="95">
        <v>4.5999999999999996</v>
      </c>
      <c r="AK527" s="91">
        <f>SUM(ППД5[[#This Row],[Площадь по ТП жилая]:[ТП Лоджия 3]])-ППД5[[#This Row],[ТП Летние]]+ППД5[[#This Row],[кроме того прочая
(без коэффициента)]]</f>
        <v>31.700000000000003</v>
      </c>
      <c r="AL527" s="95">
        <f>ППД5[[#This Row],[ТП Площадь без летних]]+(ППД5[[#This Row],[ТП Летние]])</f>
        <v>29.400000000000002</v>
      </c>
      <c r="AM527" s="91">
        <f>ППД5[[#This Row],[ТП общая S]]-ППД5[[#This Row],[кроме того прочая
(без коэффициента)]]</f>
        <v>27.1</v>
      </c>
      <c r="AN527" s="95">
        <f>SUM(ППД5[[#This Row],[ТП Кухня]:[ТП Коридор]])</f>
        <v>13.399999999999999</v>
      </c>
      <c r="AO527" s="91">
        <f>ППД5[[#This Row],[Расчетная ТП площадь]]-ППД5[[#This Row],[Расчетная проектная площадь]]</f>
        <v>0</v>
      </c>
      <c r="AP527" s="335">
        <f>ППД5[[#This Row],[Расчетная ТП площадь]]/ППД5[[#This Row],[Расчетная проектная площадь]]-1</f>
        <v>0</v>
      </c>
      <c r="AQ527" s="91">
        <f>ППД5[[#This Row],[% расхождения]]*ППД5[[#This Row],[Стоимость до скидки]]</f>
        <v>0</v>
      </c>
      <c r="AR527" s="91">
        <f>VLOOKUP(ППД5[[#This Row],[№]],наценкад5[],COLUMN(наценкад5[[#This Row],[Цена м2 с учетом всех K]]),0)</f>
        <v>89353.53</v>
      </c>
      <c r="AS527" s="8">
        <f>ППД5[[#This Row],[м2 после К]]*5%</f>
        <v>4467.6765000000005</v>
      </c>
      <c r="AT527" s="8">
        <f>ППД5[[#This Row],[м2 после К]]+ППД5[[#This Row],[Повышение 16.08.23 - 5%]]</f>
        <v>93821.2065</v>
      </c>
      <c r="AU527" s="93">
        <f>ППД5[[#This Row],[Фикс 16.08.23]]*3%</f>
        <v>2814.636195</v>
      </c>
      <c r="AV527" s="93">
        <f>ППД5[[#This Row],[Фикс 16.08.23]]+ППД5[[#This Row],[Повышение 29.08.23 - 3%]]</f>
        <v>96635.842694999999</v>
      </c>
      <c r="AW527" s="93">
        <f>ППД5[[#This Row],[Фикс 29.08.23]]*9%</f>
        <v>8697.2258425500004</v>
      </c>
      <c r="AX527" s="93">
        <f>ППД5[[#This Row],[Фикс 29.08.23]]+ППД5[[#This Row],[Повышение 06.09.23 СТ и 1К]]</f>
        <v>105333.06853755</v>
      </c>
      <c r="AY527" s="93"/>
      <c r="AZ527" s="93">
        <f>ППД5[[#This Row],[Повышение 23.10.23  В4 ]]+ППД5[[#This Row],[Фикс 06.09.23]]</f>
        <v>105333.06853755</v>
      </c>
      <c r="BA527" s="93"/>
      <c r="BB527" s="93">
        <f>ППД5[[#This Row],[Повышение 8.11.23 1К 5%]]+ППД5[[#This Row],[Фикс 23.10.23]]</f>
        <v>105333.06853755</v>
      </c>
      <c r="BC527" s="93"/>
      <c r="BD527" s="93">
        <f>ППД5[[#This Row],[Корректировка 24.11.23 - 1К В5, 2К А2, №233]]+ППД5[[#This Row],[Фикс 8.11.23]]</f>
        <v>105333.06853755</v>
      </c>
      <c r="BE527" s="93">
        <f>ППД5[[#This Row],[Фикс 8.11.24]]*1%</f>
        <v>1053.3306853755</v>
      </c>
      <c r="BF527" s="93">
        <f>ППД5[[#This Row],[Наценка за отделку 29.12.23 1%]]+ППД5[[#This Row],[Фикс 8.11.24]]</f>
        <v>106386.39922292551</v>
      </c>
      <c r="BG527" s="93">
        <f>ППД5[[#This Row],[Фикс 29.12.23]]*5%</f>
        <v>5319.319961146276</v>
      </c>
      <c r="BH527" s="93">
        <f>ППД5[[#This Row],[Фикс 29.12.23]]+ППД5[[#This Row],[Наценка 10.01.24 5%]]</f>
        <v>111705.71918407179</v>
      </c>
      <c r="BI527" s="93"/>
      <c r="BJ527" s="93">
        <f>ППД5[[#This Row],[Наценка 26.02.24 1 Этаж]]+ППД5[[#This Row],[Фикс 10.01.24]]</f>
        <v>111705.71918407179</v>
      </c>
      <c r="BK527" s="93">
        <f>ППД5[[#This Row],[Фикс 26.02.24]]*3%</f>
        <v>3351.1715755221535</v>
      </c>
      <c r="BL527" s="93">
        <f>ППД5[[#This Row],[Фикс 26.02.24]]+ППД5[[#This Row],[Наценка 06.03.24
СТ, 1К - 3%
2К, 3К - 2%]]</f>
        <v>115056.89075959394</v>
      </c>
      <c r="BM527" s="93"/>
      <c r="BN527" s="93">
        <f>ППД5[[#This Row],[Фикс 06.03.24]]+ППД5[[#This Row],[Наценка Г2+500]]</f>
        <v>115056.89075959394</v>
      </c>
      <c r="BO527" s="93"/>
      <c r="BP527" s="93">
        <f>ППД5[[#This Row],[Фикс 13.03.25]]+ППД5[[#This Row],[Наценка 20.03.24
2К, 3К - 2%]]</f>
        <v>115056.89075959394</v>
      </c>
      <c r="BQ527" s="93"/>
      <c r="BR527" s="93">
        <f>ППД5[[#This Row],[Фикс 20.03.24]]+ППД5[[#This Row],[Наценка 08.04.24 
2К: В3 - 150
3К: Г7 +1000]]</f>
        <v>115056.89075959394</v>
      </c>
      <c r="BS527" s="93">
        <f>ППД5[[#This Row],[Фикс 08.04.24]]*1%</f>
        <v>1150.5689075959394</v>
      </c>
      <c r="BT527" s="93">
        <f>ППД5[[#This Row],[Фикс 08.04.24]]+ППД5[[#This Row],[Наценка 16.05.24 1%
А4,А6,Б3,Б6,Б7,В2,В3,В5,В6,Г1,Г3-Г5]]</f>
        <v>116207.45966718988</v>
      </c>
      <c r="BU527" s="93"/>
      <c r="BV527" s="93">
        <f>ППД5[[#This Row],[Фикс 16.05.24]]+ППД5[[#This Row],[Наценка 24.05.24
1% - Б4, Б5,Г2,Г6
2% - А1,А3,А5,Б2,Г7]]</f>
        <v>116207.45966718988</v>
      </c>
      <c r="BW527" s="93"/>
      <c r="BX527" s="93">
        <f>ППД5[[#This Row],[Наценка 06.06.24
0К: В2,Г3 +0,5%
1К: А7, Б5/4, Г6 +0,5%
3К: В6 +0,5%
1К: А3 +1%]]+ППД5[[#This Row],[Фикс 24.05.24]]</f>
        <v>116207.45966718988</v>
      </c>
      <c r="BY527" s="93"/>
      <c r="BZ527" s="93">
        <f>ППД5[[#This Row],[Фикс 06.06.24]]+ППД5[[#This Row],[13.06.2024
3К - 2%]]</f>
        <v>116207.45966718988</v>
      </c>
      <c r="CA527" s="93">
        <f>1.5%*ППД5[[#This Row],[Фикс 13.06.24]]</f>
        <v>1743.111895007848</v>
      </c>
      <c r="CB527" s="93">
        <f>ППД5[[#This Row],[02.07.2024: Г3 А1 А3 Б5 Б7 Г2 Г6 Б3 Б4 В3 Г7 2,5% ост 0,5-1,5%]]+ППД5[[#This Row],[Фикс 13.06.24]]</f>
        <v>117950.57156219773</v>
      </c>
      <c r="CC527" s="93"/>
      <c r="CD527" s="93">
        <f>ППД5[[#This Row],[Фикс 02.07.24]]+ППД5[[#This Row],[04.09.2024 +500
0К - Б2; 1К - А3;
2К - А6, Б4, В3, Г5]]</f>
        <v>117950.57156219773</v>
      </c>
      <c r="CE527" s="93"/>
      <c r="CF527" s="93">
        <f>ППД5[[#This Row],[Наценка 16.09.2024
1К: А1,В7,Г6/7,Г8 - 2%
2К: А4,А5,А6,Б1,Б6,Б3/4,В3,В4,Г4,Г5 - 4%
3К: 4%]]+ППД5[[#This Row],[Фикс 04.09.24]]</f>
        <v>117950.57156219773</v>
      </c>
      <c r="CG527" s="93">
        <f>ППД5[[#This Row],[Фикс 16.09.2024]]*4%</f>
        <v>4718.0228624879092</v>
      </c>
      <c r="CH527" s="93">
        <f>ППД5[[#This Row],[Фикс 16.09.2024]]+ППД5[[#This Row],[Наценка 01.11.24
СТ: 4%
1К: 34-40м 5%; 40м+ 8%; МГН 1%
2К: 55-70м 6%; 70-73м 7%; 73-76м 8% 
3К: 5%]]</f>
        <v>122668.59442468564</v>
      </c>
      <c r="CI527" s="93">
        <f>ППД5[[#This Row],[Фикс 01.11.24]]*13%</f>
        <v>15946.917275209133</v>
      </c>
      <c r="CJ527" s="93">
        <f>ППД5[[#This Row],[Наценка 06.11 13%]]+ППД5[[#This Row],[Фикс 01.11.24]]</f>
        <v>138615.51169989476</v>
      </c>
      <c r="CK527" s="93">
        <v>35</v>
      </c>
      <c r="CL527" s="93">
        <f>ППД5[[#This Row],[Фикс 06.11.24]]+ППД5[[#This Row],[Наценка 18.12.24 распределение КВ]]</f>
        <v>138650.51169989476</v>
      </c>
      <c r="CM527" s="93"/>
      <c r="CN527" s="93">
        <f>ППД5[[#This Row],[Фикс 18.12.24]]+ППД5[[#This Row],[Наценка 10.02.25 +1%
1К: А3
2К: Б3, В3]]</f>
        <v>138650.51169989476</v>
      </c>
      <c r="CO527" s="93">
        <f>ROUND(ППД5[[#This Row],[Фикс 10.02.25]],2)</f>
        <v>138650.51</v>
      </c>
      <c r="CP52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4076400</v>
      </c>
      <c r="CQ527" s="93">
        <f>ROUNDUP(ППД5[[#This Row],[Стоимость до скидки]]+ППД5[[#This Row],[Сумма доплаты]],-2)</f>
        <v>4076400</v>
      </c>
      <c r="CR527" s="68">
        <f>ППД5[[#This Row],[Расчетная проектная площадь]]*8000</f>
        <v>235200</v>
      </c>
      <c r="CS527" s="90"/>
      <c r="CT527" s="68">
        <f>ППД5[[#This Row],[Стоимость до скидки]]*ППД5[[#This Row],[Скидка %]]+ППД5[[#This Row],[Скидка фиксированная]]</f>
        <v>235200</v>
      </c>
      <c r="CU527" s="3">
        <f>ППД5[[#This Row],[Стоимость ОН без отделки со скидкой]]/ППД5[[#This Row],[Расчетная проектная площадь]]</f>
        <v>130653.06122448981</v>
      </c>
      <c r="CV527" s="3">
        <f>ROUND(ППД5[[#This Row],[Стоимость до скидки]]-ППД5[[#This Row],[Итоговая сумма скидки]],2)</f>
        <v>3841200</v>
      </c>
      <c r="CW52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527" s="197">
        <v>25000</v>
      </c>
      <c r="CY527" s="332">
        <f>ППД5[[#This Row],[Расхождение]]/ППД5[[#This Row],[Расчетная проектная площадь]]</f>
        <v>0</v>
      </c>
      <c r="CZ52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6.9999999999998508E-2</v>
      </c>
      <c r="DA527" s="3">
        <f>ППД5[[#This Row],[Цена м2 без отделки со скидкой]]+ППД5[[#This Row],[Стоимость отделки]]</f>
        <v>155653.06122448982</v>
      </c>
      <c r="DB527" s="3">
        <f>ППД5[[#This Row],[Стоимость квартиры с отделкой]]-ППД5[[#This Row],[Стоимость ОН без отделки со скидкой]]</f>
        <v>735000.00000000093</v>
      </c>
      <c r="DC527" s="3">
        <f>ППД5[[#This Row],[Цена м2 с отделкой]]*ППД5[[#This Row],[Расчетная проектная площадь]]</f>
        <v>4576200.0000000009</v>
      </c>
      <c r="DD527" s="3"/>
      <c r="DE527" s="111" t="s">
        <v>2122</v>
      </c>
      <c r="DF527" s="155" t="s">
        <v>172</v>
      </c>
      <c r="DG527" s="221" t="s">
        <v>172</v>
      </c>
      <c r="DH527" s="100" t="b">
        <f>EXACT(ППД5[[#This Row],[Статусы CRM]],ППД5[[#This Row],[Статус]])</f>
        <v>1</v>
      </c>
      <c r="DI527" s="213" t="s">
        <v>699</v>
      </c>
      <c r="DJ527" s="204"/>
      <c r="DK527" s="111" t="s">
        <v>763</v>
      </c>
      <c r="DL527" s="216" t="s">
        <v>14</v>
      </c>
      <c r="DM527" s="201" t="b">
        <f>ППД5[[#This Row],[Отделка CRM]]=ППД5[[#This Row],[Отделка]]</f>
        <v>1</v>
      </c>
      <c r="DN527" s="203">
        <v>4576200</v>
      </c>
      <c r="DO52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-9.3132257461547852E-10</v>
      </c>
      <c r="DP527" s="207" t="b">
        <f>IF(AND(ППД5[[#This Row],[Статус]]="свободно",ППД5[[#This Row],[Итоговая сумма скидки]]&lt;&gt;0),FALSE,TRUE)</f>
        <v>1</v>
      </c>
      <c r="DQ527" s="240" t="str">
        <f>_xlfn.XLOOKUP(ППД5[[#This Row],[№]],Юрист[№ кв],Юрист[Дата подачи на регистрацию]," ",0,-1)</f>
        <v xml:space="preserve"> </v>
      </c>
      <c r="DR527" s="115" t="str">
        <f>_xlfn.XLOOKUP(ППД5[[#This Row],[№]],Юрист[№ кв],Юрист[МОП],"",0,-1)</f>
        <v/>
      </c>
      <c r="DS527" s="333" t="s">
        <v>3346</v>
      </c>
      <c r="DT527" s="333" t="s">
        <v>3347</v>
      </c>
      <c r="DU527" s="333">
        <v>27.1</v>
      </c>
      <c r="DV527" s="111"/>
    </row>
    <row r="528" spans="1:126" hidden="1" x14ac:dyDescent="0.25">
      <c r="A528" s="112">
        <v>526</v>
      </c>
      <c r="B528" s="111" t="s">
        <v>2</v>
      </c>
      <c r="C528" s="111">
        <v>18</v>
      </c>
      <c r="D528" s="115">
        <v>2</v>
      </c>
      <c r="E528" s="111">
        <v>1</v>
      </c>
      <c r="F528" s="105">
        <v>13.17</v>
      </c>
      <c r="G528" s="105"/>
      <c r="H528" s="105"/>
      <c r="I528" s="94">
        <f>SUM(ППД5[[#This Row],[Комната 1]:[Комната 3]])</f>
        <v>13.17</v>
      </c>
      <c r="J528" s="105">
        <v>16.940000000000001</v>
      </c>
      <c r="K528" s="105">
        <v>3.55</v>
      </c>
      <c r="L528" s="105">
        <v>2.41</v>
      </c>
      <c r="M528" s="105"/>
      <c r="N528" s="105">
        <v>5.8</v>
      </c>
      <c r="O528" s="105">
        <v>2.68</v>
      </c>
      <c r="P528" s="105"/>
      <c r="Q528" s="105"/>
      <c r="R528" s="105">
        <f>SUM(ППД5[[#This Row],[Лоджия 1]:[Лоджия 3]])</f>
        <v>2.68</v>
      </c>
      <c r="S528" s="8">
        <f>ROUND(SUM(ППД5[[#This Row],[Площадь по проекту жилая]:[Лоджия 3]]),2)</f>
        <v>44.55</v>
      </c>
      <c r="T528" s="8">
        <f>ROUND(ППД5[[#This Row],[Площадь по проекту(общая)]]-ППД5[[#This Row],[Летние]],2)</f>
        <v>41.87</v>
      </c>
      <c r="U528" s="91">
        <f>ROUND(ППД5[[#This Row],[Площадь по проекту(общая)]]-(SUM(ППД5[[#This Row],[Лоджия 1]:[Лоджия 3]])/2),2)</f>
        <v>43.21</v>
      </c>
      <c r="V528" s="91">
        <f>IF(ППД5[[#This Row],[Статус]]="продажа",ППД5[[#This Row],[Расчетная проектная площадь]],ППД5[[#This Row],[Расчетная ТП площадь]])</f>
        <v>43.21</v>
      </c>
      <c r="W528" s="91">
        <v>12.9</v>
      </c>
      <c r="X528" s="91"/>
      <c r="Y528" s="91"/>
      <c r="Z528" s="91">
        <f>SUM(ППД5[[#This Row],[ТП Комната 1]:[ТП Комната 3]])</f>
        <v>12.9</v>
      </c>
      <c r="AA528" s="91">
        <v>16.899999999999999</v>
      </c>
      <c r="AB528" s="91">
        <v>2.1</v>
      </c>
      <c r="AC528" s="91">
        <v>3.3</v>
      </c>
      <c r="AD528" s="91"/>
      <c r="AE528" s="91">
        <v>5.8</v>
      </c>
      <c r="AF528" s="91">
        <v>1.3</v>
      </c>
      <c r="AG528" s="91"/>
      <c r="AH528" s="91"/>
      <c r="AI528" s="91">
        <f>SUM(ППД5[[#This Row],[ТП Лоджия 1]:[ТП Лоджия 3]])</f>
        <v>1.3</v>
      </c>
      <c r="AJ528" s="95">
        <v>2.6</v>
      </c>
      <c r="AK528" s="91">
        <f>SUM(ППД5[[#This Row],[Площадь по ТП жилая]:[ТП Лоджия 3]])-ППД5[[#This Row],[ТП Летние]]+ППД5[[#This Row],[кроме того прочая
(без коэффициента)]]</f>
        <v>43.599999999999994</v>
      </c>
      <c r="AL528" s="95">
        <f>ППД5[[#This Row],[ТП Площадь без летних]]+(ППД5[[#This Row],[ТП Летние]])</f>
        <v>42.29999999999999</v>
      </c>
      <c r="AM528" s="91">
        <f>ППД5[[#This Row],[ТП общая S]]-ППД5[[#This Row],[кроме того прочая
(без коэффициента)]]</f>
        <v>40.999999999999993</v>
      </c>
      <c r="AN528" s="95">
        <f>SUM(ППД5[[#This Row],[ТП Кухня]:[ТП Коридор]])</f>
        <v>28.1</v>
      </c>
      <c r="AO528" s="91">
        <f>ППД5[[#This Row],[Расчетная ТП площадь]]-ППД5[[#This Row],[Расчетная проектная площадь]]</f>
        <v>-0.9100000000000108</v>
      </c>
      <c r="AP528" s="335">
        <f>ППД5[[#This Row],[Расчетная ТП площадь]]/ППД5[[#This Row],[Расчетная проектная площадь]]-1</f>
        <v>-2.1059939828743546E-2</v>
      </c>
      <c r="AQ528" s="91">
        <f>ППД5[[#This Row],[% расхождения]]*ППД5[[#This Row],[Стоимость до скидки]]</f>
        <v>-97551.747280722979</v>
      </c>
      <c r="AR528" s="91">
        <f>VLOOKUP(ППД5[[#This Row],[№]],наценкад5[],COLUMN(наценкад5[[#This Row],[Цена м2 с учетом всех K]]),0)</f>
        <v>85168.125</v>
      </c>
      <c r="AS528" s="8">
        <f>ППД5[[#This Row],[м2 после К]]*5%</f>
        <v>4258.40625</v>
      </c>
      <c r="AT528" s="8">
        <f>ППД5[[#This Row],[м2 после К]]+ППД5[[#This Row],[Повышение 16.08.23 - 5%]]</f>
        <v>89426.53125</v>
      </c>
      <c r="AU528" s="93">
        <f>ППД5[[#This Row],[Фикс 16.08.23]]*3%</f>
        <v>2682.7959375</v>
      </c>
      <c r="AV528" s="93">
        <f>ППД5[[#This Row],[Фикс 16.08.23]]+ППД5[[#This Row],[Повышение 29.08.23 - 3%]]</f>
        <v>92109.327187500006</v>
      </c>
      <c r="AW528" s="93">
        <f>ППД5[[#This Row],[Фикс 29.08.23]]*1%</f>
        <v>921.09327187500003</v>
      </c>
      <c r="AX528" s="93">
        <f>ППД5[[#This Row],[Фикс 29.08.23]]+ППД5[[#This Row],[Повышение 06.09.23 СТ и 1К]]</f>
        <v>93030.420459375004</v>
      </c>
      <c r="AY528" s="93"/>
      <c r="AZ528" s="93">
        <f>ППД5[[#This Row],[Повышение 23.10.23  В4 ]]+ППД5[[#This Row],[Фикс 06.09.23]]</f>
        <v>93030.420459375004</v>
      </c>
      <c r="BA528" s="93">
        <f>ППД5[[#This Row],[Фикс 23.10.23]]*5%</f>
        <v>4651.52102296875</v>
      </c>
      <c r="BB528" s="93">
        <f>ППД5[[#This Row],[Повышение 8.11.23 1К 5%]]+ППД5[[#This Row],[Фикс 23.10.23]]</f>
        <v>97681.941482343755</v>
      </c>
      <c r="BC528" s="93"/>
      <c r="BD528" s="93">
        <f>ППД5[[#This Row],[Корректировка 24.11.23 - 1К В5, 2К А2, №233]]+ППД5[[#This Row],[Фикс 8.11.23]]</f>
        <v>97681.941482343755</v>
      </c>
      <c r="BE528" s="93">
        <f>ППД5[[#This Row],[Фикс 8.11.24]]*1%</f>
        <v>976.81941482343757</v>
      </c>
      <c r="BF528" s="93">
        <f>ППД5[[#This Row],[Наценка за отделку 29.12.23 1%]]+ППД5[[#This Row],[Фикс 8.11.24]]</f>
        <v>98658.760897167187</v>
      </c>
      <c r="BG528" s="93">
        <f>ППД5[[#This Row],[Фикс 29.12.23]]*5%</f>
        <v>4932.9380448583597</v>
      </c>
      <c r="BH528" s="93">
        <f>ППД5[[#This Row],[Фикс 29.12.23]]+ППД5[[#This Row],[Наценка 10.01.24 5%]]</f>
        <v>103591.69894202554</v>
      </c>
      <c r="BI528" s="93"/>
      <c r="BJ528" s="93">
        <f>ППД5[[#This Row],[Наценка 26.02.24 1 Этаж]]+ППД5[[#This Row],[Фикс 10.01.24]]</f>
        <v>103591.69894202554</v>
      </c>
      <c r="BK528" s="93">
        <f>ППД5[[#This Row],[Фикс 26.02.24]]*3%</f>
        <v>3107.7509682607661</v>
      </c>
      <c r="BL528" s="93">
        <f>ППД5[[#This Row],[Фикс 26.02.24]]+ППД5[[#This Row],[Наценка 06.03.24
СТ, 1К - 3%
2К, 3К - 2%]]</f>
        <v>106699.4499102863</v>
      </c>
      <c r="BM528" s="93">
        <v>500</v>
      </c>
      <c r="BN528" s="93">
        <f>ППД5[[#This Row],[Фикс 06.03.24]]+ППД5[[#This Row],[Наценка Г2+500]]</f>
        <v>107199.4499102863</v>
      </c>
      <c r="BO528" s="93"/>
      <c r="BP528" s="93">
        <f>ППД5[[#This Row],[Фикс 13.03.25]]+ППД5[[#This Row],[Наценка 20.03.24
2К, 3К - 2%]]</f>
        <v>107199.4499102863</v>
      </c>
      <c r="BQ528" s="93"/>
      <c r="BR528" s="93">
        <f>ППД5[[#This Row],[Фикс 20.03.24]]+ППД5[[#This Row],[Наценка 08.04.24 
2К: В3 - 150
3К: Г7 +1000]]</f>
        <v>107199.4499102863</v>
      </c>
      <c r="BS528" s="93"/>
      <c r="BT528" s="93">
        <f>ППД5[[#This Row],[Фикс 08.04.24]]+ППД5[[#This Row],[Наценка 16.05.24 1%
А4,А6,Б3,Б6,Б7,В2,В3,В5,В6,Г1,Г3-Г5]]</f>
        <v>107199.4499102863</v>
      </c>
      <c r="BU528" s="93"/>
      <c r="BV528" s="93">
        <f>ППД5[[#This Row],[Фикс 16.05.24]]+ППД5[[#This Row],[Наценка 24.05.24
1% - Б4, Б5,Г2,Г6
2% - А1,А3,А5,Б2,Г7]]</f>
        <v>107199.4499102863</v>
      </c>
      <c r="BW528" s="93"/>
      <c r="BX528" s="93">
        <f>ППД5[[#This Row],[Наценка 06.06.24
0К: В2,Г3 +0,5%
1К: А7, Б5/4, Г6 +0,5%
3К: В6 +0,5%
1К: А3 +1%]]+ППД5[[#This Row],[Фикс 24.05.24]]</f>
        <v>107199.4499102863</v>
      </c>
      <c r="BY528" s="93"/>
      <c r="BZ528" s="93">
        <f>ППД5[[#This Row],[Фикс 06.06.24]]+ППД5[[#This Row],[13.06.2024
3К - 2%]]</f>
        <v>107199.4499102863</v>
      </c>
      <c r="CA528" s="93"/>
      <c r="CB528" s="93">
        <f>ППД5[[#This Row],[02.07.2024: Г3 А1 А3 Б5 Б7 Г2 Г6 Б3 Б4 В3 Г7 2,5% ост 0,5-1,5%]]+ППД5[[#This Row],[Фикс 13.06.24]]</f>
        <v>107199.4499102863</v>
      </c>
      <c r="CC528" s="93"/>
      <c r="CD528" s="93">
        <f>ППД5[[#This Row],[Фикс 02.07.24]]+ППД5[[#This Row],[04.09.2024 +500
0К - Б2; 1К - А3;
2К - А6, Б4, В3, Г5]]</f>
        <v>107199.4499102863</v>
      </c>
      <c r="CE528" s="93"/>
      <c r="CF528" s="93">
        <f>ППД5[[#This Row],[Наценка 16.09.2024
1К: А1,В7,Г6/7,Г8 - 2%
2К: А4,А5,А6,Б1,Б6,Б3/4,В3,В4,Г4,Г5 - 4%
3К: 4%]]+ППД5[[#This Row],[Фикс 04.09.24]]</f>
        <v>107199.4499102863</v>
      </c>
      <c r="CG528" s="93"/>
      <c r="CH528" s="93">
        <f>ППД5[[#This Row],[Фикс 16.09.2024]]+ППД5[[#This Row],[Наценка 01.11.24
СТ: 4%
1К: 34-40м 5%; 40м+ 8%; МГН 1%
2К: 55-70м 6%; 70-73м 7%; 73-76м 8% 
3К: 5%]]</f>
        <v>107199.4499102863</v>
      </c>
      <c r="CI528" s="93"/>
      <c r="CJ528" s="93">
        <f>ППД5[[#This Row],[Наценка 06.11 13%]]+ППД5[[#This Row],[Фикс 01.11.24]]</f>
        <v>107199.4499102863</v>
      </c>
      <c r="CK528" s="93"/>
      <c r="CL528" s="93">
        <f>ППД5[[#This Row],[Фикс 06.11.24]]+ППД5[[#This Row],[Наценка 18.12.24 распределение КВ]]</f>
        <v>107199.4499102863</v>
      </c>
      <c r="CM528" s="93"/>
      <c r="CN528" s="93">
        <f>ППД5[[#This Row],[Фикс 18.12.24]]+ППД5[[#This Row],[Наценка 10.02.25 +1%
1К: А3
2К: Б3, В3]]</f>
        <v>107199.4499102863</v>
      </c>
      <c r="CO528" s="93">
        <f>ROUND(ППД5[[#This Row],[Фикс 10.02.25]],2)</f>
        <v>107199.45</v>
      </c>
      <c r="CP52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4632100</v>
      </c>
      <c r="CQ528" s="93">
        <f>ROUNDUP(ППД5[[#This Row],[Стоимость до скидки]]+ППД5[[#This Row],[Сумма доплаты]],-2)</f>
        <v>4534600</v>
      </c>
      <c r="CR528" s="68">
        <v>88888</v>
      </c>
      <c r="CS528" s="90"/>
      <c r="CT528" s="68">
        <f>ППД5[[#This Row],[Стоимость до скидки]]*ППД5[[#This Row],[Скидка %]]+ППД5[[#This Row],[Скидка фиксированная]]</f>
        <v>88888</v>
      </c>
      <c r="CU528" s="3">
        <f>ППД5[[#This Row],[Стоимость ОН без отделки со скидкой]]/ППД5[[#This Row],[Расчетная проектная площадь]]</f>
        <v>105142.60587826892</v>
      </c>
      <c r="CV528" s="3">
        <f>ROUND(ППД5[[#This Row],[Стоимость до скидки]]-ППД5[[#This Row],[Итоговая сумма скидки]],2)</f>
        <v>4543212</v>
      </c>
      <c r="CW52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528" s="197">
        <v>20000</v>
      </c>
      <c r="CY528" s="332">
        <f>ППД5[[#This Row],[Расхождение]]/ППД5[[#This Row],[Расчетная проектная площадь]]</f>
        <v>-2.1059939828743594E-2</v>
      </c>
      <c r="CZ52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-0.60000000000000142</v>
      </c>
      <c r="DA528" s="3">
        <f>ППД5[[#This Row],[Цена м2 без отделки со скидкой]]+ППД5[[#This Row],[Стоимость отделки]]</f>
        <v>125142.60587826892</v>
      </c>
      <c r="DB528" s="3">
        <f>ППД5[[#This Row],[Стоимость квартиры с отделкой]]-ППД5[[#This Row],[Стоимость ОН без отделки со скидкой]]</f>
        <v>864200</v>
      </c>
      <c r="DC528" s="3">
        <f>ППД5[[#This Row],[Цена м2 с отделкой]]*ППД5[[#This Row],[Расчетная проектная площадь]]</f>
        <v>5407412</v>
      </c>
      <c r="DD528" s="3"/>
      <c r="DE528" s="111" t="s">
        <v>781</v>
      </c>
      <c r="DF528" s="199" t="s">
        <v>172</v>
      </c>
      <c r="DG528" s="245" t="s">
        <v>172</v>
      </c>
      <c r="DH528" s="100" t="b">
        <f>EXACT(ППД5[[#This Row],[Статусы CRM]],ППД5[[#This Row],[Статус]])</f>
        <v>1</v>
      </c>
      <c r="DI528" s="213" t="s">
        <v>700</v>
      </c>
      <c r="DJ528" s="204"/>
      <c r="DK528" s="111" t="s">
        <v>763</v>
      </c>
      <c r="DL528" s="216" t="s">
        <v>14</v>
      </c>
      <c r="DM528" s="201" t="b">
        <f>ППД5[[#This Row],[Отделка CRM]]=ППД5[[#This Row],[Отделка]]</f>
        <v>1</v>
      </c>
      <c r="DN528" s="203">
        <v>5407412</v>
      </c>
      <c r="DO52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28" s="207" t="b">
        <f>IF(AND(ППД5[[#This Row],[Статус]]="свободно",ППД5[[#This Row],[Итоговая сумма скидки]]&lt;&gt;0),FALSE,TRUE)</f>
        <v>1</v>
      </c>
      <c r="DQ528" s="240">
        <f>_xlfn.XLOOKUP(ППД5[[#This Row],[№]],Юрист[№ кв],Юрист[Дата подачи на регистрацию]," ",0,-1)</f>
        <v>45393</v>
      </c>
      <c r="DR528" s="115" t="str">
        <f>_xlfn.XLOOKUP(ППД5[[#This Row],[№]],Юрист[№ кв],Юрист[МОП],"",0,-1)</f>
        <v>Дик</v>
      </c>
      <c r="DS528" s="333" t="s">
        <v>3348</v>
      </c>
      <c r="DT528" s="333" t="s">
        <v>3349</v>
      </c>
      <c r="DU528" s="333">
        <v>41</v>
      </c>
      <c r="DV528" s="111"/>
    </row>
    <row r="529" spans="1:126" hidden="1" x14ac:dyDescent="0.25">
      <c r="A529" s="112">
        <v>527</v>
      </c>
      <c r="B529" s="111" t="s">
        <v>2</v>
      </c>
      <c r="C529" s="111">
        <v>18</v>
      </c>
      <c r="D529" s="115">
        <v>3</v>
      </c>
      <c r="E529" s="111">
        <v>0</v>
      </c>
      <c r="F529" s="105">
        <v>7.2</v>
      </c>
      <c r="G529" s="105"/>
      <c r="H529" s="105"/>
      <c r="I529" s="94">
        <f>SUM(ППД5[[#This Row],[Комната 1]:[Комната 3]])</f>
        <v>7.2</v>
      </c>
      <c r="J529" s="105">
        <v>5.17</v>
      </c>
      <c r="K529" s="105">
        <v>3.71</v>
      </c>
      <c r="L529" s="105"/>
      <c r="M529" s="105"/>
      <c r="N529" s="105">
        <v>6.96</v>
      </c>
      <c r="O529" s="105">
        <v>2.92</v>
      </c>
      <c r="P529" s="105"/>
      <c r="Q529" s="105"/>
      <c r="R529" s="105">
        <f>SUM(ППД5[[#This Row],[Лоджия 1]:[Лоджия 3]])</f>
        <v>2.92</v>
      </c>
      <c r="S529" s="8">
        <f>ROUND(SUM(ППД5[[#This Row],[Площадь по проекту жилая]:[Лоджия 3]]),2)</f>
        <v>25.96</v>
      </c>
      <c r="T529" s="8">
        <f>ROUND(ППД5[[#This Row],[Площадь по проекту(общая)]]-ППД5[[#This Row],[Летние]],2)</f>
        <v>23.04</v>
      </c>
      <c r="U529" s="91">
        <f>ROUND(ППД5[[#This Row],[Площадь по проекту(общая)]]-(SUM(ППД5[[#This Row],[Лоджия 1]:[Лоджия 3]])/2),2)</f>
        <v>24.5</v>
      </c>
      <c r="V529" s="91">
        <f>IF(ППД5[[#This Row],[Статус]]="продажа",ППД5[[#This Row],[Расчетная проектная площадь]],ППД5[[#This Row],[Расчетная ТП площадь]])</f>
        <v>24.6</v>
      </c>
      <c r="W529" s="91">
        <v>7.2</v>
      </c>
      <c r="X529" s="91"/>
      <c r="Y529" s="91"/>
      <c r="Z529" s="91">
        <f>SUM(ППД5[[#This Row],[ТП Комната 1]:[ТП Комната 3]])</f>
        <v>7.2</v>
      </c>
      <c r="AA529" s="91">
        <v>5.5</v>
      </c>
      <c r="AB529" s="91">
        <v>3.8</v>
      </c>
      <c r="AC529" s="91"/>
      <c r="AD529" s="91"/>
      <c r="AE529" s="91">
        <v>6.6</v>
      </c>
      <c r="AF529" s="91">
        <v>1.5</v>
      </c>
      <c r="AG529" s="91"/>
      <c r="AH529" s="91"/>
      <c r="AI529" s="91">
        <f>SUM(ППД5[[#This Row],[ТП Лоджия 1]:[ТП Лоджия 3]])</f>
        <v>1.5</v>
      </c>
      <c r="AJ529" s="95">
        <v>3</v>
      </c>
      <c r="AK529" s="91">
        <f>SUM(ППД5[[#This Row],[Площадь по ТП жилая]:[ТП Лоджия 3]])-ППД5[[#This Row],[ТП Летние]]+ППД5[[#This Row],[кроме того прочая
(без коэффициента)]]</f>
        <v>26.1</v>
      </c>
      <c r="AL529" s="95">
        <f>ППД5[[#This Row],[ТП Площадь без летних]]+(ППД5[[#This Row],[ТП Летние]])</f>
        <v>24.6</v>
      </c>
      <c r="AM529" s="91">
        <f>ППД5[[#This Row],[ТП общая S]]-ППД5[[#This Row],[кроме того прочая
(без коэффициента)]]</f>
        <v>23.1</v>
      </c>
      <c r="AN529" s="95">
        <f>SUM(ППД5[[#This Row],[ТП Кухня]:[ТП Коридор]])</f>
        <v>15.9</v>
      </c>
      <c r="AO529" s="91">
        <f>ППД5[[#This Row],[Расчетная ТП площадь]]-ППД5[[#This Row],[Расчетная проектная площадь]]</f>
        <v>0.10000000000000142</v>
      </c>
      <c r="AP529" s="335">
        <f>ППД5[[#This Row],[Расчетная ТП площадь]]/ППД5[[#This Row],[Расчетная проектная площадь]]-1</f>
        <v>4.0816326530612734E-3</v>
      </c>
      <c r="AQ529" s="91">
        <f>ППД5[[#This Row],[% расхождения]]*ППД5[[#This Row],[Стоимость до скидки]]</f>
        <v>14347.755102040988</v>
      </c>
      <c r="AR529" s="91">
        <f>VLOOKUP(ППД5[[#This Row],[№]],наценкад5[],COLUMN(наценкад5[[#This Row],[Цена м2 с учетом всех K]]),0)</f>
        <v>91105.56</v>
      </c>
      <c r="AS529" s="8">
        <f>ППД5[[#This Row],[м2 после К]]*5%</f>
        <v>4555.2780000000002</v>
      </c>
      <c r="AT529" s="8">
        <f>ППД5[[#This Row],[м2 после К]]+ППД5[[#This Row],[Повышение 16.08.23 - 5%]]</f>
        <v>95660.838000000003</v>
      </c>
      <c r="AU529" s="93">
        <f>ППД5[[#This Row],[Фикс 16.08.23]]*3%</f>
        <v>2869.8251399999999</v>
      </c>
      <c r="AV529" s="93">
        <f>ППД5[[#This Row],[Фикс 16.08.23]]+ППД5[[#This Row],[Повышение 29.08.23 - 3%]]</f>
        <v>98530.663140000004</v>
      </c>
      <c r="AW529" s="93">
        <f>ППД5[[#This Row],[Фикс 29.08.23]]*9%</f>
        <v>8867.7596826000008</v>
      </c>
      <c r="AX529" s="93">
        <f>ППД5[[#This Row],[Фикс 29.08.23]]+ППД5[[#This Row],[Повышение 06.09.23 СТ и 1К]]</f>
        <v>107398.4228226</v>
      </c>
      <c r="AY529" s="93"/>
      <c r="AZ529" s="93">
        <f>ППД5[[#This Row],[Повышение 23.10.23  В4 ]]+ППД5[[#This Row],[Фикс 06.09.23]]</f>
        <v>107398.4228226</v>
      </c>
      <c r="BA529" s="93"/>
      <c r="BB529" s="93">
        <f>ППД5[[#This Row],[Повышение 8.11.23 1К 5%]]+ППД5[[#This Row],[Фикс 23.10.23]]</f>
        <v>107398.4228226</v>
      </c>
      <c r="BC529" s="93"/>
      <c r="BD529" s="93">
        <f>ППД5[[#This Row],[Корректировка 24.11.23 - 1К В5, 2К А2, №233]]+ППД5[[#This Row],[Фикс 8.11.23]]</f>
        <v>107398.4228226</v>
      </c>
      <c r="BE529" s="93">
        <f>ППД5[[#This Row],[Фикс 8.11.24]]*1%</f>
        <v>1073.9842282259999</v>
      </c>
      <c r="BF529" s="93">
        <f>ППД5[[#This Row],[Наценка за отделку 29.12.23 1%]]+ППД5[[#This Row],[Фикс 8.11.24]]</f>
        <v>108472.407050826</v>
      </c>
      <c r="BG529" s="93">
        <f>ППД5[[#This Row],[Фикс 29.12.23]]*5%</f>
        <v>5423.6203525413002</v>
      </c>
      <c r="BH529" s="93">
        <f>ППД5[[#This Row],[Фикс 29.12.23]]+ППД5[[#This Row],[Наценка 10.01.24 5%]]</f>
        <v>113896.0274033673</v>
      </c>
      <c r="BI529" s="93"/>
      <c r="BJ529" s="93">
        <f>ППД5[[#This Row],[Наценка 26.02.24 1 Этаж]]+ППД5[[#This Row],[Фикс 10.01.24]]</f>
        <v>113896.0274033673</v>
      </c>
      <c r="BK529" s="93">
        <f>ППД5[[#This Row],[Фикс 26.02.24]]*3%</f>
        <v>3416.880822101019</v>
      </c>
      <c r="BL529" s="93">
        <f>ППД5[[#This Row],[Фикс 26.02.24]]+ППД5[[#This Row],[Наценка 06.03.24
СТ, 1К - 3%
2К, 3К - 2%]]</f>
        <v>117312.90822546833</v>
      </c>
      <c r="BM529" s="93"/>
      <c r="BN529" s="93">
        <f>ППД5[[#This Row],[Фикс 06.03.24]]+ППД5[[#This Row],[Наценка Г2+500]]</f>
        <v>117312.90822546833</v>
      </c>
      <c r="BO529" s="93"/>
      <c r="BP529" s="93">
        <f>ППД5[[#This Row],[Фикс 13.03.25]]+ППД5[[#This Row],[Наценка 20.03.24
2К, 3К - 2%]]</f>
        <v>117312.90822546833</v>
      </c>
      <c r="BQ529" s="93"/>
      <c r="BR529" s="93">
        <f>ППД5[[#This Row],[Фикс 20.03.24]]+ППД5[[#This Row],[Наценка 08.04.24 
2К: В3 - 150
3К: Г7 +1000]]</f>
        <v>117312.90822546833</v>
      </c>
      <c r="BS529" s="93">
        <f>ППД5[[#This Row],[Фикс 08.04.24]]*1%</f>
        <v>1173.1290822546832</v>
      </c>
      <c r="BT529" s="93">
        <f>ППД5[[#This Row],[Фикс 08.04.24]]+ППД5[[#This Row],[Наценка 16.05.24 1%
А4,А6,Б3,Б6,Б7,В2,В3,В5,В6,Г1,Г3-Г5]]</f>
        <v>118486.03730772302</v>
      </c>
      <c r="BU529" s="93"/>
      <c r="BV529" s="93">
        <f>ППД5[[#This Row],[Фикс 16.05.24]]+ППД5[[#This Row],[Наценка 24.05.24
1% - Б4, Б5,Г2,Г6
2% - А1,А3,А5,Б2,Г7]]</f>
        <v>118486.03730772302</v>
      </c>
      <c r="BW529" s="93">
        <f>ППД5[[#This Row],[Фикс 24.05.24]]*0.5%</f>
        <v>592.43018653861509</v>
      </c>
      <c r="BX529" s="93">
        <f>ППД5[[#This Row],[Наценка 06.06.24
0К: В2,Г3 +0,5%
1К: А7, Б5/4, Г6 +0,5%
3К: В6 +0,5%
1К: А3 +1%]]+ППД5[[#This Row],[Фикс 24.05.24]]</f>
        <v>119078.46749426163</v>
      </c>
      <c r="BY529" s="93"/>
      <c r="BZ529" s="93">
        <f>ППД5[[#This Row],[Фикс 06.06.24]]+ППД5[[#This Row],[13.06.2024
3К - 2%]]</f>
        <v>119078.46749426163</v>
      </c>
      <c r="CA529" s="93">
        <f>2.5%*ППД5[[#This Row],[Фикс 13.06.24]]</f>
        <v>2976.961687356541</v>
      </c>
      <c r="CB529" s="93">
        <f>ППД5[[#This Row],[02.07.2024: Г3 А1 А3 Б5 Б7 Г2 Г6 Б3 Б4 В3 Г7 2,5% ост 0,5-1,5%]]+ППД5[[#This Row],[Фикс 13.06.24]]</f>
        <v>122055.42918161816</v>
      </c>
      <c r="CC529" s="93"/>
      <c r="CD529" s="93">
        <f>ППД5[[#This Row],[Фикс 02.07.24]]+ППД5[[#This Row],[04.09.2024 +500
0К - Б2; 1К - А3;
2К - А6, Б4, В3, Г5]]</f>
        <v>122055.42918161816</v>
      </c>
      <c r="CE529" s="93"/>
      <c r="CF529" s="93">
        <f>ППД5[[#This Row],[Наценка 16.09.2024
1К: А1,В7,Г6/7,Г8 - 2%
2К: А4,А5,А6,Б1,Б6,Б3/4,В3,В4,Г4,Г5 - 4%
3К: 4%]]+ППД5[[#This Row],[Фикс 04.09.24]]</f>
        <v>122055.42918161816</v>
      </c>
      <c r="CG529" s="93">
        <f>ППД5[[#This Row],[Фикс 16.09.2024]]*4%</f>
        <v>4882.2171672647264</v>
      </c>
      <c r="CH529" s="93">
        <f>ППД5[[#This Row],[Фикс 16.09.2024]]+ППД5[[#This Row],[Наценка 01.11.24
СТ: 4%
1К: 34-40м 5%; 40м+ 8%; МГН 1%
2К: 55-70м 6%; 70-73м 7%; 73-76м 8% 
3К: 5%]]</f>
        <v>126937.64634888289</v>
      </c>
      <c r="CI529" s="93">
        <f>ППД5[[#This Row],[Фикс 01.11.24]]*13%</f>
        <v>16501.894025354777</v>
      </c>
      <c r="CJ529" s="93">
        <f>ППД5[[#This Row],[Наценка 06.11 13%]]+ППД5[[#This Row],[Фикс 01.11.24]]</f>
        <v>143439.54037423767</v>
      </c>
      <c r="CK529" s="93">
        <v>35</v>
      </c>
      <c r="CL529" s="93">
        <f>ППД5[[#This Row],[Фикс 06.11.24]]+ППД5[[#This Row],[Наценка 18.12.24 распределение КВ]]</f>
        <v>143474.54037423767</v>
      </c>
      <c r="CM529" s="93"/>
      <c r="CN529" s="93">
        <f>ППД5[[#This Row],[Фикс 18.12.24]]+ППД5[[#This Row],[Наценка 10.02.25 +1%
1К: А3
2К: Б3, В3]]</f>
        <v>143474.54037423767</v>
      </c>
      <c r="CO529" s="93">
        <f>ROUND(ППД5[[#This Row],[Фикс 10.02.25]],2)</f>
        <v>143474.54</v>
      </c>
      <c r="CP52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3515200</v>
      </c>
      <c r="CQ529" s="93">
        <f>ROUNDUP(ППД5[[#This Row],[Стоимость до скидки]]+ППД5[[#This Row],[Сумма доплаты]],-2)</f>
        <v>3529600</v>
      </c>
      <c r="CR529" s="68"/>
      <c r="CS529" s="90"/>
      <c r="CT529" s="68">
        <f>ППД5[[#This Row],[Стоимость до скидки]]*ППД5[[#This Row],[Скидка %]]+ППД5[[#This Row],[Скидка фиксированная]]</f>
        <v>0</v>
      </c>
      <c r="CU529" s="3">
        <f>ППД5[[#This Row],[Стоимость ОН без отделки со скидкой]]/ППД5[[#This Row],[Расчетная проектная площадь]]</f>
        <v>143477.55102040817</v>
      </c>
      <c r="CV529" s="3">
        <f>ROUND(ППД5[[#This Row],[Стоимость до скидки]]-ППД5[[#This Row],[Итоговая сумма скидки]],2)</f>
        <v>3515200</v>
      </c>
      <c r="CW52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29" s="197"/>
      <c r="CY529" s="332">
        <f>ППД5[[#This Row],[Расхождение]]/ППД5[[#This Row],[Расчетная проектная площадь]]</f>
        <v>4.0816326530612821E-3</v>
      </c>
      <c r="CZ52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6.0000000000001386E-2</v>
      </c>
      <c r="DA529" s="3">
        <f>ППД5[[#This Row],[Цена м2 без отделки со скидкой]]+ППД5[[#This Row],[Стоимость отделки]]</f>
        <v>143477.55102040817</v>
      </c>
      <c r="DB529" s="3">
        <f>ППД5[[#This Row],[Стоимость квартиры с отделкой]]-ППД5[[#This Row],[Стоимость ОН без отделки со скидкой]]</f>
        <v>0</v>
      </c>
      <c r="DC529" s="3">
        <f>ППД5[[#This Row],[Цена м2 с отделкой]]*ППД5[[#This Row],[Расчетная проектная площадь]]</f>
        <v>3515200</v>
      </c>
      <c r="DD529" s="3"/>
      <c r="DF529" s="155" t="s">
        <v>15</v>
      </c>
      <c r="DG529" s="245" t="s">
        <v>15</v>
      </c>
      <c r="DH529" s="100" t="b">
        <f>EXACT(ППД5[[#This Row],[Статусы CRM]],ППД5[[#This Row],[Статус]])</f>
        <v>1</v>
      </c>
      <c r="DI529" s="213" t="s">
        <v>701</v>
      </c>
      <c r="DJ529" s="204"/>
      <c r="DK529" s="111" t="s">
        <v>763</v>
      </c>
      <c r="DL529" s="216" t="s">
        <v>12</v>
      </c>
      <c r="DM529" s="201" t="b">
        <f>ППД5[[#This Row],[Отделка CRM]]=ППД5[[#This Row],[Отделка]]</f>
        <v>1</v>
      </c>
      <c r="DN529" s="203">
        <v>3515200</v>
      </c>
      <c r="DO52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29" s="207" t="b">
        <f>IF(AND(ППД5[[#This Row],[Статус]]="свободно",ППД5[[#This Row],[Итоговая сумма скидки]]&lt;&gt;0),FALSE,TRUE)</f>
        <v>1</v>
      </c>
      <c r="DQ529" s="240" t="str">
        <f>_xlfn.XLOOKUP(ППД5[[#This Row],[№]],Юрист[№ кв],Юрист[Дата подачи на регистрацию]," ",0,-1)</f>
        <v xml:space="preserve"> </v>
      </c>
      <c r="DR529" s="115" t="str">
        <f>_xlfn.XLOOKUP(ППД5[[#This Row],[№]],Юрист[№ кв],Юрист[МОП],"",0,-1)</f>
        <v/>
      </c>
      <c r="DS529" s="333" t="s">
        <v>3350</v>
      </c>
      <c r="DT529" s="333" t="s">
        <v>3351</v>
      </c>
      <c r="DU529" s="333">
        <v>23.1</v>
      </c>
      <c r="DV529" s="111"/>
    </row>
    <row r="530" spans="1:126" hidden="1" x14ac:dyDescent="0.25">
      <c r="A530" s="112">
        <v>528</v>
      </c>
      <c r="B530" s="111" t="s">
        <v>2</v>
      </c>
      <c r="C530" s="111">
        <v>18</v>
      </c>
      <c r="D530" s="115">
        <v>4</v>
      </c>
      <c r="E530" s="111">
        <v>2</v>
      </c>
      <c r="F530" s="105">
        <v>14.48</v>
      </c>
      <c r="G530" s="105">
        <v>11.42</v>
      </c>
      <c r="H530" s="105"/>
      <c r="I530" s="94">
        <f>SUM(ППД5[[#This Row],[Комната 1]:[Комната 3]])</f>
        <v>25.9</v>
      </c>
      <c r="J530" s="105">
        <v>15.86</v>
      </c>
      <c r="K530" s="105">
        <v>3.01</v>
      </c>
      <c r="L530" s="105">
        <v>2.67</v>
      </c>
      <c r="M530" s="105"/>
      <c r="N530" s="105">
        <v>9.44</v>
      </c>
      <c r="O530" s="105">
        <v>2.72</v>
      </c>
      <c r="P530" s="105"/>
      <c r="Q530" s="105"/>
      <c r="R530" s="105">
        <f>SUM(ППД5[[#This Row],[Лоджия 1]:[Лоджия 3]])</f>
        <v>2.72</v>
      </c>
      <c r="S530" s="8">
        <f>ROUND(SUM(ППД5[[#This Row],[Площадь по проекту жилая]:[Лоджия 3]]),2)</f>
        <v>59.6</v>
      </c>
      <c r="T530" s="8">
        <f>ROUND(ППД5[[#This Row],[Площадь по проекту(общая)]]-ППД5[[#This Row],[Летние]],2)</f>
        <v>56.88</v>
      </c>
      <c r="U530" s="91">
        <f>ROUND(ППД5[[#This Row],[Площадь по проекту(общая)]]-(SUM(ППД5[[#This Row],[Лоджия 1]:[Лоджия 3]])/2),2)</f>
        <v>58.24</v>
      </c>
      <c r="V530" s="91">
        <f>IF(ППД5[[#This Row],[Статус]]="продажа",ППД5[[#This Row],[Расчетная проектная площадь]],ППД5[[#This Row],[Расчетная ТП площадь]])</f>
        <v>58.24</v>
      </c>
      <c r="W530" s="91">
        <v>14.4</v>
      </c>
      <c r="X530" s="91">
        <v>11.4</v>
      </c>
      <c r="Y530" s="91"/>
      <c r="Z530" s="91">
        <f>SUM(ППД5[[#This Row],[ТП Комната 1]:[ТП Комната 3]])</f>
        <v>25.8</v>
      </c>
      <c r="AA530" s="91">
        <v>15.7</v>
      </c>
      <c r="AB530" s="91">
        <v>2.6</v>
      </c>
      <c r="AC530" s="91">
        <v>3</v>
      </c>
      <c r="AD530" s="91"/>
      <c r="AE530" s="91">
        <v>9.4</v>
      </c>
      <c r="AF530" s="91">
        <v>1.4</v>
      </c>
      <c r="AG530" s="91"/>
      <c r="AH530" s="91"/>
      <c r="AI530" s="91">
        <f>SUM(ППД5[[#This Row],[ТП Лоджия 1]:[ТП Лоджия 3]])</f>
        <v>1.4</v>
      </c>
      <c r="AJ530" s="95">
        <v>2.8</v>
      </c>
      <c r="AK530" s="91">
        <f>SUM(ППД5[[#This Row],[Площадь по ТП жилая]:[ТП Лоджия 3]])-ППД5[[#This Row],[ТП Летние]]+ППД5[[#This Row],[кроме того прочая
(без коэффициента)]]</f>
        <v>59.3</v>
      </c>
      <c r="AL530" s="95">
        <f>ППД5[[#This Row],[ТП Площадь без летних]]+(ППД5[[#This Row],[ТП Летние]])</f>
        <v>57.9</v>
      </c>
      <c r="AM530" s="91">
        <f>ППД5[[#This Row],[ТП общая S]]-ППД5[[#This Row],[кроме того прочая
(без коэффициента)]]</f>
        <v>56.5</v>
      </c>
      <c r="AN530" s="95">
        <f>SUM(ППД5[[#This Row],[ТП Кухня]:[ТП Коридор]])</f>
        <v>30.700000000000003</v>
      </c>
      <c r="AO530" s="91">
        <f>ППД5[[#This Row],[Расчетная ТП площадь]]-ППД5[[#This Row],[Расчетная проектная площадь]]</f>
        <v>-0.34000000000000341</v>
      </c>
      <c r="AP530" s="335">
        <f>ППД5[[#This Row],[Расчетная ТП площадь]]/ППД5[[#This Row],[Расчетная проектная площадь]]-1</f>
        <v>-5.8379120879121782E-3</v>
      </c>
      <c r="AQ530" s="91">
        <f>ППД5[[#This Row],[% расхождения]]*ППД5[[#This Row],[Стоимость до скидки]]</f>
        <v>-41220.329670330306</v>
      </c>
      <c r="AR530" s="91">
        <f>VLOOKUP(ППД5[[#This Row],[№]],наценкад5[],COLUMN(наценкад5[[#This Row],[Цена м2 с учетом всех K]]),0)</f>
        <v>79535.67300000001</v>
      </c>
      <c r="AS530" s="8">
        <f>ППД5[[#This Row],[м2 после К]]*5%</f>
        <v>3976.7836500000008</v>
      </c>
      <c r="AT530" s="8">
        <f>ППД5[[#This Row],[м2 после К]]+ППД5[[#This Row],[Повышение 16.08.23 - 5%]]</f>
        <v>83512.456650000007</v>
      </c>
      <c r="AU530" s="93">
        <f>ППД5[[#This Row],[Фикс 16.08.23]]*3%</f>
        <v>2505.3736994999999</v>
      </c>
      <c r="AV530" s="93">
        <f>ППД5[[#This Row],[Фикс 16.08.23]]+ППД5[[#This Row],[Повышение 29.08.23 - 3%]]</f>
        <v>86017.8303495</v>
      </c>
      <c r="AW530" s="93"/>
      <c r="AX530" s="93">
        <f>ППД5[[#This Row],[Фикс 29.08.23]]+ППД5[[#This Row],[Повышение 06.09.23 СТ и 1К]]</f>
        <v>86017.8303495</v>
      </c>
      <c r="AY530" s="93"/>
      <c r="AZ530" s="93">
        <f>ППД5[[#This Row],[Повышение 23.10.23  В4 ]]+ППД5[[#This Row],[Фикс 06.09.23]]</f>
        <v>86017.8303495</v>
      </c>
      <c r="BA530" s="93"/>
      <c r="BB530" s="93">
        <f>ППД5[[#This Row],[Повышение 8.11.23 1К 5%]]+ППД5[[#This Row],[Фикс 23.10.23]]</f>
        <v>86017.8303495</v>
      </c>
      <c r="BC530" s="93"/>
      <c r="BD530" s="93">
        <f>ППД5[[#This Row],[Корректировка 24.11.23 - 1К В5, 2К А2, №233]]+ППД5[[#This Row],[Фикс 8.11.23]]</f>
        <v>86017.8303495</v>
      </c>
      <c r="BE530" s="93">
        <f>ППД5[[#This Row],[Фикс 8.11.24]]*1%</f>
        <v>860.17830349500002</v>
      </c>
      <c r="BF530" s="93">
        <f>ППД5[[#This Row],[Наценка за отделку 29.12.23 1%]]+ППД5[[#This Row],[Фикс 8.11.24]]</f>
        <v>86878.008652995006</v>
      </c>
      <c r="BG530" s="93">
        <f>ППД5[[#This Row],[Фикс 29.12.23]]*5%</f>
        <v>4343.9004326497507</v>
      </c>
      <c r="BH530" s="93">
        <f>ППД5[[#This Row],[Фикс 29.12.23]]+ППД5[[#This Row],[Наценка 10.01.24 5%]]</f>
        <v>91221.909085644758</v>
      </c>
      <c r="BI530" s="93"/>
      <c r="BJ530" s="93">
        <f>ППД5[[#This Row],[Наценка 26.02.24 1 Этаж]]+ППД5[[#This Row],[Фикс 10.01.24]]</f>
        <v>91221.909085644758</v>
      </c>
      <c r="BK530" s="93">
        <f>ППД5[[#This Row],[Фикс 26.02.24]]*2%</f>
        <v>1824.4381817128951</v>
      </c>
      <c r="BL530" s="93">
        <f>ППД5[[#This Row],[Фикс 26.02.24]]+ППД5[[#This Row],[Наценка 06.03.24
СТ, 1К - 3%
2К, 3К - 2%]]</f>
        <v>93046.347267357647</v>
      </c>
      <c r="BM530" s="93"/>
      <c r="BN530" s="93">
        <f>ППД5[[#This Row],[Фикс 06.03.24]]+ППД5[[#This Row],[Наценка Г2+500]]</f>
        <v>93046.347267357647</v>
      </c>
      <c r="BO530" s="93">
        <f>ППД5[[#This Row],[Фикс 13.03.25]]*2%</f>
        <v>1860.9269453471529</v>
      </c>
      <c r="BP530" s="93">
        <f>ППД5[[#This Row],[Фикс 13.03.25]]+ППД5[[#This Row],[Наценка 20.03.24
2К, 3К - 2%]]</f>
        <v>94907.274212704797</v>
      </c>
      <c r="BQ530" s="93"/>
      <c r="BR530" s="93">
        <f>ППД5[[#This Row],[Фикс 20.03.24]]+ППД5[[#This Row],[Наценка 08.04.24 
2К: В3 - 150
3К: Г7 +1000]]</f>
        <v>94907.274212704797</v>
      </c>
      <c r="BS530" s="93">
        <f>ППД5[[#This Row],[Фикс 08.04.24]]*1%</f>
        <v>949.07274212704795</v>
      </c>
      <c r="BT530" s="93">
        <f>ППД5[[#This Row],[Фикс 08.04.24]]+ППД5[[#This Row],[Наценка 16.05.24 1%
А4,А6,Б3,Б6,Б7,В2,В3,В5,В6,Г1,Г3-Г5]]</f>
        <v>95856.346954831839</v>
      </c>
      <c r="BU530" s="93"/>
      <c r="BV530" s="93">
        <f>ППД5[[#This Row],[Фикс 16.05.24]]+ППД5[[#This Row],[Наценка 24.05.24
1% - Б4, Б5,Г2,Г6
2% - А1,А3,А5,Б2,Г7]]</f>
        <v>95856.346954831839</v>
      </c>
      <c r="BW530" s="93"/>
      <c r="BX530" s="93">
        <f>ППД5[[#This Row],[Наценка 06.06.24
0К: В2,Г3 +0,5%
1К: А7, Б5/4, Г6 +0,5%
3К: В6 +0,5%
1К: А3 +1%]]+ППД5[[#This Row],[Фикс 24.05.24]]</f>
        <v>95856.346954831839</v>
      </c>
      <c r="BY530" s="93"/>
      <c r="BZ530" s="93">
        <f>ППД5[[#This Row],[Фикс 06.06.24]]+ППД5[[#This Row],[13.06.2024
3К - 2%]]</f>
        <v>95856.346954831839</v>
      </c>
      <c r="CA530" s="47">
        <f>1.5%*ППД5[[#This Row],[Фикс 13.06.24]]</f>
        <v>1437.8452043224775</v>
      </c>
      <c r="CB530" s="93">
        <f>ППД5[[#This Row],[02.07.2024: Г3 А1 А3 Б5 Б7 Г2 Г6 Б3 Б4 В3 Г7 2,5% ост 0,5-1,5%]]+ППД5[[#This Row],[Фикс 13.06.24]]</f>
        <v>97294.192159154321</v>
      </c>
      <c r="CC530" s="93"/>
      <c r="CD530" s="93">
        <f>ППД5[[#This Row],[Фикс 02.07.24]]+ППД5[[#This Row],[04.09.2024 +500
0К - Б2; 1К - А3;
2К - А6, Б4, В3, Г5]]</f>
        <v>97294.192159154321</v>
      </c>
      <c r="CE530" s="93">
        <f>ППД5[[#This Row],[Фикс 04.09.24]]*4%</f>
        <v>3891.7676863661727</v>
      </c>
      <c r="CF530" s="93">
        <f>ППД5[[#This Row],[Наценка 16.09.2024
1К: А1,В7,Г6/7,Г8 - 2%
2К: А4,А5,А6,Б1,Б6,Б3/4,В3,В4,Г4,Г5 - 4%
3К: 4%]]+ППД5[[#This Row],[Фикс 04.09.24]]</f>
        <v>101185.9598455205</v>
      </c>
      <c r="CG530" s="93">
        <f>ППД5[[#This Row],[Фикс 16.09.2024]]*6%</f>
        <v>6071.1575907312299</v>
      </c>
      <c r="CH530" s="93">
        <f>ППД5[[#This Row],[Фикс 16.09.2024]]+ППД5[[#This Row],[Наценка 01.11.24
СТ: 4%
1К: 34-40м 5%; 40м+ 8%; МГН 1%
2К: 55-70м 6%; 70-73м 7%; 73-76м 8% 
3К: 5%]]</f>
        <v>107257.11743625173</v>
      </c>
      <c r="CI530" s="93">
        <f>ППД5[[#This Row],[Фикс 01.11.24]]*13%</f>
        <v>13943.425266712726</v>
      </c>
      <c r="CJ530" s="93">
        <f>ППД5[[#This Row],[Наценка 06.11 13%]]+ППД5[[#This Row],[Фикс 01.11.24]]</f>
        <v>121200.54270296446</v>
      </c>
      <c r="CK530" s="93">
        <v>35</v>
      </c>
      <c r="CL530" s="93">
        <f>ППД5[[#This Row],[Фикс 06.11.24]]+ППД5[[#This Row],[Наценка 18.12.24 распределение КВ]]</f>
        <v>121235.54270296446</v>
      </c>
      <c r="CM530" s="93"/>
      <c r="CN530" s="93">
        <f>ППД5[[#This Row],[Фикс 18.12.24]]+ППД5[[#This Row],[Наценка 10.02.25 +1%
1К: А3
2К: Б3, В3]]</f>
        <v>121235.54270296446</v>
      </c>
      <c r="CO530" s="93">
        <f>ROUND(ППД5[[#This Row],[Фикс 10.02.25]],2)</f>
        <v>121235.54</v>
      </c>
      <c r="CP53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7060800</v>
      </c>
      <c r="CQ530" s="93">
        <f>ROUNDUP(ППД5[[#This Row],[Стоимость до скидки]]+ППД5[[#This Row],[Сумма доплаты]],-2)</f>
        <v>7019600</v>
      </c>
      <c r="CR530" s="68">
        <v>300000</v>
      </c>
      <c r="CS530" s="90">
        <v>0.03</v>
      </c>
      <c r="CT530" s="68">
        <f>ППД5[[#This Row],[Стоимость до скидки]]*ППД5[[#This Row],[Скидка %]]+ППД5[[#This Row],[Скидка фиксированная]]</f>
        <v>511824</v>
      </c>
      <c r="CU530" s="3">
        <f>ППД5[[#This Row],[Стоимость ОН без отделки со скидкой]]/ППД5[[#This Row],[Расчетная проектная площадь]]</f>
        <v>112448.07692307692</v>
      </c>
      <c r="CV530" s="3">
        <f>ROUND(ППД5[[#This Row],[Стоимость до скидки]]-ППД5[[#This Row],[Итоговая сумма скидки]],2)</f>
        <v>6548976</v>
      </c>
      <c r="CW53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530" s="197">
        <v>25000</v>
      </c>
      <c r="CY530" s="332">
        <f>ППД5[[#This Row],[Расхождение]]/ППД5[[#This Row],[Расчетная проектная площадь]]</f>
        <v>-5.8379120879121461E-3</v>
      </c>
      <c r="CZ53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-0.27999999999999581</v>
      </c>
      <c r="DA530" s="3">
        <f>ППД5[[#This Row],[Цена м2 без отделки со скидкой]]+ППД5[[#This Row],[Стоимость отделки]]</f>
        <v>137448.07692307694</v>
      </c>
      <c r="DB530" s="3">
        <f>ППД5[[#This Row],[Стоимость квартиры с отделкой]]-ППД5[[#This Row],[Стоимость ОН без отделки со скидкой]]</f>
        <v>1456000.0000000009</v>
      </c>
      <c r="DC530" s="3">
        <f>ППД5[[#This Row],[Цена м2 с отделкой]]*ППД5[[#This Row],[Расчетная проектная площадь]]</f>
        <v>8004976.0000000009</v>
      </c>
      <c r="DD530" s="3"/>
      <c r="DE530" s="111" t="s">
        <v>2112</v>
      </c>
      <c r="DF530" s="155" t="s">
        <v>172</v>
      </c>
      <c r="DG530" s="245" t="s">
        <v>172</v>
      </c>
      <c r="DH530" s="100" t="b">
        <f>EXACT(ППД5[[#This Row],[Статусы CRM]],ППД5[[#This Row],[Статус]])</f>
        <v>1</v>
      </c>
      <c r="DI530" s="213" t="s">
        <v>702</v>
      </c>
      <c r="DJ530" s="204"/>
      <c r="DK530" s="111" t="s">
        <v>763</v>
      </c>
      <c r="DL530" s="216" t="s">
        <v>14</v>
      </c>
      <c r="DM530" s="201" t="b">
        <f>ППД5[[#This Row],[Отделка CRM]]=ППД5[[#This Row],[Отделка]]</f>
        <v>1</v>
      </c>
      <c r="DN530" s="203">
        <v>8004976</v>
      </c>
      <c r="DO53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-9.3132257461547852E-10</v>
      </c>
      <c r="DP530" s="207" t="b">
        <f>IF(AND(ППД5[[#This Row],[Статус]]="свободно",ППД5[[#This Row],[Итоговая сумма скидки]]&lt;&gt;0),FALSE,TRUE)</f>
        <v>1</v>
      </c>
      <c r="DQ530" s="240">
        <f>_xlfn.XLOOKUP(ППД5[[#This Row],[№]],Юрист[№ кв],Юрист[Дата подачи на регистрацию]," ",0,-1)</f>
        <v>45737</v>
      </c>
      <c r="DR530" s="115" t="str">
        <f>_xlfn.XLOOKUP(ППД5[[#This Row],[№]],Юрист[№ кв],Юрист[МОП],"",0,-1)</f>
        <v>Никишов</v>
      </c>
      <c r="DS530" s="333" t="s">
        <v>3352</v>
      </c>
      <c r="DT530" s="333" t="s">
        <v>3353</v>
      </c>
      <c r="DU530" s="333">
        <v>56.5</v>
      </c>
      <c r="DV530" s="111"/>
    </row>
    <row r="531" spans="1:126" hidden="1" x14ac:dyDescent="0.25">
      <c r="A531" s="112">
        <v>529</v>
      </c>
      <c r="B531" s="111" t="s">
        <v>2</v>
      </c>
      <c r="C531" s="111">
        <v>18</v>
      </c>
      <c r="D531" s="115">
        <v>5</v>
      </c>
      <c r="E531" s="111">
        <v>2</v>
      </c>
      <c r="F531" s="105">
        <v>15.41</v>
      </c>
      <c r="G531" s="105">
        <v>12.78</v>
      </c>
      <c r="H531" s="105"/>
      <c r="I531" s="94">
        <f>SUM(ППД5[[#This Row],[Комната 1]:[Комната 3]])</f>
        <v>28.189999999999998</v>
      </c>
      <c r="J531" s="105">
        <v>13.45</v>
      </c>
      <c r="K531" s="105">
        <v>3.7</v>
      </c>
      <c r="L531" s="105">
        <v>2.72</v>
      </c>
      <c r="M531" s="105"/>
      <c r="N531" s="105">
        <v>8.2200000000000006</v>
      </c>
      <c r="O531" s="105">
        <v>3.03</v>
      </c>
      <c r="P531" s="105"/>
      <c r="Q531" s="105"/>
      <c r="R531" s="105">
        <f>SUM(ППД5[[#This Row],[Лоджия 1]:[Лоджия 3]])</f>
        <v>3.03</v>
      </c>
      <c r="S531" s="8">
        <f>ROUND(SUM(ППД5[[#This Row],[Площадь по проекту жилая]:[Лоджия 3]]),2)</f>
        <v>59.31</v>
      </c>
      <c r="T531" s="8">
        <f>ROUND(ППД5[[#This Row],[Площадь по проекту(общая)]]-ППД5[[#This Row],[Летние]],2)</f>
        <v>56.28</v>
      </c>
      <c r="U531" s="91">
        <f>ROUND(ППД5[[#This Row],[Площадь по проекту(общая)]]-(SUM(ППД5[[#This Row],[Лоджия 1]:[Лоджия 3]])/2),2)</f>
        <v>57.8</v>
      </c>
      <c r="V531" s="91">
        <f>IF(ППД5[[#This Row],[Статус]]="продажа",ППД5[[#This Row],[Расчетная проектная площадь]],ППД5[[#This Row],[Расчетная ТП площадь]])</f>
        <v>57.8</v>
      </c>
      <c r="W531" s="91">
        <v>12.6</v>
      </c>
      <c r="X531" s="91">
        <v>15.4</v>
      </c>
      <c r="Y531" s="91"/>
      <c r="Z531" s="91">
        <f>SUM(ППД5[[#This Row],[ТП Комната 1]:[ТП Комната 3]])</f>
        <v>28</v>
      </c>
      <c r="AA531" s="91">
        <v>13.4</v>
      </c>
      <c r="AB531" s="91">
        <v>2.7</v>
      </c>
      <c r="AC531" s="91">
        <v>3.7</v>
      </c>
      <c r="AD531" s="91"/>
      <c r="AE531" s="91">
        <v>8</v>
      </c>
      <c r="AF531" s="91">
        <v>1.5</v>
      </c>
      <c r="AG531" s="91"/>
      <c r="AH531" s="91"/>
      <c r="AI531" s="91">
        <f>SUM(ППД5[[#This Row],[ТП Лоджия 1]:[ТП Лоджия 3]])</f>
        <v>1.5</v>
      </c>
      <c r="AJ531" s="95">
        <v>3</v>
      </c>
      <c r="AK531" s="91">
        <f>SUM(ППД5[[#This Row],[Площадь по ТП жилая]:[ТП Лоджия 3]])-ППД5[[#This Row],[ТП Летние]]+ППД5[[#This Row],[кроме того прочая
(без коэффициента)]]</f>
        <v>58.800000000000004</v>
      </c>
      <c r="AL531" s="95">
        <f>ППД5[[#This Row],[ТП Площадь без летних]]+(ППД5[[#This Row],[ТП Летние]])</f>
        <v>57.300000000000004</v>
      </c>
      <c r="AM531" s="91">
        <f>ППД5[[#This Row],[ТП общая S]]-ППД5[[#This Row],[кроме того прочая
(без коэффициента)]]</f>
        <v>55.800000000000004</v>
      </c>
      <c r="AN531" s="95">
        <f>SUM(ППД5[[#This Row],[ТП Кухня]:[ТП Коридор]])</f>
        <v>27.8</v>
      </c>
      <c r="AO531" s="91">
        <f>ППД5[[#This Row],[Расчетная ТП площадь]]-ППД5[[#This Row],[Расчетная проектная площадь]]</f>
        <v>-0.49999999999999289</v>
      </c>
      <c r="AP531" s="335">
        <f>ППД5[[#This Row],[Расчетная ТП площадь]]/ППД5[[#This Row],[Расчетная проектная площадь]]-1</f>
        <v>-8.650519031141779E-3</v>
      </c>
      <c r="AQ531" s="91">
        <f>ППД5[[#This Row],[% расхождения]]*ППД5[[#This Row],[Стоимость до скидки]]</f>
        <v>-42800.135034601633</v>
      </c>
      <c r="AR531" s="91">
        <f>VLOOKUP(ППД5[[#This Row],[№]],наценкад5[],COLUMN(наценкад5[[#This Row],[Цена м2 с учетом всех K]]),0)</f>
        <v>79149.577499999999</v>
      </c>
      <c r="AS531" s="8">
        <f>ППД5[[#This Row],[м2 после К]]*5%</f>
        <v>3957.4788750000002</v>
      </c>
      <c r="AT531" s="8">
        <f>ППД5[[#This Row],[м2 после К]]+ППД5[[#This Row],[Повышение 16.08.23 - 5%]]</f>
        <v>83107.056375</v>
      </c>
      <c r="AU531" s="93">
        <f>ППД5[[#This Row],[Фикс 16.08.23]]*3%</f>
        <v>2493.2116912500001</v>
      </c>
      <c r="AV531" s="93">
        <f>ППД5[[#This Row],[Фикс 16.08.23]]+ППД5[[#This Row],[Повышение 29.08.23 - 3%]]</f>
        <v>85600.268066250006</v>
      </c>
      <c r="AW531" s="93"/>
      <c r="AX531" s="93">
        <f>ППД5[[#This Row],[Фикс 29.08.23]]+ППД5[[#This Row],[Повышение 06.09.23 СТ и 1К]]</f>
        <v>85600.268066250006</v>
      </c>
      <c r="AY531" s="93"/>
      <c r="AZ531" s="93">
        <f>ППД5[[#This Row],[Повышение 23.10.23  В4 ]]+ППД5[[#This Row],[Фикс 06.09.23]]</f>
        <v>85600.268066250006</v>
      </c>
      <c r="BA531" s="93"/>
      <c r="BB531" s="93">
        <f>ППД5[[#This Row],[Повышение 8.11.23 1К 5%]]+ППД5[[#This Row],[Фикс 23.10.23]]</f>
        <v>85600.268066250006</v>
      </c>
      <c r="BC531" s="93"/>
      <c r="BD531" s="93">
        <f>ППД5[[#This Row],[Корректировка 24.11.23 - 1К В5, 2К А2, №233]]+ППД5[[#This Row],[Фикс 8.11.23]]</f>
        <v>85600.268066250006</v>
      </c>
      <c r="BE531" s="93"/>
      <c r="BF531" s="93">
        <f>ППД5[[#This Row],[Наценка за отделку 29.12.23 1%]]+ППД5[[#This Row],[Фикс 8.11.24]]</f>
        <v>85600.268066250006</v>
      </c>
      <c r="BG531" s="93"/>
      <c r="BH531" s="93">
        <f>ППД5[[#This Row],[Фикс 29.12.23]]+ППД5[[#This Row],[Наценка 10.01.24 5%]]</f>
        <v>85600.268066250006</v>
      </c>
      <c r="BI531" s="93"/>
      <c r="BJ531" s="93">
        <f>ППД5[[#This Row],[Наценка 26.02.24 1 Этаж]]+ППД5[[#This Row],[Фикс 10.01.24]]</f>
        <v>85600.268066250006</v>
      </c>
      <c r="BK531" s="93"/>
      <c r="BL531" s="93">
        <f>ППД5[[#This Row],[Фикс 26.02.24]]+ППД5[[#This Row],[Наценка 06.03.24
СТ, 1К - 3%
2К, 3К - 2%]]</f>
        <v>85600.268066250006</v>
      </c>
      <c r="BM531" s="93"/>
      <c r="BN531" s="93">
        <f>ППД5[[#This Row],[Фикс 06.03.24]]+ППД5[[#This Row],[Наценка Г2+500]]</f>
        <v>85600.268066250006</v>
      </c>
      <c r="BO531" s="93"/>
      <c r="BP531" s="93">
        <f>ППД5[[#This Row],[Фикс 13.03.25]]+ППД5[[#This Row],[Наценка 20.03.24
2К, 3К - 2%]]</f>
        <v>85600.268066250006</v>
      </c>
      <c r="BQ531" s="93"/>
      <c r="BR531" s="93">
        <f>ППД5[[#This Row],[Фикс 20.03.24]]+ППД5[[#This Row],[Наценка 08.04.24 
2К: В3 - 150
3К: Г7 +1000]]</f>
        <v>85600.268066250006</v>
      </c>
      <c r="BS531" s="93"/>
      <c r="BT531" s="93">
        <f>ППД5[[#This Row],[Фикс 08.04.24]]+ППД5[[#This Row],[Наценка 16.05.24 1%
А4,А6,Б3,Б6,Б7,В2,В3,В5,В6,Г1,Г3-Г5]]</f>
        <v>85600.268066250006</v>
      </c>
      <c r="BU531" s="93"/>
      <c r="BV531" s="93">
        <f>ППД5[[#This Row],[Фикс 16.05.24]]+ППД5[[#This Row],[Наценка 24.05.24
1% - Б4, Б5,Г2,Г6
2% - А1,А3,А5,Б2,Г7]]</f>
        <v>85600.268066250006</v>
      </c>
      <c r="BW531" s="93"/>
      <c r="BX531" s="93">
        <f>ППД5[[#This Row],[Наценка 06.06.24
0К: В2,Г3 +0,5%
1К: А7, Б5/4, Г6 +0,5%
3К: В6 +0,5%
1К: А3 +1%]]+ППД5[[#This Row],[Фикс 24.05.24]]</f>
        <v>85600.268066250006</v>
      </c>
      <c r="BY531" s="93"/>
      <c r="BZ531" s="93">
        <f>ППД5[[#This Row],[Фикс 06.06.24]]+ППД5[[#This Row],[13.06.2024
3К - 2%]]</f>
        <v>85600.268066250006</v>
      </c>
      <c r="CA531" s="93"/>
      <c r="CB531" s="93">
        <f>ППД5[[#This Row],[02.07.2024: Г3 А1 А3 Б5 Б7 Г2 Г6 Б3 Б4 В3 Г7 2,5% ост 0,5-1,5%]]+ППД5[[#This Row],[Фикс 13.06.24]]</f>
        <v>85600.268066250006</v>
      </c>
      <c r="CC531" s="93"/>
      <c r="CD531" s="93">
        <f>ППД5[[#This Row],[Фикс 02.07.24]]+ППД5[[#This Row],[04.09.2024 +500
0К - Б2; 1К - А3;
2К - А6, Б4, В3, Г5]]</f>
        <v>85600.268066250006</v>
      </c>
      <c r="CE531" s="93"/>
      <c r="CF531" s="93">
        <f>ППД5[[#This Row],[Наценка 16.09.2024
1К: А1,В7,Г6/7,Г8 - 2%
2К: А4,А5,А6,Б1,Б6,Б3/4,В3,В4,Г4,Г5 - 4%
3К: 4%]]+ППД5[[#This Row],[Фикс 04.09.24]]</f>
        <v>85600.268066250006</v>
      </c>
      <c r="CG531" s="93"/>
      <c r="CH531" s="93">
        <f>ППД5[[#This Row],[Фикс 16.09.2024]]+ППД5[[#This Row],[Наценка 01.11.24
СТ: 4%
1К: 34-40м 5%; 40м+ 8%; МГН 1%
2К: 55-70м 6%; 70-73м 7%; 73-76м 8% 
3К: 5%]]</f>
        <v>85600.268066250006</v>
      </c>
      <c r="CI531" s="93"/>
      <c r="CJ531" s="93">
        <f>ППД5[[#This Row],[Наценка 06.11 13%]]+ППД5[[#This Row],[Фикс 01.11.24]]</f>
        <v>85600.268066250006</v>
      </c>
      <c r="CK531" s="93"/>
      <c r="CL531" s="93">
        <f>ППД5[[#This Row],[Фикс 06.11.24]]+ППД5[[#This Row],[Наценка 18.12.24 распределение КВ]]</f>
        <v>85600.268066250006</v>
      </c>
      <c r="CM531" s="93"/>
      <c r="CN531" s="93">
        <f>ППД5[[#This Row],[Фикс 18.12.24]]+ППД5[[#This Row],[Наценка 10.02.25 +1%
1К: А3
2К: Б3, В3]]</f>
        <v>85600.268066250006</v>
      </c>
      <c r="CO531" s="93">
        <f>ROUND(ППД5[[#This Row],[Фикс 10.02.25]],2)</f>
        <v>85600.27</v>
      </c>
      <c r="CP53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4947695.6100000003</v>
      </c>
      <c r="CQ531" s="93">
        <f>ROUNDUP(ППД5[[#This Row],[Стоимость до скидки]]+ППД5[[#This Row],[Сумма доплаты]],-2)</f>
        <v>4904900</v>
      </c>
      <c r="CR531" s="68"/>
      <c r="CS531" s="90">
        <v>0.03</v>
      </c>
      <c r="CT531" s="68">
        <f>ППД5[[#This Row],[Стоимость до скидки]]*ППД5[[#This Row],[Скидка %]]+ППД5[[#This Row],[Скидка фиксированная]]</f>
        <v>148430.8683</v>
      </c>
      <c r="CU531" s="3">
        <f>ППД5[[#This Row],[Стоимость ОН без отделки со скидкой]]/ППД5[[#This Row],[Расчетная проектная площадь]]</f>
        <v>83032.261937716277</v>
      </c>
      <c r="CV531" s="3">
        <f>ROUND(ППД5[[#This Row],[Стоимость до скидки]]-ППД5[[#This Row],[Итоговая сумма скидки]],2)</f>
        <v>4799264.74</v>
      </c>
      <c r="CW53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531" s="197">
        <v>7500</v>
      </c>
      <c r="CY531" s="332">
        <f>ППД5[[#This Row],[Расхождение]]/ППД5[[#This Row],[Расчетная проектная площадь]]</f>
        <v>-8.650519031141746E-3</v>
      </c>
      <c r="CZ53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-0.28999999999999915</v>
      </c>
      <c r="DA531" s="3">
        <f>ППД5[[#This Row],[Цена м2 без отделки со скидкой]]+ППД5[[#This Row],[Стоимость отделки]]</f>
        <v>90532.261937716277</v>
      </c>
      <c r="DB531" s="3">
        <f>ППД5[[#This Row],[Стоимость квартиры с отделкой]]-ППД5[[#This Row],[Стоимость ОН без отделки со скидкой]]</f>
        <v>433500</v>
      </c>
      <c r="DC531" s="3">
        <f>ППД5[[#This Row],[Цена м2 с отделкой]]*ППД5[[#This Row],[Расчетная проектная площадь]]</f>
        <v>5232764.74</v>
      </c>
      <c r="DD531" s="3"/>
      <c r="DE531" s="111" t="s">
        <v>167</v>
      </c>
      <c r="DF531" s="199" t="s">
        <v>172</v>
      </c>
      <c r="DG531" s="245" t="s">
        <v>172</v>
      </c>
      <c r="DH531" s="100" t="b">
        <f>EXACT(ППД5[[#This Row],[Статусы CRM]],ППД5[[#This Row],[Статус]])</f>
        <v>1</v>
      </c>
      <c r="DI531" s="213" t="s">
        <v>703</v>
      </c>
      <c r="DJ531" s="204"/>
      <c r="DK531" s="111" t="s">
        <v>76</v>
      </c>
      <c r="DL531" s="216" t="s">
        <v>13</v>
      </c>
      <c r="DM531" s="201" t="b">
        <f>ППД5[[#This Row],[Отделка CRM]]=ППД5[[#This Row],[Отделка]]</f>
        <v>1</v>
      </c>
      <c r="DN531" s="203">
        <v>5232764.74</v>
      </c>
      <c r="DO53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31" s="207" t="b">
        <f>IF(AND(ППД5[[#This Row],[Статус]]="свободно",ППД5[[#This Row],[Итоговая сумма скидки]]&lt;&gt;0),FALSE,TRUE)</f>
        <v>1</v>
      </c>
      <c r="DQ531" s="240">
        <f>_xlfn.XLOOKUP(ППД5[[#This Row],[№]],Юрист[№ кв],Юрист[Дата подачи на регистрацию]," ",0,-1)</f>
        <v>45230</v>
      </c>
      <c r="DR531" s="115" t="str">
        <f>_xlfn.XLOOKUP(ППД5[[#This Row],[№]],Юрист[№ кв],Юрист[МОП],"",0,-1)</f>
        <v>Кофанова</v>
      </c>
      <c r="DS531" s="333" t="s">
        <v>3354</v>
      </c>
      <c r="DT531" s="333" t="s">
        <v>3355</v>
      </c>
      <c r="DU531" s="333">
        <v>55.8</v>
      </c>
      <c r="DV531" s="111"/>
    </row>
    <row r="532" spans="1:126" hidden="1" x14ac:dyDescent="0.25">
      <c r="A532" s="112">
        <v>530</v>
      </c>
      <c r="B532" s="111" t="s">
        <v>2</v>
      </c>
      <c r="C532" s="111">
        <v>18</v>
      </c>
      <c r="D532" s="115">
        <v>6</v>
      </c>
      <c r="E532" s="111">
        <v>1</v>
      </c>
      <c r="F532" s="105">
        <v>12.71</v>
      </c>
      <c r="G532" s="105"/>
      <c r="H532" s="105"/>
      <c r="I532" s="94">
        <f>SUM(ППД5[[#This Row],[Комната 1]:[Комната 3]])</f>
        <v>12.71</v>
      </c>
      <c r="J532" s="105">
        <v>12.55</v>
      </c>
      <c r="K532" s="105">
        <v>4.28</v>
      </c>
      <c r="L532" s="105"/>
      <c r="M532" s="105"/>
      <c r="N532" s="105">
        <v>7.34</v>
      </c>
      <c r="O532" s="105">
        <v>2.84</v>
      </c>
      <c r="P532" s="105"/>
      <c r="Q532" s="105"/>
      <c r="R532" s="105">
        <f>SUM(ППД5[[#This Row],[Лоджия 1]:[Лоджия 3]])</f>
        <v>2.84</v>
      </c>
      <c r="S532" s="8">
        <f>ROUND(SUM(ППД5[[#This Row],[Площадь по проекту жилая]:[Лоджия 3]]),2)</f>
        <v>39.72</v>
      </c>
      <c r="T532" s="8">
        <f>ROUND(ППД5[[#This Row],[Площадь по проекту(общая)]]-ППД5[[#This Row],[Летние]],2)</f>
        <v>36.880000000000003</v>
      </c>
      <c r="U532" s="91">
        <f>ROUND(ППД5[[#This Row],[Площадь по проекту(общая)]]-(SUM(ППД5[[#This Row],[Лоджия 1]:[Лоджия 3]])/2),2)</f>
        <v>38.299999999999997</v>
      </c>
      <c r="V532" s="91">
        <f>IF(ППД5[[#This Row],[Статус]]="продажа",ППД5[[#This Row],[Расчетная проектная площадь]],ППД5[[#This Row],[Расчетная ТП площадь]])</f>
        <v>38.299999999999997</v>
      </c>
      <c r="W532" s="91">
        <v>12.6</v>
      </c>
      <c r="X532" s="91"/>
      <c r="Y532" s="91"/>
      <c r="Z532" s="91">
        <f>SUM(ППД5[[#This Row],[ТП Комната 1]:[ТП Комната 3]])</f>
        <v>12.6</v>
      </c>
      <c r="AA532" s="91">
        <v>12.5</v>
      </c>
      <c r="AB532" s="91">
        <v>4</v>
      </c>
      <c r="AC532" s="91"/>
      <c r="AD532" s="91"/>
      <c r="AE532" s="91">
        <v>7.2</v>
      </c>
      <c r="AF532" s="91">
        <v>1.4</v>
      </c>
      <c r="AG532" s="91"/>
      <c r="AH532" s="91"/>
      <c r="AI532" s="91">
        <f>SUM(ППД5[[#This Row],[ТП Лоджия 1]:[ТП Лоджия 3]])</f>
        <v>1.4</v>
      </c>
      <c r="AJ532" s="95">
        <v>2.8</v>
      </c>
      <c r="AK532" s="91">
        <f>SUM(ППД5[[#This Row],[Площадь по ТП жилая]:[ТП Лоджия 3]])-ППД5[[#This Row],[ТП Летние]]+ППД5[[#This Row],[кроме того прочая
(без коэффициента)]]</f>
        <v>39.1</v>
      </c>
      <c r="AL532" s="95">
        <f>ППД5[[#This Row],[ТП Площадь без летних]]+(ППД5[[#This Row],[ТП Летние]])</f>
        <v>37.700000000000003</v>
      </c>
      <c r="AM532" s="91">
        <f>ППД5[[#This Row],[ТП общая S]]-ППД5[[#This Row],[кроме того прочая
(без коэффициента)]]</f>
        <v>36.300000000000004</v>
      </c>
      <c r="AN532" s="95">
        <f>SUM(ППД5[[#This Row],[ТП Кухня]:[ТП Коридор]])</f>
        <v>23.7</v>
      </c>
      <c r="AO532" s="91">
        <f>ППД5[[#This Row],[Расчетная ТП площадь]]-ППД5[[#This Row],[Расчетная проектная площадь]]</f>
        <v>-0.59999999999999432</v>
      </c>
      <c r="AP532" s="335">
        <f>ППД5[[#This Row],[Расчетная ТП площадь]]/ППД5[[#This Row],[Расчетная проектная площадь]]-1</f>
        <v>-1.5665796344647376E-2</v>
      </c>
      <c r="AQ532" s="91">
        <f>ППД5[[#This Row],[% расхождения]]*ППД5[[#This Row],[Стоимость до скидки]]</f>
        <v>-82936.292428197674</v>
      </c>
      <c r="AR532" s="91">
        <f>VLOOKUP(ППД5[[#This Row],[№]],наценкад5[],COLUMN(наценкад5[[#This Row],[Цена м2 с учетом всех K]]),0)</f>
        <v>87601.5</v>
      </c>
      <c r="AS532" s="8">
        <f>ППД5[[#This Row],[м2 после К]]*5%</f>
        <v>4380.0749999999998</v>
      </c>
      <c r="AT532" s="8">
        <f>ППД5[[#This Row],[м2 после К]]+ППД5[[#This Row],[Повышение 16.08.23 - 5%]]</f>
        <v>91981.574999999997</v>
      </c>
      <c r="AU532" s="93">
        <f>ППД5[[#This Row],[Фикс 16.08.23]]*3%</f>
        <v>2759.4472499999997</v>
      </c>
      <c r="AV532" s="93">
        <f>ППД5[[#This Row],[Фикс 16.08.23]]+ППД5[[#This Row],[Повышение 29.08.23 - 3%]]</f>
        <v>94741.022249999995</v>
      </c>
      <c r="AW532" s="93">
        <f>ППД5[[#This Row],[Фикс 29.08.23]]*1%</f>
        <v>947.41022249999992</v>
      </c>
      <c r="AX532" s="93">
        <f>ППД5[[#This Row],[Фикс 29.08.23]]+ППД5[[#This Row],[Повышение 06.09.23 СТ и 1К]]</f>
        <v>95688.43247249999</v>
      </c>
      <c r="AY532" s="93"/>
      <c r="AZ532" s="93">
        <f>ППД5[[#This Row],[Повышение 23.10.23  В4 ]]+ППД5[[#This Row],[Фикс 06.09.23]]</f>
        <v>95688.43247249999</v>
      </c>
      <c r="BA532" s="93">
        <f>ППД5[[#This Row],[Фикс 23.10.23]]*5%</f>
        <v>4784.4216236249995</v>
      </c>
      <c r="BB532" s="93">
        <f>ППД5[[#This Row],[Повышение 8.11.23 1К 5%]]+ППД5[[#This Row],[Фикс 23.10.23]]</f>
        <v>100472.854096125</v>
      </c>
      <c r="BC532" s="93"/>
      <c r="BD532" s="93">
        <f>ППД5[[#This Row],[Корректировка 24.11.23 - 1К В5, 2К А2, №233]]+ППД5[[#This Row],[Фикс 8.11.23]]</f>
        <v>100472.854096125</v>
      </c>
      <c r="BE532" s="93">
        <f>ППД5[[#This Row],[Фикс 8.11.24]]*1%</f>
        <v>1004.72854096125</v>
      </c>
      <c r="BF532" s="93">
        <f>ППД5[[#This Row],[Наценка за отделку 29.12.23 1%]]+ППД5[[#This Row],[Фикс 8.11.24]]</f>
        <v>101477.58263708625</v>
      </c>
      <c r="BG532" s="93">
        <f>ППД5[[#This Row],[Фикс 29.12.23]]*5%</f>
        <v>5073.8791318543126</v>
      </c>
      <c r="BH532" s="93">
        <f>ППД5[[#This Row],[Фикс 29.12.23]]+ППД5[[#This Row],[Наценка 10.01.24 5%]]</f>
        <v>106551.46176894056</v>
      </c>
      <c r="BI532" s="93"/>
      <c r="BJ532" s="93">
        <f>ППД5[[#This Row],[Наценка 26.02.24 1 Этаж]]+ППД5[[#This Row],[Фикс 10.01.24]]</f>
        <v>106551.46176894056</v>
      </c>
      <c r="BK532" s="93">
        <f>ППД5[[#This Row],[Фикс 26.02.24]]*3%</f>
        <v>3196.5438530682168</v>
      </c>
      <c r="BL532" s="93">
        <f>ППД5[[#This Row],[Фикс 26.02.24]]+ППД5[[#This Row],[Наценка 06.03.24
СТ, 1К - 3%
2К, 3К - 2%]]</f>
        <v>109748.00562200877</v>
      </c>
      <c r="BM532" s="93"/>
      <c r="BN532" s="93">
        <f>ППД5[[#This Row],[Фикс 06.03.24]]+ППД5[[#This Row],[Наценка Г2+500]]</f>
        <v>109748.00562200877</v>
      </c>
      <c r="BO532" s="93"/>
      <c r="BP532" s="93">
        <f>ППД5[[#This Row],[Фикс 13.03.25]]+ППД5[[#This Row],[Наценка 20.03.24
2К, 3К - 2%]]</f>
        <v>109748.00562200877</v>
      </c>
      <c r="BQ532" s="93"/>
      <c r="BR532" s="93">
        <f>ППД5[[#This Row],[Фикс 20.03.24]]+ППД5[[#This Row],[Наценка 08.04.24 
2К: В3 - 150
3К: Г7 +1000]]</f>
        <v>109748.00562200877</v>
      </c>
      <c r="BS532" s="93"/>
      <c r="BT532" s="93">
        <f>ППД5[[#This Row],[Фикс 08.04.24]]+ППД5[[#This Row],[Наценка 16.05.24 1%
А4,А6,Б3,Б6,Б7,В2,В3,В5,В6,Г1,Г3-Г5]]</f>
        <v>109748.00562200877</v>
      </c>
      <c r="BU532" s="93">
        <f>ППД5[[#This Row],[Фикс 16.05.24]]*1%</f>
        <v>1097.4800562200878</v>
      </c>
      <c r="BV532" s="93">
        <f>ППД5[[#This Row],[Фикс 16.05.24]]+ППД5[[#This Row],[Наценка 24.05.24
1% - Б4, Б5,Г2,Г6
2% - А1,А3,А5,Б2,Г7]]</f>
        <v>110845.48567822886</v>
      </c>
      <c r="BW532" s="93">
        <f>ППД5[[#This Row],[Фикс 24.05.24]]*0.5%</f>
        <v>554.22742839114426</v>
      </c>
      <c r="BX532" s="93">
        <f>ППД5[[#This Row],[Наценка 06.06.24
0К: В2,Г3 +0,5%
1К: А7, Б5/4, Г6 +0,5%
3К: В6 +0,5%
1К: А3 +1%]]+ППД5[[#This Row],[Фикс 24.05.24]]</f>
        <v>111399.71310661999</v>
      </c>
      <c r="BY532" s="93"/>
      <c r="BZ532" s="93">
        <f>ППД5[[#This Row],[Фикс 06.06.24]]+ППД5[[#This Row],[13.06.2024
3К - 2%]]</f>
        <v>111399.71310661999</v>
      </c>
      <c r="CA532" s="93">
        <f>2.5%*ППД5[[#This Row],[Фикс 13.06.24]]</f>
        <v>2784.9928276655</v>
      </c>
      <c r="CB532" s="93">
        <f>ППД5[[#This Row],[02.07.2024: Г3 А1 А3 Б5 Б7 Г2 Г6 Б3 Б4 В3 Г7 2,5% ост 0,5-1,5%]]+ППД5[[#This Row],[Фикс 13.06.24]]</f>
        <v>114184.70593428549</v>
      </c>
      <c r="CC532" s="93"/>
      <c r="CD532" s="93">
        <f>ППД5[[#This Row],[Фикс 02.07.24]]+ППД5[[#This Row],[04.09.2024 +500
0К - Б2; 1К - А3;
2К - А6, Б4, В3, Г5]]</f>
        <v>114184.70593428549</v>
      </c>
      <c r="CE532" s="93">
        <f>ППД5[[#This Row],[Фикс 04.09.24]]*2%</f>
        <v>2283.6941186857098</v>
      </c>
      <c r="CF532" s="93">
        <f>ППД5[[#This Row],[Наценка 16.09.2024
1К: А1,В7,Г6/7,Г8 - 2%
2К: А4,А5,А6,Б1,Б6,Б3/4,В3,В4,Г4,Г5 - 4%
3К: 4%]]+ППД5[[#This Row],[Фикс 04.09.24]]</f>
        <v>116468.40005297121</v>
      </c>
      <c r="CG532" s="93">
        <f>ППД5[[#This Row],[Фикс 16.09.2024]]*5%</f>
        <v>5823.4200026485605</v>
      </c>
      <c r="CH532" s="93">
        <f>ППД5[[#This Row],[Фикс 16.09.2024]]+ППД5[[#This Row],[Наценка 01.11.24
СТ: 4%
1К: 34-40м 5%; 40м+ 8%; МГН 1%
2К: 55-70м 6%; 70-73м 7%; 73-76м 8% 
3К: 5%]]</f>
        <v>122291.82005561977</v>
      </c>
      <c r="CI532" s="93">
        <f>ППД5[[#This Row],[Фикс 01.11.24]]*13%</f>
        <v>15897.936607230571</v>
      </c>
      <c r="CJ532" s="93">
        <f>ППД5[[#This Row],[Наценка 06.11 13%]]+ППД5[[#This Row],[Фикс 01.11.24]]</f>
        <v>138189.75666285033</v>
      </c>
      <c r="CK532" s="93">
        <v>35</v>
      </c>
      <c r="CL532" s="93">
        <f>ППД5[[#This Row],[Фикс 06.11.24]]+ППД5[[#This Row],[Наценка 18.12.24 распределение КВ]]</f>
        <v>138224.75666285033</v>
      </c>
      <c r="CM532" s="93"/>
      <c r="CN532" s="93">
        <f>ППД5[[#This Row],[Фикс 18.12.24]]+ППД5[[#This Row],[Наценка 10.02.25 +1%
1К: А3
2К: Б3, В3]]</f>
        <v>138224.75666285033</v>
      </c>
      <c r="CO532" s="93">
        <f>ROUND(ППД5[[#This Row],[Фикс 10.02.25]],2)</f>
        <v>138224.76</v>
      </c>
      <c r="CP53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5294100</v>
      </c>
      <c r="CQ532" s="93">
        <f>ROUNDUP(ППД5[[#This Row],[Стоимость до скидки]]+ППД5[[#This Row],[Сумма доплаты]],-2)</f>
        <v>5211200</v>
      </c>
      <c r="CR532" s="68"/>
      <c r="CS532" s="90">
        <v>0.02</v>
      </c>
      <c r="CT532" s="68">
        <f>ППД5[[#This Row],[Стоимость до скидки]]*ППД5[[#This Row],[Скидка %]]+ППД5[[#This Row],[Скидка фиксированная]]</f>
        <v>105882</v>
      </c>
      <c r="CU532" s="3">
        <f>ППД5[[#This Row],[Стоимость ОН без отделки со скидкой]]/ППД5[[#This Row],[Расчетная проектная площадь]]</f>
        <v>135462.61096605746</v>
      </c>
      <c r="CV532" s="3">
        <f>ROUND(ППД5[[#This Row],[Стоимость до скидки]]-ППД5[[#This Row],[Итоговая сумма скидки]],2)</f>
        <v>5188218</v>
      </c>
      <c r="CW53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532" s="197">
        <v>25000</v>
      </c>
      <c r="CY532" s="332">
        <f>ППД5[[#This Row],[Расхождение]]/ППД5[[#This Row],[Расчетная проектная площадь]]</f>
        <v>-1.5665796344647372E-2</v>
      </c>
      <c r="CZ53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-0.47000000000000242</v>
      </c>
      <c r="DA532" s="3">
        <f>ППД5[[#This Row],[Цена м2 без отделки со скидкой]]+ППД5[[#This Row],[Стоимость отделки]]</f>
        <v>160462.61096605746</v>
      </c>
      <c r="DB532" s="3">
        <f>ППД5[[#This Row],[Стоимость квартиры с отделкой]]-ППД5[[#This Row],[Стоимость ОН без отделки со скидкой]]</f>
        <v>957500</v>
      </c>
      <c r="DC532" s="3">
        <f>ППД5[[#This Row],[Цена м2 с отделкой]]*ППД5[[#This Row],[Расчетная проектная площадь]]</f>
        <v>6145718</v>
      </c>
      <c r="DD532" s="3"/>
      <c r="DE532" s="111" t="s">
        <v>767</v>
      </c>
      <c r="DF532" s="199" t="s">
        <v>172</v>
      </c>
      <c r="DG532" s="245" t="s">
        <v>172</v>
      </c>
      <c r="DH532" s="100" t="b">
        <f>EXACT(ППД5[[#This Row],[Статусы CRM]],ППД5[[#This Row],[Статус]])</f>
        <v>1</v>
      </c>
      <c r="DI532" s="213" t="s">
        <v>704</v>
      </c>
      <c r="DJ532" s="204"/>
      <c r="DK532" s="111" t="s">
        <v>763</v>
      </c>
      <c r="DL532" s="216" t="s">
        <v>14</v>
      </c>
      <c r="DM532" s="201" t="b">
        <f>ППД5[[#This Row],[Отделка CRM]]=ППД5[[#This Row],[Отделка]]</f>
        <v>1</v>
      </c>
      <c r="DN532" s="203">
        <v>6145718</v>
      </c>
      <c r="DO53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32" s="207" t="b">
        <f>IF(AND(ППД5[[#This Row],[Статус]]="свободно",ППД5[[#This Row],[Итоговая сумма скидки]]&lt;&gt;0),FALSE,TRUE)</f>
        <v>1</v>
      </c>
      <c r="DQ532" s="240">
        <f>_xlfn.XLOOKUP(ППД5[[#This Row],[№]],Юрист[№ кв],Юрист[Дата подачи на регистрацию]," ",0,-1)</f>
        <v>45741</v>
      </c>
      <c r="DR532" s="115" t="str">
        <f>_xlfn.XLOOKUP(ППД5[[#This Row],[№]],Юрист[№ кв],Юрист[МОП],"",0,-1)</f>
        <v>Арефьев</v>
      </c>
      <c r="DS532" s="333" t="s">
        <v>3356</v>
      </c>
      <c r="DT532" s="333" t="s">
        <v>3357</v>
      </c>
      <c r="DU532" s="333">
        <v>36.299999999999997</v>
      </c>
      <c r="DV532" s="111"/>
    </row>
    <row r="533" spans="1:126" hidden="1" x14ac:dyDescent="0.25">
      <c r="A533" s="112">
        <v>531</v>
      </c>
      <c r="B533" s="111" t="s">
        <v>2</v>
      </c>
      <c r="C533" s="111">
        <v>18</v>
      </c>
      <c r="D533" s="115">
        <v>7</v>
      </c>
      <c r="E533" s="111">
        <v>3</v>
      </c>
      <c r="F533" s="105">
        <v>14.49</v>
      </c>
      <c r="G533" s="105">
        <v>13.98</v>
      </c>
      <c r="H533" s="105">
        <v>11.42</v>
      </c>
      <c r="I533" s="94">
        <f>SUM(ППД5[[#This Row],[Комната 1]:[Комната 3]])</f>
        <v>39.89</v>
      </c>
      <c r="J533" s="105">
        <v>16.670000000000002</v>
      </c>
      <c r="K533" s="105">
        <v>4.1399999999999997</v>
      </c>
      <c r="L533" s="105">
        <v>1.89</v>
      </c>
      <c r="M533" s="105"/>
      <c r="N533" s="105">
        <v>11.31</v>
      </c>
      <c r="O533" s="105">
        <v>2.86</v>
      </c>
      <c r="P533" s="105">
        <v>2.79</v>
      </c>
      <c r="Q533" s="105">
        <v>5.42</v>
      </c>
      <c r="R533" s="105">
        <f>SUM(ППД5[[#This Row],[Лоджия 1]:[Лоджия 3]])</f>
        <v>11.07</v>
      </c>
      <c r="S533" s="8">
        <f>ROUND(SUM(ППД5[[#This Row],[Площадь по проекту жилая]:[Лоджия 3]]),2)</f>
        <v>84.97</v>
      </c>
      <c r="T533" s="8">
        <f>ROUND(ППД5[[#This Row],[Площадь по проекту(общая)]]-ППД5[[#This Row],[Летние]],2)</f>
        <v>73.900000000000006</v>
      </c>
      <c r="U533" s="91">
        <f>ROUND(ППД5[[#This Row],[Площадь по проекту(общая)]]-(SUM(ППД5[[#This Row],[Лоджия 1]:[Лоджия 3]])/2),2)</f>
        <v>79.44</v>
      </c>
      <c r="V533" s="91">
        <f>IF(ППД5[[#This Row],[Статус]]="продажа",ППД5[[#This Row],[Расчетная проектная площадь]],ППД5[[#This Row],[Расчетная ТП площадь]])</f>
        <v>79.44</v>
      </c>
      <c r="W533" s="91">
        <v>11.2</v>
      </c>
      <c r="X533" s="91">
        <v>14.5</v>
      </c>
      <c r="Y533" s="91">
        <v>14</v>
      </c>
      <c r="Z533" s="91">
        <f>SUM(ППД5[[#This Row],[ТП Комната 1]:[ТП Комната 3]])</f>
        <v>39.700000000000003</v>
      </c>
      <c r="AA533" s="91">
        <v>16.3</v>
      </c>
      <c r="AB533" s="91">
        <v>1.9</v>
      </c>
      <c r="AC533" s="91">
        <v>4.0999999999999996</v>
      </c>
      <c r="AD533" s="91"/>
      <c r="AE533" s="91">
        <v>11</v>
      </c>
      <c r="AF533" s="91">
        <v>1.45</v>
      </c>
      <c r="AG533" s="91">
        <v>2.65</v>
      </c>
      <c r="AH533" s="91">
        <v>1.35</v>
      </c>
      <c r="AI533" s="91">
        <f>SUM(ППД5[[#This Row],[ТП Лоджия 1]:[ТП Лоджия 3]])</f>
        <v>5.4499999999999993</v>
      </c>
      <c r="AJ533" s="95">
        <v>10.899999999999999</v>
      </c>
      <c r="AK533" s="91">
        <f>SUM(ППД5[[#This Row],[Площадь по ТП жилая]:[ТП Лоджия 3]])-ППД5[[#This Row],[ТП Летние]]+ППД5[[#This Row],[кроме того прочая
(без коэффициента)]]</f>
        <v>83.9</v>
      </c>
      <c r="AL533" s="95">
        <f>ППД5[[#This Row],[ТП Площадь без летних]]+(ППД5[[#This Row],[ТП Летние]])</f>
        <v>78.45</v>
      </c>
      <c r="AM533" s="91">
        <f>ППД5[[#This Row],[ТП общая S]]-ППД5[[#This Row],[кроме того прочая
(без коэффициента)]]</f>
        <v>73</v>
      </c>
      <c r="AN533" s="95">
        <f>SUM(ППД5[[#This Row],[ТП Кухня]:[ТП Коридор]])</f>
        <v>33.299999999999997</v>
      </c>
      <c r="AO533" s="91">
        <f>ППД5[[#This Row],[Расчетная ТП площадь]]-ППД5[[#This Row],[Расчетная проектная площадь]]</f>
        <v>-0.98999999999999488</v>
      </c>
      <c r="AP533" s="335">
        <f>ППД5[[#This Row],[Расчетная ТП площадь]]/ППД5[[#This Row],[Расчетная проектная площадь]]-1</f>
        <v>-1.2462235649546738E-2</v>
      </c>
      <c r="AQ533" s="91">
        <f>ППД5[[#This Row],[% расхождения]]*ППД5[[#This Row],[Стоимость до скидки]]</f>
        <v>-88343.542296071872</v>
      </c>
      <c r="AR533" s="91">
        <f>VLOOKUP(ППД5[[#This Row],[№]],наценкад5[],COLUMN(наценкад5[[#This Row],[Цена м2 с учетом всех K]]),0)</f>
        <v>77803.110000000015</v>
      </c>
      <c r="AS533" s="8">
        <f>ППД5[[#This Row],[м2 после К]]*5%</f>
        <v>3890.1555000000008</v>
      </c>
      <c r="AT533" s="8">
        <f>ППД5[[#This Row],[м2 после К]]+ППД5[[#This Row],[Повышение 16.08.23 - 5%]]</f>
        <v>81693.265500000009</v>
      </c>
      <c r="AU533" s="93">
        <f>ППД5[[#This Row],[Фикс 16.08.23]]*3%</f>
        <v>2450.7979650000002</v>
      </c>
      <c r="AV533" s="93">
        <f>ППД5[[#This Row],[Фикс 16.08.23]]+ППД5[[#This Row],[Повышение 29.08.23 - 3%]]</f>
        <v>84144.063465000014</v>
      </c>
      <c r="AW533" s="93"/>
      <c r="AX533" s="93">
        <f>ППД5[[#This Row],[Фикс 29.08.23]]+ППД5[[#This Row],[Повышение 06.09.23 СТ и 1К]]</f>
        <v>84144.063465000014</v>
      </c>
      <c r="AY533" s="93"/>
      <c r="AZ533" s="93">
        <f>ППД5[[#This Row],[Повышение 23.10.23  В4 ]]+ППД5[[#This Row],[Фикс 06.09.23]]</f>
        <v>84144.063465000014</v>
      </c>
      <c r="BA533" s="93"/>
      <c r="BB533" s="93">
        <f>ППД5[[#This Row],[Повышение 8.11.23 1К 5%]]+ППД5[[#This Row],[Фикс 23.10.23]]</f>
        <v>84144.063465000014</v>
      </c>
      <c r="BC533" s="93"/>
      <c r="BD533" s="93">
        <f>ППД5[[#This Row],[Корректировка 24.11.23 - 1К В5, 2К А2, №233]]+ППД5[[#This Row],[Фикс 8.11.23]]</f>
        <v>84144.063465000014</v>
      </c>
      <c r="BE533" s="93">
        <f>ППД5[[#This Row],[Фикс 8.11.24]]*1%</f>
        <v>841.44063465000011</v>
      </c>
      <c r="BF533" s="93">
        <f>ППД5[[#This Row],[Наценка за отделку 29.12.23 1%]]+ППД5[[#This Row],[Фикс 8.11.24]]</f>
        <v>84985.504099650017</v>
      </c>
      <c r="BG533" s="93">
        <f>ППД5[[#This Row],[Фикс 29.12.23]]*5%</f>
        <v>4249.2752049825012</v>
      </c>
      <c r="BH533" s="93">
        <f>ППД5[[#This Row],[Фикс 29.12.23]]+ППД5[[#This Row],[Наценка 10.01.24 5%]]</f>
        <v>89234.779304632524</v>
      </c>
      <c r="BI533" s="93"/>
      <c r="BJ533" s="93">
        <f>ППД5[[#This Row],[Наценка 26.02.24 1 Этаж]]+ППД5[[#This Row],[Фикс 10.01.24]]</f>
        <v>89234.779304632524</v>
      </c>
      <c r="BK533" s="93"/>
      <c r="BL533" s="93">
        <f>ППД5[[#This Row],[Фикс 26.02.24]]+ППД5[[#This Row],[Наценка 06.03.24
СТ, 1К - 3%
2К, 3К - 2%]]</f>
        <v>89234.779304632524</v>
      </c>
      <c r="BM533" s="93"/>
      <c r="BN533" s="93">
        <f>ППД5[[#This Row],[Фикс 06.03.24]]+ППД5[[#This Row],[Наценка Г2+500]]</f>
        <v>89234.779304632524</v>
      </c>
      <c r="BO533" s="93"/>
      <c r="BP533" s="93">
        <f>ППД5[[#This Row],[Фикс 13.03.25]]+ППД5[[#This Row],[Наценка 20.03.24
2К, 3К - 2%]]</f>
        <v>89234.779304632524</v>
      </c>
      <c r="BQ533" s="93"/>
      <c r="BR533" s="93">
        <f>ППД5[[#This Row],[Фикс 20.03.24]]+ППД5[[#This Row],[Наценка 08.04.24 
2К: В3 - 150
3К: Г7 +1000]]</f>
        <v>89234.779304632524</v>
      </c>
      <c r="BS533" s="93"/>
      <c r="BT533" s="93">
        <f>ППД5[[#This Row],[Фикс 08.04.24]]+ППД5[[#This Row],[Наценка 16.05.24 1%
А4,А6,Б3,Б6,Б7,В2,В3,В5,В6,Г1,Г3-Г5]]</f>
        <v>89234.779304632524</v>
      </c>
      <c r="BU533" s="93"/>
      <c r="BV533" s="93">
        <f>ППД5[[#This Row],[Фикс 16.05.24]]+ППД5[[#This Row],[Наценка 24.05.24
1% - Б4, Б5,Г2,Г6
2% - А1,А3,А5,Б2,Г7]]</f>
        <v>89234.779304632524</v>
      </c>
      <c r="BW533" s="93"/>
      <c r="BX533" s="93">
        <f>ППД5[[#This Row],[Наценка 06.06.24
0К: В2,Г3 +0,5%
1К: А7, Б5/4, Г6 +0,5%
3К: В6 +0,5%
1К: А3 +1%]]+ППД5[[#This Row],[Фикс 24.05.24]]</f>
        <v>89234.779304632524</v>
      </c>
      <c r="BY533" s="93"/>
      <c r="BZ533" s="93">
        <f>ППД5[[#This Row],[Фикс 06.06.24]]+ППД5[[#This Row],[13.06.2024
3К - 2%]]</f>
        <v>89234.779304632524</v>
      </c>
      <c r="CA533" s="93"/>
      <c r="CB533" s="93">
        <f>ППД5[[#This Row],[02.07.2024: Г3 А1 А3 Б5 Б7 Г2 Г6 Б3 Б4 В3 Г7 2,5% ост 0,5-1,5%]]+ППД5[[#This Row],[Фикс 13.06.24]]</f>
        <v>89234.779304632524</v>
      </c>
      <c r="CC533" s="93"/>
      <c r="CD533" s="93">
        <f>ППД5[[#This Row],[Фикс 02.07.24]]+ППД5[[#This Row],[04.09.2024 +500
0К - Б2; 1К - А3;
2К - А6, Б4, В3, Г5]]</f>
        <v>89234.779304632524</v>
      </c>
      <c r="CE533" s="93"/>
      <c r="CF533" s="93">
        <f>ППД5[[#This Row],[Наценка 16.09.2024
1К: А1,В7,Г6/7,Г8 - 2%
2К: А4,А5,А6,Б1,Б6,Б3/4,В3,В4,Г4,Г5 - 4%
3К: 4%]]+ППД5[[#This Row],[Фикс 04.09.24]]</f>
        <v>89234.779304632524</v>
      </c>
      <c r="CG533" s="93"/>
      <c r="CH533" s="93">
        <f>ППД5[[#This Row],[Фикс 16.09.2024]]+ППД5[[#This Row],[Наценка 01.11.24
СТ: 4%
1К: 34-40м 5%; 40м+ 8%; МГН 1%
2К: 55-70м 6%; 70-73м 7%; 73-76м 8% 
3К: 5%]]</f>
        <v>89234.779304632524</v>
      </c>
      <c r="CI533" s="93"/>
      <c r="CJ533" s="93">
        <f>ППД5[[#This Row],[Наценка 06.11 13%]]+ППД5[[#This Row],[Фикс 01.11.24]]</f>
        <v>89234.779304632524</v>
      </c>
      <c r="CK533" s="93"/>
      <c r="CL533" s="93">
        <f>ППД5[[#This Row],[Фикс 06.11.24]]+ППД5[[#This Row],[Наценка 18.12.24 распределение КВ]]</f>
        <v>89234.779304632524</v>
      </c>
      <c r="CM533" s="93"/>
      <c r="CN533" s="93">
        <f>ППД5[[#This Row],[Фикс 18.12.24]]+ППД5[[#This Row],[Наценка 10.02.25 +1%
1К: А3
2К: Б3, В3]]</f>
        <v>89234.779304632524</v>
      </c>
      <c r="CO533" s="93">
        <f>ROUND(ППД5[[#This Row],[Фикс 10.02.25]],2)</f>
        <v>89234.78</v>
      </c>
      <c r="CP53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7088900</v>
      </c>
      <c r="CQ533" s="93">
        <f>ROUNDUP(ППД5[[#This Row],[Стоимость до скидки]]+ППД5[[#This Row],[Сумма доплаты]],-2)</f>
        <v>7000600</v>
      </c>
      <c r="CR533" s="68"/>
      <c r="CS533" s="90"/>
      <c r="CT533" s="68">
        <f>ППД5[[#This Row],[Стоимость до скидки]]*ППД5[[#This Row],[Скидка %]]+ППД5[[#This Row],[Скидка фиксированная]]</f>
        <v>0</v>
      </c>
      <c r="CU533" s="3">
        <f>ППД5[[#This Row],[Стоимость ОН без отделки со скидкой]]/ППД5[[#This Row],[Расчетная проектная площадь]]</f>
        <v>89235.901309164154</v>
      </c>
      <c r="CV533" s="3">
        <f>ROUND(ППД5[[#This Row],[Стоимость до скидки]]-ППД5[[#This Row],[Итоговая сумма скидки]],2)</f>
        <v>7088900</v>
      </c>
      <c r="CW53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533" s="197">
        <v>7000</v>
      </c>
      <c r="CY533" s="332">
        <f>ППД5[[#This Row],[Расхождение]]/ППД5[[#This Row],[Расчетная проектная площадь]]</f>
        <v>-1.2462235649546764E-2</v>
      </c>
      <c r="CZ53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-0.71000000000000796</v>
      </c>
      <c r="DA533" s="3">
        <f>ППД5[[#This Row],[Цена м2 без отделки со скидкой]]+ППД5[[#This Row],[Стоимость отделки]]</f>
        <v>96235.901309164154</v>
      </c>
      <c r="DB533" s="3">
        <f>ППД5[[#This Row],[Стоимость квартиры с отделкой]]-ППД5[[#This Row],[Стоимость ОН без отделки со скидкой]]</f>
        <v>556080</v>
      </c>
      <c r="DC533" s="3">
        <f>ППД5[[#This Row],[Цена м2 с отделкой]]*ППД5[[#This Row],[Расчетная проектная площадь]]</f>
        <v>7644980</v>
      </c>
      <c r="DD533" s="3" t="s">
        <v>155</v>
      </c>
      <c r="DF533" s="155" t="s">
        <v>172</v>
      </c>
      <c r="DG533" s="245" t="s">
        <v>172</v>
      </c>
      <c r="DH533" s="100" t="b">
        <f>EXACT(ППД5[[#This Row],[Статусы CRM]],ППД5[[#This Row],[Статус]])</f>
        <v>1</v>
      </c>
      <c r="DI533" s="213" t="s">
        <v>705</v>
      </c>
      <c r="DJ533" s="204"/>
      <c r="DK533" s="111" t="s">
        <v>763</v>
      </c>
      <c r="DL533" s="216" t="s">
        <v>780</v>
      </c>
      <c r="DM533" s="201" t="b">
        <f>ППД5[[#This Row],[Отделка CRM]]=ППД5[[#This Row],[Отделка]]</f>
        <v>1</v>
      </c>
      <c r="DN533" s="203">
        <v>7644980</v>
      </c>
      <c r="DO53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33" s="207" t="b">
        <f>IF(AND(ППД5[[#This Row],[Статус]]="свободно",ППД5[[#This Row],[Итоговая сумма скидки]]&lt;&gt;0),FALSE,TRUE)</f>
        <v>1</v>
      </c>
      <c r="DQ533" s="240">
        <f>_xlfn.XLOOKUP(ППД5[[#This Row],[№]],Юрист[№ кв],Юрист[Дата подачи на регистрацию]," ",0,-1)</f>
        <v>45315</v>
      </c>
      <c r="DR533" s="115" t="str">
        <f>_xlfn.XLOOKUP(ППД5[[#This Row],[№]],Юрист[№ кв],Юрист[МОП],"",0,-1)</f>
        <v>Гвоздев</v>
      </c>
      <c r="DS533" s="333" t="s">
        <v>3358</v>
      </c>
      <c r="DT533" s="333" t="s">
        <v>3359</v>
      </c>
      <c r="DU533" s="333">
        <v>73</v>
      </c>
      <c r="DV533" s="111"/>
    </row>
    <row r="534" spans="1:126" hidden="1" x14ac:dyDescent="0.25">
      <c r="A534" s="112">
        <v>532</v>
      </c>
      <c r="B534" s="111" t="s">
        <v>2</v>
      </c>
      <c r="C534" s="111">
        <v>18</v>
      </c>
      <c r="D534" s="115">
        <v>8</v>
      </c>
      <c r="E534" s="111">
        <v>1</v>
      </c>
      <c r="F534" s="105">
        <v>16.79</v>
      </c>
      <c r="G534" s="105"/>
      <c r="H534" s="105"/>
      <c r="I534" s="94">
        <f>SUM(ППД5[[#This Row],[Комната 1]:[Комната 3]])</f>
        <v>16.79</v>
      </c>
      <c r="J534" s="105">
        <v>11.43</v>
      </c>
      <c r="K534" s="105">
        <v>3.56</v>
      </c>
      <c r="L534" s="105"/>
      <c r="M534" s="105"/>
      <c r="N534" s="105">
        <v>6.66</v>
      </c>
      <c r="O534" s="105">
        <v>2.4900000000000002</v>
      </c>
      <c r="P534" s="105"/>
      <c r="Q534" s="105"/>
      <c r="R534" s="105">
        <f>SUM(ППД5[[#This Row],[Лоджия 1]:[Лоджия 3]])</f>
        <v>2.4900000000000002</v>
      </c>
      <c r="S534" s="8">
        <f>ROUND(SUM(ППД5[[#This Row],[Площадь по проекту жилая]:[Лоджия 3]]),2)</f>
        <v>40.93</v>
      </c>
      <c r="T534" s="8">
        <f>ROUND(ППД5[[#This Row],[Площадь по проекту(общая)]]-ППД5[[#This Row],[Летние]],2)</f>
        <v>38.44</v>
      </c>
      <c r="U534" s="91">
        <f>ROUND(ППД5[[#This Row],[Площадь по проекту(общая)]]-(SUM(ППД5[[#This Row],[Лоджия 1]:[Лоджия 3]])/2),2)</f>
        <v>39.69</v>
      </c>
      <c r="V534" s="91">
        <f>IF(ППД5[[#This Row],[Статус]]="продажа",ППД5[[#This Row],[Расчетная проектная площадь]],ППД5[[#This Row],[Расчетная ТП площадь]])</f>
        <v>39.69</v>
      </c>
      <c r="W534" s="91">
        <v>16.7</v>
      </c>
      <c r="X534" s="91"/>
      <c r="Y534" s="91"/>
      <c r="Z534" s="91">
        <f>SUM(ППД5[[#This Row],[ТП Комната 1]:[ТП Комната 3]])</f>
        <v>16.7</v>
      </c>
      <c r="AA534" s="91">
        <v>11.4</v>
      </c>
      <c r="AB534" s="91">
        <v>3.6</v>
      </c>
      <c r="AC534" s="91"/>
      <c r="AD534" s="91"/>
      <c r="AE534" s="91">
        <v>6.6</v>
      </c>
      <c r="AF534" s="92">
        <v>1.25</v>
      </c>
      <c r="AG534" s="91"/>
      <c r="AH534" s="91"/>
      <c r="AI534" s="91">
        <f>SUM(ППД5[[#This Row],[ТП Лоджия 1]:[ТП Лоджия 3]])</f>
        <v>1.25</v>
      </c>
      <c r="AJ534" s="95">
        <v>2.5</v>
      </c>
      <c r="AK534" s="91">
        <f>SUM(ППД5[[#This Row],[Площадь по ТП жилая]:[ТП Лоджия 3]])-ППД5[[#This Row],[ТП Летние]]+ППД5[[#This Row],[кроме того прочая
(без коэффициента)]]</f>
        <v>40.800000000000004</v>
      </c>
      <c r="AL534" s="95">
        <f>ППД5[[#This Row],[ТП Площадь без летних]]+(ППД5[[#This Row],[ТП Летние]])</f>
        <v>39.550000000000004</v>
      </c>
      <c r="AM534" s="91">
        <f>ППД5[[#This Row],[ТП общая S]]-ППД5[[#This Row],[кроме того прочая
(без коэффициента)]]</f>
        <v>38.300000000000004</v>
      </c>
      <c r="AN534" s="95">
        <f>SUM(ППД5[[#This Row],[ТП Кухня]:[ТП Коридор]])</f>
        <v>21.6</v>
      </c>
      <c r="AO534" s="91">
        <f>ППД5[[#This Row],[Расчетная ТП площадь]]-ППД5[[#This Row],[Расчетная проектная площадь]]</f>
        <v>-0.13999999999999346</v>
      </c>
      <c r="AP534" s="335">
        <f>ППД5[[#This Row],[Расчетная ТП площадь]]/ППД5[[#This Row],[Расчетная проектная площадь]]-1</f>
        <v>-3.5273368606700828E-3</v>
      </c>
      <c r="AQ534" s="91">
        <f>ППД5[[#This Row],[% расхождения]]*ППД5[[#This Row],[Стоимость до скидки]]</f>
        <v>-15754.850088182924</v>
      </c>
      <c r="AR534" s="91">
        <f>VLOOKUP(ППД5[[#This Row],[№]],наценкад5[],COLUMN(наценкад5[[#This Row],[Цена м2 с учетом всех K]]),0)</f>
        <v>86384.8125</v>
      </c>
      <c r="AS534" s="8">
        <f>ППД5[[#This Row],[м2 после К]]*5%</f>
        <v>4319.2406250000004</v>
      </c>
      <c r="AT534" s="8">
        <f>ППД5[[#This Row],[м2 после К]]+ППД5[[#This Row],[Повышение 16.08.23 - 5%]]</f>
        <v>90704.053125000006</v>
      </c>
      <c r="AU534" s="93">
        <f>ППД5[[#This Row],[Фикс 16.08.23]]*3%</f>
        <v>2721.1215937500001</v>
      </c>
      <c r="AV534" s="93">
        <f>ППД5[[#This Row],[Фикс 16.08.23]]+ППД5[[#This Row],[Повышение 29.08.23 - 3%]]</f>
        <v>93425.17471875</v>
      </c>
      <c r="AW534" s="93">
        <f>ППД5[[#This Row],[Фикс 29.08.23]]*4.5%</f>
        <v>4204.1328623437503</v>
      </c>
      <c r="AX534" s="93">
        <f>ППД5[[#This Row],[Фикс 29.08.23]]+ППД5[[#This Row],[Повышение 06.09.23 СТ и 1К]]</f>
        <v>97629.307581093744</v>
      </c>
      <c r="AY534" s="93"/>
      <c r="AZ534" s="93">
        <f>ППД5[[#This Row],[Повышение 23.10.23  В4 ]]+ППД5[[#This Row],[Фикс 06.09.23]]</f>
        <v>97629.307581093744</v>
      </c>
      <c r="BA534" s="93">
        <f>ППД5[[#This Row],[Фикс 23.10.23]]*5%</f>
        <v>4881.4653790546872</v>
      </c>
      <c r="BB534" s="93">
        <f>ППД5[[#This Row],[Повышение 8.11.23 1К 5%]]+ППД5[[#This Row],[Фикс 23.10.23]]</f>
        <v>102510.77296014843</v>
      </c>
      <c r="BC534" s="93"/>
      <c r="BD534" s="93">
        <f>ППД5[[#This Row],[Корректировка 24.11.23 - 1К В5, 2К А2, №233]]+ППД5[[#This Row],[Фикс 8.11.23]]</f>
        <v>102510.77296014843</v>
      </c>
      <c r="BE534" s="93">
        <f>ППД5[[#This Row],[Фикс 8.11.24]]*1%</f>
        <v>1025.1077296014844</v>
      </c>
      <c r="BF534" s="93">
        <f>ППД5[[#This Row],[Наценка за отделку 29.12.23 1%]]+ППД5[[#This Row],[Фикс 8.11.24]]</f>
        <v>103535.88068974992</v>
      </c>
      <c r="BG534" s="93">
        <f>ППД5[[#This Row],[Фикс 29.12.23]]*5%</f>
        <v>5176.794034487496</v>
      </c>
      <c r="BH534" s="93">
        <f>ППД5[[#This Row],[Фикс 29.12.23]]+ППД5[[#This Row],[Наценка 10.01.24 5%]]</f>
        <v>108712.67472423741</v>
      </c>
      <c r="BI534" s="93"/>
      <c r="BJ534" s="93">
        <f>ППД5[[#This Row],[Наценка 26.02.24 1 Этаж]]+ППД5[[#This Row],[Фикс 10.01.24]]</f>
        <v>108712.67472423741</v>
      </c>
      <c r="BK534" s="93">
        <f>ППД5[[#This Row],[Фикс 26.02.24]]*3%</f>
        <v>3261.3802417271222</v>
      </c>
      <c r="BL534" s="93">
        <f>ППД5[[#This Row],[Фикс 26.02.24]]+ППД5[[#This Row],[Наценка 06.03.24
СТ, 1К - 3%
2К, 3К - 2%]]</f>
        <v>111974.05496596453</v>
      </c>
      <c r="BM534" s="93"/>
      <c r="BN534" s="93">
        <f>ППД5[[#This Row],[Фикс 06.03.24]]+ППД5[[#This Row],[Наценка Г2+500]]</f>
        <v>111974.05496596453</v>
      </c>
      <c r="BO534" s="93"/>
      <c r="BP534" s="93">
        <f>ППД5[[#This Row],[Фикс 13.03.25]]+ППД5[[#This Row],[Наценка 20.03.24
2К, 3К - 2%]]</f>
        <v>111974.05496596453</v>
      </c>
      <c r="BQ534" s="93"/>
      <c r="BR534" s="93">
        <f>ППД5[[#This Row],[Фикс 20.03.24]]+ППД5[[#This Row],[Наценка 08.04.24 
2К: В3 - 150
3К: Г7 +1000]]</f>
        <v>111974.05496596453</v>
      </c>
      <c r="BS534" s="93"/>
      <c r="BT534" s="93">
        <f>ППД5[[#This Row],[Фикс 08.04.24]]+ППД5[[#This Row],[Наценка 16.05.24 1%
А4,А6,Б3,Б6,Б7,В2,В3,В5,В6,Г1,Г3-Г5]]</f>
        <v>111974.05496596453</v>
      </c>
      <c r="BU534" s="93"/>
      <c r="BV534" s="93">
        <f>ППД5[[#This Row],[Фикс 16.05.24]]+ППД5[[#This Row],[Наценка 24.05.24
1% - Б4, Б5,Г2,Г6
2% - А1,А3,А5,Б2,Г7]]</f>
        <v>111974.05496596453</v>
      </c>
      <c r="BW534" s="93"/>
      <c r="BX534" s="93">
        <f>ППД5[[#This Row],[Наценка 06.06.24
0К: В2,Г3 +0,5%
1К: А7, Б5/4, Г6 +0,5%
3К: В6 +0,5%
1К: А3 +1%]]+ППД5[[#This Row],[Фикс 24.05.24]]</f>
        <v>111974.05496596453</v>
      </c>
      <c r="BY534" s="93"/>
      <c r="BZ534" s="93">
        <f>ППД5[[#This Row],[Фикс 06.06.24]]+ППД5[[#This Row],[13.06.2024
3К - 2%]]</f>
        <v>111974.05496596453</v>
      </c>
      <c r="CA534" s="93">
        <f>0.5%*ППД5[[#This Row],[Фикс 13.06.24]]</f>
        <v>559.87027482982273</v>
      </c>
      <c r="CB534" s="93">
        <f>ППД5[[#This Row],[02.07.2024: Г3 А1 А3 Б5 Б7 Г2 Г6 Б3 Б4 В3 Г7 2,5% ост 0,5-1,5%]]+ППД5[[#This Row],[Фикс 13.06.24]]</f>
        <v>112533.92524079436</v>
      </c>
      <c r="CC534" s="93"/>
      <c r="CD534" s="93">
        <f>ППД5[[#This Row],[Фикс 02.07.24]]+ППД5[[#This Row],[04.09.2024 +500
0К - Б2; 1К - А3;
2К - А6, Б4, В3, Г5]]</f>
        <v>112533.92524079436</v>
      </c>
      <c r="CE534" s="93"/>
      <c r="CF534" s="93">
        <f>ППД5[[#This Row],[Наценка 16.09.2024
1К: А1,В7,Г6/7,Г8 - 2%
2К: А4,А5,А6,Б1,Б6,Б3/4,В3,В4,Г4,Г5 - 4%
3К: 4%]]+ППД5[[#This Row],[Фикс 04.09.24]]</f>
        <v>112533.92524079436</v>
      </c>
      <c r="CG534" s="93"/>
      <c r="CH534" s="93">
        <f>ППД5[[#This Row],[Фикс 16.09.2024]]+ППД5[[#This Row],[Наценка 01.11.24
СТ: 4%
1К: 34-40м 5%; 40м+ 8%; МГН 1%
2К: 55-70м 6%; 70-73м 7%; 73-76м 8% 
3К: 5%]]</f>
        <v>112533.92524079436</v>
      </c>
      <c r="CI534" s="93"/>
      <c r="CJ534" s="93">
        <f>ППД5[[#This Row],[Наценка 06.11 13%]]+ППД5[[#This Row],[Фикс 01.11.24]]</f>
        <v>112533.92524079436</v>
      </c>
      <c r="CK534" s="93"/>
      <c r="CL534" s="93">
        <f>ППД5[[#This Row],[Фикс 06.11.24]]+ППД5[[#This Row],[Наценка 18.12.24 распределение КВ]]</f>
        <v>112533.92524079436</v>
      </c>
      <c r="CM534" s="93"/>
      <c r="CN534" s="93">
        <f>ППД5[[#This Row],[Фикс 18.12.24]]+ППД5[[#This Row],[Наценка 10.02.25 +1%
1К: А3
2К: Б3, В3]]</f>
        <v>112533.92524079436</v>
      </c>
      <c r="CO534" s="93">
        <f>ROUND(ППД5[[#This Row],[Фикс 10.02.25]],2)</f>
        <v>112533.93</v>
      </c>
      <c r="CP53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4466500</v>
      </c>
      <c r="CQ534" s="93">
        <f>ROUNDUP(ППД5[[#This Row],[Стоимость до скидки]]+ППД5[[#This Row],[Сумма доплаты]],-2)</f>
        <v>4450800</v>
      </c>
      <c r="CR534" s="68"/>
      <c r="CS534" s="90"/>
      <c r="CT534" s="68">
        <f>ППД5[[#This Row],[Стоимость до скидки]]*ППД5[[#This Row],[Скидка %]]+ППД5[[#This Row],[Скидка фиксированная]]</f>
        <v>0</v>
      </c>
      <c r="CU534" s="3">
        <f>ППД5[[#This Row],[Стоимость ОН без отделки со скидкой]]/ППД5[[#This Row],[Расчетная проектная площадь]]</f>
        <v>112534.64348702444</v>
      </c>
      <c r="CV534" s="3">
        <f>ROUND(ППД5[[#This Row],[Стоимость до скидки]]-ППД5[[#This Row],[Итоговая сумма скидки]],2)</f>
        <v>4466500</v>
      </c>
      <c r="CW53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34" s="197"/>
      <c r="CY534" s="332">
        <f>ППД5[[#This Row],[Расхождение]]/ППД5[[#This Row],[Расчетная проектная площадь]]</f>
        <v>-3.5273368606700294E-3</v>
      </c>
      <c r="CZ53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-4.9999999999998934E-2</v>
      </c>
      <c r="DA534" s="3">
        <f>ППД5[[#This Row],[Цена м2 без отделки со скидкой]]+ППД5[[#This Row],[Стоимость отделки]]</f>
        <v>112534.64348702444</v>
      </c>
      <c r="DB534" s="3">
        <f>ППД5[[#This Row],[Стоимость квартиры с отделкой]]-ППД5[[#This Row],[Стоимость ОН без отделки со скидкой]]</f>
        <v>0</v>
      </c>
      <c r="DC534" s="3">
        <f>ППД5[[#This Row],[Цена м2 с отделкой]]*ППД5[[#This Row],[Расчетная проектная площадь]]</f>
        <v>4466500</v>
      </c>
      <c r="DD534" s="3"/>
      <c r="DF534" s="211" t="s">
        <v>172</v>
      </c>
      <c r="DG534" s="245" t="s">
        <v>172</v>
      </c>
      <c r="DH534" s="100" t="b">
        <f>EXACT(ППД5[[#This Row],[Статусы CRM]],ППД5[[#This Row],[Статус]])</f>
        <v>1</v>
      </c>
      <c r="DI534" s="213" t="s">
        <v>706</v>
      </c>
      <c r="DJ534" s="204"/>
      <c r="DK534" s="111" t="s">
        <v>763</v>
      </c>
      <c r="DL534" s="216" t="s">
        <v>12</v>
      </c>
      <c r="DM534" s="201" t="b">
        <f>ППД5[[#This Row],[Отделка CRM]]=ППД5[[#This Row],[Отделка]]</f>
        <v>1</v>
      </c>
      <c r="DN534" s="203">
        <v>4466500</v>
      </c>
      <c r="DO53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34" s="207" t="b">
        <f>IF(AND(ППД5[[#This Row],[Статус]]="свободно",ППД5[[#This Row],[Итоговая сумма скидки]]&lt;&gt;0),FALSE,TRUE)</f>
        <v>1</v>
      </c>
      <c r="DQ534" s="240">
        <f>_xlfn.XLOOKUP(ППД5[[#This Row],[№]],Юрист[№ кв],Юрист[Дата подачи на регистрацию]," ",0,-1)</f>
        <v>45512</v>
      </c>
      <c r="DR534" s="115" t="str">
        <f>_xlfn.XLOOKUP(ППД5[[#This Row],[№]],Юрист[№ кв],Юрист[МОП],"",0,-1)</f>
        <v>Дик</v>
      </c>
      <c r="DS534" s="333" t="s">
        <v>3360</v>
      </c>
      <c r="DT534" s="333" t="s">
        <v>3361</v>
      </c>
      <c r="DU534" s="333">
        <v>38.299999999999997</v>
      </c>
      <c r="DV534" s="111"/>
    </row>
    <row r="535" spans="1:126" hidden="1" x14ac:dyDescent="0.25">
      <c r="A535" s="112">
        <v>533</v>
      </c>
      <c r="B535" s="111" t="s">
        <v>2</v>
      </c>
      <c r="C535" s="111">
        <v>19</v>
      </c>
      <c r="D535" s="338">
        <v>1</v>
      </c>
      <c r="E535" s="111">
        <v>0</v>
      </c>
      <c r="F535" s="105">
        <v>13.74</v>
      </c>
      <c r="G535" s="105"/>
      <c r="H535" s="105"/>
      <c r="I535" s="94">
        <f>SUM(ППД5[[#This Row],[Комната 1]:[Комната 3]])</f>
        <v>13.74</v>
      </c>
      <c r="J535" s="105">
        <v>5.84</v>
      </c>
      <c r="K535" s="105">
        <v>3.76</v>
      </c>
      <c r="L535" s="105"/>
      <c r="M535" s="105"/>
      <c r="N535" s="105">
        <v>3.73</v>
      </c>
      <c r="O535" s="105">
        <v>4.6500000000000004</v>
      </c>
      <c r="P535" s="105"/>
      <c r="Q535" s="105"/>
      <c r="R535" s="105">
        <f>SUM(ППД5[[#This Row],[Лоджия 1]:[Лоджия 3]])</f>
        <v>4.6500000000000004</v>
      </c>
      <c r="S535" s="8">
        <f>ROUND(SUM(ППД5[[#This Row],[Площадь по проекту жилая]:[Лоджия 3]]),2)</f>
        <v>31.72</v>
      </c>
      <c r="T535" s="8">
        <f>ROUND(ППД5[[#This Row],[Площадь по проекту(общая)]]-ППД5[[#This Row],[Летние]],2)</f>
        <v>27.07</v>
      </c>
      <c r="U535" s="91">
        <f>ROUND(ППД5[[#This Row],[Площадь по проекту(общая)]]-(SUM(ППД5[[#This Row],[Лоджия 1]:[Лоджия 3]])/2),2)</f>
        <v>29.4</v>
      </c>
      <c r="V535" s="91">
        <f>IF(ППД5[[#This Row],[Статус]]="продажа",ППД5[[#This Row],[Расчетная проектная площадь]],ППД5[[#This Row],[Расчетная ТП площадь]])</f>
        <v>29.2</v>
      </c>
      <c r="W535" s="91">
        <v>13.7</v>
      </c>
      <c r="X535" s="91"/>
      <c r="Y535" s="91"/>
      <c r="Z535" s="91">
        <f>SUM(ППД5[[#This Row],[ТП Комната 1]:[ТП Комната 3]])</f>
        <v>13.7</v>
      </c>
      <c r="AA535" s="91">
        <v>5.8</v>
      </c>
      <c r="AB535" s="91">
        <v>3.7</v>
      </c>
      <c r="AC535" s="91"/>
      <c r="AD535" s="91"/>
      <c r="AE535" s="91">
        <v>3.7</v>
      </c>
      <c r="AF535" s="91">
        <v>2.2999999999999998</v>
      </c>
      <c r="AG535" s="91"/>
      <c r="AH535" s="91"/>
      <c r="AI535" s="91">
        <f>SUM(ППД5[[#This Row],[ТП Лоджия 1]:[ТП Лоджия 3]])</f>
        <v>2.2999999999999998</v>
      </c>
      <c r="AJ535" s="95">
        <v>4.5999999999999996</v>
      </c>
      <c r="AK535" s="91">
        <f>SUM(ППД5[[#This Row],[Площадь по ТП жилая]:[ТП Лоджия 3]])-ППД5[[#This Row],[ТП Летние]]+ППД5[[#This Row],[кроме того прочая
(без коэффициента)]]</f>
        <v>31.5</v>
      </c>
      <c r="AL535" s="95">
        <f>ППД5[[#This Row],[ТП Площадь без летних]]+(ППД5[[#This Row],[ТП Летние]])</f>
        <v>29.2</v>
      </c>
      <c r="AM535" s="91">
        <f>ППД5[[#This Row],[ТП общая S]]-ППД5[[#This Row],[кроме того прочая
(без коэффициента)]]</f>
        <v>26.9</v>
      </c>
      <c r="AN535" s="95">
        <f>SUM(ППД5[[#This Row],[ТП Кухня]:[ТП Коридор]])</f>
        <v>13.2</v>
      </c>
      <c r="AO535" s="91">
        <f>ППД5[[#This Row],[Расчетная ТП площадь]]-ППД5[[#This Row],[Расчетная проектная площадь]]</f>
        <v>-0.19999999999999929</v>
      </c>
      <c r="AP535" s="335">
        <f>ППД5[[#This Row],[Расчетная ТП площадь]]/ППД5[[#This Row],[Расчетная проектная площадь]]-1</f>
        <v>-6.8027210884353817E-3</v>
      </c>
      <c r="AQ535" s="91">
        <f>ППД5[[#This Row],[% расхождения]]*ППД5[[#This Row],[Стоимость до скидки]]</f>
        <v>-29904.761904761937</v>
      </c>
      <c r="AR535" s="91">
        <f>VLOOKUP(ППД5[[#This Row],[№]],наценкад5[],COLUMN(наценкад5[[#This Row],[Цена м2 с учетом всех K]]),0)</f>
        <v>96361.65</v>
      </c>
      <c r="AS535" s="8">
        <f>ППД5[[#This Row],[м2 после К]]*5%</f>
        <v>4818.0824999999995</v>
      </c>
      <c r="AT535" s="8">
        <f>ППД5[[#This Row],[м2 после К]]+ППД5[[#This Row],[Повышение 16.08.23 - 5%]]</f>
        <v>101179.7325</v>
      </c>
      <c r="AU535" s="93">
        <f>ППД5[[#This Row],[Фикс 16.08.23]]*3%</f>
        <v>3035.391975</v>
      </c>
      <c r="AV535" s="93">
        <f>ППД5[[#This Row],[Фикс 16.08.23]]+ППД5[[#This Row],[Повышение 29.08.23 - 3%]]</f>
        <v>104215.124475</v>
      </c>
      <c r="AW535" s="93">
        <f>ППД5[[#This Row],[Фикс 29.08.23]]*9%</f>
        <v>9379.3612027500003</v>
      </c>
      <c r="AX535" s="93">
        <f>ППД5[[#This Row],[Фикс 29.08.23]]+ППД5[[#This Row],[Повышение 06.09.23 СТ и 1К]]</f>
        <v>113594.48567775001</v>
      </c>
      <c r="AY535" s="93"/>
      <c r="AZ535" s="93">
        <f>ППД5[[#This Row],[Повышение 23.10.23  В4 ]]+ППД5[[#This Row],[Фикс 06.09.23]]</f>
        <v>113594.48567775001</v>
      </c>
      <c r="BA535" s="93"/>
      <c r="BB535" s="93">
        <f>ППД5[[#This Row],[Повышение 8.11.23 1К 5%]]+ППД5[[#This Row],[Фикс 23.10.23]]</f>
        <v>113594.48567775001</v>
      </c>
      <c r="BC535" s="93"/>
      <c r="BD535" s="93">
        <f>ППД5[[#This Row],[Корректировка 24.11.23 - 1К В5, 2К А2, №233]]+ППД5[[#This Row],[Фикс 8.11.23]]</f>
        <v>113594.48567775001</v>
      </c>
      <c r="BE535" s="93">
        <f>ППД5[[#This Row],[Фикс 8.11.24]]*1%</f>
        <v>1135.9448567775</v>
      </c>
      <c r="BF535" s="93">
        <f>ППД5[[#This Row],[Наценка за отделку 29.12.23 1%]]+ППД5[[#This Row],[Фикс 8.11.24]]</f>
        <v>114730.43053452751</v>
      </c>
      <c r="BG535" s="93">
        <f>ППД5[[#This Row],[Фикс 29.12.23]]*5%</f>
        <v>5736.5215267263757</v>
      </c>
      <c r="BH535" s="93">
        <f>ППД5[[#This Row],[Фикс 29.12.23]]+ППД5[[#This Row],[Наценка 10.01.24 5%]]</f>
        <v>120466.95206125388</v>
      </c>
      <c r="BI535" s="93"/>
      <c r="BJ535" s="93">
        <f>ППД5[[#This Row],[Наценка 26.02.24 1 Этаж]]+ППД5[[#This Row],[Фикс 10.01.24]]</f>
        <v>120466.95206125388</v>
      </c>
      <c r="BK535" s="93">
        <f>ППД5[[#This Row],[Фикс 26.02.24]]*3%</f>
        <v>3614.0085618376161</v>
      </c>
      <c r="BL535" s="93">
        <f>ППД5[[#This Row],[Фикс 26.02.24]]+ППД5[[#This Row],[Наценка 06.03.24
СТ, 1К - 3%
2К, 3К - 2%]]</f>
        <v>124080.96062309149</v>
      </c>
      <c r="BM535" s="93"/>
      <c r="BN535" s="93">
        <f>ППД5[[#This Row],[Фикс 06.03.24]]+ППД5[[#This Row],[Наценка Г2+500]]</f>
        <v>124080.96062309149</v>
      </c>
      <c r="BO535" s="93"/>
      <c r="BP535" s="93">
        <f>ППД5[[#This Row],[Фикс 13.03.25]]+ППД5[[#This Row],[Наценка 20.03.24
2К, 3К - 2%]]</f>
        <v>124080.96062309149</v>
      </c>
      <c r="BQ535" s="93"/>
      <c r="BR535" s="93">
        <f>ППД5[[#This Row],[Фикс 20.03.24]]+ППД5[[#This Row],[Наценка 08.04.24 
2К: В3 - 150
3К: Г7 +1000]]</f>
        <v>124080.96062309149</v>
      </c>
      <c r="BS535" s="93">
        <f>ППД5[[#This Row],[Фикс 08.04.24]]*1%</f>
        <v>1240.8096062309151</v>
      </c>
      <c r="BT535" s="93">
        <f>ППД5[[#This Row],[Фикс 08.04.24]]+ППД5[[#This Row],[Наценка 16.05.24 1%
А4,А6,Б3,Б6,Б7,В2,В3,В5,В6,Г1,Г3-Г5]]</f>
        <v>125321.77022932241</v>
      </c>
      <c r="BU535" s="93"/>
      <c r="BV535" s="93">
        <f>ППД5[[#This Row],[Фикс 16.05.24]]+ППД5[[#This Row],[Наценка 24.05.24
1% - Б4, Б5,Г2,Г6
2% - А1,А3,А5,Б2,Г7]]</f>
        <v>125321.77022932241</v>
      </c>
      <c r="BW535" s="93"/>
      <c r="BX535" s="93">
        <f>ППД5[[#This Row],[Наценка 06.06.24
0К: В2,Г3 +0,5%
1К: А7, Б5/4, Г6 +0,5%
3К: В6 +0,5%
1К: А3 +1%]]+ППД5[[#This Row],[Фикс 24.05.24]]</f>
        <v>125321.77022932241</v>
      </c>
      <c r="BY535" s="93"/>
      <c r="BZ535" s="93">
        <f>ППД5[[#This Row],[Фикс 06.06.24]]+ППД5[[#This Row],[13.06.2024
3К - 2%]]</f>
        <v>125321.77022932241</v>
      </c>
      <c r="CA535" s="93">
        <f>1.5%*ППД5[[#This Row],[Фикс 13.06.24]]</f>
        <v>1879.8265534398361</v>
      </c>
      <c r="CB535" s="93">
        <f>ППД5[[#This Row],[02.07.2024: Г3 А1 А3 Б5 Б7 Г2 Г6 Б3 Б4 В3 Г7 2,5% ост 0,5-1,5%]]+ППД5[[#This Row],[Фикс 13.06.24]]</f>
        <v>127201.59678276225</v>
      </c>
      <c r="CC535" s="93"/>
      <c r="CD535" s="93">
        <f>ППД5[[#This Row],[Фикс 02.07.24]]+ППД5[[#This Row],[04.09.2024 +500
0К - Б2; 1К - А3;
2К - А6, Б4, В3, Г5]]</f>
        <v>127201.59678276225</v>
      </c>
      <c r="CE535" s="93"/>
      <c r="CF535" s="93">
        <f>ППД5[[#This Row],[Наценка 16.09.2024
1К: А1,В7,Г6/7,Г8 - 2%
2К: А4,А5,А6,Б1,Б6,Б3/4,В3,В4,Г4,Г5 - 4%
3К: 4%]]+ППД5[[#This Row],[Фикс 04.09.24]]</f>
        <v>127201.59678276225</v>
      </c>
      <c r="CG535" s="93">
        <f>ППД5[[#This Row],[Фикс 16.09.2024]]*4%</f>
        <v>5088.06387131049</v>
      </c>
      <c r="CH535" s="93">
        <f>ППД5[[#This Row],[Фикс 16.09.2024]]+ППД5[[#This Row],[Наценка 01.11.24
СТ: 4%
1К: 34-40м 5%; 40м+ 8%; МГН 1%
2К: 55-70м 6%; 70-73м 7%; 73-76м 8% 
3К: 5%]]</f>
        <v>132289.66065407274</v>
      </c>
      <c r="CI535" s="93">
        <f>ППД5[[#This Row],[Фикс 01.11.24]]*13%</f>
        <v>17197.655885029457</v>
      </c>
      <c r="CJ535" s="93">
        <f>ППД5[[#This Row],[Наценка 06.11 13%]]+ППД5[[#This Row],[Фикс 01.11.24]]</f>
        <v>149487.3165391022</v>
      </c>
      <c r="CK535" s="93">
        <v>35</v>
      </c>
      <c r="CL535" s="93">
        <f>ППД5[[#This Row],[Фикс 06.11.24]]+ППД5[[#This Row],[Наценка 18.12.24 распределение КВ]]</f>
        <v>149522.3165391022</v>
      </c>
      <c r="CM535" s="93"/>
      <c r="CN535" s="93">
        <f>ППД5[[#This Row],[Фикс 18.12.24]]+ППД5[[#This Row],[Наценка 10.02.25 +1%
1К: А3
2К: Б3, В3]]</f>
        <v>149522.3165391022</v>
      </c>
      <c r="CO535" s="93">
        <f>ROUND(ППД5[[#This Row],[Фикс 10.02.25]],2)</f>
        <v>149522.32</v>
      </c>
      <c r="CP53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4396000</v>
      </c>
      <c r="CQ535" s="93">
        <f>ROUNDUP(ППД5[[#This Row],[Стоимость до скидки]]+ППД5[[#This Row],[Сумма доплаты]],-2)</f>
        <v>4366100</v>
      </c>
      <c r="CR535" s="68"/>
      <c r="CS535" s="90"/>
      <c r="CT535" s="68">
        <f>ППД5[[#This Row],[Стоимость до скидки]]*ППД5[[#This Row],[Скидка %]]+ППД5[[#This Row],[Скидка фиксированная]]</f>
        <v>0</v>
      </c>
      <c r="CU535" s="3">
        <f>ППД5[[#This Row],[Стоимость ОН без отделки со скидкой]]/ППД5[[#This Row],[Расчетная проектная площадь]]</f>
        <v>149523.80952380953</v>
      </c>
      <c r="CV535" s="3">
        <f>ROUND(ППД5[[#This Row],[Стоимость до скидки]]-ППД5[[#This Row],[Итоговая сумма скидки]],2)</f>
        <v>4396000</v>
      </c>
      <c r="CW53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35" s="197"/>
      <c r="CY535" s="332">
        <f>ППД5[[#This Row],[Расхождение]]/ППД5[[#This Row],[Расчетная проектная площадь]]</f>
        <v>-6.8027210884353505E-3</v>
      </c>
      <c r="CZ53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-0.13000000000000078</v>
      </c>
      <c r="DA535" s="3">
        <f>ППД5[[#This Row],[Цена м2 без отделки со скидкой]]+ППД5[[#This Row],[Стоимость отделки]]</f>
        <v>149523.80952380953</v>
      </c>
      <c r="DB535" s="3">
        <f>ППД5[[#This Row],[Стоимость квартиры с отделкой]]-ППД5[[#This Row],[Стоимость ОН без отделки со скидкой]]</f>
        <v>0</v>
      </c>
      <c r="DC535" s="3">
        <f>ППД5[[#This Row],[Цена м2 с отделкой]]*ППД5[[#This Row],[Расчетная проектная площадь]]</f>
        <v>4396000</v>
      </c>
      <c r="DD535" s="3"/>
      <c r="DF535" s="199" t="s">
        <v>157</v>
      </c>
      <c r="DG535" s="245" t="s">
        <v>157</v>
      </c>
      <c r="DH535" s="100" t="b">
        <f>EXACT(ППД5[[#This Row],[Статусы CRM]],ППД5[[#This Row],[Статус]])</f>
        <v>1</v>
      </c>
      <c r="DI535" s="213" t="s">
        <v>707</v>
      </c>
      <c r="DJ535" s="204"/>
      <c r="DK535" s="111" t="s">
        <v>763</v>
      </c>
      <c r="DL535" s="216" t="s">
        <v>12</v>
      </c>
      <c r="DM535" s="201" t="b">
        <f>ППД5[[#This Row],[Отделка CRM]]=ППД5[[#This Row],[Отделка]]</f>
        <v>1</v>
      </c>
      <c r="DN535" s="203">
        <v>4396000</v>
      </c>
      <c r="DO53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35" s="207" t="b">
        <f>IF(AND(ППД5[[#This Row],[Статус]]="свободно",ППД5[[#This Row],[Итоговая сумма скидки]]&lt;&gt;0),FALSE,TRUE)</f>
        <v>1</v>
      </c>
      <c r="DQ535" s="240" t="str">
        <f>_xlfn.XLOOKUP(ППД5[[#This Row],[№]],Юрист[№ кв],Юрист[Дата подачи на регистрацию]," ",0,-1)</f>
        <v xml:space="preserve"> </v>
      </c>
      <c r="DR535" s="115" t="str">
        <f>_xlfn.XLOOKUP(ППД5[[#This Row],[№]],Юрист[№ кв],Юрист[МОП],"",0,-1)</f>
        <v/>
      </c>
      <c r="DS535" s="333" t="s">
        <v>3362</v>
      </c>
      <c r="DT535" s="333" t="s">
        <v>3363</v>
      </c>
      <c r="DU535" s="333">
        <v>26.9</v>
      </c>
      <c r="DV535" s="111"/>
    </row>
    <row r="536" spans="1:126" hidden="1" x14ac:dyDescent="0.25">
      <c r="A536" s="112">
        <v>534</v>
      </c>
      <c r="B536" s="111" t="s">
        <v>2</v>
      </c>
      <c r="C536" s="111">
        <v>19</v>
      </c>
      <c r="D536" s="115">
        <v>2</v>
      </c>
      <c r="E536" s="111">
        <v>1</v>
      </c>
      <c r="F536" s="105">
        <v>13.17</v>
      </c>
      <c r="G536" s="105"/>
      <c r="H536" s="105"/>
      <c r="I536" s="94">
        <f>SUM(ППД5[[#This Row],[Комната 1]:[Комната 3]])</f>
        <v>13.17</v>
      </c>
      <c r="J536" s="105">
        <v>16.940000000000001</v>
      </c>
      <c r="K536" s="105">
        <v>3.55</v>
      </c>
      <c r="L536" s="105">
        <v>2.41</v>
      </c>
      <c r="M536" s="105"/>
      <c r="N536" s="105">
        <v>5.8</v>
      </c>
      <c r="O536" s="105">
        <v>2.68</v>
      </c>
      <c r="P536" s="105"/>
      <c r="Q536" s="105"/>
      <c r="R536" s="105">
        <f>SUM(ППД5[[#This Row],[Лоджия 1]:[Лоджия 3]])</f>
        <v>2.68</v>
      </c>
      <c r="S536" s="8">
        <f>ROUND(SUM(ППД5[[#This Row],[Площадь по проекту жилая]:[Лоджия 3]]),2)</f>
        <v>44.55</v>
      </c>
      <c r="T536" s="8">
        <f>ROUND(ППД5[[#This Row],[Площадь по проекту(общая)]]-ППД5[[#This Row],[Летние]],2)</f>
        <v>41.87</v>
      </c>
      <c r="U536" s="91">
        <f>ROUND(ППД5[[#This Row],[Площадь по проекту(общая)]]-(SUM(ППД5[[#This Row],[Лоджия 1]:[Лоджия 3]])/2),2)</f>
        <v>43.21</v>
      </c>
      <c r="V536" s="91">
        <f>IF(ППД5[[#This Row],[Статус]]="продажа",ППД5[[#This Row],[Расчетная проектная площадь]],ППД5[[#This Row],[Расчетная ТП площадь]])</f>
        <v>43.21</v>
      </c>
      <c r="W536" s="91">
        <v>13</v>
      </c>
      <c r="X536" s="91"/>
      <c r="Y536" s="91"/>
      <c r="Z536" s="91">
        <f>SUM(ППД5[[#This Row],[ТП Комната 1]:[ТП Комната 3]])</f>
        <v>13</v>
      </c>
      <c r="AA536" s="91">
        <v>16.899999999999999</v>
      </c>
      <c r="AB536" s="91">
        <v>2.1</v>
      </c>
      <c r="AC536" s="91">
        <v>3.3</v>
      </c>
      <c r="AD536" s="91"/>
      <c r="AE536" s="91">
        <v>5.8</v>
      </c>
      <c r="AF536" s="91">
        <v>1.35</v>
      </c>
      <c r="AG536" s="91"/>
      <c r="AH536" s="91"/>
      <c r="AI536" s="91">
        <f>SUM(ППД5[[#This Row],[ТП Лоджия 1]:[ТП Лоджия 3]])</f>
        <v>1.35</v>
      </c>
      <c r="AJ536" s="95">
        <v>2.7</v>
      </c>
      <c r="AK536" s="91">
        <f>SUM(ППД5[[#This Row],[Площадь по ТП жилая]:[ТП Лоджия 3]])-ППД5[[#This Row],[ТП Летние]]+ППД5[[#This Row],[кроме того прочая
(без коэффициента)]]</f>
        <v>43.8</v>
      </c>
      <c r="AL536" s="95">
        <f>ППД5[[#This Row],[ТП Площадь без летних]]+(ППД5[[#This Row],[ТП Летние]])</f>
        <v>42.449999999999996</v>
      </c>
      <c r="AM536" s="91">
        <f>ППД5[[#This Row],[ТП общая S]]-ППД5[[#This Row],[кроме того прочая
(без коэффициента)]]</f>
        <v>41.099999999999994</v>
      </c>
      <c r="AN536" s="95">
        <f>SUM(ППД5[[#This Row],[ТП Кухня]:[ТП Коридор]])</f>
        <v>28.1</v>
      </c>
      <c r="AO536" s="91">
        <f>ППД5[[#This Row],[Расчетная ТП площадь]]-ППД5[[#This Row],[Расчетная проектная площадь]]</f>
        <v>-0.76000000000000512</v>
      </c>
      <c r="AP536" s="335">
        <f>ППД5[[#This Row],[Расчетная ТП площадь]]/ППД5[[#This Row],[Расчетная проектная площадь]]-1</f>
        <v>-1.7588521175653904E-2</v>
      </c>
      <c r="AQ536" s="91">
        <f>ППД5[[#This Row],[% расхождения]]*ППД5[[#This Row],[Стоимость до скидки]]</f>
        <v>-84729.183059477553</v>
      </c>
      <c r="AR536" s="91">
        <f>VLOOKUP(ППД5[[#This Row],[№]],наценкад5[],COLUMN(наценкад5[[#This Row],[Цена м2 с учетом всех K]]),0)</f>
        <v>91657.125</v>
      </c>
      <c r="AS536" s="8">
        <f>ППД5[[#This Row],[м2 после К]]*5%</f>
        <v>4582.8562499999998</v>
      </c>
      <c r="AT536" s="8">
        <f>ППД5[[#This Row],[м2 после К]]+ППД5[[#This Row],[Повышение 16.08.23 - 5%]]</f>
        <v>96239.981249999997</v>
      </c>
      <c r="AU536" s="93">
        <f>ППД5[[#This Row],[Фикс 16.08.23]]*3%</f>
        <v>2887.1994374999999</v>
      </c>
      <c r="AV536" s="93">
        <f>ППД5[[#This Row],[Фикс 16.08.23]]+ППД5[[#This Row],[Повышение 29.08.23 - 3%]]</f>
        <v>99127.180687500004</v>
      </c>
      <c r="AW536" s="93">
        <f>ППД5[[#This Row],[Фикс 29.08.23]]*1%</f>
        <v>991.27180687500004</v>
      </c>
      <c r="AX536" s="93">
        <f>ППД5[[#This Row],[Фикс 29.08.23]]+ППД5[[#This Row],[Повышение 06.09.23 СТ и 1К]]</f>
        <v>100118.452494375</v>
      </c>
      <c r="AY536" s="93"/>
      <c r="AZ536" s="93">
        <f>ППД5[[#This Row],[Повышение 23.10.23  В4 ]]+ППД5[[#This Row],[Фикс 06.09.23]]</f>
        <v>100118.452494375</v>
      </c>
      <c r="BA536" s="93">
        <f>ППД5[[#This Row],[Фикс 23.10.23]]*5%</f>
        <v>5005.9226247187507</v>
      </c>
      <c r="BB536" s="93">
        <f>ППД5[[#This Row],[Повышение 8.11.23 1К 5%]]+ППД5[[#This Row],[Фикс 23.10.23]]</f>
        <v>105124.37511909375</v>
      </c>
      <c r="BC536" s="93"/>
      <c r="BD536" s="93">
        <f>ППД5[[#This Row],[Корректировка 24.11.23 - 1К В5, 2К А2, №233]]+ППД5[[#This Row],[Фикс 8.11.23]]</f>
        <v>105124.37511909375</v>
      </c>
      <c r="BE536" s="93">
        <f>ППД5[[#This Row],[Фикс 8.11.24]]*1%</f>
        <v>1051.2437511909375</v>
      </c>
      <c r="BF536" s="93">
        <f>ППД5[[#This Row],[Наценка за отделку 29.12.23 1%]]+ППД5[[#This Row],[Фикс 8.11.24]]</f>
        <v>106175.61887028468</v>
      </c>
      <c r="BG536" s="93">
        <f>ППД5[[#This Row],[Фикс 29.12.23]]*5%</f>
        <v>5308.7809435142344</v>
      </c>
      <c r="BH536" s="93">
        <f>ППД5[[#This Row],[Фикс 29.12.23]]+ППД5[[#This Row],[Наценка 10.01.24 5%]]</f>
        <v>111484.39981379893</v>
      </c>
      <c r="BI536" s="93"/>
      <c r="BJ536" s="93">
        <f>ППД5[[#This Row],[Наценка 26.02.24 1 Этаж]]+ППД5[[#This Row],[Фикс 10.01.24]]</f>
        <v>111484.39981379893</v>
      </c>
      <c r="BK536" s="93"/>
      <c r="BL536" s="93">
        <f>ППД5[[#This Row],[Фикс 26.02.24]]+ППД5[[#This Row],[Наценка 06.03.24
СТ, 1К - 3%
2К, 3К - 2%]]</f>
        <v>111484.39981379893</v>
      </c>
      <c r="BM536" s="93"/>
      <c r="BN536" s="93">
        <f>ППД5[[#This Row],[Фикс 06.03.24]]+ППД5[[#This Row],[Наценка Г2+500]]</f>
        <v>111484.39981379893</v>
      </c>
      <c r="BO536" s="93"/>
      <c r="BP536" s="93">
        <f>ППД5[[#This Row],[Фикс 13.03.25]]+ППД5[[#This Row],[Наценка 20.03.24
2К, 3К - 2%]]</f>
        <v>111484.39981379893</v>
      </c>
      <c r="BQ536" s="93"/>
      <c r="BR536" s="93">
        <f>ППД5[[#This Row],[Фикс 20.03.24]]+ППД5[[#This Row],[Наценка 08.04.24 
2К: В3 - 150
3К: Г7 +1000]]</f>
        <v>111484.39981379893</v>
      </c>
      <c r="BS536" s="93"/>
      <c r="BT536" s="93">
        <f>ППД5[[#This Row],[Фикс 08.04.24]]+ППД5[[#This Row],[Наценка 16.05.24 1%
А4,А6,Б3,Б6,Б7,В2,В3,В5,В6,Г1,Г3-Г5]]</f>
        <v>111484.39981379893</v>
      </c>
      <c r="BU536" s="93"/>
      <c r="BV536" s="93">
        <f>ППД5[[#This Row],[Фикс 16.05.24]]+ППД5[[#This Row],[Наценка 24.05.24
1% - Б4, Б5,Г2,Г6
2% - А1,А3,А5,Б2,Г7]]</f>
        <v>111484.39981379893</v>
      </c>
      <c r="BW536" s="93"/>
      <c r="BX536" s="93">
        <f>ППД5[[#This Row],[Наценка 06.06.24
0К: В2,Г3 +0,5%
1К: А7, Б5/4, Г6 +0,5%
3К: В6 +0,5%
1К: А3 +1%]]+ППД5[[#This Row],[Фикс 24.05.24]]</f>
        <v>111484.39981379893</v>
      </c>
      <c r="BY536" s="93"/>
      <c r="BZ536" s="93">
        <f>ППД5[[#This Row],[Фикс 06.06.24]]+ППД5[[#This Row],[13.06.2024
3К - 2%]]</f>
        <v>111484.39981379893</v>
      </c>
      <c r="CA536" s="93"/>
      <c r="CB536" s="93">
        <f>ППД5[[#This Row],[02.07.2024: Г3 А1 А3 Б5 Б7 Г2 Г6 Б3 Б4 В3 Г7 2,5% ост 0,5-1,5%]]+ППД5[[#This Row],[Фикс 13.06.24]]</f>
        <v>111484.39981379893</v>
      </c>
      <c r="CC536" s="93"/>
      <c r="CD536" s="93">
        <f>ППД5[[#This Row],[Фикс 02.07.24]]+ППД5[[#This Row],[04.09.2024 +500
0К - Б2; 1К - А3;
2К - А6, Б4, В3, Г5]]</f>
        <v>111484.39981379893</v>
      </c>
      <c r="CE536" s="93"/>
      <c r="CF536" s="93">
        <f>ППД5[[#This Row],[Наценка 16.09.2024
1К: А1,В7,Г6/7,Г8 - 2%
2К: А4,А5,А6,Б1,Б6,Б3/4,В3,В4,Г4,Г5 - 4%
3К: 4%]]+ППД5[[#This Row],[Фикс 04.09.24]]</f>
        <v>111484.39981379893</v>
      </c>
      <c r="CG536" s="93"/>
      <c r="CH536" s="93">
        <f>ППД5[[#This Row],[Фикс 16.09.2024]]+ППД5[[#This Row],[Наценка 01.11.24
СТ: 4%
1К: 34-40м 5%; 40м+ 8%; МГН 1%
2К: 55-70м 6%; 70-73м 7%; 73-76м 8% 
3К: 5%]]</f>
        <v>111484.39981379893</v>
      </c>
      <c r="CI536" s="93"/>
      <c r="CJ536" s="93">
        <f>ППД5[[#This Row],[Наценка 06.11 13%]]+ППД5[[#This Row],[Фикс 01.11.24]]</f>
        <v>111484.39981379893</v>
      </c>
      <c r="CK536" s="93"/>
      <c r="CL536" s="93">
        <f>ППД5[[#This Row],[Фикс 06.11.24]]+ППД5[[#This Row],[Наценка 18.12.24 распределение КВ]]</f>
        <v>111484.39981379893</v>
      </c>
      <c r="CM536" s="93"/>
      <c r="CN536" s="93">
        <f>ППД5[[#This Row],[Фикс 18.12.24]]+ППД5[[#This Row],[Наценка 10.02.25 +1%
1К: А3
2К: Б3, В3]]</f>
        <v>111484.39981379893</v>
      </c>
      <c r="CO536" s="93">
        <f>ROUND(ППД5[[#This Row],[Фикс 10.02.25]],2)</f>
        <v>111484.4</v>
      </c>
      <c r="CP53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4817300</v>
      </c>
      <c r="CQ536" s="93">
        <f>ROUNDUP(ППД5[[#This Row],[Стоимость до скидки]]+ППД5[[#This Row],[Сумма доплаты]],-2)</f>
        <v>4732600</v>
      </c>
      <c r="CR536" s="68"/>
      <c r="CS536" s="90"/>
      <c r="CT536" s="68">
        <f>ППД5[[#This Row],[Стоимость до скидки]]*ППД5[[#This Row],[Скидка %]]+ППД5[[#This Row],[Скидка фиксированная]]</f>
        <v>0</v>
      </c>
      <c r="CU536" s="3">
        <f>ППД5[[#This Row],[Стоимость ОН без отделки со скидкой]]/ППД5[[#This Row],[Расчетная проектная площадь]]</f>
        <v>111485.76718352233</v>
      </c>
      <c r="CV536" s="3">
        <f>ROUND(ППД5[[#This Row],[Стоимость до скидки]]-ППД5[[#This Row],[Итоговая сумма скидки]],2)</f>
        <v>4817300</v>
      </c>
      <c r="CW53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36" s="197"/>
      <c r="CY536" s="332">
        <f>ППД5[[#This Row],[Расхождение]]/ППД5[[#This Row],[Расчетная проектная площадь]]</f>
        <v>-1.75885211756539E-2</v>
      </c>
      <c r="CZ53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-0.60000000000000142</v>
      </c>
      <c r="DA536" s="3">
        <f>ППД5[[#This Row],[Цена м2 без отделки со скидкой]]+ППД5[[#This Row],[Стоимость отделки]]</f>
        <v>111485.76718352233</v>
      </c>
      <c r="DB536" s="3">
        <f>ППД5[[#This Row],[Стоимость квартиры с отделкой]]-ППД5[[#This Row],[Стоимость ОН без отделки со скидкой]]</f>
        <v>0</v>
      </c>
      <c r="DC536" s="3">
        <f>ППД5[[#This Row],[Цена м2 с отделкой]]*ППД5[[#This Row],[Расчетная проектная площадь]]</f>
        <v>4817300</v>
      </c>
      <c r="DD536" s="3"/>
      <c r="DF536" s="155" t="s">
        <v>172</v>
      </c>
      <c r="DG536" s="245" t="s">
        <v>172</v>
      </c>
      <c r="DH536" s="100" t="b">
        <f>EXACT(ППД5[[#This Row],[Статусы CRM]],ППД5[[#This Row],[Статус]])</f>
        <v>1</v>
      </c>
      <c r="DI536" s="213" t="s">
        <v>708</v>
      </c>
      <c r="DJ536" s="204"/>
      <c r="DK536" s="111" t="s">
        <v>763</v>
      </c>
      <c r="DL536" s="216" t="s">
        <v>12</v>
      </c>
      <c r="DM536" s="201" t="b">
        <f>ППД5[[#This Row],[Отделка CRM]]=ППД5[[#This Row],[Отделка]]</f>
        <v>1</v>
      </c>
      <c r="DN536" s="203">
        <v>4817300</v>
      </c>
      <c r="DO53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36" s="207" t="b">
        <f>IF(AND(ППД5[[#This Row],[Статус]]="свободно",ППД5[[#This Row],[Итоговая сумма скидки]]&lt;&gt;0),FALSE,TRUE)</f>
        <v>1</v>
      </c>
      <c r="DQ536" s="240">
        <f>_xlfn.XLOOKUP(ППД5[[#This Row],[№]],Юрист[№ кв],Юрист[Дата подачи на регистрацию]," ",0,-1)</f>
        <v>45351</v>
      </c>
      <c r="DR536" s="115" t="str">
        <f>_xlfn.XLOOKUP(ППД5[[#This Row],[№]],Юрист[№ кв],Юрист[МОП],"",0,-1)</f>
        <v>Никишов</v>
      </c>
      <c r="DS536" s="333" t="s">
        <v>3364</v>
      </c>
      <c r="DT536" s="333" t="s">
        <v>3365</v>
      </c>
      <c r="DU536" s="333">
        <v>41.1</v>
      </c>
      <c r="DV536" s="111"/>
    </row>
    <row r="537" spans="1:126" hidden="1" x14ac:dyDescent="0.25">
      <c r="A537" s="112">
        <v>535</v>
      </c>
      <c r="B537" s="111" t="s">
        <v>2</v>
      </c>
      <c r="C537" s="111">
        <v>19</v>
      </c>
      <c r="D537" s="115">
        <v>3</v>
      </c>
      <c r="E537" s="111">
        <v>0</v>
      </c>
      <c r="F537" s="105">
        <v>7.2</v>
      </c>
      <c r="G537" s="105"/>
      <c r="H537" s="105"/>
      <c r="I537" s="94">
        <f>SUM(ППД5[[#This Row],[Комната 1]:[Комната 3]])</f>
        <v>7.2</v>
      </c>
      <c r="J537" s="105">
        <v>5.17</v>
      </c>
      <c r="K537" s="105">
        <v>3.71</v>
      </c>
      <c r="L537" s="105"/>
      <c r="M537" s="105"/>
      <c r="N537" s="105">
        <v>6.96</v>
      </c>
      <c r="O537" s="105">
        <v>2.92</v>
      </c>
      <c r="P537" s="105"/>
      <c r="Q537" s="105"/>
      <c r="R537" s="105">
        <f>SUM(ППД5[[#This Row],[Лоджия 1]:[Лоджия 3]])</f>
        <v>2.92</v>
      </c>
      <c r="S537" s="8">
        <f>ROUND(SUM(ППД5[[#This Row],[Площадь по проекту жилая]:[Лоджия 3]]),2)</f>
        <v>25.96</v>
      </c>
      <c r="T537" s="8">
        <f>ROUND(ППД5[[#This Row],[Площадь по проекту(общая)]]-ППД5[[#This Row],[Летние]],2)</f>
        <v>23.04</v>
      </c>
      <c r="U537" s="91">
        <f>ROUND(ППД5[[#This Row],[Площадь по проекту(общая)]]-(SUM(ППД5[[#This Row],[Лоджия 1]:[Лоджия 3]])/2),2)</f>
        <v>24.5</v>
      </c>
      <c r="V537" s="91">
        <f>IF(ППД5[[#This Row],[Статус]]="продажа",ППД5[[#This Row],[Расчетная проектная площадь]],ППД5[[#This Row],[Расчетная ТП площадь]])</f>
        <v>24.2</v>
      </c>
      <c r="W537" s="91">
        <v>7.2</v>
      </c>
      <c r="X537" s="91"/>
      <c r="Y537" s="91"/>
      <c r="Z537" s="91">
        <f>SUM(ППД5[[#This Row],[ТП Комната 1]:[ТП Комната 3]])</f>
        <v>7.2</v>
      </c>
      <c r="AA537" s="91">
        <v>5.5</v>
      </c>
      <c r="AB537" s="91">
        <v>3.7</v>
      </c>
      <c r="AC537" s="91"/>
      <c r="AD537" s="91"/>
      <c r="AE537" s="91">
        <v>6.3</v>
      </c>
      <c r="AF537" s="91">
        <v>1.5</v>
      </c>
      <c r="AG537" s="91"/>
      <c r="AH537" s="91"/>
      <c r="AI537" s="91">
        <f>SUM(ППД5[[#This Row],[ТП Лоджия 1]:[ТП Лоджия 3]])</f>
        <v>1.5</v>
      </c>
      <c r="AJ537" s="95">
        <v>3</v>
      </c>
      <c r="AK537" s="91">
        <f>SUM(ППД5[[#This Row],[Площадь по ТП жилая]:[ТП Лоджия 3]])-ППД5[[#This Row],[ТП Летние]]+ППД5[[#This Row],[кроме того прочая
(без коэффициента)]]</f>
        <v>25.7</v>
      </c>
      <c r="AL537" s="95">
        <f>ППД5[[#This Row],[ТП Площадь без летних]]+(ППД5[[#This Row],[ТП Летние]])</f>
        <v>24.2</v>
      </c>
      <c r="AM537" s="91">
        <f>ППД5[[#This Row],[ТП общая S]]-ППД5[[#This Row],[кроме того прочая
(без коэффициента)]]</f>
        <v>22.7</v>
      </c>
      <c r="AN537" s="95">
        <f>SUM(ППД5[[#This Row],[ТП Кухня]:[ТП Коридор]])</f>
        <v>15.5</v>
      </c>
      <c r="AO537" s="91">
        <f>ППД5[[#This Row],[Расчетная ТП площадь]]-ППД5[[#This Row],[Расчетная проектная площадь]]</f>
        <v>-0.30000000000000071</v>
      </c>
      <c r="AP537" s="335">
        <f>ППД5[[#This Row],[Расчетная ТП площадь]]/ППД5[[#This Row],[Расчетная проектная площадь]]-1</f>
        <v>-1.2244897959183709E-2</v>
      </c>
      <c r="AQ537" s="91">
        <f>ППД5[[#This Row],[% расхождения]]*ППД5[[#This Row],[Стоимость до скидки]]</f>
        <v>-46353.061224489931</v>
      </c>
      <c r="AR537" s="91">
        <f>VLOOKUP(ППД5[[#This Row],[№]],наценкад5[],COLUMN(наценкад5[[#This Row],[Цена м2 с учетом всех K]]),0)</f>
        <v>98113.68</v>
      </c>
      <c r="AS537" s="8">
        <f>ППД5[[#This Row],[м2 после К]]*5%</f>
        <v>4905.6840000000002</v>
      </c>
      <c r="AT537" s="8">
        <f>ППД5[[#This Row],[м2 после К]]+ППД5[[#This Row],[Повышение 16.08.23 - 5%]]</f>
        <v>103019.36399999999</v>
      </c>
      <c r="AU537" s="93">
        <f>ППД5[[#This Row],[Фикс 16.08.23]]*3%</f>
        <v>3090.5809199999994</v>
      </c>
      <c r="AV537" s="93">
        <f>ППД5[[#This Row],[Фикс 16.08.23]]+ППД5[[#This Row],[Повышение 29.08.23 - 3%]]</f>
        <v>106109.94491999998</v>
      </c>
      <c r="AW537" s="93">
        <f>ППД5[[#This Row],[Фикс 29.08.23]]*9%</f>
        <v>9549.8950427999971</v>
      </c>
      <c r="AX537" s="93">
        <f>ППД5[[#This Row],[Фикс 29.08.23]]+ППД5[[#This Row],[Повышение 06.09.23 СТ и 1К]]</f>
        <v>115659.83996279998</v>
      </c>
      <c r="AY537" s="93"/>
      <c r="AZ537" s="93">
        <f>ППД5[[#This Row],[Повышение 23.10.23  В4 ]]+ППД5[[#This Row],[Фикс 06.09.23]]</f>
        <v>115659.83996279998</v>
      </c>
      <c r="BA537" s="93"/>
      <c r="BB537" s="93">
        <f>ППД5[[#This Row],[Повышение 8.11.23 1К 5%]]+ППД5[[#This Row],[Фикс 23.10.23]]</f>
        <v>115659.83996279998</v>
      </c>
      <c r="BC537" s="93"/>
      <c r="BD537" s="93">
        <f>ППД5[[#This Row],[Корректировка 24.11.23 - 1К В5, 2К А2, №233]]+ППД5[[#This Row],[Фикс 8.11.23]]</f>
        <v>115659.83996279998</v>
      </c>
      <c r="BE537" s="93">
        <f>ППД5[[#This Row],[Фикс 8.11.24]]*1%</f>
        <v>1156.5983996279997</v>
      </c>
      <c r="BF537" s="93">
        <f>ППД5[[#This Row],[Наценка за отделку 29.12.23 1%]]+ППД5[[#This Row],[Фикс 8.11.24]]</f>
        <v>116816.43836242797</v>
      </c>
      <c r="BG537" s="93">
        <f>ППД5[[#This Row],[Фикс 29.12.23]]*5%</f>
        <v>5840.821918121399</v>
      </c>
      <c r="BH537" s="93">
        <f>ППД5[[#This Row],[Фикс 29.12.23]]+ППД5[[#This Row],[Наценка 10.01.24 5%]]</f>
        <v>122657.26028054937</v>
      </c>
      <c r="BI537" s="93"/>
      <c r="BJ537" s="93">
        <f>ППД5[[#This Row],[Наценка 26.02.24 1 Этаж]]+ППД5[[#This Row],[Фикс 10.01.24]]</f>
        <v>122657.26028054937</v>
      </c>
      <c r="BK537" s="93">
        <f>ППД5[[#This Row],[Фикс 26.02.24]]*3%</f>
        <v>3679.7178084164807</v>
      </c>
      <c r="BL537" s="93">
        <f>ППД5[[#This Row],[Фикс 26.02.24]]+ППД5[[#This Row],[Наценка 06.03.24
СТ, 1К - 3%
2К, 3К - 2%]]</f>
        <v>126336.97808896584</v>
      </c>
      <c r="BM537" s="93"/>
      <c r="BN537" s="93">
        <f>ППД5[[#This Row],[Фикс 06.03.24]]+ППД5[[#This Row],[Наценка Г2+500]]</f>
        <v>126336.97808896584</v>
      </c>
      <c r="BO537" s="93"/>
      <c r="BP537" s="93">
        <f>ППД5[[#This Row],[Фикс 13.03.25]]+ППД5[[#This Row],[Наценка 20.03.24
2К, 3К - 2%]]</f>
        <v>126336.97808896584</v>
      </c>
      <c r="BQ537" s="93"/>
      <c r="BR537" s="93">
        <f>ППД5[[#This Row],[Фикс 20.03.24]]+ППД5[[#This Row],[Наценка 08.04.24 
2К: В3 - 150
3К: Г7 +1000]]</f>
        <v>126336.97808896584</v>
      </c>
      <c r="BS537" s="93">
        <f>ППД5[[#This Row],[Фикс 08.04.24]]*1%</f>
        <v>1263.3697808896584</v>
      </c>
      <c r="BT537" s="93">
        <f>ППД5[[#This Row],[Фикс 08.04.24]]+ППД5[[#This Row],[Наценка 16.05.24 1%
А4,А6,Б3,Б6,Б7,В2,В3,В5,В6,Г1,Г3-Г5]]</f>
        <v>127600.3478698555</v>
      </c>
      <c r="BU537" s="93"/>
      <c r="BV537" s="93">
        <f>ППД5[[#This Row],[Фикс 16.05.24]]+ППД5[[#This Row],[Наценка 24.05.24
1% - Б4, Б5,Г2,Г6
2% - А1,А3,А5,Б2,Г7]]</f>
        <v>127600.3478698555</v>
      </c>
      <c r="BW537" s="93">
        <f>ППД5[[#This Row],[Фикс 24.05.24]]*0.5%</f>
        <v>638.0017393492775</v>
      </c>
      <c r="BX537" s="93">
        <f>ППД5[[#This Row],[Наценка 06.06.24
0К: В2,Г3 +0,5%
1К: А7, Б5/4, Г6 +0,5%
3К: В6 +0,5%
1К: А3 +1%]]+ППД5[[#This Row],[Фикс 24.05.24]]</f>
        <v>128238.34960920477</v>
      </c>
      <c r="BY537" s="93"/>
      <c r="BZ537" s="93">
        <f>ППД5[[#This Row],[Фикс 06.06.24]]+ППД5[[#This Row],[13.06.2024
3К - 2%]]</f>
        <v>128238.34960920477</v>
      </c>
      <c r="CA537" s="93">
        <f>2.5%*ППД5[[#This Row],[Фикс 13.06.24]]</f>
        <v>3205.9587402301195</v>
      </c>
      <c r="CB537" s="93">
        <f>ППД5[[#This Row],[02.07.2024: Г3 А1 А3 Б5 Б7 Г2 Г6 Б3 Б4 В3 Г7 2,5% ост 0,5-1,5%]]+ППД5[[#This Row],[Фикс 13.06.24]]</f>
        <v>131444.3083494349</v>
      </c>
      <c r="CC537" s="93"/>
      <c r="CD537" s="93">
        <f>ППД5[[#This Row],[Фикс 02.07.24]]+ППД5[[#This Row],[04.09.2024 +500
0К - Б2; 1К - А3;
2К - А6, Б4, В3, Г5]]</f>
        <v>131444.3083494349</v>
      </c>
      <c r="CE537" s="93"/>
      <c r="CF537" s="93">
        <f>ППД5[[#This Row],[Наценка 16.09.2024
1К: А1,В7,Г6/7,Г8 - 2%
2К: А4,А5,А6,Б1,Б6,Б3/4,В3,В4,Г4,Г5 - 4%
3К: 4%]]+ППД5[[#This Row],[Фикс 04.09.24]]</f>
        <v>131444.3083494349</v>
      </c>
      <c r="CG537" s="93">
        <f>ППД5[[#This Row],[Фикс 16.09.2024]]*4%</f>
        <v>5257.7723339773956</v>
      </c>
      <c r="CH537" s="93">
        <f>ППД5[[#This Row],[Фикс 16.09.2024]]+ППД5[[#This Row],[Наценка 01.11.24
СТ: 4%
1К: 34-40м 5%; 40м+ 8%; МГН 1%
2К: 55-70м 6%; 70-73м 7%; 73-76м 8% 
3К: 5%]]</f>
        <v>136702.08068341229</v>
      </c>
      <c r="CI537" s="93">
        <f>ППД5[[#This Row],[Фикс 01.11.24]]*13%</f>
        <v>17771.270488843598</v>
      </c>
      <c r="CJ537" s="93">
        <f>ППД5[[#This Row],[Наценка 06.11 13%]]+ППД5[[#This Row],[Фикс 01.11.24]]</f>
        <v>154473.35117225588</v>
      </c>
      <c r="CK537" s="93">
        <v>35</v>
      </c>
      <c r="CL537" s="93">
        <f>ППД5[[#This Row],[Фикс 06.11.24]]+ППД5[[#This Row],[Наценка 18.12.24 распределение КВ]]</f>
        <v>154508.35117225588</v>
      </c>
      <c r="CM537" s="93"/>
      <c r="CN537" s="93">
        <f>ППД5[[#This Row],[Фикс 18.12.24]]+ППД5[[#This Row],[Наценка 10.02.25 +1%
1К: А3
2К: Б3, В3]]</f>
        <v>154508.35117225588</v>
      </c>
      <c r="CO537" s="93">
        <f>ROUND(ППД5[[#This Row],[Фикс 10.02.25]],2)</f>
        <v>154508.35</v>
      </c>
      <c r="CP53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3785500</v>
      </c>
      <c r="CQ537" s="93">
        <f>ROUNDUP(ППД5[[#This Row],[Стоимость до скидки]]+ППД5[[#This Row],[Сумма доплаты]],-2)</f>
        <v>3739200</v>
      </c>
      <c r="CR537" s="68"/>
      <c r="CS537" s="90"/>
      <c r="CT537" s="68">
        <f>ППД5[[#This Row],[Стоимость до скидки]]*ППД5[[#This Row],[Скидка %]]+ППД5[[#This Row],[Скидка фиксированная]]</f>
        <v>0</v>
      </c>
      <c r="CU537" s="3">
        <f>ППД5[[#This Row],[Стоимость ОН без отделки со скидкой]]/ППД5[[#This Row],[Расчетная проектная площадь]]</f>
        <v>154510.20408163266</v>
      </c>
      <c r="CV537" s="3">
        <f>ROUND(ППД5[[#This Row],[Стоимость до скидки]]-ППД5[[#This Row],[Итоговая сумма скидки]],2)</f>
        <v>3785500</v>
      </c>
      <c r="CW53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537" s="218">
        <v>10000</v>
      </c>
      <c r="CY537" s="332">
        <f>ППД5[[#This Row],[Расхождение]]/ППД5[[#This Row],[Расчетная проектная площадь]]</f>
        <v>-1.2244897959183702E-2</v>
      </c>
      <c r="CZ537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-0.34000000000000075</v>
      </c>
      <c r="DA537" s="3">
        <f>ППД5[[#This Row],[Цена м2 без отделки со скидкой]]+ППД5[[#This Row],[Стоимость отделки]]</f>
        <v>164510.20408163266</v>
      </c>
      <c r="DB537" s="3">
        <f>ППД5[[#This Row],[Стоимость квартиры с отделкой]]-ППД5[[#This Row],[Стоимость ОН без отделки со скидкой]]</f>
        <v>245000</v>
      </c>
      <c r="DC537" s="3">
        <f>ППД5[[#This Row],[Цена м2 с отделкой]]*ППД5[[#This Row],[Расчетная проектная площадь]]</f>
        <v>4030500</v>
      </c>
      <c r="DD537" s="3"/>
      <c r="DF537" s="155" t="s">
        <v>157</v>
      </c>
      <c r="DG537" s="221" t="s">
        <v>157</v>
      </c>
      <c r="DH537" s="100" t="b">
        <f>EXACT(ППД5[[#This Row],[Статусы CRM]],ППД5[[#This Row],[Статус]])</f>
        <v>1</v>
      </c>
      <c r="DI537" s="213" t="s">
        <v>709</v>
      </c>
      <c r="DJ537" s="204"/>
      <c r="DK537" s="111" t="s">
        <v>763</v>
      </c>
      <c r="DL537" s="216" t="s">
        <v>780</v>
      </c>
      <c r="DM537" s="201" t="b">
        <f>ППД5[[#This Row],[Отделка CRM]]=ППД5[[#This Row],[Отделка]]</f>
        <v>1</v>
      </c>
      <c r="DN537" s="203">
        <v>4030500</v>
      </c>
      <c r="DO53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37" s="207" t="b">
        <f>IF(AND(ППД5[[#This Row],[Статус]]="свободно",ППД5[[#This Row],[Итоговая сумма скидки]]&lt;&gt;0),FALSE,TRUE)</f>
        <v>1</v>
      </c>
      <c r="DQ537" s="240" t="str">
        <f>_xlfn.XLOOKUP(ППД5[[#This Row],[№]],Юрист[№ кв],Юрист[Дата подачи на регистрацию]," ",0,-1)</f>
        <v xml:space="preserve"> </v>
      </c>
      <c r="DR537" s="115" t="str">
        <f>_xlfn.XLOOKUP(ППД5[[#This Row],[№]],Юрист[№ кв],Юрист[МОП],"",0,-1)</f>
        <v/>
      </c>
      <c r="DS537" s="333" t="s">
        <v>3366</v>
      </c>
      <c r="DT537" s="333" t="s">
        <v>3367</v>
      </c>
      <c r="DU537" s="333">
        <v>22.7</v>
      </c>
      <c r="DV537" s="111"/>
    </row>
    <row r="538" spans="1:126" hidden="1" x14ac:dyDescent="0.25">
      <c r="A538" s="112">
        <v>536</v>
      </c>
      <c r="B538" s="111" t="s">
        <v>2</v>
      </c>
      <c r="C538" s="111">
        <v>19</v>
      </c>
      <c r="D538" s="115">
        <v>4</v>
      </c>
      <c r="E538" s="111">
        <v>2</v>
      </c>
      <c r="F538" s="105">
        <v>14.48</v>
      </c>
      <c r="G538" s="105">
        <v>11.42</v>
      </c>
      <c r="H538" s="105"/>
      <c r="I538" s="94">
        <f>SUM(ППД5[[#This Row],[Комната 1]:[Комната 3]])</f>
        <v>25.9</v>
      </c>
      <c r="J538" s="105">
        <v>15.86</v>
      </c>
      <c r="K538" s="105">
        <v>3.01</v>
      </c>
      <c r="L538" s="105">
        <v>2.67</v>
      </c>
      <c r="M538" s="105"/>
      <c r="N538" s="105">
        <v>9.44</v>
      </c>
      <c r="O538" s="105">
        <v>2.72</v>
      </c>
      <c r="P538" s="105"/>
      <c r="Q538" s="105"/>
      <c r="R538" s="105">
        <f>SUM(ППД5[[#This Row],[Лоджия 1]:[Лоджия 3]])</f>
        <v>2.72</v>
      </c>
      <c r="S538" s="8">
        <f>ROUND(SUM(ППД5[[#This Row],[Площадь по проекту жилая]:[Лоджия 3]]),2)</f>
        <v>59.6</v>
      </c>
      <c r="T538" s="8">
        <f>ROUND(ППД5[[#This Row],[Площадь по проекту(общая)]]-ППД5[[#This Row],[Летние]],2)</f>
        <v>56.88</v>
      </c>
      <c r="U538" s="91">
        <f>ROUND(ППД5[[#This Row],[Площадь по проекту(общая)]]-(SUM(ППД5[[#This Row],[Лоджия 1]:[Лоджия 3]])/2),2)</f>
        <v>58.24</v>
      </c>
      <c r="V538" s="91">
        <f>IF(ППД5[[#This Row],[Статус]]="продажа",ППД5[[#This Row],[Расчетная проектная площадь]],ППД5[[#This Row],[Расчетная ТП площадь]])</f>
        <v>58.300000000000004</v>
      </c>
      <c r="W538" s="91">
        <v>14.6</v>
      </c>
      <c r="X538" s="91">
        <v>11.3</v>
      </c>
      <c r="Y538" s="91"/>
      <c r="Z538" s="91">
        <f>SUM(ППД5[[#This Row],[ТП Комната 1]:[ТП Комната 3]])</f>
        <v>25.9</v>
      </c>
      <c r="AA538" s="91">
        <v>15.8</v>
      </c>
      <c r="AB538" s="91">
        <v>2.7</v>
      </c>
      <c r="AC538" s="91">
        <v>3</v>
      </c>
      <c r="AD538" s="91"/>
      <c r="AE538" s="91">
        <v>9.5</v>
      </c>
      <c r="AF538" s="91">
        <v>1.4</v>
      </c>
      <c r="AG538" s="91"/>
      <c r="AH538" s="91"/>
      <c r="AI538" s="91">
        <f>SUM(ППД5[[#This Row],[ТП Лоджия 1]:[ТП Лоджия 3]])</f>
        <v>1.4</v>
      </c>
      <c r="AJ538" s="95">
        <v>2.8</v>
      </c>
      <c r="AK538" s="91">
        <f>SUM(ППД5[[#This Row],[Площадь по ТП жилая]:[ТП Лоджия 3]])-ППД5[[#This Row],[ТП Летние]]+ППД5[[#This Row],[кроме того прочая
(без коэффициента)]]</f>
        <v>59.7</v>
      </c>
      <c r="AL538" s="95">
        <f>ППД5[[#This Row],[ТП Площадь без летних]]+(ППД5[[#This Row],[ТП Летние]])</f>
        <v>58.300000000000004</v>
      </c>
      <c r="AM538" s="91">
        <f>ППД5[[#This Row],[ТП общая S]]-ППД5[[#This Row],[кроме того прочая
(без коэффициента)]]</f>
        <v>56.900000000000006</v>
      </c>
      <c r="AN538" s="95">
        <f>SUM(ППД5[[#This Row],[ТП Кухня]:[ТП Коридор]])</f>
        <v>31</v>
      </c>
      <c r="AO538" s="91">
        <f>ППД5[[#This Row],[Расчетная ТП площадь]]-ППД5[[#This Row],[Расчетная проектная площадь]]</f>
        <v>6.0000000000002274E-2</v>
      </c>
      <c r="AP538" s="335">
        <f>ППД5[[#This Row],[Расчетная ТП площадь]]/ППД5[[#This Row],[Расчетная проектная площадь]]-1</f>
        <v>1.0302197802198876E-3</v>
      </c>
      <c r="AQ538" s="91">
        <f>ППД5[[#This Row],[% расхождения]]*ППД5[[#This Row],[Стоимость до скидки]]</f>
        <v>7839.0453296711466</v>
      </c>
      <c r="AR538" s="91">
        <f>VLOOKUP(ППД5[[#This Row],[№]],наценкад5[],COLUMN(наценкад5[[#This Row],[Цена м2 с учетом всех K]]),0)</f>
        <v>85713.201000000001</v>
      </c>
      <c r="AS538" s="8">
        <f>ППД5[[#This Row],[м2 после К]]*5%</f>
        <v>4285.6600500000004</v>
      </c>
      <c r="AT538" s="8">
        <f>ППД5[[#This Row],[м2 после К]]+ППД5[[#This Row],[Повышение 16.08.23 - 5%]]</f>
        <v>89998.861050000007</v>
      </c>
      <c r="AU538" s="93">
        <f>ППД5[[#This Row],[Фикс 16.08.23]]*3%</f>
        <v>2699.9658315000001</v>
      </c>
      <c r="AV538" s="93">
        <f>ППД5[[#This Row],[Фикс 16.08.23]]+ППД5[[#This Row],[Повышение 29.08.23 - 3%]]</f>
        <v>92698.826881500005</v>
      </c>
      <c r="AW538" s="93"/>
      <c r="AX538" s="93">
        <f>ППД5[[#This Row],[Фикс 29.08.23]]+ППД5[[#This Row],[Повышение 06.09.23 СТ и 1К]]</f>
        <v>92698.826881500005</v>
      </c>
      <c r="AY538" s="93"/>
      <c r="AZ538" s="93">
        <f>ППД5[[#This Row],[Повышение 23.10.23  В4 ]]+ППД5[[#This Row],[Фикс 06.09.23]]</f>
        <v>92698.826881500005</v>
      </c>
      <c r="BA538" s="93"/>
      <c r="BB538" s="93">
        <f>ППД5[[#This Row],[Повышение 8.11.23 1К 5%]]+ППД5[[#This Row],[Фикс 23.10.23]]</f>
        <v>92698.826881500005</v>
      </c>
      <c r="BC538" s="93"/>
      <c r="BD538" s="93">
        <f>ППД5[[#This Row],[Корректировка 24.11.23 - 1К В5, 2К А2, №233]]+ППД5[[#This Row],[Фикс 8.11.23]]</f>
        <v>92698.826881500005</v>
      </c>
      <c r="BE538" s="93">
        <f>ППД5[[#This Row],[Фикс 8.11.24]]*1%</f>
        <v>926.98826881500008</v>
      </c>
      <c r="BF538" s="93">
        <f>ППД5[[#This Row],[Наценка за отделку 29.12.23 1%]]+ППД5[[#This Row],[Фикс 8.11.24]]</f>
        <v>93625.815150315</v>
      </c>
      <c r="BG538" s="93">
        <f>ППД5[[#This Row],[Фикс 29.12.23]]*5%</f>
        <v>4681.2907575157506</v>
      </c>
      <c r="BH538" s="93">
        <f>ППД5[[#This Row],[Фикс 29.12.23]]+ППД5[[#This Row],[Наценка 10.01.24 5%]]</f>
        <v>98307.105907830744</v>
      </c>
      <c r="BI538" s="93"/>
      <c r="BJ538" s="93">
        <f>ППД5[[#This Row],[Наценка 26.02.24 1 Этаж]]+ППД5[[#This Row],[Фикс 10.01.24]]</f>
        <v>98307.105907830744</v>
      </c>
      <c r="BK538" s="93">
        <f>ППД5[[#This Row],[Фикс 26.02.24]]*2%</f>
        <v>1966.142118156615</v>
      </c>
      <c r="BL538" s="93">
        <f>ППД5[[#This Row],[Фикс 26.02.24]]+ППД5[[#This Row],[Наценка 06.03.24
СТ, 1К - 3%
2К, 3К - 2%]]</f>
        <v>100273.24802598736</v>
      </c>
      <c r="BM538" s="93"/>
      <c r="BN538" s="93">
        <f>ППД5[[#This Row],[Фикс 06.03.24]]+ППД5[[#This Row],[Наценка Г2+500]]</f>
        <v>100273.24802598736</v>
      </c>
      <c r="BO538" s="93">
        <f>ППД5[[#This Row],[Фикс 13.03.25]]*2%</f>
        <v>2005.4649605197471</v>
      </c>
      <c r="BP538" s="93">
        <f>ППД5[[#This Row],[Фикс 13.03.25]]+ППД5[[#This Row],[Наценка 20.03.24
2К, 3К - 2%]]</f>
        <v>102278.7129865071</v>
      </c>
      <c r="BQ538" s="93"/>
      <c r="BR538" s="93">
        <f>ППД5[[#This Row],[Фикс 20.03.24]]+ППД5[[#This Row],[Наценка 08.04.24 
2К: В3 - 150
3К: Г7 +1000]]</f>
        <v>102278.7129865071</v>
      </c>
      <c r="BS538" s="93">
        <f>ППД5[[#This Row],[Фикс 08.04.24]]*1%</f>
        <v>1022.7871298650711</v>
      </c>
      <c r="BT538" s="93">
        <f>ППД5[[#This Row],[Фикс 08.04.24]]+ППД5[[#This Row],[Наценка 16.05.24 1%
А4,А6,Б3,Б6,Б7,В2,В3,В5,В6,Г1,Г3-Г5]]</f>
        <v>103301.50011637218</v>
      </c>
      <c r="BU538" s="93"/>
      <c r="BV538" s="93">
        <f>ППД5[[#This Row],[Фикс 16.05.24]]+ППД5[[#This Row],[Наценка 24.05.24
1% - Б4, Б5,Г2,Г6
2% - А1,А3,А5,Б2,Г7]]</f>
        <v>103301.50011637218</v>
      </c>
      <c r="BW538" s="93"/>
      <c r="BX538" s="93">
        <f>ППД5[[#This Row],[Наценка 06.06.24
0К: В2,Г3 +0,5%
1К: А7, Б5/4, Г6 +0,5%
3К: В6 +0,5%
1К: А3 +1%]]+ППД5[[#This Row],[Фикс 24.05.24]]</f>
        <v>103301.50011637218</v>
      </c>
      <c r="BY538" s="93"/>
      <c r="BZ538" s="93">
        <f>ППД5[[#This Row],[Фикс 06.06.24]]+ППД5[[#This Row],[13.06.2024
3К - 2%]]</f>
        <v>103301.50011637218</v>
      </c>
      <c r="CA538" s="47">
        <f>1.5%*ППД5[[#This Row],[Фикс 13.06.24]]</f>
        <v>1549.5225017455825</v>
      </c>
      <c r="CB538" s="93">
        <f>ППД5[[#This Row],[02.07.2024: Г3 А1 А3 Б5 Б7 Г2 Г6 Б3 Б4 В3 Г7 2,5% ост 0,5-1,5%]]+ППД5[[#This Row],[Фикс 13.06.24]]</f>
        <v>104851.02261811776</v>
      </c>
      <c r="CC538" s="93"/>
      <c r="CD538" s="93">
        <f>ППД5[[#This Row],[Фикс 02.07.24]]+ППД5[[#This Row],[04.09.2024 +500
0К - Б2; 1К - А3;
2К - А6, Б4, В3, Г5]]</f>
        <v>104851.02261811776</v>
      </c>
      <c r="CE538" s="93">
        <f>ППД5[[#This Row],[Фикс 04.09.24]]*4%</f>
        <v>4194.0409047247103</v>
      </c>
      <c r="CF538" s="93">
        <f>ППД5[[#This Row],[Наценка 16.09.2024
1К: А1,В7,Г6/7,Г8 - 2%
2К: А4,А5,А6,Б1,Б6,Б3/4,В3,В4,Г4,Г5 - 4%
3К: 4%]]+ППД5[[#This Row],[Фикс 04.09.24]]</f>
        <v>109045.06352284247</v>
      </c>
      <c r="CG538" s="93">
        <f>ППД5[[#This Row],[Фикс 16.09.2024]]*6%</f>
        <v>6542.7038113705476</v>
      </c>
      <c r="CH538" s="93">
        <f>ППД5[[#This Row],[Фикс 16.09.2024]]+ППД5[[#This Row],[Наценка 01.11.24
СТ: 4%
1К: 34-40м 5%; 40м+ 8%; МГН 1%
2К: 55-70м 6%; 70-73м 7%; 73-76м 8% 
3К: 5%]]</f>
        <v>115587.76733421301</v>
      </c>
      <c r="CI538" s="93">
        <f>ППД5[[#This Row],[Фикс 01.11.24]]*13%</f>
        <v>15026.409753447693</v>
      </c>
      <c r="CJ538" s="93">
        <f>ППД5[[#This Row],[Наценка 06.11 13%]]+ППД5[[#This Row],[Фикс 01.11.24]]</f>
        <v>130614.1770876607</v>
      </c>
      <c r="CK538" s="93">
        <v>35</v>
      </c>
      <c r="CL538" s="93">
        <f>ППД5[[#This Row],[Фикс 06.11.24]]+ППД5[[#This Row],[Наценка 18.12.24 распределение КВ]]</f>
        <v>130649.1770876607</v>
      </c>
      <c r="CM538" s="93"/>
      <c r="CN538" s="93">
        <f>ППД5[[#This Row],[Фикс 18.12.24]]+ППД5[[#This Row],[Наценка 10.02.25 +1%
1К: А3
2К: Б3, В3]]</f>
        <v>130649.1770876607</v>
      </c>
      <c r="CO538" s="93">
        <f>ROUND(ППД5[[#This Row],[Фикс 10.02.25]],2)</f>
        <v>130649.18</v>
      </c>
      <c r="CP53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7609100</v>
      </c>
      <c r="CQ538" s="93">
        <f>ROUNDUP(ППД5[[#This Row],[Стоимость до скидки]]+ППД5[[#This Row],[Сумма доплаты]],-2)</f>
        <v>7617000</v>
      </c>
      <c r="CR538" s="68"/>
      <c r="CS538" s="90"/>
      <c r="CT538" s="68">
        <f>ППД5[[#This Row],[Стоимость до скидки]]*ППД5[[#This Row],[Скидка %]]+ППД5[[#This Row],[Скидка фиксированная]]</f>
        <v>0</v>
      </c>
      <c r="CU538" s="3">
        <f>ППД5[[#This Row],[Стоимость ОН без отделки со скидкой]]/ППД5[[#This Row],[Расчетная проектная площадь]]</f>
        <v>130650.75549450549</v>
      </c>
      <c r="CV538" s="3">
        <f>ROUND(ППД5[[#This Row],[Стоимость до скидки]]-ППД5[[#This Row],[Итоговая сумма скидки]],2)</f>
        <v>7609100</v>
      </c>
      <c r="CW53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538" s="218">
        <v>10000</v>
      </c>
      <c r="CY538" s="332">
        <f>ППД5[[#This Row],[Расхождение]]/ППД5[[#This Row],[Расчетная проектная площадь]]</f>
        <v>1.0302197802198193E-3</v>
      </c>
      <c r="CZ538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2.000000000000135E-2</v>
      </c>
      <c r="DA538" s="3">
        <f>ППД5[[#This Row],[Цена м2 без отделки со скидкой]]+ППД5[[#This Row],[Стоимость отделки]]</f>
        <v>140650.75549450549</v>
      </c>
      <c r="DB538" s="3">
        <f>ППД5[[#This Row],[Стоимость квартиры с отделкой]]-ППД5[[#This Row],[Стоимость ОН без отделки со скидкой]]</f>
        <v>582400</v>
      </c>
      <c r="DC538" s="3">
        <f>ППД5[[#This Row],[Цена м2 с отделкой]]*ППД5[[#This Row],[Расчетная проектная площадь]]</f>
        <v>8191500</v>
      </c>
      <c r="DD538" s="3"/>
      <c r="DF538" s="199" t="s">
        <v>157</v>
      </c>
      <c r="DG538" s="245" t="s">
        <v>157</v>
      </c>
      <c r="DH538" s="100" t="b">
        <f>EXACT(ППД5[[#This Row],[Статусы CRM]],ППД5[[#This Row],[Статус]])</f>
        <v>1</v>
      </c>
      <c r="DI538" s="213" t="s">
        <v>710</v>
      </c>
      <c r="DJ538" s="204"/>
      <c r="DK538" s="111" t="s">
        <v>763</v>
      </c>
      <c r="DL538" s="216" t="s">
        <v>780</v>
      </c>
      <c r="DM538" s="201" t="b">
        <f>ППД5[[#This Row],[Отделка CRM]]=ППД5[[#This Row],[Отделка]]</f>
        <v>1</v>
      </c>
      <c r="DN538" s="203">
        <v>8191500</v>
      </c>
      <c r="DO53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38" s="207" t="b">
        <f>IF(AND(ППД5[[#This Row],[Статус]]="свободно",ППД5[[#This Row],[Итоговая сумма скидки]]&lt;&gt;0),FALSE,TRUE)</f>
        <v>1</v>
      </c>
      <c r="DQ538" s="240" t="str">
        <f>_xlfn.XLOOKUP(ППД5[[#This Row],[№]],Юрист[№ кв],Юрист[Дата подачи на регистрацию]," ",0,-1)</f>
        <v xml:space="preserve"> </v>
      </c>
      <c r="DR538" s="115" t="str">
        <f>_xlfn.XLOOKUP(ППД5[[#This Row],[№]],Юрист[№ кв],Юрист[МОП],"",0,-1)</f>
        <v/>
      </c>
      <c r="DS538" s="333" t="s">
        <v>3368</v>
      </c>
      <c r="DT538" s="333" t="s">
        <v>3369</v>
      </c>
      <c r="DU538" s="333">
        <v>56.9</v>
      </c>
      <c r="DV538" s="111"/>
    </row>
    <row r="539" spans="1:126" hidden="1" x14ac:dyDescent="0.25">
      <c r="A539" s="112">
        <v>537</v>
      </c>
      <c r="B539" s="111" t="s">
        <v>2</v>
      </c>
      <c r="C539" s="111">
        <v>19</v>
      </c>
      <c r="D539" s="115">
        <v>5</v>
      </c>
      <c r="E539" s="111">
        <v>2</v>
      </c>
      <c r="F539" s="105">
        <v>15.41</v>
      </c>
      <c r="G539" s="105">
        <v>12.78</v>
      </c>
      <c r="H539" s="105"/>
      <c r="I539" s="94">
        <f>SUM(ППД5[[#This Row],[Комната 1]:[Комната 3]])</f>
        <v>28.189999999999998</v>
      </c>
      <c r="J539" s="105">
        <v>13.45</v>
      </c>
      <c r="K539" s="105">
        <v>3.7</v>
      </c>
      <c r="L539" s="105">
        <v>2.72</v>
      </c>
      <c r="M539" s="105"/>
      <c r="N539" s="105">
        <v>8.2200000000000006</v>
      </c>
      <c r="O539" s="105">
        <v>3.03</v>
      </c>
      <c r="P539" s="105"/>
      <c r="Q539" s="105"/>
      <c r="R539" s="105">
        <f>SUM(ППД5[[#This Row],[Лоджия 1]:[Лоджия 3]])</f>
        <v>3.03</v>
      </c>
      <c r="S539" s="8">
        <f>ROUND(SUM(ППД5[[#This Row],[Площадь по проекту жилая]:[Лоджия 3]]),2)</f>
        <v>59.31</v>
      </c>
      <c r="T539" s="8">
        <f>ROUND(ППД5[[#This Row],[Площадь по проекту(общая)]]-ППД5[[#This Row],[Летние]],2)</f>
        <v>56.28</v>
      </c>
      <c r="U539" s="91">
        <f>ROUND(ППД5[[#This Row],[Площадь по проекту(общая)]]-(SUM(ППД5[[#This Row],[Лоджия 1]:[Лоджия 3]])/2),2)</f>
        <v>57.8</v>
      </c>
      <c r="V539" s="91">
        <f>IF(ППД5[[#This Row],[Статус]]="продажа",ППД5[[#This Row],[Расчетная проектная площадь]],ППД5[[#This Row],[Расчетная ТП площадь]])</f>
        <v>57.6</v>
      </c>
      <c r="W539" s="91">
        <v>12.6</v>
      </c>
      <c r="X539" s="91">
        <v>15.5</v>
      </c>
      <c r="Y539" s="91"/>
      <c r="Z539" s="91">
        <f>SUM(ППД5[[#This Row],[ТП Комната 1]:[ТП Комната 3]])</f>
        <v>28.1</v>
      </c>
      <c r="AA539" s="91">
        <v>13.4</v>
      </c>
      <c r="AB539" s="91">
        <v>2.8</v>
      </c>
      <c r="AC539" s="91">
        <v>3.7</v>
      </c>
      <c r="AD539" s="91"/>
      <c r="AE539" s="91">
        <v>8.1</v>
      </c>
      <c r="AF539" s="91">
        <v>1.5</v>
      </c>
      <c r="AG539" s="91"/>
      <c r="AH539" s="91"/>
      <c r="AI539" s="91">
        <f>SUM(ППД5[[#This Row],[ТП Лоджия 1]:[ТП Лоджия 3]])</f>
        <v>1.5</v>
      </c>
      <c r="AJ539" s="95">
        <v>3</v>
      </c>
      <c r="AK539" s="91">
        <f>SUM(ППД5[[#This Row],[Площадь по ТП жилая]:[ТП Лоджия 3]])-ППД5[[#This Row],[ТП Летние]]+ППД5[[#This Row],[кроме того прочая
(без коэффициента)]]</f>
        <v>59.1</v>
      </c>
      <c r="AL539" s="95">
        <f>ППД5[[#This Row],[ТП Площадь без летних]]+(ППД5[[#This Row],[ТП Летние]])</f>
        <v>57.6</v>
      </c>
      <c r="AM539" s="91">
        <f>ППД5[[#This Row],[ТП общая S]]-ППД5[[#This Row],[кроме того прочая
(без коэффициента)]]</f>
        <v>56.1</v>
      </c>
      <c r="AN539" s="95">
        <f>SUM(ППД5[[#This Row],[ТП Кухня]:[ТП Коридор]])</f>
        <v>28</v>
      </c>
      <c r="AO539" s="91">
        <f>ППД5[[#This Row],[Расчетная ТП площадь]]-ППД5[[#This Row],[Расчетная проектная площадь]]</f>
        <v>-0.19999999999999574</v>
      </c>
      <c r="AP539" s="335">
        <f>ППД5[[#This Row],[Расчетная ТП площадь]]/ППД5[[#This Row],[Расчетная проектная площадь]]-1</f>
        <v>-3.4602076124566894E-3</v>
      </c>
      <c r="AQ539" s="91">
        <f>ППД5[[#This Row],[% расхождения]]*ППД5[[#This Row],[Стоимость до скидки]]</f>
        <v>-26137.024221452848</v>
      </c>
      <c r="AR539" s="91">
        <f>VLOOKUP(ППД5[[#This Row],[№]],наценкад5[],COLUMN(наценкад5[[#This Row],[Цена м2 с учетом всех K]]),0)</f>
        <v>85327.105500000005</v>
      </c>
      <c r="AS539" s="8">
        <f>ППД5[[#This Row],[м2 после К]]*5%</f>
        <v>4266.3552750000008</v>
      </c>
      <c r="AT539" s="8">
        <f>ППД5[[#This Row],[м2 после К]]+ППД5[[#This Row],[Повышение 16.08.23 - 5%]]</f>
        <v>89593.460775</v>
      </c>
      <c r="AU539" s="93">
        <f>ППД5[[#This Row],[Фикс 16.08.23]]*3%</f>
        <v>2687.8038232499998</v>
      </c>
      <c r="AV539" s="93">
        <f>ППД5[[#This Row],[Фикс 16.08.23]]+ППД5[[#This Row],[Повышение 29.08.23 - 3%]]</f>
        <v>92281.264598249996</v>
      </c>
      <c r="AW539" s="93"/>
      <c r="AX539" s="93">
        <f>ППД5[[#This Row],[Фикс 29.08.23]]+ППД5[[#This Row],[Повышение 06.09.23 СТ и 1К]]</f>
        <v>92281.264598249996</v>
      </c>
      <c r="AY539" s="93"/>
      <c r="AZ539" s="93">
        <f>ППД5[[#This Row],[Повышение 23.10.23  В4 ]]+ППД5[[#This Row],[Фикс 06.09.23]]</f>
        <v>92281.264598249996</v>
      </c>
      <c r="BA539" s="93"/>
      <c r="BB539" s="93">
        <f>ППД5[[#This Row],[Повышение 8.11.23 1К 5%]]+ППД5[[#This Row],[Фикс 23.10.23]]</f>
        <v>92281.264598249996</v>
      </c>
      <c r="BC539" s="93"/>
      <c r="BD539" s="93">
        <f>ППД5[[#This Row],[Корректировка 24.11.23 - 1К В5, 2К А2, №233]]+ППД5[[#This Row],[Фикс 8.11.23]]</f>
        <v>92281.264598249996</v>
      </c>
      <c r="BE539" s="93">
        <f>ППД5[[#This Row],[Фикс 8.11.24]]*1%</f>
        <v>922.81264598249993</v>
      </c>
      <c r="BF539" s="93">
        <f>ППД5[[#This Row],[Наценка за отделку 29.12.23 1%]]+ППД5[[#This Row],[Фикс 8.11.24]]</f>
        <v>93204.077244232496</v>
      </c>
      <c r="BG539" s="93">
        <f>ППД5[[#This Row],[Фикс 29.12.23]]*5%</f>
        <v>4660.2038622116252</v>
      </c>
      <c r="BH539" s="93">
        <f>ППД5[[#This Row],[Фикс 29.12.23]]+ППД5[[#This Row],[Наценка 10.01.24 5%]]</f>
        <v>97864.281106444119</v>
      </c>
      <c r="BI539" s="93"/>
      <c r="BJ539" s="93">
        <f>ППД5[[#This Row],[Наценка 26.02.24 1 Этаж]]+ППД5[[#This Row],[Фикс 10.01.24]]</f>
        <v>97864.281106444119</v>
      </c>
      <c r="BK539" s="93">
        <f>ППД5[[#This Row],[Фикс 26.02.24]]*2%</f>
        <v>1957.2856221288823</v>
      </c>
      <c r="BL539" s="93">
        <f>ППД5[[#This Row],[Фикс 26.02.24]]+ППД5[[#This Row],[Наценка 06.03.24
СТ, 1К - 3%
2К, 3К - 2%]]</f>
        <v>99821.566728573001</v>
      </c>
      <c r="BM539" s="93"/>
      <c r="BN539" s="93">
        <f>ППД5[[#This Row],[Фикс 06.03.24]]+ППД5[[#This Row],[Наценка Г2+500]]</f>
        <v>99821.566728573001</v>
      </c>
      <c r="BO539" s="93">
        <f>ППД5[[#This Row],[Фикс 13.03.25]]*2%</f>
        <v>1996.4313345714602</v>
      </c>
      <c r="BP539" s="93">
        <f>ППД5[[#This Row],[Фикс 13.03.25]]+ППД5[[#This Row],[Наценка 20.03.24
2К, 3К - 2%]]</f>
        <v>101817.99806314446</v>
      </c>
      <c r="BQ539" s="93"/>
      <c r="BR539" s="93">
        <f>ППД5[[#This Row],[Фикс 20.03.24]]+ППД5[[#This Row],[Наценка 08.04.24 
2К: В3 - 150
3К: Г7 +1000]]</f>
        <v>101817.99806314446</v>
      </c>
      <c r="BS539" s="93">
        <f>ППД5[[#This Row],[Фикс 08.04.24]]*1%</f>
        <v>1018.1799806314447</v>
      </c>
      <c r="BT539" s="93">
        <f>ППД5[[#This Row],[Фикс 08.04.24]]+ППД5[[#This Row],[Наценка 16.05.24 1%
А4,А6,Б3,Б6,Б7,В2,В3,В5,В6,Г1,Г3-Г5]]</f>
        <v>102836.1780437759</v>
      </c>
      <c r="BU539" s="93"/>
      <c r="BV539" s="93">
        <f>ППД5[[#This Row],[Фикс 16.05.24]]+ППД5[[#This Row],[Наценка 24.05.24
1% - Б4, Б5,Г2,Г6
2% - А1,А3,А5,Б2,Г7]]</f>
        <v>102836.1780437759</v>
      </c>
      <c r="BW539" s="93"/>
      <c r="BX539" s="93">
        <f>ППД5[[#This Row],[Наценка 06.06.24
0К: В2,Г3 +0,5%
1К: А7, Б5/4, Г6 +0,5%
3К: В6 +0,5%
1К: А3 +1%]]+ППД5[[#This Row],[Фикс 24.05.24]]</f>
        <v>102836.1780437759</v>
      </c>
      <c r="BY539" s="93"/>
      <c r="BZ539" s="93">
        <f>ППД5[[#This Row],[Фикс 06.06.24]]+ППД5[[#This Row],[13.06.2024
3К - 2%]]</f>
        <v>102836.1780437759</v>
      </c>
      <c r="CA539" s="47">
        <f>1.5%*ППД5[[#This Row],[Фикс 13.06.24]]</f>
        <v>1542.5426706566384</v>
      </c>
      <c r="CB539" s="93">
        <f>ППД5[[#This Row],[02.07.2024: Г3 А1 А3 Б5 Б7 Г2 Г6 Б3 Б4 В3 Г7 2,5% ост 0,5-1,5%]]+ППД5[[#This Row],[Фикс 13.06.24]]</f>
        <v>104378.72071443254</v>
      </c>
      <c r="CC539" s="93">
        <v>500</v>
      </c>
      <c r="CD539" s="93">
        <f>ППД5[[#This Row],[Фикс 02.07.24]]+ППД5[[#This Row],[04.09.2024 +500
0К - Б2; 1К - А3;
2К - А6, Б4, В3, Г5]]</f>
        <v>104878.72071443254</v>
      </c>
      <c r="CE539" s="93">
        <f>ППД5[[#This Row],[Фикс 04.09.24]]*4%</f>
        <v>4195.1488285773012</v>
      </c>
      <c r="CF539" s="93">
        <f>ППД5[[#This Row],[Наценка 16.09.2024
1К: А1,В7,Г6/7,Г8 - 2%
2К: А4,А5,А6,Б1,Б6,Б3/4,В3,В4,Г4,Г5 - 4%
3К: 4%]]+ППД5[[#This Row],[Фикс 04.09.24]]</f>
        <v>109073.86954300985</v>
      </c>
      <c r="CG539" s="93">
        <f>ППД5[[#This Row],[Фикс 16.09.2024]]*6%</f>
        <v>6544.4321725805903</v>
      </c>
      <c r="CH539" s="93">
        <f>ППД5[[#This Row],[Фикс 16.09.2024]]+ППД5[[#This Row],[Наценка 01.11.24
СТ: 4%
1К: 34-40м 5%; 40м+ 8%; МГН 1%
2К: 55-70м 6%; 70-73м 7%; 73-76м 8% 
3К: 5%]]</f>
        <v>115618.30171559044</v>
      </c>
      <c r="CI539" s="93">
        <f>ППД5[[#This Row],[Фикс 01.11.24]]*13%</f>
        <v>15030.379223026757</v>
      </c>
      <c r="CJ539" s="93">
        <f>ППД5[[#This Row],[Наценка 06.11 13%]]+ППД5[[#This Row],[Фикс 01.11.24]]</f>
        <v>130648.6809386172</v>
      </c>
      <c r="CK539" s="93">
        <v>35</v>
      </c>
      <c r="CL539" s="93">
        <f>ППД5[[#This Row],[Фикс 06.11.24]]+ППД5[[#This Row],[Наценка 18.12.24 распределение КВ]]</f>
        <v>130683.6809386172</v>
      </c>
      <c r="CM539" s="93"/>
      <c r="CN539" s="93">
        <f>ППД5[[#This Row],[Фикс 18.12.24]]+ППД5[[#This Row],[Наценка 10.02.25 +1%
1К: А3
2К: Б3, В3]]</f>
        <v>130683.6809386172</v>
      </c>
      <c r="CO539" s="93">
        <f>ROUND(ППД5[[#This Row],[Фикс 10.02.25]],2)</f>
        <v>130683.68</v>
      </c>
      <c r="CP53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7553600</v>
      </c>
      <c r="CQ539" s="93">
        <f>ROUNDUP(ППД5[[#This Row],[Стоимость до скидки]]+ППД5[[#This Row],[Сумма доплаты]],-2)</f>
        <v>7527500</v>
      </c>
      <c r="CR539" s="68"/>
      <c r="CS539" s="90"/>
      <c r="CT539" s="68">
        <f>ППД5[[#This Row],[Стоимость до скидки]]*ППД5[[#This Row],[Скидка %]]+ППД5[[#This Row],[Скидка фиксированная]]</f>
        <v>0</v>
      </c>
      <c r="CU539" s="3">
        <f>ППД5[[#This Row],[Стоимость ОН без отделки со скидкой]]/ППД5[[#This Row],[Расчетная проектная площадь]]</f>
        <v>130685.12110726644</v>
      </c>
      <c r="CV539" s="3">
        <f>ROUND(ППД5[[#This Row],[Стоимость до скидки]]-ППД5[[#This Row],[Итоговая сумма скидки]],2)</f>
        <v>7553600</v>
      </c>
      <c r="CW53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39" s="197"/>
      <c r="CY539" s="332">
        <f>ППД5[[#This Row],[Расхождение]]/ППД5[[#This Row],[Расчетная проектная площадь]]</f>
        <v>-3.4602076124566738E-3</v>
      </c>
      <c r="CZ53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-8.9999999999996305E-2</v>
      </c>
      <c r="DA539" s="3">
        <f>ППД5[[#This Row],[Цена м2 без отделки со скидкой]]+ППД5[[#This Row],[Стоимость отделки]]</f>
        <v>130685.12110726644</v>
      </c>
      <c r="DB539" s="3">
        <f>ППД5[[#This Row],[Стоимость квартиры с отделкой]]-ППД5[[#This Row],[Стоимость ОН без отделки со скидкой]]</f>
        <v>0</v>
      </c>
      <c r="DC539" s="3">
        <f>ППД5[[#This Row],[Цена м2 с отделкой]]*ППД5[[#This Row],[Расчетная проектная площадь]]</f>
        <v>7553600</v>
      </c>
      <c r="DD539" s="3"/>
      <c r="DF539" s="155" t="s">
        <v>157</v>
      </c>
      <c r="DG539" s="245" t="s">
        <v>157</v>
      </c>
      <c r="DH539" s="100" t="b">
        <f>EXACT(ППД5[[#This Row],[Статусы CRM]],ППД5[[#This Row],[Статус]])</f>
        <v>1</v>
      </c>
      <c r="DI539" s="213" t="s">
        <v>711</v>
      </c>
      <c r="DJ539" s="204"/>
      <c r="DK539" s="111" t="s">
        <v>763</v>
      </c>
      <c r="DL539" s="216" t="s">
        <v>12</v>
      </c>
      <c r="DM539" s="201" t="b">
        <f>ППД5[[#This Row],[Отделка CRM]]=ППД5[[#This Row],[Отделка]]</f>
        <v>1</v>
      </c>
      <c r="DN539" s="203">
        <v>7553600</v>
      </c>
      <c r="DO53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39" s="207" t="b">
        <f>IF(AND(ППД5[[#This Row],[Статус]]="свободно",ППД5[[#This Row],[Итоговая сумма скидки]]&lt;&gt;0),FALSE,TRUE)</f>
        <v>1</v>
      </c>
      <c r="DQ539" s="240" t="str">
        <f>_xlfn.XLOOKUP(ППД5[[#This Row],[№]],Юрист[№ кв],Юрист[Дата подачи на регистрацию]," ",0,-1)</f>
        <v xml:space="preserve"> </v>
      </c>
      <c r="DR539" s="115" t="str">
        <f>_xlfn.XLOOKUP(ППД5[[#This Row],[№]],Юрист[№ кв],Юрист[МОП],"",0,-1)</f>
        <v/>
      </c>
      <c r="DS539" s="333" t="s">
        <v>3370</v>
      </c>
      <c r="DT539" s="333" t="s">
        <v>3371</v>
      </c>
      <c r="DU539" s="333">
        <v>56.1</v>
      </c>
      <c r="DV539" s="111"/>
    </row>
    <row r="540" spans="1:126" hidden="1" x14ac:dyDescent="0.25">
      <c r="A540" s="112">
        <v>538</v>
      </c>
      <c r="B540" s="111" t="s">
        <v>2</v>
      </c>
      <c r="C540" s="111">
        <v>19</v>
      </c>
      <c r="D540" s="115">
        <v>6</v>
      </c>
      <c r="E540" s="111">
        <v>1</v>
      </c>
      <c r="F540" s="105">
        <v>12.71</v>
      </c>
      <c r="G540" s="105"/>
      <c r="H540" s="105"/>
      <c r="I540" s="94">
        <f>SUM(ППД5[[#This Row],[Комната 1]:[Комната 3]])</f>
        <v>12.71</v>
      </c>
      <c r="J540" s="105">
        <v>12.55</v>
      </c>
      <c r="K540" s="105">
        <v>4.28</v>
      </c>
      <c r="L540" s="105"/>
      <c r="M540" s="105"/>
      <c r="N540" s="105">
        <v>7.34</v>
      </c>
      <c r="O540" s="105">
        <v>2.84</v>
      </c>
      <c r="P540" s="105"/>
      <c r="Q540" s="105"/>
      <c r="R540" s="105">
        <f>SUM(ППД5[[#This Row],[Лоджия 1]:[Лоджия 3]])</f>
        <v>2.84</v>
      </c>
      <c r="S540" s="8">
        <f>ROUND(SUM(ППД5[[#This Row],[Площадь по проекту жилая]:[Лоджия 3]]),2)</f>
        <v>39.72</v>
      </c>
      <c r="T540" s="8">
        <f>ROUND(ППД5[[#This Row],[Площадь по проекту(общая)]]-ППД5[[#This Row],[Летние]],2)</f>
        <v>36.880000000000003</v>
      </c>
      <c r="U540" s="91">
        <f>ROUND(ППД5[[#This Row],[Площадь по проекту(общая)]]-(SUM(ППД5[[#This Row],[Лоджия 1]:[Лоджия 3]])/2),2)</f>
        <v>38.299999999999997</v>
      </c>
      <c r="V540" s="91">
        <f>IF(ППД5[[#This Row],[Статус]]="продажа",ППД5[[#This Row],[Расчетная проектная площадь]],ППД5[[#This Row],[Расчетная ТП площадь]])</f>
        <v>37.950000000000003</v>
      </c>
      <c r="W540" s="91">
        <v>12.5</v>
      </c>
      <c r="X540" s="91"/>
      <c r="Y540" s="91"/>
      <c r="Z540" s="91">
        <f>SUM(ППД5[[#This Row],[ТП Комната 1]:[ТП Комната 3]])</f>
        <v>12.5</v>
      </c>
      <c r="AA540" s="91">
        <v>12.5</v>
      </c>
      <c r="AB540" s="91">
        <v>4.0999999999999996</v>
      </c>
      <c r="AC540" s="91"/>
      <c r="AD540" s="91"/>
      <c r="AE540" s="91">
        <v>7.4</v>
      </c>
      <c r="AF540" s="91">
        <v>1.45</v>
      </c>
      <c r="AG540" s="91"/>
      <c r="AH540" s="91"/>
      <c r="AI540" s="91">
        <f>SUM(ППД5[[#This Row],[ТП Лоджия 1]:[ТП Лоджия 3]])</f>
        <v>1.45</v>
      </c>
      <c r="AJ540" s="95">
        <v>2.9</v>
      </c>
      <c r="AK540" s="91">
        <f>SUM(ППД5[[#This Row],[Площадь по ТП жилая]:[ТП Лоджия 3]])-ППД5[[#This Row],[ТП Летние]]+ППД5[[#This Row],[кроме того прочая
(без коэффициента)]]</f>
        <v>39.4</v>
      </c>
      <c r="AL540" s="95">
        <f>ППД5[[#This Row],[ТП Площадь без летних]]+(ППД5[[#This Row],[ТП Летние]])</f>
        <v>37.950000000000003</v>
      </c>
      <c r="AM540" s="91">
        <f>ППД5[[#This Row],[ТП общая S]]-ППД5[[#This Row],[кроме того прочая
(без коэффициента)]]</f>
        <v>36.5</v>
      </c>
      <c r="AN540" s="95">
        <f>SUM(ППД5[[#This Row],[ТП Кухня]:[ТП Коридор]])</f>
        <v>24</v>
      </c>
      <c r="AO540" s="91">
        <f>ППД5[[#This Row],[Расчетная ТП площадь]]-ППД5[[#This Row],[Расчетная проектная площадь]]</f>
        <v>-0.34999999999999432</v>
      </c>
      <c r="AP540" s="335">
        <f>ППД5[[#This Row],[Расчетная ТП площадь]]/ППД5[[#This Row],[Расчетная проектная площадь]]-1</f>
        <v>-9.1383812010442655E-3</v>
      </c>
      <c r="AQ540" s="91">
        <f>ППД5[[#This Row],[% расхождения]]*ППД5[[#This Row],[Стоимость до скидки]]</f>
        <v>-51961.749347257799</v>
      </c>
      <c r="AR540" s="91">
        <f>VLOOKUP(ППД5[[#This Row],[№]],наценкад5[],COLUMN(наценкад5[[#This Row],[Цена м2 с учетом всех K]]),0)</f>
        <v>94090.5</v>
      </c>
      <c r="AS540" s="8">
        <f>ППД5[[#This Row],[м2 после К]]*5%</f>
        <v>4704.5250000000005</v>
      </c>
      <c r="AT540" s="8">
        <f>ППД5[[#This Row],[м2 после К]]+ППД5[[#This Row],[Повышение 16.08.23 - 5%]]</f>
        <v>98795.024999999994</v>
      </c>
      <c r="AU540" s="93">
        <f>ППД5[[#This Row],[Фикс 16.08.23]]*3%</f>
        <v>2963.8507499999996</v>
      </c>
      <c r="AV540" s="93">
        <f>ППД5[[#This Row],[Фикс 16.08.23]]+ППД5[[#This Row],[Повышение 29.08.23 - 3%]]</f>
        <v>101758.87574999999</v>
      </c>
      <c r="AW540" s="93">
        <f>ППД5[[#This Row],[Фикс 29.08.23]]*1%</f>
        <v>1017.5887574999999</v>
      </c>
      <c r="AX540" s="93">
        <f>ППД5[[#This Row],[Фикс 29.08.23]]+ППД5[[#This Row],[Повышение 06.09.23 СТ и 1К]]</f>
        <v>102776.46450749999</v>
      </c>
      <c r="AY540" s="93"/>
      <c r="AZ540" s="93">
        <f>ППД5[[#This Row],[Повышение 23.10.23  В4 ]]+ППД5[[#This Row],[Фикс 06.09.23]]</f>
        <v>102776.46450749999</v>
      </c>
      <c r="BA540" s="93">
        <f>ППД5[[#This Row],[Фикс 23.10.23]]*5%</f>
        <v>5138.8232253749993</v>
      </c>
      <c r="BB540" s="93">
        <f>ППД5[[#This Row],[Повышение 8.11.23 1К 5%]]+ППД5[[#This Row],[Фикс 23.10.23]]</f>
        <v>107915.28773287499</v>
      </c>
      <c r="BC540" s="93"/>
      <c r="BD540" s="93">
        <f>ППД5[[#This Row],[Корректировка 24.11.23 - 1К В5, 2К А2, №233]]+ППД5[[#This Row],[Фикс 8.11.23]]</f>
        <v>107915.28773287499</v>
      </c>
      <c r="BE540" s="93">
        <f>ППД5[[#This Row],[Фикс 8.11.24]]*1%</f>
        <v>1079.1528773287498</v>
      </c>
      <c r="BF540" s="93">
        <f>ППД5[[#This Row],[Наценка за отделку 29.12.23 1%]]+ППД5[[#This Row],[Фикс 8.11.24]]</f>
        <v>108994.44061020373</v>
      </c>
      <c r="BG540" s="93">
        <f>ППД5[[#This Row],[Фикс 29.12.23]]*5%</f>
        <v>5449.7220305101873</v>
      </c>
      <c r="BH540" s="93">
        <f>ППД5[[#This Row],[Фикс 29.12.23]]+ППД5[[#This Row],[Наценка 10.01.24 5%]]</f>
        <v>114444.16264071391</v>
      </c>
      <c r="BI540" s="93"/>
      <c r="BJ540" s="93">
        <f>ППД5[[#This Row],[Наценка 26.02.24 1 Этаж]]+ППД5[[#This Row],[Фикс 10.01.24]]</f>
        <v>114444.16264071391</v>
      </c>
      <c r="BK540" s="93">
        <f>ППД5[[#This Row],[Фикс 26.02.24]]*3%</f>
        <v>3433.3248792214172</v>
      </c>
      <c r="BL540" s="93">
        <f>ППД5[[#This Row],[Фикс 26.02.24]]+ППД5[[#This Row],[Наценка 06.03.24
СТ, 1К - 3%
2К, 3К - 2%]]</f>
        <v>117877.48751993533</v>
      </c>
      <c r="BM540" s="93"/>
      <c r="BN540" s="93">
        <f>ППД5[[#This Row],[Фикс 06.03.24]]+ППД5[[#This Row],[Наценка Г2+500]]</f>
        <v>117877.48751993533</v>
      </c>
      <c r="BO540" s="93"/>
      <c r="BP540" s="93">
        <f>ППД5[[#This Row],[Фикс 13.03.25]]+ППД5[[#This Row],[Наценка 20.03.24
2К, 3К - 2%]]</f>
        <v>117877.48751993533</v>
      </c>
      <c r="BQ540" s="93"/>
      <c r="BR540" s="93">
        <f>ППД5[[#This Row],[Фикс 20.03.24]]+ППД5[[#This Row],[Наценка 08.04.24 
2К: В3 - 150
3К: Г7 +1000]]</f>
        <v>117877.48751993533</v>
      </c>
      <c r="BS540" s="93"/>
      <c r="BT540" s="93">
        <f>ППД5[[#This Row],[Фикс 08.04.24]]+ППД5[[#This Row],[Наценка 16.05.24 1%
А4,А6,Б3,Б6,Б7,В2,В3,В5,В6,Г1,Г3-Г5]]</f>
        <v>117877.48751993533</v>
      </c>
      <c r="BU540" s="93">
        <f>ППД5[[#This Row],[Фикс 16.05.24]]*1%</f>
        <v>1178.7748751993533</v>
      </c>
      <c r="BV540" s="93">
        <f>ППД5[[#This Row],[Фикс 16.05.24]]+ППД5[[#This Row],[Наценка 24.05.24
1% - Б4, Б5,Г2,Г6
2% - А1,А3,А5,Б2,Г7]]</f>
        <v>119056.26239513468</v>
      </c>
      <c r="BW540" s="93">
        <f>ППД5[[#This Row],[Фикс 24.05.24]]*0.5%</f>
        <v>595.28131197567336</v>
      </c>
      <c r="BX540" s="93">
        <f>ППД5[[#This Row],[Наценка 06.06.24
0К: В2,Г3 +0,5%
1К: А7, Б5/4, Г6 +0,5%
3К: В6 +0,5%
1К: А3 +1%]]+ППД5[[#This Row],[Фикс 24.05.24]]</f>
        <v>119651.54370711035</v>
      </c>
      <c r="BY540" s="93"/>
      <c r="BZ540" s="93">
        <f>ППД5[[#This Row],[Фикс 06.06.24]]+ППД5[[#This Row],[13.06.2024
3К - 2%]]</f>
        <v>119651.54370711035</v>
      </c>
      <c r="CA540" s="93">
        <f>2.5%*ППД5[[#This Row],[Фикс 13.06.24]]</f>
        <v>2991.288592677759</v>
      </c>
      <c r="CB540" s="93">
        <f>ППД5[[#This Row],[02.07.2024: Г3 А1 А3 Б5 Б7 Г2 Г6 Б3 Б4 В3 Г7 2,5% ост 0,5-1,5%]]+ППД5[[#This Row],[Фикс 13.06.24]]</f>
        <v>122642.8322997881</v>
      </c>
      <c r="CC540" s="93"/>
      <c r="CD540" s="93">
        <f>ППД5[[#This Row],[Фикс 02.07.24]]+ППД5[[#This Row],[04.09.2024 +500
0К - Б2; 1К - А3;
2К - А6, Б4, В3, Г5]]</f>
        <v>122642.8322997881</v>
      </c>
      <c r="CE540" s="93">
        <f>ППД5[[#This Row],[Фикс 04.09.24]]*2%</f>
        <v>2452.8566459957619</v>
      </c>
      <c r="CF540" s="93">
        <f>ППД5[[#This Row],[Наценка 16.09.2024
1К: А1,В7,Г6/7,Г8 - 2%
2К: А4,А5,А6,Б1,Б6,Б3/4,В3,В4,Г4,Г5 - 4%
3К: 4%]]+ППД5[[#This Row],[Фикс 04.09.24]]</f>
        <v>125095.68894578387</v>
      </c>
      <c r="CG540" s="93">
        <f>ППД5[[#This Row],[Фикс 16.09.2024]]*5%</f>
        <v>6254.7844472891938</v>
      </c>
      <c r="CH540" s="93">
        <f>ППД5[[#This Row],[Фикс 16.09.2024]]+ППД5[[#This Row],[Наценка 01.11.24
СТ: 4%
1К: 34-40м 5%; 40м+ 8%; МГН 1%
2К: 55-70м 6%; 70-73м 7%; 73-76м 8% 
3К: 5%]]</f>
        <v>131350.47339307307</v>
      </c>
      <c r="CI540" s="93">
        <f>ППД5[[#This Row],[Фикс 01.11.24]]*13%</f>
        <v>17075.561541099501</v>
      </c>
      <c r="CJ540" s="93">
        <f>ППД5[[#This Row],[Наценка 06.11 13%]]+ППД5[[#This Row],[Фикс 01.11.24]]</f>
        <v>148426.03493417258</v>
      </c>
      <c r="CK540" s="93">
        <v>35</v>
      </c>
      <c r="CL540" s="93">
        <f>ППД5[[#This Row],[Фикс 06.11.24]]+ППД5[[#This Row],[Наценка 18.12.24 распределение КВ]]</f>
        <v>148461.03493417258</v>
      </c>
      <c r="CM540" s="93"/>
      <c r="CN540" s="93">
        <f>ППД5[[#This Row],[Фикс 18.12.24]]+ППД5[[#This Row],[Наценка 10.02.25 +1%
1К: А3
2К: Б3, В3]]</f>
        <v>148461.03493417258</v>
      </c>
      <c r="CO540" s="93">
        <f>ROUND(ППД5[[#This Row],[Фикс 10.02.25]],2)</f>
        <v>148461.03</v>
      </c>
      <c r="CP54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5686100</v>
      </c>
      <c r="CQ540" s="93">
        <f>ROUNDUP(ППД5[[#This Row],[Стоимость до скидки]]+ППД5[[#This Row],[Сумма доплаты]],-2)</f>
        <v>5634200</v>
      </c>
      <c r="CR540" s="68"/>
      <c r="CS540" s="90"/>
      <c r="CT540" s="68">
        <f>ППД5[[#This Row],[Стоимость до скидки]]*ППД5[[#This Row],[Скидка %]]+ППД5[[#This Row],[Скидка фиксированная]]</f>
        <v>0</v>
      </c>
      <c r="CU540" s="3">
        <f>ППД5[[#This Row],[Стоимость ОН без отделки со скидкой]]/ППД5[[#This Row],[Расчетная проектная площадь]]</f>
        <v>148462.14099216711</v>
      </c>
      <c r="CV540" s="3">
        <f>ROUND(ППД5[[#This Row],[Стоимость до скидки]]-ППД5[[#This Row],[Итоговая сумма скидки]],2)</f>
        <v>5686100</v>
      </c>
      <c r="CW54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40" s="197"/>
      <c r="CY540" s="332">
        <f>ППД5[[#This Row],[Расхождение]]/ППД5[[#This Row],[Расчетная проектная площадь]]</f>
        <v>-9.1383812010442395E-3</v>
      </c>
      <c r="CZ54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-0.17000000000000171</v>
      </c>
      <c r="DA540" s="3">
        <f>ППД5[[#This Row],[Цена м2 без отделки со скидкой]]+ППД5[[#This Row],[Стоимость отделки]]</f>
        <v>148462.14099216711</v>
      </c>
      <c r="DB540" s="3">
        <f>ППД5[[#This Row],[Стоимость квартиры с отделкой]]-ППД5[[#This Row],[Стоимость ОН без отделки со скидкой]]</f>
        <v>0</v>
      </c>
      <c r="DC540" s="3">
        <f>ППД5[[#This Row],[Цена м2 с отделкой]]*ППД5[[#This Row],[Расчетная проектная площадь]]</f>
        <v>5686100</v>
      </c>
      <c r="DD540" s="3"/>
      <c r="DF540" s="221" t="s">
        <v>157</v>
      </c>
      <c r="DG540" s="245" t="s">
        <v>157</v>
      </c>
      <c r="DH540" s="100" t="b">
        <f>EXACT(ППД5[[#This Row],[Статусы CRM]],ППД5[[#This Row],[Статус]])</f>
        <v>1</v>
      </c>
      <c r="DI540" s="213" t="s">
        <v>712</v>
      </c>
      <c r="DJ540" s="204"/>
      <c r="DK540" s="111" t="s">
        <v>763</v>
      </c>
      <c r="DL540" s="216" t="s">
        <v>12</v>
      </c>
      <c r="DM540" s="201" t="b">
        <f>ППД5[[#This Row],[Отделка CRM]]=ППД5[[#This Row],[Отделка]]</f>
        <v>1</v>
      </c>
      <c r="DN540" s="203">
        <v>5686100</v>
      </c>
      <c r="DO54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40" s="207" t="b">
        <f>IF(AND(ППД5[[#This Row],[Статус]]="свободно",ППД5[[#This Row],[Итоговая сумма скидки]]&lt;&gt;0),FALSE,TRUE)</f>
        <v>1</v>
      </c>
      <c r="DQ540" s="240" t="str">
        <f>_xlfn.XLOOKUP(ППД5[[#This Row],[№]],Юрист[№ кв],Юрист[Дата подачи на регистрацию]," ",0,-1)</f>
        <v xml:space="preserve"> </v>
      </c>
      <c r="DR540" s="115" t="str">
        <f>_xlfn.XLOOKUP(ППД5[[#This Row],[№]],Юрист[№ кв],Юрист[МОП],"",0,-1)</f>
        <v/>
      </c>
      <c r="DS540" s="333" t="s">
        <v>3372</v>
      </c>
      <c r="DT540" s="333" t="s">
        <v>3373</v>
      </c>
      <c r="DU540" s="333">
        <v>36.5</v>
      </c>
      <c r="DV540" s="111"/>
    </row>
    <row r="541" spans="1:126" hidden="1" x14ac:dyDescent="0.25">
      <c r="A541" s="112">
        <v>539</v>
      </c>
      <c r="B541" s="111" t="s">
        <v>2</v>
      </c>
      <c r="C541" s="111">
        <v>19</v>
      </c>
      <c r="D541" s="115">
        <v>7</v>
      </c>
      <c r="E541" s="111">
        <v>3</v>
      </c>
      <c r="F541" s="105">
        <v>14.49</v>
      </c>
      <c r="G541" s="105">
        <v>13.98</v>
      </c>
      <c r="H541" s="105">
        <v>11.42</v>
      </c>
      <c r="I541" s="94">
        <f>SUM(ППД5[[#This Row],[Комната 1]:[Комната 3]])</f>
        <v>39.89</v>
      </c>
      <c r="J541" s="105">
        <v>16.670000000000002</v>
      </c>
      <c r="K541" s="105">
        <v>4.1399999999999997</v>
      </c>
      <c r="L541" s="105">
        <v>1.89</v>
      </c>
      <c r="M541" s="105"/>
      <c r="N541" s="105">
        <v>11.31</v>
      </c>
      <c r="O541" s="105">
        <v>2.86</v>
      </c>
      <c r="P541" s="105">
        <v>2.79</v>
      </c>
      <c r="Q541" s="105">
        <v>5.42</v>
      </c>
      <c r="R541" s="105">
        <f>SUM(ППД5[[#This Row],[Лоджия 1]:[Лоджия 3]])</f>
        <v>11.07</v>
      </c>
      <c r="S541" s="8">
        <f>ROUND(SUM(ППД5[[#This Row],[Площадь по проекту жилая]:[Лоджия 3]]),2)</f>
        <v>84.97</v>
      </c>
      <c r="T541" s="8">
        <f>ROUND(ППД5[[#This Row],[Площадь по проекту(общая)]]-ППД5[[#This Row],[Летние]],2)</f>
        <v>73.900000000000006</v>
      </c>
      <c r="U541" s="91">
        <f>ROUND(ППД5[[#This Row],[Площадь по проекту(общая)]]-(SUM(ППД5[[#This Row],[Лоджия 1]:[Лоджия 3]])/2),2)</f>
        <v>79.44</v>
      </c>
      <c r="V541" s="91">
        <f>IF(ППД5[[#This Row],[Статус]]="продажа",ППД5[[#This Row],[Расчетная проектная площадь]],ППД5[[#This Row],[Расчетная ТП площадь]])</f>
        <v>78.749999999999986</v>
      </c>
      <c r="W541" s="91">
        <v>11.5</v>
      </c>
      <c r="X541" s="91">
        <v>14.5</v>
      </c>
      <c r="Y541" s="91">
        <v>14</v>
      </c>
      <c r="Z541" s="91">
        <f>SUM(ППД5[[#This Row],[ТП Комната 1]:[ТП Комната 3]])</f>
        <v>40</v>
      </c>
      <c r="AA541" s="91">
        <v>16.399999999999999</v>
      </c>
      <c r="AB541" s="91">
        <v>2</v>
      </c>
      <c r="AC541" s="91">
        <v>3.9</v>
      </c>
      <c r="AD541" s="91"/>
      <c r="AE541" s="91">
        <v>11</v>
      </c>
      <c r="AF541" s="91">
        <v>1.45</v>
      </c>
      <c r="AG541" s="91">
        <v>2.65</v>
      </c>
      <c r="AH541" s="91">
        <v>1.35</v>
      </c>
      <c r="AI541" s="91">
        <f>SUM(ППД5[[#This Row],[ТП Лоджия 1]:[ТП Лоджия 3]])</f>
        <v>5.4499999999999993</v>
      </c>
      <c r="AJ541" s="95">
        <v>10.899999999999999</v>
      </c>
      <c r="AK541" s="91">
        <f>SUM(ППД5[[#This Row],[Площадь по ТП жилая]:[ТП Лоджия 3]])-ППД5[[#This Row],[ТП Летние]]+ППД5[[#This Row],[кроме того прочая
(без коэффициента)]]</f>
        <v>84.199999999999989</v>
      </c>
      <c r="AL541" s="95">
        <f>ППД5[[#This Row],[ТП Площадь без летних]]+(ППД5[[#This Row],[ТП Летние]])</f>
        <v>78.749999999999986</v>
      </c>
      <c r="AM541" s="91">
        <f>ППД5[[#This Row],[ТП общая S]]-ППД5[[#This Row],[кроме того прочая
(без коэффициента)]]</f>
        <v>73.299999999999983</v>
      </c>
      <c r="AN541" s="95">
        <f>SUM(ППД5[[#This Row],[ТП Кухня]:[ТП Коридор]])</f>
        <v>33.299999999999997</v>
      </c>
      <c r="AO541" s="91">
        <f>ППД5[[#This Row],[Расчетная ТП площадь]]-ППД5[[#This Row],[Расчетная проектная площадь]]</f>
        <v>-0.69000000000001194</v>
      </c>
      <c r="AP541" s="335">
        <f>ППД5[[#This Row],[Расчетная ТП площадь]]/ППД5[[#This Row],[Расчетная проектная площадь]]-1</f>
        <v>-8.6858006042297431E-3</v>
      </c>
      <c r="AQ541" s="91">
        <f>ППД5[[#This Row],[% расхождения]]*ППД5[[#This Row],[Стоимость до скидки]]</f>
        <v>-90767.484894261244</v>
      </c>
      <c r="AR541" s="91">
        <f>VLOOKUP(ППД5[[#This Row],[№]],наценкад5[],COLUMN(наценкад5[[#This Row],[Цена м2 с учетом всех K]]),0)</f>
        <v>82085.85000000002</v>
      </c>
      <c r="AS541" s="8">
        <f>ППД5[[#This Row],[м2 после К]]*5%</f>
        <v>4104.2925000000014</v>
      </c>
      <c r="AT541" s="8">
        <f>ППД5[[#This Row],[м2 после К]]+ППД5[[#This Row],[Повышение 16.08.23 - 5%]]</f>
        <v>86190.142500000016</v>
      </c>
      <c r="AU541" s="93">
        <f>ППД5[[#This Row],[Фикс 16.08.23]]*3%</f>
        <v>2585.7042750000005</v>
      </c>
      <c r="AV541" s="93">
        <f>ППД5[[#This Row],[Фикс 16.08.23]]+ППД5[[#This Row],[Повышение 29.08.23 - 3%]]</f>
        <v>88775.846775000013</v>
      </c>
      <c r="AW541" s="93"/>
      <c r="AX541" s="93">
        <f>ППД5[[#This Row],[Фикс 29.08.23]]+ППД5[[#This Row],[Повышение 06.09.23 СТ и 1К]]</f>
        <v>88775.846775000013</v>
      </c>
      <c r="AY541" s="93"/>
      <c r="AZ541" s="93">
        <f>ППД5[[#This Row],[Повышение 23.10.23  В4 ]]+ППД5[[#This Row],[Фикс 06.09.23]]</f>
        <v>88775.846775000013</v>
      </c>
      <c r="BA541" s="93"/>
      <c r="BB541" s="93">
        <f>ППД5[[#This Row],[Повышение 8.11.23 1К 5%]]+ППД5[[#This Row],[Фикс 23.10.23]]</f>
        <v>88775.846775000013</v>
      </c>
      <c r="BC541" s="93"/>
      <c r="BD541" s="93">
        <f>ППД5[[#This Row],[Корректировка 24.11.23 - 1К В5, 2К А2, №233]]+ППД5[[#This Row],[Фикс 8.11.23]]</f>
        <v>88775.846775000013</v>
      </c>
      <c r="BE541" s="93">
        <f>ППД5[[#This Row],[Фикс 8.11.24]]*1%</f>
        <v>887.75846775000014</v>
      </c>
      <c r="BF541" s="93">
        <f>ППД5[[#This Row],[Наценка за отделку 29.12.23 1%]]+ППД5[[#This Row],[Фикс 8.11.24]]</f>
        <v>89663.605242750011</v>
      </c>
      <c r="BG541" s="93">
        <f>ППД5[[#This Row],[Фикс 29.12.23]]*5%</f>
        <v>4483.1802621375009</v>
      </c>
      <c r="BH541" s="93">
        <f>ППД5[[#This Row],[Фикс 29.12.23]]+ППД5[[#This Row],[Наценка 10.01.24 5%]]</f>
        <v>94146.785504887506</v>
      </c>
      <c r="BI541" s="93"/>
      <c r="BJ541" s="93">
        <f>ППД5[[#This Row],[Наценка 26.02.24 1 Этаж]]+ППД5[[#This Row],[Фикс 10.01.24]]</f>
        <v>94146.785504887506</v>
      </c>
      <c r="BK541" s="93">
        <f>ППД5[[#This Row],[Фикс 26.02.24]]*2%</f>
        <v>1882.9357100977502</v>
      </c>
      <c r="BL541" s="93">
        <f>ППД5[[#This Row],[Фикс 26.02.24]]+ППД5[[#This Row],[Наценка 06.03.24
СТ, 1К - 3%
2К, 3К - 2%]]</f>
        <v>96029.721214985257</v>
      </c>
      <c r="BM541" s="93"/>
      <c r="BN541" s="93">
        <f>ППД5[[#This Row],[Фикс 06.03.24]]+ППД5[[#This Row],[Наценка Г2+500]]</f>
        <v>96029.721214985257</v>
      </c>
      <c r="BO541" s="93">
        <f>ППД5[[#This Row],[Фикс 13.03.25]]*2%</f>
        <v>1920.5944242997052</v>
      </c>
      <c r="BP541" s="93">
        <f>ППД5[[#This Row],[Фикс 13.03.25]]+ППД5[[#This Row],[Наценка 20.03.24
2К, 3К - 2%]]</f>
        <v>97950.315639284963</v>
      </c>
      <c r="BQ541" s="93">
        <v>1000</v>
      </c>
      <c r="BR541" s="93">
        <f>ППД5[[#This Row],[Фикс 20.03.24]]+ППД5[[#This Row],[Наценка 08.04.24 
2К: В3 - 150
3К: Г7 +1000]]</f>
        <v>98950.315639284963</v>
      </c>
      <c r="BS541" s="93">
        <f>ППД5[[#This Row],[Фикс 08.04.24]]*1%</f>
        <v>989.50315639284963</v>
      </c>
      <c r="BT541" s="93">
        <f>ППД5[[#This Row],[Фикс 08.04.24]]+ППД5[[#This Row],[Наценка 16.05.24 1%
А4,А6,Б3,Б6,Б7,В2,В3,В5,В6,Г1,Г3-Г5]]</f>
        <v>99939.818795677813</v>
      </c>
      <c r="BU541" s="93">
        <f>ППД5[[#This Row],[Фикс 16.05.24]]*2%</f>
        <v>1998.7963759135564</v>
      </c>
      <c r="BV541" s="93">
        <f>ППД5[[#This Row],[Фикс 16.05.24]]+ППД5[[#This Row],[Наценка 24.05.24
1% - Б4, Б5,Г2,Г6
2% - А1,А3,А5,Б2,Г7]]</f>
        <v>101938.61517159137</v>
      </c>
      <c r="BW541" s="93"/>
      <c r="BX541" s="93">
        <f>ППД5[[#This Row],[Наценка 06.06.24
0К: В2,Г3 +0,5%
1К: А7, Б5/4, Г6 +0,5%
3К: В6 +0,5%
1К: А3 +1%]]+ППД5[[#This Row],[Фикс 24.05.24]]</f>
        <v>101938.61517159137</v>
      </c>
      <c r="BY541" s="93">
        <f>ППД5[[#This Row],[Фикс 06.06.24]]*2%</f>
        <v>2038.7723034318276</v>
      </c>
      <c r="BZ541" s="93">
        <f>ППД5[[#This Row],[Фикс 06.06.24]]+ППД5[[#This Row],[13.06.2024
3К - 2%]]</f>
        <v>103977.38747502321</v>
      </c>
      <c r="CA541" s="93">
        <f>2.5%*ППД5[[#This Row],[Фикс 13.06.24]]</f>
        <v>2599.4346868755802</v>
      </c>
      <c r="CB541" s="93">
        <f>ППД5[[#This Row],[02.07.2024: Г3 А1 А3 Б5 Б7 Г2 Г6 Б3 Б4 В3 Г7 2,5% ост 0,5-1,5%]]+ППД5[[#This Row],[Фикс 13.06.24]]</f>
        <v>106576.82216189879</v>
      </c>
      <c r="CC541" s="93"/>
      <c r="CD541" s="93">
        <f>ППД5[[#This Row],[Фикс 02.07.24]]+ППД5[[#This Row],[04.09.2024 +500
0К - Б2; 1К - А3;
2К - А6, Б4, В3, Г5]]</f>
        <v>106576.82216189879</v>
      </c>
      <c r="CE541" s="93">
        <f>ППД5[[#This Row],[Фикс 04.09.24]]*4%</f>
        <v>4263.0728864759512</v>
      </c>
      <c r="CF541" s="93">
        <f>ППД5[[#This Row],[Наценка 16.09.2024
1К: А1,В7,Г6/7,Г8 - 2%
2К: А4,А5,А6,Б1,Б6,Б3/4,В3,В4,Г4,Г5 - 4%
3К: 4%]]+ППД5[[#This Row],[Фикс 04.09.24]]</f>
        <v>110839.89504837475</v>
      </c>
      <c r="CG541" s="93">
        <f>ППД5[[#This Row],[Фикс 16.09.2024]]*5%</f>
        <v>5541.9947524187373</v>
      </c>
      <c r="CH541" s="93">
        <f>ППД5[[#This Row],[Фикс 16.09.2024]]+ППД5[[#This Row],[Наценка 01.11.24
СТ: 4%
1К: 34-40м 5%; 40м+ 8%; МГН 1%
2К: 55-70м 6%; 70-73м 7%; 73-76м 8% 
3К: 5%]]</f>
        <v>116381.88980079349</v>
      </c>
      <c r="CI541" s="93">
        <f>ППД5[[#This Row],[Фикс 01.11.24]]*13%</f>
        <v>15129.645674103154</v>
      </c>
      <c r="CJ541" s="93">
        <f>ППД5[[#This Row],[Наценка 06.11 13%]]+ППД5[[#This Row],[Фикс 01.11.24]]</f>
        <v>131511.53547489663</v>
      </c>
      <c r="CK541" s="93">
        <v>35</v>
      </c>
      <c r="CL541" s="93">
        <f>ППД5[[#This Row],[Фикс 06.11.24]]+ППД5[[#This Row],[Наценка 18.12.24 распределение КВ]]</f>
        <v>131546.53547489663</v>
      </c>
      <c r="CM541" s="93"/>
      <c r="CN541" s="93">
        <f>ППД5[[#This Row],[Фикс 18.12.24]]+ППД5[[#This Row],[Наценка 10.02.25 +1%
1К: А3
2К: Б3, В3]]</f>
        <v>131546.53547489663</v>
      </c>
      <c r="CO541" s="93">
        <f>ROUND(ППД5[[#This Row],[Фикс 10.02.25]],2)</f>
        <v>131546.54</v>
      </c>
      <c r="CP54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10450100</v>
      </c>
      <c r="CQ541" s="93">
        <f>ROUNDUP(ППД5[[#This Row],[Стоимость до скидки]]+ППД5[[#This Row],[Сумма доплаты]],-2)</f>
        <v>10359400</v>
      </c>
      <c r="CR541" s="68"/>
      <c r="CS541" s="90"/>
      <c r="CT541" s="68">
        <f>ППД5[[#This Row],[Стоимость до скидки]]*ППД5[[#This Row],[Скидка %]]+ППД5[[#This Row],[Скидка фиксированная]]</f>
        <v>0</v>
      </c>
      <c r="CU541" s="3">
        <f>ППД5[[#This Row],[Стоимость ОН без отделки со скидкой]]/ППД5[[#This Row],[Расчетная проектная площадь]]</f>
        <v>131547.0795568983</v>
      </c>
      <c r="CV541" s="3">
        <f>ROUND(ППД5[[#This Row],[Стоимость до скидки]]-ППД5[[#This Row],[Итоговая сумма скидки]],2)</f>
        <v>10450100</v>
      </c>
      <c r="CW54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541" s="218">
        <v>10000</v>
      </c>
      <c r="CY541" s="332">
        <f>ППД5[[#This Row],[Расхождение]]/ППД5[[#This Row],[Расчетная проектная площадь]]</f>
        <v>-8.685800604229757E-3</v>
      </c>
      <c r="CZ541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-0.71000000000000796</v>
      </c>
      <c r="DA541" s="3">
        <f>ППД5[[#This Row],[Цена м2 без отделки со скидкой]]+ППД5[[#This Row],[Стоимость отделки]]</f>
        <v>141547.0795568983</v>
      </c>
      <c r="DB541" s="3">
        <f>ППД5[[#This Row],[Стоимость квартиры с отделкой]]-ППД5[[#This Row],[Стоимость ОН без отделки со скидкой]]</f>
        <v>794400</v>
      </c>
      <c r="DC541" s="3">
        <f>ППД5[[#This Row],[Цена м2 с отделкой]]*ППД5[[#This Row],[Расчетная проектная площадь]]</f>
        <v>11244500</v>
      </c>
      <c r="DD541" s="3" t="s">
        <v>155</v>
      </c>
      <c r="DF541" s="155" t="s">
        <v>157</v>
      </c>
      <c r="DG541" s="245" t="s">
        <v>157</v>
      </c>
      <c r="DH541" s="100" t="b">
        <f>EXACT(ППД5[[#This Row],[Статусы CRM]],ППД5[[#This Row],[Статус]])</f>
        <v>1</v>
      </c>
      <c r="DI541" s="213" t="s">
        <v>713</v>
      </c>
      <c r="DJ541" s="204"/>
      <c r="DK541" s="111" t="s">
        <v>763</v>
      </c>
      <c r="DL541" s="216" t="s">
        <v>780</v>
      </c>
      <c r="DM541" s="201" t="b">
        <f>ППД5[[#This Row],[Отделка CRM]]=ППД5[[#This Row],[Отделка]]</f>
        <v>1</v>
      </c>
      <c r="DN541" s="203">
        <v>11244500</v>
      </c>
      <c r="DO54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41" s="207" t="b">
        <f>IF(AND(ППД5[[#This Row],[Статус]]="свободно",ППД5[[#This Row],[Итоговая сумма скидки]]&lt;&gt;0),FALSE,TRUE)</f>
        <v>1</v>
      </c>
      <c r="DQ541" s="240" t="str">
        <f>_xlfn.XLOOKUP(ППД5[[#This Row],[№]],Юрист[№ кв],Юрист[Дата подачи на регистрацию]," ",0,-1)</f>
        <v xml:space="preserve"> </v>
      </c>
      <c r="DR541" s="115" t="str">
        <f>_xlfn.XLOOKUP(ППД5[[#This Row],[№]],Юрист[№ кв],Юрист[МОП],"",0,-1)</f>
        <v/>
      </c>
      <c r="DS541" s="333" t="s">
        <v>3374</v>
      </c>
      <c r="DT541" s="333" t="s">
        <v>3375</v>
      </c>
      <c r="DU541" s="333">
        <v>73.3</v>
      </c>
      <c r="DV541" s="111"/>
    </row>
    <row r="542" spans="1:126" hidden="1" x14ac:dyDescent="0.25">
      <c r="A542" s="112">
        <v>540</v>
      </c>
      <c r="B542" s="111" t="s">
        <v>2</v>
      </c>
      <c r="C542" s="111">
        <v>19</v>
      </c>
      <c r="D542" s="115">
        <v>8</v>
      </c>
      <c r="E542" s="111">
        <v>1</v>
      </c>
      <c r="F542" s="105">
        <v>16.79</v>
      </c>
      <c r="G542" s="105"/>
      <c r="H542" s="105"/>
      <c r="I542" s="94">
        <f>SUM(ППД5[[#This Row],[Комната 1]:[Комната 3]])</f>
        <v>16.79</v>
      </c>
      <c r="J542" s="105">
        <v>11.43</v>
      </c>
      <c r="K542" s="105">
        <v>3.56</v>
      </c>
      <c r="L542" s="105"/>
      <c r="M542" s="105"/>
      <c r="N542" s="105">
        <v>6.66</v>
      </c>
      <c r="O542" s="105">
        <v>2.4900000000000002</v>
      </c>
      <c r="P542" s="105"/>
      <c r="Q542" s="105"/>
      <c r="R542" s="105">
        <f>SUM(ППД5[[#This Row],[Лоджия 1]:[Лоджия 3]])</f>
        <v>2.4900000000000002</v>
      </c>
      <c r="S542" s="8">
        <f>ROUND(SUM(ППД5[[#This Row],[Площадь по проекту жилая]:[Лоджия 3]]),2)</f>
        <v>40.93</v>
      </c>
      <c r="T542" s="8">
        <f>ROUND(ППД5[[#This Row],[Площадь по проекту(общая)]]-ППД5[[#This Row],[Летние]],2)</f>
        <v>38.44</v>
      </c>
      <c r="U542" s="91">
        <f>ROUND(ППД5[[#This Row],[Площадь по проекту(общая)]]-(SUM(ППД5[[#This Row],[Лоджия 1]:[Лоджия 3]])/2),2)</f>
        <v>39.69</v>
      </c>
      <c r="V542" s="91">
        <f>IF(ППД5[[#This Row],[Статус]]="продажа",ППД5[[#This Row],[Расчетная проектная площадь]],ППД5[[#This Row],[Расчетная ТП площадь]])</f>
        <v>39.69</v>
      </c>
      <c r="W542" s="91">
        <v>16.7</v>
      </c>
      <c r="X542" s="91"/>
      <c r="Y542" s="91"/>
      <c r="Z542" s="91">
        <f>SUM(ППД5[[#This Row],[ТП Комната 1]:[ТП Комната 3]])</f>
        <v>16.7</v>
      </c>
      <c r="AA542" s="91">
        <v>11.3</v>
      </c>
      <c r="AB542" s="91">
        <v>3.5</v>
      </c>
      <c r="AC542" s="91"/>
      <c r="AD542" s="91"/>
      <c r="AE542" s="91">
        <v>6.7</v>
      </c>
      <c r="AF542" s="92">
        <v>1.25</v>
      </c>
      <c r="AG542" s="91"/>
      <c r="AH542" s="91"/>
      <c r="AI542" s="91">
        <f>SUM(ППД5[[#This Row],[ТП Лоджия 1]:[ТП Лоджия 3]])</f>
        <v>1.25</v>
      </c>
      <c r="AJ542" s="95">
        <v>2.5</v>
      </c>
      <c r="AK542" s="91">
        <f>SUM(ППД5[[#This Row],[Площадь по ТП жилая]:[ТП Лоджия 3]])-ППД5[[#This Row],[ТП Летние]]+ППД5[[#This Row],[кроме того прочая
(без коэффициента)]]</f>
        <v>40.700000000000003</v>
      </c>
      <c r="AL542" s="95">
        <f>ППД5[[#This Row],[ТП Площадь без летних]]+(ППД5[[#This Row],[ТП Летние]])</f>
        <v>39.450000000000003</v>
      </c>
      <c r="AM542" s="91">
        <f>ППД5[[#This Row],[ТП общая S]]-ППД5[[#This Row],[кроме того прочая
(без коэффициента)]]</f>
        <v>38.200000000000003</v>
      </c>
      <c r="AN542" s="95">
        <f>SUM(ППД5[[#This Row],[ТП Кухня]:[ТП Коридор]])</f>
        <v>21.5</v>
      </c>
      <c r="AO542" s="91">
        <f>ППД5[[#This Row],[Расчетная ТП площадь]]-ППД5[[#This Row],[Расчетная проектная площадь]]</f>
        <v>-0.23999999999999488</v>
      </c>
      <c r="AP542" s="335">
        <f>ППД5[[#This Row],[Расчетная ТП площадь]]/ППД5[[#This Row],[Расчетная проектная площадь]]-1</f>
        <v>-6.0468631897202529E-3</v>
      </c>
      <c r="AQ542" s="91">
        <f>ППД5[[#This Row],[% расхождения]]*ППД5[[#This Row],[Стоимость до скидки]]</f>
        <v>-29100.529100528718</v>
      </c>
      <c r="AR542" s="91">
        <f>VLOOKUP(ППД5[[#This Row],[№]],наценкад5[],COLUMN(наценкад5[[#This Row],[Цена м2 с учетом всех K]]),0)</f>
        <v>91251.5625</v>
      </c>
      <c r="AS542" s="8">
        <f>ППД5[[#This Row],[м2 после К]]*5%</f>
        <v>4562.578125</v>
      </c>
      <c r="AT542" s="8">
        <f>ППД5[[#This Row],[м2 после К]]+ППД5[[#This Row],[Повышение 16.08.23 - 5%]]</f>
        <v>95814.140625</v>
      </c>
      <c r="AU542" s="93">
        <f>ППД5[[#This Row],[Фикс 16.08.23]]*3%</f>
        <v>2874.4242187499999</v>
      </c>
      <c r="AV542" s="93">
        <f>ППД5[[#This Row],[Фикс 16.08.23]]+ППД5[[#This Row],[Повышение 29.08.23 - 3%]]</f>
        <v>98688.564843750006</v>
      </c>
      <c r="AW542" s="93">
        <f>ППД5[[#This Row],[Фикс 29.08.23]]*4.5%</f>
        <v>4440.98541796875</v>
      </c>
      <c r="AX542" s="93">
        <f>ППД5[[#This Row],[Фикс 29.08.23]]+ППД5[[#This Row],[Повышение 06.09.23 СТ и 1К]]</f>
        <v>103129.55026171876</v>
      </c>
      <c r="AY542" s="93"/>
      <c r="AZ542" s="93">
        <f>ППД5[[#This Row],[Повышение 23.10.23  В4 ]]+ППД5[[#This Row],[Фикс 06.09.23]]</f>
        <v>103129.55026171876</v>
      </c>
      <c r="BA542" s="93">
        <f>ППД5[[#This Row],[Фикс 23.10.23]]*5%</f>
        <v>5156.477513085938</v>
      </c>
      <c r="BB542" s="93">
        <f>ППД5[[#This Row],[Повышение 8.11.23 1К 5%]]+ППД5[[#This Row],[Фикс 23.10.23]]</f>
        <v>108286.02777480469</v>
      </c>
      <c r="BC542" s="93"/>
      <c r="BD542" s="93">
        <f>ППД5[[#This Row],[Корректировка 24.11.23 - 1К В5, 2К А2, №233]]+ППД5[[#This Row],[Фикс 8.11.23]]</f>
        <v>108286.02777480469</v>
      </c>
      <c r="BE542" s="93">
        <f>ППД5[[#This Row],[Фикс 8.11.24]]*1%</f>
        <v>1082.8602777480469</v>
      </c>
      <c r="BF542" s="93">
        <f>ППД5[[#This Row],[Наценка за отделку 29.12.23 1%]]+ППД5[[#This Row],[Фикс 8.11.24]]</f>
        <v>109368.88805255273</v>
      </c>
      <c r="BG542" s="93">
        <f>ППД5[[#This Row],[Фикс 29.12.23]]*5%</f>
        <v>5468.4444026276369</v>
      </c>
      <c r="BH542" s="93">
        <f>ППД5[[#This Row],[Фикс 29.12.23]]+ППД5[[#This Row],[Наценка 10.01.24 5%]]</f>
        <v>114837.33245518037</v>
      </c>
      <c r="BI542" s="93"/>
      <c r="BJ542" s="93">
        <f>ППД5[[#This Row],[Наценка 26.02.24 1 Этаж]]+ППД5[[#This Row],[Фикс 10.01.24]]</f>
        <v>114837.33245518037</v>
      </c>
      <c r="BK542" s="93">
        <f>ППД5[[#This Row],[Фикс 26.02.24]]*3%</f>
        <v>3445.1199736554108</v>
      </c>
      <c r="BL542" s="93">
        <f>ППД5[[#This Row],[Фикс 26.02.24]]+ППД5[[#This Row],[Наценка 06.03.24
СТ, 1К - 3%
2К, 3К - 2%]]</f>
        <v>118282.45242883578</v>
      </c>
      <c r="BM542" s="93"/>
      <c r="BN542" s="93">
        <f>ППД5[[#This Row],[Фикс 06.03.24]]+ППД5[[#This Row],[Наценка Г2+500]]</f>
        <v>118282.45242883578</v>
      </c>
      <c r="BO542" s="93"/>
      <c r="BP542" s="93">
        <f>ППД5[[#This Row],[Фикс 13.03.25]]+ППД5[[#This Row],[Наценка 20.03.24
2К, 3К - 2%]]</f>
        <v>118282.45242883578</v>
      </c>
      <c r="BQ542" s="93"/>
      <c r="BR542" s="93">
        <f>ППД5[[#This Row],[Фикс 20.03.24]]+ППД5[[#This Row],[Наценка 08.04.24 
2К: В3 - 150
3К: Г7 +1000]]</f>
        <v>118282.45242883578</v>
      </c>
      <c r="BS542" s="93"/>
      <c r="BT542" s="93">
        <f>ППД5[[#This Row],[Фикс 08.04.24]]+ППД5[[#This Row],[Наценка 16.05.24 1%
А4,А6,Б3,Б6,Б7,В2,В3,В5,В6,Г1,Г3-Г5]]</f>
        <v>118282.45242883578</v>
      </c>
      <c r="BU542" s="93"/>
      <c r="BV542" s="93">
        <f>ППД5[[#This Row],[Фикс 16.05.24]]+ППД5[[#This Row],[Наценка 24.05.24
1% - Б4, Б5,Г2,Г6
2% - А1,А3,А5,Б2,Г7]]</f>
        <v>118282.45242883578</v>
      </c>
      <c r="BW542" s="93"/>
      <c r="BX542" s="93">
        <f>ППД5[[#This Row],[Наценка 06.06.24
0К: В2,Г3 +0,5%
1К: А7, Б5/4, Г6 +0,5%
3К: В6 +0,5%
1К: А3 +1%]]+ППД5[[#This Row],[Фикс 24.05.24]]</f>
        <v>118282.45242883578</v>
      </c>
      <c r="BY542" s="93"/>
      <c r="BZ542" s="93">
        <f>ППД5[[#This Row],[Фикс 06.06.24]]+ППД5[[#This Row],[13.06.2024
3К - 2%]]</f>
        <v>118282.45242883578</v>
      </c>
      <c r="CA542" s="93">
        <f>0.5%*ППД5[[#This Row],[Фикс 13.06.24]]</f>
        <v>591.41226214417895</v>
      </c>
      <c r="CB542" s="93">
        <f>ППД5[[#This Row],[02.07.2024: Г3 А1 А3 Б5 Б7 Г2 Г6 Б3 Б4 В3 Г7 2,5% ост 0,5-1,5%]]+ППД5[[#This Row],[Фикс 13.06.24]]</f>
        <v>118873.86469097996</v>
      </c>
      <c r="CC542" s="93"/>
      <c r="CD542" s="93">
        <f>ППД5[[#This Row],[Фикс 02.07.24]]+ППД5[[#This Row],[04.09.2024 +500
0К - Б2; 1К - А3;
2К - А6, Б4, В3, Г5]]</f>
        <v>118873.86469097996</v>
      </c>
      <c r="CE542" s="93">
        <f>ППД5[[#This Row],[Фикс 04.09.24]]*2%</f>
        <v>2377.4772938195993</v>
      </c>
      <c r="CF542" s="93">
        <f>ППД5[[#This Row],[Наценка 16.09.2024
1К: А1,В7,Г6/7,Г8 - 2%
2К: А4,А5,А6,Б1,Б6,Б3/4,В3,В4,Г4,Г5 - 4%
3К: 4%]]+ППД5[[#This Row],[Фикс 04.09.24]]</f>
        <v>121251.34198479955</v>
      </c>
      <c r="CG542" s="93"/>
      <c r="CH542" s="93">
        <f>ППД5[[#This Row],[Фикс 16.09.2024]]+ППД5[[#This Row],[Наценка 01.11.24
СТ: 4%
1К: 34-40м 5%; 40м+ 8%; МГН 1%
2К: 55-70м 6%; 70-73м 7%; 73-76м 8% 
3К: 5%]]</f>
        <v>121251.34198479955</v>
      </c>
      <c r="CI542" s="93"/>
      <c r="CJ542" s="93">
        <f>ППД5[[#This Row],[Наценка 06.11 13%]]+ППД5[[#This Row],[Фикс 01.11.24]]</f>
        <v>121251.34198479955</v>
      </c>
      <c r="CK542" s="93"/>
      <c r="CL542" s="93">
        <f>ППД5[[#This Row],[Фикс 06.11.24]]+ППД5[[#This Row],[Наценка 18.12.24 распределение КВ]]</f>
        <v>121251.34198479955</v>
      </c>
      <c r="CM542" s="93"/>
      <c r="CN542" s="93">
        <f>ППД5[[#This Row],[Фикс 18.12.24]]+ППД5[[#This Row],[Наценка 10.02.25 +1%
1К: А3
2К: Б3, В3]]</f>
        <v>121251.34198479955</v>
      </c>
      <c r="CO542" s="93">
        <f>ROUND(ППД5[[#This Row],[Фикс 10.02.25]],2)</f>
        <v>121251.34</v>
      </c>
      <c r="CP54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4812500</v>
      </c>
      <c r="CQ542" s="93">
        <f>ROUNDUP(ППД5[[#This Row],[Стоимость до скидки]]+ППД5[[#This Row],[Сумма доплаты]],-2)</f>
        <v>4783400</v>
      </c>
      <c r="CR542" s="68"/>
      <c r="CS542" s="90"/>
      <c r="CT542" s="68">
        <f>ППД5[[#This Row],[Стоимость до скидки]]*ППД5[[#This Row],[Скидка %]]+ППД5[[#This Row],[Скидка фиксированная]]</f>
        <v>0</v>
      </c>
      <c r="CU542" s="3">
        <f>ППД5[[#This Row],[Стоимость ОН без отделки со скидкой]]/ППД5[[#This Row],[Расчетная проектная площадь]]</f>
        <v>121252.20458553793</v>
      </c>
      <c r="CV542" s="3">
        <f>ROUND(ППД5[[#This Row],[Стоимость до скидки]]-ППД5[[#This Row],[Итоговая сумма скидки]],2)</f>
        <v>4812500</v>
      </c>
      <c r="CW54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542" s="197">
        <v>24000</v>
      </c>
      <c r="CY542" s="332">
        <f>ППД5[[#This Row],[Расхождение]]/ППД5[[#This Row],[Расчетная проектная площадь]]</f>
        <v>-6.0468631897202044E-3</v>
      </c>
      <c r="CZ54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-0.15000000000000036</v>
      </c>
      <c r="DA542" s="3">
        <f>ППД5[[#This Row],[Цена м2 без отделки со скидкой]]+ППД5[[#This Row],[Стоимость отделки]]</f>
        <v>145252.20458553793</v>
      </c>
      <c r="DB542" s="3">
        <f>ППД5[[#This Row],[Стоимость квартиры с отделкой]]-ППД5[[#This Row],[Стоимость ОН без отделки со скидкой]]</f>
        <v>952560</v>
      </c>
      <c r="DC542" s="3">
        <f>ППД5[[#This Row],[Цена м2 с отделкой]]*ППД5[[#This Row],[Расчетная проектная площадь]]</f>
        <v>5765060</v>
      </c>
      <c r="DD542" s="3"/>
      <c r="DF542" s="199" t="s">
        <v>172</v>
      </c>
      <c r="DG542" s="245" t="s">
        <v>172</v>
      </c>
      <c r="DH542" s="100" t="b">
        <f>EXACT(ППД5[[#This Row],[Статусы CRM]],ППД5[[#This Row],[Статус]])</f>
        <v>1</v>
      </c>
      <c r="DI542" s="213" t="s">
        <v>714</v>
      </c>
      <c r="DJ542" s="204"/>
      <c r="DK542" s="111" t="s">
        <v>763</v>
      </c>
      <c r="DL542" s="216" t="s">
        <v>14</v>
      </c>
      <c r="DM542" s="201" t="b">
        <f>ППД5[[#This Row],[Отделка CRM]]=ППД5[[#This Row],[Отделка]]</f>
        <v>1</v>
      </c>
      <c r="DN542" s="203">
        <v>5765060</v>
      </c>
      <c r="DO54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42" s="207" t="b">
        <f>IF(AND(ППД5[[#This Row],[Статус]]="свободно",ППД5[[#This Row],[Итоговая сумма скидки]]&lt;&gt;0),FALSE,TRUE)</f>
        <v>1</v>
      </c>
      <c r="DQ542" s="240">
        <f>_xlfn.XLOOKUP(ППД5[[#This Row],[№]],Юрист[№ кв],Юрист[Дата подачи на регистрацию]," ",0,-1)</f>
        <v>45568</v>
      </c>
      <c r="DR542" s="115" t="str">
        <f>_xlfn.XLOOKUP(ППД5[[#This Row],[№]],Юрист[№ кв],Юрист[МОП],"",0,-1)</f>
        <v>Никишов</v>
      </c>
      <c r="DS542" s="333" t="s">
        <v>3376</v>
      </c>
      <c r="DT542" s="333" t="s">
        <v>3377</v>
      </c>
      <c r="DU542" s="333">
        <v>38.200000000000003</v>
      </c>
      <c r="DV542" s="111"/>
    </row>
    <row r="543" spans="1:126" hidden="1" x14ac:dyDescent="0.25">
      <c r="A543" s="112">
        <v>541</v>
      </c>
      <c r="B543" s="111" t="s">
        <v>2</v>
      </c>
      <c r="C543" s="111">
        <v>20</v>
      </c>
      <c r="D543" s="338">
        <v>1</v>
      </c>
      <c r="E543" s="111">
        <v>0</v>
      </c>
      <c r="F543" s="105">
        <v>13.74</v>
      </c>
      <c r="G543" s="105"/>
      <c r="H543" s="105"/>
      <c r="I543" s="94">
        <f>SUM(ППД5[[#This Row],[Комната 1]:[Комната 3]])</f>
        <v>13.74</v>
      </c>
      <c r="J543" s="105">
        <v>5.84</v>
      </c>
      <c r="K543" s="105">
        <v>3.76</v>
      </c>
      <c r="L543" s="105"/>
      <c r="M543" s="105"/>
      <c r="N543" s="105">
        <v>3.73</v>
      </c>
      <c r="O543" s="105">
        <v>4.6500000000000004</v>
      </c>
      <c r="P543" s="105"/>
      <c r="Q543" s="105"/>
      <c r="R543" s="105">
        <f>SUM(ППД5[[#This Row],[Лоджия 1]:[Лоджия 3]])</f>
        <v>4.6500000000000004</v>
      </c>
      <c r="S543" s="8">
        <f>ROUND(SUM(ППД5[[#This Row],[Площадь по проекту жилая]:[Лоджия 3]]),2)</f>
        <v>31.72</v>
      </c>
      <c r="T543" s="8">
        <f>ROUND(ППД5[[#This Row],[Площадь по проекту(общая)]]-ППД5[[#This Row],[Летние]],2)</f>
        <v>27.07</v>
      </c>
      <c r="U543" s="91">
        <f>ROUND(ППД5[[#This Row],[Площадь по проекту(общая)]]-(SUM(ППД5[[#This Row],[Лоджия 1]:[Лоджия 3]])/2),2)</f>
        <v>29.4</v>
      </c>
      <c r="V543" s="91">
        <f>IF(ППД5[[#This Row],[Статус]]="продажа",ППД5[[#This Row],[Расчетная проектная площадь]],ППД5[[#This Row],[Расчетная ТП площадь]])</f>
        <v>29.4</v>
      </c>
      <c r="W543" s="91">
        <v>13.7</v>
      </c>
      <c r="X543" s="91"/>
      <c r="Y543" s="91"/>
      <c r="Z543" s="91">
        <f>SUM(ППД5[[#This Row],[ТП Комната 1]:[ТП Комната 3]])</f>
        <v>13.7</v>
      </c>
      <c r="AA543" s="91">
        <v>5.8</v>
      </c>
      <c r="AB543" s="91">
        <v>3.7</v>
      </c>
      <c r="AC543" s="91"/>
      <c r="AD543" s="91"/>
      <c r="AE543" s="91">
        <v>3.7</v>
      </c>
      <c r="AF543" s="91">
        <v>2.2999999999999998</v>
      </c>
      <c r="AG543" s="91"/>
      <c r="AH543" s="91"/>
      <c r="AI543" s="91">
        <f>SUM(ППД5[[#This Row],[ТП Лоджия 1]:[ТП Лоджия 3]])</f>
        <v>2.2999999999999998</v>
      </c>
      <c r="AJ543" s="95">
        <v>4.5999999999999996</v>
      </c>
      <c r="AK543" s="91">
        <f>SUM(ППД5[[#This Row],[Площадь по ТП жилая]:[ТП Лоджия 3]])-ППД5[[#This Row],[ТП Летние]]+ППД5[[#This Row],[кроме того прочая
(без коэффициента)]]</f>
        <v>31.5</v>
      </c>
      <c r="AL543" s="95">
        <f>ППД5[[#This Row],[ТП Площадь без летних]]+(ППД5[[#This Row],[ТП Летние]])</f>
        <v>29.2</v>
      </c>
      <c r="AM543" s="91">
        <f>ППД5[[#This Row],[ТП общая S]]-ППД5[[#This Row],[кроме того прочая
(без коэффициента)]]</f>
        <v>26.9</v>
      </c>
      <c r="AN543" s="95">
        <f>SUM(ППД5[[#This Row],[ТП Кухня]:[ТП Коридор]])</f>
        <v>13.2</v>
      </c>
      <c r="AO543" s="91">
        <f>ППД5[[#This Row],[Расчетная ТП площадь]]-ППД5[[#This Row],[Расчетная проектная площадь]]</f>
        <v>-0.19999999999999929</v>
      </c>
      <c r="AP543" s="335">
        <f>ППД5[[#This Row],[Расчетная ТП площадь]]/ППД5[[#This Row],[Расчетная проектная площадь]]-1</f>
        <v>-6.8027210884353817E-3</v>
      </c>
      <c r="AQ543" s="91">
        <f>ППД5[[#This Row],[% расхождения]]*ППД5[[#This Row],[Стоимость до скидки]]</f>
        <v>-25440.816326530639</v>
      </c>
      <c r="AR543" s="91">
        <f>VLOOKUP(ППД5[[#This Row],[№]],наценкад5[],COLUMN(наценкад5[[#This Row],[Цена м2 с учетом всех K]]),0)</f>
        <v>96361.65</v>
      </c>
      <c r="AS543" s="8">
        <f>ППД5[[#This Row],[м2 после К]]*5%</f>
        <v>4818.0824999999995</v>
      </c>
      <c r="AT543" s="8">
        <f>ППД5[[#This Row],[м2 после К]]+ППД5[[#This Row],[Повышение 16.08.23 - 5%]]</f>
        <v>101179.7325</v>
      </c>
      <c r="AU543" s="93">
        <f>ППД5[[#This Row],[Фикс 16.08.23]]*3%</f>
        <v>3035.391975</v>
      </c>
      <c r="AV543" s="93">
        <f>ППД5[[#This Row],[Фикс 16.08.23]]+ППД5[[#This Row],[Повышение 29.08.23 - 3%]]</f>
        <v>104215.124475</v>
      </c>
      <c r="AW543" s="93">
        <f>ППД5[[#This Row],[Фикс 29.08.23]]*9%</f>
        <v>9379.3612027500003</v>
      </c>
      <c r="AX543" s="93">
        <f>ППД5[[#This Row],[Фикс 29.08.23]]+ППД5[[#This Row],[Повышение 06.09.23 СТ и 1К]]</f>
        <v>113594.48567775001</v>
      </c>
      <c r="AY543" s="93"/>
      <c r="AZ543" s="93">
        <f>ППД5[[#This Row],[Повышение 23.10.23  В4 ]]+ППД5[[#This Row],[Фикс 06.09.23]]</f>
        <v>113594.48567775001</v>
      </c>
      <c r="BA543" s="93"/>
      <c r="BB543" s="93">
        <f>ППД5[[#This Row],[Повышение 8.11.23 1К 5%]]+ППД5[[#This Row],[Фикс 23.10.23]]</f>
        <v>113594.48567775001</v>
      </c>
      <c r="BC543" s="93"/>
      <c r="BD543" s="93">
        <f>ППД5[[#This Row],[Корректировка 24.11.23 - 1К В5, 2К А2, №233]]+ППД5[[#This Row],[Фикс 8.11.23]]</f>
        <v>113594.48567775001</v>
      </c>
      <c r="BE543" s="93">
        <f>ППД5[[#This Row],[Фикс 8.11.24]]*1%</f>
        <v>1135.9448567775</v>
      </c>
      <c r="BF543" s="93">
        <f>ППД5[[#This Row],[Наценка за отделку 29.12.23 1%]]+ППД5[[#This Row],[Фикс 8.11.24]]</f>
        <v>114730.43053452751</v>
      </c>
      <c r="BG543" s="93">
        <f>ППД5[[#This Row],[Фикс 29.12.23]]*5%</f>
        <v>5736.5215267263757</v>
      </c>
      <c r="BH543" s="93">
        <f>ППД5[[#This Row],[Фикс 29.12.23]]+ППД5[[#This Row],[Наценка 10.01.24 5%]]</f>
        <v>120466.95206125388</v>
      </c>
      <c r="BI543" s="93"/>
      <c r="BJ543" s="93">
        <f>ППД5[[#This Row],[Наценка 26.02.24 1 Этаж]]+ППД5[[#This Row],[Фикс 10.01.24]]</f>
        <v>120466.95206125388</v>
      </c>
      <c r="BK543" s="93">
        <f>ППД5[[#This Row],[Фикс 26.02.24]]*3%</f>
        <v>3614.0085618376161</v>
      </c>
      <c r="BL543" s="93">
        <f>ППД5[[#This Row],[Фикс 26.02.24]]+ППД5[[#This Row],[Наценка 06.03.24
СТ, 1К - 3%
2К, 3К - 2%]]</f>
        <v>124080.96062309149</v>
      </c>
      <c r="BM543" s="93"/>
      <c r="BN543" s="93">
        <f>ППД5[[#This Row],[Фикс 06.03.24]]+ППД5[[#This Row],[Наценка Г2+500]]</f>
        <v>124080.96062309149</v>
      </c>
      <c r="BO543" s="93"/>
      <c r="BP543" s="93">
        <f>ППД5[[#This Row],[Фикс 13.03.25]]+ППД5[[#This Row],[Наценка 20.03.24
2К, 3К - 2%]]</f>
        <v>124080.96062309149</v>
      </c>
      <c r="BQ543" s="93"/>
      <c r="BR543" s="93">
        <f>ППД5[[#This Row],[Фикс 20.03.24]]+ППД5[[#This Row],[Наценка 08.04.24 
2К: В3 - 150
3К: Г7 +1000]]</f>
        <v>124080.96062309149</v>
      </c>
      <c r="BS543" s="93">
        <f>ППД5[[#This Row],[Фикс 08.04.24]]*1%</f>
        <v>1240.8096062309151</v>
      </c>
      <c r="BT543" s="93">
        <f>ППД5[[#This Row],[Фикс 08.04.24]]+ППД5[[#This Row],[Наценка 16.05.24 1%
А4,А6,Б3,Б6,Б7,В2,В3,В5,В6,Г1,Г3-Г5]]</f>
        <v>125321.77022932241</v>
      </c>
      <c r="BU543" s="93"/>
      <c r="BV543" s="93">
        <f>ППД5[[#This Row],[Фикс 16.05.24]]+ППД5[[#This Row],[Наценка 24.05.24
1% - Б4, Б5,Г2,Г6
2% - А1,А3,А5,Б2,Г7]]</f>
        <v>125321.77022932241</v>
      </c>
      <c r="BW543" s="93"/>
      <c r="BX543" s="93">
        <f>ППД5[[#This Row],[Наценка 06.06.24
0К: В2,Г3 +0,5%
1К: А7, Б5/4, Г6 +0,5%
3К: В6 +0,5%
1К: А3 +1%]]+ППД5[[#This Row],[Фикс 24.05.24]]</f>
        <v>125321.77022932241</v>
      </c>
      <c r="BY543" s="93"/>
      <c r="BZ543" s="93">
        <f>ППД5[[#This Row],[Фикс 06.06.24]]+ППД5[[#This Row],[13.06.2024
3К - 2%]]</f>
        <v>125321.77022932241</v>
      </c>
      <c r="CA543" s="93">
        <f>1.5%*ППД5[[#This Row],[Фикс 13.06.24]]</f>
        <v>1879.8265534398361</v>
      </c>
      <c r="CB543" s="93">
        <f>ППД5[[#This Row],[02.07.2024: Г3 А1 А3 Б5 Б7 Г2 Г6 Б3 Б4 В3 Г7 2,5% ост 0,5-1,5%]]+ППД5[[#This Row],[Фикс 13.06.24]]</f>
        <v>127201.59678276225</v>
      </c>
      <c r="CC543" s="93"/>
      <c r="CD543" s="93">
        <f>ППД5[[#This Row],[Фикс 02.07.24]]+ППД5[[#This Row],[04.09.2024 +500
0К - Б2; 1К - А3;
2К - А6, Б4, В3, Г5]]</f>
        <v>127201.59678276225</v>
      </c>
      <c r="CE543" s="93"/>
      <c r="CF543" s="93">
        <f>ППД5[[#This Row],[Наценка 16.09.2024
1К: А1,В7,Г6/7,Г8 - 2%
2К: А4,А5,А6,Б1,Б6,Б3/4,В3,В4,Г4,Г5 - 4%
3К: 4%]]+ППД5[[#This Row],[Фикс 04.09.24]]</f>
        <v>127201.59678276225</v>
      </c>
      <c r="CG543" s="93"/>
      <c r="CH543" s="93">
        <f>ППД5[[#This Row],[Фикс 16.09.2024]]+ППД5[[#This Row],[Наценка 01.11.24
СТ: 4%
1К: 34-40м 5%; 40м+ 8%; МГН 1%
2К: 55-70м 6%; 70-73м 7%; 73-76м 8% 
3К: 5%]]</f>
        <v>127201.59678276225</v>
      </c>
      <c r="CI543" s="93"/>
      <c r="CJ543" s="93">
        <f>ППД5[[#This Row],[Наценка 06.11 13%]]+ППД5[[#This Row],[Фикс 01.11.24]]</f>
        <v>127201.59678276225</v>
      </c>
      <c r="CK543" s="93"/>
      <c r="CL543" s="93">
        <f>ППД5[[#This Row],[Фикс 06.11.24]]+ППД5[[#This Row],[Наценка 18.12.24 распределение КВ]]</f>
        <v>127201.59678276225</v>
      </c>
      <c r="CM543" s="93"/>
      <c r="CN543" s="93">
        <f>ППД5[[#This Row],[Фикс 18.12.24]]+ППД5[[#This Row],[Наценка 10.02.25 +1%
1К: А3
2К: Б3, В3]]</f>
        <v>127201.59678276225</v>
      </c>
      <c r="CO543" s="93">
        <f>ROUND(ППД5[[#This Row],[Фикс 10.02.25]],2)</f>
        <v>127201.60000000001</v>
      </c>
      <c r="CP54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3739800</v>
      </c>
      <c r="CQ543" s="93">
        <f>ROUNDUP(ППД5[[#This Row],[Стоимость до скидки]]+ППД5[[#This Row],[Сумма доплаты]],-2)</f>
        <v>3714400</v>
      </c>
      <c r="CR543" s="68"/>
      <c r="CS543" s="90"/>
      <c r="CT543" s="68">
        <f>ППД5[[#This Row],[Стоимость до скидки]]*ППД5[[#This Row],[Скидка %]]+ППД5[[#This Row],[Скидка фиксированная]]</f>
        <v>0</v>
      </c>
      <c r="CU543" s="3">
        <f>ППД5[[#This Row],[Стоимость ОН без отделки со скидкой]]/ППД5[[#This Row],[Расчетная проектная площадь]]</f>
        <v>127204.08163265306</v>
      </c>
      <c r="CV543" s="3">
        <f>ROUND(ППД5[[#This Row],[Стоимость до скидки]]-ППД5[[#This Row],[Итоговая сумма скидки]],2)</f>
        <v>3739800</v>
      </c>
      <c r="CW54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543" s="197">
        <v>8000</v>
      </c>
      <c r="CY543" s="332">
        <f>ППД5[[#This Row],[Расхождение]]/ППД5[[#This Row],[Расчетная проектная площадь]]</f>
        <v>-6.8027210884353505E-3</v>
      </c>
      <c r="CZ54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-0.13000000000000078</v>
      </c>
      <c r="DA543" s="3">
        <f>ППД5[[#This Row],[Цена м2 без отделки со скидкой]]+ППД5[[#This Row],[Стоимость отделки]]</f>
        <v>135204.08163265308</v>
      </c>
      <c r="DB543" s="3">
        <f>ППД5[[#This Row],[Стоимость квартиры с отделкой]]-ППД5[[#This Row],[Стоимость ОН без отделки со скидкой]]</f>
        <v>235200.00000000047</v>
      </c>
      <c r="DC543" s="3">
        <f>ППД5[[#This Row],[Цена м2 с отделкой]]*ППД5[[#This Row],[Расчетная проектная площадь]]</f>
        <v>3975000.0000000005</v>
      </c>
      <c r="DD543" s="3"/>
      <c r="DF543" s="155" t="s">
        <v>172</v>
      </c>
      <c r="DG543" s="245" t="s">
        <v>172</v>
      </c>
      <c r="DH543" s="100" t="b">
        <f>EXACT(ППД5[[#This Row],[Статусы CRM]],ППД5[[#This Row],[Статус]])</f>
        <v>1</v>
      </c>
      <c r="DI543" s="213" t="s">
        <v>715</v>
      </c>
      <c r="DJ543" s="204"/>
      <c r="DK543" s="111" t="s">
        <v>763</v>
      </c>
      <c r="DL543" s="216" t="s">
        <v>780</v>
      </c>
      <c r="DM543" s="201" t="b">
        <f>ППД5[[#This Row],[Отделка CRM]]=ППД5[[#This Row],[Отделка]]</f>
        <v>1</v>
      </c>
      <c r="DN543" s="203">
        <v>3975000</v>
      </c>
      <c r="DO54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-4.6566128730773926E-10</v>
      </c>
      <c r="DP543" s="207" t="b">
        <f>IF(AND(ППД5[[#This Row],[Статус]]="свободно",ППД5[[#This Row],[Итоговая сумма скидки]]&lt;&gt;0),FALSE,TRUE)</f>
        <v>1</v>
      </c>
      <c r="DQ543" s="240">
        <f>_xlfn.XLOOKUP(ППД5[[#This Row],[№]],Юрист[№ кв],Юрист[Дата подачи на регистрацию]," ",0,-1)</f>
        <v>45568</v>
      </c>
      <c r="DR543" s="115" t="str">
        <f>_xlfn.XLOOKUP(ППД5[[#This Row],[№]],Юрист[№ кв],Юрист[МОП],"",0,-1)</f>
        <v>Дик</v>
      </c>
      <c r="DS543" s="333" t="s">
        <v>3378</v>
      </c>
      <c r="DT543" s="333" t="s">
        <v>3379</v>
      </c>
      <c r="DU543" s="333">
        <v>26.9</v>
      </c>
      <c r="DV543" s="111"/>
    </row>
    <row r="544" spans="1:126" hidden="1" x14ac:dyDescent="0.25">
      <c r="A544" s="112">
        <v>542</v>
      </c>
      <c r="B544" s="111" t="s">
        <v>2</v>
      </c>
      <c r="C544" s="111">
        <v>20</v>
      </c>
      <c r="D544" s="115">
        <v>2</v>
      </c>
      <c r="E544" s="111">
        <v>1</v>
      </c>
      <c r="F544" s="105">
        <v>13.17</v>
      </c>
      <c r="G544" s="105"/>
      <c r="H544" s="105"/>
      <c r="I544" s="94">
        <f>SUM(ППД5[[#This Row],[Комната 1]:[Комната 3]])</f>
        <v>13.17</v>
      </c>
      <c r="J544" s="105">
        <v>16.940000000000001</v>
      </c>
      <c r="K544" s="105">
        <v>3.55</v>
      </c>
      <c r="L544" s="105">
        <v>2.41</v>
      </c>
      <c r="M544" s="105"/>
      <c r="N544" s="105">
        <v>5.8</v>
      </c>
      <c r="O544" s="105">
        <v>2.68</v>
      </c>
      <c r="P544" s="105"/>
      <c r="Q544" s="105"/>
      <c r="R544" s="105">
        <f>SUM(ППД5[[#This Row],[Лоджия 1]:[Лоджия 3]])</f>
        <v>2.68</v>
      </c>
      <c r="S544" s="8">
        <f>ROUND(SUM(ППД5[[#This Row],[Площадь по проекту жилая]:[Лоджия 3]]),2)</f>
        <v>44.55</v>
      </c>
      <c r="T544" s="8">
        <f>ROUND(ППД5[[#This Row],[Площадь по проекту(общая)]]-ППД5[[#This Row],[Летние]],2)</f>
        <v>41.87</v>
      </c>
      <c r="U544" s="91">
        <f>ROUND(ППД5[[#This Row],[Площадь по проекту(общая)]]-(SUM(ППД5[[#This Row],[Лоджия 1]:[Лоджия 3]])/2),2)</f>
        <v>43.21</v>
      </c>
      <c r="V544" s="91">
        <f>IF(ППД5[[#This Row],[Статус]]="продажа",ППД5[[#This Row],[Расчетная проектная площадь]],ППД5[[#This Row],[Расчетная ТП площадь]])</f>
        <v>43.21</v>
      </c>
      <c r="W544" s="91">
        <v>12.9</v>
      </c>
      <c r="X544" s="91"/>
      <c r="Y544" s="91"/>
      <c r="Z544" s="91">
        <f>SUM(ППД5[[#This Row],[ТП Комната 1]:[ТП Комната 3]])</f>
        <v>12.9</v>
      </c>
      <c r="AA544" s="91">
        <v>16.8</v>
      </c>
      <c r="AB544" s="91">
        <v>2.1</v>
      </c>
      <c r="AC544" s="91">
        <v>3.3</v>
      </c>
      <c r="AD544" s="91"/>
      <c r="AE544" s="91">
        <v>5.9</v>
      </c>
      <c r="AF544" s="91">
        <v>1.35</v>
      </c>
      <c r="AG544" s="91"/>
      <c r="AH544" s="91"/>
      <c r="AI544" s="91">
        <f>SUM(ППД5[[#This Row],[ТП Лоджия 1]:[ТП Лоджия 3]])</f>
        <v>1.35</v>
      </c>
      <c r="AJ544" s="95">
        <v>2.7</v>
      </c>
      <c r="AK544" s="91">
        <f>SUM(ППД5[[#This Row],[Площадь по ТП жилая]:[ТП Лоджия 3]])-ППД5[[#This Row],[ТП Летние]]+ППД5[[#This Row],[кроме того прочая
(без коэффициента)]]</f>
        <v>43.7</v>
      </c>
      <c r="AL544" s="95">
        <f>ППД5[[#This Row],[ТП Площадь без летних]]+(ППД5[[#This Row],[ТП Летние]])</f>
        <v>42.35</v>
      </c>
      <c r="AM544" s="91">
        <f>ППД5[[#This Row],[ТП общая S]]-ППД5[[#This Row],[кроме того прочая
(без коэффициента)]]</f>
        <v>41</v>
      </c>
      <c r="AN544" s="95">
        <f>SUM(ППД5[[#This Row],[ТП Кухня]:[ТП Коридор]])</f>
        <v>28.1</v>
      </c>
      <c r="AO544" s="91">
        <f>ППД5[[#This Row],[Расчетная ТП площадь]]-ППД5[[#This Row],[Расчетная проектная площадь]]</f>
        <v>-0.85999999999999943</v>
      </c>
      <c r="AP544" s="335">
        <f>ППД5[[#This Row],[Расчетная ТП площадь]]/ППД5[[#This Row],[Расчетная проектная площадь]]-1</f>
        <v>-1.9902800277713517E-2</v>
      </c>
      <c r="AQ544" s="91">
        <f>ППД5[[#This Row],[% расхождения]]*ППД5[[#This Row],[Стоимость до скидки]]</f>
        <v>-125339.87502892864</v>
      </c>
      <c r="AR544" s="91">
        <f>VLOOKUP(ППД5[[#This Row],[№]],наценкад5[],COLUMN(наценкад5[[#This Row],[Цена м2 с учетом всех K]]),0)</f>
        <v>91657.125</v>
      </c>
      <c r="AS544" s="8">
        <f>ППД5[[#This Row],[м2 после К]]*5%</f>
        <v>4582.8562499999998</v>
      </c>
      <c r="AT544" s="8">
        <f>ППД5[[#This Row],[м2 после К]]+ППД5[[#This Row],[Повышение 16.08.23 - 5%]]</f>
        <v>96239.981249999997</v>
      </c>
      <c r="AU544" s="93">
        <f>ППД5[[#This Row],[Фикс 16.08.23]]*3%</f>
        <v>2887.1994374999999</v>
      </c>
      <c r="AV544" s="93">
        <f>ППД5[[#This Row],[Фикс 16.08.23]]+ППД5[[#This Row],[Повышение 29.08.23 - 3%]]</f>
        <v>99127.180687500004</v>
      </c>
      <c r="AW544" s="93">
        <f>ППД5[[#This Row],[Фикс 29.08.23]]*1%</f>
        <v>991.27180687500004</v>
      </c>
      <c r="AX544" s="93">
        <f>ППД5[[#This Row],[Фикс 29.08.23]]+ППД5[[#This Row],[Повышение 06.09.23 СТ и 1К]]</f>
        <v>100118.452494375</v>
      </c>
      <c r="AY544" s="93"/>
      <c r="AZ544" s="93">
        <f>ППД5[[#This Row],[Повышение 23.10.23  В4 ]]+ППД5[[#This Row],[Фикс 06.09.23]]</f>
        <v>100118.452494375</v>
      </c>
      <c r="BA544" s="93">
        <f>ППД5[[#This Row],[Фикс 23.10.23]]*5%</f>
        <v>5005.9226247187507</v>
      </c>
      <c r="BB544" s="93">
        <f>ППД5[[#This Row],[Повышение 8.11.23 1К 5%]]+ППД5[[#This Row],[Фикс 23.10.23]]</f>
        <v>105124.37511909375</v>
      </c>
      <c r="BC544" s="93"/>
      <c r="BD544" s="93">
        <f>ППД5[[#This Row],[Корректировка 24.11.23 - 1К В5, 2К А2, №233]]+ППД5[[#This Row],[Фикс 8.11.23]]</f>
        <v>105124.37511909375</v>
      </c>
      <c r="BE544" s="93">
        <f>ППД5[[#This Row],[Фикс 8.11.24]]*1%</f>
        <v>1051.2437511909375</v>
      </c>
      <c r="BF544" s="93">
        <f>ППД5[[#This Row],[Наценка за отделку 29.12.23 1%]]+ППД5[[#This Row],[Фикс 8.11.24]]</f>
        <v>106175.61887028468</v>
      </c>
      <c r="BG544" s="93">
        <f>ППД5[[#This Row],[Фикс 29.12.23]]*5%</f>
        <v>5308.7809435142344</v>
      </c>
      <c r="BH544" s="93">
        <f>ППД5[[#This Row],[Фикс 29.12.23]]+ППД5[[#This Row],[Наценка 10.01.24 5%]]</f>
        <v>111484.39981379893</v>
      </c>
      <c r="BI544" s="93"/>
      <c r="BJ544" s="93">
        <f>ППД5[[#This Row],[Наценка 26.02.24 1 Этаж]]+ППД5[[#This Row],[Фикс 10.01.24]]</f>
        <v>111484.39981379893</v>
      </c>
      <c r="BK544" s="93">
        <f>ППД5[[#This Row],[Фикс 26.02.24]]*3%</f>
        <v>3344.5319944139678</v>
      </c>
      <c r="BL544" s="93">
        <f>ППД5[[#This Row],[Фикс 26.02.24]]+ППД5[[#This Row],[Наценка 06.03.24
СТ, 1К - 3%
2К, 3К - 2%]]</f>
        <v>114828.93180821289</v>
      </c>
      <c r="BM544" s="93">
        <v>500</v>
      </c>
      <c r="BN544" s="93">
        <f>ППД5[[#This Row],[Фикс 06.03.24]]+ППД5[[#This Row],[Наценка Г2+500]]</f>
        <v>115328.93180821289</v>
      </c>
      <c r="BO544" s="93"/>
      <c r="BP544" s="93">
        <f>ППД5[[#This Row],[Фикс 13.03.25]]+ППД5[[#This Row],[Наценка 20.03.24
2К, 3К - 2%]]</f>
        <v>115328.93180821289</v>
      </c>
      <c r="BQ544" s="93"/>
      <c r="BR544" s="93">
        <f>ППД5[[#This Row],[Фикс 20.03.24]]+ППД5[[#This Row],[Наценка 08.04.24 
2К: В3 - 150
3К: Г7 +1000]]</f>
        <v>115328.93180821289</v>
      </c>
      <c r="BS544" s="93"/>
      <c r="BT544" s="93">
        <f>ППД5[[#This Row],[Фикс 08.04.24]]+ППД5[[#This Row],[Наценка 16.05.24 1%
А4,А6,Б3,Б6,Б7,В2,В3,В5,В6,Г1,Г3-Г5]]</f>
        <v>115328.93180821289</v>
      </c>
      <c r="BU544" s="93">
        <f>ППД5[[#This Row],[Фикс 16.05.24]]*1%</f>
        <v>1153.2893180821288</v>
      </c>
      <c r="BV544" s="93">
        <f>ППД5[[#This Row],[Фикс 16.05.24]]+ППД5[[#This Row],[Наценка 24.05.24
1% - Б4, Б5,Г2,Г6
2% - А1,А3,А5,Б2,Г7]]</f>
        <v>116482.22112629501</v>
      </c>
      <c r="BW544" s="93"/>
      <c r="BX544" s="93">
        <f>ППД5[[#This Row],[Наценка 06.06.24
0К: В2,Г3 +0,5%
1К: А7, Б5/4, Г6 +0,5%
3К: В6 +0,5%
1К: А3 +1%]]+ППД5[[#This Row],[Фикс 24.05.24]]</f>
        <v>116482.22112629501</v>
      </c>
      <c r="BY544" s="93"/>
      <c r="BZ544" s="93">
        <f>ППД5[[#This Row],[Фикс 06.06.24]]+ППД5[[#This Row],[13.06.2024
3К - 2%]]</f>
        <v>116482.22112629501</v>
      </c>
      <c r="CA544" s="93">
        <f>2.5%*ППД5[[#This Row],[Фикс 13.06.24]]</f>
        <v>2912.0555281573756</v>
      </c>
      <c r="CB544" s="93">
        <f>ППД5[[#This Row],[02.07.2024: Г3 А1 А3 Б5 Б7 Г2 Г6 Б3 Б4 В3 Г7 2,5% ост 0,5-1,5%]]+ППД5[[#This Row],[Фикс 13.06.24]]</f>
        <v>119394.27665445239</v>
      </c>
      <c r="CC544" s="93"/>
      <c r="CD544" s="93">
        <f>ППД5[[#This Row],[Фикс 02.07.24]]+ППД5[[#This Row],[04.09.2024 +500
0К - Б2; 1К - А3;
2К - А6, Б4, В3, Г5]]</f>
        <v>119394.27665445239</v>
      </c>
      <c r="CE544" s="93"/>
      <c r="CF544" s="93">
        <f>ППД5[[#This Row],[Наценка 16.09.2024
1К: А1,В7,Г6/7,Г8 - 2%
2К: А4,А5,А6,Б1,Б6,Б3/4,В3,В4,Г4,Г5 - 4%
3К: 4%]]+ППД5[[#This Row],[Фикс 04.09.24]]</f>
        <v>119394.27665445239</v>
      </c>
      <c r="CG544" s="93">
        <f>ППД5[[#This Row],[Фикс 16.09.2024]]*8%</f>
        <v>9551.5421323561914</v>
      </c>
      <c r="CH544" s="93">
        <f>ППД5[[#This Row],[Фикс 16.09.2024]]+ППД5[[#This Row],[Наценка 01.11.24
СТ: 4%
1К: 34-40м 5%; 40м+ 8%; МГН 1%
2К: 55-70м 6%; 70-73м 7%; 73-76м 8% 
3К: 5%]]</f>
        <v>128945.81878680858</v>
      </c>
      <c r="CI544" s="93">
        <f>ППД5[[#This Row],[Фикс 01.11.24]]*13%</f>
        <v>16762.956442285114</v>
      </c>
      <c r="CJ544" s="93">
        <f>ППД5[[#This Row],[Наценка 06.11 13%]]+ППД5[[#This Row],[Фикс 01.11.24]]</f>
        <v>145708.77522909371</v>
      </c>
      <c r="CK544" s="93">
        <v>35</v>
      </c>
      <c r="CL544" s="93">
        <f>ППД5[[#This Row],[Фикс 06.11.24]]+ППД5[[#This Row],[Наценка 18.12.24 распределение КВ]]</f>
        <v>145743.77522909371</v>
      </c>
      <c r="CM544" s="93"/>
      <c r="CN544" s="93">
        <f>ППД5[[#This Row],[Фикс 18.12.24]]+ППД5[[#This Row],[Наценка 10.02.25 +1%
1К: А3
2К: Б3, В3]]</f>
        <v>145743.77522909371</v>
      </c>
      <c r="CO544" s="93">
        <f>ROUND(ППД5[[#This Row],[Фикс 10.02.25]],2)</f>
        <v>145743.78</v>
      </c>
      <c r="CP54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6297600</v>
      </c>
      <c r="CQ544" s="93">
        <f>ROUNDUP(ППД5[[#This Row],[Стоимость до скидки]]+ППД5[[#This Row],[Сумма доплаты]],-2)</f>
        <v>6172300</v>
      </c>
      <c r="CR544" s="354">
        <v>525600</v>
      </c>
      <c r="CS544" s="90"/>
      <c r="CT544" s="68">
        <f>ППД5[[#This Row],[Стоимость до скидки]]*ППД5[[#This Row],[Скидка %]]+ППД5[[#This Row],[Скидка фиксированная]]</f>
        <v>525600</v>
      </c>
      <c r="CU544" s="3">
        <f>ППД5[[#This Row],[Стоимость ОН без отделки со скидкой]]/ППД5[[#This Row],[Расчетная проектная площадь]]</f>
        <v>133580.18977088635</v>
      </c>
      <c r="CV544" s="3">
        <f>ROUND(ППД5[[#This Row],[Стоимость до скидки]]-ППД5[[#This Row],[Итоговая сумма скидки]],2)</f>
        <v>5772000</v>
      </c>
      <c r="CW54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44" s="218"/>
      <c r="CY544" s="332">
        <f>ППД5[[#This Row],[Расхождение]]/ППД5[[#This Row],[Расчетная проектная площадь]]</f>
        <v>-1.9902800277713479E-2</v>
      </c>
      <c r="CZ544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-0.60000000000000142</v>
      </c>
      <c r="DA544" s="3">
        <f>ППД5[[#This Row],[Цена м2 без отделки со скидкой]]+ППД5[[#This Row],[Стоимость отделки]]</f>
        <v>133580.18977088635</v>
      </c>
      <c r="DB544" s="3">
        <f>ППД5[[#This Row],[Стоимость квартиры с отделкой]]-ППД5[[#This Row],[Стоимость ОН без отделки со скидкой]]</f>
        <v>0</v>
      </c>
      <c r="DC544" s="3">
        <f>ППД5[[#This Row],[Цена м2 с отделкой]]*ППД5[[#This Row],[Расчетная проектная площадь]]</f>
        <v>5771999.9999999991</v>
      </c>
      <c r="DD544" s="3"/>
      <c r="DE544" s="111" t="s">
        <v>2122</v>
      </c>
      <c r="DF544" s="155" t="s">
        <v>172</v>
      </c>
      <c r="DG544" s="245" t="s">
        <v>172</v>
      </c>
      <c r="DH544" s="100" t="b">
        <f>EXACT(ППД5[[#This Row],[Статусы CRM]],ППД5[[#This Row],[Статус]])</f>
        <v>1</v>
      </c>
      <c r="DI544" s="213" t="s">
        <v>716</v>
      </c>
      <c r="DJ544" s="204"/>
      <c r="DK544" s="111" t="s">
        <v>763</v>
      </c>
      <c r="DL544" s="216" t="s">
        <v>12</v>
      </c>
      <c r="DM544" s="201" t="b">
        <f>ППД5[[#This Row],[Отделка CRM]]=ППД5[[#This Row],[Отделка]]</f>
        <v>1</v>
      </c>
      <c r="DN544" s="203">
        <v>5772000</v>
      </c>
      <c r="DO54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9.3132257461547852E-10</v>
      </c>
      <c r="DP544" s="207" t="b">
        <f>IF(AND(ППД5[[#This Row],[Статус]]="свободно",ППД5[[#This Row],[Итоговая сумма скидки]]&lt;&gt;0),FALSE,TRUE)</f>
        <v>1</v>
      </c>
      <c r="DQ544" s="240">
        <f>_xlfn.XLOOKUP(ППД5[[#This Row],[№]],Юрист[№ кв],Юрист[Дата подачи на регистрацию]," ",0,-1)</f>
        <v>45808</v>
      </c>
      <c r="DR544" s="115" t="str">
        <f>_xlfn.XLOOKUP(ППД5[[#This Row],[№]],Юрист[№ кв],Юрист[МОП],"",0,-1)</f>
        <v>Нуждина</v>
      </c>
      <c r="DS544" s="333" t="s">
        <v>3380</v>
      </c>
      <c r="DT544" s="333" t="s">
        <v>3381</v>
      </c>
      <c r="DU544" s="333">
        <v>41</v>
      </c>
      <c r="DV544" s="111"/>
    </row>
    <row r="545" spans="1:126" hidden="1" x14ac:dyDescent="0.25">
      <c r="A545" s="112">
        <v>543</v>
      </c>
      <c r="B545" s="111" t="s">
        <v>2</v>
      </c>
      <c r="C545" s="111">
        <v>20</v>
      </c>
      <c r="D545" s="115">
        <v>3</v>
      </c>
      <c r="E545" s="111">
        <v>0</v>
      </c>
      <c r="F545" s="105">
        <v>7.2</v>
      </c>
      <c r="G545" s="105"/>
      <c r="H545" s="105"/>
      <c r="I545" s="94">
        <f>SUM(ППД5[[#This Row],[Комната 1]:[Комната 3]])</f>
        <v>7.2</v>
      </c>
      <c r="J545" s="105">
        <v>5.17</v>
      </c>
      <c r="K545" s="105">
        <v>3.71</v>
      </c>
      <c r="L545" s="105"/>
      <c r="M545" s="105"/>
      <c r="N545" s="105">
        <v>6.96</v>
      </c>
      <c r="O545" s="105">
        <v>2.92</v>
      </c>
      <c r="P545" s="105"/>
      <c r="Q545" s="105"/>
      <c r="R545" s="105">
        <f>SUM(ППД5[[#This Row],[Лоджия 1]:[Лоджия 3]])</f>
        <v>2.92</v>
      </c>
      <c r="S545" s="8">
        <f>ROUND(SUM(ППД5[[#This Row],[Площадь по проекту жилая]:[Лоджия 3]]),2)</f>
        <v>25.96</v>
      </c>
      <c r="T545" s="8">
        <f>ROUND(ППД5[[#This Row],[Площадь по проекту(общая)]]-ППД5[[#This Row],[Летние]],2)</f>
        <v>23.04</v>
      </c>
      <c r="U545" s="91">
        <f>ROUND(ППД5[[#This Row],[Площадь по проекту(общая)]]-(SUM(ППД5[[#This Row],[Лоджия 1]:[Лоджия 3]])/2),2)</f>
        <v>24.5</v>
      </c>
      <c r="V545" s="91">
        <f>IF(ППД5[[#This Row],[Статус]]="продажа",ППД5[[#This Row],[Расчетная проектная площадь]],ППД5[[#This Row],[Расчетная ТП площадь]])</f>
        <v>24.45</v>
      </c>
      <c r="W545" s="91">
        <v>7.2</v>
      </c>
      <c r="X545" s="91"/>
      <c r="Y545" s="91"/>
      <c r="Z545" s="91">
        <f>SUM(ППД5[[#This Row],[ТП Комната 1]:[ТП Комната 3]])</f>
        <v>7.2</v>
      </c>
      <c r="AA545" s="91">
        <v>5.6</v>
      </c>
      <c r="AB545" s="91">
        <v>3.7</v>
      </c>
      <c r="AC545" s="91"/>
      <c r="AD545" s="91"/>
      <c r="AE545" s="91">
        <v>6.5</v>
      </c>
      <c r="AF545" s="91">
        <v>1.45</v>
      </c>
      <c r="AG545" s="91"/>
      <c r="AH545" s="91"/>
      <c r="AI545" s="91">
        <f>SUM(ППД5[[#This Row],[ТП Лоджия 1]:[ТП Лоджия 3]])</f>
        <v>1.45</v>
      </c>
      <c r="AJ545" s="95">
        <v>2.9</v>
      </c>
      <c r="AK545" s="91">
        <f>SUM(ППД5[[#This Row],[Площадь по ТП жилая]:[ТП Лоджия 3]])-ППД5[[#This Row],[ТП Летние]]+ППД5[[#This Row],[кроме того прочая
(без коэффициента)]]</f>
        <v>25.9</v>
      </c>
      <c r="AL545" s="95">
        <f>ППД5[[#This Row],[ТП Площадь без летних]]+(ППД5[[#This Row],[ТП Летние]])</f>
        <v>24.45</v>
      </c>
      <c r="AM545" s="91">
        <f>ППД5[[#This Row],[ТП общая S]]-ППД5[[#This Row],[кроме того прочая
(без коэффициента)]]</f>
        <v>23</v>
      </c>
      <c r="AN545" s="95">
        <f>SUM(ППД5[[#This Row],[ТП Кухня]:[ТП Коридор]])</f>
        <v>15.8</v>
      </c>
      <c r="AO545" s="91">
        <f>ППД5[[#This Row],[Расчетная ТП площадь]]-ППД5[[#This Row],[Расчетная проектная площадь]]</f>
        <v>-5.0000000000000711E-2</v>
      </c>
      <c r="AP545" s="335">
        <f>ППД5[[#This Row],[Расчетная ТП площадь]]/ППД5[[#This Row],[Расчетная проектная площадь]]-1</f>
        <v>-2.0408163265306367E-3</v>
      </c>
      <c r="AQ545" s="91">
        <f>ППД5[[#This Row],[% расхождения]]*ППД5[[#This Row],[Стоимость до скидки]]</f>
        <v>-7725.5102040817255</v>
      </c>
      <c r="AR545" s="91">
        <f>VLOOKUP(ППД5[[#This Row],[№]],наценкад5[],COLUMN(наценкад5[[#This Row],[Цена м2 с учетом всех K]]),0)</f>
        <v>98113.68</v>
      </c>
      <c r="AS545" s="8">
        <f>ППД5[[#This Row],[м2 после К]]*5%</f>
        <v>4905.6840000000002</v>
      </c>
      <c r="AT545" s="8">
        <f>ППД5[[#This Row],[м2 после К]]+ППД5[[#This Row],[Повышение 16.08.23 - 5%]]</f>
        <v>103019.36399999999</v>
      </c>
      <c r="AU545" s="93">
        <f>ППД5[[#This Row],[Фикс 16.08.23]]*3%</f>
        <v>3090.5809199999994</v>
      </c>
      <c r="AV545" s="93">
        <f>ППД5[[#This Row],[Фикс 16.08.23]]+ППД5[[#This Row],[Повышение 29.08.23 - 3%]]</f>
        <v>106109.94491999998</v>
      </c>
      <c r="AW545" s="93">
        <f>ППД5[[#This Row],[Фикс 29.08.23]]*9%</f>
        <v>9549.8950427999971</v>
      </c>
      <c r="AX545" s="93">
        <f>ППД5[[#This Row],[Фикс 29.08.23]]+ППД5[[#This Row],[Повышение 06.09.23 СТ и 1К]]</f>
        <v>115659.83996279998</v>
      </c>
      <c r="AY545" s="93"/>
      <c r="AZ545" s="93">
        <f>ППД5[[#This Row],[Повышение 23.10.23  В4 ]]+ППД5[[#This Row],[Фикс 06.09.23]]</f>
        <v>115659.83996279998</v>
      </c>
      <c r="BA545" s="93"/>
      <c r="BB545" s="93">
        <f>ППД5[[#This Row],[Повышение 8.11.23 1К 5%]]+ППД5[[#This Row],[Фикс 23.10.23]]</f>
        <v>115659.83996279998</v>
      </c>
      <c r="BC545" s="93"/>
      <c r="BD545" s="93">
        <f>ППД5[[#This Row],[Корректировка 24.11.23 - 1К В5, 2К А2, №233]]+ППД5[[#This Row],[Фикс 8.11.23]]</f>
        <v>115659.83996279998</v>
      </c>
      <c r="BE545" s="93">
        <f>ППД5[[#This Row],[Фикс 8.11.24]]*1%</f>
        <v>1156.5983996279997</v>
      </c>
      <c r="BF545" s="93">
        <f>ППД5[[#This Row],[Наценка за отделку 29.12.23 1%]]+ППД5[[#This Row],[Фикс 8.11.24]]</f>
        <v>116816.43836242797</v>
      </c>
      <c r="BG545" s="93">
        <f>ППД5[[#This Row],[Фикс 29.12.23]]*5%</f>
        <v>5840.821918121399</v>
      </c>
      <c r="BH545" s="93">
        <f>ППД5[[#This Row],[Фикс 29.12.23]]+ППД5[[#This Row],[Наценка 10.01.24 5%]]</f>
        <v>122657.26028054937</v>
      </c>
      <c r="BI545" s="93"/>
      <c r="BJ545" s="93">
        <f>ППД5[[#This Row],[Наценка 26.02.24 1 Этаж]]+ППД5[[#This Row],[Фикс 10.01.24]]</f>
        <v>122657.26028054937</v>
      </c>
      <c r="BK545" s="93">
        <f>ППД5[[#This Row],[Фикс 26.02.24]]*3%</f>
        <v>3679.7178084164807</v>
      </c>
      <c r="BL545" s="93">
        <f>ППД5[[#This Row],[Фикс 26.02.24]]+ППД5[[#This Row],[Наценка 06.03.24
СТ, 1К - 3%
2К, 3К - 2%]]</f>
        <v>126336.97808896584</v>
      </c>
      <c r="BM545" s="93"/>
      <c r="BN545" s="93">
        <f>ППД5[[#This Row],[Фикс 06.03.24]]+ППД5[[#This Row],[Наценка Г2+500]]</f>
        <v>126336.97808896584</v>
      </c>
      <c r="BO545" s="93"/>
      <c r="BP545" s="93">
        <f>ППД5[[#This Row],[Фикс 13.03.25]]+ППД5[[#This Row],[Наценка 20.03.24
2К, 3К - 2%]]</f>
        <v>126336.97808896584</v>
      </c>
      <c r="BQ545" s="93"/>
      <c r="BR545" s="93">
        <f>ППД5[[#This Row],[Фикс 20.03.24]]+ППД5[[#This Row],[Наценка 08.04.24 
2К: В3 - 150
3К: Г7 +1000]]</f>
        <v>126336.97808896584</v>
      </c>
      <c r="BS545" s="93">
        <f>ППД5[[#This Row],[Фикс 08.04.24]]*1%</f>
        <v>1263.3697808896584</v>
      </c>
      <c r="BT545" s="93">
        <f>ППД5[[#This Row],[Фикс 08.04.24]]+ППД5[[#This Row],[Наценка 16.05.24 1%
А4,А6,Б3,Б6,Б7,В2,В3,В5,В6,Г1,Г3-Г5]]</f>
        <v>127600.3478698555</v>
      </c>
      <c r="BU545" s="93"/>
      <c r="BV545" s="93">
        <f>ППД5[[#This Row],[Фикс 16.05.24]]+ППД5[[#This Row],[Наценка 24.05.24
1% - Б4, Б5,Г2,Г6
2% - А1,А3,А5,Б2,Г7]]</f>
        <v>127600.3478698555</v>
      </c>
      <c r="BW545" s="93">
        <f>ППД5[[#This Row],[Фикс 24.05.24]]*0.5%</f>
        <v>638.0017393492775</v>
      </c>
      <c r="BX545" s="93">
        <f>ППД5[[#This Row],[Наценка 06.06.24
0К: В2,Г3 +0,5%
1К: А7, Б5/4, Г6 +0,5%
3К: В6 +0,5%
1К: А3 +1%]]+ППД5[[#This Row],[Фикс 24.05.24]]</f>
        <v>128238.34960920477</v>
      </c>
      <c r="BY545" s="93"/>
      <c r="BZ545" s="93">
        <f>ППД5[[#This Row],[Фикс 06.06.24]]+ППД5[[#This Row],[13.06.2024
3К - 2%]]</f>
        <v>128238.34960920477</v>
      </c>
      <c r="CA545" s="93">
        <f>2.5%*ППД5[[#This Row],[Фикс 13.06.24]]</f>
        <v>3205.9587402301195</v>
      </c>
      <c r="CB545" s="93">
        <f>ППД5[[#This Row],[02.07.2024: Г3 А1 А3 Б5 Б7 Г2 Г6 Б3 Б4 В3 Г7 2,5% ост 0,5-1,5%]]+ППД5[[#This Row],[Фикс 13.06.24]]</f>
        <v>131444.3083494349</v>
      </c>
      <c r="CC545" s="93"/>
      <c r="CD545" s="93">
        <f>ППД5[[#This Row],[Фикс 02.07.24]]+ППД5[[#This Row],[04.09.2024 +500
0К - Б2; 1К - А3;
2К - А6, Б4, В3, Г5]]</f>
        <v>131444.3083494349</v>
      </c>
      <c r="CE545" s="93"/>
      <c r="CF545" s="93">
        <f>ППД5[[#This Row],[Наценка 16.09.2024
1К: А1,В7,Г6/7,Г8 - 2%
2К: А4,А5,А6,Б1,Б6,Б3/4,В3,В4,Г4,Г5 - 4%
3К: 4%]]+ППД5[[#This Row],[Фикс 04.09.24]]</f>
        <v>131444.3083494349</v>
      </c>
      <c r="CG545" s="93">
        <f>ППД5[[#This Row],[Фикс 16.09.2024]]*4%</f>
        <v>5257.7723339773956</v>
      </c>
      <c r="CH545" s="93">
        <f>ППД5[[#This Row],[Фикс 16.09.2024]]+ППД5[[#This Row],[Наценка 01.11.24
СТ: 4%
1К: 34-40м 5%; 40м+ 8%; МГН 1%
2К: 55-70м 6%; 70-73м 7%; 73-76м 8% 
3К: 5%]]</f>
        <v>136702.08068341229</v>
      </c>
      <c r="CI545" s="93">
        <f>ППД5[[#This Row],[Фикс 01.11.24]]*13%</f>
        <v>17771.270488843598</v>
      </c>
      <c r="CJ545" s="93">
        <f>ППД5[[#This Row],[Наценка 06.11 13%]]+ППД5[[#This Row],[Фикс 01.11.24]]</f>
        <v>154473.35117225588</v>
      </c>
      <c r="CK545" s="93">
        <v>35</v>
      </c>
      <c r="CL545" s="93">
        <f>ППД5[[#This Row],[Фикс 06.11.24]]+ППД5[[#This Row],[Наценка 18.12.24 распределение КВ]]</f>
        <v>154508.35117225588</v>
      </c>
      <c r="CM545" s="93"/>
      <c r="CN545" s="93">
        <f>ППД5[[#This Row],[Фикс 18.12.24]]+ППД5[[#This Row],[Наценка 10.02.25 +1%
1К: А3
2К: Б3, В3]]</f>
        <v>154508.35117225588</v>
      </c>
      <c r="CO545" s="93">
        <f>ROUND(ППД5[[#This Row],[Фикс 10.02.25]],2)</f>
        <v>154508.35</v>
      </c>
      <c r="CP54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3785500</v>
      </c>
      <c r="CQ545" s="93">
        <f>ROUNDUP(ППД5[[#This Row],[Стоимость до скидки]]+ППД5[[#This Row],[Сумма доплаты]],-2)</f>
        <v>3777800</v>
      </c>
      <c r="CR545" s="68"/>
      <c r="CS545" s="90"/>
      <c r="CT545" s="68">
        <f>ППД5[[#This Row],[Стоимость до скидки]]*ППД5[[#This Row],[Скидка %]]+ППД5[[#This Row],[Скидка фиксированная]]</f>
        <v>0</v>
      </c>
      <c r="CU545" s="3">
        <f>ППД5[[#This Row],[Стоимость ОН без отделки со скидкой]]/ППД5[[#This Row],[Расчетная проектная площадь]]</f>
        <v>154510.20408163266</v>
      </c>
      <c r="CV545" s="3">
        <f>ROUND(ППД5[[#This Row],[Стоимость до скидки]]-ППД5[[#This Row],[Итоговая сумма скидки]],2)</f>
        <v>3785500</v>
      </c>
      <c r="CW54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45" s="197"/>
      <c r="CY545" s="332">
        <f>ППД5[[#This Row],[Расхождение]]/ППД5[[#This Row],[Расчетная проектная площадь]]</f>
        <v>-2.0408163265306411E-3</v>
      </c>
      <c r="CZ54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-4.0000000000000036E-2</v>
      </c>
      <c r="DA545" s="3">
        <f>ППД5[[#This Row],[Цена м2 без отделки со скидкой]]+ППД5[[#This Row],[Стоимость отделки]]</f>
        <v>154510.20408163266</v>
      </c>
      <c r="DB545" s="3">
        <f>ППД5[[#This Row],[Стоимость квартиры с отделкой]]-ППД5[[#This Row],[Стоимость ОН без отделки со скидкой]]</f>
        <v>0</v>
      </c>
      <c r="DC545" s="3">
        <f>ППД5[[#This Row],[Цена м2 с отделкой]]*ППД5[[#This Row],[Расчетная проектная площадь]]</f>
        <v>3785500</v>
      </c>
      <c r="DD545" s="3"/>
      <c r="DF545" s="155" t="s">
        <v>15</v>
      </c>
      <c r="DG545" s="245" t="s">
        <v>15</v>
      </c>
      <c r="DH545" s="100" t="b">
        <f>EXACT(ППД5[[#This Row],[Статусы CRM]],ППД5[[#This Row],[Статус]])</f>
        <v>1</v>
      </c>
      <c r="DI545" s="213" t="s">
        <v>717</v>
      </c>
      <c r="DJ545" s="204"/>
      <c r="DK545" s="111" t="s">
        <v>763</v>
      </c>
      <c r="DL545" s="216" t="s">
        <v>12</v>
      </c>
      <c r="DM545" s="201" t="b">
        <f>ППД5[[#This Row],[Отделка CRM]]=ППД5[[#This Row],[Отделка]]</f>
        <v>1</v>
      </c>
      <c r="DN545" s="203">
        <v>3785500</v>
      </c>
      <c r="DO54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45" s="207" t="b">
        <f>IF(AND(ППД5[[#This Row],[Статус]]="свободно",ППД5[[#This Row],[Итоговая сумма скидки]]&lt;&gt;0),FALSE,TRUE)</f>
        <v>1</v>
      </c>
      <c r="DQ545" s="240" t="str">
        <f>_xlfn.XLOOKUP(ППД5[[#This Row],[№]],Юрист[№ кв],Юрист[Дата подачи на регистрацию]," ",0,-1)</f>
        <v xml:space="preserve"> </v>
      </c>
      <c r="DR545" s="115" t="str">
        <f>_xlfn.XLOOKUP(ППД5[[#This Row],[№]],Юрист[№ кв],Юрист[МОП],"",0,-1)</f>
        <v/>
      </c>
      <c r="DS545" s="333" t="s">
        <v>3382</v>
      </c>
      <c r="DT545" s="333" t="s">
        <v>3383</v>
      </c>
      <c r="DU545" s="333">
        <v>23</v>
      </c>
      <c r="DV545" s="111"/>
    </row>
    <row r="546" spans="1:126" hidden="1" x14ac:dyDescent="0.25">
      <c r="A546" s="112">
        <v>544</v>
      </c>
      <c r="B546" s="111" t="s">
        <v>2</v>
      </c>
      <c r="C546" s="111">
        <v>20</v>
      </c>
      <c r="D546" s="115">
        <v>4</v>
      </c>
      <c r="E546" s="111">
        <v>2</v>
      </c>
      <c r="F546" s="105">
        <v>14.48</v>
      </c>
      <c r="G546" s="105">
        <v>11.42</v>
      </c>
      <c r="H546" s="105"/>
      <c r="I546" s="94">
        <f>SUM(ППД5[[#This Row],[Комната 1]:[Комната 3]])</f>
        <v>25.9</v>
      </c>
      <c r="J546" s="105">
        <v>15.86</v>
      </c>
      <c r="K546" s="105">
        <v>3.01</v>
      </c>
      <c r="L546" s="105">
        <v>2.67</v>
      </c>
      <c r="M546" s="105"/>
      <c r="N546" s="105">
        <v>9.44</v>
      </c>
      <c r="O546" s="105">
        <v>2.72</v>
      </c>
      <c r="P546" s="105"/>
      <c r="Q546" s="105"/>
      <c r="R546" s="105">
        <f>SUM(ППД5[[#This Row],[Лоджия 1]:[Лоджия 3]])</f>
        <v>2.72</v>
      </c>
      <c r="S546" s="8">
        <f>ROUND(SUM(ППД5[[#This Row],[Площадь по проекту жилая]:[Лоджия 3]]),2)</f>
        <v>59.6</v>
      </c>
      <c r="T546" s="8">
        <f>ROUND(ППД5[[#This Row],[Площадь по проекту(общая)]]-ППД5[[#This Row],[Летние]],2)</f>
        <v>56.88</v>
      </c>
      <c r="U546" s="91">
        <f>ROUND(ППД5[[#This Row],[Площадь по проекту(общая)]]-(SUM(ППД5[[#This Row],[Лоджия 1]:[Лоджия 3]])/2),2)</f>
        <v>58.24</v>
      </c>
      <c r="V546" s="91">
        <f>IF(ППД5[[#This Row],[Статус]]="продажа",ППД5[[#This Row],[Расчетная проектная площадь]],ППД5[[#This Row],[Расчетная ТП площадь]])</f>
        <v>58.150000000000006</v>
      </c>
      <c r="W546" s="91">
        <v>14.4</v>
      </c>
      <c r="X546" s="91">
        <v>11.3</v>
      </c>
      <c r="Y546" s="91"/>
      <c r="Z546" s="91">
        <f>SUM(ППД5[[#This Row],[ТП Комната 1]:[ТП Комната 3]])</f>
        <v>25.700000000000003</v>
      </c>
      <c r="AA546" s="91">
        <v>15.9</v>
      </c>
      <c r="AB546" s="91">
        <v>2.7</v>
      </c>
      <c r="AC546" s="91">
        <v>3.1</v>
      </c>
      <c r="AD546" s="91"/>
      <c r="AE546" s="91">
        <v>9.4</v>
      </c>
      <c r="AF546" s="91">
        <v>1.35</v>
      </c>
      <c r="AG546" s="91"/>
      <c r="AH546" s="91"/>
      <c r="AI546" s="91">
        <f>SUM(ППД5[[#This Row],[ТП Лоджия 1]:[ТП Лоджия 3]])</f>
        <v>1.35</v>
      </c>
      <c r="AJ546" s="95">
        <v>2.7</v>
      </c>
      <c r="AK546" s="91">
        <f>SUM(ППД5[[#This Row],[Площадь по ТП жилая]:[ТП Лоджия 3]])-ППД5[[#This Row],[ТП Летние]]+ППД5[[#This Row],[кроме того прочая
(без коэффициента)]]</f>
        <v>59.500000000000007</v>
      </c>
      <c r="AL546" s="95">
        <f>ППД5[[#This Row],[ТП Площадь без летних]]+(ППД5[[#This Row],[ТП Летние]])</f>
        <v>58.150000000000006</v>
      </c>
      <c r="AM546" s="91">
        <f>ППД5[[#This Row],[ТП общая S]]-ППД5[[#This Row],[кроме того прочая
(без коэффициента)]]</f>
        <v>56.800000000000004</v>
      </c>
      <c r="AN546" s="95">
        <f>SUM(ППД5[[#This Row],[ТП Кухня]:[ТП Коридор]])</f>
        <v>31.1</v>
      </c>
      <c r="AO546" s="91">
        <f>ППД5[[#This Row],[Расчетная ТП площадь]]-ППД5[[#This Row],[Расчетная проектная площадь]]</f>
        <v>-8.9999999999996305E-2</v>
      </c>
      <c r="AP546" s="335">
        <f>ППД5[[#This Row],[Расчетная ТП площадь]]/ППД5[[#This Row],[Расчетная проектная площадь]]-1</f>
        <v>-1.5453296703296093E-3</v>
      </c>
      <c r="AQ546" s="91">
        <f>ППД5[[#This Row],[% расхождения]]*ППД5[[#This Row],[Стоимость до скидки]]</f>
        <v>-11758.567994505031</v>
      </c>
      <c r="AR546" s="91">
        <f>VLOOKUP(ППД5[[#This Row],[№]],наценкад5[],COLUMN(наценкад5[[#This Row],[Цена м2 с учетом всех K]]),0)</f>
        <v>85713.201000000001</v>
      </c>
      <c r="AS546" s="8">
        <f>ППД5[[#This Row],[м2 после К]]*5%</f>
        <v>4285.6600500000004</v>
      </c>
      <c r="AT546" s="8">
        <f>ППД5[[#This Row],[м2 после К]]+ППД5[[#This Row],[Повышение 16.08.23 - 5%]]</f>
        <v>89998.861050000007</v>
      </c>
      <c r="AU546" s="93">
        <f>ППД5[[#This Row],[Фикс 16.08.23]]*3%</f>
        <v>2699.9658315000001</v>
      </c>
      <c r="AV546" s="93">
        <f>ППД5[[#This Row],[Фикс 16.08.23]]+ППД5[[#This Row],[Повышение 29.08.23 - 3%]]</f>
        <v>92698.826881500005</v>
      </c>
      <c r="AW546" s="93"/>
      <c r="AX546" s="93">
        <f>ППД5[[#This Row],[Фикс 29.08.23]]+ППД5[[#This Row],[Повышение 06.09.23 СТ и 1К]]</f>
        <v>92698.826881500005</v>
      </c>
      <c r="AY546" s="93"/>
      <c r="AZ546" s="93">
        <f>ППД5[[#This Row],[Повышение 23.10.23  В4 ]]+ППД5[[#This Row],[Фикс 06.09.23]]</f>
        <v>92698.826881500005</v>
      </c>
      <c r="BA546" s="93"/>
      <c r="BB546" s="93">
        <f>ППД5[[#This Row],[Повышение 8.11.23 1К 5%]]+ППД5[[#This Row],[Фикс 23.10.23]]</f>
        <v>92698.826881500005</v>
      </c>
      <c r="BC546" s="93"/>
      <c r="BD546" s="93">
        <f>ППД5[[#This Row],[Корректировка 24.11.23 - 1К В5, 2К А2, №233]]+ППД5[[#This Row],[Фикс 8.11.23]]</f>
        <v>92698.826881500005</v>
      </c>
      <c r="BE546" s="93">
        <f>ППД5[[#This Row],[Фикс 8.11.24]]*1%</f>
        <v>926.98826881500008</v>
      </c>
      <c r="BF546" s="93">
        <f>ППД5[[#This Row],[Наценка за отделку 29.12.23 1%]]+ППД5[[#This Row],[Фикс 8.11.24]]</f>
        <v>93625.815150315</v>
      </c>
      <c r="BG546" s="93">
        <f>ППД5[[#This Row],[Фикс 29.12.23]]*5%</f>
        <v>4681.2907575157506</v>
      </c>
      <c r="BH546" s="93">
        <f>ППД5[[#This Row],[Фикс 29.12.23]]+ППД5[[#This Row],[Наценка 10.01.24 5%]]</f>
        <v>98307.105907830744</v>
      </c>
      <c r="BI546" s="93"/>
      <c r="BJ546" s="93">
        <f>ППД5[[#This Row],[Наценка 26.02.24 1 Этаж]]+ППД5[[#This Row],[Фикс 10.01.24]]</f>
        <v>98307.105907830744</v>
      </c>
      <c r="BK546" s="93">
        <f>ППД5[[#This Row],[Фикс 26.02.24]]*2%</f>
        <v>1966.142118156615</v>
      </c>
      <c r="BL546" s="93">
        <f>ППД5[[#This Row],[Фикс 26.02.24]]+ППД5[[#This Row],[Наценка 06.03.24
СТ, 1К - 3%
2К, 3К - 2%]]</f>
        <v>100273.24802598736</v>
      </c>
      <c r="BM546" s="93"/>
      <c r="BN546" s="93">
        <f>ППД5[[#This Row],[Фикс 06.03.24]]+ППД5[[#This Row],[Наценка Г2+500]]</f>
        <v>100273.24802598736</v>
      </c>
      <c r="BO546" s="93">
        <f>ППД5[[#This Row],[Фикс 13.03.25]]*2%</f>
        <v>2005.4649605197471</v>
      </c>
      <c r="BP546" s="93">
        <f>ППД5[[#This Row],[Фикс 13.03.25]]+ППД5[[#This Row],[Наценка 20.03.24
2К, 3К - 2%]]</f>
        <v>102278.7129865071</v>
      </c>
      <c r="BQ546" s="93"/>
      <c r="BR546" s="93">
        <f>ППД5[[#This Row],[Фикс 20.03.24]]+ППД5[[#This Row],[Наценка 08.04.24 
2К: В3 - 150
3К: Г7 +1000]]</f>
        <v>102278.7129865071</v>
      </c>
      <c r="BS546" s="93">
        <f>ППД5[[#This Row],[Фикс 08.04.24]]*1%</f>
        <v>1022.7871298650711</v>
      </c>
      <c r="BT546" s="93">
        <f>ППД5[[#This Row],[Фикс 08.04.24]]+ППД5[[#This Row],[Наценка 16.05.24 1%
А4,А6,Б3,Б6,Б7,В2,В3,В5,В6,Г1,Г3-Г5]]</f>
        <v>103301.50011637218</v>
      </c>
      <c r="BU546" s="93"/>
      <c r="BV546" s="93">
        <f>ППД5[[#This Row],[Фикс 16.05.24]]+ППД5[[#This Row],[Наценка 24.05.24
1% - Б4, Б5,Г2,Г6
2% - А1,А3,А5,Б2,Г7]]</f>
        <v>103301.50011637218</v>
      </c>
      <c r="BW546" s="93"/>
      <c r="BX546" s="93">
        <f>ППД5[[#This Row],[Наценка 06.06.24
0К: В2,Г3 +0,5%
1К: А7, Б5/4, Г6 +0,5%
3К: В6 +0,5%
1К: А3 +1%]]+ППД5[[#This Row],[Фикс 24.05.24]]</f>
        <v>103301.50011637218</v>
      </c>
      <c r="BY546" s="93"/>
      <c r="BZ546" s="93">
        <f>ППД5[[#This Row],[Фикс 06.06.24]]+ППД5[[#This Row],[13.06.2024
3К - 2%]]</f>
        <v>103301.50011637218</v>
      </c>
      <c r="CA546" s="47">
        <f>1.5%*ППД5[[#This Row],[Фикс 13.06.24]]</f>
        <v>1549.5225017455825</v>
      </c>
      <c r="CB546" s="93">
        <f>ППД5[[#This Row],[02.07.2024: Г3 А1 А3 Б5 Б7 Г2 Г6 Б3 Б4 В3 Г7 2,5% ост 0,5-1,5%]]+ППД5[[#This Row],[Фикс 13.06.24]]</f>
        <v>104851.02261811776</v>
      </c>
      <c r="CC546" s="93"/>
      <c r="CD546" s="93">
        <f>ППД5[[#This Row],[Фикс 02.07.24]]+ППД5[[#This Row],[04.09.2024 +500
0К - Б2; 1К - А3;
2К - А6, Б4, В3, Г5]]</f>
        <v>104851.02261811776</v>
      </c>
      <c r="CE546" s="93">
        <f>ППД5[[#This Row],[Фикс 04.09.24]]*4%</f>
        <v>4194.0409047247103</v>
      </c>
      <c r="CF546" s="93">
        <f>ППД5[[#This Row],[Наценка 16.09.2024
1К: А1,В7,Г6/7,Г8 - 2%
2К: А4,А5,А6,Б1,Б6,Б3/4,В3,В4,Г4,Г5 - 4%
3К: 4%]]+ППД5[[#This Row],[Фикс 04.09.24]]</f>
        <v>109045.06352284247</v>
      </c>
      <c r="CG546" s="93">
        <f>ППД5[[#This Row],[Фикс 16.09.2024]]*6%</f>
        <v>6542.7038113705476</v>
      </c>
      <c r="CH546" s="93">
        <f>ППД5[[#This Row],[Фикс 16.09.2024]]+ППД5[[#This Row],[Наценка 01.11.24
СТ: 4%
1К: 34-40м 5%; 40м+ 8%; МГН 1%
2К: 55-70м 6%; 70-73м 7%; 73-76м 8% 
3К: 5%]]</f>
        <v>115587.76733421301</v>
      </c>
      <c r="CI546" s="93">
        <f>ППД5[[#This Row],[Фикс 01.11.24]]*13%</f>
        <v>15026.409753447693</v>
      </c>
      <c r="CJ546" s="93">
        <f>ППД5[[#This Row],[Наценка 06.11 13%]]+ППД5[[#This Row],[Фикс 01.11.24]]</f>
        <v>130614.1770876607</v>
      </c>
      <c r="CK546" s="93">
        <v>35</v>
      </c>
      <c r="CL546" s="93">
        <f>ППД5[[#This Row],[Фикс 06.11.24]]+ППД5[[#This Row],[Наценка 18.12.24 распределение КВ]]</f>
        <v>130649.1770876607</v>
      </c>
      <c r="CM546" s="93"/>
      <c r="CN546" s="93">
        <f>ППД5[[#This Row],[Фикс 18.12.24]]+ППД5[[#This Row],[Наценка 10.02.25 +1%
1К: А3
2К: Б3, В3]]</f>
        <v>130649.1770876607</v>
      </c>
      <c r="CO546" s="93">
        <f>ROUND(ППД5[[#This Row],[Фикс 10.02.25]],2)</f>
        <v>130649.18</v>
      </c>
      <c r="CP54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7609100</v>
      </c>
      <c r="CQ546" s="93">
        <f>ROUNDUP(ППД5[[#This Row],[Стоимость до скидки]]+ППД5[[#This Row],[Сумма доплаты]],-2)</f>
        <v>7597400</v>
      </c>
      <c r="CR546" s="68"/>
      <c r="CS546" s="90"/>
      <c r="CT546" s="68">
        <f>ППД5[[#This Row],[Стоимость до скидки]]*ППД5[[#This Row],[Скидка %]]+ППД5[[#This Row],[Скидка фиксированная]]</f>
        <v>0</v>
      </c>
      <c r="CU546" s="3">
        <f>ППД5[[#This Row],[Стоимость ОН без отделки со скидкой]]/ППД5[[#This Row],[Расчетная проектная площадь]]</f>
        <v>130650.75549450549</v>
      </c>
      <c r="CV546" s="3">
        <f>ROUND(ППД5[[#This Row],[Стоимость до скидки]]-ППД5[[#This Row],[Итоговая сумма скидки]],2)</f>
        <v>7609100</v>
      </c>
      <c r="CW54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46" s="197"/>
      <c r="CY546" s="332">
        <f>ППД5[[#This Row],[Расхождение]]/ППД5[[#This Row],[Расчетная проектная площадь]]</f>
        <v>-1.5453296703296069E-3</v>
      </c>
      <c r="CZ54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0.12000000000000277</v>
      </c>
      <c r="DA546" s="3">
        <f>ППД5[[#This Row],[Цена м2 без отделки со скидкой]]+ППД5[[#This Row],[Стоимость отделки]]</f>
        <v>130650.75549450549</v>
      </c>
      <c r="DB546" s="3">
        <f>ППД5[[#This Row],[Стоимость квартиры с отделкой]]-ППД5[[#This Row],[Стоимость ОН без отделки со скидкой]]</f>
        <v>0</v>
      </c>
      <c r="DC546" s="3">
        <f>ППД5[[#This Row],[Цена м2 с отделкой]]*ППД5[[#This Row],[Расчетная проектная площадь]]</f>
        <v>7609100</v>
      </c>
      <c r="DD546" s="3"/>
      <c r="DF546" s="199" t="s">
        <v>157</v>
      </c>
      <c r="DG546" s="245" t="s">
        <v>157</v>
      </c>
      <c r="DH546" s="100" t="b">
        <f>EXACT(ППД5[[#This Row],[Статусы CRM]],ППД5[[#This Row],[Статус]])</f>
        <v>1</v>
      </c>
      <c r="DI546" s="213" t="s">
        <v>718</v>
      </c>
      <c r="DJ546" s="204"/>
      <c r="DK546" s="111" t="s">
        <v>763</v>
      </c>
      <c r="DL546" s="216" t="s">
        <v>12</v>
      </c>
      <c r="DM546" s="201" t="b">
        <f>ППД5[[#This Row],[Отделка CRM]]=ППД5[[#This Row],[Отделка]]</f>
        <v>1</v>
      </c>
      <c r="DN546" s="203">
        <v>7609100</v>
      </c>
      <c r="DO54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46" s="207" t="b">
        <f>IF(AND(ППД5[[#This Row],[Статус]]="свободно",ППД5[[#This Row],[Итоговая сумма скидки]]&lt;&gt;0),FALSE,TRUE)</f>
        <v>1</v>
      </c>
      <c r="DQ546" s="240" t="str">
        <f>_xlfn.XLOOKUP(ППД5[[#This Row],[№]],Юрист[№ кв],Юрист[Дата подачи на регистрацию]," ",0,-1)</f>
        <v xml:space="preserve"> </v>
      </c>
      <c r="DR546" s="115" t="str">
        <f>_xlfn.XLOOKUP(ППД5[[#This Row],[№]],Юрист[№ кв],Юрист[МОП],"",0,-1)</f>
        <v/>
      </c>
      <c r="DS546" s="333" t="s">
        <v>3384</v>
      </c>
      <c r="DT546" s="333" t="s">
        <v>3385</v>
      </c>
      <c r="DU546" s="333">
        <v>56.8</v>
      </c>
      <c r="DV546" s="111"/>
    </row>
    <row r="547" spans="1:126" hidden="1" x14ac:dyDescent="0.25">
      <c r="A547" s="112">
        <v>545</v>
      </c>
      <c r="B547" s="111" t="s">
        <v>2</v>
      </c>
      <c r="C547" s="111">
        <v>20</v>
      </c>
      <c r="D547" s="115">
        <v>5</v>
      </c>
      <c r="E547" s="111">
        <v>2</v>
      </c>
      <c r="F547" s="105">
        <v>15.41</v>
      </c>
      <c r="G547" s="105">
        <v>12.78</v>
      </c>
      <c r="H547" s="105"/>
      <c r="I547" s="94">
        <f>SUM(ППД5[[#This Row],[Комната 1]:[Комната 3]])</f>
        <v>28.189999999999998</v>
      </c>
      <c r="J547" s="105">
        <v>13.45</v>
      </c>
      <c r="K547" s="105">
        <v>3.7</v>
      </c>
      <c r="L547" s="105">
        <v>2.72</v>
      </c>
      <c r="M547" s="105"/>
      <c r="N547" s="105">
        <v>8.2200000000000006</v>
      </c>
      <c r="O547" s="105">
        <v>3.03</v>
      </c>
      <c r="P547" s="105"/>
      <c r="Q547" s="105"/>
      <c r="R547" s="105">
        <f>SUM(ППД5[[#This Row],[Лоджия 1]:[Лоджия 3]])</f>
        <v>3.03</v>
      </c>
      <c r="S547" s="8">
        <f>ROUND(SUM(ППД5[[#This Row],[Площадь по проекту жилая]:[Лоджия 3]]),2)</f>
        <v>59.31</v>
      </c>
      <c r="T547" s="8">
        <f>ROUND(ППД5[[#This Row],[Площадь по проекту(общая)]]-ППД5[[#This Row],[Летние]],2)</f>
        <v>56.28</v>
      </c>
      <c r="U547" s="91">
        <f>ROUND(ППД5[[#This Row],[Площадь по проекту(общая)]]-(SUM(ППД5[[#This Row],[Лоджия 1]:[Лоджия 3]])/2),2)</f>
        <v>57.8</v>
      </c>
      <c r="V547" s="91">
        <f>IF(ППД5[[#This Row],[Статус]]="продажа",ППД5[[#This Row],[Расчетная проектная площадь]],ППД5[[#This Row],[Расчетная ТП площадь]])</f>
        <v>57.55</v>
      </c>
      <c r="W547" s="91">
        <v>12.6</v>
      </c>
      <c r="X547" s="91">
        <v>15.4</v>
      </c>
      <c r="Y547" s="91"/>
      <c r="Z547" s="91">
        <f>SUM(ППД5[[#This Row],[ТП Комната 1]:[ТП Комната 3]])</f>
        <v>28</v>
      </c>
      <c r="AA547" s="91">
        <v>13.5</v>
      </c>
      <c r="AB547" s="91">
        <v>2.8</v>
      </c>
      <c r="AC547" s="91">
        <v>3.7</v>
      </c>
      <c r="AD547" s="91"/>
      <c r="AE547" s="91">
        <v>8</v>
      </c>
      <c r="AF547" s="91">
        <v>1.55</v>
      </c>
      <c r="AG547" s="91"/>
      <c r="AH547" s="91"/>
      <c r="AI547" s="91">
        <f>SUM(ППД5[[#This Row],[ТП Лоджия 1]:[ТП Лоджия 3]])</f>
        <v>1.55</v>
      </c>
      <c r="AJ547" s="95">
        <v>3.1</v>
      </c>
      <c r="AK547" s="91">
        <f>SUM(ППД5[[#This Row],[Площадь по ТП жилая]:[ТП Лоджия 3]])-ППД5[[#This Row],[ТП Летние]]+ППД5[[#This Row],[кроме того прочая
(без коэффициента)]]</f>
        <v>59.1</v>
      </c>
      <c r="AL547" s="95">
        <f>ППД5[[#This Row],[ТП Площадь без летних]]+(ППД5[[#This Row],[ТП Летние]])</f>
        <v>57.55</v>
      </c>
      <c r="AM547" s="91">
        <f>ППД5[[#This Row],[ТП общая S]]-ППД5[[#This Row],[кроме того прочая
(без коэффициента)]]</f>
        <v>56</v>
      </c>
      <c r="AN547" s="95">
        <f>SUM(ППД5[[#This Row],[ТП Кухня]:[ТП Коридор]])</f>
        <v>28</v>
      </c>
      <c r="AO547" s="91">
        <f>ППД5[[#This Row],[Расчетная ТП площадь]]-ППД5[[#This Row],[Расчетная проектная площадь]]</f>
        <v>-0.25</v>
      </c>
      <c r="AP547" s="335">
        <f>ППД5[[#This Row],[Расчетная ТП площадь]]/ППД5[[#This Row],[Расчетная проектная площадь]]-1</f>
        <v>-4.325259515570945E-3</v>
      </c>
      <c r="AQ547" s="91">
        <f>ППД5[[#This Row],[% расхождения]]*ППД5[[#This Row],[Стоимость до скидки]]</f>
        <v>-32671.280276816691</v>
      </c>
      <c r="AR547" s="91">
        <f>VLOOKUP(ППД5[[#This Row],[№]],наценкад5[],COLUMN(наценкад5[[#This Row],[Цена м2 с учетом всех K]]),0)</f>
        <v>85327.105500000005</v>
      </c>
      <c r="AS547" s="8">
        <f>ППД5[[#This Row],[м2 после К]]*5%</f>
        <v>4266.3552750000008</v>
      </c>
      <c r="AT547" s="8">
        <f>ППД5[[#This Row],[м2 после К]]+ППД5[[#This Row],[Повышение 16.08.23 - 5%]]</f>
        <v>89593.460775</v>
      </c>
      <c r="AU547" s="93">
        <f>ППД5[[#This Row],[Фикс 16.08.23]]*3%</f>
        <v>2687.8038232499998</v>
      </c>
      <c r="AV547" s="93">
        <f>ППД5[[#This Row],[Фикс 16.08.23]]+ППД5[[#This Row],[Повышение 29.08.23 - 3%]]</f>
        <v>92281.264598249996</v>
      </c>
      <c r="AW547" s="93"/>
      <c r="AX547" s="93">
        <f>ППД5[[#This Row],[Фикс 29.08.23]]+ППД5[[#This Row],[Повышение 06.09.23 СТ и 1К]]</f>
        <v>92281.264598249996</v>
      </c>
      <c r="AY547" s="93"/>
      <c r="AZ547" s="93">
        <f>ППД5[[#This Row],[Повышение 23.10.23  В4 ]]+ППД5[[#This Row],[Фикс 06.09.23]]</f>
        <v>92281.264598249996</v>
      </c>
      <c r="BA547" s="93"/>
      <c r="BB547" s="93">
        <f>ППД5[[#This Row],[Повышение 8.11.23 1К 5%]]+ППД5[[#This Row],[Фикс 23.10.23]]</f>
        <v>92281.264598249996</v>
      </c>
      <c r="BC547" s="93"/>
      <c r="BD547" s="93">
        <f>ППД5[[#This Row],[Корректировка 24.11.23 - 1К В5, 2К А2, №233]]+ППД5[[#This Row],[Фикс 8.11.23]]</f>
        <v>92281.264598249996</v>
      </c>
      <c r="BE547" s="93">
        <f>ППД5[[#This Row],[Фикс 8.11.24]]*1%</f>
        <v>922.81264598249993</v>
      </c>
      <c r="BF547" s="93">
        <f>ППД5[[#This Row],[Наценка за отделку 29.12.23 1%]]+ППД5[[#This Row],[Фикс 8.11.24]]</f>
        <v>93204.077244232496</v>
      </c>
      <c r="BG547" s="93">
        <f>ППД5[[#This Row],[Фикс 29.12.23]]*5%</f>
        <v>4660.2038622116252</v>
      </c>
      <c r="BH547" s="93">
        <f>ППД5[[#This Row],[Фикс 29.12.23]]+ППД5[[#This Row],[Наценка 10.01.24 5%]]</f>
        <v>97864.281106444119</v>
      </c>
      <c r="BI547" s="93"/>
      <c r="BJ547" s="93">
        <f>ППД5[[#This Row],[Наценка 26.02.24 1 Этаж]]+ППД5[[#This Row],[Фикс 10.01.24]]</f>
        <v>97864.281106444119</v>
      </c>
      <c r="BK547" s="93">
        <f>ППД5[[#This Row],[Фикс 26.02.24]]*2%</f>
        <v>1957.2856221288823</v>
      </c>
      <c r="BL547" s="93">
        <f>ППД5[[#This Row],[Фикс 26.02.24]]+ППД5[[#This Row],[Наценка 06.03.24
СТ, 1К - 3%
2К, 3К - 2%]]</f>
        <v>99821.566728573001</v>
      </c>
      <c r="BM547" s="93"/>
      <c r="BN547" s="93">
        <f>ППД5[[#This Row],[Фикс 06.03.24]]+ППД5[[#This Row],[Наценка Г2+500]]</f>
        <v>99821.566728573001</v>
      </c>
      <c r="BO547" s="93">
        <f>ППД5[[#This Row],[Фикс 13.03.25]]*2%</f>
        <v>1996.4313345714602</v>
      </c>
      <c r="BP547" s="93">
        <f>ППД5[[#This Row],[Фикс 13.03.25]]+ППД5[[#This Row],[Наценка 20.03.24
2К, 3К - 2%]]</f>
        <v>101817.99806314446</v>
      </c>
      <c r="BQ547" s="93"/>
      <c r="BR547" s="93">
        <f>ППД5[[#This Row],[Фикс 20.03.24]]+ППД5[[#This Row],[Наценка 08.04.24 
2К: В3 - 150
3К: Г7 +1000]]</f>
        <v>101817.99806314446</v>
      </c>
      <c r="BS547" s="93">
        <f>ППД5[[#This Row],[Фикс 08.04.24]]*1%</f>
        <v>1018.1799806314447</v>
      </c>
      <c r="BT547" s="93">
        <f>ППД5[[#This Row],[Фикс 08.04.24]]+ППД5[[#This Row],[Наценка 16.05.24 1%
А4,А6,Б3,Б6,Б7,В2,В3,В5,В6,Г1,Г3-Г5]]</f>
        <v>102836.1780437759</v>
      </c>
      <c r="BU547" s="93"/>
      <c r="BV547" s="93">
        <f>ППД5[[#This Row],[Фикс 16.05.24]]+ППД5[[#This Row],[Наценка 24.05.24
1% - Б4, Б5,Г2,Г6
2% - А1,А3,А5,Б2,Г7]]</f>
        <v>102836.1780437759</v>
      </c>
      <c r="BW547" s="93"/>
      <c r="BX547" s="93">
        <f>ППД5[[#This Row],[Наценка 06.06.24
0К: В2,Г3 +0,5%
1К: А7, Б5/4, Г6 +0,5%
3К: В6 +0,5%
1К: А3 +1%]]+ППД5[[#This Row],[Фикс 24.05.24]]</f>
        <v>102836.1780437759</v>
      </c>
      <c r="BY547" s="93"/>
      <c r="BZ547" s="93">
        <f>ППД5[[#This Row],[Фикс 06.06.24]]+ППД5[[#This Row],[13.06.2024
3К - 2%]]</f>
        <v>102836.1780437759</v>
      </c>
      <c r="CA547" s="47">
        <f>1.5%*ППД5[[#This Row],[Фикс 13.06.24]]</f>
        <v>1542.5426706566384</v>
      </c>
      <c r="CB547" s="93">
        <f>ППД5[[#This Row],[02.07.2024: Г3 А1 А3 Б5 Б7 Г2 Г6 Б3 Б4 В3 Г7 2,5% ост 0,5-1,5%]]+ППД5[[#This Row],[Фикс 13.06.24]]</f>
        <v>104378.72071443254</v>
      </c>
      <c r="CC547" s="93">
        <v>500</v>
      </c>
      <c r="CD547" s="93">
        <f>ППД5[[#This Row],[Фикс 02.07.24]]+ППД5[[#This Row],[04.09.2024 +500
0К - Б2; 1К - А3;
2К - А6, Б4, В3, Г5]]</f>
        <v>104878.72071443254</v>
      </c>
      <c r="CE547" s="93">
        <f>ППД5[[#This Row],[Фикс 04.09.24]]*4%</f>
        <v>4195.1488285773012</v>
      </c>
      <c r="CF547" s="93">
        <f>ППД5[[#This Row],[Наценка 16.09.2024
1К: А1,В7,Г6/7,Г8 - 2%
2К: А4,А5,А6,Б1,Б6,Б3/4,В3,В4,Г4,Г5 - 4%
3К: 4%]]+ППД5[[#This Row],[Фикс 04.09.24]]</f>
        <v>109073.86954300985</v>
      </c>
      <c r="CG547" s="93">
        <f>ППД5[[#This Row],[Фикс 16.09.2024]]*6%</f>
        <v>6544.4321725805903</v>
      </c>
      <c r="CH547" s="93">
        <f>ППД5[[#This Row],[Фикс 16.09.2024]]+ППД5[[#This Row],[Наценка 01.11.24
СТ: 4%
1К: 34-40м 5%; 40м+ 8%; МГН 1%
2К: 55-70м 6%; 70-73м 7%; 73-76м 8% 
3К: 5%]]</f>
        <v>115618.30171559044</v>
      </c>
      <c r="CI547" s="93">
        <f>ППД5[[#This Row],[Фикс 01.11.24]]*13%</f>
        <v>15030.379223026757</v>
      </c>
      <c r="CJ547" s="93">
        <f>ППД5[[#This Row],[Наценка 06.11 13%]]+ППД5[[#This Row],[Фикс 01.11.24]]</f>
        <v>130648.6809386172</v>
      </c>
      <c r="CK547" s="93">
        <v>35</v>
      </c>
      <c r="CL547" s="93">
        <f>ППД5[[#This Row],[Фикс 06.11.24]]+ППД5[[#This Row],[Наценка 18.12.24 распределение КВ]]</f>
        <v>130683.6809386172</v>
      </c>
      <c r="CM547" s="93"/>
      <c r="CN547" s="93">
        <f>ППД5[[#This Row],[Фикс 18.12.24]]+ППД5[[#This Row],[Наценка 10.02.25 +1%
1К: А3
2К: Б3, В3]]</f>
        <v>130683.6809386172</v>
      </c>
      <c r="CO547" s="93">
        <f>ROUND(ППД5[[#This Row],[Фикс 10.02.25]],2)</f>
        <v>130683.68</v>
      </c>
      <c r="CP54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7553600</v>
      </c>
      <c r="CQ547" s="93">
        <f>ROUNDUP(ППД5[[#This Row],[Стоимость до скидки]]+ППД5[[#This Row],[Сумма доплаты]],-2)</f>
        <v>7521000</v>
      </c>
      <c r="CR547" s="68"/>
      <c r="CS547" s="90"/>
      <c r="CT547" s="68">
        <f>ППД5[[#This Row],[Стоимость до скидки]]*ППД5[[#This Row],[Скидка %]]+ППД5[[#This Row],[Скидка фиксированная]]</f>
        <v>0</v>
      </c>
      <c r="CU547" s="3">
        <f>ППД5[[#This Row],[Стоимость ОН без отделки со скидкой]]/ППД5[[#This Row],[Расчетная проектная площадь]]</f>
        <v>130685.12110726644</v>
      </c>
      <c r="CV547" s="3">
        <f>ROUND(ППД5[[#This Row],[Стоимость до скидки]]-ППД5[[#This Row],[Итоговая сумма скидки]],2)</f>
        <v>7553600</v>
      </c>
      <c r="CW54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47" s="197"/>
      <c r="CY547" s="332">
        <f>ППД5[[#This Row],[Расхождение]]/ППД5[[#This Row],[Расчетная проектная площадь]]</f>
        <v>-4.3252595155709346E-3</v>
      </c>
      <c r="CZ54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-8.9999999999996305E-2</v>
      </c>
      <c r="DA547" s="3">
        <f>ППД5[[#This Row],[Цена м2 без отделки со скидкой]]+ППД5[[#This Row],[Стоимость отделки]]</f>
        <v>130685.12110726644</v>
      </c>
      <c r="DB547" s="3">
        <f>ППД5[[#This Row],[Стоимость квартиры с отделкой]]-ППД5[[#This Row],[Стоимость ОН без отделки со скидкой]]</f>
        <v>0</v>
      </c>
      <c r="DC547" s="3">
        <f>ППД5[[#This Row],[Цена м2 с отделкой]]*ППД5[[#This Row],[Расчетная проектная площадь]]</f>
        <v>7553600</v>
      </c>
      <c r="DD547" s="3"/>
      <c r="DF547" s="155" t="s">
        <v>157</v>
      </c>
      <c r="DG547" s="221" t="s">
        <v>157</v>
      </c>
      <c r="DH547" s="100" t="b">
        <f>EXACT(ППД5[[#This Row],[Статусы CRM]],ППД5[[#This Row],[Статус]])</f>
        <v>1</v>
      </c>
      <c r="DI547" s="213" t="s">
        <v>719</v>
      </c>
      <c r="DJ547" s="204"/>
      <c r="DK547" s="111" t="s">
        <v>763</v>
      </c>
      <c r="DL547" s="216" t="s">
        <v>12</v>
      </c>
      <c r="DM547" s="201" t="b">
        <f>ППД5[[#This Row],[Отделка CRM]]=ППД5[[#This Row],[Отделка]]</f>
        <v>1</v>
      </c>
      <c r="DN547" s="203">
        <v>7553600</v>
      </c>
      <c r="DO54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47" s="207" t="b">
        <f>IF(AND(ППД5[[#This Row],[Статус]]="свободно",ППД5[[#This Row],[Итоговая сумма скидки]]&lt;&gt;0),FALSE,TRUE)</f>
        <v>1</v>
      </c>
      <c r="DQ547" s="240" t="str">
        <f>_xlfn.XLOOKUP(ППД5[[#This Row],[№]],Юрист[№ кв],Юрист[Дата подачи на регистрацию]," ",0,-1)</f>
        <v xml:space="preserve"> </v>
      </c>
      <c r="DR547" s="115" t="str">
        <f>_xlfn.XLOOKUP(ППД5[[#This Row],[№]],Юрист[№ кв],Юрист[МОП],"",0,-1)</f>
        <v/>
      </c>
      <c r="DS547" s="333" t="s">
        <v>3386</v>
      </c>
      <c r="DT547" s="333" t="s">
        <v>3387</v>
      </c>
      <c r="DU547" s="333">
        <v>56</v>
      </c>
      <c r="DV547" s="111"/>
    </row>
    <row r="548" spans="1:126" hidden="1" x14ac:dyDescent="0.25">
      <c r="A548" s="112">
        <v>546</v>
      </c>
      <c r="B548" s="111" t="s">
        <v>2</v>
      </c>
      <c r="C548" s="111">
        <v>20</v>
      </c>
      <c r="D548" s="115">
        <v>6</v>
      </c>
      <c r="E548" s="111">
        <v>1</v>
      </c>
      <c r="F548" s="105">
        <v>12.71</v>
      </c>
      <c r="G548" s="105"/>
      <c r="H548" s="105"/>
      <c r="I548" s="94">
        <f>SUM(ППД5[[#This Row],[Комната 1]:[Комната 3]])</f>
        <v>12.71</v>
      </c>
      <c r="J548" s="105">
        <v>12.55</v>
      </c>
      <c r="K548" s="105">
        <v>4.28</v>
      </c>
      <c r="L548" s="105"/>
      <c r="M548" s="105"/>
      <c r="N548" s="105">
        <v>7.34</v>
      </c>
      <c r="O548" s="105">
        <v>2.84</v>
      </c>
      <c r="P548" s="105"/>
      <c r="Q548" s="105"/>
      <c r="R548" s="105">
        <f>SUM(ППД5[[#This Row],[Лоджия 1]:[Лоджия 3]])</f>
        <v>2.84</v>
      </c>
      <c r="S548" s="8">
        <f>ROUND(SUM(ППД5[[#This Row],[Площадь по проекту жилая]:[Лоджия 3]]),2)</f>
        <v>39.72</v>
      </c>
      <c r="T548" s="8">
        <f>ROUND(ППД5[[#This Row],[Площадь по проекту(общая)]]-ППД5[[#This Row],[Летние]],2)</f>
        <v>36.880000000000003</v>
      </c>
      <c r="U548" s="91">
        <f>ROUND(ППД5[[#This Row],[Площадь по проекту(общая)]]-(SUM(ППД5[[#This Row],[Лоджия 1]:[Лоджия 3]])/2),2)</f>
        <v>38.299999999999997</v>
      </c>
      <c r="V548" s="91">
        <f>IF(ППД5[[#This Row],[Статус]]="продажа",ППД5[[#This Row],[Расчетная проектная площадь]],ППД5[[#This Row],[Расчетная ТП площадь]])</f>
        <v>38.299999999999997</v>
      </c>
      <c r="W548" s="91">
        <v>12.6</v>
      </c>
      <c r="X548" s="91"/>
      <c r="Y548" s="91"/>
      <c r="Z548" s="91">
        <f>SUM(ППД5[[#This Row],[ТП Комната 1]:[ТП Комната 3]])</f>
        <v>12.6</v>
      </c>
      <c r="AA548" s="91">
        <v>12.5</v>
      </c>
      <c r="AB548" s="91">
        <v>4</v>
      </c>
      <c r="AC548" s="91"/>
      <c r="AD548" s="91"/>
      <c r="AE548" s="91">
        <v>7.3</v>
      </c>
      <c r="AF548" s="91">
        <v>1.4</v>
      </c>
      <c r="AG548" s="91"/>
      <c r="AH548" s="91"/>
      <c r="AI548" s="91">
        <f>SUM(ППД5[[#This Row],[ТП Лоджия 1]:[ТП Лоджия 3]])</f>
        <v>1.4</v>
      </c>
      <c r="AJ548" s="95">
        <v>2.8</v>
      </c>
      <c r="AK548" s="91">
        <f>SUM(ППД5[[#This Row],[Площадь по ТП жилая]:[ТП Лоджия 3]])-ППД5[[#This Row],[ТП Летние]]+ППД5[[#This Row],[кроме того прочая
(без коэффициента)]]</f>
        <v>39.199999999999996</v>
      </c>
      <c r="AL548" s="95">
        <f>ППД5[[#This Row],[ТП Площадь без летних]]+(ППД5[[#This Row],[ТП Летние]])</f>
        <v>37.799999999999997</v>
      </c>
      <c r="AM548" s="91">
        <f>ППД5[[#This Row],[ТП общая S]]-ППД5[[#This Row],[кроме того прочая
(без коэффициента)]]</f>
        <v>36.4</v>
      </c>
      <c r="AN548" s="95">
        <f>SUM(ППД5[[#This Row],[ТП Кухня]:[ТП Коридор]])</f>
        <v>23.8</v>
      </c>
      <c r="AO548" s="91">
        <f>ППД5[[#This Row],[Расчетная ТП площадь]]-ППД5[[#This Row],[Расчетная проектная площадь]]</f>
        <v>-0.5</v>
      </c>
      <c r="AP548" s="335">
        <f>ППД5[[#This Row],[Расчетная ТП площадь]]/ППД5[[#This Row],[Расчетная проектная площадь]]-1</f>
        <v>-1.3054830287206221E-2</v>
      </c>
      <c r="AQ548" s="91">
        <f>ППД5[[#This Row],[% расхождения]]*ППД5[[#This Row],[Стоимость до скидки]]</f>
        <v>-58939.947780678645</v>
      </c>
      <c r="AR548" s="91">
        <f>VLOOKUP(ППД5[[#This Row],[№]],наценкад5[],COLUMN(наценкад5[[#This Row],[Цена м2 с учетом всех K]]),0)</f>
        <v>94090.5</v>
      </c>
      <c r="AS548" s="8">
        <f>ППД5[[#This Row],[м2 после К]]*5%</f>
        <v>4704.5250000000005</v>
      </c>
      <c r="AT548" s="8">
        <f>ППД5[[#This Row],[м2 после К]]+ППД5[[#This Row],[Повышение 16.08.23 - 5%]]</f>
        <v>98795.024999999994</v>
      </c>
      <c r="AU548" s="93">
        <f>ППД5[[#This Row],[Фикс 16.08.23]]*3%</f>
        <v>2963.8507499999996</v>
      </c>
      <c r="AV548" s="93">
        <f>ППД5[[#This Row],[Фикс 16.08.23]]+ППД5[[#This Row],[Повышение 29.08.23 - 3%]]</f>
        <v>101758.87574999999</v>
      </c>
      <c r="AW548" s="93">
        <f>ППД5[[#This Row],[Фикс 29.08.23]]*1%</f>
        <v>1017.5887574999999</v>
      </c>
      <c r="AX548" s="93">
        <f>ППД5[[#This Row],[Фикс 29.08.23]]+ППД5[[#This Row],[Повышение 06.09.23 СТ и 1К]]</f>
        <v>102776.46450749999</v>
      </c>
      <c r="AY548" s="93"/>
      <c r="AZ548" s="93">
        <f>ППД5[[#This Row],[Повышение 23.10.23  В4 ]]+ППД5[[#This Row],[Фикс 06.09.23]]</f>
        <v>102776.46450749999</v>
      </c>
      <c r="BA548" s="93">
        <f>ППД5[[#This Row],[Фикс 23.10.23]]*5%</f>
        <v>5138.8232253749993</v>
      </c>
      <c r="BB548" s="93">
        <f>ППД5[[#This Row],[Повышение 8.11.23 1К 5%]]+ППД5[[#This Row],[Фикс 23.10.23]]</f>
        <v>107915.28773287499</v>
      </c>
      <c r="BC548" s="93"/>
      <c r="BD548" s="93">
        <f>ППД5[[#This Row],[Корректировка 24.11.23 - 1К В5, 2К А2, №233]]+ППД5[[#This Row],[Фикс 8.11.23]]</f>
        <v>107915.28773287499</v>
      </c>
      <c r="BE548" s="93">
        <f>ППД5[[#This Row],[Фикс 8.11.24]]*1%</f>
        <v>1079.1528773287498</v>
      </c>
      <c r="BF548" s="93">
        <f>ППД5[[#This Row],[Наценка за отделку 29.12.23 1%]]+ППД5[[#This Row],[Фикс 8.11.24]]</f>
        <v>108994.44061020373</v>
      </c>
      <c r="BG548" s="93">
        <f>ППД5[[#This Row],[Фикс 29.12.23]]*5%</f>
        <v>5449.7220305101873</v>
      </c>
      <c r="BH548" s="93">
        <f>ППД5[[#This Row],[Фикс 29.12.23]]+ППД5[[#This Row],[Наценка 10.01.24 5%]]</f>
        <v>114444.16264071391</v>
      </c>
      <c r="BI548" s="93"/>
      <c r="BJ548" s="93">
        <f>ППД5[[#This Row],[Наценка 26.02.24 1 Этаж]]+ППД5[[#This Row],[Фикс 10.01.24]]</f>
        <v>114444.16264071391</v>
      </c>
      <c r="BK548" s="93">
        <f>ППД5[[#This Row],[Фикс 26.02.24]]*3%</f>
        <v>3433.3248792214172</v>
      </c>
      <c r="BL548" s="93">
        <f>ППД5[[#This Row],[Фикс 26.02.24]]+ППД5[[#This Row],[Наценка 06.03.24
СТ, 1К - 3%
2К, 3К - 2%]]</f>
        <v>117877.48751993533</v>
      </c>
      <c r="BM548" s="93"/>
      <c r="BN548" s="93">
        <f>ППД5[[#This Row],[Фикс 06.03.24]]+ППД5[[#This Row],[Наценка Г2+500]]</f>
        <v>117877.48751993533</v>
      </c>
      <c r="BO548" s="93"/>
      <c r="BP548" s="93">
        <f>ППД5[[#This Row],[Фикс 13.03.25]]+ППД5[[#This Row],[Наценка 20.03.24
2К, 3К - 2%]]</f>
        <v>117877.48751993533</v>
      </c>
      <c r="BQ548" s="93"/>
      <c r="BR548" s="93">
        <f>ППД5[[#This Row],[Фикс 20.03.24]]+ППД5[[#This Row],[Наценка 08.04.24 
2К: В3 - 150
3К: Г7 +1000]]</f>
        <v>117877.48751993533</v>
      </c>
      <c r="BS548" s="93"/>
      <c r="BT548" s="93">
        <f>ППД5[[#This Row],[Фикс 08.04.24]]+ППД5[[#This Row],[Наценка 16.05.24 1%
А4,А6,Б3,Б6,Б7,В2,В3,В5,В6,Г1,Г3-Г5]]</f>
        <v>117877.48751993533</v>
      </c>
      <c r="BU548" s="93"/>
      <c r="BV548" s="93">
        <f>ППД5[[#This Row],[Фикс 16.05.24]]+ППД5[[#This Row],[Наценка 24.05.24
1% - Б4, Б5,Г2,Г6
2% - А1,А3,А5,Б2,Г7]]</f>
        <v>117877.48751993533</v>
      </c>
      <c r="BW548" s="93"/>
      <c r="BX548" s="93">
        <f>ППД5[[#This Row],[Наценка 06.06.24
0К: В2,Г3 +0,5%
1К: А7, Б5/4, Г6 +0,5%
3К: В6 +0,5%
1К: А3 +1%]]+ППД5[[#This Row],[Фикс 24.05.24]]</f>
        <v>117877.48751993533</v>
      </c>
      <c r="BY548" s="93"/>
      <c r="BZ548" s="93">
        <f>ППД5[[#This Row],[Фикс 06.06.24]]+ППД5[[#This Row],[13.06.2024
3К - 2%]]</f>
        <v>117877.48751993533</v>
      </c>
      <c r="CA548" s="93"/>
      <c r="CB548" s="93">
        <f>ППД5[[#This Row],[02.07.2024: Г3 А1 А3 Б5 Б7 Г2 Г6 Б3 Б4 В3 Г7 2,5% ост 0,5-1,5%]]+ППД5[[#This Row],[Фикс 13.06.24]]</f>
        <v>117877.48751993533</v>
      </c>
      <c r="CC548" s="93"/>
      <c r="CD548" s="93">
        <f>ППД5[[#This Row],[Фикс 02.07.24]]+ППД5[[#This Row],[04.09.2024 +500
0К - Б2; 1К - А3;
2К - А6, Б4, В3, Г5]]</f>
        <v>117877.48751993533</v>
      </c>
      <c r="CE548" s="93"/>
      <c r="CF548" s="93">
        <f>ППД5[[#This Row],[Наценка 16.09.2024
1К: А1,В7,Г6/7,Г8 - 2%
2К: А4,А5,А6,Б1,Б6,Б3/4,В3,В4,Г4,Г5 - 4%
3К: 4%]]+ППД5[[#This Row],[Фикс 04.09.24]]</f>
        <v>117877.48751993533</v>
      </c>
      <c r="CG548" s="93"/>
      <c r="CH548" s="93">
        <f>ППД5[[#This Row],[Фикс 16.09.2024]]+ППД5[[#This Row],[Наценка 01.11.24
СТ: 4%
1К: 34-40м 5%; 40м+ 8%; МГН 1%
2К: 55-70м 6%; 70-73м 7%; 73-76м 8% 
3К: 5%]]</f>
        <v>117877.48751993533</v>
      </c>
      <c r="CI548" s="93"/>
      <c r="CJ548" s="93">
        <f>ППД5[[#This Row],[Наценка 06.11 13%]]+ППД5[[#This Row],[Фикс 01.11.24]]</f>
        <v>117877.48751993533</v>
      </c>
      <c r="CK548" s="93"/>
      <c r="CL548" s="93">
        <f>ППД5[[#This Row],[Фикс 06.11.24]]+ППД5[[#This Row],[Наценка 18.12.24 распределение КВ]]</f>
        <v>117877.48751993533</v>
      </c>
      <c r="CM548" s="93"/>
      <c r="CN548" s="93">
        <f>ППД5[[#This Row],[Фикс 18.12.24]]+ППД5[[#This Row],[Наценка 10.02.25 +1%
1К: А3
2К: Б3, В3]]</f>
        <v>117877.48751993533</v>
      </c>
      <c r="CO548" s="93">
        <f>ROUND(ППД5[[#This Row],[Фикс 10.02.25]],2)</f>
        <v>117877.49</v>
      </c>
      <c r="CP54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4514800</v>
      </c>
      <c r="CQ548" s="93">
        <f>ROUNDUP(ППД5[[#This Row],[Стоимость до скидки]]+ППД5[[#This Row],[Сумма доплаты]],-2)</f>
        <v>4455900</v>
      </c>
      <c r="CR548" s="68"/>
      <c r="CS548" s="90"/>
      <c r="CT548" s="68">
        <f>ППД5[[#This Row],[Стоимость до скидки]]*ППД5[[#This Row],[Скидка %]]+ППД5[[#This Row],[Скидка фиксированная]]</f>
        <v>0</v>
      </c>
      <c r="CU548" s="3">
        <f>ППД5[[#This Row],[Стоимость ОН без отделки со скидкой]]/ППД5[[#This Row],[Расчетная проектная площадь]]</f>
        <v>117879.89556135771</v>
      </c>
      <c r="CV548" s="3">
        <f>ROUND(ППД5[[#This Row],[Стоимость до скидки]]-ППД5[[#This Row],[Итоговая сумма скидки]],2)</f>
        <v>4514800</v>
      </c>
      <c r="CW54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548" s="197">
        <v>7000</v>
      </c>
      <c r="CY548" s="332">
        <f>ППД5[[#This Row],[Расхождение]]/ППД5[[#This Row],[Расчетная проектная площадь]]</f>
        <v>-1.3054830287206267E-2</v>
      </c>
      <c r="CZ54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-0.37000000000000099</v>
      </c>
      <c r="DA548" s="3">
        <f>ППД5[[#This Row],[Цена м2 без отделки со скидкой]]+ППД5[[#This Row],[Стоимость отделки]]</f>
        <v>124879.89556135771</v>
      </c>
      <c r="DB548" s="3">
        <f>ППД5[[#This Row],[Стоимость квартиры с отделкой]]-ППД5[[#This Row],[Стоимость ОН без отделки со скидкой]]</f>
        <v>268100</v>
      </c>
      <c r="DC548" s="3">
        <f>ППД5[[#This Row],[Цена м2 с отделкой]]*ППД5[[#This Row],[Расчетная проектная площадь]]</f>
        <v>4782900</v>
      </c>
      <c r="DD548" s="3"/>
      <c r="DF548" s="199" t="s">
        <v>172</v>
      </c>
      <c r="DG548" s="245" t="s">
        <v>172</v>
      </c>
      <c r="DH548" s="100" t="b">
        <f>EXACT(ППД5[[#This Row],[Статусы CRM]],ППД5[[#This Row],[Статус]])</f>
        <v>1</v>
      </c>
      <c r="DI548" s="213" t="s">
        <v>720</v>
      </c>
      <c r="DJ548" s="204"/>
      <c r="DK548" s="111" t="s">
        <v>763</v>
      </c>
      <c r="DL548" s="216" t="s">
        <v>780</v>
      </c>
      <c r="DM548" s="201" t="b">
        <f>ППД5[[#This Row],[Отделка CRM]]=ППД5[[#This Row],[Отделка]]</f>
        <v>1</v>
      </c>
      <c r="DN548" s="203">
        <v>4782900</v>
      </c>
      <c r="DO54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48" s="207" t="b">
        <f>IF(AND(ППД5[[#This Row],[Статус]]="свободно",ППД5[[#This Row],[Итоговая сумма скидки]]&lt;&gt;0),FALSE,TRUE)</f>
        <v>1</v>
      </c>
      <c r="DQ548" s="240">
        <f>_xlfn.XLOOKUP(ППД5[[#This Row],[№]],Юрист[№ кв],Юрист[Дата подачи на регистрацию]," ",0,-1)</f>
        <v>45465</v>
      </c>
      <c r="DR548" s="115" t="str">
        <f>_xlfn.XLOOKUP(ППД5[[#This Row],[№]],Юрист[№ кв],Юрист[МОП],"",0,-1)</f>
        <v>Голенко</v>
      </c>
      <c r="DS548" s="333" t="s">
        <v>3388</v>
      </c>
      <c r="DT548" s="333" t="s">
        <v>3389</v>
      </c>
      <c r="DU548" s="333">
        <v>36.4</v>
      </c>
      <c r="DV548" s="111"/>
    </row>
    <row r="549" spans="1:126" hidden="1" x14ac:dyDescent="0.25">
      <c r="A549" s="112">
        <v>547</v>
      </c>
      <c r="B549" s="111" t="s">
        <v>2</v>
      </c>
      <c r="C549" s="111">
        <v>20</v>
      </c>
      <c r="D549" s="115">
        <v>7</v>
      </c>
      <c r="E549" s="111">
        <v>3</v>
      </c>
      <c r="F549" s="105">
        <v>14.49</v>
      </c>
      <c r="G549" s="105">
        <v>13.98</v>
      </c>
      <c r="H549" s="105">
        <v>11.42</v>
      </c>
      <c r="I549" s="94">
        <f>SUM(ППД5[[#This Row],[Комната 1]:[Комната 3]])</f>
        <v>39.89</v>
      </c>
      <c r="J549" s="105">
        <v>16.670000000000002</v>
      </c>
      <c r="K549" s="105">
        <v>4.1399999999999997</v>
      </c>
      <c r="L549" s="105">
        <v>1.89</v>
      </c>
      <c r="M549" s="105"/>
      <c r="N549" s="105">
        <v>11.31</v>
      </c>
      <c r="O549" s="105">
        <v>2.86</v>
      </c>
      <c r="P549" s="105">
        <v>2.79</v>
      </c>
      <c r="Q549" s="105">
        <v>5.42</v>
      </c>
      <c r="R549" s="105">
        <f>SUM(ППД5[[#This Row],[Лоджия 1]:[Лоджия 3]])</f>
        <v>11.07</v>
      </c>
      <c r="S549" s="8">
        <f>ROUND(SUM(ППД5[[#This Row],[Площадь по проекту жилая]:[Лоджия 3]]),2)</f>
        <v>84.97</v>
      </c>
      <c r="T549" s="8">
        <f>ROUND(ППД5[[#This Row],[Площадь по проекту(общая)]]-ППД5[[#This Row],[Летние]],2)</f>
        <v>73.900000000000006</v>
      </c>
      <c r="U549" s="91">
        <f>ROUND(ППД5[[#This Row],[Площадь по проекту(общая)]]-(SUM(ППД5[[#This Row],[Лоджия 1]:[Лоджия 3]])/2),2)</f>
        <v>79.44</v>
      </c>
      <c r="V549" s="91">
        <f>IF(ППД5[[#This Row],[Статус]]="продажа",ППД5[[#This Row],[Расчетная проектная площадь]],ППД5[[#This Row],[Расчетная ТП площадь]])</f>
        <v>79.44</v>
      </c>
      <c r="W549" s="91">
        <v>11.5</v>
      </c>
      <c r="X549" s="91">
        <v>14.5</v>
      </c>
      <c r="Y549" s="91">
        <v>14</v>
      </c>
      <c r="Z549" s="91">
        <f>SUM(ППД5[[#This Row],[ТП Комната 1]:[ТП Комната 3]])</f>
        <v>40</v>
      </c>
      <c r="AA549" s="91">
        <v>16.5</v>
      </c>
      <c r="AB549" s="91">
        <v>1.9</v>
      </c>
      <c r="AC549" s="91">
        <v>4</v>
      </c>
      <c r="AD549" s="91"/>
      <c r="AE549" s="91">
        <v>11.2</v>
      </c>
      <c r="AF549" s="91">
        <v>1.4</v>
      </c>
      <c r="AG549" s="91">
        <v>2.65</v>
      </c>
      <c r="AH549" s="91">
        <v>1.35</v>
      </c>
      <c r="AI549" s="91">
        <f>SUM(ППД5[[#This Row],[ТП Лоджия 1]:[ТП Лоджия 3]])</f>
        <v>5.4</v>
      </c>
      <c r="AJ549" s="95">
        <v>10.8</v>
      </c>
      <c r="AK549" s="91">
        <f>SUM(ППД5[[#This Row],[Площадь по ТП жилая]:[ТП Лоджия 3]])-ППД5[[#This Row],[ТП Летние]]+ППД5[[#This Row],[кроме того прочая
(без коэффициента)]]</f>
        <v>84.399999999999991</v>
      </c>
      <c r="AL549" s="95">
        <f>ППД5[[#This Row],[ТП Площадь без летних]]+(ППД5[[#This Row],[ТП Летние]])</f>
        <v>79</v>
      </c>
      <c r="AM549" s="91">
        <f>ППД5[[#This Row],[ТП общая S]]-ППД5[[#This Row],[кроме того прочая
(без коэффициента)]]</f>
        <v>73.599999999999994</v>
      </c>
      <c r="AN549" s="95">
        <f>SUM(ППД5[[#This Row],[ТП Кухня]:[ТП Коридор]])</f>
        <v>33.599999999999994</v>
      </c>
      <c r="AO549" s="91">
        <f>ППД5[[#This Row],[Расчетная ТП площадь]]-ППД5[[#This Row],[Расчетная проектная площадь]]</f>
        <v>-0.43999999999999773</v>
      </c>
      <c r="AP549" s="335">
        <f>ППД5[[#This Row],[Расчетная ТП площадь]]/ППД5[[#This Row],[Расчетная проектная площадь]]-1</f>
        <v>-5.5387713997985255E-3</v>
      </c>
      <c r="AQ549" s="91">
        <f>ППД5[[#This Row],[% расхождения]]*ППД5[[#This Row],[Стоимость до скидки]]</f>
        <v>-36745.909204430587</v>
      </c>
      <c r="AR549" s="91">
        <f>VLOOKUP(ППД5[[#This Row],[№]],наценкад5[],COLUMN(наценкад5[[#This Row],[Цена м2 с учетом всех K]]),0)</f>
        <v>83513.430000000022</v>
      </c>
      <c r="AS549" s="8"/>
      <c r="AT549" s="8">
        <f>ППД5[[#This Row],[м2 после К]]+ППД5[[#This Row],[Повышение 16.08.23 - 5%]]</f>
        <v>83513.430000000022</v>
      </c>
      <c r="AU549" s="93"/>
      <c r="AV549" s="93">
        <f>ППД5[[#This Row],[Фикс 16.08.23]]+ППД5[[#This Row],[Повышение 29.08.23 - 3%]]</f>
        <v>83513.430000000022</v>
      </c>
      <c r="AW549" s="93"/>
      <c r="AX549" s="93">
        <f>ППД5[[#This Row],[Фикс 29.08.23]]+ППД5[[#This Row],[Повышение 06.09.23 СТ и 1К]]</f>
        <v>83513.430000000022</v>
      </c>
      <c r="AY549" s="93"/>
      <c r="AZ549" s="93">
        <f>ППД5[[#This Row],[Повышение 23.10.23  В4 ]]+ППД5[[#This Row],[Фикс 06.09.23]]</f>
        <v>83513.430000000022</v>
      </c>
      <c r="BA549" s="93"/>
      <c r="BB549" s="93">
        <f>ППД5[[#This Row],[Повышение 8.11.23 1К 5%]]+ППД5[[#This Row],[Фикс 23.10.23]]</f>
        <v>83513.430000000022</v>
      </c>
      <c r="BC549" s="93"/>
      <c r="BD549" s="93">
        <f>ППД5[[#This Row],[Корректировка 24.11.23 - 1К В5, 2К А2, №233]]+ППД5[[#This Row],[Фикс 8.11.23]]</f>
        <v>83513.430000000022</v>
      </c>
      <c r="BE549" s="93"/>
      <c r="BF549" s="93">
        <f>ППД5[[#This Row],[Наценка за отделку 29.12.23 1%]]+ППД5[[#This Row],[Фикс 8.11.24]]</f>
        <v>83513.430000000022</v>
      </c>
      <c r="BG549" s="93"/>
      <c r="BH549" s="93">
        <f>ППД5[[#This Row],[Фикс 29.12.23]]+ППД5[[#This Row],[Наценка 10.01.24 5%]]</f>
        <v>83513.430000000022</v>
      </c>
      <c r="BI549" s="93"/>
      <c r="BJ549" s="93">
        <f>ППД5[[#This Row],[Наценка 26.02.24 1 Этаж]]+ППД5[[#This Row],[Фикс 10.01.24]]</f>
        <v>83513.430000000022</v>
      </c>
      <c r="BK549" s="93"/>
      <c r="BL549" s="93">
        <f>ППД5[[#This Row],[Фикс 26.02.24]]+ППД5[[#This Row],[Наценка 06.03.24
СТ, 1К - 3%
2К, 3К - 2%]]</f>
        <v>83513.430000000022</v>
      </c>
      <c r="BM549" s="93"/>
      <c r="BN549" s="93">
        <f>ППД5[[#This Row],[Фикс 06.03.24]]+ППД5[[#This Row],[Наценка Г2+500]]</f>
        <v>83513.430000000022</v>
      </c>
      <c r="BO549" s="93"/>
      <c r="BP549" s="93">
        <f>ППД5[[#This Row],[Фикс 13.03.25]]+ППД5[[#This Row],[Наценка 20.03.24
2К, 3К - 2%]]</f>
        <v>83513.430000000022</v>
      </c>
      <c r="BQ549" s="93"/>
      <c r="BR549" s="93">
        <f>ППД5[[#This Row],[Фикс 20.03.24]]+ППД5[[#This Row],[Наценка 08.04.24 
2К: В3 - 150
3К: Г7 +1000]]</f>
        <v>83513.430000000022</v>
      </c>
      <c r="BS549" s="93"/>
      <c r="BT549" s="93">
        <f>ППД5[[#This Row],[Фикс 08.04.24]]+ППД5[[#This Row],[Наценка 16.05.24 1%
А4,А6,Б3,Б6,Б7,В2,В3,В5,В6,Г1,Г3-Г5]]</f>
        <v>83513.430000000022</v>
      </c>
      <c r="BU549" s="93"/>
      <c r="BV549" s="93">
        <f>ППД5[[#This Row],[Фикс 16.05.24]]+ППД5[[#This Row],[Наценка 24.05.24
1% - Б4, Б5,Г2,Г6
2% - А1,А3,А5,Б2,Г7]]</f>
        <v>83513.430000000022</v>
      </c>
      <c r="BW549" s="93"/>
      <c r="BX549" s="93">
        <f>ППД5[[#This Row],[Наценка 06.06.24
0К: В2,Г3 +0,5%
1К: А7, Б5/4, Г6 +0,5%
3К: В6 +0,5%
1К: А3 +1%]]+ППД5[[#This Row],[Фикс 24.05.24]]</f>
        <v>83513.430000000022</v>
      </c>
      <c r="BY549" s="93"/>
      <c r="BZ549" s="93">
        <f>ППД5[[#This Row],[Фикс 06.06.24]]+ППД5[[#This Row],[13.06.2024
3К - 2%]]</f>
        <v>83513.430000000022</v>
      </c>
      <c r="CA549" s="93"/>
      <c r="CB549" s="93">
        <f>ППД5[[#This Row],[02.07.2024: Г3 А1 А3 Б5 Б7 Г2 Г6 Б3 Б4 В3 Г7 2,5% ост 0,5-1,5%]]+ППД5[[#This Row],[Фикс 13.06.24]]</f>
        <v>83513.430000000022</v>
      </c>
      <c r="CC549" s="93"/>
      <c r="CD549" s="93">
        <f>ППД5[[#This Row],[Фикс 02.07.24]]+ППД5[[#This Row],[04.09.2024 +500
0К - Б2; 1К - А3;
2К - А6, Б4, В3, Г5]]</f>
        <v>83513.430000000022</v>
      </c>
      <c r="CE549" s="93"/>
      <c r="CF549" s="93">
        <f>ППД5[[#This Row],[Наценка 16.09.2024
1К: А1,В7,Г6/7,Г8 - 2%
2К: А4,А5,А6,Б1,Б6,Б3/4,В3,В4,Г4,Г5 - 4%
3К: 4%]]+ППД5[[#This Row],[Фикс 04.09.24]]</f>
        <v>83513.430000000022</v>
      </c>
      <c r="CG549" s="93"/>
      <c r="CH549" s="93">
        <f>ППД5[[#This Row],[Фикс 16.09.2024]]+ППД5[[#This Row],[Наценка 01.11.24
СТ: 4%
1К: 34-40м 5%; 40м+ 8%; МГН 1%
2К: 55-70м 6%; 70-73м 7%; 73-76м 8% 
3К: 5%]]</f>
        <v>83513.430000000022</v>
      </c>
      <c r="CI549" s="93"/>
      <c r="CJ549" s="93">
        <f>ППД5[[#This Row],[Наценка 06.11 13%]]+ППД5[[#This Row],[Фикс 01.11.24]]</f>
        <v>83513.430000000022</v>
      </c>
      <c r="CK549" s="93"/>
      <c r="CL549" s="93">
        <f>ППД5[[#This Row],[Фикс 06.11.24]]+ППД5[[#This Row],[Наценка 18.12.24 распределение КВ]]</f>
        <v>83513.430000000022</v>
      </c>
      <c r="CM549" s="93"/>
      <c r="CN549" s="93">
        <f>ППД5[[#This Row],[Фикс 18.12.24]]+ППД5[[#This Row],[Наценка 10.02.25 +1%
1К: А3
2К: Б3, В3]]</f>
        <v>83513.430000000022</v>
      </c>
      <c r="CO549" s="93">
        <f>ROUND(ППД5[[#This Row],[Фикс 10.02.25]],2)</f>
        <v>83513.429999999993</v>
      </c>
      <c r="CP54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6634306.8799999999</v>
      </c>
      <c r="CQ549" s="93">
        <f>ROUNDUP(ППД5[[#This Row],[Стоимость до скидки]]+ППД5[[#This Row],[Сумма доплаты]],-2)</f>
        <v>6597600</v>
      </c>
      <c r="CR549" s="68"/>
      <c r="CS549" s="90"/>
      <c r="CT549" s="68">
        <f>ППД5[[#This Row],[Стоимость до скидки]]*ППД5[[#This Row],[Скидка %]]+ППД5[[#This Row],[Скидка фиксированная]]</f>
        <v>0</v>
      </c>
      <c r="CU549" s="3">
        <f>ППД5[[#This Row],[Стоимость ОН без отделки со скидкой]]/ППД5[[#This Row],[Расчетная проектная площадь]]</f>
        <v>83513.4300100705</v>
      </c>
      <c r="CV549" s="3">
        <f>ROUND(ППД5[[#This Row],[Стоимость до скидки]]-ППД5[[#This Row],[Итоговая сумма скидки]],2)</f>
        <v>6634306.8799999999</v>
      </c>
      <c r="CW54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549" s="197">
        <v>15500</v>
      </c>
      <c r="CY549" s="332">
        <f>ППД5[[#This Row],[Расхождение]]/ППД5[[#This Row],[Расчетная проектная площадь]]</f>
        <v>-5.5387713997985619E-3</v>
      </c>
      <c r="CZ54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-0.4100000000000108</v>
      </c>
      <c r="DA549" s="3">
        <f>ППД5[[#This Row],[Цена м2 без отделки со скидкой]]+ППД5[[#This Row],[Стоимость отделки]]</f>
        <v>99013.4300100705</v>
      </c>
      <c r="DB549" s="3">
        <f>ППД5[[#This Row],[Стоимость квартиры с отделкой]]-ППД5[[#This Row],[Стоимость ОН без отделки со скидкой]]</f>
        <v>1231320</v>
      </c>
      <c r="DC549" s="3">
        <f>ППД5[[#This Row],[Цена м2 с отделкой]]*ППД5[[#This Row],[Расчетная проектная площадь]]</f>
        <v>7865626.8799999999</v>
      </c>
      <c r="DD549" s="3" t="s">
        <v>155</v>
      </c>
      <c r="DF549" s="199" t="s">
        <v>172</v>
      </c>
      <c r="DG549" s="245" t="s">
        <v>172</v>
      </c>
      <c r="DH549" s="100" t="b">
        <f>EXACT(ППД5[[#This Row],[Статусы CRM]],ППД5[[#This Row],[Статус]])</f>
        <v>1</v>
      </c>
      <c r="DI549" s="213" t="s">
        <v>721</v>
      </c>
      <c r="DJ549" s="204"/>
      <c r="DK549" s="111" t="s">
        <v>76</v>
      </c>
      <c r="DL549" s="216" t="s">
        <v>14</v>
      </c>
      <c r="DM549" s="201" t="b">
        <f>ППД5[[#This Row],[Отделка CRM]]=ППД5[[#This Row],[Отделка]]</f>
        <v>1</v>
      </c>
      <c r="DN549" s="203">
        <v>7865626.8799999999</v>
      </c>
      <c r="DO54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49" s="207" t="b">
        <f>IF(AND(ППД5[[#This Row],[Статус]]="свободно",ППД5[[#This Row],[Итоговая сумма скидки]]&lt;&gt;0),FALSE,TRUE)</f>
        <v>1</v>
      </c>
      <c r="DQ549" s="240">
        <f>_xlfn.XLOOKUP(ППД5[[#This Row],[№]],Юрист[№ кв],Юрист[Дата подачи на регистрацию]," ",0,-1)</f>
        <v>45195</v>
      </c>
      <c r="DR549" s="115" t="str">
        <f>_xlfn.XLOOKUP(ППД5[[#This Row],[№]],Юрист[№ кв],Юрист[МОП],"",0,-1)</f>
        <v>Кофанова</v>
      </c>
      <c r="DS549" s="333" t="s">
        <v>3390</v>
      </c>
      <c r="DT549" s="333" t="s">
        <v>3391</v>
      </c>
      <c r="DU549" s="333">
        <v>73.599999999999994</v>
      </c>
      <c r="DV549" s="111"/>
    </row>
    <row r="550" spans="1:126" hidden="1" x14ac:dyDescent="0.25">
      <c r="A550" s="112">
        <v>548</v>
      </c>
      <c r="B550" s="111" t="s">
        <v>2</v>
      </c>
      <c r="C550" s="111">
        <v>20</v>
      </c>
      <c r="D550" s="115">
        <v>8</v>
      </c>
      <c r="E550" s="111">
        <v>1</v>
      </c>
      <c r="F550" s="105">
        <v>16.79</v>
      </c>
      <c r="G550" s="105"/>
      <c r="H550" s="105"/>
      <c r="I550" s="94">
        <f>SUM(ППД5[[#This Row],[Комната 1]:[Комната 3]])</f>
        <v>16.79</v>
      </c>
      <c r="J550" s="105">
        <v>11.43</v>
      </c>
      <c r="K550" s="105">
        <v>3.56</v>
      </c>
      <c r="L550" s="105"/>
      <c r="M550" s="105"/>
      <c r="N550" s="105">
        <v>6.66</v>
      </c>
      <c r="O550" s="105">
        <v>2.4900000000000002</v>
      </c>
      <c r="P550" s="105"/>
      <c r="Q550" s="105"/>
      <c r="R550" s="105">
        <f>SUM(ППД5[[#This Row],[Лоджия 1]:[Лоджия 3]])</f>
        <v>2.4900000000000002</v>
      </c>
      <c r="S550" s="8">
        <f>ROUND(SUM(ППД5[[#This Row],[Площадь по проекту жилая]:[Лоджия 3]]),2)</f>
        <v>40.93</v>
      </c>
      <c r="T550" s="8">
        <f>ROUND(ППД5[[#This Row],[Площадь по проекту(общая)]]-ППД5[[#This Row],[Летние]],2)</f>
        <v>38.44</v>
      </c>
      <c r="U550" s="91">
        <f>ROUND(ППД5[[#This Row],[Площадь по проекту(общая)]]-(SUM(ППД5[[#This Row],[Лоджия 1]:[Лоджия 3]])/2),2)</f>
        <v>39.69</v>
      </c>
      <c r="V550" s="91">
        <f>IF(ППД5[[#This Row],[Статус]]="продажа",ППД5[[#This Row],[Расчетная проектная площадь]],ППД5[[#This Row],[Расчетная ТП площадь]])</f>
        <v>39.69</v>
      </c>
      <c r="W550" s="91">
        <v>16.8</v>
      </c>
      <c r="X550" s="91"/>
      <c r="Y550" s="91"/>
      <c r="Z550" s="91">
        <f>SUM(ППД5[[#This Row],[ТП Комната 1]:[ТП Комната 3]])</f>
        <v>16.8</v>
      </c>
      <c r="AA550" s="91">
        <v>11.5</v>
      </c>
      <c r="AB550" s="91">
        <v>3.6</v>
      </c>
      <c r="AC550" s="91"/>
      <c r="AD550" s="91"/>
      <c r="AE550" s="91">
        <v>6.7</v>
      </c>
      <c r="AF550" s="92">
        <v>1.25</v>
      </c>
      <c r="AG550" s="91"/>
      <c r="AH550" s="91"/>
      <c r="AI550" s="91">
        <f>SUM(ППД5[[#This Row],[ТП Лоджия 1]:[ТП Лоджия 3]])</f>
        <v>1.25</v>
      </c>
      <c r="AJ550" s="95">
        <v>2.5</v>
      </c>
      <c r="AK550" s="91">
        <f>SUM(ППД5[[#This Row],[Площадь по ТП жилая]:[ТП Лоджия 3]])-ППД5[[#This Row],[ТП Летние]]+ППД5[[#This Row],[кроме того прочая
(без коэффициента)]]</f>
        <v>41.1</v>
      </c>
      <c r="AL550" s="95">
        <f>ППД5[[#This Row],[ТП Площадь без летних]]+(ППД5[[#This Row],[ТП Летние]])</f>
        <v>39.85</v>
      </c>
      <c r="AM550" s="91">
        <f>ППД5[[#This Row],[ТП общая S]]-ППД5[[#This Row],[кроме того прочая
(без коэффициента)]]</f>
        <v>38.6</v>
      </c>
      <c r="AN550" s="95">
        <f>SUM(ППД5[[#This Row],[ТП Кухня]:[ТП Коридор]])</f>
        <v>21.8</v>
      </c>
      <c r="AO550" s="91">
        <f>ППД5[[#This Row],[Расчетная ТП площадь]]-ППД5[[#This Row],[Расчетная проектная площадь]]</f>
        <v>0.16000000000000369</v>
      </c>
      <c r="AP550" s="335">
        <f>ППД5[[#This Row],[Расчетная ТП площадь]]/ППД5[[#This Row],[Расчетная проектная площадь]]-1</f>
        <v>4.0312421264803167E-3</v>
      </c>
      <c r="AQ550" s="91">
        <f>ППД5[[#This Row],[% расхождения]]*ППД5[[#This Row],[Стоимость до скидки]]</f>
        <v>19261.678004535603</v>
      </c>
      <c r="AR550" s="91">
        <f>VLOOKUP(ППД5[[#This Row],[№]],наценкад5[],COLUMN(наценкад5[[#This Row],[Цена м2 с учетом всех K]]),0)</f>
        <v>92873.8125</v>
      </c>
      <c r="AS550" s="8">
        <f>ППД5[[#This Row],[м2 после К]]*5%</f>
        <v>4643.6906250000002</v>
      </c>
      <c r="AT550" s="8">
        <f>ППД5[[#This Row],[м2 после К]]+ППД5[[#This Row],[Повышение 16.08.23 - 5%]]</f>
        <v>97517.503125000003</v>
      </c>
      <c r="AU550" s="93">
        <f>ППД5[[#This Row],[Фикс 16.08.23]]*3%</f>
        <v>2925.52509375</v>
      </c>
      <c r="AV550" s="93">
        <f>ППД5[[#This Row],[Фикс 16.08.23]]+ППД5[[#This Row],[Повышение 29.08.23 - 3%]]</f>
        <v>100443.02821875</v>
      </c>
      <c r="AW550" s="93">
        <f>ППД5[[#This Row],[Фикс 29.08.23]]*4.5%</f>
        <v>4519.9362698437499</v>
      </c>
      <c r="AX550" s="93">
        <f>ППД5[[#This Row],[Фикс 29.08.23]]+ППД5[[#This Row],[Повышение 06.09.23 СТ и 1К]]</f>
        <v>104962.96448859375</v>
      </c>
      <c r="AY550" s="93"/>
      <c r="AZ550" s="93">
        <f>ППД5[[#This Row],[Повышение 23.10.23  В4 ]]+ППД5[[#This Row],[Фикс 06.09.23]]</f>
        <v>104962.96448859375</v>
      </c>
      <c r="BA550" s="93">
        <f>ППД5[[#This Row],[Фикс 23.10.23]]*5%</f>
        <v>5248.1482244296876</v>
      </c>
      <c r="BB550" s="93">
        <f>ППД5[[#This Row],[Повышение 8.11.23 1К 5%]]+ППД5[[#This Row],[Фикс 23.10.23]]</f>
        <v>110211.11271302344</v>
      </c>
      <c r="BC550" s="93"/>
      <c r="BD550" s="93">
        <f>ППД5[[#This Row],[Корректировка 24.11.23 - 1К В5, 2К А2, №233]]+ППД5[[#This Row],[Фикс 8.11.23]]</f>
        <v>110211.11271302344</v>
      </c>
      <c r="BE550" s="93">
        <f>ППД5[[#This Row],[Фикс 8.11.24]]*1%</f>
        <v>1102.1111271302343</v>
      </c>
      <c r="BF550" s="93">
        <f>ППД5[[#This Row],[Наценка за отделку 29.12.23 1%]]+ППД5[[#This Row],[Фикс 8.11.24]]</f>
        <v>111313.22384015367</v>
      </c>
      <c r="BG550" s="93">
        <f>ППД5[[#This Row],[Фикс 29.12.23]]*5%</f>
        <v>5565.6611920076839</v>
      </c>
      <c r="BH550" s="93">
        <f>ППД5[[#This Row],[Фикс 29.12.23]]+ППД5[[#This Row],[Наценка 10.01.24 5%]]</f>
        <v>116878.88503216136</v>
      </c>
      <c r="BI550" s="93"/>
      <c r="BJ550" s="93">
        <f>ППД5[[#This Row],[Наценка 26.02.24 1 Этаж]]+ППД5[[#This Row],[Фикс 10.01.24]]</f>
        <v>116878.88503216136</v>
      </c>
      <c r="BK550" s="93">
        <f>ППД5[[#This Row],[Фикс 26.02.24]]*3%</f>
        <v>3506.3665509648404</v>
      </c>
      <c r="BL550" s="93">
        <f>ППД5[[#This Row],[Фикс 26.02.24]]+ППД5[[#This Row],[Наценка 06.03.24
СТ, 1К - 3%
2К, 3К - 2%]]</f>
        <v>120385.2515831262</v>
      </c>
      <c r="BM550" s="93"/>
      <c r="BN550" s="93">
        <f>ППД5[[#This Row],[Фикс 06.03.24]]+ППД5[[#This Row],[Наценка Г2+500]]</f>
        <v>120385.2515831262</v>
      </c>
      <c r="BO550" s="93"/>
      <c r="BP550" s="93">
        <f>ППД5[[#This Row],[Фикс 13.03.25]]+ППД5[[#This Row],[Наценка 20.03.24
2К, 3К - 2%]]</f>
        <v>120385.2515831262</v>
      </c>
      <c r="BQ550" s="93"/>
      <c r="BR550" s="93">
        <f>ППД5[[#This Row],[Фикс 20.03.24]]+ППД5[[#This Row],[Наценка 08.04.24 
2К: В3 - 150
3К: Г7 +1000]]</f>
        <v>120385.2515831262</v>
      </c>
      <c r="BS550" s="93"/>
      <c r="BT550" s="93">
        <f>ППД5[[#This Row],[Фикс 08.04.24]]+ППД5[[#This Row],[Наценка 16.05.24 1%
А4,А6,Б3,Б6,Б7,В2,В3,В5,В6,Г1,Г3-Г5]]</f>
        <v>120385.2515831262</v>
      </c>
      <c r="BU550" s="93"/>
      <c r="BV550" s="93">
        <f>ППД5[[#This Row],[Фикс 16.05.24]]+ППД5[[#This Row],[Наценка 24.05.24
1% - Б4, Б5,Г2,Г6
2% - А1,А3,А5,Б2,Г7]]</f>
        <v>120385.2515831262</v>
      </c>
      <c r="BW550" s="93"/>
      <c r="BX550" s="93">
        <f>ППД5[[#This Row],[Наценка 06.06.24
0К: В2,Г3 +0,5%
1К: А7, Б5/4, Г6 +0,5%
3К: В6 +0,5%
1К: А3 +1%]]+ППД5[[#This Row],[Фикс 24.05.24]]</f>
        <v>120385.2515831262</v>
      </c>
      <c r="BY550" s="93"/>
      <c r="BZ550" s="93">
        <f>ППД5[[#This Row],[Фикс 06.06.24]]+ППД5[[#This Row],[13.06.2024
3К - 2%]]</f>
        <v>120385.2515831262</v>
      </c>
      <c r="CA550" s="93"/>
      <c r="CB550" s="93">
        <f>ППД5[[#This Row],[02.07.2024: Г3 А1 А3 Б5 Б7 Г2 Г6 Б3 Б4 В3 Г7 2,5% ост 0,5-1,5%]]+ППД5[[#This Row],[Фикс 13.06.24]]</f>
        <v>120385.2515831262</v>
      </c>
      <c r="CC550" s="93"/>
      <c r="CD550" s="93">
        <f>ППД5[[#This Row],[Фикс 02.07.24]]+ППД5[[#This Row],[04.09.2024 +500
0К - Б2; 1К - А3;
2К - А6, Б4, В3, Г5]]</f>
        <v>120385.2515831262</v>
      </c>
      <c r="CE550" s="93"/>
      <c r="CF550" s="93">
        <f>ППД5[[#This Row],[Наценка 16.09.2024
1К: А1,В7,Г6/7,Г8 - 2%
2К: А4,А5,А6,Б1,Б6,Б3/4,В3,В4,Г4,Г5 - 4%
3К: 4%]]+ППД5[[#This Row],[Фикс 04.09.24]]</f>
        <v>120385.2515831262</v>
      </c>
      <c r="CG550" s="93"/>
      <c r="CH550" s="93">
        <f>ППД5[[#This Row],[Фикс 16.09.2024]]+ППД5[[#This Row],[Наценка 01.11.24
СТ: 4%
1К: 34-40м 5%; 40м+ 8%; МГН 1%
2К: 55-70м 6%; 70-73м 7%; 73-76м 8% 
3К: 5%]]</f>
        <v>120385.2515831262</v>
      </c>
      <c r="CI550" s="93"/>
      <c r="CJ550" s="93">
        <f>ППД5[[#This Row],[Наценка 06.11 13%]]+ППД5[[#This Row],[Фикс 01.11.24]]</f>
        <v>120385.2515831262</v>
      </c>
      <c r="CK550" s="93"/>
      <c r="CL550" s="93">
        <f>ППД5[[#This Row],[Фикс 06.11.24]]+ППД5[[#This Row],[Наценка 18.12.24 распределение КВ]]</f>
        <v>120385.2515831262</v>
      </c>
      <c r="CM550" s="93"/>
      <c r="CN550" s="93">
        <f>ППД5[[#This Row],[Фикс 18.12.24]]+ППД5[[#This Row],[Наценка 10.02.25 +1%
1К: А3
2К: Б3, В3]]</f>
        <v>120385.2515831262</v>
      </c>
      <c r="CO550" s="93">
        <f>ROUND(ППД5[[#This Row],[Фикс 10.02.25]],2)</f>
        <v>120385.25</v>
      </c>
      <c r="CP55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4778100</v>
      </c>
      <c r="CQ550" s="93">
        <f>ROUNDUP(ППД5[[#This Row],[Стоимость до скидки]]+ППД5[[#This Row],[Сумма доплаты]],-2)</f>
        <v>4797400</v>
      </c>
      <c r="CR550" s="68">
        <v>88888</v>
      </c>
      <c r="CS550" s="90"/>
      <c r="CT550" s="68">
        <f>ППД5[[#This Row],[Стоимость до скидки]]*ППД5[[#This Row],[Скидка %]]+ППД5[[#This Row],[Скидка фиксированная]]</f>
        <v>88888</v>
      </c>
      <c r="CU550" s="3">
        <f>ППД5[[#This Row],[Стоимость ОН без отделки со скидкой]]/ППД5[[#This Row],[Расчетная проектная площадь]]</f>
        <v>118145.93096497859</v>
      </c>
      <c r="CV550" s="3">
        <f>ROUND(ППД5[[#This Row],[Стоимость до скидки]]-ППД5[[#This Row],[Итоговая сумма скидки]],2)</f>
        <v>4689212</v>
      </c>
      <c r="CW55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50" s="197"/>
      <c r="CY550" s="332">
        <f>ППД5[[#This Row],[Расхождение]]/ППД5[[#This Row],[Расчетная проектная площадь]]</f>
        <v>4.0312421264803149E-3</v>
      </c>
      <c r="CZ55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0.15000000000000036</v>
      </c>
      <c r="DA550" s="3">
        <f>ППД5[[#This Row],[Цена м2 без отделки со скидкой]]+ППД5[[#This Row],[Стоимость отделки]]</f>
        <v>118145.93096497859</v>
      </c>
      <c r="DB550" s="3">
        <f>ППД5[[#This Row],[Стоимость квартиры с отделкой]]-ППД5[[#This Row],[Стоимость ОН без отделки со скидкой]]</f>
        <v>0</v>
      </c>
      <c r="DC550" s="3">
        <f>ППД5[[#This Row],[Цена м2 с отделкой]]*ППД5[[#This Row],[Расчетная проектная площадь]]</f>
        <v>4689212</v>
      </c>
      <c r="DD550" s="47"/>
      <c r="DE550" s="111" t="s">
        <v>781</v>
      </c>
      <c r="DF550" s="155" t="s">
        <v>172</v>
      </c>
      <c r="DG550" s="245" t="s">
        <v>172</v>
      </c>
      <c r="DH550" s="100" t="b">
        <f>EXACT(ППД5[[#This Row],[Статусы CRM]],ППД5[[#This Row],[Статус]])</f>
        <v>1</v>
      </c>
      <c r="DI550" s="213" t="s">
        <v>722</v>
      </c>
      <c r="DJ550" s="204"/>
      <c r="DK550" s="111" t="s">
        <v>763</v>
      </c>
      <c r="DL550" s="216" t="s">
        <v>12</v>
      </c>
      <c r="DM550" s="201" t="b">
        <f>ППД5[[#This Row],[Отделка CRM]]=ППД5[[#This Row],[Отделка]]</f>
        <v>1</v>
      </c>
      <c r="DN550" s="203">
        <v>4689212</v>
      </c>
      <c r="DO55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50" s="207" t="b">
        <f>IF(AND(ППД5[[#This Row],[Статус]]="свободно",ППД5[[#This Row],[Итоговая сумма скидки]]&lt;&gt;0),FALSE,TRUE)</f>
        <v>1</v>
      </c>
      <c r="DQ550" s="240">
        <f>_xlfn.XLOOKUP(ППД5[[#This Row],[№]],Юрист[№ кв],Юрист[Дата подачи на регистрацию]," ",0,-1)</f>
        <v>45377</v>
      </c>
      <c r="DR550" s="115" t="str">
        <f>_xlfn.XLOOKUP(ППД5[[#This Row],[№]],Юрист[№ кв],Юрист[МОП],"",0,-1)</f>
        <v>Никишов</v>
      </c>
      <c r="DS550" s="333" t="s">
        <v>3392</v>
      </c>
      <c r="DT550" s="333" t="s">
        <v>3393</v>
      </c>
      <c r="DU550" s="333">
        <v>38.6</v>
      </c>
      <c r="DV550" s="111"/>
    </row>
    <row r="551" spans="1:126" hidden="1" x14ac:dyDescent="0.25">
      <c r="A551" s="112">
        <v>549</v>
      </c>
      <c r="B551" s="111" t="s">
        <v>2</v>
      </c>
      <c r="C551" s="111">
        <v>21</v>
      </c>
      <c r="D551" s="338">
        <v>1</v>
      </c>
      <c r="E551" s="111">
        <v>0</v>
      </c>
      <c r="F551" s="105">
        <v>13.74</v>
      </c>
      <c r="G551" s="105"/>
      <c r="H551" s="105"/>
      <c r="I551" s="94">
        <f>SUM(ППД5[[#This Row],[Комната 1]:[Комната 3]])</f>
        <v>13.74</v>
      </c>
      <c r="J551" s="105">
        <v>5.84</v>
      </c>
      <c r="K551" s="105">
        <v>3.76</v>
      </c>
      <c r="L551" s="105"/>
      <c r="M551" s="105"/>
      <c r="N551" s="105">
        <v>3.73</v>
      </c>
      <c r="O551" s="105">
        <v>4.6500000000000004</v>
      </c>
      <c r="P551" s="105"/>
      <c r="Q551" s="105"/>
      <c r="R551" s="105">
        <f>SUM(ППД5[[#This Row],[Лоджия 1]:[Лоджия 3]])</f>
        <v>4.6500000000000004</v>
      </c>
      <c r="S551" s="8">
        <f>ROUND(SUM(ППД5[[#This Row],[Площадь по проекту жилая]:[Лоджия 3]]),2)</f>
        <v>31.72</v>
      </c>
      <c r="T551" s="8">
        <f>ROUND(ППД5[[#This Row],[Площадь по проекту(общая)]]-ППД5[[#This Row],[Летние]],2)</f>
        <v>27.07</v>
      </c>
      <c r="U551" s="91">
        <f>ROUND(ППД5[[#This Row],[Площадь по проекту(общая)]]-(SUM(ППД5[[#This Row],[Лоджия 1]:[Лоджия 3]])/2),2)</f>
        <v>29.4</v>
      </c>
      <c r="V551" s="91">
        <f>IF(ППД5[[#This Row],[Статус]]="продажа",ППД5[[#This Row],[Расчетная проектная площадь]],ППД5[[#This Row],[Расчетная ТП площадь]])</f>
        <v>29.4</v>
      </c>
      <c r="W551" s="91">
        <v>13.7</v>
      </c>
      <c r="X551" s="91"/>
      <c r="Y551" s="91"/>
      <c r="Z551" s="91">
        <f>SUM(ППД5[[#This Row],[ТП Комната 1]:[ТП Комната 3]])</f>
        <v>13.7</v>
      </c>
      <c r="AA551" s="91">
        <v>5.8</v>
      </c>
      <c r="AB551" s="91">
        <v>3.7</v>
      </c>
      <c r="AC551" s="91"/>
      <c r="AD551" s="91"/>
      <c r="AE551" s="91">
        <v>3.7</v>
      </c>
      <c r="AF551" s="91">
        <v>2.2999999999999998</v>
      </c>
      <c r="AG551" s="91"/>
      <c r="AH551" s="91"/>
      <c r="AI551" s="91">
        <f>SUM(ППД5[[#This Row],[ТП Лоджия 1]:[ТП Лоджия 3]])</f>
        <v>2.2999999999999998</v>
      </c>
      <c r="AJ551" s="95">
        <v>4.5999999999999996</v>
      </c>
      <c r="AK551" s="91">
        <f>SUM(ППД5[[#This Row],[Площадь по ТП жилая]:[ТП Лоджия 3]])-ППД5[[#This Row],[ТП Летние]]+ППД5[[#This Row],[кроме того прочая
(без коэффициента)]]</f>
        <v>31.5</v>
      </c>
      <c r="AL551" s="95">
        <f>ППД5[[#This Row],[ТП Площадь без летних]]+(ППД5[[#This Row],[ТП Летние]])</f>
        <v>29.2</v>
      </c>
      <c r="AM551" s="91">
        <f>ППД5[[#This Row],[ТП общая S]]-ППД5[[#This Row],[кроме того прочая
(без коэффициента)]]</f>
        <v>26.9</v>
      </c>
      <c r="AN551" s="95">
        <f>SUM(ППД5[[#This Row],[ТП Кухня]:[ТП Коридор]])</f>
        <v>13.2</v>
      </c>
      <c r="AO551" s="91">
        <f>ППД5[[#This Row],[Расчетная ТП площадь]]-ППД5[[#This Row],[Расчетная проектная площадь]]</f>
        <v>-0.19999999999999929</v>
      </c>
      <c r="AP551" s="335">
        <f>ППД5[[#This Row],[Расчетная ТП площадь]]/ППД5[[#This Row],[Расчетная проектная площадь]]-1</f>
        <v>-6.8027210884353817E-3</v>
      </c>
      <c r="AQ551" s="91">
        <f>ППД5[[#This Row],[% расхождения]]*ППД5[[#This Row],[Стоимость до скидки]]</f>
        <v>-24816.326530612274</v>
      </c>
      <c r="AR551" s="91">
        <f>VLOOKUP(ППД5[[#This Row],[№]],наценкад5[],COLUMN(наценкад5[[#This Row],[Цена м2 с учетом всех K]]),0)</f>
        <v>96361.65</v>
      </c>
      <c r="AS551" s="8">
        <f>ППД5[[#This Row],[м2 после К]]*5%</f>
        <v>4818.0824999999995</v>
      </c>
      <c r="AT551" s="8">
        <f>ППД5[[#This Row],[м2 после К]]+ППД5[[#This Row],[Повышение 16.08.23 - 5%]]</f>
        <v>101179.7325</v>
      </c>
      <c r="AU551" s="93">
        <f>ППД5[[#This Row],[Фикс 16.08.23]]*3%</f>
        <v>3035.391975</v>
      </c>
      <c r="AV551" s="93">
        <f>ППД5[[#This Row],[Фикс 16.08.23]]+ППД5[[#This Row],[Повышение 29.08.23 - 3%]]</f>
        <v>104215.124475</v>
      </c>
      <c r="AW551" s="93">
        <f>ППД5[[#This Row],[Фикс 29.08.23]]*9%</f>
        <v>9379.3612027500003</v>
      </c>
      <c r="AX551" s="93">
        <f>ППД5[[#This Row],[Фикс 29.08.23]]+ППД5[[#This Row],[Повышение 06.09.23 СТ и 1К]]</f>
        <v>113594.48567775001</v>
      </c>
      <c r="AY551" s="93"/>
      <c r="AZ551" s="93">
        <f>ППД5[[#This Row],[Повышение 23.10.23  В4 ]]+ППД5[[#This Row],[Фикс 06.09.23]]</f>
        <v>113594.48567775001</v>
      </c>
      <c r="BA551" s="93"/>
      <c r="BB551" s="93">
        <f>ППД5[[#This Row],[Повышение 8.11.23 1К 5%]]+ППД5[[#This Row],[Фикс 23.10.23]]</f>
        <v>113594.48567775001</v>
      </c>
      <c r="BC551" s="93"/>
      <c r="BD551" s="93">
        <f>ППД5[[#This Row],[Корректировка 24.11.23 - 1К В5, 2К А2, №233]]+ППД5[[#This Row],[Фикс 8.11.23]]</f>
        <v>113594.48567775001</v>
      </c>
      <c r="BE551" s="93">
        <f>ППД5[[#This Row],[Фикс 8.11.24]]*1%</f>
        <v>1135.9448567775</v>
      </c>
      <c r="BF551" s="93">
        <f>ППД5[[#This Row],[Наценка за отделку 29.12.23 1%]]+ППД5[[#This Row],[Фикс 8.11.24]]</f>
        <v>114730.43053452751</v>
      </c>
      <c r="BG551" s="93">
        <f>ППД5[[#This Row],[Фикс 29.12.23]]*5%</f>
        <v>5736.5215267263757</v>
      </c>
      <c r="BH551" s="93">
        <f>ППД5[[#This Row],[Фикс 29.12.23]]+ППД5[[#This Row],[Наценка 10.01.24 5%]]</f>
        <v>120466.95206125388</v>
      </c>
      <c r="BI551" s="93"/>
      <c r="BJ551" s="93">
        <f>ППД5[[#This Row],[Наценка 26.02.24 1 Этаж]]+ППД5[[#This Row],[Фикс 10.01.24]]</f>
        <v>120466.95206125388</v>
      </c>
      <c r="BK551" s="93">
        <f>ППД5[[#This Row],[Фикс 26.02.24]]*3%</f>
        <v>3614.0085618376161</v>
      </c>
      <c r="BL551" s="93">
        <f>ППД5[[#This Row],[Фикс 26.02.24]]+ППД5[[#This Row],[Наценка 06.03.24
СТ, 1К - 3%
2К, 3К - 2%]]</f>
        <v>124080.96062309149</v>
      </c>
      <c r="BM551" s="93"/>
      <c r="BN551" s="93">
        <f>ППД5[[#This Row],[Фикс 06.03.24]]+ППД5[[#This Row],[Наценка Г2+500]]</f>
        <v>124080.96062309149</v>
      </c>
      <c r="BO551" s="93"/>
      <c r="BP551" s="93">
        <f>ППД5[[#This Row],[Фикс 13.03.25]]+ППД5[[#This Row],[Наценка 20.03.24
2К, 3К - 2%]]</f>
        <v>124080.96062309149</v>
      </c>
      <c r="BQ551" s="93"/>
      <c r="BR551" s="93">
        <f>ППД5[[#This Row],[Фикс 20.03.24]]+ППД5[[#This Row],[Наценка 08.04.24 
2К: В3 - 150
3К: Г7 +1000]]</f>
        <v>124080.96062309149</v>
      </c>
      <c r="BS551" s="93"/>
      <c r="BT551" s="93">
        <f>ППД5[[#This Row],[Фикс 08.04.24]]+ППД5[[#This Row],[Наценка 16.05.24 1%
А4,А6,Б3,Б6,Б7,В2,В3,В5,В6,Г1,Г3-Г5]]</f>
        <v>124080.96062309149</v>
      </c>
      <c r="BU551" s="93"/>
      <c r="BV551" s="93">
        <f>ППД5[[#This Row],[Фикс 16.05.24]]+ППД5[[#This Row],[Наценка 24.05.24
1% - Б4, Б5,Г2,Г6
2% - А1,А3,А5,Б2,Г7]]</f>
        <v>124080.96062309149</v>
      </c>
      <c r="BW551" s="93"/>
      <c r="BX551" s="93">
        <f>ППД5[[#This Row],[Наценка 06.06.24
0К: В2,Г3 +0,5%
1К: А7, Б5/4, Г6 +0,5%
3К: В6 +0,5%
1К: А3 +1%]]+ППД5[[#This Row],[Фикс 24.05.24]]</f>
        <v>124080.96062309149</v>
      </c>
      <c r="BY551" s="93"/>
      <c r="BZ551" s="93">
        <f>ППД5[[#This Row],[Фикс 06.06.24]]+ППД5[[#This Row],[13.06.2024
3К - 2%]]</f>
        <v>124080.96062309149</v>
      </c>
      <c r="CA551" s="93"/>
      <c r="CB551" s="93">
        <f>ППД5[[#This Row],[02.07.2024: Г3 А1 А3 Б5 Б7 Г2 Г6 Б3 Б4 В3 Г7 2,5% ост 0,5-1,5%]]+ППД5[[#This Row],[Фикс 13.06.24]]</f>
        <v>124080.96062309149</v>
      </c>
      <c r="CC551" s="93"/>
      <c r="CD551" s="93">
        <f>ППД5[[#This Row],[Фикс 02.07.24]]+ППД5[[#This Row],[04.09.2024 +500
0К - Б2; 1К - А3;
2К - А6, Б4, В3, Г5]]</f>
        <v>124080.96062309149</v>
      </c>
      <c r="CE551" s="93"/>
      <c r="CF551" s="93">
        <f>ППД5[[#This Row],[Наценка 16.09.2024
1К: А1,В7,Г6/7,Г8 - 2%
2К: А4,А5,А6,Б1,Б6,Б3/4,В3,В4,Г4,Г5 - 4%
3К: 4%]]+ППД5[[#This Row],[Фикс 04.09.24]]</f>
        <v>124080.96062309149</v>
      </c>
      <c r="CG551" s="93"/>
      <c r="CH551" s="93">
        <f>ППД5[[#This Row],[Фикс 16.09.2024]]+ППД5[[#This Row],[Наценка 01.11.24
СТ: 4%
1К: 34-40м 5%; 40м+ 8%; МГН 1%
2К: 55-70м 6%; 70-73м 7%; 73-76м 8% 
3К: 5%]]</f>
        <v>124080.96062309149</v>
      </c>
      <c r="CI551" s="93"/>
      <c r="CJ551" s="93">
        <f>ППД5[[#This Row],[Наценка 06.11 13%]]+ППД5[[#This Row],[Фикс 01.11.24]]</f>
        <v>124080.96062309149</v>
      </c>
      <c r="CK551" s="93"/>
      <c r="CL551" s="93">
        <f>ППД5[[#This Row],[Фикс 06.11.24]]+ППД5[[#This Row],[Наценка 18.12.24 распределение КВ]]</f>
        <v>124080.96062309149</v>
      </c>
      <c r="CM551" s="93"/>
      <c r="CN551" s="93">
        <f>ППД5[[#This Row],[Фикс 18.12.24]]+ППД5[[#This Row],[Наценка 10.02.25 +1%
1К: А3
2К: Б3, В3]]</f>
        <v>124080.96062309149</v>
      </c>
      <c r="CO551" s="93">
        <f>ROUND(ППД5[[#This Row],[Фикс 10.02.25]],2)</f>
        <v>124080.96000000001</v>
      </c>
      <c r="CP55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3648000</v>
      </c>
      <c r="CQ551" s="93">
        <f>ROUNDUP(ППД5[[#This Row],[Стоимость до скидки]]+ППД5[[#This Row],[Сумма доплаты]],-2)</f>
        <v>3623200</v>
      </c>
      <c r="CR551" s="68"/>
      <c r="CS551" s="90"/>
      <c r="CT551" s="68">
        <f>ППД5[[#This Row],[Стоимость до скидки]]*ППД5[[#This Row],[Скидка %]]+ППД5[[#This Row],[Скидка фиксированная]]</f>
        <v>0</v>
      </c>
      <c r="CU551" s="3">
        <f>ППД5[[#This Row],[Стоимость ОН без отделки со скидкой]]/ППД5[[#This Row],[Расчетная проектная площадь]]</f>
        <v>124081.63265306123</v>
      </c>
      <c r="CV551" s="3">
        <f>ROUND(ППД5[[#This Row],[Стоимость до скидки]]-ППД5[[#This Row],[Итоговая сумма скидки]],2)</f>
        <v>3648000</v>
      </c>
      <c r="CW55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551" s="197">
        <v>20000</v>
      </c>
      <c r="CY551" s="332">
        <f>ППД5[[#This Row],[Расхождение]]/ППД5[[#This Row],[Расчетная проектная площадь]]</f>
        <v>-6.8027210884353505E-3</v>
      </c>
      <c r="CZ55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-0.13000000000000078</v>
      </c>
      <c r="DA551" s="3">
        <f>ППД5[[#This Row],[Цена м2 без отделки со скидкой]]+ППД5[[#This Row],[Стоимость отделки]]</f>
        <v>144081.63265306124</v>
      </c>
      <c r="DB551" s="3">
        <f>ППД5[[#This Row],[Стоимость квартиры с отделкой]]-ППД5[[#This Row],[Стоимость ОН без отделки со скидкой]]</f>
        <v>588000</v>
      </c>
      <c r="DC551" s="3">
        <f>ППД5[[#This Row],[Цена м2 с отделкой]]*ППД5[[#This Row],[Расчетная проектная площадь]]</f>
        <v>4236000</v>
      </c>
      <c r="DD551" s="47"/>
      <c r="DF551" s="155" t="s">
        <v>172</v>
      </c>
      <c r="DG551" s="245" t="s">
        <v>172</v>
      </c>
      <c r="DH551" s="100" t="b">
        <f>EXACT(ППД5[[#This Row],[Статусы CRM]],ППД5[[#This Row],[Статус]])</f>
        <v>1</v>
      </c>
      <c r="DI551" s="213" t="s">
        <v>723</v>
      </c>
      <c r="DJ551" s="204"/>
      <c r="DK551" s="111" t="s">
        <v>763</v>
      </c>
      <c r="DL551" s="216" t="s">
        <v>14</v>
      </c>
      <c r="DM551" s="201" t="b">
        <f>ППД5[[#This Row],[Отделка CRM]]=ППД5[[#This Row],[Отделка]]</f>
        <v>1</v>
      </c>
      <c r="DN551" s="203">
        <v>4236000</v>
      </c>
      <c r="DO55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51" s="207" t="b">
        <f>IF(AND(ППД5[[#This Row],[Статус]]="свободно",ППД5[[#This Row],[Итоговая сумма скидки]]&lt;&gt;0),FALSE,TRUE)</f>
        <v>1</v>
      </c>
      <c r="DQ551" s="240">
        <f>_xlfn.XLOOKUP(ППД5[[#This Row],[№]],Юрист[№ кв],Юрист[Дата подачи на регистрацию]," ",0,-1)</f>
        <v>45436</v>
      </c>
      <c r="DR551" s="115" t="str">
        <f>_xlfn.XLOOKUP(ППД5[[#This Row],[№]],Юрист[№ кв],Юрист[МОП],"",0,-1)</f>
        <v>Калачева</v>
      </c>
      <c r="DS551" s="333" t="s">
        <v>3394</v>
      </c>
      <c r="DT551" s="333" t="s">
        <v>3395</v>
      </c>
      <c r="DU551" s="333">
        <v>26.9</v>
      </c>
      <c r="DV551" s="111"/>
    </row>
    <row r="552" spans="1:126" hidden="1" x14ac:dyDescent="0.25">
      <c r="A552" s="112">
        <v>550</v>
      </c>
      <c r="B552" s="111" t="s">
        <v>2</v>
      </c>
      <c r="C552" s="111">
        <v>21</v>
      </c>
      <c r="D552" s="115">
        <v>2</v>
      </c>
      <c r="E552" s="111">
        <v>1</v>
      </c>
      <c r="F552" s="105">
        <v>13.17</v>
      </c>
      <c r="G552" s="105"/>
      <c r="H552" s="105"/>
      <c r="I552" s="94">
        <f>SUM(ППД5[[#This Row],[Комната 1]:[Комната 3]])</f>
        <v>13.17</v>
      </c>
      <c r="J552" s="105">
        <v>16.940000000000001</v>
      </c>
      <c r="K552" s="105">
        <v>3.55</v>
      </c>
      <c r="L552" s="105">
        <v>2.41</v>
      </c>
      <c r="M552" s="105"/>
      <c r="N552" s="105">
        <v>5.8</v>
      </c>
      <c r="O552" s="105">
        <v>2.68</v>
      </c>
      <c r="P552" s="105"/>
      <c r="Q552" s="105"/>
      <c r="R552" s="105">
        <f>SUM(ППД5[[#This Row],[Лоджия 1]:[Лоджия 3]])</f>
        <v>2.68</v>
      </c>
      <c r="S552" s="8">
        <f>ROUND(SUM(ППД5[[#This Row],[Площадь по проекту жилая]:[Лоджия 3]]),2)</f>
        <v>44.55</v>
      </c>
      <c r="T552" s="8">
        <f>ROUND(ППД5[[#This Row],[Площадь по проекту(общая)]]-ППД5[[#This Row],[Летние]],2)</f>
        <v>41.87</v>
      </c>
      <c r="U552" s="91">
        <f>ROUND(ППД5[[#This Row],[Площадь по проекту(общая)]]-(SUM(ППД5[[#This Row],[Лоджия 1]:[Лоджия 3]])/2),2)</f>
        <v>43.21</v>
      </c>
      <c r="V552" s="91">
        <f>IF(ППД5[[#This Row],[Статус]]="продажа",ППД5[[#This Row],[Расчетная проектная площадь]],ППД5[[#This Row],[Расчетная ТП площадь]])</f>
        <v>43.21</v>
      </c>
      <c r="W552" s="91">
        <v>13</v>
      </c>
      <c r="X552" s="91"/>
      <c r="Y552" s="91"/>
      <c r="Z552" s="91">
        <f>SUM(ППД5[[#This Row],[ТП Комната 1]:[ТП Комната 3]])</f>
        <v>13</v>
      </c>
      <c r="AA552" s="91">
        <v>16.8</v>
      </c>
      <c r="AB552" s="91">
        <v>2</v>
      </c>
      <c r="AC552" s="91">
        <v>3.3</v>
      </c>
      <c r="AD552" s="91"/>
      <c r="AE552" s="91">
        <v>5.9</v>
      </c>
      <c r="AF552" s="91">
        <v>1.35</v>
      </c>
      <c r="AG552" s="91"/>
      <c r="AH552" s="91"/>
      <c r="AI552" s="91">
        <f>SUM(ППД5[[#This Row],[ТП Лоджия 1]:[ТП Лоджия 3]])</f>
        <v>1.35</v>
      </c>
      <c r="AJ552" s="95">
        <v>2.7</v>
      </c>
      <c r="AK552" s="91">
        <f>SUM(ППД5[[#This Row],[Площадь по ТП жилая]:[ТП Лоджия 3]])-ППД5[[#This Row],[ТП Летние]]+ППД5[[#This Row],[кроме того прочая
(без коэффициента)]]</f>
        <v>43.7</v>
      </c>
      <c r="AL552" s="95">
        <f>ППД5[[#This Row],[ТП Площадь без летних]]+(ППД5[[#This Row],[ТП Летние]])</f>
        <v>42.35</v>
      </c>
      <c r="AM552" s="91">
        <f>ППД5[[#This Row],[ТП общая S]]-ППД5[[#This Row],[кроме того прочая
(без коэффициента)]]</f>
        <v>41</v>
      </c>
      <c r="AN552" s="95">
        <f>SUM(ППД5[[#This Row],[ТП Кухня]:[ТП Коридор]])</f>
        <v>28</v>
      </c>
      <c r="AO552" s="91">
        <f>ППД5[[#This Row],[Расчетная ТП площадь]]-ППД5[[#This Row],[Расчетная проектная площадь]]</f>
        <v>-0.85999999999999943</v>
      </c>
      <c r="AP552" s="335">
        <f>ППД5[[#This Row],[Расчетная ТП площадь]]/ППД5[[#This Row],[Расчетная проектная площадь]]-1</f>
        <v>-1.9902800277713517E-2</v>
      </c>
      <c r="AQ552" s="91">
        <f>ППД5[[#This Row],[% расхождения]]*ППД5[[#This Row],[Стоимость до скидки]]</f>
        <v>-102680.53691275181</v>
      </c>
      <c r="AR552" s="91">
        <f>VLOOKUP(ППД5[[#This Row],[№]],наценкад5[],COLUMN(наценкад5[[#This Row],[Цена м2 с учетом всех K]]),0)</f>
        <v>91657.125</v>
      </c>
      <c r="AS552" s="8">
        <f>ППД5[[#This Row],[м2 после К]]*5%</f>
        <v>4582.8562499999998</v>
      </c>
      <c r="AT552" s="8">
        <f>ППД5[[#This Row],[м2 после К]]+ППД5[[#This Row],[Повышение 16.08.23 - 5%]]</f>
        <v>96239.981249999997</v>
      </c>
      <c r="AU552" s="93">
        <f>ППД5[[#This Row],[Фикс 16.08.23]]*3%</f>
        <v>2887.1994374999999</v>
      </c>
      <c r="AV552" s="93">
        <f>ППД5[[#This Row],[Фикс 16.08.23]]+ППД5[[#This Row],[Повышение 29.08.23 - 3%]]</f>
        <v>99127.180687500004</v>
      </c>
      <c r="AW552" s="93">
        <f>ППД5[[#This Row],[Фикс 29.08.23]]*1%</f>
        <v>991.27180687500004</v>
      </c>
      <c r="AX552" s="93">
        <f>ППД5[[#This Row],[Фикс 29.08.23]]+ППД5[[#This Row],[Повышение 06.09.23 СТ и 1К]]</f>
        <v>100118.452494375</v>
      </c>
      <c r="AY552" s="93"/>
      <c r="AZ552" s="93">
        <f>ППД5[[#This Row],[Повышение 23.10.23  В4 ]]+ППД5[[#This Row],[Фикс 06.09.23]]</f>
        <v>100118.452494375</v>
      </c>
      <c r="BA552" s="93">
        <f>ППД5[[#This Row],[Фикс 23.10.23]]*5%</f>
        <v>5005.9226247187507</v>
      </c>
      <c r="BB552" s="93">
        <f>ППД5[[#This Row],[Повышение 8.11.23 1К 5%]]+ППД5[[#This Row],[Фикс 23.10.23]]</f>
        <v>105124.37511909375</v>
      </c>
      <c r="BC552" s="93"/>
      <c r="BD552" s="93">
        <f>ППД5[[#This Row],[Корректировка 24.11.23 - 1К В5, 2К А2, №233]]+ППД5[[#This Row],[Фикс 8.11.23]]</f>
        <v>105124.37511909375</v>
      </c>
      <c r="BE552" s="93">
        <f>ППД5[[#This Row],[Фикс 8.11.24]]*1%</f>
        <v>1051.2437511909375</v>
      </c>
      <c r="BF552" s="93">
        <f>ППД5[[#This Row],[Наценка за отделку 29.12.23 1%]]+ППД5[[#This Row],[Фикс 8.11.24]]</f>
        <v>106175.61887028468</v>
      </c>
      <c r="BG552" s="93">
        <f>ППД5[[#This Row],[Фикс 29.12.23]]*5%</f>
        <v>5308.7809435142344</v>
      </c>
      <c r="BH552" s="93">
        <f>ППД5[[#This Row],[Фикс 29.12.23]]+ППД5[[#This Row],[Наценка 10.01.24 5%]]</f>
        <v>111484.39981379893</v>
      </c>
      <c r="BI552" s="93"/>
      <c r="BJ552" s="93">
        <f>ППД5[[#This Row],[Наценка 26.02.24 1 Этаж]]+ППД5[[#This Row],[Фикс 10.01.24]]</f>
        <v>111484.39981379893</v>
      </c>
      <c r="BK552" s="93">
        <f>ППД5[[#This Row],[Фикс 26.02.24]]*3%</f>
        <v>3344.5319944139678</v>
      </c>
      <c r="BL552" s="93">
        <f>ППД5[[#This Row],[Фикс 26.02.24]]+ППД5[[#This Row],[Наценка 06.03.24
СТ, 1К - 3%
2К, 3К - 2%]]</f>
        <v>114828.93180821289</v>
      </c>
      <c r="BM552" s="93">
        <v>500</v>
      </c>
      <c r="BN552" s="93">
        <f>ППД5[[#This Row],[Фикс 06.03.24]]+ППД5[[#This Row],[Наценка Г2+500]]</f>
        <v>115328.93180821289</v>
      </c>
      <c r="BO552" s="93"/>
      <c r="BP552" s="93">
        <f>ППД5[[#This Row],[Фикс 13.03.25]]+ППД5[[#This Row],[Наценка 20.03.24
2К, 3К - 2%]]</f>
        <v>115328.93180821289</v>
      </c>
      <c r="BQ552" s="93"/>
      <c r="BR552" s="93">
        <f>ППД5[[#This Row],[Фикс 20.03.24]]+ППД5[[#This Row],[Наценка 08.04.24 
2К: В3 - 150
3К: Г7 +1000]]</f>
        <v>115328.93180821289</v>
      </c>
      <c r="BS552" s="93"/>
      <c r="BT552" s="93">
        <f>ППД5[[#This Row],[Фикс 08.04.24]]+ППД5[[#This Row],[Наценка 16.05.24 1%
А4,А6,Б3,Б6,Б7,В2,В3,В5,В6,Г1,Г3-Г5]]</f>
        <v>115328.93180821289</v>
      </c>
      <c r="BU552" s="93">
        <f>ППД5[[#This Row],[Фикс 16.05.24]]*1%</f>
        <v>1153.2893180821288</v>
      </c>
      <c r="BV552" s="93">
        <f>ППД5[[#This Row],[Фикс 16.05.24]]+ППД5[[#This Row],[Наценка 24.05.24
1% - Б4, Б5,Г2,Г6
2% - А1,А3,А5,Б2,Г7]]</f>
        <v>116482.22112629501</v>
      </c>
      <c r="BW552" s="93"/>
      <c r="BX552" s="93">
        <f>ППД5[[#This Row],[Наценка 06.06.24
0К: В2,Г3 +0,5%
1К: А7, Б5/4, Г6 +0,5%
3К: В6 +0,5%
1К: А3 +1%]]+ППД5[[#This Row],[Фикс 24.05.24]]</f>
        <v>116482.22112629501</v>
      </c>
      <c r="BY552" s="93"/>
      <c r="BZ552" s="93">
        <f>ППД5[[#This Row],[Фикс 06.06.24]]+ППД5[[#This Row],[13.06.2024
3К - 2%]]</f>
        <v>116482.22112629501</v>
      </c>
      <c r="CA552" s="93">
        <f>2.5%*ППД5[[#This Row],[Фикс 13.06.24]]</f>
        <v>2912.0555281573756</v>
      </c>
      <c r="CB552" s="93">
        <f>ППД5[[#This Row],[02.07.2024: Г3 А1 А3 Б5 Б7 Г2 Г6 Б3 Б4 В3 Г7 2,5% ост 0,5-1,5%]]+ППД5[[#This Row],[Фикс 13.06.24]]</f>
        <v>119394.27665445239</v>
      </c>
      <c r="CC552" s="93"/>
      <c r="CD552" s="93">
        <f>ППД5[[#This Row],[Фикс 02.07.24]]+ППД5[[#This Row],[04.09.2024 +500
0К - Б2; 1К - А3;
2К - А6, Б4, В3, Г5]]</f>
        <v>119394.27665445239</v>
      </c>
      <c r="CE552" s="93"/>
      <c r="CF552" s="93">
        <f>ППД5[[#This Row],[Наценка 16.09.2024
1К: А1,В7,Г6/7,Г8 - 2%
2К: А4,А5,А6,Б1,Б6,Б3/4,В3,В4,Г4,Г5 - 4%
3К: 4%]]+ППД5[[#This Row],[Фикс 04.09.24]]</f>
        <v>119394.27665445239</v>
      </c>
      <c r="CG552" s="93"/>
      <c r="CH552" s="93">
        <f>ППД5[[#This Row],[Фикс 16.09.2024]]+ППД5[[#This Row],[Наценка 01.11.24
СТ: 4%
1К: 34-40м 5%; 40м+ 8%; МГН 1%
2К: 55-70м 6%; 70-73м 7%; 73-76м 8% 
3К: 5%]]</f>
        <v>119394.27665445239</v>
      </c>
      <c r="CI552" s="93"/>
      <c r="CJ552" s="93">
        <f>ППД5[[#This Row],[Наценка 06.11 13%]]+ППД5[[#This Row],[Фикс 01.11.24]]</f>
        <v>119394.27665445239</v>
      </c>
      <c r="CK552" s="93"/>
      <c r="CL552" s="93">
        <f>ППД5[[#This Row],[Фикс 06.11.24]]+ППД5[[#This Row],[Наценка 18.12.24 распределение КВ]]</f>
        <v>119394.27665445239</v>
      </c>
      <c r="CM552" s="93"/>
      <c r="CN552" s="93">
        <f>ППД5[[#This Row],[Фикс 18.12.24]]+ППД5[[#This Row],[Наценка 10.02.25 +1%
1К: А3
2К: Б3, В3]]</f>
        <v>119394.27665445239</v>
      </c>
      <c r="CO552" s="93">
        <f>ROUND(ППД5[[#This Row],[Фикс 10.02.25]],2)</f>
        <v>119394.28</v>
      </c>
      <c r="CP55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5159100</v>
      </c>
      <c r="CQ552" s="93">
        <f>ROUNDUP(ППД5[[#This Row],[Стоимость до скидки]]+ППД5[[#This Row],[Сумма доплаты]],-2)</f>
        <v>5056500</v>
      </c>
      <c r="CR552" s="68"/>
      <c r="CS552" s="90">
        <v>0.02</v>
      </c>
      <c r="CT552" s="68">
        <f>ППД5[[#This Row],[Стоимость до скидки]]*ППД5[[#This Row],[Скидка %]]+ППД5[[#This Row],[Скидка фиксированная]]</f>
        <v>103182</v>
      </c>
      <c r="CU552" s="3">
        <f>ППД5[[#This Row],[Стоимость ОН без отделки со скидкой]]/ППД5[[#This Row],[Расчетная проектная площадь]]</f>
        <v>117008.05369127517</v>
      </c>
      <c r="CV552" s="3">
        <f>ROUND(ППД5[[#This Row],[Стоимость до скидки]]-ППД5[[#This Row],[Итоговая сумма скидки]],2)</f>
        <v>5055918</v>
      </c>
      <c r="CW55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52" s="197"/>
      <c r="CY552" s="332">
        <f>ППД5[[#This Row],[Расхождение]]/ППД5[[#This Row],[Расчетная проектная площадь]]</f>
        <v>-1.9902800277713479E-2</v>
      </c>
      <c r="CZ55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-0.70000000000000284</v>
      </c>
      <c r="DA552" s="3">
        <f>ППД5[[#This Row],[Цена м2 без отделки со скидкой]]+ППД5[[#This Row],[Стоимость отделки]]</f>
        <v>117008.05369127517</v>
      </c>
      <c r="DB552" s="3">
        <f>ППД5[[#This Row],[Стоимость квартиры с отделкой]]-ППД5[[#This Row],[Стоимость ОН без отделки со скидкой]]</f>
        <v>0</v>
      </c>
      <c r="DC552" s="3">
        <f>ППД5[[#This Row],[Цена м2 с отделкой]]*ППД5[[#This Row],[Расчетная проектная площадь]]</f>
        <v>5055918</v>
      </c>
      <c r="DD552" s="47"/>
      <c r="DE552" s="111" t="s">
        <v>757</v>
      </c>
      <c r="DF552" s="199" t="s">
        <v>172</v>
      </c>
      <c r="DG552" s="245" t="s">
        <v>172</v>
      </c>
      <c r="DH552" s="100" t="b">
        <f>EXACT(ППД5[[#This Row],[Статусы CRM]],ППД5[[#This Row],[Статус]])</f>
        <v>1</v>
      </c>
      <c r="DI552" s="213" t="s">
        <v>724</v>
      </c>
      <c r="DJ552" s="204"/>
      <c r="DK552" s="111" t="s">
        <v>763</v>
      </c>
      <c r="DL552" s="216" t="s">
        <v>12</v>
      </c>
      <c r="DM552" s="201" t="b">
        <f>ППД5[[#This Row],[Отделка CRM]]=ППД5[[#This Row],[Отделка]]</f>
        <v>1</v>
      </c>
      <c r="DN552" s="203">
        <v>5055918</v>
      </c>
      <c r="DO55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52" s="207" t="b">
        <f>IF(AND(ППД5[[#This Row],[Статус]]="свободно",ППД5[[#This Row],[Итоговая сумма скидки]]&lt;&gt;0),FALSE,TRUE)</f>
        <v>1</v>
      </c>
      <c r="DQ552" s="240">
        <f>_xlfn.XLOOKUP(ППД5[[#This Row],[№]],Юрист[№ кв],Юрист[Дата подачи на регистрацию]," ",0,-1)</f>
        <v>45588</v>
      </c>
      <c r="DR552" s="115" t="str">
        <f>_xlfn.XLOOKUP(ППД5[[#This Row],[№]],Юрист[№ кв],Юрист[МОП],"",0,-1)</f>
        <v>Дик</v>
      </c>
      <c r="DS552" s="333" t="s">
        <v>3396</v>
      </c>
      <c r="DT552" s="333" t="s">
        <v>3397</v>
      </c>
      <c r="DU552" s="333">
        <v>41</v>
      </c>
      <c r="DV552" s="111"/>
    </row>
    <row r="553" spans="1:126" hidden="1" x14ac:dyDescent="0.25">
      <c r="A553" s="112">
        <v>551</v>
      </c>
      <c r="B553" s="111" t="s">
        <v>2</v>
      </c>
      <c r="C553" s="111">
        <v>21</v>
      </c>
      <c r="D553" s="115">
        <v>3</v>
      </c>
      <c r="E553" s="111">
        <v>0</v>
      </c>
      <c r="F553" s="105">
        <v>7.2</v>
      </c>
      <c r="G553" s="105"/>
      <c r="H553" s="105"/>
      <c r="I553" s="94">
        <f>SUM(ППД5[[#This Row],[Комната 1]:[Комната 3]])</f>
        <v>7.2</v>
      </c>
      <c r="J553" s="105">
        <v>5.17</v>
      </c>
      <c r="K553" s="105">
        <v>3.71</v>
      </c>
      <c r="L553" s="105"/>
      <c r="M553" s="105"/>
      <c r="N553" s="105">
        <v>6.96</v>
      </c>
      <c r="O553" s="105">
        <v>2.92</v>
      </c>
      <c r="P553" s="105"/>
      <c r="Q553" s="105"/>
      <c r="R553" s="105">
        <f>SUM(ППД5[[#This Row],[Лоджия 1]:[Лоджия 3]])</f>
        <v>2.92</v>
      </c>
      <c r="S553" s="8">
        <f>ROUND(SUM(ППД5[[#This Row],[Площадь по проекту жилая]:[Лоджия 3]]),2)</f>
        <v>25.96</v>
      </c>
      <c r="T553" s="8">
        <f>ROUND(ППД5[[#This Row],[Площадь по проекту(общая)]]-ППД5[[#This Row],[Летние]],2)</f>
        <v>23.04</v>
      </c>
      <c r="U553" s="91">
        <f>ROUND(ППД5[[#This Row],[Площадь по проекту(общая)]]-(SUM(ППД5[[#This Row],[Лоджия 1]:[Лоджия 3]])/2),2)</f>
        <v>24.5</v>
      </c>
      <c r="V553" s="91">
        <f>IF(ППД5[[#This Row],[Статус]]="продажа",ППД5[[#This Row],[Расчетная проектная площадь]],ППД5[[#This Row],[Расчетная ТП площадь]])</f>
        <v>24.249999999999996</v>
      </c>
      <c r="W553" s="91">
        <v>7.2</v>
      </c>
      <c r="X553" s="91"/>
      <c r="Y553" s="91"/>
      <c r="Z553" s="91">
        <f>SUM(ППД5[[#This Row],[ТП Комната 1]:[ТП Комната 3]])</f>
        <v>7.2</v>
      </c>
      <c r="AA553" s="91">
        <v>5.3</v>
      </c>
      <c r="AB553" s="91">
        <v>3.7</v>
      </c>
      <c r="AC553" s="91"/>
      <c r="AD553" s="91"/>
      <c r="AE553" s="91">
        <v>6.6</v>
      </c>
      <c r="AF553" s="91">
        <v>1.45</v>
      </c>
      <c r="AG553" s="91"/>
      <c r="AH553" s="91"/>
      <c r="AI553" s="91">
        <f>SUM(ППД5[[#This Row],[ТП Лоджия 1]:[ТП Лоджия 3]])</f>
        <v>1.45</v>
      </c>
      <c r="AJ553" s="95">
        <v>2.9</v>
      </c>
      <c r="AK553" s="91">
        <f>SUM(ППД5[[#This Row],[Площадь по ТП жилая]:[ТП Лоджия 3]])-ППД5[[#This Row],[ТП Летние]]+ППД5[[#This Row],[кроме того прочая
(без коэффициента)]]</f>
        <v>25.699999999999996</v>
      </c>
      <c r="AL553" s="95">
        <f>ППД5[[#This Row],[ТП Площадь без летних]]+(ППД5[[#This Row],[ТП Летние]])</f>
        <v>24.249999999999996</v>
      </c>
      <c r="AM553" s="91">
        <f>ППД5[[#This Row],[ТП общая S]]-ППД5[[#This Row],[кроме того прочая
(без коэффициента)]]</f>
        <v>22.799999999999997</v>
      </c>
      <c r="AN553" s="95">
        <f>SUM(ППД5[[#This Row],[ТП Кухня]:[ТП Коридор]])</f>
        <v>15.6</v>
      </c>
      <c r="AO553" s="91">
        <f>ППД5[[#This Row],[Расчетная ТП площадь]]-ППД5[[#This Row],[Расчетная проектная площадь]]</f>
        <v>-0.25000000000000355</v>
      </c>
      <c r="AP553" s="335">
        <f>ППД5[[#This Row],[Расчетная ТП площадь]]/ППД5[[#This Row],[Расчетная проектная площадь]]-1</f>
        <v>-1.0204081632653184E-2</v>
      </c>
      <c r="AQ553" s="91">
        <f>ППД5[[#This Row],[% расхождения]]*ППД5[[#This Row],[Стоимость до скидки]]</f>
        <v>-38627.551020408624</v>
      </c>
      <c r="AR553" s="91">
        <f>VLOOKUP(ППД5[[#This Row],[№]],наценкад5[],COLUMN(наценкад5[[#This Row],[Цена м2 с учетом всех K]]),0)</f>
        <v>98113.68</v>
      </c>
      <c r="AS553" s="8">
        <f>ППД5[[#This Row],[м2 после К]]*5%</f>
        <v>4905.6840000000002</v>
      </c>
      <c r="AT553" s="8">
        <f>ППД5[[#This Row],[м2 после К]]+ППД5[[#This Row],[Повышение 16.08.23 - 5%]]</f>
        <v>103019.36399999999</v>
      </c>
      <c r="AU553" s="93">
        <f>ППД5[[#This Row],[Фикс 16.08.23]]*3%</f>
        <v>3090.5809199999994</v>
      </c>
      <c r="AV553" s="93">
        <f>ППД5[[#This Row],[Фикс 16.08.23]]+ППД5[[#This Row],[Повышение 29.08.23 - 3%]]</f>
        <v>106109.94491999998</v>
      </c>
      <c r="AW553" s="93">
        <f>ППД5[[#This Row],[Фикс 29.08.23]]*9%</f>
        <v>9549.8950427999971</v>
      </c>
      <c r="AX553" s="93">
        <f>ППД5[[#This Row],[Фикс 29.08.23]]+ППД5[[#This Row],[Повышение 06.09.23 СТ и 1К]]</f>
        <v>115659.83996279998</v>
      </c>
      <c r="AY553" s="93"/>
      <c r="AZ553" s="93">
        <f>ППД5[[#This Row],[Повышение 23.10.23  В4 ]]+ППД5[[#This Row],[Фикс 06.09.23]]</f>
        <v>115659.83996279998</v>
      </c>
      <c r="BA553" s="93"/>
      <c r="BB553" s="93">
        <f>ППД5[[#This Row],[Повышение 8.11.23 1К 5%]]+ППД5[[#This Row],[Фикс 23.10.23]]</f>
        <v>115659.83996279998</v>
      </c>
      <c r="BC553" s="93"/>
      <c r="BD553" s="93">
        <f>ППД5[[#This Row],[Корректировка 24.11.23 - 1К В5, 2К А2, №233]]+ППД5[[#This Row],[Фикс 8.11.23]]</f>
        <v>115659.83996279998</v>
      </c>
      <c r="BE553" s="93">
        <f>ППД5[[#This Row],[Фикс 8.11.24]]*1%</f>
        <v>1156.5983996279997</v>
      </c>
      <c r="BF553" s="93">
        <f>ППД5[[#This Row],[Наценка за отделку 29.12.23 1%]]+ППД5[[#This Row],[Фикс 8.11.24]]</f>
        <v>116816.43836242797</v>
      </c>
      <c r="BG553" s="93">
        <f>ППД5[[#This Row],[Фикс 29.12.23]]*5%</f>
        <v>5840.821918121399</v>
      </c>
      <c r="BH553" s="93">
        <f>ППД5[[#This Row],[Фикс 29.12.23]]+ППД5[[#This Row],[Наценка 10.01.24 5%]]</f>
        <v>122657.26028054937</v>
      </c>
      <c r="BI553" s="93"/>
      <c r="BJ553" s="93">
        <f>ППД5[[#This Row],[Наценка 26.02.24 1 Этаж]]+ППД5[[#This Row],[Фикс 10.01.24]]</f>
        <v>122657.26028054937</v>
      </c>
      <c r="BK553" s="93">
        <f>ППД5[[#This Row],[Фикс 26.02.24]]*3%</f>
        <v>3679.7178084164807</v>
      </c>
      <c r="BL553" s="93">
        <f>ППД5[[#This Row],[Фикс 26.02.24]]+ППД5[[#This Row],[Наценка 06.03.24
СТ, 1К - 3%
2К, 3К - 2%]]</f>
        <v>126336.97808896584</v>
      </c>
      <c r="BM553" s="93"/>
      <c r="BN553" s="93">
        <f>ППД5[[#This Row],[Фикс 06.03.24]]+ППД5[[#This Row],[Наценка Г2+500]]</f>
        <v>126336.97808896584</v>
      </c>
      <c r="BO553" s="93"/>
      <c r="BP553" s="93">
        <f>ППД5[[#This Row],[Фикс 13.03.25]]+ППД5[[#This Row],[Наценка 20.03.24
2К, 3К - 2%]]</f>
        <v>126336.97808896584</v>
      </c>
      <c r="BQ553" s="93"/>
      <c r="BR553" s="93">
        <f>ППД5[[#This Row],[Фикс 20.03.24]]+ППД5[[#This Row],[Наценка 08.04.24 
2К: В3 - 150
3К: Г7 +1000]]</f>
        <v>126336.97808896584</v>
      </c>
      <c r="BS553" s="93">
        <f>ППД5[[#This Row],[Фикс 08.04.24]]*1%</f>
        <v>1263.3697808896584</v>
      </c>
      <c r="BT553" s="93">
        <f>ППД5[[#This Row],[Фикс 08.04.24]]+ППД5[[#This Row],[Наценка 16.05.24 1%
А4,А6,Б3,Б6,Б7,В2,В3,В5,В6,Г1,Г3-Г5]]</f>
        <v>127600.3478698555</v>
      </c>
      <c r="BU553" s="93"/>
      <c r="BV553" s="93">
        <f>ППД5[[#This Row],[Фикс 16.05.24]]+ППД5[[#This Row],[Наценка 24.05.24
1% - Б4, Б5,Г2,Г6
2% - А1,А3,А5,Б2,Г7]]</f>
        <v>127600.3478698555</v>
      </c>
      <c r="BW553" s="93">
        <f>ППД5[[#This Row],[Фикс 24.05.24]]*0.5%</f>
        <v>638.0017393492775</v>
      </c>
      <c r="BX553" s="93">
        <f>ППД5[[#This Row],[Наценка 06.06.24
0К: В2,Г3 +0,5%
1К: А7, Б5/4, Г6 +0,5%
3К: В6 +0,5%
1К: А3 +1%]]+ППД5[[#This Row],[Фикс 24.05.24]]</f>
        <v>128238.34960920477</v>
      </c>
      <c r="BY553" s="93"/>
      <c r="BZ553" s="93">
        <f>ППД5[[#This Row],[Фикс 06.06.24]]+ППД5[[#This Row],[13.06.2024
3К - 2%]]</f>
        <v>128238.34960920477</v>
      </c>
      <c r="CA553" s="93">
        <f>2.5%*ППД5[[#This Row],[Фикс 13.06.24]]</f>
        <v>3205.9587402301195</v>
      </c>
      <c r="CB553" s="93">
        <f>ППД5[[#This Row],[02.07.2024: Г3 А1 А3 Б5 Б7 Г2 Г6 Б3 Б4 В3 Г7 2,5% ост 0,5-1,5%]]+ППД5[[#This Row],[Фикс 13.06.24]]</f>
        <v>131444.3083494349</v>
      </c>
      <c r="CC553" s="93"/>
      <c r="CD553" s="93">
        <f>ППД5[[#This Row],[Фикс 02.07.24]]+ППД5[[#This Row],[04.09.2024 +500
0К - Б2; 1К - А3;
2К - А6, Б4, В3, Г5]]</f>
        <v>131444.3083494349</v>
      </c>
      <c r="CE553" s="93"/>
      <c r="CF553" s="93">
        <f>ППД5[[#This Row],[Наценка 16.09.2024
1К: А1,В7,Г6/7,Г8 - 2%
2К: А4,А5,А6,Б1,Б6,Б3/4,В3,В4,Г4,Г5 - 4%
3К: 4%]]+ППД5[[#This Row],[Фикс 04.09.24]]</f>
        <v>131444.3083494349</v>
      </c>
      <c r="CG553" s="93">
        <f>ППД5[[#This Row],[Фикс 16.09.2024]]*4%</f>
        <v>5257.7723339773956</v>
      </c>
      <c r="CH553" s="93">
        <f>ППД5[[#This Row],[Фикс 16.09.2024]]+ППД5[[#This Row],[Наценка 01.11.24
СТ: 4%
1К: 34-40м 5%; 40м+ 8%; МГН 1%
2К: 55-70м 6%; 70-73м 7%; 73-76м 8% 
3К: 5%]]</f>
        <v>136702.08068341229</v>
      </c>
      <c r="CI553" s="93">
        <f>ППД5[[#This Row],[Фикс 01.11.24]]*13%</f>
        <v>17771.270488843598</v>
      </c>
      <c r="CJ553" s="93">
        <f>ППД5[[#This Row],[Наценка 06.11 13%]]+ППД5[[#This Row],[Фикс 01.11.24]]</f>
        <v>154473.35117225588</v>
      </c>
      <c r="CK553" s="93">
        <v>35</v>
      </c>
      <c r="CL553" s="93">
        <f>ППД5[[#This Row],[Фикс 06.11.24]]+ППД5[[#This Row],[Наценка 18.12.24 распределение КВ]]</f>
        <v>154508.35117225588</v>
      </c>
      <c r="CM553" s="93"/>
      <c r="CN553" s="93">
        <f>ППД5[[#This Row],[Фикс 18.12.24]]+ППД5[[#This Row],[Наценка 10.02.25 +1%
1К: А3
2К: Б3, В3]]</f>
        <v>154508.35117225588</v>
      </c>
      <c r="CO553" s="93">
        <f>ROUND(ППД5[[#This Row],[Фикс 10.02.25]],2)</f>
        <v>154508.35</v>
      </c>
      <c r="CP55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3785500</v>
      </c>
      <c r="CQ553" s="93">
        <f>ROUNDUP(ППД5[[#This Row],[Стоимость до скидки]]+ППД5[[#This Row],[Сумма доплаты]],-2)</f>
        <v>3746900</v>
      </c>
      <c r="CR553" s="68"/>
      <c r="CS553" s="90"/>
      <c r="CT553" s="68">
        <f>ППД5[[#This Row],[Стоимость до скидки]]*ППД5[[#This Row],[Скидка %]]+ППД5[[#This Row],[Скидка фиксированная]]</f>
        <v>0</v>
      </c>
      <c r="CU553" s="3">
        <f>ППД5[[#This Row],[Стоимость ОН без отделки со скидкой]]/ППД5[[#This Row],[Расчетная проектная площадь]]</f>
        <v>154510.20408163266</v>
      </c>
      <c r="CV553" s="3">
        <f>ROUND(ППД5[[#This Row],[Стоимость до скидки]]-ППД5[[#This Row],[Итоговая сумма скидки]],2)</f>
        <v>3785500</v>
      </c>
      <c r="CW55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53" s="197"/>
      <c r="CY553" s="332">
        <f>ППД5[[#This Row],[Расхождение]]/ППД5[[#This Row],[Расчетная проектная площадь]]</f>
        <v>-1.0204081632653206E-2</v>
      </c>
      <c r="CZ55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-0.23999999999999932</v>
      </c>
      <c r="DA553" s="3">
        <f>ППД5[[#This Row],[Цена м2 без отделки со скидкой]]+ППД5[[#This Row],[Стоимость отделки]]</f>
        <v>154510.20408163266</v>
      </c>
      <c r="DB553" s="3">
        <f>ППД5[[#This Row],[Стоимость квартиры с отделкой]]-ППД5[[#This Row],[Стоимость ОН без отделки со скидкой]]</f>
        <v>0</v>
      </c>
      <c r="DC553" s="3">
        <f>ППД5[[#This Row],[Цена м2 с отделкой]]*ППД5[[#This Row],[Расчетная проектная площадь]]</f>
        <v>3785500</v>
      </c>
      <c r="DD553" s="47"/>
      <c r="DF553" s="155" t="s">
        <v>157</v>
      </c>
      <c r="DG553" s="245" t="s">
        <v>157</v>
      </c>
      <c r="DH553" s="100" t="b">
        <f>EXACT(ППД5[[#This Row],[Статусы CRM]],ППД5[[#This Row],[Статус]])</f>
        <v>1</v>
      </c>
      <c r="DI553" s="213" t="s">
        <v>725</v>
      </c>
      <c r="DJ553" s="204"/>
      <c r="DK553" s="111" t="s">
        <v>763</v>
      </c>
      <c r="DL553" s="216" t="s">
        <v>12</v>
      </c>
      <c r="DM553" s="201" t="b">
        <f>ППД5[[#This Row],[Отделка CRM]]=ППД5[[#This Row],[Отделка]]</f>
        <v>1</v>
      </c>
      <c r="DN553" s="203">
        <v>3785500</v>
      </c>
      <c r="DO55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53" s="207" t="b">
        <f>IF(AND(ППД5[[#This Row],[Статус]]="свободно",ППД5[[#This Row],[Итоговая сумма скидки]]&lt;&gt;0),FALSE,TRUE)</f>
        <v>1</v>
      </c>
      <c r="DQ553" s="240" t="str">
        <f>_xlfn.XLOOKUP(ППД5[[#This Row],[№]],Юрист[№ кв],Юрист[Дата подачи на регистрацию]," ",0,-1)</f>
        <v xml:space="preserve"> </v>
      </c>
      <c r="DR553" s="115" t="str">
        <f>_xlfn.XLOOKUP(ППД5[[#This Row],[№]],Юрист[№ кв],Юрист[МОП],"",0,-1)</f>
        <v/>
      </c>
      <c r="DS553" s="333" t="s">
        <v>3398</v>
      </c>
      <c r="DT553" s="333" t="s">
        <v>3399</v>
      </c>
      <c r="DU553" s="333">
        <v>22.8</v>
      </c>
      <c r="DV553" s="111"/>
    </row>
    <row r="554" spans="1:126" hidden="1" x14ac:dyDescent="0.25">
      <c r="A554" s="112">
        <v>552</v>
      </c>
      <c r="B554" s="111" t="s">
        <v>2</v>
      </c>
      <c r="C554" s="111">
        <v>21</v>
      </c>
      <c r="D554" s="115">
        <v>4</v>
      </c>
      <c r="E554" s="111">
        <v>2</v>
      </c>
      <c r="F554" s="105">
        <v>14.48</v>
      </c>
      <c r="G554" s="105">
        <v>11.42</v>
      </c>
      <c r="H554" s="105"/>
      <c r="I554" s="94">
        <f>SUM(ППД5[[#This Row],[Комната 1]:[Комната 3]])</f>
        <v>25.9</v>
      </c>
      <c r="J554" s="105">
        <v>15.86</v>
      </c>
      <c r="K554" s="105">
        <v>3.01</v>
      </c>
      <c r="L554" s="105">
        <v>2.67</v>
      </c>
      <c r="M554" s="105"/>
      <c r="N554" s="105">
        <v>9.44</v>
      </c>
      <c r="O554" s="105">
        <v>2.72</v>
      </c>
      <c r="P554" s="105"/>
      <c r="Q554" s="105"/>
      <c r="R554" s="105">
        <f>SUM(ППД5[[#This Row],[Лоджия 1]:[Лоджия 3]])</f>
        <v>2.72</v>
      </c>
      <c r="S554" s="8">
        <f>ROUND(SUM(ППД5[[#This Row],[Площадь по проекту жилая]:[Лоджия 3]]),2)</f>
        <v>59.6</v>
      </c>
      <c r="T554" s="8">
        <f>ROUND(ППД5[[#This Row],[Площадь по проекту(общая)]]-ППД5[[#This Row],[Летние]],2)</f>
        <v>56.88</v>
      </c>
      <c r="U554" s="91">
        <f>ROUND(ППД5[[#This Row],[Площадь по проекту(общая)]]-(SUM(ППД5[[#This Row],[Лоджия 1]:[Лоджия 3]])/2),2)</f>
        <v>58.24</v>
      </c>
      <c r="V554" s="91">
        <f>IF(ППД5[[#This Row],[Статус]]="продажа",ППД5[[#This Row],[Расчетная проектная площадь]],ППД5[[#This Row],[Расчетная ТП площадь]])</f>
        <v>57.95</v>
      </c>
      <c r="W554" s="91">
        <v>14.4</v>
      </c>
      <c r="X554" s="91">
        <v>11.4</v>
      </c>
      <c r="Y554" s="91"/>
      <c r="Z554" s="91">
        <f>SUM(ППД5[[#This Row],[ТП Комната 1]:[ТП Комната 3]])</f>
        <v>25.8</v>
      </c>
      <c r="AA554" s="91">
        <v>15.7</v>
      </c>
      <c r="AB554" s="91">
        <v>2.7</v>
      </c>
      <c r="AC554" s="91">
        <v>3</v>
      </c>
      <c r="AD554" s="91"/>
      <c r="AE554" s="91">
        <v>9.4</v>
      </c>
      <c r="AF554" s="91">
        <v>1.35</v>
      </c>
      <c r="AG554" s="91"/>
      <c r="AH554" s="91"/>
      <c r="AI554" s="91">
        <f>SUM(ППД5[[#This Row],[ТП Лоджия 1]:[ТП Лоджия 3]])</f>
        <v>1.35</v>
      </c>
      <c r="AJ554" s="95">
        <v>2.7</v>
      </c>
      <c r="AK554" s="91">
        <f>SUM(ППД5[[#This Row],[Площадь по ТП жилая]:[ТП Лоджия 3]])-ППД5[[#This Row],[ТП Летние]]+ППД5[[#This Row],[кроме того прочая
(без коэффициента)]]</f>
        <v>59.300000000000004</v>
      </c>
      <c r="AL554" s="95">
        <f>ППД5[[#This Row],[ТП Площадь без летних]]+(ППД5[[#This Row],[ТП Летние]])</f>
        <v>57.95</v>
      </c>
      <c r="AM554" s="91">
        <f>ППД5[[#This Row],[ТП общая S]]-ППД5[[#This Row],[кроме того прочая
(без коэффициента)]]</f>
        <v>56.6</v>
      </c>
      <c r="AN554" s="95">
        <f>SUM(ППД5[[#This Row],[ТП Кухня]:[ТП Коридор]])</f>
        <v>30.799999999999997</v>
      </c>
      <c r="AO554" s="91">
        <f>ППД5[[#This Row],[Расчетная ТП площадь]]-ППД5[[#This Row],[Расчетная проектная площадь]]</f>
        <v>-0.28999999999999915</v>
      </c>
      <c r="AP554" s="335">
        <f>ППД5[[#This Row],[Расчетная ТП площадь]]/ППД5[[#This Row],[Расчетная проектная площадь]]-1</f>
        <v>-4.9793956043956422E-3</v>
      </c>
      <c r="AQ554" s="91">
        <f>ППД5[[#This Row],[% расхождения]]*ППД5[[#This Row],[Стоимость до скидки]]</f>
        <v>-37888.719093406879</v>
      </c>
      <c r="AR554" s="91">
        <f>VLOOKUP(ППД5[[#This Row],[№]],наценкад5[],COLUMN(наценкад5[[#This Row],[Цена м2 с учетом всех K]]),0)</f>
        <v>85713.201000000001</v>
      </c>
      <c r="AS554" s="8">
        <f>ППД5[[#This Row],[м2 после К]]*5%</f>
        <v>4285.6600500000004</v>
      </c>
      <c r="AT554" s="8">
        <f>ППД5[[#This Row],[м2 после К]]+ППД5[[#This Row],[Повышение 16.08.23 - 5%]]</f>
        <v>89998.861050000007</v>
      </c>
      <c r="AU554" s="93">
        <f>ППД5[[#This Row],[Фикс 16.08.23]]*3%</f>
        <v>2699.9658315000001</v>
      </c>
      <c r="AV554" s="93">
        <f>ППД5[[#This Row],[Фикс 16.08.23]]+ППД5[[#This Row],[Повышение 29.08.23 - 3%]]</f>
        <v>92698.826881500005</v>
      </c>
      <c r="AW554" s="93"/>
      <c r="AX554" s="93">
        <f>ППД5[[#This Row],[Фикс 29.08.23]]+ППД5[[#This Row],[Повышение 06.09.23 СТ и 1К]]</f>
        <v>92698.826881500005</v>
      </c>
      <c r="AY554" s="93"/>
      <c r="AZ554" s="93">
        <f>ППД5[[#This Row],[Повышение 23.10.23  В4 ]]+ППД5[[#This Row],[Фикс 06.09.23]]</f>
        <v>92698.826881500005</v>
      </c>
      <c r="BA554" s="93"/>
      <c r="BB554" s="93">
        <f>ППД5[[#This Row],[Повышение 8.11.23 1К 5%]]+ППД5[[#This Row],[Фикс 23.10.23]]</f>
        <v>92698.826881500005</v>
      </c>
      <c r="BC554" s="93"/>
      <c r="BD554" s="93">
        <f>ППД5[[#This Row],[Корректировка 24.11.23 - 1К В5, 2К А2, №233]]+ППД5[[#This Row],[Фикс 8.11.23]]</f>
        <v>92698.826881500005</v>
      </c>
      <c r="BE554" s="93">
        <f>ППД5[[#This Row],[Фикс 8.11.24]]*1%</f>
        <v>926.98826881500008</v>
      </c>
      <c r="BF554" s="93">
        <f>ППД5[[#This Row],[Наценка за отделку 29.12.23 1%]]+ППД5[[#This Row],[Фикс 8.11.24]]</f>
        <v>93625.815150315</v>
      </c>
      <c r="BG554" s="93">
        <f>ППД5[[#This Row],[Фикс 29.12.23]]*5%</f>
        <v>4681.2907575157506</v>
      </c>
      <c r="BH554" s="93">
        <f>ППД5[[#This Row],[Фикс 29.12.23]]+ППД5[[#This Row],[Наценка 10.01.24 5%]]</f>
        <v>98307.105907830744</v>
      </c>
      <c r="BI554" s="93"/>
      <c r="BJ554" s="93">
        <f>ППД5[[#This Row],[Наценка 26.02.24 1 Этаж]]+ППД5[[#This Row],[Фикс 10.01.24]]</f>
        <v>98307.105907830744</v>
      </c>
      <c r="BK554" s="93">
        <f>ППД5[[#This Row],[Фикс 26.02.24]]*2%</f>
        <v>1966.142118156615</v>
      </c>
      <c r="BL554" s="93">
        <f>ППД5[[#This Row],[Фикс 26.02.24]]+ППД5[[#This Row],[Наценка 06.03.24
СТ, 1К - 3%
2К, 3К - 2%]]</f>
        <v>100273.24802598736</v>
      </c>
      <c r="BM554" s="93"/>
      <c r="BN554" s="93">
        <f>ППД5[[#This Row],[Фикс 06.03.24]]+ППД5[[#This Row],[Наценка Г2+500]]</f>
        <v>100273.24802598736</v>
      </c>
      <c r="BO554" s="93">
        <f>ППД5[[#This Row],[Фикс 13.03.25]]*2%</f>
        <v>2005.4649605197471</v>
      </c>
      <c r="BP554" s="93">
        <f>ППД5[[#This Row],[Фикс 13.03.25]]+ППД5[[#This Row],[Наценка 20.03.24
2К, 3К - 2%]]</f>
        <v>102278.7129865071</v>
      </c>
      <c r="BQ554" s="93"/>
      <c r="BR554" s="93">
        <f>ППД5[[#This Row],[Фикс 20.03.24]]+ППД5[[#This Row],[Наценка 08.04.24 
2К: В3 - 150
3К: Г7 +1000]]</f>
        <v>102278.7129865071</v>
      </c>
      <c r="BS554" s="93">
        <f>ППД5[[#This Row],[Фикс 08.04.24]]*1%</f>
        <v>1022.7871298650711</v>
      </c>
      <c r="BT554" s="93">
        <f>ППД5[[#This Row],[Фикс 08.04.24]]+ППД5[[#This Row],[Наценка 16.05.24 1%
А4,А6,Б3,Б6,Б7,В2,В3,В5,В6,Г1,Г3-Г5]]</f>
        <v>103301.50011637218</v>
      </c>
      <c r="BU554" s="93"/>
      <c r="BV554" s="93">
        <f>ППД5[[#This Row],[Фикс 16.05.24]]+ППД5[[#This Row],[Наценка 24.05.24
1% - Б4, Б5,Г2,Г6
2% - А1,А3,А5,Б2,Г7]]</f>
        <v>103301.50011637218</v>
      </c>
      <c r="BW554" s="93"/>
      <c r="BX554" s="93">
        <f>ППД5[[#This Row],[Наценка 06.06.24
0К: В2,Г3 +0,5%
1К: А7, Б5/4, Г6 +0,5%
3К: В6 +0,5%
1К: А3 +1%]]+ППД5[[#This Row],[Фикс 24.05.24]]</f>
        <v>103301.50011637218</v>
      </c>
      <c r="BY554" s="93"/>
      <c r="BZ554" s="93">
        <f>ППД5[[#This Row],[Фикс 06.06.24]]+ППД5[[#This Row],[13.06.2024
3К - 2%]]</f>
        <v>103301.50011637218</v>
      </c>
      <c r="CA554" s="47">
        <f>1.5%*ППД5[[#This Row],[Фикс 13.06.24]]</f>
        <v>1549.5225017455825</v>
      </c>
      <c r="CB554" s="93">
        <f>ППД5[[#This Row],[02.07.2024: Г3 А1 А3 Б5 Б7 Г2 Г6 Б3 Б4 В3 Г7 2,5% ост 0,5-1,5%]]+ППД5[[#This Row],[Фикс 13.06.24]]</f>
        <v>104851.02261811776</v>
      </c>
      <c r="CC554" s="93"/>
      <c r="CD554" s="93">
        <f>ППД5[[#This Row],[Фикс 02.07.24]]+ППД5[[#This Row],[04.09.2024 +500
0К - Б2; 1К - А3;
2К - А6, Б4, В3, Г5]]</f>
        <v>104851.02261811776</v>
      </c>
      <c r="CE554" s="93">
        <f>ППД5[[#This Row],[Фикс 04.09.24]]*4%</f>
        <v>4194.0409047247103</v>
      </c>
      <c r="CF554" s="93">
        <f>ППД5[[#This Row],[Наценка 16.09.2024
1К: А1,В7,Г6/7,Г8 - 2%
2К: А4,А5,А6,Б1,Б6,Б3/4,В3,В4,Г4,Г5 - 4%
3К: 4%]]+ППД5[[#This Row],[Фикс 04.09.24]]</f>
        <v>109045.06352284247</v>
      </c>
      <c r="CG554" s="93">
        <f>ППД5[[#This Row],[Фикс 16.09.2024]]*6%</f>
        <v>6542.7038113705476</v>
      </c>
      <c r="CH554" s="93">
        <f>ППД5[[#This Row],[Фикс 16.09.2024]]+ППД5[[#This Row],[Наценка 01.11.24
СТ: 4%
1К: 34-40м 5%; 40м+ 8%; МГН 1%
2К: 55-70м 6%; 70-73м 7%; 73-76м 8% 
3К: 5%]]</f>
        <v>115587.76733421301</v>
      </c>
      <c r="CI554" s="93">
        <f>ППД5[[#This Row],[Фикс 01.11.24]]*13%</f>
        <v>15026.409753447693</v>
      </c>
      <c r="CJ554" s="93">
        <f>ППД5[[#This Row],[Наценка 06.11 13%]]+ППД5[[#This Row],[Фикс 01.11.24]]</f>
        <v>130614.1770876607</v>
      </c>
      <c r="CK554" s="93">
        <v>35</v>
      </c>
      <c r="CL554" s="93">
        <f>ППД5[[#This Row],[Фикс 06.11.24]]+ППД5[[#This Row],[Наценка 18.12.24 распределение КВ]]</f>
        <v>130649.1770876607</v>
      </c>
      <c r="CM554" s="93"/>
      <c r="CN554" s="93">
        <f>ППД5[[#This Row],[Фикс 18.12.24]]+ППД5[[#This Row],[Наценка 10.02.25 +1%
1К: А3
2К: Б3, В3]]</f>
        <v>130649.1770876607</v>
      </c>
      <c r="CO554" s="93">
        <f>ROUND(ППД5[[#This Row],[Фикс 10.02.25]],2)</f>
        <v>130649.18</v>
      </c>
      <c r="CP55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7609100</v>
      </c>
      <c r="CQ554" s="93">
        <f>ROUNDUP(ППД5[[#This Row],[Стоимость до скидки]]+ППД5[[#This Row],[Сумма доплаты]],-2)</f>
        <v>7571300</v>
      </c>
      <c r="CR554" s="68"/>
      <c r="CS554" s="90"/>
      <c r="CT554" s="68">
        <f>ППД5[[#This Row],[Стоимость до скидки]]*ППД5[[#This Row],[Скидка %]]+ППД5[[#This Row],[Скидка фиксированная]]</f>
        <v>0</v>
      </c>
      <c r="CU554" s="3">
        <f>ППД5[[#This Row],[Стоимость ОН без отделки со скидкой]]/ППД5[[#This Row],[Расчетная проектная площадь]]</f>
        <v>130650.75549450549</v>
      </c>
      <c r="CV554" s="3">
        <f>ROUND(ППД5[[#This Row],[Стоимость до скидки]]-ППД5[[#This Row],[Итоговая сумма скидки]],2)</f>
        <v>7609100</v>
      </c>
      <c r="CW55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554" s="218">
        <v>10000</v>
      </c>
      <c r="CY554" s="332">
        <f>ППД5[[#This Row],[Расхождение]]/ППД5[[#This Row],[Расчетная проектная площадь]]</f>
        <v>-4.9793956043955893E-3</v>
      </c>
      <c r="CZ554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-0.18000000000000149</v>
      </c>
      <c r="DA554" s="3">
        <f>ППД5[[#This Row],[Цена м2 без отделки со скидкой]]+ППД5[[#This Row],[Стоимость отделки]]</f>
        <v>140650.75549450549</v>
      </c>
      <c r="DB554" s="3">
        <f>ППД5[[#This Row],[Стоимость квартиры с отделкой]]-ППД5[[#This Row],[Стоимость ОН без отделки со скидкой]]</f>
        <v>582400</v>
      </c>
      <c r="DC554" s="3">
        <f>ППД5[[#This Row],[Цена м2 с отделкой]]*ППД5[[#This Row],[Расчетная проектная площадь]]</f>
        <v>8191500</v>
      </c>
      <c r="DD554" s="47"/>
      <c r="DF554" s="155" t="s">
        <v>157</v>
      </c>
      <c r="DG554" s="221" t="s">
        <v>157</v>
      </c>
      <c r="DH554" s="100" t="b">
        <f>EXACT(ППД5[[#This Row],[Статусы CRM]],ППД5[[#This Row],[Статус]])</f>
        <v>1</v>
      </c>
      <c r="DI554" s="213" t="s">
        <v>726</v>
      </c>
      <c r="DJ554" s="204"/>
      <c r="DK554" s="111" t="s">
        <v>763</v>
      </c>
      <c r="DL554" s="216" t="s">
        <v>780</v>
      </c>
      <c r="DM554" s="201" t="b">
        <f>ППД5[[#This Row],[Отделка CRM]]=ППД5[[#This Row],[Отделка]]</f>
        <v>1</v>
      </c>
      <c r="DN554" s="203">
        <v>8191500</v>
      </c>
      <c r="DO55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54" s="207" t="b">
        <f>IF(AND(ППД5[[#This Row],[Статус]]="свободно",ППД5[[#This Row],[Итоговая сумма скидки]]&lt;&gt;0),FALSE,TRUE)</f>
        <v>1</v>
      </c>
      <c r="DQ554" s="240" t="str">
        <f>_xlfn.XLOOKUP(ППД5[[#This Row],[№]],Юрист[№ кв],Юрист[Дата подачи на регистрацию]," ",0,-1)</f>
        <v xml:space="preserve"> </v>
      </c>
      <c r="DR554" s="115" t="str">
        <f>_xlfn.XLOOKUP(ППД5[[#This Row],[№]],Юрист[№ кв],Юрист[МОП],"",0,-1)</f>
        <v/>
      </c>
      <c r="DS554" s="333" t="s">
        <v>3400</v>
      </c>
      <c r="DT554" s="333" t="s">
        <v>3401</v>
      </c>
      <c r="DU554" s="333">
        <v>56.6</v>
      </c>
      <c r="DV554" s="111"/>
    </row>
    <row r="555" spans="1:126" hidden="1" x14ac:dyDescent="0.25">
      <c r="A555" s="112">
        <v>553</v>
      </c>
      <c r="B555" s="111" t="s">
        <v>2</v>
      </c>
      <c r="C555" s="111">
        <v>21</v>
      </c>
      <c r="D555" s="115">
        <v>5</v>
      </c>
      <c r="E555" s="111">
        <v>2</v>
      </c>
      <c r="F555" s="105">
        <v>15.41</v>
      </c>
      <c r="G555" s="105">
        <v>12.78</v>
      </c>
      <c r="H555" s="105"/>
      <c r="I555" s="94">
        <f>SUM(ППД5[[#This Row],[Комната 1]:[Комната 3]])</f>
        <v>28.189999999999998</v>
      </c>
      <c r="J555" s="105">
        <v>13.45</v>
      </c>
      <c r="K555" s="105">
        <v>3.7</v>
      </c>
      <c r="L555" s="105">
        <v>2.72</v>
      </c>
      <c r="M555" s="105"/>
      <c r="N555" s="105">
        <v>8.2200000000000006</v>
      </c>
      <c r="O555" s="105">
        <v>3.03</v>
      </c>
      <c r="P555" s="105"/>
      <c r="Q555" s="105"/>
      <c r="R555" s="105">
        <f>SUM(ППД5[[#This Row],[Лоджия 1]:[Лоджия 3]])</f>
        <v>3.03</v>
      </c>
      <c r="S555" s="8">
        <f>ROUND(SUM(ППД5[[#This Row],[Площадь по проекту жилая]:[Лоджия 3]]),2)</f>
        <v>59.31</v>
      </c>
      <c r="T555" s="8">
        <f>ROUND(ППД5[[#This Row],[Площадь по проекту(общая)]]-ППД5[[#This Row],[Летние]],2)</f>
        <v>56.28</v>
      </c>
      <c r="U555" s="91">
        <f>ROUND(ППД5[[#This Row],[Площадь по проекту(общая)]]-(SUM(ППД5[[#This Row],[Лоджия 1]:[Лоджия 3]])/2),2)</f>
        <v>57.8</v>
      </c>
      <c r="V555" s="91">
        <f>IF(ППД5[[#This Row],[Статус]]="продажа",ППД5[[#This Row],[Расчетная проектная площадь]],ППД5[[#This Row],[Расчетная ТП площадь]])</f>
        <v>57.35</v>
      </c>
      <c r="W555" s="91">
        <v>12.5</v>
      </c>
      <c r="X555" s="91">
        <v>15.4</v>
      </c>
      <c r="Y555" s="91"/>
      <c r="Z555" s="91">
        <f>SUM(ППД5[[#This Row],[ТП Комната 1]:[ТП Комната 3]])</f>
        <v>27.9</v>
      </c>
      <c r="AA555" s="91">
        <v>13.5</v>
      </c>
      <c r="AB555" s="91">
        <v>2.7</v>
      </c>
      <c r="AC555" s="91">
        <v>3.6</v>
      </c>
      <c r="AD555" s="91"/>
      <c r="AE555" s="91">
        <v>8.1</v>
      </c>
      <c r="AF555" s="91">
        <v>1.55</v>
      </c>
      <c r="AG555" s="91"/>
      <c r="AH555" s="91"/>
      <c r="AI555" s="91">
        <f>SUM(ППД5[[#This Row],[ТП Лоджия 1]:[ТП Лоджия 3]])</f>
        <v>1.55</v>
      </c>
      <c r="AJ555" s="95">
        <v>3.1</v>
      </c>
      <c r="AK555" s="91">
        <f>SUM(ППД5[[#This Row],[Площадь по ТП жилая]:[ТП Лоджия 3]])-ППД5[[#This Row],[ТП Летние]]+ППД5[[#This Row],[кроме того прочая
(без коэффициента)]]</f>
        <v>58.900000000000006</v>
      </c>
      <c r="AL555" s="95">
        <f>ППД5[[#This Row],[ТП Площадь без летних]]+(ППД5[[#This Row],[ТП Летние]])</f>
        <v>57.35</v>
      </c>
      <c r="AM555" s="91">
        <f>ППД5[[#This Row],[ТП общая S]]-ППД5[[#This Row],[кроме того прочая
(без коэффициента)]]</f>
        <v>55.800000000000004</v>
      </c>
      <c r="AN555" s="95">
        <f>SUM(ППД5[[#This Row],[ТП Кухня]:[ТП Коридор]])</f>
        <v>27.9</v>
      </c>
      <c r="AO555" s="91">
        <f>ППД5[[#This Row],[Расчетная ТП площадь]]-ППД5[[#This Row],[Расчетная проектная площадь]]</f>
        <v>-0.44999999999999574</v>
      </c>
      <c r="AP555" s="335">
        <f>ППД5[[#This Row],[Расчетная ТП площадь]]/ППД5[[#This Row],[Расчетная проектная площадь]]-1</f>
        <v>-7.7854671280276344E-3</v>
      </c>
      <c r="AQ555" s="91">
        <f>ППД5[[#This Row],[% расхождения]]*ППД5[[#This Row],[Стоимость до скидки]]</f>
        <v>-58808.304498269543</v>
      </c>
      <c r="AR555" s="91">
        <f>VLOOKUP(ППД5[[#This Row],[№]],наценкад5[],COLUMN(наценкад5[[#This Row],[Цена м2 с учетом всех K]]),0)</f>
        <v>85327.105500000005</v>
      </c>
      <c r="AS555" s="8">
        <f>ППД5[[#This Row],[м2 после К]]*5%</f>
        <v>4266.3552750000008</v>
      </c>
      <c r="AT555" s="8">
        <f>ППД5[[#This Row],[м2 после К]]+ППД5[[#This Row],[Повышение 16.08.23 - 5%]]</f>
        <v>89593.460775</v>
      </c>
      <c r="AU555" s="93">
        <f>ППД5[[#This Row],[Фикс 16.08.23]]*3%</f>
        <v>2687.8038232499998</v>
      </c>
      <c r="AV555" s="93">
        <f>ППД5[[#This Row],[Фикс 16.08.23]]+ППД5[[#This Row],[Повышение 29.08.23 - 3%]]</f>
        <v>92281.264598249996</v>
      </c>
      <c r="AW555" s="93"/>
      <c r="AX555" s="93">
        <f>ППД5[[#This Row],[Фикс 29.08.23]]+ППД5[[#This Row],[Повышение 06.09.23 СТ и 1К]]</f>
        <v>92281.264598249996</v>
      </c>
      <c r="AY555" s="93"/>
      <c r="AZ555" s="93">
        <f>ППД5[[#This Row],[Повышение 23.10.23  В4 ]]+ППД5[[#This Row],[Фикс 06.09.23]]</f>
        <v>92281.264598249996</v>
      </c>
      <c r="BA555" s="93"/>
      <c r="BB555" s="93">
        <f>ППД5[[#This Row],[Повышение 8.11.23 1К 5%]]+ППД5[[#This Row],[Фикс 23.10.23]]</f>
        <v>92281.264598249996</v>
      </c>
      <c r="BC555" s="93"/>
      <c r="BD555" s="93">
        <f>ППД5[[#This Row],[Корректировка 24.11.23 - 1К В5, 2К А2, №233]]+ППД5[[#This Row],[Фикс 8.11.23]]</f>
        <v>92281.264598249996</v>
      </c>
      <c r="BE555" s="93">
        <f>ППД5[[#This Row],[Фикс 8.11.24]]*1%</f>
        <v>922.81264598249993</v>
      </c>
      <c r="BF555" s="93">
        <f>ППД5[[#This Row],[Наценка за отделку 29.12.23 1%]]+ППД5[[#This Row],[Фикс 8.11.24]]</f>
        <v>93204.077244232496</v>
      </c>
      <c r="BG555" s="93">
        <f>ППД5[[#This Row],[Фикс 29.12.23]]*5%</f>
        <v>4660.2038622116252</v>
      </c>
      <c r="BH555" s="93">
        <f>ППД5[[#This Row],[Фикс 29.12.23]]+ППД5[[#This Row],[Наценка 10.01.24 5%]]</f>
        <v>97864.281106444119</v>
      </c>
      <c r="BI555" s="93"/>
      <c r="BJ555" s="93">
        <f>ППД5[[#This Row],[Наценка 26.02.24 1 Этаж]]+ППД5[[#This Row],[Фикс 10.01.24]]</f>
        <v>97864.281106444119</v>
      </c>
      <c r="BK555" s="93">
        <f>ППД5[[#This Row],[Фикс 26.02.24]]*2%</f>
        <v>1957.2856221288823</v>
      </c>
      <c r="BL555" s="93">
        <f>ППД5[[#This Row],[Фикс 26.02.24]]+ППД5[[#This Row],[Наценка 06.03.24
СТ, 1К - 3%
2К, 3К - 2%]]</f>
        <v>99821.566728573001</v>
      </c>
      <c r="BM555" s="93"/>
      <c r="BN555" s="93">
        <f>ППД5[[#This Row],[Фикс 06.03.24]]+ППД5[[#This Row],[Наценка Г2+500]]</f>
        <v>99821.566728573001</v>
      </c>
      <c r="BO555" s="93">
        <f>ППД5[[#This Row],[Фикс 13.03.25]]*2%</f>
        <v>1996.4313345714602</v>
      </c>
      <c r="BP555" s="93">
        <f>ППД5[[#This Row],[Фикс 13.03.25]]+ППД5[[#This Row],[Наценка 20.03.24
2К, 3К - 2%]]</f>
        <v>101817.99806314446</v>
      </c>
      <c r="BQ555" s="93"/>
      <c r="BR555" s="93">
        <f>ППД5[[#This Row],[Фикс 20.03.24]]+ППД5[[#This Row],[Наценка 08.04.24 
2К: В3 - 150
3К: Г7 +1000]]</f>
        <v>101817.99806314446</v>
      </c>
      <c r="BS555" s="93">
        <f>ППД5[[#This Row],[Фикс 08.04.24]]*1%</f>
        <v>1018.1799806314447</v>
      </c>
      <c r="BT555" s="93">
        <f>ППД5[[#This Row],[Фикс 08.04.24]]+ППД5[[#This Row],[Наценка 16.05.24 1%
А4,А6,Б3,Б6,Б7,В2,В3,В5,В6,Г1,Г3-Г5]]</f>
        <v>102836.1780437759</v>
      </c>
      <c r="BU555" s="93"/>
      <c r="BV555" s="93">
        <f>ППД5[[#This Row],[Фикс 16.05.24]]+ППД5[[#This Row],[Наценка 24.05.24
1% - Б4, Б5,Г2,Г6
2% - А1,А3,А5,Б2,Г7]]</f>
        <v>102836.1780437759</v>
      </c>
      <c r="BW555" s="93"/>
      <c r="BX555" s="93">
        <f>ППД5[[#This Row],[Наценка 06.06.24
0К: В2,Г3 +0,5%
1К: А7, Б5/4, Г6 +0,5%
3К: В6 +0,5%
1К: А3 +1%]]+ППД5[[#This Row],[Фикс 24.05.24]]</f>
        <v>102836.1780437759</v>
      </c>
      <c r="BY555" s="93"/>
      <c r="BZ555" s="93">
        <f>ППД5[[#This Row],[Фикс 06.06.24]]+ППД5[[#This Row],[13.06.2024
3К - 2%]]</f>
        <v>102836.1780437759</v>
      </c>
      <c r="CA555" s="47">
        <f>1.5%*ППД5[[#This Row],[Фикс 13.06.24]]</f>
        <v>1542.5426706566384</v>
      </c>
      <c r="CB555" s="93">
        <f>ППД5[[#This Row],[02.07.2024: Г3 А1 А3 Б5 Б7 Г2 Г6 Б3 Б4 В3 Г7 2,5% ост 0,5-1,5%]]+ППД5[[#This Row],[Фикс 13.06.24]]</f>
        <v>104378.72071443254</v>
      </c>
      <c r="CC555" s="93">
        <v>500</v>
      </c>
      <c r="CD555" s="93">
        <f>ППД5[[#This Row],[Фикс 02.07.24]]+ППД5[[#This Row],[04.09.2024 +500
0К - Б2; 1К - А3;
2К - А6, Б4, В3, Г5]]</f>
        <v>104878.72071443254</v>
      </c>
      <c r="CE555" s="93">
        <f>ППД5[[#This Row],[Фикс 04.09.24]]*4%</f>
        <v>4195.1488285773012</v>
      </c>
      <c r="CF555" s="93">
        <f>ППД5[[#This Row],[Наценка 16.09.2024
1К: А1,В7,Г6/7,Г8 - 2%
2К: А4,А5,А6,Б1,Б6,Б3/4,В3,В4,Г4,Г5 - 4%
3К: 4%]]+ППД5[[#This Row],[Фикс 04.09.24]]</f>
        <v>109073.86954300985</v>
      </c>
      <c r="CG555" s="93">
        <f>ППД5[[#This Row],[Фикс 16.09.2024]]*6%</f>
        <v>6544.4321725805903</v>
      </c>
      <c r="CH555" s="93">
        <f>ППД5[[#This Row],[Фикс 16.09.2024]]+ППД5[[#This Row],[Наценка 01.11.24
СТ: 4%
1К: 34-40м 5%; 40м+ 8%; МГН 1%
2К: 55-70м 6%; 70-73м 7%; 73-76м 8% 
3К: 5%]]</f>
        <v>115618.30171559044</v>
      </c>
      <c r="CI555" s="93">
        <f>ППД5[[#This Row],[Фикс 01.11.24]]*13%</f>
        <v>15030.379223026757</v>
      </c>
      <c r="CJ555" s="93">
        <f>ППД5[[#This Row],[Наценка 06.11 13%]]+ППД5[[#This Row],[Фикс 01.11.24]]</f>
        <v>130648.6809386172</v>
      </c>
      <c r="CK555" s="93">
        <v>35</v>
      </c>
      <c r="CL555" s="93">
        <f>ППД5[[#This Row],[Фикс 06.11.24]]+ППД5[[#This Row],[Наценка 18.12.24 распределение КВ]]</f>
        <v>130683.6809386172</v>
      </c>
      <c r="CM555" s="93"/>
      <c r="CN555" s="93">
        <f>ППД5[[#This Row],[Фикс 18.12.24]]+ППД5[[#This Row],[Наценка 10.02.25 +1%
1К: А3
2К: Б3, В3]]</f>
        <v>130683.6809386172</v>
      </c>
      <c r="CO555" s="93">
        <f>ROUND(ППД5[[#This Row],[Фикс 10.02.25]],2)</f>
        <v>130683.68</v>
      </c>
      <c r="CP55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7553600</v>
      </c>
      <c r="CQ555" s="93">
        <f>ROUNDUP(ППД5[[#This Row],[Стоимость до скидки]]+ППД5[[#This Row],[Сумма доплаты]],-2)</f>
        <v>7494800</v>
      </c>
      <c r="CR555" s="68"/>
      <c r="CS555" s="90"/>
      <c r="CT555" s="68">
        <f>ППД5[[#This Row],[Стоимость до скидки]]*ППД5[[#This Row],[Скидка %]]+ППД5[[#This Row],[Скидка фиксированная]]</f>
        <v>0</v>
      </c>
      <c r="CU555" s="3">
        <f>ППД5[[#This Row],[Стоимость ОН без отделки со скидкой]]/ППД5[[#This Row],[Расчетная проектная площадь]]</f>
        <v>130685.12110726644</v>
      </c>
      <c r="CV555" s="3">
        <f>ROUND(ППД5[[#This Row],[Стоимость до скидки]]-ППД5[[#This Row],[Итоговая сумма скидки]],2)</f>
        <v>7553600</v>
      </c>
      <c r="CW55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55" s="197"/>
      <c r="CY555" s="332">
        <f>ППД5[[#This Row],[Расхождение]]/ППД5[[#This Row],[Расчетная проектная площадь]]</f>
        <v>-7.7854671280276084E-3</v>
      </c>
      <c r="CZ555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-0.18999999999999773</v>
      </c>
      <c r="DA555" s="3">
        <f>ППД5[[#This Row],[Цена м2 без отделки со скидкой]]+ППД5[[#This Row],[Стоимость отделки]]</f>
        <v>130685.12110726644</v>
      </c>
      <c r="DB555" s="3">
        <f>ППД5[[#This Row],[Стоимость квартиры с отделкой]]-ППД5[[#This Row],[Стоимость ОН без отделки со скидкой]]</f>
        <v>0</v>
      </c>
      <c r="DC555" s="3">
        <f>ППД5[[#This Row],[Цена м2 с отделкой]]*ППД5[[#This Row],[Расчетная проектная площадь]]</f>
        <v>7553600</v>
      </c>
      <c r="DD555" s="47"/>
      <c r="DF555" s="155" t="s">
        <v>15</v>
      </c>
      <c r="DG555" s="245" t="s">
        <v>15</v>
      </c>
      <c r="DH555" s="100" t="b">
        <f>EXACT(ППД5[[#This Row],[Статусы CRM]],ППД5[[#This Row],[Статус]])</f>
        <v>1</v>
      </c>
      <c r="DI555" s="213" t="s">
        <v>727</v>
      </c>
      <c r="DJ555" s="204"/>
      <c r="DK555" s="111" t="s">
        <v>763</v>
      </c>
      <c r="DL555" s="216" t="s">
        <v>12</v>
      </c>
      <c r="DM555" s="201" t="b">
        <f>ППД5[[#This Row],[Отделка CRM]]=ППД5[[#This Row],[Отделка]]</f>
        <v>1</v>
      </c>
      <c r="DN555" s="203">
        <v>7553600</v>
      </c>
      <c r="DO55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55" s="207" t="b">
        <f>IF(AND(ППД5[[#This Row],[Статус]]="свободно",ППД5[[#This Row],[Итоговая сумма скидки]]&lt;&gt;0),FALSE,TRUE)</f>
        <v>1</v>
      </c>
      <c r="DQ555" s="240" t="str">
        <f>_xlfn.XLOOKUP(ППД5[[#This Row],[№]],Юрист[№ кв],Юрист[Дата подачи на регистрацию]," ",0,-1)</f>
        <v xml:space="preserve"> </v>
      </c>
      <c r="DR555" s="115" t="str">
        <f>_xlfn.XLOOKUP(ППД5[[#This Row],[№]],Юрист[№ кв],Юрист[МОП],"",0,-1)</f>
        <v/>
      </c>
      <c r="DS555" s="333" t="s">
        <v>3402</v>
      </c>
      <c r="DT555" s="333" t="s">
        <v>3403</v>
      </c>
      <c r="DU555" s="333">
        <v>55.8</v>
      </c>
      <c r="DV555" s="111"/>
    </row>
    <row r="556" spans="1:126" hidden="1" x14ac:dyDescent="0.25">
      <c r="A556" s="112">
        <v>554</v>
      </c>
      <c r="B556" s="111" t="s">
        <v>2</v>
      </c>
      <c r="C556" s="111">
        <v>21</v>
      </c>
      <c r="D556" s="115">
        <v>6</v>
      </c>
      <c r="E556" s="111">
        <v>1</v>
      </c>
      <c r="F556" s="105">
        <v>12.71</v>
      </c>
      <c r="G556" s="105"/>
      <c r="H556" s="105"/>
      <c r="I556" s="94">
        <f>SUM(ППД5[[#This Row],[Комната 1]:[Комната 3]])</f>
        <v>12.71</v>
      </c>
      <c r="J556" s="105">
        <v>12.55</v>
      </c>
      <c r="K556" s="105">
        <v>4.28</v>
      </c>
      <c r="L556" s="105"/>
      <c r="M556" s="105"/>
      <c r="N556" s="105">
        <v>7.34</v>
      </c>
      <c r="O556" s="105">
        <v>2.84</v>
      </c>
      <c r="P556" s="105"/>
      <c r="Q556" s="105"/>
      <c r="R556" s="105">
        <f>SUM(ППД5[[#This Row],[Лоджия 1]:[Лоджия 3]])</f>
        <v>2.84</v>
      </c>
      <c r="S556" s="8">
        <f>ROUND(SUM(ППД5[[#This Row],[Площадь по проекту жилая]:[Лоджия 3]]),2)</f>
        <v>39.72</v>
      </c>
      <c r="T556" s="8">
        <f>ROUND(ППД5[[#This Row],[Площадь по проекту(общая)]]-ППД5[[#This Row],[Летние]],2)</f>
        <v>36.880000000000003</v>
      </c>
      <c r="U556" s="91">
        <f>ROUND(ППД5[[#This Row],[Площадь по проекту(общая)]]-(SUM(ППД5[[#This Row],[Лоджия 1]:[Лоджия 3]])/2),2)</f>
        <v>38.299999999999997</v>
      </c>
      <c r="V556" s="91">
        <f>IF(ППД5[[#This Row],[Статус]]="продажа",ППД5[[#This Row],[Расчетная проектная площадь]],ППД5[[#This Row],[Расчетная ТП площадь]])</f>
        <v>37.75</v>
      </c>
      <c r="W556" s="91">
        <v>12.5</v>
      </c>
      <c r="X556" s="91"/>
      <c r="Y556" s="91"/>
      <c r="Z556" s="91">
        <f>SUM(ППД5[[#This Row],[ТП Комната 1]:[ТП Комната 3]])</f>
        <v>12.5</v>
      </c>
      <c r="AA556" s="91">
        <v>12.5</v>
      </c>
      <c r="AB556" s="91">
        <v>4</v>
      </c>
      <c r="AC556" s="91"/>
      <c r="AD556" s="91"/>
      <c r="AE556" s="91">
        <v>7.3</v>
      </c>
      <c r="AF556" s="91">
        <v>1.45</v>
      </c>
      <c r="AG556" s="91"/>
      <c r="AH556" s="91"/>
      <c r="AI556" s="91">
        <f>SUM(ППД5[[#This Row],[ТП Лоджия 1]:[ТП Лоджия 3]])</f>
        <v>1.45</v>
      </c>
      <c r="AJ556" s="95">
        <v>2.9</v>
      </c>
      <c r="AK556" s="91">
        <f>SUM(ППД5[[#This Row],[Площадь по ТП жилая]:[ТП Лоджия 3]])-ППД5[[#This Row],[ТП Летние]]+ППД5[[#This Row],[кроме того прочая
(без коэффициента)]]</f>
        <v>39.199999999999996</v>
      </c>
      <c r="AL556" s="95">
        <f>ППД5[[#This Row],[ТП Площадь без летних]]+(ППД5[[#This Row],[ТП Летние]])</f>
        <v>37.75</v>
      </c>
      <c r="AM556" s="91">
        <f>ППД5[[#This Row],[ТП общая S]]-ППД5[[#This Row],[кроме того прочая
(без коэффициента)]]</f>
        <v>36.299999999999997</v>
      </c>
      <c r="AN556" s="95">
        <f>SUM(ППД5[[#This Row],[ТП Кухня]:[ТП Коридор]])</f>
        <v>23.8</v>
      </c>
      <c r="AO556" s="91">
        <f>ППД5[[#This Row],[Расчетная ТП площадь]]-ППД5[[#This Row],[Расчетная проектная площадь]]</f>
        <v>-0.54999999999999716</v>
      </c>
      <c r="AP556" s="335">
        <f>ППД5[[#This Row],[Расчетная ТП площадь]]/ППД5[[#This Row],[Расчетная проектная площадь]]-1</f>
        <v>-1.4360313315926798E-2</v>
      </c>
      <c r="AQ556" s="91">
        <f>ППД5[[#This Row],[% расхождения]]*ППД5[[#This Row],[Стоимость до скидки]]</f>
        <v>-81654.17754569136</v>
      </c>
      <c r="AR556" s="91">
        <f>VLOOKUP(ППД5[[#This Row],[№]],наценкад5[],COLUMN(наценкад5[[#This Row],[Цена м2 с учетом всех K]]),0)</f>
        <v>94090.5</v>
      </c>
      <c r="AS556" s="8">
        <f>ППД5[[#This Row],[м2 после К]]*5%</f>
        <v>4704.5250000000005</v>
      </c>
      <c r="AT556" s="8">
        <f>ППД5[[#This Row],[м2 после К]]+ППД5[[#This Row],[Повышение 16.08.23 - 5%]]</f>
        <v>98795.024999999994</v>
      </c>
      <c r="AU556" s="93">
        <f>ППД5[[#This Row],[Фикс 16.08.23]]*3%</f>
        <v>2963.8507499999996</v>
      </c>
      <c r="AV556" s="93">
        <f>ППД5[[#This Row],[Фикс 16.08.23]]+ППД5[[#This Row],[Повышение 29.08.23 - 3%]]</f>
        <v>101758.87574999999</v>
      </c>
      <c r="AW556" s="93">
        <f>ППД5[[#This Row],[Фикс 29.08.23]]*1%</f>
        <v>1017.5887574999999</v>
      </c>
      <c r="AX556" s="93">
        <f>ППД5[[#This Row],[Фикс 29.08.23]]+ППД5[[#This Row],[Повышение 06.09.23 СТ и 1К]]</f>
        <v>102776.46450749999</v>
      </c>
      <c r="AY556" s="93"/>
      <c r="AZ556" s="93">
        <f>ППД5[[#This Row],[Повышение 23.10.23  В4 ]]+ППД5[[#This Row],[Фикс 06.09.23]]</f>
        <v>102776.46450749999</v>
      </c>
      <c r="BA556" s="93">
        <f>ППД5[[#This Row],[Фикс 23.10.23]]*5%</f>
        <v>5138.8232253749993</v>
      </c>
      <c r="BB556" s="93">
        <f>ППД5[[#This Row],[Повышение 8.11.23 1К 5%]]+ППД5[[#This Row],[Фикс 23.10.23]]</f>
        <v>107915.28773287499</v>
      </c>
      <c r="BC556" s="93"/>
      <c r="BD556" s="93">
        <f>ППД5[[#This Row],[Корректировка 24.11.23 - 1К В5, 2К А2, №233]]+ППД5[[#This Row],[Фикс 8.11.23]]</f>
        <v>107915.28773287499</v>
      </c>
      <c r="BE556" s="93">
        <f>ППД5[[#This Row],[Фикс 8.11.24]]*1%</f>
        <v>1079.1528773287498</v>
      </c>
      <c r="BF556" s="93">
        <f>ППД5[[#This Row],[Наценка за отделку 29.12.23 1%]]+ППД5[[#This Row],[Фикс 8.11.24]]</f>
        <v>108994.44061020373</v>
      </c>
      <c r="BG556" s="93">
        <f>ППД5[[#This Row],[Фикс 29.12.23]]*5%</f>
        <v>5449.7220305101873</v>
      </c>
      <c r="BH556" s="93">
        <f>ППД5[[#This Row],[Фикс 29.12.23]]+ППД5[[#This Row],[Наценка 10.01.24 5%]]</f>
        <v>114444.16264071391</v>
      </c>
      <c r="BI556" s="93"/>
      <c r="BJ556" s="93">
        <f>ППД5[[#This Row],[Наценка 26.02.24 1 Этаж]]+ППД5[[#This Row],[Фикс 10.01.24]]</f>
        <v>114444.16264071391</v>
      </c>
      <c r="BK556" s="93">
        <f>ППД5[[#This Row],[Фикс 26.02.24]]*3%</f>
        <v>3433.3248792214172</v>
      </c>
      <c r="BL556" s="93">
        <f>ППД5[[#This Row],[Фикс 26.02.24]]+ППД5[[#This Row],[Наценка 06.03.24
СТ, 1К - 3%
2К, 3К - 2%]]</f>
        <v>117877.48751993533</v>
      </c>
      <c r="BM556" s="93"/>
      <c r="BN556" s="93">
        <f>ППД5[[#This Row],[Фикс 06.03.24]]+ППД5[[#This Row],[Наценка Г2+500]]</f>
        <v>117877.48751993533</v>
      </c>
      <c r="BO556" s="93"/>
      <c r="BP556" s="93">
        <f>ППД5[[#This Row],[Фикс 13.03.25]]+ППД5[[#This Row],[Наценка 20.03.24
2К, 3К - 2%]]</f>
        <v>117877.48751993533</v>
      </c>
      <c r="BQ556" s="93"/>
      <c r="BR556" s="93">
        <f>ППД5[[#This Row],[Фикс 20.03.24]]+ППД5[[#This Row],[Наценка 08.04.24 
2К: В3 - 150
3К: Г7 +1000]]</f>
        <v>117877.48751993533</v>
      </c>
      <c r="BS556" s="93"/>
      <c r="BT556" s="93">
        <f>ППД5[[#This Row],[Фикс 08.04.24]]+ППД5[[#This Row],[Наценка 16.05.24 1%
А4,А6,Б3,Б6,Б7,В2,В3,В5,В6,Г1,Г3-Г5]]</f>
        <v>117877.48751993533</v>
      </c>
      <c r="BU556" s="93">
        <f>ППД5[[#This Row],[Фикс 16.05.24]]*1%</f>
        <v>1178.7748751993533</v>
      </c>
      <c r="BV556" s="93">
        <f>ППД5[[#This Row],[Фикс 16.05.24]]+ППД5[[#This Row],[Наценка 24.05.24
1% - Б4, Б5,Г2,Г6
2% - А1,А3,А5,Б2,Г7]]</f>
        <v>119056.26239513468</v>
      </c>
      <c r="BW556" s="93">
        <f>ППД5[[#This Row],[Фикс 24.05.24]]*0.5%</f>
        <v>595.28131197567336</v>
      </c>
      <c r="BX556" s="93">
        <f>ППД5[[#This Row],[Наценка 06.06.24
0К: В2,Г3 +0,5%
1К: А7, Б5/4, Г6 +0,5%
3К: В6 +0,5%
1К: А3 +1%]]+ППД5[[#This Row],[Фикс 24.05.24]]</f>
        <v>119651.54370711035</v>
      </c>
      <c r="BY556" s="93"/>
      <c r="BZ556" s="93">
        <f>ППД5[[#This Row],[Фикс 06.06.24]]+ППД5[[#This Row],[13.06.2024
3К - 2%]]</f>
        <v>119651.54370711035</v>
      </c>
      <c r="CA556" s="93">
        <f>2.5%*ППД5[[#This Row],[Фикс 13.06.24]]</f>
        <v>2991.288592677759</v>
      </c>
      <c r="CB556" s="93">
        <f>ППД5[[#This Row],[02.07.2024: Г3 А1 А3 Б5 Б7 Г2 Г6 Б3 Б4 В3 Г7 2,5% ост 0,5-1,5%]]+ППД5[[#This Row],[Фикс 13.06.24]]</f>
        <v>122642.8322997881</v>
      </c>
      <c r="CC556" s="93"/>
      <c r="CD556" s="93">
        <f>ППД5[[#This Row],[Фикс 02.07.24]]+ППД5[[#This Row],[04.09.2024 +500
0К - Б2; 1К - А3;
2К - А6, Б4, В3, Г5]]</f>
        <v>122642.8322997881</v>
      </c>
      <c r="CE556" s="93">
        <f>ППД5[[#This Row],[Фикс 04.09.24]]*2%</f>
        <v>2452.8566459957619</v>
      </c>
      <c r="CF556" s="93">
        <f>ППД5[[#This Row],[Наценка 16.09.2024
1К: А1,В7,Г6/7,Г8 - 2%
2К: А4,А5,А6,Б1,Б6,Б3/4,В3,В4,Г4,Г5 - 4%
3К: 4%]]+ППД5[[#This Row],[Фикс 04.09.24]]</f>
        <v>125095.68894578387</v>
      </c>
      <c r="CG556" s="93">
        <f>ППД5[[#This Row],[Фикс 16.09.2024]]*5%</f>
        <v>6254.7844472891938</v>
      </c>
      <c r="CH556" s="93">
        <f>ППД5[[#This Row],[Фикс 16.09.2024]]+ППД5[[#This Row],[Наценка 01.11.24
СТ: 4%
1К: 34-40м 5%; 40м+ 8%; МГН 1%
2К: 55-70м 6%; 70-73м 7%; 73-76м 8% 
3К: 5%]]</f>
        <v>131350.47339307307</v>
      </c>
      <c r="CI556" s="93">
        <f>ППД5[[#This Row],[Фикс 01.11.24]]*13%</f>
        <v>17075.561541099501</v>
      </c>
      <c r="CJ556" s="93">
        <f>ППД5[[#This Row],[Наценка 06.11 13%]]+ППД5[[#This Row],[Фикс 01.11.24]]</f>
        <v>148426.03493417258</v>
      </c>
      <c r="CK556" s="93">
        <v>35</v>
      </c>
      <c r="CL556" s="93">
        <f>ППД5[[#This Row],[Фикс 06.11.24]]+ППД5[[#This Row],[Наценка 18.12.24 распределение КВ]]</f>
        <v>148461.03493417258</v>
      </c>
      <c r="CM556" s="93"/>
      <c r="CN556" s="93">
        <f>ППД5[[#This Row],[Фикс 18.12.24]]+ППД5[[#This Row],[Наценка 10.02.25 +1%
1К: А3
2К: Б3, В3]]</f>
        <v>148461.03493417258</v>
      </c>
      <c r="CO556" s="93">
        <f>ROUND(ППД5[[#This Row],[Фикс 10.02.25]],2)</f>
        <v>148461.03</v>
      </c>
      <c r="CP55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5686100</v>
      </c>
      <c r="CQ556" s="93">
        <f>ROUNDUP(ППД5[[#This Row],[Стоимость до скидки]]+ППД5[[#This Row],[Сумма доплаты]],-2)</f>
        <v>5604500</v>
      </c>
      <c r="CR556" s="68"/>
      <c r="CS556" s="90"/>
      <c r="CT556" s="68">
        <f>ППД5[[#This Row],[Стоимость до скидки]]*ППД5[[#This Row],[Скидка %]]+ППД5[[#This Row],[Скидка фиксированная]]</f>
        <v>0</v>
      </c>
      <c r="CU556" s="3">
        <f>ППД5[[#This Row],[Стоимость ОН без отделки со скидкой]]/ППД5[[#This Row],[Расчетная проектная площадь]]</f>
        <v>148462.14099216711</v>
      </c>
      <c r="CV556" s="3">
        <f>ROUND(ППД5[[#This Row],[Стоимость до скидки]]-ППД5[[#This Row],[Итоговая сумма скидки]],2)</f>
        <v>5686100</v>
      </c>
      <c r="CW55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56" s="197"/>
      <c r="CY556" s="332">
        <f>ППД5[[#This Row],[Расхождение]]/ППД5[[#This Row],[Расчетная проектная площадь]]</f>
        <v>-1.4360313315926819E-2</v>
      </c>
      <c r="CZ55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-0.37000000000000099</v>
      </c>
      <c r="DA556" s="3">
        <f>ППД5[[#This Row],[Цена м2 без отделки со скидкой]]+ППД5[[#This Row],[Стоимость отделки]]</f>
        <v>148462.14099216711</v>
      </c>
      <c r="DB556" s="3">
        <f>ППД5[[#This Row],[Стоимость квартиры с отделкой]]-ППД5[[#This Row],[Стоимость ОН без отделки со скидкой]]</f>
        <v>0</v>
      </c>
      <c r="DC556" s="3">
        <f>ППД5[[#This Row],[Цена м2 с отделкой]]*ППД5[[#This Row],[Расчетная проектная площадь]]</f>
        <v>5686100</v>
      </c>
      <c r="DD556" s="47"/>
      <c r="DF556" s="155" t="s">
        <v>157</v>
      </c>
      <c r="DG556" s="221" t="s">
        <v>157</v>
      </c>
      <c r="DH556" s="100" t="b">
        <f>EXACT(ППД5[[#This Row],[Статусы CRM]],ППД5[[#This Row],[Статус]])</f>
        <v>1</v>
      </c>
      <c r="DI556" s="213" t="s">
        <v>728</v>
      </c>
      <c r="DJ556" s="204"/>
      <c r="DK556" s="111" t="s">
        <v>763</v>
      </c>
      <c r="DL556" s="216" t="s">
        <v>12</v>
      </c>
      <c r="DM556" s="201" t="b">
        <f>ППД5[[#This Row],[Отделка CRM]]=ППД5[[#This Row],[Отделка]]</f>
        <v>1</v>
      </c>
      <c r="DN556" s="203">
        <v>5686100</v>
      </c>
      <c r="DO55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56" s="207" t="b">
        <f>IF(AND(ППД5[[#This Row],[Статус]]="свободно",ППД5[[#This Row],[Итоговая сумма скидки]]&lt;&gt;0),FALSE,TRUE)</f>
        <v>1</v>
      </c>
      <c r="DQ556" s="240" t="str">
        <f>_xlfn.XLOOKUP(ППД5[[#This Row],[№]],Юрист[№ кв],Юрист[Дата подачи на регистрацию]," ",0,-1)</f>
        <v xml:space="preserve"> </v>
      </c>
      <c r="DR556" s="115" t="str">
        <f>_xlfn.XLOOKUP(ППД5[[#This Row],[№]],Юрист[№ кв],Юрист[МОП],"",0,-1)</f>
        <v/>
      </c>
      <c r="DS556" s="333" t="s">
        <v>3404</v>
      </c>
      <c r="DT556" s="333" t="s">
        <v>3405</v>
      </c>
      <c r="DU556" s="333">
        <v>36.299999999999997</v>
      </c>
      <c r="DV556" s="111"/>
    </row>
    <row r="557" spans="1:126" hidden="1" x14ac:dyDescent="0.25">
      <c r="A557" s="112">
        <v>555</v>
      </c>
      <c r="B557" s="111" t="s">
        <v>2</v>
      </c>
      <c r="C557" s="111">
        <v>21</v>
      </c>
      <c r="D557" s="115">
        <v>7</v>
      </c>
      <c r="E557" s="111">
        <v>3</v>
      </c>
      <c r="F557" s="105">
        <v>14.49</v>
      </c>
      <c r="G557" s="105">
        <v>13.98</v>
      </c>
      <c r="H557" s="105">
        <v>11.42</v>
      </c>
      <c r="I557" s="94">
        <f>SUM(ППД5[[#This Row],[Комната 1]:[Комната 3]])</f>
        <v>39.89</v>
      </c>
      <c r="J557" s="105">
        <v>16.670000000000002</v>
      </c>
      <c r="K557" s="105">
        <v>4.1399999999999997</v>
      </c>
      <c r="L557" s="105">
        <v>1.89</v>
      </c>
      <c r="M557" s="105"/>
      <c r="N557" s="105">
        <v>11.31</v>
      </c>
      <c r="O557" s="105">
        <v>2.86</v>
      </c>
      <c r="P557" s="105">
        <v>2.79</v>
      </c>
      <c r="Q557" s="105">
        <v>5.42</v>
      </c>
      <c r="R557" s="105">
        <f>SUM(ППД5[[#This Row],[Лоджия 1]:[Лоджия 3]])</f>
        <v>11.07</v>
      </c>
      <c r="S557" s="8">
        <f>ROUND(SUM(ППД5[[#This Row],[Площадь по проекту жилая]:[Лоджия 3]]),2)</f>
        <v>84.97</v>
      </c>
      <c r="T557" s="8">
        <f>ROUND(ППД5[[#This Row],[Площадь по проекту(общая)]]-ППД5[[#This Row],[Летние]],2)</f>
        <v>73.900000000000006</v>
      </c>
      <c r="U557" s="91">
        <f>ROUND(ППД5[[#This Row],[Площадь по проекту(общая)]]-(SUM(ППД5[[#This Row],[Лоджия 1]:[Лоджия 3]])/2),2)</f>
        <v>79.44</v>
      </c>
      <c r="V557" s="91">
        <f>IF(ППД5[[#This Row],[Статус]]="продажа",ППД5[[#This Row],[Расчетная проектная площадь]],ППД5[[#This Row],[Расчетная ТП площадь]])</f>
        <v>78.600000000000009</v>
      </c>
      <c r="W557" s="91">
        <v>11.4</v>
      </c>
      <c r="X557" s="91">
        <v>14.4</v>
      </c>
      <c r="Y557" s="91">
        <v>13.9</v>
      </c>
      <c r="Z557" s="91">
        <f>SUM(ППД5[[#This Row],[ТП Комната 1]:[ТП Комната 3]])</f>
        <v>39.700000000000003</v>
      </c>
      <c r="AA557" s="91">
        <v>16.399999999999999</v>
      </c>
      <c r="AB557" s="91">
        <v>1.9</v>
      </c>
      <c r="AC557" s="91">
        <v>4</v>
      </c>
      <c r="AD557" s="91"/>
      <c r="AE557" s="91">
        <v>11.2</v>
      </c>
      <c r="AF557" s="91">
        <v>1.4</v>
      </c>
      <c r="AG557" s="91">
        <v>2.65</v>
      </c>
      <c r="AH557" s="91">
        <v>1.35</v>
      </c>
      <c r="AI557" s="91">
        <f>SUM(ППД5[[#This Row],[ТП Лоджия 1]:[ТП Лоджия 3]])</f>
        <v>5.4</v>
      </c>
      <c r="AJ557" s="95">
        <v>10.8</v>
      </c>
      <c r="AK557" s="91">
        <f>SUM(ППД5[[#This Row],[Площадь по ТП жилая]:[ТП Лоджия 3]])-ППД5[[#This Row],[ТП Летние]]+ППД5[[#This Row],[кроме того прочая
(без коэффициента)]]</f>
        <v>84</v>
      </c>
      <c r="AL557" s="95">
        <f>ППД5[[#This Row],[ТП Площадь без летних]]+(ППД5[[#This Row],[ТП Летние]])</f>
        <v>78.600000000000009</v>
      </c>
      <c r="AM557" s="91">
        <f>ППД5[[#This Row],[ТП общая S]]-ППД5[[#This Row],[кроме того прочая
(без коэффициента)]]</f>
        <v>73.2</v>
      </c>
      <c r="AN557" s="95">
        <f>SUM(ППД5[[#This Row],[ТП Кухня]:[ТП Коридор]])</f>
        <v>33.5</v>
      </c>
      <c r="AO557" s="91">
        <f>ППД5[[#This Row],[Расчетная ТП площадь]]-ППД5[[#This Row],[Расчетная проектная площадь]]</f>
        <v>-0.8399999999999892</v>
      </c>
      <c r="AP557" s="335">
        <f>ППД5[[#This Row],[Расчетная ТП площадь]]/ППД5[[#This Row],[Расчетная проектная площадь]]-1</f>
        <v>-1.0574018126888074E-2</v>
      </c>
      <c r="AQ557" s="91">
        <f>ППД5[[#This Row],[% расхождения]]*ППД5[[#This Row],[Стоимость до скидки]]</f>
        <v>-111288.36858005892</v>
      </c>
      <c r="AR557" s="91">
        <f>VLOOKUP(ППД5[[#This Row],[№]],наценкад5[],COLUMN(наценкад5[[#This Row],[Цена м2 с учетом всех K]]),0)</f>
        <v>83513.430000000022</v>
      </c>
      <c r="AS557" s="8">
        <f>ППД5[[#This Row],[м2 после К]]*5%</f>
        <v>4175.6715000000013</v>
      </c>
      <c r="AT557" s="8">
        <f>ППД5[[#This Row],[м2 после К]]+ППД5[[#This Row],[Повышение 16.08.23 - 5%]]</f>
        <v>87689.101500000019</v>
      </c>
      <c r="AU557" s="93">
        <f>ППД5[[#This Row],[Фикс 16.08.23]]*3%</f>
        <v>2630.6730450000005</v>
      </c>
      <c r="AV557" s="93">
        <f>ППД5[[#This Row],[Фикс 16.08.23]]+ППД5[[#This Row],[Повышение 29.08.23 - 3%]]</f>
        <v>90319.774545000022</v>
      </c>
      <c r="AW557" s="93"/>
      <c r="AX557" s="93">
        <f>ППД5[[#This Row],[Фикс 29.08.23]]+ППД5[[#This Row],[Повышение 06.09.23 СТ и 1К]]</f>
        <v>90319.774545000022</v>
      </c>
      <c r="AY557" s="93"/>
      <c r="AZ557" s="93">
        <f>ППД5[[#This Row],[Повышение 23.10.23  В4 ]]+ППД5[[#This Row],[Фикс 06.09.23]]</f>
        <v>90319.774545000022</v>
      </c>
      <c r="BA557" s="93"/>
      <c r="BB557" s="93">
        <f>ППД5[[#This Row],[Повышение 8.11.23 1К 5%]]+ППД5[[#This Row],[Фикс 23.10.23]]</f>
        <v>90319.774545000022</v>
      </c>
      <c r="BC557" s="93"/>
      <c r="BD557" s="93">
        <f>ППД5[[#This Row],[Корректировка 24.11.23 - 1К В5, 2К А2, №233]]+ППД5[[#This Row],[Фикс 8.11.23]]</f>
        <v>90319.774545000022</v>
      </c>
      <c r="BE557" s="93">
        <f>ППД5[[#This Row],[Фикс 8.11.24]]*1%</f>
        <v>903.19774545000018</v>
      </c>
      <c r="BF557" s="93">
        <f>ППД5[[#This Row],[Наценка за отделку 29.12.23 1%]]+ППД5[[#This Row],[Фикс 8.11.24]]</f>
        <v>91222.972290450023</v>
      </c>
      <c r="BG557" s="93">
        <f>ППД5[[#This Row],[Фикс 29.12.23]]*5%</f>
        <v>4561.1486145225017</v>
      </c>
      <c r="BH557" s="93">
        <f>ППД5[[#This Row],[Фикс 29.12.23]]+ППД5[[#This Row],[Наценка 10.01.24 5%]]</f>
        <v>95784.120904972529</v>
      </c>
      <c r="BI557" s="93"/>
      <c r="BJ557" s="93">
        <f>ППД5[[#This Row],[Наценка 26.02.24 1 Этаж]]+ППД5[[#This Row],[Фикс 10.01.24]]</f>
        <v>95784.120904972529</v>
      </c>
      <c r="BK557" s="93">
        <f>ППД5[[#This Row],[Фикс 26.02.24]]*2%</f>
        <v>1915.6824180994506</v>
      </c>
      <c r="BL557" s="93">
        <f>ППД5[[#This Row],[Фикс 26.02.24]]+ППД5[[#This Row],[Наценка 06.03.24
СТ, 1К - 3%
2К, 3К - 2%]]</f>
        <v>97699.803323071974</v>
      </c>
      <c r="BM557" s="93"/>
      <c r="BN557" s="93">
        <f>ППД5[[#This Row],[Фикс 06.03.24]]+ППД5[[#This Row],[Наценка Г2+500]]</f>
        <v>97699.803323071974</v>
      </c>
      <c r="BO557" s="93">
        <f>ППД5[[#This Row],[Фикс 13.03.25]]*2%</f>
        <v>1953.9960664614396</v>
      </c>
      <c r="BP557" s="93">
        <f>ППД5[[#This Row],[Фикс 13.03.25]]+ППД5[[#This Row],[Наценка 20.03.24
2К, 3К - 2%]]</f>
        <v>99653.799389533408</v>
      </c>
      <c r="BQ557" s="93">
        <v>1000</v>
      </c>
      <c r="BR557" s="93">
        <f>ППД5[[#This Row],[Фикс 20.03.24]]+ППД5[[#This Row],[Наценка 08.04.24 
2К: В3 - 150
3К: Г7 +1000]]</f>
        <v>100653.79938953341</v>
      </c>
      <c r="BS557" s="93"/>
      <c r="BT557" s="93">
        <f>ППД5[[#This Row],[Фикс 08.04.24]]+ППД5[[#This Row],[Наценка 16.05.24 1%
А4,А6,Б3,Б6,Б7,В2,В3,В5,В6,Г1,Г3-Г5]]</f>
        <v>100653.79938953341</v>
      </c>
      <c r="BU557" s="93">
        <f>ППД5[[#This Row],[Фикс 16.05.24]]*2%</f>
        <v>2013.0759877906683</v>
      </c>
      <c r="BV557" s="93">
        <f>ППД5[[#This Row],[Фикс 16.05.24]]+ППД5[[#This Row],[Наценка 24.05.24
1% - Б4, Б5,Г2,Г6
2% - А1,А3,А5,Б2,Г7]]</f>
        <v>102666.87537732408</v>
      </c>
      <c r="BW557" s="93"/>
      <c r="BX557" s="93">
        <f>ППД5[[#This Row],[Наценка 06.06.24
0К: В2,Г3 +0,5%
1К: А7, Б5/4, Г6 +0,5%
3К: В6 +0,5%
1К: А3 +1%]]+ППД5[[#This Row],[Фикс 24.05.24]]</f>
        <v>102666.87537732408</v>
      </c>
      <c r="BY557" s="93">
        <f>ППД5[[#This Row],[Фикс 06.06.24]]*2%</f>
        <v>2053.3375075464814</v>
      </c>
      <c r="BZ557" s="93">
        <f>ППД5[[#This Row],[Фикс 06.06.24]]+ППД5[[#This Row],[13.06.2024
3К - 2%]]</f>
        <v>104720.21288487056</v>
      </c>
      <c r="CA557" s="93">
        <f>2.5%*ППД5[[#This Row],[Фикс 13.06.24]]</f>
        <v>2618.005322121764</v>
      </c>
      <c r="CB557" s="93">
        <f>ППД5[[#This Row],[02.07.2024: Г3 А1 А3 Б5 Б7 Г2 Г6 Б3 Б4 В3 Г7 2,5% ост 0,5-1,5%]]+ППД5[[#This Row],[Фикс 13.06.24]]</f>
        <v>107338.21820699233</v>
      </c>
      <c r="CC557" s="93"/>
      <c r="CD557" s="93">
        <f>ППД5[[#This Row],[Фикс 02.07.24]]+ППД5[[#This Row],[04.09.2024 +500
0К - Б2; 1К - А3;
2К - А6, Б4, В3, Г5]]</f>
        <v>107338.21820699233</v>
      </c>
      <c r="CE557" s="93">
        <f>ППД5[[#This Row],[Фикс 04.09.24]]*4%</f>
        <v>4293.5287282796935</v>
      </c>
      <c r="CF557" s="93">
        <f>ППД5[[#This Row],[Наценка 16.09.2024
1К: А1,В7,Г6/7,Г8 - 2%
2К: А4,А5,А6,Б1,Б6,Б3/4,В3,В4,Г4,Г5 - 4%
3К: 4%]]+ППД5[[#This Row],[Фикс 04.09.24]]</f>
        <v>111631.74693527202</v>
      </c>
      <c r="CG557" s="93">
        <f>ППД5[[#This Row],[Фикс 16.09.2024]]*5%</f>
        <v>5581.5873467636011</v>
      </c>
      <c r="CH557" s="93">
        <f>ППД5[[#This Row],[Фикс 16.09.2024]]+ППД5[[#This Row],[Наценка 01.11.24
СТ: 4%
1К: 34-40м 5%; 40м+ 8%; МГН 1%
2К: 55-70м 6%; 70-73м 7%; 73-76м 8% 
3К: 5%]]</f>
        <v>117213.33428203562</v>
      </c>
      <c r="CI557" s="93">
        <f>ППД5[[#This Row],[Фикс 01.11.24]]*13%</f>
        <v>15237.733456664631</v>
      </c>
      <c r="CJ557" s="93">
        <f>ППД5[[#This Row],[Наценка 06.11 13%]]+ППД5[[#This Row],[Фикс 01.11.24]]</f>
        <v>132451.06773870025</v>
      </c>
      <c r="CK557" s="93">
        <v>35</v>
      </c>
      <c r="CL557" s="93">
        <f>ППД5[[#This Row],[Фикс 06.11.24]]+ППД5[[#This Row],[Наценка 18.12.24 распределение КВ]]</f>
        <v>132486.06773870025</v>
      </c>
      <c r="CM557" s="93"/>
      <c r="CN557" s="93">
        <f>ППД5[[#This Row],[Фикс 18.12.24]]+ППД5[[#This Row],[Наценка 10.02.25 +1%
1К: А3
2К: Б3, В3]]</f>
        <v>132486.06773870025</v>
      </c>
      <c r="CO557" s="93">
        <f>ROUND(ППД5[[#This Row],[Фикс 10.02.25]],2)</f>
        <v>132486.07</v>
      </c>
      <c r="CP55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10524700</v>
      </c>
      <c r="CQ557" s="93">
        <f>ROUNDUP(ППД5[[#This Row],[Стоимость до скидки]]+ППД5[[#This Row],[Сумма доплаты]],-2)</f>
        <v>10413500</v>
      </c>
      <c r="CR557" s="68"/>
      <c r="CS557" s="90"/>
      <c r="CT557" s="68">
        <f>ППД5[[#This Row],[Стоимость до скидки]]*ППД5[[#This Row],[Скидка %]]+ППД5[[#This Row],[Скидка фиксированная]]</f>
        <v>0</v>
      </c>
      <c r="CU557" s="3">
        <f>ППД5[[#This Row],[Стоимость ОН без отделки со скидкой]]/ППД5[[#This Row],[Расчетная проектная площадь]]</f>
        <v>132486.15307150051</v>
      </c>
      <c r="CV557" s="3">
        <f>ROUND(ППД5[[#This Row],[Стоимость до скидки]]-ППД5[[#This Row],[Итоговая сумма скидки]],2)</f>
        <v>10524700</v>
      </c>
      <c r="CW55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557" s="218">
        <v>25000</v>
      </c>
      <c r="CY557" s="332">
        <f>ППД5[[#This Row],[Расхождение]]/ППД5[[#This Row],[Расчетная проектная площадь]]</f>
        <v>-1.0574018126888083E-2</v>
      </c>
      <c r="CZ557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-0.51000000000000512</v>
      </c>
      <c r="DA557" s="3">
        <f>ППД5[[#This Row],[Цена м2 без отделки со скидкой]]+ППД5[[#This Row],[Стоимость отделки]]</f>
        <v>157486.15307150051</v>
      </c>
      <c r="DB557" s="3">
        <f>ППД5[[#This Row],[Стоимость квартиры с отделкой]]-ППД5[[#This Row],[Стоимость ОН без отделки со скидкой]]</f>
        <v>1986000</v>
      </c>
      <c r="DC557" s="3">
        <f>ППД5[[#This Row],[Цена м2 с отделкой]]*ППД5[[#This Row],[Расчетная проектная площадь]]</f>
        <v>12510700</v>
      </c>
      <c r="DD557" s="3" t="s">
        <v>155</v>
      </c>
      <c r="DF557" s="155" t="s">
        <v>157</v>
      </c>
      <c r="DG557" s="221" t="s">
        <v>157</v>
      </c>
      <c r="DH557" s="100" t="b">
        <f>EXACT(ППД5[[#This Row],[Статусы CRM]],ППД5[[#This Row],[Статус]])</f>
        <v>1</v>
      </c>
      <c r="DI557" s="213" t="s">
        <v>729</v>
      </c>
      <c r="DJ557" s="204"/>
      <c r="DK557" s="111" t="s">
        <v>763</v>
      </c>
      <c r="DL557" s="216" t="s">
        <v>14</v>
      </c>
      <c r="DM557" s="201" t="b">
        <f>ППД5[[#This Row],[Отделка CRM]]=ППД5[[#This Row],[Отделка]]</f>
        <v>1</v>
      </c>
      <c r="DN557" s="203">
        <v>12510700</v>
      </c>
      <c r="DO55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57" s="207" t="b">
        <f>IF(AND(ППД5[[#This Row],[Статус]]="свободно",ППД5[[#This Row],[Итоговая сумма скидки]]&lt;&gt;0),FALSE,TRUE)</f>
        <v>1</v>
      </c>
      <c r="DQ557" s="240" t="str">
        <f>_xlfn.XLOOKUP(ППД5[[#This Row],[№]],Юрист[№ кв],Юрист[Дата подачи на регистрацию]," ",0,-1)</f>
        <v xml:space="preserve"> </v>
      </c>
      <c r="DR557" s="115" t="str">
        <f>_xlfn.XLOOKUP(ППД5[[#This Row],[№]],Юрист[№ кв],Юрист[МОП],"",0,-1)</f>
        <v/>
      </c>
      <c r="DS557" s="333" t="s">
        <v>3406</v>
      </c>
      <c r="DT557" s="333" t="s">
        <v>3407</v>
      </c>
      <c r="DU557" s="333">
        <v>73.2</v>
      </c>
      <c r="DV557" s="111"/>
    </row>
    <row r="558" spans="1:126" hidden="1" x14ac:dyDescent="0.25">
      <c r="A558" s="112">
        <v>556</v>
      </c>
      <c r="B558" s="111" t="s">
        <v>2</v>
      </c>
      <c r="C558" s="111">
        <v>21</v>
      </c>
      <c r="D558" s="115">
        <v>8</v>
      </c>
      <c r="E558" s="111">
        <v>1</v>
      </c>
      <c r="F558" s="105">
        <v>16.79</v>
      </c>
      <c r="G558" s="105"/>
      <c r="H558" s="105"/>
      <c r="I558" s="94">
        <f>SUM(ППД5[[#This Row],[Комната 1]:[Комната 3]])</f>
        <v>16.79</v>
      </c>
      <c r="J558" s="105">
        <v>11.43</v>
      </c>
      <c r="K558" s="105">
        <v>3.56</v>
      </c>
      <c r="L558" s="105"/>
      <c r="M558" s="105"/>
      <c r="N558" s="105">
        <v>6.66</v>
      </c>
      <c r="O558" s="105">
        <v>2.4900000000000002</v>
      </c>
      <c r="P558" s="105"/>
      <c r="Q558" s="105"/>
      <c r="R558" s="105">
        <f>SUM(ППД5[[#This Row],[Лоджия 1]:[Лоджия 3]])</f>
        <v>2.4900000000000002</v>
      </c>
      <c r="S558" s="8">
        <f>ROUND(SUM(ППД5[[#This Row],[Площадь по проекту жилая]:[Лоджия 3]]),2)</f>
        <v>40.93</v>
      </c>
      <c r="T558" s="8">
        <f>ROUND(ППД5[[#This Row],[Площадь по проекту(общая)]]-ППД5[[#This Row],[Летние]],2)</f>
        <v>38.44</v>
      </c>
      <c r="U558" s="91">
        <f>ROUND(ППД5[[#This Row],[Площадь по проекту(общая)]]-(SUM(ППД5[[#This Row],[Лоджия 1]:[Лоджия 3]])/2),2)</f>
        <v>39.69</v>
      </c>
      <c r="V558" s="91">
        <f>IF(ППД5[[#This Row],[Статус]]="продажа",ППД5[[#This Row],[Расчетная проектная площадь]],ППД5[[#This Row],[Расчетная ТП площадь]])</f>
        <v>39.450000000000003</v>
      </c>
      <c r="W558" s="91">
        <v>16.8</v>
      </c>
      <c r="X558" s="91"/>
      <c r="Y558" s="91"/>
      <c r="Z558" s="91">
        <f>SUM(ППД5[[#This Row],[ТП Комната 1]:[ТП Комната 3]])</f>
        <v>16.8</v>
      </c>
      <c r="AA558" s="91">
        <v>11.4</v>
      </c>
      <c r="AB558" s="91">
        <v>3.5</v>
      </c>
      <c r="AC558" s="91"/>
      <c r="AD558" s="91"/>
      <c r="AE558" s="91">
        <v>6.5</v>
      </c>
      <c r="AF558" s="92">
        <v>1.25</v>
      </c>
      <c r="AG558" s="91"/>
      <c r="AH558" s="91"/>
      <c r="AI558" s="91">
        <f>SUM(ППД5[[#This Row],[ТП Лоджия 1]:[ТП Лоджия 3]])</f>
        <v>1.25</v>
      </c>
      <c r="AJ558" s="95">
        <v>2.5</v>
      </c>
      <c r="AK558" s="91">
        <f>SUM(ППД5[[#This Row],[Площадь по ТП жилая]:[ТП Лоджия 3]])-ППД5[[#This Row],[ТП Летние]]+ППД5[[#This Row],[кроме того прочая
(без коэффициента)]]</f>
        <v>40.700000000000003</v>
      </c>
      <c r="AL558" s="95">
        <f>ППД5[[#This Row],[ТП Площадь без летних]]+(ППД5[[#This Row],[ТП Летние]])</f>
        <v>39.450000000000003</v>
      </c>
      <c r="AM558" s="91">
        <f>ППД5[[#This Row],[ТП общая S]]-ППД5[[#This Row],[кроме того прочая
(без коэффициента)]]</f>
        <v>38.200000000000003</v>
      </c>
      <c r="AN558" s="95">
        <f>SUM(ППД5[[#This Row],[ТП Кухня]:[ТП Коридор]])</f>
        <v>21.4</v>
      </c>
      <c r="AO558" s="91">
        <f>ППД5[[#This Row],[Расчетная ТП площадь]]-ППД5[[#This Row],[Расчетная проектная площадь]]</f>
        <v>-0.23999999999999488</v>
      </c>
      <c r="AP558" s="335">
        <f>ППД5[[#This Row],[Расчетная ТП площадь]]/ППД5[[#This Row],[Расчетная проектная площадь]]-1</f>
        <v>-6.0468631897202529E-3</v>
      </c>
      <c r="AQ558" s="91">
        <f>ППД5[[#This Row],[% расхождения]]*ППД5[[#This Row],[Стоимость до скидки]]</f>
        <v>-35149.811035524857</v>
      </c>
      <c r="AR558" s="91">
        <f>VLOOKUP(ППД5[[#This Row],[№]],наценкад5[],COLUMN(наценкад5[[#This Row],[Цена м2 с учетом всех K]]),0)</f>
        <v>92873.8125</v>
      </c>
      <c r="AS558" s="8">
        <f>ППД5[[#This Row],[м2 после К]]*5%</f>
        <v>4643.6906250000002</v>
      </c>
      <c r="AT558" s="8">
        <f>ППД5[[#This Row],[м2 после К]]+ППД5[[#This Row],[Повышение 16.08.23 - 5%]]</f>
        <v>97517.503125000003</v>
      </c>
      <c r="AU558" s="93">
        <f>ППД5[[#This Row],[Фикс 16.08.23]]*3%</f>
        <v>2925.52509375</v>
      </c>
      <c r="AV558" s="93">
        <f>ППД5[[#This Row],[Фикс 16.08.23]]+ППД5[[#This Row],[Повышение 29.08.23 - 3%]]</f>
        <v>100443.02821875</v>
      </c>
      <c r="AW558" s="93">
        <f>ППД5[[#This Row],[Фикс 29.08.23]]*4.5%</f>
        <v>4519.9362698437499</v>
      </c>
      <c r="AX558" s="93">
        <f>ППД5[[#This Row],[Фикс 29.08.23]]+ППД5[[#This Row],[Повышение 06.09.23 СТ и 1К]]</f>
        <v>104962.96448859375</v>
      </c>
      <c r="AY558" s="93"/>
      <c r="AZ558" s="93">
        <f>ППД5[[#This Row],[Повышение 23.10.23  В4 ]]+ППД5[[#This Row],[Фикс 06.09.23]]</f>
        <v>104962.96448859375</v>
      </c>
      <c r="BA558" s="93">
        <f>ППД5[[#This Row],[Фикс 23.10.23]]*5%</f>
        <v>5248.1482244296876</v>
      </c>
      <c r="BB558" s="93">
        <f>ППД5[[#This Row],[Повышение 8.11.23 1К 5%]]+ППД5[[#This Row],[Фикс 23.10.23]]</f>
        <v>110211.11271302344</v>
      </c>
      <c r="BC558" s="93"/>
      <c r="BD558" s="93">
        <f>ППД5[[#This Row],[Корректировка 24.11.23 - 1К В5, 2К А2, №233]]+ППД5[[#This Row],[Фикс 8.11.23]]</f>
        <v>110211.11271302344</v>
      </c>
      <c r="BE558" s="93">
        <f>ППД5[[#This Row],[Фикс 8.11.24]]*1%</f>
        <v>1102.1111271302343</v>
      </c>
      <c r="BF558" s="93">
        <f>ППД5[[#This Row],[Наценка за отделку 29.12.23 1%]]+ППД5[[#This Row],[Фикс 8.11.24]]</f>
        <v>111313.22384015367</v>
      </c>
      <c r="BG558" s="93">
        <f>ППД5[[#This Row],[Фикс 29.12.23]]*5%</f>
        <v>5565.6611920076839</v>
      </c>
      <c r="BH558" s="93">
        <f>ППД5[[#This Row],[Фикс 29.12.23]]+ППД5[[#This Row],[Наценка 10.01.24 5%]]</f>
        <v>116878.88503216136</v>
      </c>
      <c r="BI558" s="93"/>
      <c r="BJ558" s="93">
        <f>ППД5[[#This Row],[Наценка 26.02.24 1 Этаж]]+ППД5[[#This Row],[Фикс 10.01.24]]</f>
        <v>116878.88503216136</v>
      </c>
      <c r="BK558" s="93">
        <f>ППД5[[#This Row],[Фикс 26.02.24]]*3%</f>
        <v>3506.3665509648404</v>
      </c>
      <c r="BL558" s="93">
        <f>ППД5[[#This Row],[Фикс 26.02.24]]+ППД5[[#This Row],[Наценка 06.03.24
СТ, 1К - 3%
2К, 3К - 2%]]</f>
        <v>120385.2515831262</v>
      </c>
      <c r="BM558" s="93"/>
      <c r="BN558" s="93">
        <f>ППД5[[#This Row],[Фикс 06.03.24]]+ППД5[[#This Row],[Наценка Г2+500]]</f>
        <v>120385.2515831262</v>
      </c>
      <c r="BO558" s="93"/>
      <c r="BP558" s="93">
        <f>ППД5[[#This Row],[Фикс 13.03.25]]+ППД5[[#This Row],[Наценка 20.03.24
2К, 3К - 2%]]</f>
        <v>120385.2515831262</v>
      </c>
      <c r="BQ558" s="93"/>
      <c r="BR558" s="93">
        <f>ППД5[[#This Row],[Фикс 20.03.24]]+ППД5[[#This Row],[Наценка 08.04.24 
2К: В3 - 150
3К: Г7 +1000]]</f>
        <v>120385.2515831262</v>
      </c>
      <c r="BS558" s="93"/>
      <c r="BT558" s="93">
        <f>ППД5[[#This Row],[Фикс 08.04.24]]+ППД5[[#This Row],[Наценка 16.05.24 1%
А4,А6,Б3,Б6,Б7,В2,В3,В5,В6,Г1,Г3-Г5]]</f>
        <v>120385.2515831262</v>
      </c>
      <c r="BU558" s="93"/>
      <c r="BV558" s="93">
        <f>ППД5[[#This Row],[Фикс 16.05.24]]+ППД5[[#This Row],[Наценка 24.05.24
1% - Б4, Б5,Г2,Г6
2% - А1,А3,А5,Б2,Г7]]</f>
        <v>120385.2515831262</v>
      </c>
      <c r="BW558" s="93"/>
      <c r="BX558" s="93">
        <f>ППД5[[#This Row],[Наценка 06.06.24
0К: В2,Г3 +0,5%
1К: А7, Б5/4, Г6 +0,5%
3К: В6 +0,5%
1К: А3 +1%]]+ППД5[[#This Row],[Фикс 24.05.24]]</f>
        <v>120385.2515831262</v>
      </c>
      <c r="BY558" s="93"/>
      <c r="BZ558" s="93">
        <f>ППД5[[#This Row],[Фикс 06.06.24]]+ППД5[[#This Row],[13.06.2024
3К - 2%]]</f>
        <v>120385.2515831262</v>
      </c>
      <c r="CA558" s="93">
        <f>0.5%*ППД5[[#This Row],[Фикс 13.06.24]]</f>
        <v>601.92625791563103</v>
      </c>
      <c r="CB558" s="93">
        <f>ППД5[[#This Row],[02.07.2024: Г3 А1 А3 Б5 Б7 Г2 Г6 Б3 Б4 В3 Г7 2,5% ост 0,5-1,5%]]+ППД5[[#This Row],[Фикс 13.06.24]]</f>
        <v>120987.17784104183</v>
      </c>
      <c r="CC558" s="93"/>
      <c r="CD558" s="93">
        <f>ППД5[[#This Row],[Фикс 02.07.24]]+ППД5[[#This Row],[04.09.2024 +500
0К - Б2; 1К - А3;
2К - А6, Б4, В3, Г5]]</f>
        <v>120987.17784104183</v>
      </c>
      <c r="CE558" s="93">
        <f>ППД5[[#This Row],[Фикс 04.09.24]]*2%</f>
        <v>2419.7435568208366</v>
      </c>
      <c r="CF558" s="93">
        <f>ППД5[[#This Row],[Наценка 16.09.2024
1К: А1,В7,Г6/7,Г8 - 2%
2К: А4,А5,А6,Б1,Б6,Б3/4,В3,В4,Г4,Г5 - 4%
3К: 4%]]+ППД5[[#This Row],[Фикс 04.09.24]]</f>
        <v>123406.92139786266</v>
      </c>
      <c r="CG558" s="93">
        <f>ППД5[[#This Row],[Фикс 16.09.2024]]*5%</f>
        <v>6170.346069893134</v>
      </c>
      <c r="CH558" s="93">
        <f>ППД5[[#This Row],[Фикс 16.09.2024]]+ППД5[[#This Row],[Наценка 01.11.24
СТ: 4%
1К: 34-40м 5%; 40м+ 8%; МГН 1%
2К: 55-70м 6%; 70-73м 7%; 73-76м 8% 
3К: 5%]]</f>
        <v>129577.2674677558</v>
      </c>
      <c r="CI558" s="93">
        <f>ППД5[[#This Row],[Фикс 01.11.24]]*13%</f>
        <v>16845.044770808254</v>
      </c>
      <c r="CJ558" s="93">
        <f>ППД5[[#This Row],[Наценка 06.11 13%]]+ППД5[[#This Row],[Фикс 01.11.24]]</f>
        <v>146422.31223856405</v>
      </c>
      <c r="CK558" s="93">
        <v>35</v>
      </c>
      <c r="CL558" s="93">
        <f>ППД5[[#This Row],[Фикс 06.11.24]]+ППД5[[#This Row],[Наценка 18.12.24 распределение КВ]]</f>
        <v>146457.31223856405</v>
      </c>
      <c r="CM558" s="93"/>
      <c r="CN558" s="93">
        <f>ППД5[[#This Row],[Фикс 18.12.24]]+ППД5[[#This Row],[Наценка 10.02.25 +1%
1К: А3
2К: Б3, В3]]</f>
        <v>146457.31223856405</v>
      </c>
      <c r="CO558" s="93">
        <f>ROUND(ППД5[[#This Row],[Фикс 10.02.25]],2)</f>
        <v>146457.31</v>
      </c>
      <c r="CP55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5812900</v>
      </c>
      <c r="CQ558" s="93">
        <f>ROUNDUP(ППД5[[#This Row],[Стоимость до скидки]]+ППД5[[#This Row],[Сумма доплаты]],-2)</f>
        <v>5777800</v>
      </c>
      <c r="CR558" s="68"/>
      <c r="CS558" s="90"/>
      <c r="CT558" s="68">
        <f>ППД5[[#This Row],[Стоимость до скидки]]*ППД5[[#This Row],[Скидка %]]+ППД5[[#This Row],[Скидка фиксированная]]</f>
        <v>0</v>
      </c>
      <c r="CU558" s="3">
        <f>ППД5[[#This Row],[Стоимость ОН без отделки со скидкой]]/ППД5[[#This Row],[Расчетная проектная площадь]]</f>
        <v>146457.54598135551</v>
      </c>
      <c r="CV558" s="3">
        <f>ROUND(ППД5[[#This Row],[Стоимость до скидки]]-ППД5[[#This Row],[Итоговая сумма скидки]],2)</f>
        <v>5812900</v>
      </c>
      <c r="CW55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58" s="197"/>
      <c r="CY558" s="332">
        <f>ППД5[[#This Row],[Расхождение]]/ППД5[[#This Row],[Расчетная проектная площадь]]</f>
        <v>-6.0468631897202044E-3</v>
      </c>
      <c r="CZ55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-0.25000000000000178</v>
      </c>
      <c r="DA558" s="3">
        <f>ППД5[[#This Row],[Цена м2 без отделки со скидкой]]+ППД5[[#This Row],[Стоимость отделки]]</f>
        <v>146457.54598135551</v>
      </c>
      <c r="DB558" s="3">
        <f>ППД5[[#This Row],[Стоимость квартиры с отделкой]]-ППД5[[#This Row],[Стоимость ОН без отделки со скидкой]]</f>
        <v>0</v>
      </c>
      <c r="DC558" s="3">
        <f>ППД5[[#This Row],[Цена м2 с отделкой]]*ППД5[[#This Row],[Расчетная проектная площадь]]</f>
        <v>5812900</v>
      </c>
      <c r="DD558" s="47"/>
      <c r="DF558" s="199" t="s">
        <v>157</v>
      </c>
      <c r="DG558" s="245" t="s">
        <v>157</v>
      </c>
      <c r="DH558" s="100" t="b">
        <f>EXACT(ППД5[[#This Row],[Статусы CRM]],ППД5[[#This Row],[Статус]])</f>
        <v>1</v>
      </c>
      <c r="DI558" s="213" t="s">
        <v>730</v>
      </c>
      <c r="DJ558" s="204"/>
      <c r="DK558" s="111" t="s">
        <v>763</v>
      </c>
      <c r="DL558" s="216" t="s">
        <v>12</v>
      </c>
      <c r="DM558" s="201" t="b">
        <f>ППД5[[#This Row],[Отделка CRM]]=ППД5[[#This Row],[Отделка]]</f>
        <v>1</v>
      </c>
      <c r="DN558" s="203">
        <v>5812900</v>
      </c>
      <c r="DO55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58" s="207" t="b">
        <f>IF(AND(ППД5[[#This Row],[Статус]]="свободно",ППД5[[#This Row],[Итоговая сумма скидки]]&lt;&gt;0),FALSE,TRUE)</f>
        <v>1</v>
      </c>
      <c r="DQ558" s="240" t="str">
        <f>_xlfn.XLOOKUP(ППД5[[#This Row],[№]],Юрист[№ кв],Юрист[Дата подачи на регистрацию]," ",0,-1)</f>
        <v xml:space="preserve"> </v>
      </c>
      <c r="DR558" s="115" t="str">
        <f>_xlfn.XLOOKUP(ППД5[[#This Row],[№]],Юрист[№ кв],Юрист[МОП],"",0,-1)</f>
        <v/>
      </c>
      <c r="DS558" s="333" t="s">
        <v>3408</v>
      </c>
      <c r="DT558" s="333" t="s">
        <v>3409</v>
      </c>
      <c r="DU558" s="333">
        <v>38.200000000000003</v>
      </c>
      <c r="DV558" s="111"/>
    </row>
    <row r="559" spans="1:126" hidden="1" x14ac:dyDescent="0.25">
      <c r="A559" s="112">
        <v>557</v>
      </c>
      <c r="B559" s="111" t="s">
        <v>2</v>
      </c>
      <c r="C559" s="111">
        <v>22</v>
      </c>
      <c r="D559" s="338">
        <v>1</v>
      </c>
      <c r="E559" s="111">
        <v>0</v>
      </c>
      <c r="F559" s="105">
        <v>13.74</v>
      </c>
      <c r="G559" s="105"/>
      <c r="H559" s="105"/>
      <c r="I559" s="94">
        <f>SUM(ППД5[[#This Row],[Комната 1]:[Комната 3]])</f>
        <v>13.74</v>
      </c>
      <c r="J559" s="105">
        <v>5.84</v>
      </c>
      <c r="K559" s="105">
        <v>3.76</v>
      </c>
      <c r="L559" s="105"/>
      <c r="M559" s="105"/>
      <c r="N559" s="105">
        <v>3.73</v>
      </c>
      <c r="O559" s="105">
        <v>4.6500000000000004</v>
      </c>
      <c r="P559" s="105"/>
      <c r="Q559" s="105"/>
      <c r="R559" s="105">
        <f>SUM(ППД5[[#This Row],[Лоджия 1]:[Лоджия 3]])</f>
        <v>4.6500000000000004</v>
      </c>
      <c r="S559" s="8">
        <f>ROUND(SUM(ППД5[[#This Row],[Площадь по проекту жилая]:[Лоджия 3]]),2)</f>
        <v>31.72</v>
      </c>
      <c r="T559" s="8">
        <f>ROUND(ППД5[[#This Row],[Площадь по проекту(общая)]]-ППД5[[#This Row],[Летние]],2)</f>
        <v>27.07</v>
      </c>
      <c r="U559" s="91">
        <f>ROUND(ППД5[[#This Row],[Площадь по проекту(общая)]]-(SUM(ППД5[[#This Row],[Лоджия 1]:[Лоджия 3]])/2),2)</f>
        <v>29.4</v>
      </c>
      <c r="V559" s="91">
        <f>IF(ППД5[[#This Row],[Статус]]="продажа",ППД5[[#This Row],[Расчетная проектная площадь]],ППД5[[#This Row],[Расчетная ТП площадь]])</f>
        <v>29.2</v>
      </c>
      <c r="W559" s="91">
        <v>13.7</v>
      </c>
      <c r="X559" s="91"/>
      <c r="Y559" s="91"/>
      <c r="Z559" s="91">
        <f>SUM(ППД5[[#This Row],[ТП Комната 1]:[ТП Комната 3]])</f>
        <v>13.7</v>
      </c>
      <c r="AA559" s="91">
        <v>5.8</v>
      </c>
      <c r="AB559" s="91">
        <v>3.7</v>
      </c>
      <c r="AC559" s="91"/>
      <c r="AD559" s="91"/>
      <c r="AE559" s="91">
        <v>3.7</v>
      </c>
      <c r="AF559" s="91">
        <v>2.2999999999999998</v>
      </c>
      <c r="AG559" s="91"/>
      <c r="AH559" s="91"/>
      <c r="AI559" s="91">
        <f>SUM(ППД5[[#This Row],[ТП Лоджия 1]:[ТП Лоджия 3]])</f>
        <v>2.2999999999999998</v>
      </c>
      <c r="AJ559" s="95">
        <v>4.5999999999999996</v>
      </c>
      <c r="AK559" s="91">
        <f>SUM(ППД5[[#This Row],[Площадь по ТП жилая]:[ТП Лоджия 3]])-ППД5[[#This Row],[ТП Летние]]+ППД5[[#This Row],[кроме того прочая
(без коэффициента)]]</f>
        <v>31.5</v>
      </c>
      <c r="AL559" s="95">
        <f>ППД5[[#This Row],[ТП Площадь без летних]]+(ППД5[[#This Row],[ТП Летние]])</f>
        <v>29.2</v>
      </c>
      <c r="AM559" s="91">
        <f>ППД5[[#This Row],[ТП общая S]]-ППД5[[#This Row],[кроме того прочая
(без коэффициента)]]</f>
        <v>26.9</v>
      </c>
      <c r="AN559" s="95">
        <f>SUM(ППД5[[#This Row],[ТП Кухня]:[ТП Коридор]])</f>
        <v>13.2</v>
      </c>
      <c r="AO559" s="91">
        <f>ППД5[[#This Row],[Расчетная ТП площадь]]-ППД5[[#This Row],[Расчетная проектная площадь]]</f>
        <v>-0.19999999999999929</v>
      </c>
      <c r="AP559" s="335">
        <f>ППД5[[#This Row],[Расчетная ТП площадь]]/ППД5[[#This Row],[Расчетная проектная площадь]]-1</f>
        <v>-6.8027210884353817E-3</v>
      </c>
      <c r="AQ559" s="91">
        <f>ППД5[[#This Row],[% расхождения]]*ППД5[[#This Row],[Стоимость до скидки]]</f>
        <v>-29904.761904761937</v>
      </c>
      <c r="AR559" s="91">
        <f>VLOOKUP(ППД5[[#This Row],[№]],наценкад5[],COLUMN(наценкад5[[#This Row],[Цена м2 с учетом всех K]]),0)</f>
        <v>96361.65</v>
      </c>
      <c r="AS559" s="8">
        <f>ППД5[[#This Row],[м2 после К]]*5%</f>
        <v>4818.0824999999995</v>
      </c>
      <c r="AT559" s="8">
        <f>ППД5[[#This Row],[м2 после К]]+ППД5[[#This Row],[Повышение 16.08.23 - 5%]]</f>
        <v>101179.7325</v>
      </c>
      <c r="AU559" s="93">
        <f>ППД5[[#This Row],[Фикс 16.08.23]]*3%</f>
        <v>3035.391975</v>
      </c>
      <c r="AV559" s="93">
        <f>ППД5[[#This Row],[Фикс 16.08.23]]+ППД5[[#This Row],[Повышение 29.08.23 - 3%]]</f>
        <v>104215.124475</v>
      </c>
      <c r="AW559" s="93">
        <f>ППД5[[#This Row],[Фикс 29.08.23]]*9%</f>
        <v>9379.3612027500003</v>
      </c>
      <c r="AX559" s="93">
        <f>ППД5[[#This Row],[Фикс 29.08.23]]+ППД5[[#This Row],[Повышение 06.09.23 СТ и 1К]]</f>
        <v>113594.48567775001</v>
      </c>
      <c r="AY559" s="93"/>
      <c r="AZ559" s="93">
        <f>ППД5[[#This Row],[Повышение 23.10.23  В4 ]]+ППД5[[#This Row],[Фикс 06.09.23]]</f>
        <v>113594.48567775001</v>
      </c>
      <c r="BA559" s="93"/>
      <c r="BB559" s="93">
        <f>ППД5[[#This Row],[Повышение 8.11.23 1К 5%]]+ППД5[[#This Row],[Фикс 23.10.23]]</f>
        <v>113594.48567775001</v>
      </c>
      <c r="BC559" s="93"/>
      <c r="BD559" s="93">
        <f>ППД5[[#This Row],[Корректировка 24.11.23 - 1К В5, 2К А2, №233]]+ППД5[[#This Row],[Фикс 8.11.23]]</f>
        <v>113594.48567775001</v>
      </c>
      <c r="BE559" s="93">
        <f>ППД5[[#This Row],[Фикс 8.11.24]]*1%</f>
        <v>1135.9448567775</v>
      </c>
      <c r="BF559" s="93">
        <f>ППД5[[#This Row],[Наценка за отделку 29.12.23 1%]]+ППД5[[#This Row],[Фикс 8.11.24]]</f>
        <v>114730.43053452751</v>
      </c>
      <c r="BG559" s="93">
        <f>ППД5[[#This Row],[Фикс 29.12.23]]*5%</f>
        <v>5736.5215267263757</v>
      </c>
      <c r="BH559" s="93">
        <f>ППД5[[#This Row],[Фикс 29.12.23]]+ППД5[[#This Row],[Наценка 10.01.24 5%]]</f>
        <v>120466.95206125388</v>
      </c>
      <c r="BI559" s="93"/>
      <c r="BJ559" s="93">
        <f>ППД5[[#This Row],[Наценка 26.02.24 1 Этаж]]+ППД5[[#This Row],[Фикс 10.01.24]]</f>
        <v>120466.95206125388</v>
      </c>
      <c r="BK559" s="93">
        <f>ППД5[[#This Row],[Фикс 26.02.24]]*3%</f>
        <v>3614.0085618376161</v>
      </c>
      <c r="BL559" s="93">
        <f>ППД5[[#This Row],[Фикс 26.02.24]]+ППД5[[#This Row],[Наценка 06.03.24
СТ, 1К - 3%
2К, 3К - 2%]]</f>
        <v>124080.96062309149</v>
      </c>
      <c r="BM559" s="93"/>
      <c r="BN559" s="93">
        <f>ППД5[[#This Row],[Фикс 06.03.24]]+ППД5[[#This Row],[Наценка Г2+500]]</f>
        <v>124080.96062309149</v>
      </c>
      <c r="BO559" s="93"/>
      <c r="BP559" s="93">
        <f>ППД5[[#This Row],[Фикс 13.03.25]]+ППД5[[#This Row],[Наценка 20.03.24
2К, 3К - 2%]]</f>
        <v>124080.96062309149</v>
      </c>
      <c r="BQ559" s="93"/>
      <c r="BR559" s="93">
        <f>ППД5[[#This Row],[Фикс 20.03.24]]+ППД5[[#This Row],[Наценка 08.04.24 
2К: В3 - 150
3К: Г7 +1000]]</f>
        <v>124080.96062309149</v>
      </c>
      <c r="BS559" s="93">
        <f>ППД5[[#This Row],[Фикс 08.04.24]]*1%</f>
        <v>1240.8096062309151</v>
      </c>
      <c r="BT559" s="93">
        <f>ППД5[[#This Row],[Фикс 08.04.24]]+ППД5[[#This Row],[Наценка 16.05.24 1%
А4,А6,Б3,Б6,Б7,В2,В3,В5,В6,Г1,Г3-Г5]]</f>
        <v>125321.77022932241</v>
      </c>
      <c r="BU559" s="93"/>
      <c r="BV559" s="93">
        <f>ППД5[[#This Row],[Фикс 16.05.24]]+ППД5[[#This Row],[Наценка 24.05.24
1% - Б4, Б5,Г2,Г6
2% - А1,А3,А5,Б2,Г7]]</f>
        <v>125321.77022932241</v>
      </c>
      <c r="BW559" s="93"/>
      <c r="BX559" s="93">
        <f>ППД5[[#This Row],[Наценка 06.06.24
0К: В2,Г3 +0,5%
1К: А7, Б5/4, Г6 +0,5%
3К: В6 +0,5%
1К: А3 +1%]]+ППД5[[#This Row],[Фикс 24.05.24]]</f>
        <v>125321.77022932241</v>
      </c>
      <c r="BY559" s="93"/>
      <c r="BZ559" s="93">
        <f>ППД5[[#This Row],[Фикс 06.06.24]]+ППД5[[#This Row],[13.06.2024
3К - 2%]]</f>
        <v>125321.77022932241</v>
      </c>
      <c r="CA559" s="93">
        <f>1.5%*ППД5[[#This Row],[Фикс 13.06.24]]</f>
        <v>1879.8265534398361</v>
      </c>
      <c r="CB559" s="93">
        <f>ППД5[[#This Row],[02.07.2024: Г3 А1 А3 Б5 Б7 Г2 Г6 Б3 Б4 В3 Г7 2,5% ост 0,5-1,5%]]+ППД5[[#This Row],[Фикс 13.06.24]]</f>
        <v>127201.59678276225</v>
      </c>
      <c r="CC559" s="93"/>
      <c r="CD559" s="93">
        <f>ППД5[[#This Row],[Фикс 02.07.24]]+ППД5[[#This Row],[04.09.2024 +500
0К - Б2; 1К - А3;
2К - А6, Б4, В3, Г5]]</f>
        <v>127201.59678276225</v>
      </c>
      <c r="CE559" s="93"/>
      <c r="CF559" s="93">
        <f>ППД5[[#This Row],[Наценка 16.09.2024
1К: А1,В7,Г6/7,Г8 - 2%
2К: А4,А5,А6,Б1,Б6,Б3/4,В3,В4,Г4,Г5 - 4%
3К: 4%]]+ППД5[[#This Row],[Фикс 04.09.24]]</f>
        <v>127201.59678276225</v>
      </c>
      <c r="CG559" s="93">
        <f>ППД5[[#This Row],[Фикс 16.09.2024]]*4%</f>
        <v>5088.06387131049</v>
      </c>
      <c r="CH559" s="93">
        <f>ППД5[[#This Row],[Фикс 16.09.2024]]+ППД5[[#This Row],[Наценка 01.11.24
СТ: 4%
1К: 34-40м 5%; 40м+ 8%; МГН 1%
2К: 55-70м 6%; 70-73м 7%; 73-76м 8% 
3К: 5%]]</f>
        <v>132289.66065407274</v>
      </c>
      <c r="CI559" s="93">
        <f>ППД5[[#This Row],[Фикс 01.11.24]]*13%</f>
        <v>17197.655885029457</v>
      </c>
      <c r="CJ559" s="93">
        <f>ППД5[[#This Row],[Наценка 06.11 13%]]+ППД5[[#This Row],[Фикс 01.11.24]]</f>
        <v>149487.3165391022</v>
      </c>
      <c r="CK559" s="93">
        <v>35</v>
      </c>
      <c r="CL559" s="93">
        <f>ППД5[[#This Row],[Фикс 06.11.24]]+ППД5[[#This Row],[Наценка 18.12.24 распределение КВ]]</f>
        <v>149522.3165391022</v>
      </c>
      <c r="CM559" s="93"/>
      <c r="CN559" s="93">
        <f>ППД5[[#This Row],[Фикс 18.12.24]]+ППД5[[#This Row],[Наценка 10.02.25 +1%
1К: А3
2К: Б3, В3]]</f>
        <v>149522.3165391022</v>
      </c>
      <c r="CO559" s="93">
        <f>ROUND(ППД5[[#This Row],[Фикс 10.02.25]],2)</f>
        <v>149522.32</v>
      </c>
      <c r="CP55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4396000</v>
      </c>
      <c r="CQ559" s="93">
        <f>ROUNDUP(ППД5[[#This Row],[Стоимость до скидки]]+ППД5[[#This Row],[Сумма доплаты]],-2)</f>
        <v>4366100</v>
      </c>
      <c r="CR559" s="68"/>
      <c r="CS559" s="90"/>
      <c r="CT559" s="68">
        <f>ППД5[[#This Row],[Стоимость до скидки]]*ППД5[[#This Row],[Скидка %]]+ППД5[[#This Row],[Скидка фиксированная]]</f>
        <v>0</v>
      </c>
      <c r="CU559" s="3">
        <f>ППД5[[#This Row],[Стоимость ОН без отделки со скидкой]]/ППД5[[#This Row],[Расчетная проектная площадь]]</f>
        <v>149523.80952380953</v>
      </c>
      <c r="CV559" s="3">
        <f>ROUND(ППД5[[#This Row],[Стоимость до скидки]]-ППД5[[#This Row],[Итоговая сумма скидки]],2)</f>
        <v>4396000</v>
      </c>
      <c r="CW55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559" s="218">
        <v>10000</v>
      </c>
      <c r="CY559" s="332">
        <f>ППД5[[#This Row],[Расхождение]]/ППД5[[#This Row],[Расчетная проектная площадь]]</f>
        <v>-6.8027210884353505E-3</v>
      </c>
      <c r="CZ559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-0.13000000000000078</v>
      </c>
      <c r="DA559" s="3">
        <f>ППД5[[#This Row],[Цена м2 без отделки со скидкой]]+ППД5[[#This Row],[Стоимость отделки]]</f>
        <v>159523.80952380953</v>
      </c>
      <c r="DB559" s="3">
        <f>ППД5[[#This Row],[Стоимость квартиры с отделкой]]-ППД5[[#This Row],[Стоимость ОН без отделки со скидкой]]</f>
        <v>294000</v>
      </c>
      <c r="DC559" s="3">
        <f>ППД5[[#This Row],[Цена м2 с отделкой]]*ППД5[[#This Row],[Расчетная проектная площадь]]</f>
        <v>4690000</v>
      </c>
      <c r="DD559" s="47"/>
      <c r="DF559" s="155" t="s">
        <v>157</v>
      </c>
      <c r="DG559" s="221" t="s">
        <v>157</v>
      </c>
      <c r="DH559" s="100" t="b">
        <f>EXACT(ППД5[[#This Row],[Статусы CRM]],ППД5[[#This Row],[Статус]])</f>
        <v>1</v>
      </c>
      <c r="DI559" s="213" t="s">
        <v>731</v>
      </c>
      <c r="DJ559" s="204"/>
      <c r="DK559" s="111" t="s">
        <v>763</v>
      </c>
      <c r="DL559" s="216" t="s">
        <v>780</v>
      </c>
      <c r="DM559" s="201" t="b">
        <f>ППД5[[#This Row],[Отделка CRM]]=ППД5[[#This Row],[Отделка]]</f>
        <v>1</v>
      </c>
      <c r="DN559" s="203">
        <v>4690000</v>
      </c>
      <c r="DO55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59" s="207" t="b">
        <f>IF(AND(ППД5[[#This Row],[Статус]]="свободно",ППД5[[#This Row],[Итоговая сумма скидки]]&lt;&gt;0),FALSE,TRUE)</f>
        <v>1</v>
      </c>
      <c r="DQ559" s="240" t="str">
        <f>_xlfn.XLOOKUP(ППД5[[#This Row],[№]],Юрист[№ кв],Юрист[Дата подачи на регистрацию]," ",0,-1)</f>
        <v xml:space="preserve"> </v>
      </c>
      <c r="DR559" s="115" t="str">
        <f>_xlfn.XLOOKUP(ППД5[[#This Row],[№]],Юрист[№ кв],Юрист[МОП],"",0,-1)</f>
        <v/>
      </c>
      <c r="DS559" s="333" t="s">
        <v>3410</v>
      </c>
      <c r="DT559" s="333" t="s">
        <v>3411</v>
      </c>
      <c r="DU559" s="333">
        <v>26.9</v>
      </c>
      <c r="DV559" s="111"/>
    </row>
    <row r="560" spans="1:126" hidden="1" x14ac:dyDescent="0.25">
      <c r="A560" s="112">
        <v>558</v>
      </c>
      <c r="B560" s="111" t="s">
        <v>2</v>
      </c>
      <c r="C560" s="111">
        <v>22</v>
      </c>
      <c r="D560" s="115">
        <v>2</v>
      </c>
      <c r="E560" s="111">
        <v>1</v>
      </c>
      <c r="F560" s="105">
        <v>13.17</v>
      </c>
      <c r="G560" s="105"/>
      <c r="H560" s="105"/>
      <c r="I560" s="94">
        <f>SUM(ППД5[[#This Row],[Комната 1]:[Комната 3]])</f>
        <v>13.17</v>
      </c>
      <c r="J560" s="105">
        <v>16.940000000000001</v>
      </c>
      <c r="K560" s="105">
        <v>3.55</v>
      </c>
      <c r="L560" s="105">
        <v>2.41</v>
      </c>
      <c r="M560" s="105"/>
      <c r="N560" s="105">
        <v>5.8</v>
      </c>
      <c r="O560" s="105">
        <v>2.68</v>
      </c>
      <c r="P560" s="105"/>
      <c r="Q560" s="105"/>
      <c r="R560" s="105">
        <f>SUM(ППД5[[#This Row],[Лоджия 1]:[Лоджия 3]])</f>
        <v>2.68</v>
      </c>
      <c r="S560" s="8">
        <f>ROUND(SUM(ППД5[[#This Row],[Площадь по проекту жилая]:[Лоджия 3]]),2)</f>
        <v>44.55</v>
      </c>
      <c r="T560" s="8">
        <f>ROUND(ППД5[[#This Row],[Площадь по проекту(общая)]]-ППД5[[#This Row],[Летние]],2)</f>
        <v>41.87</v>
      </c>
      <c r="U560" s="91">
        <f>ROUND(ППД5[[#This Row],[Площадь по проекту(общая)]]-(SUM(ППД5[[#This Row],[Лоджия 1]:[Лоджия 3]])/2),2)</f>
        <v>43.21</v>
      </c>
      <c r="V560" s="91">
        <f>IF(ППД5[[#This Row],[Статус]]="продажа",ППД5[[#This Row],[Расчетная проектная площадь]],ППД5[[#This Row],[Расчетная ТП площадь]])</f>
        <v>43.21</v>
      </c>
      <c r="W560" s="91">
        <v>13</v>
      </c>
      <c r="X560" s="91"/>
      <c r="Y560" s="91"/>
      <c r="Z560" s="91">
        <f>SUM(ППД5[[#This Row],[ТП Комната 1]:[ТП Комната 3]])</f>
        <v>13</v>
      </c>
      <c r="AA560" s="91">
        <v>16.8</v>
      </c>
      <c r="AB560" s="91">
        <v>2.1</v>
      </c>
      <c r="AC560" s="91">
        <v>3.3</v>
      </c>
      <c r="AD560" s="91"/>
      <c r="AE560" s="91">
        <v>5.8</v>
      </c>
      <c r="AF560" s="91">
        <v>1.35</v>
      </c>
      <c r="AG560" s="91"/>
      <c r="AH560" s="91"/>
      <c r="AI560" s="91">
        <f>SUM(ППД5[[#This Row],[ТП Лоджия 1]:[ТП Лоджия 3]])</f>
        <v>1.35</v>
      </c>
      <c r="AJ560" s="95">
        <v>2.7</v>
      </c>
      <c r="AK560" s="91">
        <f>SUM(ППД5[[#This Row],[Площадь по ТП жилая]:[ТП Лоджия 3]])-ППД5[[#This Row],[ТП Летние]]+ППД5[[#This Row],[кроме того прочая
(без коэффициента)]]</f>
        <v>43.7</v>
      </c>
      <c r="AL560" s="95">
        <f>ППД5[[#This Row],[ТП Площадь без летних]]+(ППД5[[#This Row],[ТП Летние]])</f>
        <v>42.35</v>
      </c>
      <c r="AM560" s="91">
        <f>ППД5[[#This Row],[ТП общая S]]-ППД5[[#This Row],[кроме того прочая
(без коэффициента)]]</f>
        <v>41</v>
      </c>
      <c r="AN560" s="95">
        <f>SUM(ППД5[[#This Row],[ТП Кухня]:[ТП Коридор]])</f>
        <v>28.000000000000004</v>
      </c>
      <c r="AO560" s="91">
        <f>ППД5[[#This Row],[Расчетная ТП площадь]]-ППД5[[#This Row],[Расчетная проектная площадь]]</f>
        <v>-0.85999999999999943</v>
      </c>
      <c r="AP560" s="335">
        <f>ППД5[[#This Row],[Расчетная ТП площадь]]/ППД5[[#This Row],[Расчетная проектная площадь]]-1</f>
        <v>-1.9902800277713517E-2</v>
      </c>
      <c r="AQ560" s="91">
        <f>ППД5[[#This Row],[% расхождения]]*ППД5[[#This Row],[Стоимость до скидки]]</f>
        <v>-90408.470261513648</v>
      </c>
      <c r="AR560" s="91">
        <f>VLOOKUP(ППД5[[#This Row],[№]],наценкад5[],COLUMN(наценкад5[[#This Row],[Цена м2 с учетом всех K]]),0)</f>
        <v>91657.125</v>
      </c>
      <c r="AS560" s="8">
        <f>ППД5[[#This Row],[м2 после К]]*5%</f>
        <v>4582.8562499999998</v>
      </c>
      <c r="AT560" s="8">
        <f>ППД5[[#This Row],[м2 после К]]+ППД5[[#This Row],[Повышение 16.08.23 - 5%]]</f>
        <v>96239.981249999997</v>
      </c>
      <c r="AU560" s="93">
        <f>ППД5[[#This Row],[Фикс 16.08.23]]*3%</f>
        <v>2887.1994374999999</v>
      </c>
      <c r="AV560" s="93">
        <f>ППД5[[#This Row],[Фикс 16.08.23]]+ППД5[[#This Row],[Повышение 29.08.23 - 3%]]</f>
        <v>99127.180687500004</v>
      </c>
      <c r="AW560" s="93">
        <f>ППД5[[#This Row],[Фикс 29.08.23]]*1%</f>
        <v>991.27180687500004</v>
      </c>
      <c r="AX560" s="93">
        <f>ППД5[[#This Row],[Фикс 29.08.23]]+ППД5[[#This Row],[Повышение 06.09.23 СТ и 1К]]</f>
        <v>100118.452494375</v>
      </c>
      <c r="AY560" s="93"/>
      <c r="AZ560" s="93">
        <f>ППД5[[#This Row],[Повышение 23.10.23  В4 ]]+ППД5[[#This Row],[Фикс 06.09.23]]</f>
        <v>100118.452494375</v>
      </c>
      <c r="BA560" s="93">
        <f>ППД5[[#This Row],[Фикс 23.10.23]]*5%</f>
        <v>5005.9226247187507</v>
      </c>
      <c r="BB560" s="93">
        <f>ППД5[[#This Row],[Повышение 8.11.23 1К 5%]]+ППД5[[#This Row],[Фикс 23.10.23]]</f>
        <v>105124.37511909375</v>
      </c>
      <c r="BC560" s="93"/>
      <c r="BD560" s="93">
        <f>ППД5[[#This Row],[Корректировка 24.11.23 - 1К В5, 2К А2, №233]]+ППД5[[#This Row],[Фикс 8.11.23]]</f>
        <v>105124.37511909375</v>
      </c>
      <c r="BE560" s="93"/>
      <c r="BF560" s="93">
        <f>ППД5[[#This Row],[Наценка за отделку 29.12.23 1%]]+ППД5[[#This Row],[Фикс 8.11.24]]</f>
        <v>105124.37511909375</v>
      </c>
      <c r="BG560" s="93"/>
      <c r="BH560" s="93">
        <f>ППД5[[#This Row],[Фикс 29.12.23]]+ППД5[[#This Row],[Наценка 10.01.24 5%]]</f>
        <v>105124.37511909375</v>
      </c>
      <c r="BI560" s="93"/>
      <c r="BJ560" s="93">
        <f>ППД5[[#This Row],[Наценка 26.02.24 1 Этаж]]+ППД5[[#This Row],[Фикс 10.01.24]]</f>
        <v>105124.37511909375</v>
      </c>
      <c r="BK560" s="93"/>
      <c r="BL560" s="93">
        <f>ППД5[[#This Row],[Фикс 26.02.24]]+ППД5[[#This Row],[Наценка 06.03.24
СТ, 1К - 3%
2К, 3К - 2%]]</f>
        <v>105124.37511909375</v>
      </c>
      <c r="BM560" s="93"/>
      <c r="BN560" s="93">
        <f>ППД5[[#This Row],[Фикс 06.03.24]]+ППД5[[#This Row],[Наценка Г2+500]]</f>
        <v>105124.37511909375</v>
      </c>
      <c r="BO560" s="93"/>
      <c r="BP560" s="93">
        <f>ППД5[[#This Row],[Фикс 13.03.25]]+ППД5[[#This Row],[Наценка 20.03.24
2К, 3К - 2%]]</f>
        <v>105124.37511909375</v>
      </c>
      <c r="BQ560" s="93"/>
      <c r="BR560" s="93">
        <f>ППД5[[#This Row],[Фикс 20.03.24]]+ППД5[[#This Row],[Наценка 08.04.24 
2К: В3 - 150
3К: Г7 +1000]]</f>
        <v>105124.37511909375</v>
      </c>
      <c r="BS560" s="93"/>
      <c r="BT560" s="93">
        <f>ППД5[[#This Row],[Фикс 08.04.24]]+ППД5[[#This Row],[Наценка 16.05.24 1%
А4,А6,Б3,Б6,Б7,В2,В3,В5,В6,Г1,Г3-Г5]]</f>
        <v>105124.37511909375</v>
      </c>
      <c r="BU560" s="93"/>
      <c r="BV560" s="93">
        <f>ППД5[[#This Row],[Фикс 16.05.24]]+ППД5[[#This Row],[Наценка 24.05.24
1% - Б4, Б5,Г2,Г6
2% - А1,А3,А5,Б2,Г7]]</f>
        <v>105124.37511909375</v>
      </c>
      <c r="BW560" s="93"/>
      <c r="BX560" s="93">
        <f>ППД5[[#This Row],[Наценка 06.06.24
0К: В2,Г3 +0,5%
1К: А7, Б5/4, Г6 +0,5%
3К: В6 +0,5%
1К: А3 +1%]]+ППД5[[#This Row],[Фикс 24.05.24]]</f>
        <v>105124.37511909375</v>
      </c>
      <c r="BY560" s="93"/>
      <c r="BZ560" s="93">
        <f>ППД5[[#This Row],[Фикс 06.06.24]]+ППД5[[#This Row],[13.06.2024
3К - 2%]]</f>
        <v>105124.37511909375</v>
      </c>
      <c r="CA560" s="93"/>
      <c r="CB560" s="93">
        <f>ППД5[[#This Row],[02.07.2024: Г3 А1 А3 Б5 Б7 Г2 Г6 Б3 Б4 В3 Г7 2,5% ост 0,5-1,5%]]+ППД5[[#This Row],[Фикс 13.06.24]]</f>
        <v>105124.37511909375</v>
      </c>
      <c r="CC560" s="93"/>
      <c r="CD560" s="93">
        <f>ППД5[[#This Row],[Фикс 02.07.24]]+ППД5[[#This Row],[04.09.2024 +500
0К - Б2; 1К - А3;
2К - А6, Б4, В3, Г5]]</f>
        <v>105124.37511909375</v>
      </c>
      <c r="CE560" s="93"/>
      <c r="CF560" s="93">
        <f>ППД5[[#This Row],[Наценка 16.09.2024
1К: А1,В7,Г6/7,Г8 - 2%
2К: А4,А5,А6,Б1,Б6,Б3/4,В3,В4,Г4,Г5 - 4%
3К: 4%]]+ППД5[[#This Row],[Фикс 04.09.24]]</f>
        <v>105124.37511909375</v>
      </c>
      <c r="CG560" s="93"/>
      <c r="CH560" s="93">
        <f>ППД5[[#This Row],[Фикс 16.09.2024]]+ППД5[[#This Row],[Наценка 01.11.24
СТ: 4%
1К: 34-40м 5%; 40м+ 8%; МГН 1%
2К: 55-70м 6%; 70-73м 7%; 73-76м 8% 
3К: 5%]]</f>
        <v>105124.37511909375</v>
      </c>
      <c r="CI560" s="93"/>
      <c r="CJ560" s="93">
        <f>ППД5[[#This Row],[Наценка 06.11 13%]]+ППД5[[#This Row],[Фикс 01.11.24]]</f>
        <v>105124.37511909375</v>
      </c>
      <c r="CK560" s="93"/>
      <c r="CL560" s="93">
        <f>ППД5[[#This Row],[Фикс 06.11.24]]+ППД5[[#This Row],[Наценка 18.12.24 распределение КВ]]</f>
        <v>105124.37511909375</v>
      </c>
      <c r="CM560" s="93"/>
      <c r="CN560" s="93">
        <f>ППД5[[#This Row],[Фикс 18.12.24]]+ППД5[[#This Row],[Наценка 10.02.25 +1%
1К: А3
2К: Б3, В3]]</f>
        <v>105124.37511909375</v>
      </c>
      <c r="CO560" s="93">
        <f>ROUND(ППД5[[#This Row],[Фикс 10.02.25]],2)</f>
        <v>105124.38</v>
      </c>
      <c r="CP56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4542500</v>
      </c>
      <c r="CQ560" s="93">
        <f>ROUNDUP(ППД5[[#This Row],[Стоимость до скидки]]+ППД5[[#This Row],[Сумма доплаты]],-2)</f>
        <v>4452100</v>
      </c>
      <c r="CR560" s="68"/>
      <c r="CS560" s="90">
        <v>7.0000000000000007E-2</v>
      </c>
      <c r="CT560" s="68">
        <f>ППД5[[#This Row],[Стоимость до скидки]]*ППД5[[#This Row],[Скидка %]]+ППД5[[#This Row],[Скидка фиксированная]]</f>
        <v>317975.00000000006</v>
      </c>
      <c r="CU560" s="3">
        <f>ППД5[[#This Row],[Стоимость ОН без отделки со скидкой]]/ППД5[[#This Row],[Расчетная проектная площадь]]</f>
        <v>97767.299236287901</v>
      </c>
      <c r="CV560" s="3">
        <f>ROUND(ППД5[[#This Row],[Стоимость до скидки]]-ППД5[[#This Row],[Итоговая сумма скидки]],2)</f>
        <v>4224525</v>
      </c>
      <c r="CW56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560" s="197">
        <v>22000</v>
      </c>
      <c r="CY560" s="332">
        <f>ППД5[[#This Row],[Расхождение]]/ППД5[[#This Row],[Расчетная проектная площадь]]</f>
        <v>-1.9902800277713479E-2</v>
      </c>
      <c r="CZ56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-0.69999999999999929</v>
      </c>
      <c r="DA560" s="3">
        <f>ППД5[[#This Row],[Цена м2 без отделки со скидкой]]+ППД5[[#This Row],[Стоимость отделки]]</f>
        <v>119767.2992362879</v>
      </c>
      <c r="DB560" s="3">
        <f>ППД5[[#This Row],[Стоимость квартиры с отделкой]]-ППД5[[#This Row],[Стоимость ОН без отделки со скидкой]]</f>
        <v>950620</v>
      </c>
      <c r="DC560" s="3">
        <f>ППД5[[#This Row],[Цена м2 с отделкой]]*ППД5[[#This Row],[Расчетная проектная площадь]]</f>
        <v>5175145</v>
      </c>
      <c r="DD560" s="47"/>
      <c r="DE560" s="111" t="s">
        <v>767</v>
      </c>
      <c r="DF560" s="199" t="s">
        <v>172</v>
      </c>
      <c r="DG560" s="245" t="s">
        <v>172</v>
      </c>
      <c r="DH560" s="100" t="b">
        <f>EXACT(ППД5[[#This Row],[Статусы CRM]],ППД5[[#This Row],[Статус]])</f>
        <v>1</v>
      </c>
      <c r="DI560" s="213" t="s">
        <v>732</v>
      </c>
      <c r="DJ560" s="204"/>
      <c r="DK560" s="111" t="s">
        <v>763</v>
      </c>
      <c r="DL560" s="216" t="s">
        <v>14</v>
      </c>
      <c r="DM560" s="201" t="b">
        <f>ППД5[[#This Row],[Отделка CRM]]=ППД5[[#This Row],[Отделка]]</f>
        <v>1</v>
      </c>
      <c r="DN560" s="203">
        <v>5175145</v>
      </c>
      <c r="DO56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60" s="207" t="b">
        <f>IF(AND(ППД5[[#This Row],[Статус]]="свободно",ППД5[[#This Row],[Итоговая сумма скидки]]&lt;&gt;0),FALSE,TRUE)</f>
        <v>1</v>
      </c>
      <c r="DQ560" s="240">
        <f>_xlfn.XLOOKUP(ППД5[[#This Row],[№]],Юрист[№ кв],Юрист[Дата подачи на регистрацию]," ",0,-1)</f>
        <v>45260</v>
      </c>
      <c r="DR560" s="115" t="str">
        <f>_xlfn.XLOOKUP(ППД5[[#This Row],[№]],Юрист[№ кв],Юрист[МОП],"",0,-1)</f>
        <v>Никишов</v>
      </c>
      <c r="DS560" s="333" t="s">
        <v>3412</v>
      </c>
      <c r="DT560" s="333" t="s">
        <v>3413</v>
      </c>
      <c r="DU560" s="333">
        <v>41</v>
      </c>
      <c r="DV560" s="111"/>
    </row>
    <row r="561" spans="1:126" hidden="1" x14ac:dyDescent="0.25">
      <c r="A561" s="112">
        <v>559</v>
      </c>
      <c r="B561" s="111" t="s">
        <v>2</v>
      </c>
      <c r="C561" s="111">
        <v>22</v>
      </c>
      <c r="D561" s="115">
        <v>3</v>
      </c>
      <c r="E561" s="111">
        <v>0</v>
      </c>
      <c r="F561" s="105">
        <v>7.2</v>
      </c>
      <c r="G561" s="105"/>
      <c r="H561" s="105"/>
      <c r="I561" s="94">
        <f>SUM(ППД5[[#This Row],[Комната 1]:[Комната 3]])</f>
        <v>7.2</v>
      </c>
      <c r="J561" s="105">
        <v>5.17</v>
      </c>
      <c r="K561" s="105">
        <v>3.71</v>
      </c>
      <c r="L561" s="105"/>
      <c r="M561" s="105"/>
      <c r="N561" s="105">
        <v>6.96</v>
      </c>
      <c r="O561" s="105">
        <v>2.92</v>
      </c>
      <c r="P561" s="105"/>
      <c r="Q561" s="105"/>
      <c r="R561" s="105">
        <f>SUM(ППД5[[#This Row],[Лоджия 1]:[Лоджия 3]])</f>
        <v>2.92</v>
      </c>
      <c r="S561" s="8">
        <f>ROUND(SUM(ППД5[[#This Row],[Площадь по проекту жилая]:[Лоджия 3]]),2)</f>
        <v>25.96</v>
      </c>
      <c r="T561" s="8">
        <f>ROUND(ППД5[[#This Row],[Площадь по проекту(общая)]]-ППД5[[#This Row],[Летние]],2)</f>
        <v>23.04</v>
      </c>
      <c r="U561" s="91">
        <f>ROUND(ППД5[[#This Row],[Площадь по проекту(общая)]]-(SUM(ППД5[[#This Row],[Лоджия 1]:[Лоджия 3]])/2),2)</f>
        <v>24.5</v>
      </c>
      <c r="V561" s="91">
        <f>IF(ППД5[[#This Row],[Статус]]="продажа",ППД5[[#This Row],[Расчетная проектная площадь]],ППД5[[#This Row],[Расчетная ТП площадь]])</f>
        <v>24.250000000000004</v>
      </c>
      <c r="W561" s="91">
        <v>7.2</v>
      </c>
      <c r="X561" s="91"/>
      <c r="Y561" s="91"/>
      <c r="Z561" s="91">
        <f>SUM(ППД5[[#This Row],[ТП Комната 1]:[ТП Комната 3]])</f>
        <v>7.2</v>
      </c>
      <c r="AA561" s="91">
        <v>5.6</v>
      </c>
      <c r="AB561" s="91">
        <v>3.6</v>
      </c>
      <c r="AC561" s="91"/>
      <c r="AD561" s="91"/>
      <c r="AE561" s="91">
        <v>6.4</v>
      </c>
      <c r="AF561" s="91">
        <v>1.45</v>
      </c>
      <c r="AG561" s="91"/>
      <c r="AH561" s="91"/>
      <c r="AI561" s="91">
        <f>SUM(ППД5[[#This Row],[ТП Лоджия 1]:[ТП Лоджия 3]])</f>
        <v>1.45</v>
      </c>
      <c r="AJ561" s="95">
        <v>2.9</v>
      </c>
      <c r="AK561" s="91">
        <f>SUM(ППД5[[#This Row],[Площадь по ТП жилая]:[ТП Лоджия 3]])-ППД5[[#This Row],[ТП Летние]]+ППД5[[#This Row],[кроме того прочая
(без коэффициента)]]</f>
        <v>25.700000000000003</v>
      </c>
      <c r="AL561" s="95">
        <f>ППД5[[#This Row],[ТП Площадь без летних]]+(ППД5[[#This Row],[ТП Летние]])</f>
        <v>24.250000000000004</v>
      </c>
      <c r="AM561" s="91">
        <f>ППД5[[#This Row],[ТП общая S]]-ППД5[[#This Row],[кроме того прочая
(без коэффициента)]]</f>
        <v>22.800000000000004</v>
      </c>
      <c r="AN561" s="95">
        <f>SUM(ППД5[[#This Row],[ТП Кухня]:[ТП Коридор]])</f>
        <v>15.6</v>
      </c>
      <c r="AO561" s="91">
        <f>ППД5[[#This Row],[Расчетная ТП площадь]]-ППД5[[#This Row],[Расчетная проектная площадь]]</f>
        <v>-0.24999999999999645</v>
      </c>
      <c r="AP561" s="335">
        <f>ППД5[[#This Row],[Расчетная ТП площадь]]/ППД5[[#This Row],[Расчетная проектная площадь]]-1</f>
        <v>-1.0204081632652962E-2</v>
      </c>
      <c r="AQ561" s="91">
        <f>ППД5[[#This Row],[% расхождения]]*ППД5[[#This Row],[Стоимость до скидки]]</f>
        <v>-38627.551020407787</v>
      </c>
      <c r="AR561" s="91">
        <f>VLOOKUP(ППД5[[#This Row],[№]],наценкад5[],COLUMN(наценкад5[[#This Row],[Цена м2 с учетом всех K]]),0)</f>
        <v>98113.68</v>
      </c>
      <c r="AS561" s="8">
        <f>ППД5[[#This Row],[м2 после К]]*5%</f>
        <v>4905.6840000000002</v>
      </c>
      <c r="AT561" s="8">
        <f>ППД5[[#This Row],[м2 после К]]+ППД5[[#This Row],[Повышение 16.08.23 - 5%]]</f>
        <v>103019.36399999999</v>
      </c>
      <c r="AU561" s="93">
        <f>ППД5[[#This Row],[Фикс 16.08.23]]*3%</f>
        <v>3090.5809199999994</v>
      </c>
      <c r="AV561" s="93">
        <f>ППД5[[#This Row],[Фикс 16.08.23]]+ППД5[[#This Row],[Повышение 29.08.23 - 3%]]</f>
        <v>106109.94491999998</v>
      </c>
      <c r="AW561" s="93">
        <f>ППД5[[#This Row],[Фикс 29.08.23]]*9%</f>
        <v>9549.8950427999971</v>
      </c>
      <c r="AX561" s="93">
        <f>ППД5[[#This Row],[Фикс 29.08.23]]+ППД5[[#This Row],[Повышение 06.09.23 СТ и 1К]]</f>
        <v>115659.83996279998</v>
      </c>
      <c r="AY561" s="93"/>
      <c r="AZ561" s="93">
        <f>ППД5[[#This Row],[Повышение 23.10.23  В4 ]]+ППД5[[#This Row],[Фикс 06.09.23]]</f>
        <v>115659.83996279998</v>
      </c>
      <c r="BA561" s="93"/>
      <c r="BB561" s="93">
        <f>ППД5[[#This Row],[Повышение 8.11.23 1К 5%]]+ППД5[[#This Row],[Фикс 23.10.23]]</f>
        <v>115659.83996279998</v>
      </c>
      <c r="BC561" s="93"/>
      <c r="BD561" s="93">
        <f>ППД5[[#This Row],[Корректировка 24.11.23 - 1К В5, 2К А2, №233]]+ППД5[[#This Row],[Фикс 8.11.23]]</f>
        <v>115659.83996279998</v>
      </c>
      <c r="BE561" s="93">
        <f>ППД5[[#This Row],[Фикс 8.11.24]]*1%</f>
        <v>1156.5983996279997</v>
      </c>
      <c r="BF561" s="93">
        <f>ППД5[[#This Row],[Наценка за отделку 29.12.23 1%]]+ППД5[[#This Row],[Фикс 8.11.24]]</f>
        <v>116816.43836242797</v>
      </c>
      <c r="BG561" s="93">
        <f>ППД5[[#This Row],[Фикс 29.12.23]]*5%</f>
        <v>5840.821918121399</v>
      </c>
      <c r="BH561" s="93">
        <f>ППД5[[#This Row],[Фикс 29.12.23]]+ППД5[[#This Row],[Наценка 10.01.24 5%]]</f>
        <v>122657.26028054937</v>
      </c>
      <c r="BI561" s="93"/>
      <c r="BJ561" s="93">
        <f>ППД5[[#This Row],[Наценка 26.02.24 1 Этаж]]+ППД5[[#This Row],[Фикс 10.01.24]]</f>
        <v>122657.26028054937</v>
      </c>
      <c r="BK561" s="93">
        <f>ППД5[[#This Row],[Фикс 26.02.24]]*3%</f>
        <v>3679.7178084164807</v>
      </c>
      <c r="BL561" s="93">
        <f>ППД5[[#This Row],[Фикс 26.02.24]]+ППД5[[#This Row],[Наценка 06.03.24
СТ, 1К - 3%
2К, 3К - 2%]]</f>
        <v>126336.97808896584</v>
      </c>
      <c r="BM561" s="93"/>
      <c r="BN561" s="93">
        <f>ППД5[[#This Row],[Фикс 06.03.24]]+ППД5[[#This Row],[Наценка Г2+500]]</f>
        <v>126336.97808896584</v>
      </c>
      <c r="BO561" s="93"/>
      <c r="BP561" s="93">
        <f>ППД5[[#This Row],[Фикс 13.03.25]]+ППД5[[#This Row],[Наценка 20.03.24
2К, 3К - 2%]]</f>
        <v>126336.97808896584</v>
      </c>
      <c r="BQ561" s="93"/>
      <c r="BR561" s="93">
        <f>ППД5[[#This Row],[Фикс 20.03.24]]+ППД5[[#This Row],[Наценка 08.04.24 
2К: В3 - 150
3К: Г7 +1000]]</f>
        <v>126336.97808896584</v>
      </c>
      <c r="BS561" s="93">
        <f>ППД5[[#This Row],[Фикс 08.04.24]]*1%</f>
        <v>1263.3697808896584</v>
      </c>
      <c r="BT561" s="93">
        <f>ППД5[[#This Row],[Фикс 08.04.24]]+ППД5[[#This Row],[Наценка 16.05.24 1%
А4,А6,Б3,Б6,Б7,В2,В3,В5,В6,Г1,Г3-Г5]]</f>
        <v>127600.3478698555</v>
      </c>
      <c r="BU561" s="93"/>
      <c r="BV561" s="93">
        <f>ППД5[[#This Row],[Фикс 16.05.24]]+ППД5[[#This Row],[Наценка 24.05.24
1% - Б4, Б5,Г2,Г6
2% - А1,А3,А5,Б2,Г7]]</f>
        <v>127600.3478698555</v>
      </c>
      <c r="BW561" s="93">
        <f>ППД5[[#This Row],[Фикс 24.05.24]]*0.5%</f>
        <v>638.0017393492775</v>
      </c>
      <c r="BX561" s="93">
        <f>ППД5[[#This Row],[Наценка 06.06.24
0К: В2,Г3 +0,5%
1К: А7, Б5/4, Г6 +0,5%
3К: В6 +0,5%
1К: А3 +1%]]+ППД5[[#This Row],[Фикс 24.05.24]]</f>
        <v>128238.34960920477</v>
      </c>
      <c r="BY561" s="93"/>
      <c r="BZ561" s="93">
        <f>ППД5[[#This Row],[Фикс 06.06.24]]+ППД5[[#This Row],[13.06.2024
3К - 2%]]</f>
        <v>128238.34960920477</v>
      </c>
      <c r="CA561" s="93">
        <f>2.5%*ППД5[[#This Row],[Фикс 13.06.24]]</f>
        <v>3205.9587402301195</v>
      </c>
      <c r="CB561" s="93">
        <f>ППД5[[#This Row],[02.07.2024: Г3 А1 А3 Б5 Б7 Г2 Г6 Б3 Б4 В3 Г7 2,5% ост 0,5-1,5%]]+ППД5[[#This Row],[Фикс 13.06.24]]</f>
        <v>131444.3083494349</v>
      </c>
      <c r="CC561" s="93"/>
      <c r="CD561" s="93">
        <f>ППД5[[#This Row],[Фикс 02.07.24]]+ППД5[[#This Row],[04.09.2024 +500
0К - Б2; 1К - А3;
2К - А6, Б4, В3, Г5]]</f>
        <v>131444.3083494349</v>
      </c>
      <c r="CE561" s="93"/>
      <c r="CF561" s="93">
        <f>ППД5[[#This Row],[Наценка 16.09.2024
1К: А1,В7,Г6/7,Г8 - 2%
2К: А4,А5,А6,Б1,Б6,Б3/4,В3,В4,Г4,Г5 - 4%
3К: 4%]]+ППД5[[#This Row],[Фикс 04.09.24]]</f>
        <v>131444.3083494349</v>
      </c>
      <c r="CG561" s="93">
        <f>ППД5[[#This Row],[Фикс 16.09.2024]]*4%</f>
        <v>5257.7723339773956</v>
      </c>
      <c r="CH561" s="93">
        <f>ППД5[[#This Row],[Фикс 16.09.2024]]+ППД5[[#This Row],[Наценка 01.11.24
СТ: 4%
1К: 34-40м 5%; 40м+ 8%; МГН 1%
2К: 55-70м 6%; 70-73м 7%; 73-76м 8% 
3К: 5%]]</f>
        <v>136702.08068341229</v>
      </c>
      <c r="CI561" s="93">
        <f>ППД5[[#This Row],[Фикс 01.11.24]]*13%</f>
        <v>17771.270488843598</v>
      </c>
      <c r="CJ561" s="93">
        <f>ППД5[[#This Row],[Наценка 06.11 13%]]+ППД5[[#This Row],[Фикс 01.11.24]]</f>
        <v>154473.35117225588</v>
      </c>
      <c r="CK561" s="93">
        <v>35</v>
      </c>
      <c r="CL561" s="93">
        <f>ППД5[[#This Row],[Фикс 06.11.24]]+ППД5[[#This Row],[Наценка 18.12.24 распределение КВ]]</f>
        <v>154508.35117225588</v>
      </c>
      <c r="CM561" s="93"/>
      <c r="CN561" s="93">
        <f>ППД5[[#This Row],[Фикс 18.12.24]]+ППД5[[#This Row],[Наценка 10.02.25 +1%
1К: А3
2К: Б3, В3]]</f>
        <v>154508.35117225588</v>
      </c>
      <c r="CO561" s="93">
        <f>ROUND(ППД5[[#This Row],[Фикс 10.02.25]],2)</f>
        <v>154508.35</v>
      </c>
      <c r="CP56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3785500</v>
      </c>
      <c r="CQ561" s="93">
        <f>ROUNDUP(ППД5[[#This Row],[Стоимость до скидки]]+ППД5[[#This Row],[Сумма доплаты]],-2)</f>
        <v>3746900</v>
      </c>
      <c r="CR561" s="68"/>
      <c r="CS561" s="90"/>
      <c r="CT561" s="68">
        <f>ППД5[[#This Row],[Стоимость до скидки]]*ППД5[[#This Row],[Скидка %]]+ППД5[[#This Row],[Скидка фиксированная]]</f>
        <v>0</v>
      </c>
      <c r="CU561" s="3">
        <f>ППД5[[#This Row],[Стоимость ОН без отделки со скидкой]]/ППД5[[#This Row],[Расчетная проектная площадь]]</f>
        <v>154510.20408163266</v>
      </c>
      <c r="CV561" s="3">
        <f>ROUND(ППД5[[#This Row],[Стоимость до скидки]]-ППД5[[#This Row],[Итоговая сумма скидки]],2)</f>
        <v>3785500</v>
      </c>
      <c r="CW56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561" s="218">
        <v>10000</v>
      </c>
      <c r="CY561" s="332">
        <f>ППД5[[#This Row],[Расхождение]]/ППД5[[#This Row],[Расчетная проектная площадь]]</f>
        <v>-1.0204081632652916E-2</v>
      </c>
      <c r="CZ561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-0.23999999999999932</v>
      </c>
      <c r="DA561" s="3">
        <f>ППД5[[#This Row],[Цена м2 без отделки со скидкой]]+ППД5[[#This Row],[Стоимость отделки]]</f>
        <v>164510.20408163266</v>
      </c>
      <c r="DB561" s="3">
        <f>ППД5[[#This Row],[Стоимость квартиры с отделкой]]-ППД5[[#This Row],[Стоимость ОН без отделки со скидкой]]</f>
        <v>245000</v>
      </c>
      <c r="DC561" s="3">
        <f>ППД5[[#This Row],[Цена м2 с отделкой]]*ППД5[[#This Row],[Расчетная проектная площадь]]</f>
        <v>4030500</v>
      </c>
      <c r="DD561" s="47"/>
      <c r="DF561" s="155" t="s">
        <v>157</v>
      </c>
      <c r="DG561" s="221" t="s">
        <v>157</v>
      </c>
      <c r="DH561" s="100" t="b">
        <f>EXACT(ППД5[[#This Row],[Статусы CRM]],ППД5[[#This Row],[Статус]])</f>
        <v>1</v>
      </c>
      <c r="DI561" s="213" t="s">
        <v>733</v>
      </c>
      <c r="DJ561" s="204"/>
      <c r="DK561" s="111" t="s">
        <v>763</v>
      </c>
      <c r="DL561" s="216" t="s">
        <v>780</v>
      </c>
      <c r="DM561" s="201" t="b">
        <f>ППД5[[#This Row],[Отделка CRM]]=ППД5[[#This Row],[Отделка]]</f>
        <v>1</v>
      </c>
      <c r="DN561" s="203">
        <v>4030500</v>
      </c>
      <c r="DO56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61" s="207" t="b">
        <f>IF(AND(ППД5[[#This Row],[Статус]]="свободно",ППД5[[#This Row],[Итоговая сумма скидки]]&lt;&gt;0),FALSE,TRUE)</f>
        <v>1</v>
      </c>
      <c r="DQ561" s="240" t="str">
        <f>_xlfn.XLOOKUP(ППД5[[#This Row],[№]],Юрист[№ кв],Юрист[Дата подачи на регистрацию]," ",0,-1)</f>
        <v xml:space="preserve"> </v>
      </c>
      <c r="DR561" s="115" t="str">
        <f>_xlfn.XLOOKUP(ППД5[[#This Row],[№]],Юрист[№ кв],Юрист[МОП],"",0,-1)</f>
        <v/>
      </c>
      <c r="DS561" s="333" t="s">
        <v>3414</v>
      </c>
      <c r="DT561" s="333" t="s">
        <v>3415</v>
      </c>
      <c r="DU561" s="333">
        <v>22.8</v>
      </c>
      <c r="DV561" s="111"/>
    </row>
    <row r="562" spans="1:126" hidden="1" x14ac:dyDescent="0.25">
      <c r="A562" s="112">
        <v>560</v>
      </c>
      <c r="B562" s="111" t="s">
        <v>2</v>
      </c>
      <c r="C562" s="111">
        <v>22</v>
      </c>
      <c r="D562" s="115">
        <v>4</v>
      </c>
      <c r="E562" s="111">
        <v>2</v>
      </c>
      <c r="F562" s="105">
        <v>14.48</v>
      </c>
      <c r="G562" s="105">
        <v>11.42</v>
      </c>
      <c r="H562" s="105"/>
      <c r="I562" s="94">
        <f>SUM(ППД5[[#This Row],[Комната 1]:[Комната 3]])</f>
        <v>25.9</v>
      </c>
      <c r="J562" s="105">
        <v>15.86</v>
      </c>
      <c r="K562" s="105">
        <v>3.01</v>
      </c>
      <c r="L562" s="105">
        <v>2.67</v>
      </c>
      <c r="M562" s="105"/>
      <c r="N562" s="105">
        <v>9.44</v>
      </c>
      <c r="O562" s="105">
        <v>2.72</v>
      </c>
      <c r="P562" s="105"/>
      <c r="Q562" s="105"/>
      <c r="R562" s="105">
        <f>SUM(ППД5[[#This Row],[Лоджия 1]:[Лоджия 3]])</f>
        <v>2.72</v>
      </c>
      <c r="S562" s="8">
        <f>ROUND(SUM(ППД5[[#This Row],[Площадь по проекту жилая]:[Лоджия 3]]),2)</f>
        <v>59.6</v>
      </c>
      <c r="T562" s="8">
        <f>ROUND(ППД5[[#This Row],[Площадь по проекту(общая)]]-ППД5[[#This Row],[Летние]],2)</f>
        <v>56.88</v>
      </c>
      <c r="U562" s="91">
        <f>ROUND(ППД5[[#This Row],[Площадь по проекту(общая)]]-(SUM(ППД5[[#This Row],[Лоджия 1]:[Лоджия 3]])/2),2)</f>
        <v>58.24</v>
      </c>
      <c r="V562" s="91">
        <f>IF(ППД5[[#This Row],[Статус]]="продажа",ППД5[[#This Row],[Расчетная проектная площадь]],ППД5[[#This Row],[Расчетная ТП площадь]])</f>
        <v>57.95</v>
      </c>
      <c r="W562" s="91">
        <v>14.4</v>
      </c>
      <c r="X562" s="91">
        <v>11.4</v>
      </c>
      <c r="Y562" s="91"/>
      <c r="Z562" s="91">
        <f>SUM(ППД5[[#This Row],[ТП Комната 1]:[ТП Комната 3]])</f>
        <v>25.8</v>
      </c>
      <c r="AA562" s="91">
        <v>15.7</v>
      </c>
      <c r="AB562" s="91">
        <v>2.7</v>
      </c>
      <c r="AC562" s="91">
        <v>3</v>
      </c>
      <c r="AD562" s="91"/>
      <c r="AE562" s="91">
        <v>9.4</v>
      </c>
      <c r="AF562" s="91">
        <v>1.35</v>
      </c>
      <c r="AG562" s="91"/>
      <c r="AH562" s="91"/>
      <c r="AI562" s="91">
        <f>SUM(ППД5[[#This Row],[ТП Лоджия 1]:[ТП Лоджия 3]])</f>
        <v>1.35</v>
      </c>
      <c r="AJ562" s="95">
        <v>2.7</v>
      </c>
      <c r="AK562" s="91">
        <f>SUM(ППД5[[#This Row],[Площадь по ТП жилая]:[ТП Лоджия 3]])-ППД5[[#This Row],[ТП Летние]]+ППД5[[#This Row],[кроме того прочая
(без коэффициента)]]</f>
        <v>59.300000000000004</v>
      </c>
      <c r="AL562" s="95">
        <f>ППД5[[#This Row],[ТП Площадь без летних]]+(ППД5[[#This Row],[ТП Летние]])</f>
        <v>57.95</v>
      </c>
      <c r="AM562" s="91">
        <f>ППД5[[#This Row],[ТП общая S]]-ППД5[[#This Row],[кроме того прочая
(без коэффициента)]]</f>
        <v>56.6</v>
      </c>
      <c r="AN562" s="95">
        <f>SUM(ППД5[[#This Row],[ТП Кухня]:[ТП Коридор]])</f>
        <v>30.799999999999997</v>
      </c>
      <c r="AO562" s="91">
        <f>ППД5[[#This Row],[Расчетная ТП площадь]]-ППД5[[#This Row],[Расчетная проектная площадь]]</f>
        <v>-0.28999999999999915</v>
      </c>
      <c r="AP562" s="335">
        <f>ППД5[[#This Row],[Расчетная ТП площадь]]/ППД5[[#This Row],[Расчетная проектная площадь]]-1</f>
        <v>-4.9793956043956422E-3</v>
      </c>
      <c r="AQ562" s="91">
        <f>ППД5[[#This Row],[% расхождения]]*ППД5[[#This Row],[Стоимость до скидки]]</f>
        <v>-37888.719093406879</v>
      </c>
      <c r="AR562" s="91">
        <f>VLOOKUP(ППД5[[#This Row],[№]],наценкад5[],COLUMN(наценкад5[[#This Row],[Цена м2 с учетом всех K]]),0)</f>
        <v>85713.201000000001</v>
      </c>
      <c r="AS562" s="8">
        <f>ППД5[[#This Row],[м2 после К]]*5%</f>
        <v>4285.6600500000004</v>
      </c>
      <c r="AT562" s="8">
        <f>ППД5[[#This Row],[м2 после К]]+ППД5[[#This Row],[Повышение 16.08.23 - 5%]]</f>
        <v>89998.861050000007</v>
      </c>
      <c r="AU562" s="93">
        <f>ППД5[[#This Row],[Фикс 16.08.23]]*3%</f>
        <v>2699.9658315000001</v>
      </c>
      <c r="AV562" s="93">
        <f>ППД5[[#This Row],[Фикс 16.08.23]]+ППД5[[#This Row],[Повышение 29.08.23 - 3%]]</f>
        <v>92698.826881500005</v>
      </c>
      <c r="AW562" s="93"/>
      <c r="AX562" s="93">
        <f>ППД5[[#This Row],[Фикс 29.08.23]]+ППД5[[#This Row],[Повышение 06.09.23 СТ и 1К]]</f>
        <v>92698.826881500005</v>
      </c>
      <c r="AY562" s="93"/>
      <c r="AZ562" s="93">
        <f>ППД5[[#This Row],[Повышение 23.10.23  В4 ]]+ППД5[[#This Row],[Фикс 06.09.23]]</f>
        <v>92698.826881500005</v>
      </c>
      <c r="BA562" s="93"/>
      <c r="BB562" s="93">
        <f>ППД5[[#This Row],[Повышение 8.11.23 1К 5%]]+ППД5[[#This Row],[Фикс 23.10.23]]</f>
        <v>92698.826881500005</v>
      </c>
      <c r="BC562" s="93"/>
      <c r="BD562" s="93">
        <f>ППД5[[#This Row],[Корректировка 24.11.23 - 1К В5, 2К А2, №233]]+ППД5[[#This Row],[Фикс 8.11.23]]</f>
        <v>92698.826881500005</v>
      </c>
      <c r="BE562" s="93">
        <f>ППД5[[#This Row],[Фикс 8.11.24]]*1%</f>
        <v>926.98826881500008</v>
      </c>
      <c r="BF562" s="93">
        <f>ППД5[[#This Row],[Наценка за отделку 29.12.23 1%]]+ППД5[[#This Row],[Фикс 8.11.24]]</f>
        <v>93625.815150315</v>
      </c>
      <c r="BG562" s="93">
        <f>ППД5[[#This Row],[Фикс 29.12.23]]*5%</f>
        <v>4681.2907575157506</v>
      </c>
      <c r="BH562" s="93">
        <f>ППД5[[#This Row],[Фикс 29.12.23]]+ППД5[[#This Row],[Наценка 10.01.24 5%]]</f>
        <v>98307.105907830744</v>
      </c>
      <c r="BI562" s="93"/>
      <c r="BJ562" s="93">
        <f>ППД5[[#This Row],[Наценка 26.02.24 1 Этаж]]+ППД5[[#This Row],[Фикс 10.01.24]]</f>
        <v>98307.105907830744</v>
      </c>
      <c r="BK562" s="93">
        <f>ППД5[[#This Row],[Фикс 26.02.24]]*2%</f>
        <v>1966.142118156615</v>
      </c>
      <c r="BL562" s="93">
        <f>ППД5[[#This Row],[Фикс 26.02.24]]+ППД5[[#This Row],[Наценка 06.03.24
СТ, 1К - 3%
2К, 3К - 2%]]</f>
        <v>100273.24802598736</v>
      </c>
      <c r="BM562" s="93"/>
      <c r="BN562" s="93">
        <f>ППД5[[#This Row],[Фикс 06.03.24]]+ППД5[[#This Row],[Наценка Г2+500]]</f>
        <v>100273.24802598736</v>
      </c>
      <c r="BO562" s="93">
        <f>ППД5[[#This Row],[Фикс 13.03.25]]*2%</f>
        <v>2005.4649605197471</v>
      </c>
      <c r="BP562" s="93">
        <f>ППД5[[#This Row],[Фикс 13.03.25]]+ППД5[[#This Row],[Наценка 20.03.24
2К, 3К - 2%]]</f>
        <v>102278.7129865071</v>
      </c>
      <c r="BQ562" s="93"/>
      <c r="BR562" s="93">
        <f>ППД5[[#This Row],[Фикс 20.03.24]]+ППД5[[#This Row],[Наценка 08.04.24 
2К: В3 - 150
3К: Г7 +1000]]</f>
        <v>102278.7129865071</v>
      </c>
      <c r="BS562" s="93">
        <f>ППД5[[#This Row],[Фикс 08.04.24]]*1%</f>
        <v>1022.7871298650711</v>
      </c>
      <c r="BT562" s="93">
        <f>ППД5[[#This Row],[Фикс 08.04.24]]+ППД5[[#This Row],[Наценка 16.05.24 1%
А4,А6,Б3,Б6,Б7,В2,В3,В5,В6,Г1,Г3-Г5]]</f>
        <v>103301.50011637218</v>
      </c>
      <c r="BU562" s="93"/>
      <c r="BV562" s="93">
        <f>ППД5[[#This Row],[Фикс 16.05.24]]+ППД5[[#This Row],[Наценка 24.05.24
1% - Б4, Б5,Г2,Г6
2% - А1,А3,А5,Б2,Г7]]</f>
        <v>103301.50011637218</v>
      </c>
      <c r="BW562" s="93"/>
      <c r="BX562" s="93">
        <f>ППД5[[#This Row],[Наценка 06.06.24
0К: В2,Г3 +0,5%
1К: А7, Б5/4, Г6 +0,5%
3К: В6 +0,5%
1К: А3 +1%]]+ППД5[[#This Row],[Фикс 24.05.24]]</f>
        <v>103301.50011637218</v>
      </c>
      <c r="BY562" s="93"/>
      <c r="BZ562" s="93">
        <f>ППД5[[#This Row],[Фикс 06.06.24]]+ППД5[[#This Row],[13.06.2024
3К - 2%]]</f>
        <v>103301.50011637218</v>
      </c>
      <c r="CA562" s="47">
        <f>1.5%*ППД5[[#This Row],[Фикс 13.06.24]]</f>
        <v>1549.5225017455825</v>
      </c>
      <c r="CB562" s="93">
        <f>ППД5[[#This Row],[02.07.2024: Г3 А1 А3 Б5 Б7 Г2 Г6 Б3 Б4 В3 Г7 2,5% ост 0,5-1,5%]]+ППД5[[#This Row],[Фикс 13.06.24]]</f>
        <v>104851.02261811776</v>
      </c>
      <c r="CC562" s="93"/>
      <c r="CD562" s="93">
        <f>ППД5[[#This Row],[Фикс 02.07.24]]+ППД5[[#This Row],[04.09.2024 +500
0К - Б2; 1К - А3;
2К - А6, Б4, В3, Г5]]</f>
        <v>104851.02261811776</v>
      </c>
      <c r="CE562" s="93">
        <f>ППД5[[#This Row],[Фикс 04.09.24]]*4%</f>
        <v>4194.0409047247103</v>
      </c>
      <c r="CF562" s="93">
        <f>ППД5[[#This Row],[Наценка 16.09.2024
1К: А1,В7,Г6/7,Г8 - 2%
2К: А4,А5,А6,Б1,Б6,Б3/4,В3,В4,Г4,Г5 - 4%
3К: 4%]]+ППД5[[#This Row],[Фикс 04.09.24]]</f>
        <v>109045.06352284247</v>
      </c>
      <c r="CG562" s="93">
        <f>ППД5[[#This Row],[Фикс 16.09.2024]]*6%</f>
        <v>6542.7038113705476</v>
      </c>
      <c r="CH562" s="93">
        <f>ППД5[[#This Row],[Фикс 16.09.2024]]+ППД5[[#This Row],[Наценка 01.11.24
СТ: 4%
1К: 34-40м 5%; 40м+ 8%; МГН 1%
2К: 55-70м 6%; 70-73м 7%; 73-76м 8% 
3К: 5%]]</f>
        <v>115587.76733421301</v>
      </c>
      <c r="CI562" s="93">
        <f>ППД5[[#This Row],[Фикс 01.11.24]]*13%</f>
        <v>15026.409753447693</v>
      </c>
      <c r="CJ562" s="93">
        <f>ППД5[[#This Row],[Наценка 06.11 13%]]+ППД5[[#This Row],[Фикс 01.11.24]]</f>
        <v>130614.1770876607</v>
      </c>
      <c r="CK562" s="93">
        <v>35</v>
      </c>
      <c r="CL562" s="93">
        <f>ППД5[[#This Row],[Фикс 06.11.24]]+ППД5[[#This Row],[Наценка 18.12.24 распределение КВ]]</f>
        <v>130649.1770876607</v>
      </c>
      <c r="CM562" s="93"/>
      <c r="CN562" s="93">
        <f>ППД5[[#This Row],[Фикс 18.12.24]]+ППД5[[#This Row],[Наценка 10.02.25 +1%
1К: А3
2К: Б3, В3]]</f>
        <v>130649.1770876607</v>
      </c>
      <c r="CO562" s="93">
        <f>ROUND(ППД5[[#This Row],[Фикс 10.02.25]],2)</f>
        <v>130649.18</v>
      </c>
      <c r="CP56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7609100</v>
      </c>
      <c r="CQ562" s="93">
        <f>ROUNDUP(ППД5[[#This Row],[Стоимость до скидки]]+ППД5[[#This Row],[Сумма доплаты]],-2)</f>
        <v>7571300</v>
      </c>
      <c r="CR562" s="68"/>
      <c r="CS562" s="90"/>
      <c r="CT562" s="68">
        <f>ППД5[[#This Row],[Стоимость до скидки]]*ППД5[[#This Row],[Скидка %]]+ППД5[[#This Row],[Скидка фиксированная]]</f>
        <v>0</v>
      </c>
      <c r="CU562" s="3">
        <f>ППД5[[#This Row],[Стоимость ОН без отделки со скидкой]]/ППД5[[#This Row],[Расчетная проектная площадь]]</f>
        <v>130650.75549450549</v>
      </c>
      <c r="CV562" s="3">
        <f>ROUND(ППД5[[#This Row],[Стоимость до скидки]]-ППД5[[#This Row],[Итоговая сумма скидки]],2)</f>
        <v>7609100</v>
      </c>
      <c r="CW56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562" s="218">
        <v>10000</v>
      </c>
      <c r="CY562" s="332">
        <f>ППД5[[#This Row],[Расхождение]]/ППД5[[#This Row],[Расчетная проектная площадь]]</f>
        <v>-4.9793956043955893E-3</v>
      </c>
      <c r="CZ562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-0.18000000000000149</v>
      </c>
      <c r="DA562" s="3">
        <f>ППД5[[#This Row],[Цена м2 без отделки со скидкой]]+ППД5[[#This Row],[Стоимость отделки]]</f>
        <v>140650.75549450549</v>
      </c>
      <c r="DB562" s="3">
        <f>ППД5[[#This Row],[Стоимость квартиры с отделкой]]-ППД5[[#This Row],[Стоимость ОН без отделки со скидкой]]</f>
        <v>582400</v>
      </c>
      <c r="DC562" s="3">
        <f>ППД5[[#This Row],[Цена м2 с отделкой]]*ППД5[[#This Row],[Расчетная проектная площадь]]</f>
        <v>8191500</v>
      </c>
      <c r="DD562" s="47"/>
      <c r="DF562" s="155" t="s">
        <v>157</v>
      </c>
      <c r="DG562" s="245" t="s">
        <v>157</v>
      </c>
      <c r="DH562" s="100" t="b">
        <f>EXACT(ППД5[[#This Row],[Статусы CRM]],ППД5[[#This Row],[Статус]])</f>
        <v>1</v>
      </c>
      <c r="DI562" s="213" t="s">
        <v>734</v>
      </c>
      <c r="DJ562" s="204"/>
      <c r="DK562" s="111" t="s">
        <v>763</v>
      </c>
      <c r="DL562" s="216" t="s">
        <v>780</v>
      </c>
      <c r="DM562" s="201" t="b">
        <f>ППД5[[#This Row],[Отделка CRM]]=ППД5[[#This Row],[Отделка]]</f>
        <v>1</v>
      </c>
      <c r="DN562" s="203">
        <v>8191500</v>
      </c>
      <c r="DO56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62" s="207" t="b">
        <f>IF(AND(ППД5[[#This Row],[Статус]]="свободно",ППД5[[#This Row],[Итоговая сумма скидки]]&lt;&gt;0),FALSE,TRUE)</f>
        <v>1</v>
      </c>
      <c r="DQ562" s="240" t="str">
        <f>_xlfn.XLOOKUP(ППД5[[#This Row],[№]],Юрист[№ кв],Юрист[Дата подачи на регистрацию]," ",0,-1)</f>
        <v xml:space="preserve"> </v>
      </c>
      <c r="DR562" s="115" t="str">
        <f>_xlfn.XLOOKUP(ППД5[[#This Row],[№]],Юрист[№ кв],Юрист[МОП],"",0,-1)</f>
        <v/>
      </c>
      <c r="DS562" s="333" t="s">
        <v>3416</v>
      </c>
      <c r="DT562" s="333" t="s">
        <v>3417</v>
      </c>
      <c r="DU562" s="333">
        <v>56.6</v>
      </c>
      <c r="DV562" s="111"/>
    </row>
    <row r="563" spans="1:126" hidden="1" x14ac:dyDescent="0.25">
      <c r="A563" s="112">
        <v>561</v>
      </c>
      <c r="B563" s="111" t="s">
        <v>2</v>
      </c>
      <c r="C563" s="111">
        <v>22</v>
      </c>
      <c r="D563" s="115">
        <v>5</v>
      </c>
      <c r="E563" s="111">
        <v>2</v>
      </c>
      <c r="F563" s="105">
        <v>15.41</v>
      </c>
      <c r="G563" s="105">
        <v>12.78</v>
      </c>
      <c r="H563" s="105"/>
      <c r="I563" s="94">
        <f>SUM(ППД5[[#This Row],[Комната 1]:[Комната 3]])</f>
        <v>28.189999999999998</v>
      </c>
      <c r="J563" s="105">
        <v>13.45</v>
      </c>
      <c r="K563" s="105">
        <v>3.7</v>
      </c>
      <c r="L563" s="105">
        <v>2.72</v>
      </c>
      <c r="M563" s="105"/>
      <c r="N563" s="105">
        <v>8.2200000000000006</v>
      </c>
      <c r="O563" s="105">
        <v>3.03</v>
      </c>
      <c r="P563" s="105"/>
      <c r="Q563" s="105"/>
      <c r="R563" s="105">
        <f>SUM(ППД5[[#This Row],[Лоджия 1]:[Лоджия 3]])</f>
        <v>3.03</v>
      </c>
      <c r="S563" s="8">
        <f>ROUND(SUM(ППД5[[#This Row],[Площадь по проекту жилая]:[Лоджия 3]]),2)</f>
        <v>59.31</v>
      </c>
      <c r="T563" s="8">
        <f>ROUND(ППД5[[#This Row],[Площадь по проекту(общая)]]-ППД5[[#This Row],[Летние]],2)</f>
        <v>56.28</v>
      </c>
      <c r="U563" s="91">
        <f>ROUND(ППД5[[#This Row],[Площадь по проекту(общая)]]-(SUM(ППД5[[#This Row],[Лоджия 1]:[Лоджия 3]])/2),2)</f>
        <v>57.8</v>
      </c>
      <c r="V563" s="91">
        <f>IF(ППД5[[#This Row],[Статус]]="продажа",ППД5[[#This Row],[Расчетная проектная площадь]],ППД5[[#This Row],[Расчетная ТП площадь]])</f>
        <v>57.400000000000006</v>
      </c>
      <c r="W563" s="91">
        <v>12.6</v>
      </c>
      <c r="X563" s="91">
        <v>15.3</v>
      </c>
      <c r="Y563" s="91"/>
      <c r="Z563" s="91">
        <f>SUM(ППД5[[#This Row],[ТП Комната 1]:[ТП Комната 3]])</f>
        <v>27.9</v>
      </c>
      <c r="AA563" s="91">
        <v>13.5</v>
      </c>
      <c r="AB563" s="91">
        <v>2.7</v>
      </c>
      <c r="AC563" s="91">
        <v>3.7</v>
      </c>
      <c r="AD563" s="91"/>
      <c r="AE563" s="91">
        <v>8.1</v>
      </c>
      <c r="AF563" s="91">
        <v>1.5</v>
      </c>
      <c r="AG563" s="91"/>
      <c r="AH563" s="91"/>
      <c r="AI563" s="91">
        <f>SUM(ППД5[[#This Row],[ТП Лоджия 1]:[ТП Лоджия 3]])</f>
        <v>1.5</v>
      </c>
      <c r="AJ563" s="95">
        <v>3</v>
      </c>
      <c r="AK563" s="91">
        <f>SUM(ППД5[[#This Row],[Площадь по ТП жилая]:[ТП Лоджия 3]])-ППД5[[#This Row],[ТП Летние]]+ППД5[[#This Row],[кроме того прочая
(без коэффициента)]]</f>
        <v>58.900000000000006</v>
      </c>
      <c r="AL563" s="95">
        <f>ППД5[[#This Row],[ТП Площадь без летних]]+(ППД5[[#This Row],[ТП Летние]])</f>
        <v>57.400000000000006</v>
      </c>
      <c r="AM563" s="91">
        <f>ППД5[[#This Row],[ТП общая S]]-ППД5[[#This Row],[кроме того прочая
(без коэффициента)]]</f>
        <v>55.900000000000006</v>
      </c>
      <c r="AN563" s="95">
        <f>SUM(ППД5[[#This Row],[ТП Кухня]:[ТП Коридор]])</f>
        <v>28</v>
      </c>
      <c r="AO563" s="91">
        <f>ППД5[[#This Row],[Расчетная ТП площадь]]-ППД5[[#This Row],[Расчетная проектная площадь]]</f>
        <v>-0.39999999999999147</v>
      </c>
      <c r="AP563" s="335">
        <f>ППД5[[#This Row],[Расчетная ТП площадь]]/ППД5[[#This Row],[Расчетная проектная площадь]]-1</f>
        <v>-6.9204152249133788E-3</v>
      </c>
      <c r="AQ563" s="91">
        <f>ППД5[[#This Row],[% расхождения]]*ППД5[[#This Row],[Стоимость до скидки]]</f>
        <v>-52274.048442905696</v>
      </c>
      <c r="AR563" s="91">
        <f>VLOOKUP(ППД5[[#This Row],[№]],наценкад5[],COLUMN(наценкад5[[#This Row],[Цена м2 с учетом всех K]]),0)</f>
        <v>85327.105500000005</v>
      </c>
      <c r="AS563" s="8">
        <f>ППД5[[#This Row],[м2 после К]]*5%</f>
        <v>4266.3552750000008</v>
      </c>
      <c r="AT563" s="8">
        <f>ППД5[[#This Row],[м2 после К]]+ППД5[[#This Row],[Повышение 16.08.23 - 5%]]</f>
        <v>89593.460775</v>
      </c>
      <c r="AU563" s="93">
        <f>ППД5[[#This Row],[Фикс 16.08.23]]*3%</f>
        <v>2687.8038232499998</v>
      </c>
      <c r="AV563" s="93">
        <f>ППД5[[#This Row],[Фикс 16.08.23]]+ППД5[[#This Row],[Повышение 29.08.23 - 3%]]</f>
        <v>92281.264598249996</v>
      </c>
      <c r="AW563" s="93"/>
      <c r="AX563" s="93">
        <f>ППД5[[#This Row],[Фикс 29.08.23]]+ППД5[[#This Row],[Повышение 06.09.23 СТ и 1К]]</f>
        <v>92281.264598249996</v>
      </c>
      <c r="AY563" s="93"/>
      <c r="AZ563" s="93">
        <f>ППД5[[#This Row],[Повышение 23.10.23  В4 ]]+ППД5[[#This Row],[Фикс 06.09.23]]</f>
        <v>92281.264598249996</v>
      </c>
      <c r="BA563" s="93"/>
      <c r="BB563" s="93">
        <f>ППД5[[#This Row],[Повышение 8.11.23 1К 5%]]+ППД5[[#This Row],[Фикс 23.10.23]]</f>
        <v>92281.264598249996</v>
      </c>
      <c r="BC563" s="93"/>
      <c r="BD563" s="93">
        <f>ППД5[[#This Row],[Корректировка 24.11.23 - 1К В5, 2К А2, №233]]+ППД5[[#This Row],[Фикс 8.11.23]]</f>
        <v>92281.264598249996</v>
      </c>
      <c r="BE563" s="93">
        <f>ППД5[[#This Row],[Фикс 8.11.24]]*1%</f>
        <v>922.81264598249993</v>
      </c>
      <c r="BF563" s="93">
        <f>ППД5[[#This Row],[Наценка за отделку 29.12.23 1%]]+ППД5[[#This Row],[Фикс 8.11.24]]</f>
        <v>93204.077244232496</v>
      </c>
      <c r="BG563" s="93">
        <f>ППД5[[#This Row],[Фикс 29.12.23]]*5%</f>
        <v>4660.2038622116252</v>
      </c>
      <c r="BH563" s="93">
        <f>ППД5[[#This Row],[Фикс 29.12.23]]+ППД5[[#This Row],[Наценка 10.01.24 5%]]</f>
        <v>97864.281106444119</v>
      </c>
      <c r="BI563" s="93"/>
      <c r="BJ563" s="93">
        <f>ППД5[[#This Row],[Наценка 26.02.24 1 Этаж]]+ППД5[[#This Row],[Фикс 10.01.24]]</f>
        <v>97864.281106444119</v>
      </c>
      <c r="BK563" s="93">
        <f>ППД5[[#This Row],[Фикс 26.02.24]]*2%</f>
        <v>1957.2856221288823</v>
      </c>
      <c r="BL563" s="93">
        <f>ППД5[[#This Row],[Фикс 26.02.24]]+ППД5[[#This Row],[Наценка 06.03.24
СТ, 1К - 3%
2К, 3К - 2%]]</f>
        <v>99821.566728573001</v>
      </c>
      <c r="BM563" s="93"/>
      <c r="BN563" s="93">
        <f>ППД5[[#This Row],[Фикс 06.03.24]]+ППД5[[#This Row],[Наценка Г2+500]]</f>
        <v>99821.566728573001</v>
      </c>
      <c r="BO563" s="93">
        <f>ППД5[[#This Row],[Фикс 13.03.25]]*2%</f>
        <v>1996.4313345714602</v>
      </c>
      <c r="BP563" s="93">
        <f>ППД5[[#This Row],[Фикс 13.03.25]]+ППД5[[#This Row],[Наценка 20.03.24
2К, 3К - 2%]]</f>
        <v>101817.99806314446</v>
      </c>
      <c r="BQ563" s="93"/>
      <c r="BR563" s="93">
        <f>ППД5[[#This Row],[Фикс 20.03.24]]+ППД5[[#This Row],[Наценка 08.04.24 
2К: В3 - 150
3К: Г7 +1000]]</f>
        <v>101817.99806314446</v>
      </c>
      <c r="BS563" s="93">
        <f>ППД5[[#This Row],[Фикс 08.04.24]]*1%</f>
        <v>1018.1799806314447</v>
      </c>
      <c r="BT563" s="93">
        <f>ППД5[[#This Row],[Фикс 08.04.24]]+ППД5[[#This Row],[Наценка 16.05.24 1%
А4,А6,Б3,Б6,Б7,В2,В3,В5,В6,Г1,Г3-Г5]]</f>
        <v>102836.1780437759</v>
      </c>
      <c r="BU563" s="93"/>
      <c r="BV563" s="93">
        <f>ППД5[[#This Row],[Фикс 16.05.24]]+ППД5[[#This Row],[Наценка 24.05.24
1% - Б4, Б5,Г2,Г6
2% - А1,А3,А5,Б2,Г7]]</f>
        <v>102836.1780437759</v>
      </c>
      <c r="BW563" s="93"/>
      <c r="BX563" s="93">
        <f>ППД5[[#This Row],[Наценка 06.06.24
0К: В2,Г3 +0,5%
1К: А7, Б5/4, Г6 +0,5%
3К: В6 +0,5%
1К: А3 +1%]]+ППД5[[#This Row],[Фикс 24.05.24]]</f>
        <v>102836.1780437759</v>
      </c>
      <c r="BY563" s="93"/>
      <c r="BZ563" s="93">
        <f>ППД5[[#This Row],[Фикс 06.06.24]]+ППД5[[#This Row],[13.06.2024
3К - 2%]]</f>
        <v>102836.1780437759</v>
      </c>
      <c r="CA563" s="47">
        <f>1.5%*ППД5[[#This Row],[Фикс 13.06.24]]</f>
        <v>1542.5426706566384</v>
      </c>
      <c r="CB563" s="93">
        <f>ППД5[[#This Row],[02.07.2024: Г3 А1 А3 Б5 Б7 Г2 Г6 Б3 Б4 В3 Г7 2,5% ост 0,5-1,5%]]+ППД5[[#This Row],[Фикс 13.06.24]]</f>
        <v>104378.72071443254</v>
      </c>
      <c r="CC563" s="93">
        <v>500</v>
      </c>
      <c r="CD563" s="93">
        <f>ППД5[[#This Row],[Фикс 02.07.24]]+ППД5[[#This Row],[04.09.2024 +500
0К - Б2; 1К - А3;
2К - А6, Б4, В3, Г5]]</f>
        <v>104878.72071443254</v>
      </c>
      <c r="CE563" s="93">
        <f>ППД5[[#This Row],[Фикс 04.09.24]]*4%</f>
        <v>4195.1488285773012</v>
      </c>
      <c r="CF563" s="93">
        <f>ППД5[[#This Row],[Наценка 16.09.2024
1К: А1,В7,Г6/7,Г8 - 2%
2К: А4,А5,А6,Б1,Б6,Б3/4,В3,В4,Г4,Г5 - 4%
3К: 4%]]+ППД5[[#This Row],[Фикс 04.09.24]]</f>
        <v>109073.86954300985</v>
      </c>
      <c r="CG563" s="93">
        <f>ППД5[[#This Row],[Фикс 16.09.2024]]*6%</f>
        <v>6544.4321725805903</v>
      </c>
      <c r="CH563" s="93">
        <f>ППД5[[#This Row],[Фикс 16.09.2024]]+ППД5[[#This Row],[Наценка 01.11.24
СТ: 4%
1К: 34-40м 5%; 40м+ 8%; МГН 1%
2К: 55-70м 6%; 70-73м 7%; 73-76м 8% 
3К: 5%]]</f>
        <v>115618.30171559044</v>
      </c>
      <c r="CI563" s="93">
        <f>ППД5[[#This Row],[Фикс 01.11.24]]*13%</f>
        <v>15030.379223026757</v>
      </c>
      <c r="CJ563" s="93">
        <f>ППД5[[#This Row],[Наценка 06.11 13%]]+ППД5[[#This Row],[Фикс 01.11.24]]</f>
        <v>130648.6809386172</v>
      </c>
      <c r="CK563" s="93">
        <v>35</v>
      </c>
      <c r="CL563" s="93">
        <f>ППД5[[#This Row],[Фикс 06.11.24]]+ППД5[[#This Row],[Наценка 18.12.24 распределение КВ]]</f>
        <v>130683.6809386172</v>
      </c>
      <c r="CM563" s="93"/>
      <c r="CN563" s="93">
        <f>ППД5[[#This Row],[Фикс 18.12.24]]+ППД5[[#This Row],[Наценка 10.02.25 +1%
1К: А3
2К: Б3, В3]]</f>
        <v>130683.6809386172</v>
      </c>
      <c r="CO563" s="93">
        <f>ROUND(ППД5[[#This Row],[Фикс 10.02.25]],2)</f>
        <v>130683.68</v>
      </c>
      <c r="CP56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7553600</v>
      </c>
      <c r="CQ563" s="93">
        <f>ROUNDUP(ППД5[[#This Row],[Стоимость до скидки]]+ППД5[[#This Row],[Сумма доплаты]],-2)</f>
        <v>7501400</v>
      </c>
      <c r="CR563" s="68"/>
      <c r="CS563" s="90"/>
      <c r="CT563" s="68">
        <f>ППД5[[#This Row],[Стоимость до скидки]]*ППД5[[#This Row],[Скидка %]]+ППД5[[#This Row],[Скидка фиксированная]]</f>
        <v>0</v>
      </c>
      <c r="CU563" s="3">
        <f>ППД5[[#This Row],[Стоимость ОН без отделки со скидкой]]/ППД5[[#This Row],[Расчетная проектная площадь]]</f>
        <v>130685.12110726644</v>
      </c>
      <c r="CV563" s="3">
        <f>ROUND(ППД5[[#This Row],[Стоимость до скидки]]-ППД5[[#This Row],[Итоговая сумма скидки]],2)</f>
        <v>7553600</v>
      </c>
      <c r="CW56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563" s="218">
        <v>10000</v>
      </c>
      <c r="CY563" s="332">
        <f>ППД5[[#This Row],[Расхождение]]/ППД5[[#This Row],[Расчетная проектная площадь]]</f>
        <v>-6.9204152249133476E-3</v>
      </c>
      <c r="CZ563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-8.9999999999996305E-2</v>
      </c>
      <c r="DA563" s="3">
        <f>ППД5[[#This Row],[Цена м2 без отделки со скидкой]]+ППД5[[#This Row],[Стоимость отделки]]</f>
        <v>140685.12110726646</v>
      </c>
      <c r="DB563" s="3">
        <f>ППД5[[#This Row],[Стоимость квартиры с отделкой]]-ППД5[[#This Row],[Стоимость ОН без отделки со скидкой]]</f>
        <v>578000.00000000093</v>
      </c>
      <c r="DC563" s="3">
        <f>ППД5[[#This Row],[Цена м2 с отделкой]]*ППД5[[#This Row],[Расчетная проектная площадь]]</f>
        <v>8131600.0000000009</v>
      </c>
      <c r="DD563" s="47"/>
      <c r="DF563" s="155" t="s">
        <v>157</v>
      </c>
      <c r="DG563" s="245" t="s">
        <v>157</v>
      </c>
      <c r="DH563" s="100" t="b">
        <f>EXACT(ППД5[[#This Row],[Статусы CRM]],ППД5[[#This Row],[Статус]])</f>
        <v>1</v>
      </c>
      <c r="DI563" s="213" t="s">
        <v>735</v>
      </c>
      <c r="DJ563" s="204"/>
      <c r="DK563" s="111" t="s">
        <v>763</v>
      </c>
      <c r="DL563" s="216" t="s">
        <v>780</v>
      </c>
      <c r="DM563" s="201" t="b">
        <f>ППД5[[#This Row],[Отделка CRM]]=ППД5[[#This Row],[Отделка]]</f>
        <v>1</v>
      </c>
      <c r="DN563" s="203">
        <v>8131600</v>
      </c>
      <c r="DO56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-9.3132257461547852E-10</v>
      </c>
      <c r="DP563" s="207" t="b">
        <f>IF(AND(ППД5[[#This Row],[Статус]]="свободно",ППД5[[#This Row],[Итоговая сумма скидки]]&lt;&gt;0),FALSE,TRUE)</f>
        <v>1</v>
      </c>
      <c r="DQ563" s="240" t="str">
        <f>_xlfn.XLOOKUP(ППД5[[#This Row],[№]],Юрист[№ кв],Юрист[Дата подачи на регистрацию]," ",0,-1)</f>
        <v xml:space="preserve"> </v>
      </c>
      <c r="DR563" s="115" t="str">
        <f>_xlfn.XLOOKUP(ППД5[[#This Row],[№]],Юрист[№ кв],Юрист[МОП],"",0,-1)</f>
        <v/>
      </c>
      <c r="DS563" s="333" t="s">
        <v>3418</v>
      </c>
      <c r="DT563" s="333" t="s">
        <v>3419</v>
      </c>
      <c r="DU563" s="333">
        <v>55.9</v>
      </c>
      <c r="DV563" s="111"/>
    </row>
    <row r="564" spans="1:126" hidden="1" x14ac:dyDescent="0.25">
      <c r="A564" s="112">
        <v>562</v>
      </c>
      <c r="B564" s="111" t="s">
        <v>2</v>
      </c>
      <c r="C564" s="111">
        <v>22</v>
      </c>
      <c r="D564" s="115">
        <v>6</v>
      </c>
      <c r="E564" s="111">
        <v>1</v>
      </c>
      <c r="F564" s="105">
        <v>12.71</v>
      </c>
      <c r="G564" s="105"/>
      <c r="H564" s="105"/>
      <c r="I564" s="94">
        <f>SUM(ППД5[[#This Row],[Комната 1]:[Комната 3]])</f>
        <v>12.71</v>
      </c>
      <c r="J564" s="105">
        <v>12.55</v>
      </c>
      <c r="K564" s="105">
        <v>4.28</v>
      </c>
      <c r="L564" s="105"/>
      <c r="M564" s="105"/>
      <c r="N564" s="105">
        <v>7.34</v>
      </c>
      <c r="O564" s="105">
        <v>2.84</v>
      </c>
      <c r="P564" s="105"/>
      <c r="Q564" s="105"/>
      <c r="R564" s="105">
        <f>SUM(ППД5[[#This Row],[Лоджия 1]:[Лоджия 3]])</f>
        <v>2.84</v>
      </c>
      <c r="S564" s="8">
        <f>ROUND(SUM(ППД5[[#This Row],[Площадь по проекту жилая]:[Лоджия 3]]),2)</f>
        <v>39.72</v>
      </c>
      <c r="T564" s="8">
        <f>ROUND(ППД5[[#This Row],[Площадь по проекту(общая)]]-ППД5[[#This Row],[Летние]],2)</f>
        <v>36.880000000000003</v>
      </c>
      <c r="U564" s="91">
        <f>ROUND(ППД5[[#This Row],[Площадь по проекту(общая)]]-(SUM(ППД5[[#This Row],[Лоджия 1]:[Лоджия 3]])/2),2)</f>
        <v>38.299999999999997</v>
      </c>
      <c r="V564" s="91">
        <f>IF(ППД5[[#This Row],[Статус]]="продажа",ППД5[[#This Row],[Расчетная проектная площадь]],ППД5[[#This Row],[Расчетная ТП площадь]])</f>
        <v>37.750000000000007</v>
      </c>
      <c r="W564" s="91">
        <v>12.6</v>
      </c>
      <c r="X564" s="91"/>
      <c r="Y564" s="91"/>
      <c r="Z564" s="91">
        <f>SUM(ППД5[[#This Row],[ТП Комната 1]:[ТП Комната 3]])</f>
        <v>12.6</v>
      </c>
      <c r="AA564" s="91">
        <v>12.5</v>
      </c>
      <c r="AB564" s="91">
        <v>4</v>
      </c>
      <c r="AC564" s="91"/>
      <c r="AD564" s="91"/>
      <c r="AE564" s="91">
        <v>7.2</v>
      </c>
      <c r="AF564" s="91">
        <v>1.45</v>
      </c>
      <c r="AG564" s="91"/>
      <c r="AH564" s="91"/>
      <c r="AI564" s="91">
        <f>SUM(ППД5[[#This Row],[ТП Лоджия 1]:[ТП Лоджия 3]])</f>
        <v>1.45</v>
      </c>
      <c r="AJ564" s="95">
        <v>2.9</v>
      </c>
      <c r="AK564" s="91">
        <f>SUM(ППД5[[#This Row],[Площадь по ТП жилая]:[ТП Лоджия 3]])-ППД5[[#This Row],[ТП Летние]]+ППД5[[#This Row],[кроме того прочая
(без коэффициента)]]</f>
        <v>39.200000000000003</v>
      </c>
      <c r="AL564" s="95">
        <f>ППД5[[#This Row],[ТП Площадь без летних]]+(ППД5[[#This Row],[ТП Летние]])</f>
        <v>37.750000000000007</v>
      </c>
      <c r="AM564" s="91">
        <f>ППД5[[#This Row],[ТП общая S]]-ППД5[[#This Row],[кроме того прочая
(без коэффициента)]]</f>
        <v>36.300000000000004</v>
      </c>
      <c r="AN564" s="95">
        <f>SUM(ППД5[[#This Row],[ТП Кухня]:[ТП Коридор]])</f>
        <v>23.7</v>
      </c>
      <c r="AO564" s="91">
        <f>ППД5[[#This Row],[Расчетная ТП площадь]]-ППД5[[#This Row],[Расчетная проектная площадь]]</f>
        <v>-0.54999999999999005</v>
      </c>
      <c r="AP564" s="335">
        <f>ППД5[[#This Row],[Расчетная ТП площадь]]/ППД5[[#This Row],[Расчетная проектная площадь]]-1</f>
        <v>-1.4360313315926687E-2</v>
      </c>
      <c r="AQ564" s="91">
        <f>ППД5[[#This Row],[% расхождения]]*ППД5[[#This Row],[Стоимость до скидки]]</f>
        <v>-81654.177545690734</v>
      </c>
      <c r="AR564" s="91">
        <f>VLOOKUP(ППД5[[#This Row],[№]],наценкад5[],COLUMN(наценкад5[[#This Row],[Цена м2 с учетом всех K]]),0)</f>
        <v>94090.5</v>
      </c>
      <c r="AS564" s="8">
        <f>ППД5[[#This Row],[м2 после К]]*5%</f>
        <v>4704.5250000000005</v>
      </c>
      <c r="AT564" s="8">
        <f>ППД5[[#This Row],[м2 после К]]+ППД5[[#This Row],[Повышение 16.08.23 - 5%]]</f>
        <v>98795.024999999994</v>
      </c>
      <c r="AU564" s="93">
        <f>ППД5[[#This Row],[Фикс 16.08.23]]*3%</f>
        <v>2963.8507499999996</v>
      </c>
      <c r="AV564" s="93">
        <f>ППД5[[#This Row],[Фикс 16.08.23]]+ППД5[[#This Row],[Повышение 29.08.23 - 3%]]</f>
        <v>101758.87574999999</v>
      </c>
      <c r="AW564" s="93">
        <f>ППД5[[#This Row],[Фикс 29.08.23]]*1%</f>
        <v>1017.5887574999999</v>
      </c>
      <c r="AX564" s="93">
        <f>ППД5[[#This Row],[Фикс 29.08.23]]+ППД5[[#This Row],[Повышение 06.09.23 СТ и 1К]]</f>
        <v>102776.46450749999</v>
      </c>
      <c r="AY564" s="93"/>
      <c r="AZ564" s="93">
        <f>ППД5[[#This Row],[Повышение 23.10.23  В4 ]]+ППД5[[#This Row],[Фикс 06.09.23]]</f>
        <v>102776.46450749999</v>
      </c>
      <c r="BA564" s="93">
        <f>ППД5[[#This Row],[Фикс 23.10.23]]*5%</f>
        <v>5138.8232253749993</v>
      </c>
      <c r="BB564" s="93">
        <f>ППД5[[#This Row],[Повышение 8.11.23 1К 5%]]+ППД5[[#This Row],[Фикс 23.10.23]]</f>
        <v>107915.28773287499</v>
      </c>
      <c r="BC564" s="93"/>
      <c r="BD564" s="93">
        <f>ППД5[[#This Row],[Корректировка 24.11.23 - 1К В5, 2К А2, №233]]+ППД5[[#This Row],[Фикс 8.11.23]]</f>
        <v>107915.28773287499</v>
      </c>
      <c r="BE564" s="93">
        <f>ППД5[[#This Row],[Фикс 8.11.24]]*1%</f>
        <v>1079.1528773287498</v>
      </c>
      <c r="BF564" s="93">
        <f>ППД5[[#This Row],[Наценка за отделку 29.12.23 1%]]+ППД5[[#This Row],[Фикс 8.11.24]]</f>
        <v>108994.44061020373</v>
      </c>
      <c r="BG564" s="93">
        <f>ППД5[[#This Row],[Фикс 29.12.23]]*5%</f>
        <v>5449.7220305101873</v>
      </c>
      <c r="BH564" s="93">
        <f>ППД5[[#This Row],[Фикс 29.12.23]]+ППД5[[#This Row],[Наценка 10.01.24 5%]]</f>
        <v>114444.16264071391</v>
      </c>
      <c r="BI564" s="93"/>
      <c r="BJ564" s="93">
        <f>ППД5[[#This Row],[Наценка 26.02.24 1 Этаж]]+ППД5[[#This Row],[Фикс 10.01.24]]</f>
        <v>114444.16264071391</v>
      </c>
      <c r="BK564" s="93">
        <f>ППД5[[#This Row],[Фикс 26.02.24]]*3%</f>
        <v>3433.3248792214172</v>
      </c>
      <c r="BL564" s="93">
        <f>ППД5[[#This Row],[Фикс 26.02.24]]+ППД5[[#This Row],[Наценка 06.03.24
СТ, 1К - 3%
2К, 3К - 2%]]</f>
        <v>117877.48751993533</v>
      </c>
      <c r="BM564" s="93"/>
      <c r="BN564" s="93">
        <f>ППД5[[#This Row],[Фикс 06.03.24]]+ППД5[[#This Row],[Наценка Г2+500]]</f>
        <v>117877.48751993533</v>
      </c>
      <c r="BO564" s="93"/>
      <c r="BP564" s="93">
        <f>ППД5[[#This Row],[Фикс 13.03.25]]+ППД5[[#This Row],[Наценка 20.03.24
2К, 3К - 2%]]</f>
        <v>117877.48751993533</v>
      </c>
      <c r="BQ564" s="93"/>
      <c r="BR564" s="93">
        <f>ППД5[[#This Row],[Фикс 20.03.24]]+ППД5[[#This Row],[Наценка 08.04.24 
2К: В3 - 150
3К: Г7 +1000]]</f>
        <v>117877.48751993533</v>
      </c>
      <c r="BS564" s="93"/>
      <c r="BT564" s="93">
        <f>ППД5[[#This Row],[Фикс 08.04.24]]+ППД5[[#This Row],[Наценка 16.05.24 1%
А4,А6,Б3,Б6,Б7,В2,В3,В5,В6,Г1,Г3-Г5]]</f>
        <v>117877.48751993533</v>
      </c>
      <c r="BU564" s="93">
        <f>ППД5[[#This Row],[Фикс 16.05.24]]*1%</f>
        <v>1178.7748751993533</v>
      </c>
      <c r="BV564" s="93">
        <f>ППД5[[#This Row],[Фикс 16.05.24]]+ППД5[[#This Row],[Наценка 24.05.24
1% - Б4, Б5,Г2,Г6
2% - А1,А3,А5,Б2,Г7]]</f>
        <v>119056.26239513468</v>
      </c>
      <c r="BW564" s="93">
        <f>ППД5[[#This Row],[Фикс 24.05.24]]*0.5%</f>
        <v>595.28131197567336</v>
      </c>
      <c r="BX564" s="93">
        <f>ППД5[[#This Row],[Наценка 06.06.24
0К: В2,Г3 +0,5%
1К: А7, Б5/4, Г6 +0,5%
3К: В6 +0,5%
1К: А3 +1%]]+ППД5[[#This Row],[Фикс 24.05.24]]</f>
        <v>119651.54370711035</v>
      </c>
      <c r="BY564" s="93"/>
      <c r="BZ564" s="93">
        <f>ППД5[[#This Row],[Фикс 06.06.24]]+ППД5[[#This Row],[13.06.2024
3К - 2%]]</f>
        <v>119651.54370711035</v>
      </c>
      <c r="CA564" s="93">
        <f>2.5%*ППД5[[#This Row],[Фикс 13.06.24]]</f>
        <v>2991.288592677759</v>
      </c>
      <c r="CB564" s="93">
        <f>ППД5[[#This Row],[02.07.2024: Г3 А1 А3 Б5 Б7 Г2 Г6 Б3 Б4 В3 Г7 2,5% ост 0,5-1,5%]]+ППД5[[#This Row],[Фикс 13.06.24]]</f>
        <v>122642.8322997881</v>
      </c>
      <c r="CC564" s="93"/>
      <c r="CD564" s="93">
        <f>ППД5[[#This Row],[Фикс 02.07.24]]+ППД5[[#This Row],[04.09.2024 +500
0К - Б2; 1К - А3;
2К - А6, Б4, В3, Г5]]</f>
        <v>122642.8322997881</v>
      </c>
      <c r="CE564" s="93">
        <f>ППД5[[#This Row],[Фикс 04.09.24]]*2%</f>
        <v>2452.8566459957619</v>
      </c>
      <c r="CF564" s="93">
        <f>ППД5[[#This Row],[Наценка 16.09.2024
1К: А1,В7,Г6/7,Г8 - 2%
2К: А4,А5,А6,Б1,Б6,Б3/4,В3,В4,Г4,Г5 - 4%
3К: 4%]]+ППД5[[#This Row],[Фикс 04.09.24]]</f>
        <v>125095.68894578387</v>
      </c>
      <c r="CG564" s="93">
        <f>ППД5[[#This Row],[Фикс 16.09.2024]]*5%</f>
        <v>6254.7844472891938</v>
      </c>
      <c r="CH564" s="93">
        <f>ППД5[[#This Row],[Фикс 16.09.2024]]+ППД5[[#This Row],[Наценка 01.11.24
СТ: 4%
1К: 34-40м 5%; 40м+ 8%; МГН 1%
2К: 55-70м 6%; 70-73м 7%; 73-76м 8% 
3К: 5%]]</f>
        <v>131350.47339307307</v>
      </c>
      <c r="CI564" s="93">
        <f>ППД5[[#This Row],[Фикс 01.11.24]]*13%</f>
        <v>17075.561541099501</v>
      </c>
      <c r="CJ564" s="93">
        <f>ППД5[[#This Row],[Наценка 06.11 13%]]+ППД5[[#This Row],[Фикс 01.11.24]]</f>
        <v>148426.03493417258</v>
      </c>
      <c r="CK564" s="93">
        <v>35</v>
      </c>
      <c r="CL564" s="93">
        <f>ППД5[[#This Row],[Фикс 06.11.24]]+ППД5[[#This Row],[Наценка 18.12.24 распределение КВ]]</f>
        <v>148461.03493417258</v>
      </c>
      <c r="CM564" s="93"/>
      <c r="CN564" s="93">
        <f>ППД5[[#This Row],[Фикс 18.12.24]]+ППД5[[#This Row],[Наценка 10.02.25 +1%
1К: А3
2К: Б3, В3]]</f>
        <v>148461.03493417258</v>
      </c>
      <c r="CO564" s="93">
        <f>ROUND(ППД5[[#This Row],[Фикс 10.02.25]],2)</f>
        <v>148461.03</v>
      </c>
      <c r="CP56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5686100</v>
      </c>
      <c r="CQ564" s="93">
        <f>ROUNDUP(ППД5[[#This Row],[Стоимость до скидки]]+ППД5[[#This Row],[Сумма доплаты]],-2)</f>
        <v>5604500</v>
      </c>
      <c r="CR564" s="68"/>
      <c r="CS564" s="90"/>
      <c r="CT564" s="68">
        <f>ППД5[[#This Row],[Стоимость до скидки]]*ППД5[[#This Row],[Скидка %]]+ППД5[[#This Row],[Скидка фиксированная]]</f>
        <v>0</v>
      </c>
      <c r="CU564" s="3">
        <f>ППД5[[#This Row],[Стоимость ОН без отделки со скидкой]]/ППД5[[#This Row],[Расчетная проектная площадь]]</f>
        <v>148462.14099216711</v>
      </c>
      <c r="CV564" s="3">
        <f>ROUND(ППД5[[#This Row],[Стоимость до скидки]]-ППД5[[#This Row],[Итоговая сумма скидки]],2)</f>
        <v>5686100</v>
      </c>
      <c r="CW56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64" s="197"/>
      <c r="CY564" s="332">
        <f>ППД5[[#This Row],[Расхождение]]/ППД5[[#This Row],[Расчетная проектная площадь]]</f>
        <v>-1.4360313315926635E-2</v>
      </c>
      <c r="CZ564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-0.47000000000000242</v>
      </c>
      <c r="DA564" s="3">
        <f>ППД5[[#This Row],[Цена м2 без отделки со скидкой]]+ППД5[[#This Row],[Стоимость отделки]]</f>
        <v>148462.14099216711</v>
      </c>
      <c r="DB564" s="3">
        <f>ППД5[[#This Row],[Стоимость квартиры с отделкой]]-ППД5[[#This Row],[Стоимость ОН без отделки со скидкой]]</f>
        <v>0</v>
      </c>
      <c r="DC564" s="3">
        <f>ППД5[[#This Row],[Цена м2 с отделкой]]*ППД5[[#This Row],[Расчетная проектная площадь]]</f>
        <v>5686100</v>
      </c>
      <c r="DD564" s="47"/>
      <c r="DF564" s="155" t="s">
        <v>157</v>
      </c>
      <c r="DG564" s="221" t="s">
        <v>157</v>
      </c>
      <c r="DH564" s="100" t="b">
        <f>EXACT(ППД5[[#This Row],[Статусы CRM]],ППД5[[#This Row],[Статус]])</f>
        <v>1</v>
      </c>
      <c r="DI564" s="213" t="s">
        <v>736</v>
      </c>
      <c r="DJ564" s="204"/>
      <c r="DK564" s="111" t="s">
        <v>763</v>
      </c>
      <c r="DL564" s="216" t="s">
        <v>12</v>
      </c>
      <c r="DM564" s="201" t="b">
        <f>ППД5[[#This Row],[Отделка CRM]]=ППД5[[#This Row],[Отделка]]</f>
        <v>1</v>
      </c>
      <c r="DN564" s="203">
        <v>5686100</v>
      </c>
      <c r="DO56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64" s="207" t="b">
        <f>IF(AND(ППД5[[#This Row],[Статус]]="свободно",ППД5[[#This Row],[Итоговая сумма скидки]]&lt;&gt;0),FALSE,TRUE)</f>
        <v>1</v>
      </c>
      <c r="DQ564" s="240" t="str">
        <f>_xlfn.XLOOKUP(ППД5[[#This Row],[№]],Юрист[№ кв],Юрист[Дата подачи на регистрацию]," ",0,-1)</f>
        <v xml:space="preserve"> </v>
      </c>
      <c r="DR564" s="115" t="str">
        <f>_xlfn.XLOOKUP(ППД5[[#This Row],[№]],Юрист[№ кв],Юрист[МОП],"",0,-1)</f>
        <v/>
      </c>
      <c r="DS564" s="333" t="s">
        <v>3420</v>
      </c>
      <c r="DT564" s="333" t="s">
        <v>3421</v>
      </c>
      <c r="DU564" s="333">
        <v>36.299999999999997</v>
      </c>
      <c r="DV564" s="111"/>
    </row>
    <row r="565" spans="1:126" hidden="1" x14ac:dyDescent="0.25">
      <c r="A565" s="112">
        <v>563</v>
      </c>
      <c r="B565" s="111" t="s">
        <v>2</v>
      </c>
      <c r="C565" s="111">
        <v>22</v>
      </c>
      <c r="D565" s="115">
        <v>7</v>
      </c>
      <c r="E565" s="111">
        <v>3</v>
      </c>
      <c r="F565" s="105">
        <v>14.49</v>
      </c>
      <c r="G565" s="105">
        <v>13.98</v>
      </c>
      <c r="H565" s="105">
        <v>11.42</v>
      </c>
      <c r="I565" s="94">
        <f>SUM(ППД5[[#This Row],[Комната 1]:[Комната 3]])</f>
        <v>39.89</v>
      </c>
      <c r="J565" s="105">
        <v>16.670000000000002</v>
      </c>
      <c r="K565" s="105">
        <v>4.1399999999999997</v>
      </c>
      <c r="L565" s="105">
        <v>1.89</v>
      </c>
      <c r="M565" s="105"/>
      <c r="N565" s="105">
        <v>11.31</v>
      </c>
      <c r="O565" s="105">
        <v>2.86</v>
      </c>
      <c r="P565" s="105">
        <v>2.79</v>
      </c>
      <c r="Q565" s="105">
        <v>5.42</v>
      </c>
      <c r="R565" s="105">
        <f>SUM(ППД5[[#This Row],[Лоджия 1]:[Лоджия 3]])</f>
        <v>11.07</v>
      </c>
      <c r="S565" s="8">
        <f>ROUND(SUM(ППД5[[#This Row],[Площадь по проекту жилая]:[Лоджия 3]]),2)</f>
        <v>84.97</v>
      </c>
      <c r="T565" s="8">
        <f>ROUND(ППД5[[#This Row],[Площадь по проекту(общая)]]-ППД5[[#This Row],[Летние]],2)</f>
        <v>73.900000000000006</v>
      </c>
      <c r="U565" s="91">
        <f>ROUND(ППД5[[#This Row],[Площадь по проекту(общая)]]-(SUM(ППД5[[#This Row],[Лоджия 1]:[Лоджия 3]])/2),2)</f>
        <v>79.44</v>
      </c>
      <c r="V565" s="91">
        <f>IF(ППД5[[#This Row],[Статус]]="продажа",ППД5[[#This Row],[Расчетная проектная площадь]],ППД5[[#This Row],[Расчетная ТП площадь]])</f>
        <v>78.500000000000014</v>
      </c>
      <c r="W565" s="91">
        <v>11.3</v>
      </c>
      <c r="X565" s="91">
        <v>14.4</v>
      </c>
      <c r="Y565" s="91">
        <v>13.9</v>
      </c>
      <c r="Z565" s="91">
        <f>SUM(ППД5[[#This Row],[ТП Комната 1]:[ТП Комната 3]])</f>
        <v>39.6</v>
      </c>
      <c r="AA565" s="91">
        <v>16.3</v>
      </c>
      <c r="AB565" s="91">
        <v>1.9</v>
      </c>
      <c r="AC565" s="91">
        <v>4</v>
      </c>
      <c r="AD565" s="91"/>
      <c r="AE565" s="91">
        <v>11.2</v>
      </c>
      <c r="AF565" s="91">
        <v>1.45</v>
      </c>
      <c r="AG565" s="91">
        <v>2.65</v>
      </c>
      <c r="AH565" s="91">
        <v>1.4</v>
      </c>
      <c r="AI565" s="91">
        <f>SUM(ППД5[[#This Row],[ТП Лоджия 1]:[ТП Лоджия 3]])</f>
        <v>5.5</v>
      </c>
      <c r="AJ565" s="95">
        <v>11</v>
      </c>
      <c r="AK565" s="91">
        <f>SUM(ППД5[[#This Row],[Площадь по ТП жилая]:[ТП Лоджия 3]])-ППД5[[#This Row],[ТП Летние]]+ППД5[[#This Row],[кроме того прочая
(без коэффициента)]]</f>
        <v>84.000000000000014</v>
      </c>
      <c r="AL565" s="95">
        <f>ППД5[[#This Row],[ТП Площадь без летних]]+(ППД5[[#This Row],[ТП Летние]])</f>
        <v>78.500000000000014</v>
      </c>
      <c r="AM565" s="91">
        <f>ППД5[[#This Row],[ТП общая S]]-ППД5[[#This Row],[кроме того прочая
(без коэффициента)]]</f>
        <v>73.000000000000014</v>
      </c>
      <c r="AN565" s="95">
        <f>SUM(ППД5[[#This Row],[ТП Кухня]:[ТП Коридор]])</f>
        <v>33.4</v>
      </c>
      <c r="AO565" s="91">
        <f>ППД5[[#This Row],[Расчетная ТП площадь]]-ППД5[[#This Row],[Расчетная проектная площадь]]</f>
        <v>-0.93999999999998352</v>
      </c>
      <c r="AP565" s="335">
        <f>ППД5[[#This Row],[Расчетная ТП площадь]]/ППД5[[#This Row],[Расчетная проектная площадь]]-1</f>
        <v>-1.1832829808660406E-2</v>
      </c>
      <c r="AQ565" s="91">
        <f>ППД5[[#This Row],[% расхождения]]*ППД5[[#This Row],[Стоимость до скидки]]</f>
        <v>-122430.74018126662</v>
      </c>
      <c r="AR565" s="91">
        <f>VLOOKUP(ППД5[[#This Row],[№]],наценкад5[],COLUMN(наценкад5[[#This Row],[Цена м2 с учетом всех K]]),0)</f>
        <v>82085.85000000002</v>
      </c>
      <c r="AS565" s="8">
        <f>ППД5[[#This Row],[м2 после К]]*5%</f>
        <v>4104.2925000000014</v>
      </c>
      <c r="AT565" s="8">
        <f>ППД5[[#This Row],[м2 после К]]+ППД5[[#This Row],[Повышение 16.08.23 - 5%]]</f>
        <v>86190.142500000016</v>
      </c>
      <c r="AU565" s="93">
        <f>ППД5[[#This Row],[Фикс 16.08.23]]*3%</f>
        <v>2585.7042750000005</v>
      </c>
      <c r="AV565" s="93">
        <f>ППД5[[#This Row],[Фикс 16.08.23]]+ППД5[[#This Row],[Повышение 29.08.23 - 3%]]</f>
        <v>88775.846775000013</v>
      </c>
      <c r="AW565" s="93"/>
      <c r="AX565" s="93">
        <f>ППД5[[#This Row],[Фикс 29.08.23]]+ППД5[[#This Row],[Повышение 06.09.23 СТ и 1К]]</f>
        <v>88775.846775000013</v>
      </c>
      <c r="AY565" s="93"/>
      <c r="AZ565" s="93">
        <f>ППД5[[#This Row],[Повышение 23.10.23  В4 ]]+ППД5[[#This Row],[Фикс 06.09.23]]</f>
        <v>88775.846775000013</v>
      </c>
      <c r="BA565" s="93"/>
      <c r="BB565" s="93">
        <f>ППД5[[#This Row],[Повышение 8.11.23 1К 5%]]+ППД5[[#This Row],[Фикс 23.10.23]]</f>
        <v>88775.846775000013</v>
      </c>
      <c r="BC565" s="93"/>
      <c r="BD565" s="93">
        <f>ППД5[[#This Row],[Корректировка 24.11.23 - 1К В5, 2К А2, №233]]+ППД5[[#This Row],[Фикс 8.11.23]]</f>
        <v>88775.846775000013</v>
      </c>
      <c r="BE565" s="93">
        <f>ППД5[[#This Row],[Фикс 8.11.24]]*1%</f>
        <v>887.75846775000014</v>
      </c>
      <c r="BF565" s="93">
        <f>ППД5[[#This Row],[Наценка за отделку 29.12.23 1%]]+ППД5[[#This Row],[Фикс 8.11.24]]</f>
        <v>89663.605242750011</v>
      </c>
      <c r="BG565" s="93">
        <f>ППД5[[#This Row],[Фикс 29.12.23]]*5%</f>
        <v>4483.1802621375009</v>
      </c>
      <c r="BH565" s="93">
        <f>ППД5[[#This Row],[Фикс 29.12.23]]+ППД5[[#This Row],[Наценка 10.01.24 5%]]</f>
        <v>94146.785504887506</v>
      </c>
      <c r="BI565" s="93"/>
      <c r="BJ565" s="93">
        <f>ППД5[[#This Row],[Наценка 26.02.24 1 Этаж]]+ППД5[[#This Row],[Фикс 10.01.24]]</f>
        <v>94146.785504887506</v>
      </c>
      <c r="BK565" s="93">
        <f>ППД5[[#This Row],[Фикс 26.02.24]]*2%</f>
        <v>1882.9357100977502</v>
      </c>
      <c r="BL565" s="93">
        <f>ППД5[[#This Row],[Фикс 26.02.24]]+ППД5[[#This Row],[Наценка 06.03.24
СТ, 1К - 3%
2К, 3К - 2%]]</f>
        <v>96029.721214985257</v>
      </c>
      <c r="BM565" s="93"/>
      <c r="BN565" s="93">
        <f>ППД5[[#This Row],[Фикс 06.03.24]]+ППД5[[#This Row],[Наценка Г2+500]]</f>
        <v>96029.721214985257</v>
      </c>
      <c r="BO565" s="93">
        <f>ППД5[[#This Row],[Фикс 13.03.25]]*2%</f>
        <v>1920.5944242997052</v>
      </c>
      <c r="BP565" s="93">
        <f>ППД5[[#This Row],[Фикс 13.03.25]]+ППД5[[#This Row],[Наценка 20.03.24
2К, 3К - 2%]]</f>
        <v>97950.315639284963</v>
      </c>
      <c r="BQ565" s="93">
        <v>1000</v>
      </c>
      <c r="BR565" s="93">
        <f>ППД5[[#This Row],[Фикс 20.03.24]]+ППД5[[#This Row],[Наценка 08.04.24 
2К: В3 - 150
3К: Г7 +1000]]</f>
        <v>98950.315639284963</v>
      </c>
      <c r="BS565" s="93"/>
      <c r="BT565" s="93">
        <f>ППД5[[#This Row],[Фикс 08.04.24]]+ППД5[[#This Row],[Наценка 16.05.24 1%
А4,А6,Б3,Б6,Б7,В2,В3,В5,В6,Г1,Г3-Г5]]</f>
        <v>98950.315639284963</v>
      </c>
      <c r="BU565" s="93">
        <f>ППД5[[#This Row],[Фикс 16.05.24]]*2%</f>
        <v>1979.0063127856993</v>
      </c>
      <c r="BV565" s="93">
        <f>ППД5[[#This Row],[Фикс 16.05.24]]+ППД5[[#This Row],[Наценка 24.05.24
1% - Б4, Б5,Г2,Г6
2% - А1,А3,А5,Б2,Г7]]</f>
        <v>100929.32195207066</v>
      </c>
      <c r="BW565" s="93"/>
      <c r="BX565" s="93">
        <f>ППД5[[#This Row],[Наценка 06.06.24
0К: В2,Г3 +0,5%
1К: А7, Б5/4, Г6 +0,5%
3К: В6 +0,5%
1К: А3 +1%]]+ППД5[[#This Row],[Фикс 24.05.24]]</f>
        <v>100929.32195207066</v>
      </c>
      <c r="BY565" s="93">
        <f>ППД5[[#This Row],[Фикс 06.06.24]]*2%</f>
        <v>2018.5864390414133</v>
      </c>
      <c r="BZ565" s="93">
        <f>ППД5[[#This Row],[Фикс 06.06.24]]+ППД5[[#This Row],[13.06.2024
3К - 2%]]</f>
        <v>102947.90839111207</v>
      </c>
      <c r="CA565" s="93">
        <f>2.5%*ППД5[[#This Row],[Фикс 13.06.24]]</f>
        <v>2573.6977097778017</v>
      </c>
      <c r="CB565" s="93">
        <f>ППД5[[#This Row],[02.07.2024: Г3 А1 А3 Б5 Б7 Г2 Г6 Б3 Б4 В3 Г7 2,5% ост 0,5-1,5%]]+ППД5[[#This Row],[Фикс 13.06.24]]</f>
        <v>105521.60610088987</v>
      </c>
      <c r="CC565" s="93"/>
      <c r="CD565" s="93">
        <f>ППД5[[#This Row],[Фикс 02.07.24]]+ППД5[[#This Row],[04.09.2024 +500
0К - Б2; 1К - А3;
2К - А6, Б4, В3, Г5]]</f>
        <v>105521.60610088987</v>
      </c>
      <c r="CE565" s="93">
        <f>ППД5[[#This Row],[Фикс 04.09.24]]*4%</f>
        <v>4220.8642440355952</v>
      </c>
      <c r="CF565" s="93">
        <f>ППД5[[#This Row],[Наценка 16.09.2024
1К: А1,В7,Г6/7,Г8 - 2%
2К: А4,А5,А6,Б1,Б6,Б3/4,В3,В4,Г4,Г5 - 4%
3К: 4%]]+ППД5[[#This Row],[Фикс 04.09.24]]</f>
        <v>109742.47034492546</v>
      </c>
      <c r="CG565" s="93">
        <f>ППД5[[#This Row],[Фикс 16.09.2024]]*5%</f>
        <v>5487.123517246273</v>
      </c>
      <c r="CH565" s="93">
        <f>ППД5[[#This Row],[Фикс 16.09.2024]]+ППД5[[#This Row],[Наценка 01.11.24
СТ: 4%
1К: 34-40м 5%; 40м+ 8%; МГН 1%
2К: 55-70м 6%; 70-73м 7%; 73-76м 8% 
3К: 5%]]</f>
        <v>115229.59386217174</v>
      </c>
      <c r="CI565" s="93">
        <f>ППД5[[#This Row],[Фикс 01.11.24]]*13%</f>
        <v>14979.847202082326</v>
      </c>
      <c r="CJ565" s="93">
        <f>ППД5[[#This Row],[Наценка 06.11 13%]]+ППД5[[#This Row],[Фикс 01.11.24]]</f>
        <v>130209.44106425406</v>
      </c>
      <c r="CK565" s="93">
        <v>35</v>
      </c>
      <c r="CL565" s="93">
        <f>ППД5[[#This Row],[Фикс 06.11.24]]+ППД5[[#This Row],[Наценка 18.12.24 распределение КВ]]</f>
        <v>130244.44106425406</v>
      </c>
      <c r="CM565" s="93"/>
      <c r="CN565" s="93">
        <f>ППД5[[#This Row],[Фикс 18.12.24]]+ППД5[[#This Row],[Наценка 10.02.25 +1%
1К: А3
2К: Б3, В3]]</f>
        <v>130244.44106425406</v>
      </c>
      <c r="CO565" s="93">
        <f>ROUND(ППД5[[#This Row],[Фикс 10.02.25]],2)</f>
        <v>130244.44</v>
      </c>
      <c r="CP56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10346700</v>
      </c>
      <c r="CQ565" s="93">
        <f>ROUNDUP(ППД5[[#This Row],[Стоимость до скидки]]+ППД5[[#This Row],[Сумма доплаты]],-2)</f>
        <v>10224300</v>
      </c>
      <c r="CR565" s="68"/>
      <c r="CS565" s="90"/>
      <c r="CT565" s="68">
        <f>ППД5[[#This Row],[Стоимость до скидки]]*ППД5[[#This Row],[Скидка %]]+ППД5[[#This Row],[Скидка фиксированная]]</f>
        <v>0</v>
      </c>
      <c r="CU565" s="3">
        <f>ППД5[[#This Row],[Стоимость ОН без отделки со скидкой]]/ППД5[[#This Row],[Расчетная проектная площадь]]</f>
        <v>130245.46827794562</v>
      </c>
      <c r="CV565" s="3">
        <f>ROUND(ППД5[[#This Row],[Стоимость до скидки]]-ППД5[[#This Row],[Итоговая сумма скидки]],2)</f>
        <v>10346700</v>
      </c>
      <c r="CW56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565" s="218">
        <v>10000</v>
      </c>
      <c r="CY565" s="332">
        <f>ППД5[[#This Row],[Расхождение]]/ППД5[[#This Row],[Расчетная проектная площадь]]</f>
        <v>-1.1832829808660418E-2</v>
      </c>
      <c r="CZ565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-0.61000000000000654</v>
      </c>
      <c r="DA565" s="3">
        <f>ППД5[[#This Row],[Цена м2 без отделки со скидкой]]+ППД5[[#This Row],[Стоимость отделки]]</f>
        <v>140245.46827794562</v>
      </c>
      <c r="DB565" s="3">
        <f>ППД5[[#This Row],[Стоимость квартиры с отделкой]]-ППД5[[#This Row],[Стоимость ОН без отделки со скидкой]]</f>
        <v>794400</v>
      </c>
      <c r="DC565" s="3">
        <f>ППД5[[#This Row],[Цена м2 с отделкой]]*ППД5[[#This Row],[Расчетная проектная площадь]]</f>
        <v>11141100</v>
      </c>
      <c r="DD565" s="3" t="s">
        <v>155</v>
      </c>
      <c r="DF565" s="155" t="s">
        <v>157</v>
      </c>
      <c r="DG565" s="245" t="s">
        <v>157</v>
      </c>
      <c r="DH565" s="100" t="b">
        <f>EXACT(ППД5[[#This Row],[Статусы CRM]],ППД5[[#This Row],[Статус]])</f>
        <v>1</v>
      </c>
      <c r="DI565" s="213" t="s">
        <v>737</v>
      </c>
      <c r="DJ565" s="204"/>
      <c r="DK565" s="111" t="s">
        <v>763</v>
      </c>
      <c r="DL565" s="216" t="s">
        <v>780</v>
      </c>
      <c r="DM565" s="201" t="b">
        <f>ППД5[[#This Row],[Отделка CRM]]=ППД5[[#This Row],[Отделка]]</f>
        <v>1</v>
      </c>
      <c r="DN565" s="203">
        <v>11141100</v>
      </c>
      <c r="DO56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65" s="207" t="b">
        <f>IF(AND(ППД5[[#This Row],[Статус]]="свободно",ППД5[[#This Row],[Итоговая сумма скидки]]&lt;&gt;0),FALSE,TRUE)</f>
        <v>1</v>
      </c>
      <c r="DQ565" s="240" t="str">
        <f>_xlfn.XLOOKUP(ППД5[[#This Row],[№]],Юрист[№ кв],Юрист[Дата подачи на регистрацию]," ",0,-1)</f>
        <v xml:space="preserve"> </v>
      </c>
      <c r="DR565" s="115" t="str">
        <f>_xlfn.XLOOKUP(ППД5[[#This Row],[№]],Юрист[№ кв],Юрист[МОП],"",0,-1)</f>
        <v/>
      </c>
      <c r="DS565" s="333" t="s">
        <v>3422</v>
      </c>
      <c r="DT565" s="333" t="s">
        <v>3423</v>
      </c>
      <c r="DU565" s="333">
        <v>73</v>
      </c>
      <c r="DV565" s="111"/>
    </row>
    <row r="566" spans="1:126" hidden="1" x14ac:dyDescent="0.25">
      <c r="A566" s="112">
        <v>564</v>
      </c>
      <c r="B566" s="111" t="s">
        <v>2</v>
      </c>
      <c r="C566" s="111">
        <v>22</v>
      </c>
      <c r="D566" s="115">
        <v>8</v>
      </c>
      <c r="E566" s="111">
        <v>1</v>
      </c>
      <c r="F566" s="105">
        <v>16.79</v>
      </c>
      <c r="G566" s="105"/>
      <c r="H566" s="105"/>
      <c r="I566" s="94">
        <f>SUM(ППД5[[#This Row],[Комната 1]:[Комната 3]])</f>
        <v>16.79</v>
      </c>
      <c r="J566" s="105">
        <v>11.43</v>
      </c>
      <c r="K566" s="105">
        <v>3.56</v>
      </c>
      <c r="L566" s="105"/>
      <c r="M566" s="105"/>
      <c r="N566" s="105">
        <v>6.66</v>
      </c>
      <c r="O566" s="105">
        <v>2.4900000000000002</v>
      </c>
      <c r="P566" s="105"/>
      <c r="Q566" s="105"/>
      <c r="R566" s="105">
        <f>SUM(ППД5[[#This Row],[Лоджия 1]:[Лоджия 3]])</f>
        <v>2.4900000000000002</v>
      </c>
      <c r="S566" s="8">
        <f>ROUND(SUM(ППД5[[#This Row],[Площадь по проекту жилая]:[Лоджия 3]]),2)</f>
        <v>40.93</v>
      </c>
      <c r="T566" s="8">
        <f>ROUND(ППД5[[#This Row],[Площадь по проекту(общая)]]-ППД5[[#This Row],[Летние]],2)</f>
        <v>38.44</v>
      </c>
      <c r="U566" s="91">
        <f>ROUND(ППД5[[#This Row],[Площадь по проекту(общая)]]-(SUM(ППД5[[#This Row],[Лоджия 1]:[Лоджия 3]])/2),2)</f>
        <v>39.69</v>
      </c>
      <c r="V566" s="91">
        <f>IF(ППД5[[#This Row],[Статус]]="продажа",ППД5[[#This Row],[Расчетная проектная площадь]],ППД5[[#This Row],[Расчетная ТП площадь]])</f>
        <v>39.450000000000003</v>
      </c>
      <c r="W566" s="91">
        <v>16.7</v>
      </c>
      <c r="X566" s="91"/>
      <c r="Y566" s="91"/>
      <c r="Z566" s="91">
        <f>SUM(ППД5[[#This Row],[ТП Комната 1]:[ТП Комната 3]])</f>
        <v>16.7</v>
      </c>
      <c r="AA566" s="91">
        <v>11.3</v>
      </c>
      <c r="AB566" s="91">
        <v>3.6</v>
      </c>
      <c r="AC566" s="91"/>
      <c r="AD566" s="91"/>
      <c r="AE566" s="91">
        <v>6.6</v>
      </c>
      <c r="AF566" s="92">
        <v>1.25</v>
      </c>
      <c r="AG566" s="91"/>
      <c r="AH566" s="91"/>
      <c r="AI566" s="91">
        <f>SUM(ППД5[[#This Row],[ТП Лоджия 1]:[ТП Лоджия 3]])</f>
        <v>1.25</v>
      </c>
      <c r="AJ566" s="95">
        <v>2.5</v>
      </c>
      <c r="AK566" s="91">
        <f>SUM(ППД5[[#This Row],[Площадь по ТП жилая]:[ТП Лоджия 3]])-ППД5[[#This Row],[ТП Летние]]+ППД5[[#This Row],[кроме того прочая
(без коэффициента)]]</f>
        <v>40.700000000000003</v>
      </c>
      <c r="AL566" s="95">
        <f>ППД5[[#This Row],[ТП Площадь без летних]]+(ППД5[[#This Row],[ТП Летние]])</f>
        <v>39.450000000000003</v>
      </c>
      <c r="AM566" s="91">
        <f>ППД5[[#This Row],[ТП общая S]]-ППД5[[#This Row],[кроме того прочая
(без коэффициента)]]</f>
        <v>38.200000000000003</v>
      </c>
      <c r="AN566" s="95">
        <f>SUM(ППД5[[#This Row],[ТП Кухня]:[ТП Коридор]])</f>
        <v>21.5</v>
      </c>
      <c r="AO566" s="91">
        <f>ППД5[[#This Row],[Расчетная ТП площадь]]-ППД5[[#This Row],[Расчетная проектная площадь]]</f>
        <v>-0.23999999999999488</v>
      </c>
      <c r="AP566" s="335">
        <f>ППД5[[#This Row],[Расчетная ТП площадь]]/ППД5[[#This Row],[Расчетная проектная площадь]]-1</f>
        <v>-6.0468631897202529E-3</v>
      </c>
      <c r="AQ566" s="91">
        <f>ППД5[[#This Row],[% расхождения]]*ППД5[[#This Row],[Стоимость до скидки]]</f>
        <v>-34536.054421768255</v>
      </c>
      <c r="AR566" s="91">
        <f>VLOOKUP(ППД5[[#This Row],[№]],наценкад5[],COLUMN(наценкад5[[#This Row],[Цена м2 с учетом всех K]]),0)</f>
        <v>91251.5625</v>
      </c>
      <c r="AS566" s="8">
        <f>ППД5[[#This Row],[м2 после К]]*5%</f>
        <v>4562.578125</v>
      </c>
      <c r="AT566" s="8">
        <f>ППД5[[#This Row],[м2 после К]]+ППД5[[#This Row],[Повышение 16.08.23 - 5%]]</f>
        <v>95814.140625</v>
      </c>
      <c r="AU566" s="93">
        <f>ППД5[[#This Row],[Фикс 16.08.23]]*3%</f>
        <v>2874.4242187499999</v>
      </c>
      <c r="AV566" s="93">
        <f>ППД5[[#This Row],[Фикс 16.08.23]]+ППД5[[#This Row],[Повышение 29.08.23 - 3%]]</f>
        <v>98688.564843750006</v>
      </c>
      <c r="AW566" s="93">
        <f>ППД5[[#This Row],[Фикс 29.08.23]]*4.5%</f>
        <v>4440.98541796875</v>
      </c>
      <c r="AX566" s="93">
        <f>ППД5[[#This Row],[Фикс 29.08.23]]+ППД5[[#This Row],[Повышение 06.09.23 СТ и 1К]]</f>
        <v>103129.55026171876</v>
      </c>
      <c r="AY566" s="93"/>
      <c r="AZ566" s="93">
        <f>ППД5[[#This Row],[Повышение 23.10.23  В4 ]]+ППД5[[#This Row],[Фикс 06.09.23]]</f>
        <v>103129.55026171876</v>
      </c>
      <c r="BA566" s="93">
        <f>ППД5[[#This Row],[Фикс 23.10.23]]*5%</f>
        <v>5156.477513085938</v>
      </c>
      <c r="BB566" s="93">
        <f>ППД5[[#This Row],[Повышение 8.11.23 1К 5%]]+ППД5[[#This Row],[Фикс 23.10.23]]</f>
        <v>108286.02777480469</v>
      </c>
      <c r="BC566" s="93"/>
      <c r="BD566" s="93">
        <f>ППД5[[#This Row],[Корректировка 24.11.23 - 1К В5, 2К А2, №233]]+ППД5[[#This Row],[Фикс 8.11.23]]</f>
        <v>108286.02777480469</v>
      </c>
      <c r="BE566" s="93">
        <f>ППД5[[#This Row],[Фикс 8.11.24]]*1%</f>
        <v>1082.8602777480469</v>
      </c>
      <c r="BF566" s="93">
        <f>ППД5[[#This Row],[Наценка за отделку 29.12.23 1%]]+ППД5[[#This Row],[Фикс 8.11.24]]</f>
        <v>109368.88805255273</v>
      </c>
      <c r="BG566" s="93">
        <f>ППД5[[#This Row],[Фикс 29.12.23]]*5%</f>
        <v>5468.4444026276369</v>
      </c>
      <c r="BH566" s="93">
        <f>ППД5[[#This Row],[Фикс 29.12.23]]+ППД5[[#This Row],[Наценка 10.01.24 5%]]</f>
        <v>114837.33245518037</v>
      </c>
      <c r="BI566" s="93"/>
      <c r="BJ566" s="93">
        <f>ППД5[[#This Row],[Наценка 26.02.24 1 Этаж]]+ППД5[[#This Row],[Фикс 10.01.24]]</f>
        <v>114837.33245518037</v>
      </c>
      <c r="BK566" s="93">
        <f>ППД5[[#This Row],[Фикс 26.02.24]]*3%</f>
        <v>3445.1199736554108</v>
      </c>
      <c r="BL566" s="93">
        <f>ППД5[[#This Row],[Фикс 26.02.24]]+ППД5[[#This Row],[Наценка 06.03.24
СТ, 1К - 3%
2К, 3К - 2%]]</f>
        <v>118282.45242883578</v>
      </c>
      <c r="BM566" s="93"/>
      <c r="BN566" s="93">
        <f>ППД5[[#This Row],[Фикс 06.03.24]]+ППД5[[#This Row],[Наценка Г2+500]]</f>
        <v>118282.45242883578</v>
      </c>
      <c r="BO566" s="93"/>
      <c r="BP566" s="93">
        <f>ППД5[[#This Row],[Фикс 13.03.25]]+ППД5[[#This Row],[Наценка 20.03.24
2К, 3К - 2%]]</f>
        <v>118282.45242883578</v>
      </c>
      <c r="BQ566" s="93"/>
      <c r="BR566" s="93">
        <f>ППД5[[#This Row],[Фикс 20.03.24]]+ППД5[[#This Row],[Наценка 08.04.24 
2К: В3 - 150
3К: Г7 +1000]]</f>
        <v>118282.45242883578</v>
      </c>
      <c r="BS566" s="93"/>
      <c r="BT566" s="93">
        <f>ППД5[[#This Row],[Фикс 08.04.24]]+ППД5[[#This Row],[Наценка 16.05.24 1%
А4,А6,Б3,Б6,Б7,В2,В3,В5,В6,Г1,Г3-Г5]]</f>
        <v>118282.45242883578</v>
      </c>
      <c r="BU566" s="93"/>
      <c r="BV566" s="93">
        <f>ППД5[[#This Row],[Фикс 16.05.24]]+ППД5[[#This Row],[Наценка 24.05.24
1% - Б4, Б5,Г2,Г6
2% - А1,А3,А5,Б2,Г7]]</f>
        <v>118282.45242883578</v>
      </c>
      <c r="BW566" s="93"/>
      <c r="BX566" s="93">
        <f>ППД5[[#This Row],[Наценка 06.06.24
0К: В2,Г3 +0,5%
1К: А7, Б5/4, Г6 +0,5%
3К: В6 +0,5%
1К: А3 +1%]]+ППД5[[#This Row],[Фикс 24.05.24]]</f>
        <v>118282.45242883578</v>
      </c>
      <c r="BY566" s="93"/>
      <c r="BZ566" s="93">
        <f>ППД5[[#This Row],[Фикс 06.06.24]]+ППД5[[#This Row],[13.06.2024
3К - 2%]]</f>
        <v>118282.45242883578</v>
      </c>
      <c r="CA566" s="93">
        <f>0.5%*ППД5[[#This Row],[Фикс 13.06.24]]</f>
        <v>591.41226214417895</v>
      </c>
      <c r="CB566" s="93">
        <f>ППД5[[#This Row],[02.07.2024: Г3 А1 А3 Б5 Б7 Г2 Г6 Б3 Б4 В3 Г7 2,5% ост 0,5-1,5%]]+ППД5[[#This Row],[Фикс 13.06.24]]</f>
        <v>118873.86469097996</v>
      </c>
      <c r="CC566" s="93"/>
      <c r="CD566" s="93">
        <f>ППД5[[#This Row],[Фикс 02.07.24]]+ППД5[[#This Row],[04.09.2024 +500
0К - Б2; 1К - А3;
2К - А6, Б4, В3, Г5]]</f>
        <v>118873.86469097996</v>
      </c>
      <c r="CE566" s="93">
        <f>ППД5[[#This Row],[Фикс 04.09.24]]*2%</f>
        <v>2377.4772938195993</v>
      </c>
      <c r="CF566" s="93">
        <f>ППД5[[#This Row],[Наценка 16.09.2024
1К: А1,В7,Г6/7,Г8 - 2%
2К: А4,А5,А6,Б1,Б6,Б3/4,В3,В4,Г4,Г5 - 4%
3К: 4%]]+ППД5[[#This Row],[Фикс 04.09.24]]</f>
        <v>121251.34198479955</v>
      </c>
      <c r="CG566" s="93">
        <f>ППД5[[#This Row],[Фикс 16.09.2024]]*5%</f>
        <v>6062.5670992399782</v>
      </c>
      <c r="CH566" s="93">
        <f>ППД5[[#This Row],[Фикс 16.09.2024]]+ППД5[[#This Row],[Наценка 01.11.24
СТ: 4%
1К: 34-40м 5%; 40м+ 8%; МГН 1%
2К: 55-70м 6%; 70-73м 7%; 73-76м 8% 
3К: 5%]]</f>
        <v>127313.90908403954</v>
      </c>
      <c r="CI566" s="93">
        <f>ППД5[[#This Row],[Фикс 01.11.24]]*13%</f>
        <v>16550.808180925142</v>
      </c>
      <c r="CJ566" s="93">
        <f>ППД5[[#This Row],[Наценка 06.11 13%]]+ППД5[[#This Row],[Фикс 01.11.24]]</f>
        <v>143864.71726496468</v>
      </c>
      <c r="CK566" s="93">
        <v>35</v>
      </c>
      <c r="CL566" s="93">
        <f>ППД5[[#This Row],[Фикс 06.11.24]]+ППД5[[#This Row],[Наценка 18.12.24 распределение КВ]]</f>
        <v>143899.71726496468</v>
      </c>
      <c r="CM566" s="93"/>
      <c r="CN566" s="93">
        <f>ППД5[[#This Row],[Фикс 18.12.24]]+ППД5[[#This Row],[Наценка 10.02.25 +1%
1К: А3
2К: Б3, В3]]</f>
        <v>143899.71726496468</v>
      </c>
      <c r="CO566" s="93">
        <f>ROUND(ППД5[[#This Row],[Фикс 10.02.25]],2)</f>
        <v>143899.72</v>
      </c>
      <c r="CP56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5711400</v>
      </c>
      <c r="CQ566" s="93">
        <f>ROUNDUP(ППД5[[#This Row],[Стоимость до скидки]]+ППД5[[#This Row],[Сумма доплаты]],-2)</f>
        <v>5676900</v>
      </c>
      <c r="CR566" s="68"/>
      <c r="CS566" s="90"/>
      <c r="CT566" s="68">
        <f>ППД5[[#This Row],[Стоимость до скидки]]*ППД5[[#This Row],[Скидка %]]+ППД5[[#This Row],[Скидка фиксированная]]</f>
        <v>0</v>
      </c>
      <c r="CU566" s="3">
        <f>ППД5[[#This Row],[Стоимость ОН без отделки со скидкой]]/ППД5[[#This Row],[Расчетная проектная площадь]]</f>
        <v>143900.22675736962</v>
      </c>
      <c r="CV566" s="3">
        <f>ROUND(ППД5[[#This Row],[Стоимость до скидки]]-ППД5[[#This Row],[Итоговая сумма скидки]],2)</f>
        <v>5711400</v>
      </c>
      <c r="CW56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66" s="197"/>
      <c r="CY566" s="332">
        <f>ППД5[[#This Row],[Расхождение]]/ППД5[[#This Row],[Расчетная проектная площадь]]</f>
        <v>-6.0468631897202044E-3</v>
      </c>
      <c r="CZ566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-0.15000000000000036</v>
      </c>
      <c r="DA566" s="3">
        <f>ППД5[[#This Row],[Цена м2 без отделки со скидкой]]+ППД5[[#This Row],[Стоимость отделки]]</f>
        <v>143900.22675736962</v>
      </c>
      <c r="DB566" s="3">
        <f>ППД5[[#This Row],[Стоимость квартиры с отделкой]]-ППД5[[#This Row],[Стоимость ОН без отделки со скидкой]]</f>
        <v>0</v>
      </c>
      <c r="DC566" s="3">
        <f>ППД5[[#This Row],[Цена м2 с отделкой]]*ППД5[[#This Row],[Расчетная проектная площадь]]</f>
        <v>5711400</v>
      </c>
      <c r="DD566" s="47"/>
      <c r="DF566" s="155" t="s">
        <v>157</v>
      </c>
      <c r="DG566" s="221" t="s">
        <v>157</v>
      </c>
      <c r="DH566" s="100" t="b">
        <f>EXACT(ППД5[[#This Row],[Статусы CRM]],ППД5[[#This Row],[Статус]])</f>
        <v>1</v>
      </c>
      <c r="DI566" s="213" t="s">
        <v>738</v>
      </c>
      <c r="DJ566" s="204"/>
      <c r="DK566" s="111" t="s">
        <v>763</v>
      </c>
      <c r="DL566" s="216" t="s">
        <v>12</v>
      </c>
      <c r="DM566" s="201" t="b">
        <f>ППД5[[#This Row],[Отделка CRM]]=ППД5[[#This Row],[Отделка]]</f>
        <v>1</v>
      </c>
      <c r="DN566" s="203">
        <v>5711400</v>
      </c>
      <c r="DO56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66" s="207" t="b">
        <f>IF(AND(ППД5[[#This Row],[Статус]]="свободно",ППД5[[#This Row],[Итоговая сумма скидки]]&lt;&gt;0),FALSE,TRUE)</f>
        <v>1</v>
      </c>
      <c r="DQ566" s="240" t="str">
        <f>_xlfn.XLOOKUP(ППД5[[#This Row],[№]],Юрист[№ кв],Юрист[Дата подачи на регистрацию]," ",0,-1)</f>
        <v xml:space="preserve"> </v>
      </c>
      <c r="DR566" s="115" t="str">
        <f>_xlfn.XLOOKUP(ППД5[[#This Row],[№]],Юрист[№ кв],Юрист[МОП],"",0,-1)</f>
        <v/>
      </c>
      <c r="DS566" s="333" t="s">
        <v>3424</v>
      </c>
      <c r="DT566" s="333" t="s">
        <v>3425</v>
      </c>
      <c r="DU566" s="333">
        <v>38.200000000000003</v>
      </c>
      <c r="DV566" s="111"/>
    </row>
    <row r="567" spans="1:126" hidden="1" x14ac:dyDescent="0.25">
      <c r="A567" s="112">
        <v>565</v>
      </c>
      <c r="B567" s="111" t="s">
        <v>2</v>
      </c>
      <c r="C567" s="111">
        <v>23</v>
      </c>
      <c r="D567" s="338">
        <v>1</v>
      </c>
      <c r="E567" s="111">
        <v>0</v>
      </c>
      <c r="F567" s="105">
        <v>13.74</v>
      </c>
      <c r="G567" s="105"/>
      <c r="H567" s="105"/>
      <c r="I567" s="94">
        <f>SUM(ППД5[[#This Row],[Комната 1]:[Комната 3]])</f>
        <v>13.74</v>
      </c>
      <c r="J567" s="105">
        <v>5.84</v>
      </c>
      <c r="K567" s="105">
        <v>3.76</v>
      </c>
      <c r="L567" s="105"/>
      <c r="M567" s="105"/>
      <c r="N567" s="105">
        <v>3.73</v>
      </c>
      <c r="O567" s="105">
        <v>4.6500000000000004</v>
      </c>
      <c r="P567" s="105"/>
      <c r="Q567" s="105"/>
      <c r="R567" s="105">
        <f>SUM(ППД5[[#This Row],[Лоджия 1]:[Лоджия 3]])</f>
        <v>4.6500000000000004</v>
      </c>
      <c r="S567" s="8">
        <f>ROUND(SUM(ППД5[[#This Row],[Площадь по проекту жилая]:[Лоджия 3]]),2)</f>
        <v>31.72</v>
      </c>
      <c r="T567" s="8">
        <f>ROUND(ППД5[[#This Row],[Площадь по проекту(общая)]]-ППД5[[#This Row],[Летние]],2)</f>
        <v>27.07</v>
      </c>
      <c r="U567" s="91">
        <f>ROUND(ППД5[[#This Row],[Площадь по проекту(общая)]]-(SUM(ППД5[[#This Row],[Лоджия 1]:[Лоджия 3]])/2),2)</f>
        <v>29.4</v>
      </c>
      <c r="V567" s="91">
        <f>IF(ППД5[[#This Row],[Статус]]="продажа",ППД5[[#This Row],[Расчетная проектная площадь]],ППД5[[#This Row],[Расчетная ТП площадь]])</f>
        <v>29.4</v>
      </c>
      <c r="W567" s="91">
        <v>13.7</v>
      </c>
      <c r="X567" s="91"/>
      <c r="Y567" s="91"/>
      <c r="Z567" s="91">
        <f>SUM(ППД5[[#This Row],[ТП Комната 1]:[ТП Комната 3]])</f>
        <v>13.7</v>
      </c>
      <c r="AA567" s="91">
        <v>5.8</v>
      </c>
      <c r="AB567" s="91">
        <v>3.7</v>
      </c>
      <c r="AC567" s="91"/>
      <c r="AD567" s="91"/>
      <c r="AE567" s="91">
        <v>3.7</v>
      </c>
      <c r="AF567" s="91">
        <v>2.2999999999999998</v>
      </c>
      <c r="AG567" s="91"/>
      <c r="AH567" s="91"/>
      <c r="AI567" s="91">
        <f>SUM(ППД5[[#This Row],[ТП Лоджия 1]:[ТП Лоджия 3]])</f>
        <v>2.2999999999999998</v>
      </c>
      <c r="AJ567" s="95">
        <v>4.5999999999999996</v>
      </c>
      <c r="AK567" s="91">
        <f>SUM(ППД5[[#This Row],[Площадь по ТП жилая]:[ТП Лоджия 3]])-ППД5[[#This Row],[ТП Летние]]+ППД5[[#This Row],[кроме того прочая
(без коэффициента)]]</f>
        <v>31.5</v>
      </c>
      <c r="AL567" s="95">
        <f>ППД5[[#This Row],[ТП Площадь без летних]]+(ППД5[[#This Row],[ТП Летние]])</f>
        <v>29.2</v>
      </c>
      <c r="AM567" s="91">
        <f>ППД5[[#This Row],[ТП общая S]]-ППД5[[#This Row],[кроме того прочая
(без коэффициента)]]</f>
        <v>26.9</v>
      </c>
      <c r="AN567" s="95">
        <f>SUM(ППД5[[#This Row],[ТП Кухня]:[ТП Коридор]])</f>
        <v>13.2</v>
      </c>
      <c r="AO567" s="91">
        <f>ППД5[[#This Row],[Расчетная ТП площадь]]-ППД5[[#This Row],[Расчетная проектная площадь]]</f>
        <v>-0.19999999999999929</v>
      </c>
      <c r="AP567" s="335">
        <f>ППД5[[#This Row],[Расчетная ТП площадь]]/ППД5[[#This Row],[Расчетная проектная площадь]]-1</f>
        <v>-6.8027210884353817E-3</v>
      </c>
      <c r="AQ567" s="91">
        <f>ППД5[[#This Row],[% расхождения]]*ППД5[[#This Row],[Стоимость до скидки]]</f>
        <v>-20843.024013605464</v>
      </c>
      <c r="AR567" s="91">
        <f>VLOOKUP(ППД5[[#This Row],[№]],наценкад5[],COLUMN(наценкад5[[#This Row],[Цена м2 с учетом всех K]]),0)</f>
        <v>96361.65</v>
      </c>
      <c r="AS567" s="8">
        <f>ППД5[[#This Row],[м2 после К]]*5%</f>
        <v>4818.0824999999995</v>
      </c>
      <c r="AT567" s="8">
        <f>ППД5[[#This Row],[м2 после К]]+ППД5[[#This Row],[Повышение 16.08.23 - 5%]]</f>
        <v>101179.7325</v>
      </c>
      <c r="AU567" s="93">
        <f>ППД5[[#This Row],[Фикс 16.08.23]]*3%</f>
        <v>3035.391975</v>
      </c>
      <c r="AV567" s="93">
        <f>ППД5[[#This Row],[Фикс 16.08.23]]+ППД5[[#This Row],[Повышение 29.08.23 - 3%]]</f>
        <v>104215.124475</v>
      </c>
      <c r="AW567" s="93"/>
      <c r="AX567" s="93">
        <f>ППД5[[#This Row],[Фикс 29.08.23]]+ППД5[[#This Row],[Повышение 06.09.23 СТ и 1К]]</f>
        <v>104215.124475</v>
      </c>
      <c r="AY567" s="93"/>
      <c r="AZ567" s="93">
        <f>ППД5[[#This Row],[Повышение 23.10.23  В4 ]]+ППД5[[#This Row],[Фикс 06.09.23]]</f>
        <v>104215.124475</v>
      </c>
      <c r="BA567" s="93"/>
      <c r="BB567" s="93">
        <f>ППД5[[#This Row],[Повышение 8.11.23 1К 5%]]+ППД5[[#This Row],[Фикс 23.10.23]]</f>
        <v>104215.124475</v>
      </c>
      <c r="BC567" s="93"/>
      <c r="BD567" s="93">
        <f>ППД5[[#This Row],[Корректировка 24.11.23 - 1К В5, 2К А2, №233]]+ППД5[[#This Row],[Фикс 8.11.23]]</f>
        <v>104215.124475</v>
      </c>
      <c r="BE567" s="93"/>
      <c r="BF567" s="93">
        <f>ППД5[[#This Row],[Наценка за отделку 29.12.23 1%]]+ППД5[[#This Row],[Фикс 8.11.24]]</f>
        <v>104215.124475</v>
      </c>
      <c r="BG567" s="93"/>
      <c r="BH567" s="93">
        <f>ППД5[[#This Row],[Фикс 29.12.23]]+ППД5[[#This Row],[Наценка 10.01.24 5%]]</f>
        <v>104215.124475</v>
      </c>
      <c r="BI567" s="93"/>
      <c r="BJ567" s="93">
        <f>ППД5[[#This Row],[Наценка 26.02.24 1 Этаж]]+ППД5[[#This Row],[Фикс 10.01.24]]</f>
        <v>104215.124475</v>
      </c>
      <c r="BK567" s="93"/>
      <c r="BL567" s="93">
        <f>ППД5[[#This Row],[Фикс 26.02.24]]+ППД5[[#This Row],[Наценка 06.03.24
СТ, 1К - 3%
2К, 3К - 2%]]</f>
        <v>104215.124475</v>
      </c>
      <c r="BM567" s="93"/>
      <c r="BN567" s="93">
        <f>ППД5[[#This Row],[Фикс 06.03.24]]+ППД5[[#This Row],[Наценка Г2+500]]</f>
        <v>104215.124475</v>
      </c>
      <c r="BO567" s="93"/>
      <c r="BP567" s="93">
        <f>ППД5[[#This Row],[Фикс 13.03.25]]+ППД5[[#This Row],[Наценка 20.03.24
2К, 3К - 2%]]</f>
        <v>104215.124475</v>
      </c>
      <c r="BQ567" s="93"/>
      <c r="BR567" s="93">
        <f>ППД5[[#This Row],[Фикс 20.03.24]]+ППД5[[#This Row],[Наценка 08.04.24 
2К: В3 - 150
3К: Г7 +1000]]</f>
        <v>104215.124475</v>
      </c>
      <c r="BS567" s="93"/>
      <c r="BT567" s="93">
        <f>ППД5[[#This Row],[Фикс 08.04.24]]+ППД5[[#This Row],[Наценка 16.05.24 1%
А4,А6,Б3,Б6,Б7,В2,В3,В5,В6,Г1,Г3-Г5]]</f>
        <v>104215.124475</v>
      </c>
      <c r="BU567" s="93"/>
      <c r="BV567" s="93">
        <f>ППД5[[#This Row],[Фикс 16.05.24]]+ППД5[[#This Row],[Наценка 24.05.24
1% - Б4, Б5,Г2,Г6
2% - А1,А3,А5,Б2,Г7]]</f>
        <v>104215.124475</v>
      </c>
      <c r="BW567" s="93"/>
      <c r="BX567" s="93">
        <f>ППД5[[#This Row],[Наценка 06.06.24
0К: В2,Г3 +0,5%
1К: А7, Б5/4, Г6 +0,5%
3К: В6 +0,5%
1К: А3 +1%]]+ППД5[[#This Row],[Фикс 24.05.24]]</f>
        <v>104215.124475</v>
      </c>
      <c r="BY567" s="93"/>
      <c r="BZ567" s="93">
        <f>ППД5[[#This Row],[Фикс 06.06.24]]+ППД5[[#This Row],[13.06.2024
3К - 2%]]</f>
        <v>104215.124475</v>
      </c>
      <c r="CA567" s="93"/>
      <c r="CB567" s="93">
        <f>ППД5[[#This Row],[02.07.2024: Г3 А1 А3 Б5 Б7 Г2 Г6 Б3 Б4 В3 Г7 2,5% ост 0,5-1,5%]]+ППД5[[#This Row],[Фикс 13.06.24]]</f>
        <v>104215.124475</v>
      </c>
      <c r="CC567" s="93"/>
      <c r="CD567" s="93">
        <f>ППД5[[#This Row],[Фикс 02.07.24]]+ППД5[[#This Row],[04.09.2024 +500
0К - Б2; 1К - А3;
2К - А6, Б4, В3, Г5]]</f>
        <v>104215.124475</v>
      </c>
      <c r="CE567" s="93"/>
      <c r="CF567" s="93">
        <f>ППД5[[#This Row],[Наценка 16.09.2024
1К: А1,В7,Г6/7,Г8 - 2%
2К: А4,А5,А6,Б1,Б6,Б3/4,В3,В4,Г4,Г5 - 4%
3К: 4%]]+ППД5[[#This Row],[Фикс 04.09.24]]</f>
        <v>104215.124475</v>
      </c>
      <c r="CG567" s="93"/>
      <c r="CH567" s="93">
        <f>ППД5[[#This Row],[Фикс 16.09.2024]]+ППД5[[#This Row],[Наценка 01.11.24
СТ: 4%
1К: 34-40м 5%; 40м+ 8%; МГН 1%
2К: 55-70м 6%; 70-73м 7%; 73-76м 8% 
3К: 5%]]</f>
        <v>104215.124475</v>
      </c>
      <c r="CI567" s="93"/>
      <c r="CJ567" s="93">
        <f>ППД5[[#This Row],[Наценка 06.11 13%]]+ППД5[[#This Row],[Фикс 01.11.24]]</f>
        <v>104215.124475</v>
      </c>
      <c r="CK567" s="93"/>
      <c r="CL567" s="93">
        <f>ППД5[[#This Row],[Фикс 06.11.24]]+ППД5[[#This Row],[Наценка 18.12.24 распределение КВ]]</f>
        <v>104215.124475</v>
      </c>
      <c r="CM567" s="93"/>
      <c r="CN567" s="93">
        <f>ППД5[[#This Row],[Фикс 18.12.24]]+ППД5[[#This Row],[Наценка 10.02.25 +1%
1К: А3
2К: Б3, В3]]</f>
        <v>104215.124475</v>
      </c>
      <c r="CO567" s="93">
        <f>ROUND(ППД5[[#This Row],[Фикс 10.02.25]],2)</f>
        <v>104215.12</v>
      </c>
      <c r="CP56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3063924.53</v>
      </c>
      <c r="CQ567" s="93">
        <f>ROUNDUP(ППД5[[#This Row],[Стоимость до скидки]]+ППД5[[#This Row],[Сумма доплаты]],-2)</f>
        <v>3043100</v>
      </c>
      <c r="CR567" s="68"/>
      <c r="CS567" s="90"/>
      <c r="CT567" s="68">
        <f>ППД5[[#This Row],[Стоимость до скидки]]*ППД5[[#This Row],[Скидка %]]+ППД5[[#This Row],[Скидка фиксированная]]</f>
        <v>0</v>
      </c>
      <c r="CU567" s="3">
        <f>ППД5[[#This Row],[Стоимость ОН без отделки со скидкой]]/ППД5[[#This Row],[Расчетная проектная площадь]]</f>
        <v>104215.12006802722</v>
      </c>
      <c r="CV567" s="3">
        <f>ROUND(ППД5[[#This Row],[Стоимость до скидки]]-ППД5[[#This Row],[Итоговая сумма скидки]],2)</f>
        <v>3063924.53</v>
      </c>
      <c r="CW56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67" s="197"/>
      <c r="CY567" s="332">
        <f>ППД5[[#This Row],[Расхождение]]/ППД5[[#This Row],[Расчетная проектная площадь]]</f>
        <v>-6.8027210884353505E-3</v>
      </c>
      <c r="CZ56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-0.13000000000000078</v>
      </c>
      <c r="DA567" s="3">
        <f>ППД5[[#This Row],[Цена м2 без отделки со скидкой]]+ППД5[[#This Row],[Стоимость отделки]]</f>
        <v>104215.12006802722</v>
      </c>
      <c r="DB567" s="3">
        <f>ППД5[[#This Row],[Стоимость квартиры с отделкой]]-ППД5[[#This Row],[Стоимость ОН без отделки со скидкой]]</f>
        <v>0</v>
      </c>
      <c r="DC567" s="3">
        <f>ППД5[[#This Row],[Цена м2 с отделкой]]*ППД5[[#This Row],[Расчетная проектная площадь]]</f>
        <v>3063924.53</v>
      </c>
      <c r="DD567" s="47"/>
      <c r="DF567" s="199" t="s">
        <v>172</v>
      </c>
      <c r="DG567" s="245" t="s">
        <v>172</v>
      </c>
      <c r="DH567" s="100" t="b">
        <f>EXACT(ППД5[[#This Row],[Статусы CRM]],ППД5[[#This Row],[Статус]])</f>
        <v>1</v>
      </c>
      <c r="DI567" s="213" t="s">
        <v>739</v>
      </c>
      <c r="DJ567" s="204"/>
      <c r="DK567" s="111" t="s">
        <v>76</v>
      </c>
      <c r="DL567" s="216" t="s">
        <v>12</v>
      </c>
      <c r="DM567" s="201" t="b">
        <f>ППД5[[#This Row],[Отделка CRM]]=ППД5[[#This Row],[Отделка]]</f>
        <v>1</v>
      </c>
      <c r="DN567" s="203">
        <v>3063924.53</v>
      </c>
      <c r="DO56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67" s="207" t="b">
        <f>IF(AND(ППД5[[#This Row],[Статус]]="свободно",ППД5[[#This Row],[Итоговая сумма скидки]]&lt;&gt;0),FALSE,TRUE)</f>
        <v>1</v>
      </c>
      <c r="DQ567" s="240">
        <f>_xlfn.XLOOKUP(ППД5[[#This Row],[№]],Юрист[№ кв],Юрист[Дата подачи на регистрацию]," ",0,-1)</f>
        <v>45189</v>
      </c>
      <c r="DR567" s="115" t="str">
        <f>_xlfn.XLOOKUP(ППД5[[#This Row],[№]],Юрист[№ кв],Юрист[МОП],"",0,-1)</f>
        <v>Гайганова</v>
      </c>
      <c r="DS567" s="333" t="s">
        <v>3426</v>
      </c>
      <c r="DT567" s="333" t="s">
        <v>3427</v>
      </c>
      <c r="DU567" s="333">
        <v>26.9</v>
      </c>
      <c r="DV567" s="111"/>
    </row>
    <row r="568" spans="1:126" hidden="1" x14ac:dyDescent="0.25">
      <c r="A568" s="112">
        <v>566</v>
      </c>
      <c r="B568" s="111" t="s">
        <v>2</v>
      </c>
      <c r="C568" s="111">
        <v>23</v>
      </c>
      <c r="D568" s="115">
        <v>2</v>
      </c>
      <c r="E568" s="111">
        <v>1</v>
      </c>
      <c r="F568" s="105">
        <v>13.17</v>
      </c>
      <c r="G568" s="105"/>
      <c r="H568" s="105"/>
      <c r="I568" s="94">
        <f>SUM(ППД5[[#This Row],[Комната 1]:[Комната 3]])</f>
        <v>13.17</v>
      </c>
      <c r="J568" s="105">
        <v>16.940000000000001</v>
      </c>
      <c r="K568" s="105">
        <v>3.55</v>
      </c>
      <c r="L568" s="105">
        <v>2.41</v>
      </c>
      <c r="M568" s="105"/>
      <c r="N568" s="105">
        <v>5.8</v>
      </c>
      <c r="O568" s="105">
        <v>2.68</v>
      </c>
      <c r="P568" s="105"/>
      <c r="Q568" s="105"/>
      <c r="R568" s="105">
        <f>SUM(ППД5[[#This Row],[Лоджия 1]:[Лоджия 3]])</f>
        <v>2.68</v>
      </c>
      <c r="S568" s="8">
        <f>ROUND(SUM(ППД5[[#This Row],[Площадь по проекту жилая]:[Лоджия 3]]),2)</f>
        <v>44.55</v>
      </c>
      <c r="T568" s="8">
        <f>ROUND(ППД5[[#This Row],[Площадь по проекту(общая)]]-ППД5[[#This Row],[Летние]],2)</f>
        <v>41.87</v>
      </c>
      <c r="U568" s="91">
        <f>ROUND(ППД5[[#This Row],[Площадь по проекту(общая)]]-(SUM(ППД5[[#This Row],[Лоджия 1]:[Лоджия 3]])/2),2)</f>
        <v>43.21</v>
      </c>
      <c r="V568" s="91">
        <f>IF(ППД5[[#This Row],[Статус]]="продажа",ППД5[[#This Row],[Расчетная проектная площадь]],ППД5[[#This Row],[Расчетная ТП площадь]])</f>
        <v>42.3</v>
      </c>
      <c r="W568" s="91">
        <v>12.9</v>
      </c>
      <c r="X568" s="91"/>
      <c r="Y568" s="91"/>
      <c r="Z568" s="91">
        <f>SUM(ППД5[[#This Row],[ТП Комната 1]:[ТП Комната 3]])</f>
        <v>12.9</v>
      </c>
      <c r="AA568" s="91">
        <v>16.8</v>
      </c>
      <c r="AB568" s="91">
        <v>2</v>
      </c>
      <c r="AC568" s="91">
        <v>3.4</v>
      </c>
      <c r="AD568" s="91"/>
      <c r="AE568" s="91">
        <v>5.9</v>
      </c>
      <c r="AF568" s="91">
        <v>1.3</v>
      </c>
      <c r="AG568" s="91"/>
      <c r="AH568" s="91"/>
      <c r="AI568" s="91">
        <f>SUM(ППД5[[#This Row],[ТП Лоджия 1]:[ТП Лоджия 3]])</f>
        <v>1.3</v>
      </c>
      <c r="AJ568" s="95">
        <v>2.6</v>
      </c>
      <c r="AK568" s="91">
        <f>SUM(ППД5[[#This Row],[Площадь по ТП жилая]:[ТП Лоджия 3]])-ППД5[[#This Row],[ТП Летние]]+ППД5[[#This Row],[кроме того прочая
(без коэффициента)]]</f>
        <v>43.6</v>
      </c>
      <c r="AL568" s="95">
        <f>ППД5[[#This Row],[ТП Площадь без летних]]+(ППД5[[#This Row],[ТП Летние]])</f>
        <v>42.3</v>
      </c>
      <c r="AM568" s="91">
        <f>ППД5[[#This Row],[ТП общая S]]-ППД5[[#This Row],[кроме того прочая
(без коэффициента)]]</f>
        <v>41</v>
      </c>
      <c r="AN568" s="95">
        <f>SUM(ППД5[[#This Row],[ТП Кухня]:[ТП Коридор]])</f>
        <v>28.1</v>
      </c>
      <c r="AO568" s="91">
        <f>ППД5[[#This Row],[Расчетная ТП площадь]]-ППД5[[#This Row],[Расчетная проектная площадь]]</f>
        <v>-0.91000000000000369</v>
      </c>
      <c r="AP568" s="335">
        <f>ППД5[[#This Row],[Расчетная ТП площадь]]/ППД5[[#This Row],[Расчетная проектная площадь]]-1</f>
        <v>-2.1059939828743435E-2</v>
      </c>
      <c r="AQ568" s="91">
        <f>ППД5[[#This Row],[% расхождения]]*ППД5[[#This Row],[Стоимость до скидки]]</f>
        <v>-132627.07706549467</v>
      </c>
      <c r="AR568" s="91">
        <f>VLOOKUP(ППД5[[#This Row],[№]],наценкад5[],COLUMN(наценкад5[[#This Row],[Цена м2 с учетом всех K]]),0)</f>
        <v>91657.125</v>
      </c>
      <c r="AS568" s="8">
        <f>ППД5[[#This Row],[м2 после К]]*5%</f>
        <v>4582.8562499999998</v>
      </c>
      <c r="AT568" s="8">
        <f>ППД5[[#This Row],[м2 после К]]+ППД5[[#This Row],[Повышение 16.08.23 - 5%]]</f>
        <v>96239.981249999997</v>
      </c>
      <c r="AU568" s="93">
        <f>ППД5[[#This Row],[Фикс 16.08.23]]*3%</f>
        <v>2887.1994374999999</v>
      </c>
      <c r="AV568" s="93">
        <f>ППД5[[#This Row],[Фикс 16.08.23]]+ППД5[[#This Row],[Повышение 29.08.23 - 3%]]</f>
        <v>99127.180687500004</v>
      </c>
      <c r="AW568" s="93">
        <f>ППД5[[#This Row],[Фикс 29.08.23]]*1%</f>
        <v>991.27180687500004</v>
      </c>
      <c r="AX568" s="93">
        <f>ППД5[[#This Row],[Фикс 29.08.23]]+ППД5[[#This Row],[Повышение 06.09.23 СТ и 1К]]</f>
        <v>100118.452494375</v>
      </c>
      <c r="AY568" s="93"/>
      <c r="AZ568" s="93">
        <f>ППД5[[#This Row],[Повышение 23.10.23  В4 ]]+ППД5[[#This Row],[Фикс 06.09.23]]</f>
        <v>100118.452494375</v>
      </c>
      <c r="BA568" s="93">
        <f>ППД5[[#This Row],[Фикс 23.10.23]]*5%</f>
        <v>5005.9226247187507</v>
      </c>
      <c r="BB568" s="93">
        <f>ППД5[[#This Row],[Повышение 8.11.23 1К 5%]]+ППД5[[#This Row],[Фикс 23.10.23]]</f>
        <v>105124.37511909375</v>
      </c>
      <c r="BC568" s="93"/>
      <c r="BD568" s="93">
        <f>ППД5[[#This Row],[Корректировка 24.11.23 - 1К В5, 2К А2, №233]]+ППД5[[#This Row],[Фикс 8.11.23]]</f>
        <v>105124.37511909375</v>
      </c>
      <c r="BE568" s="93">
        <f>ППД5[[#This Row],[Фикс 8.11.24]]*1%</f>
        <v>1051.2437511909375</v>
      </c>
      <c r="BF568" s="93">
        <f>ППД5[[#This Row],[Наценка за отделку 29.12.23 1%]]+ППД5[[#This Row],[Фикс 8.11.24]]</f>
        <v>106175.61887028468</v>
      </c>
      <c r="BG568" s="93">
        <f>ППД5[[#This Row],[Фикс 29.12.23]]*5%</f>
        <v>5308.7809435142344</v>
      </c>
      <c r="BH568" s="93">
        <f>ППД5[[#This Row],[Фикс 29.12.23]]+ППД5[[#This Row],[Наценка 10.01.24 5%]]</f>
        <v>111484.39981379893</v>
      </c>
      <c r="BI568" s="93"/>
      <c r="BJ568" s="93">
        <f>ППД5[[#This Row],[Наценка 26.02.24 1 Этаж]]+ППД5[[#This Row],[Фикс 10.01.24]]</f>
        <v>111484.39981379893</v>
      </c>
      <c r="BK568" s="93">
        <f>ППД5[[#This Row],[Фикс 26.02.24]]*3%</f>
        <v>3344.5319944139678</v>
      </c>
      <c r="BL568" s="93">
        <f>ППД5[[#This Row],[Фикс 26.02.24]]+ППД5[[#This Row],[Наценка 06.03.24
СТ, 1К - 3%
2К, 3К - 2%]]</f>
        <v>114828.93180821289</v>
      </c>
      <c r="BM568" s="93">
        <v>500</v>
      </c>
      <c r="BN568" s="93">
        <f>ППД5[[#This Row],[Фикс 06.03.24]]+ППД5[[#This Row],[Наценка Г2+500]]</f>
        <v>115328.93180821289</v>
      </c>
      <c r="BO568" s="93"/>
      <c r="BP568" s="93">
        <f>ППД5[[#This Row],[Фикс 13.03.25]]+ППД5[[#This Row],[Наценка 20.03.24
2К, 3К - 2%]]</f>
        <v>115328.93180821289</v>
      </c>
      <c r="BQ568" s="93"/>
      <c r="BR568" s="93">
        <f>ППД5[[#This Row],[Фикс 20.03.24]]+ППД5[[#This Row],[Наценка 08.04.24 
2К: В3 - 150
3К: Г7 +1000]]</f>
        <v>115328.93180821289</v>
      </c>
      <c r="BS568" s="93"/>
      <c r="BT568" s="93">
        <f>ППД5[[#This Row],[Фикс 08.04.24]]+ППД5[[#This Row],[Наценка 16.05.24 1%
А4,А6,Б3,Б6,Б7,В2,В3,В5,В6,Г1,Г3-Г5]]</f>
        <v>115328.93180821289</v>
      </c>
      <c r="BU568" s="93">
        <f>ППД5[[#This Row],[Фикс 16.05.24]]*1%</f>
        <v>1153.2893180821288</v>
      </c>
      <c r="BV568" s="93">
        <f>ППД5[[#This Row],[Фикс 16.05.24]]+ППД5[[#This Row],[Наценка 24.05.24
1% - Б4, Б5,Г2,Г6
2% - А1,А3,А5,Б2,Г7]]</f>
        <v>116482.22112629501</v>
      </c>
      <c r="BW568" s="93"/>
      <c r="BX568" s="93">
        <f>ППД5[[#This Row],[Наценка 06.06.24
0К: В2,Г3 +0,5%
1К: А7, Б5/4, Г6 +0,5%
3К: В6 +0,5%
1К: А3 +1%]]+ППД5[[#This Row],[Фикс 24.05.24]]</f>
        <v>116482.22112629501</v>
      </c>
      <c r="BY568" s="93"/>
      <c r="BZ568" s="93">
        <f>ППД5[[#This Row],[Фикс 06.06.24]]+ППД5[[#This Row],[13.06.2024
3К - 2%]]</f>
        <v>116482.22112629501</v>
      </c>
      <c r="CA568" s="93">
        <f>2.5%*ППД5[[#This Row],[Фикс 13.06.24]]</f>
        <v>2912.0555281573756</v>
      </c>
      <c r="CB568" s="93">
        <f>ППД5[[#This Row],[02.07.2024: Г3 А1 А3 Б5 Б7 Г2 Г6 Б3 Б4 В3 Г7 2,5% ост 0,5-1,5%]]+ППД5[[#This Row],[Фикс 13.06.24]]</f>
        <v>119394.27665445239</v>
      </c>
      <c r="CC568" s="93"/>
      <c r="CD568" s="93">
        <f>ППД5[[#This Row],[Фикс 02.07.24]]+ППД5[[#This Row],[04.09.2024 +500
0К - Б2; 1К - А3;
2К - А6, Б4, В3, Г5]]</f>
        <v>119394.27665445239</v>
      </c>
      <c r="CE568" s="93"/>
      <c r="CF568" s="93">
        <f>ППД5[[#This Row],[Наценка 16.09.2024
1К: А1,В7,Г6/7,Г8 - 2%
2К: А4,А5,А6,Б1,Б6,Б3/4,В3,В4,Г4,Г5 - 4%
3К: 4%]]+ППД5[[#This Row],[Фикс 04.09.24]]</f>
        <v>119394.27665445239</v>
      </c>
      <c r="CG568" s="93">
        <f>ППД5[[#This Row],[Фикс 16.09.2024]]*8%</f>
        <v>9551.5421323561914</v>
      </c>
      <c r="CH568" s="93">
        <f>ППД5[[#This Row],[Фикс 16.09.2024]]+ППД5[[#This Row],[Наценка 01.11.24
СТ: 4%
1К: 34-40м 5%; 40м+ 8%; МГН 1%
2К: 55-70м 6%; 70-73м 7%; 73-76м 8% 
3К: 5%]]</f>
        <v>128945.81878680858</v>
      </c>
      <c r="CI568" s="93">
        <f>ППД5[[#This Row],[Фикс 01.11.24]]*13%</f>
        <v>16762.956442285114</v>
      </c>
      <c r="CJ568" s="93">
        <f>ППД5[[#This Row],[Наценка 06.11 13%]]+ППД5[[#This Row],[Фикс 01.11.24]]</f>
        <v>145708.77522909371</v>
      </c>
      <c r="CK568" s="93">
        <v>35</v>
      </c>
      <c r="CL568" s="93">
        <f>ППД5[[#This Row],[Фикс 06.11.24]]+ППД5[[#This Row],[Наценка 18.12.24 распределение КВ]]</f>
        <v>145743.77522909371</v>
      </c>
      <c r="CM568" s="93"/>
      <c r="CN568" s="93">
        <f>ППД5[[#This Row],[Фикс 18.12.24]]+ППД5[[#This Row],[Наценка 10.02.25 +1%
1К: А3
2К: Б3, В3]]</f>
        <v>145743.77522909371</v>
      </c>
      <c r="CO568" s="93">
        <f>ROUND(ППД5[[#This Row],[Фикс 10.02.25]],2)</f>
        <v>145743.78</v>
      </c>
      <c r="CP56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6297600</v>
      </c>
      <c r="CQ568" s="93">
        <f>ROUNDUP(ППД5[[#This Row],[Стоимость до скидки]]+ППД5[[#This Row],[Сумма доплаты]],-2)</f>
        <v>6165000</v>
      </c>
      <c r="CR568" s="68"/>
      <c r="CS568" s="90"/>
      <c r="CT568" s="68">
        <f>ППД5[[#This Row],[Стоимость до скидки]]*ППД5[[#This Row],[Скидка %]]+ППД5[[#This Row],[Скидка фиксированная]]</f>
        <v>0</v>
      </c>
      <c r="CU568" s="3">
        <f>ППД5[[#This Row],[Стоимость ОН без отделки со скидкой]]/ППД5[[#This Row],[Расчетная проектная площадь]]</f>
        <v>145744.04073131218</v>
      </c>
      <c r="CV568" s="3">
        <f>ROUND(ППД5[[#This Row],[Стоимость до скидки]]-ППД5[[#This Row],[Итоговая сумма скидки]],2)</f>
        <v>6297600</v>
      </c>
      <c r="CW56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568" s="197">
        <v>25000</v>
      </c>
      <c r="CY568" s="332">
        <f>ППД5[[#This Row],[Расхождение]]/ППД5[[#This Row],[Расчетная проектная площадь]]</f>
        <v>-2.1059939828743431E-2</v>
      </c>
      <c r="CZ568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-0.60000000000000142</v>
      </c>
      <c r="DA568" s="3">
        <f>ППД5[[#This Row],[Цена м2 без отделки со скидкой]]+ППД5[[#This Row],[Стоимость отделки]]</f>
        <v>170744.04073131218</v>
      </c>
      <c r="DB568" s="3">
        <f>ППД5[[#This Row],[Стоимость квартиры с отделкой]]-ППД5[[#This Row],[Стоимость ОН без отделки со скидкой]]</f>
        <v>1080250</v>
      </c>
      <c r="DC568" s="3">
        <f>ППД5[[#This Row],[Цена м2 с отделкой]]*ППД5[[#This Row],[Расчетная проектная площадь]]</f>
        <v>7377850</v>
      </c>
      <c r="DD568" s="47"/>
      <c r="DE568" s="246"/>
      <c r="DF568" s="155" t="s">
        <v>157</v>
      </c>
      <c r="DG568" s="221" t="s">
        <v>157</v>
      </c>
      <c r="DH568" s="100" t="b">
        <f>EXACT(ППД5[[#This Row],[Статусы CRM]],ППД5[[#This Row],[Статус]])</f>
        <v>1</v>
      </c>
      <c r="DI568" s="213" t="s">
        <v>740</v>
      </c>
      <c r="DJ568" s="204"/>
      <c r="DK568" s="111" t="s">
        <v>763</v>
      </c>
      <c r="DL568" s="216" t="s">
        <v>14</v>
      </c>
      <c r="DM568" s="201" t="b">
        <f>ППД5[[#This Row],[Отделка CRM]]=ППД5[[#This Row],[Отделка]]</f>
        <v>1</v>
      </c>
      <c r="DN568" s="203">
        <v>7377850</v>
      </c>
      <c r="DO56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68" s="207" t="b">
        <f>IF(AND(ППД5[[#This Row],[Статус]]="свободно",ППД5[[#This Row],[Итоговая сумма скидки]]&lt;&gt;0),FALSE,TRUE)</f>
        <v>1</v>
      </c>
      <c r="DQ568" s="240" t="str">
        <f>_xlfn.XLOOKUP(ППД5[[#This Row],[№]],Юрист[№ кв],Юрист[Дата подачи на регистрацию]," ",0,-1)</f>
        <v xml:space="preserve"> </v>
      </c>
      <c r="DR568" s="115" t="str">
        <f>_xlfn.XLOOKUP(ППД5[[#This Row],[№]],Юрист[№ кв],Юрист[МОП],"",0,-1)</f>
        <v/>
      </c>
      <c r="DS568" s="333" t="s">
        <v>3428</v>
      </c>
      <c r="DT568" s="333" t="s">
        <v>3429</v>
      </c>
      <c r="DU568" s="333">
        <v>41</v>
      </c>
      <c r="DV568" s="111"/>
    </row>
    <row r="569" spans="1:126" hidden="1" x14ac:dyDescent="0.25">
      <c r="A569" s="112">
        <v>567</v>
      </c>
      <c r="B569" s="111" t="s">
        <v>2</v>
      </c>
      <c r="C569" s="111">
        <v>23</v>
      </c>
      <c r="D569" s="115">
        <v>3</v>
      </c>
      <c r="E569" s="111">
        <v>0</v>
      </c>
      <c r="F569" s="105">
        <v>7.2</v>
      </c>
      <c r="G569" s="105"/>
      <c r="H569" s="105"/>
      <c r="I569" s="94">
        <f>SUM(ППД5[[#This Row],[Комната 1]:[Комната 3]])</f>
        <v>7.2</v>
      </c>
      <c r="J569" s="105">
        <v>5.17</v>
      </c>
      <c r="K569" s="105">
        <v>3.71</v>
      </c>
      <c r="L569" s="105"/>
      <c r="M569" s="105"/>
      <c r="N569" s="105">
        <v>6.96</v>
      </c>
      <c r="O569" s="105">
        <v>2.92</v>
      </c>
      <c r="P569" s="105"/>
      <c r="Q569" s="105"/>
      <c r="R569" s="105">
        <f>SUM(ППД5[[#This Row],[Лоджия 1]:[Лоджия 3]])</f>
        <v>2.92</v>
      </c>
      <c r="S569" s="8">
        <f>ROUND(SUM(ППД5[[#This Row],[Площадь по проекту жилая]:[Лоджия 3]]),2)</f>
        <v>25.96</v>
      </c>
      <c r="T569" s="8">
        <f>ROUND(ППД5[[#This Row],[Площадь по проекту(общая)]]-ППД5[[#This Row],[Летние]],2)</f>
        <v>23.04</v>
      </c>
      <c r="U569" s="91">
        <f>ROUND(ППД5[[#This Row],[Площадь по проекту(общая)]]-(SUM(ППД5[[#This Row],[Лоджия 1]:[Лоджия 3]])/2),2)</f>
        <v>24.5</v>
      </c>
      <c r="V569" s="91">
        <f>IF(ППД5[[#This Row],[Статус]]="продажа",ППД5[[#This Row],[Расчетная проектная площадь]],ППД5[[#This Row],[Расчетная ТП площадь]])</f>
        <v>24.5</v>
      </c>
      <c r="W569" s="91">
        <v>7.2</v>
      </c>
      <c r="X569" s="91"/>
      <c r="Y569" s="91"/>
      <c r="Z569" s="91">
        <f>SUM(ППД5[[#This Row],[ТП Комната 1]:[ТП Комната 3]])</f>
        <v>7.2</v>
      </c>
      <c r="AA569" s="91">
        <v>5.6</v>
      </c>
      <c r="AB569" s="91">
        <v>3.7</v>
      </c>
      <c r="AC569" s="91"/>
      <c r="AD569" s="91"/>
      <c r="AE569" s="91">
        <v>6.5</v>
      </c>
      <c r="AF569" s="91">
        <v>1.45</v>
      </c>
      <c r="AG569" s="91"/>
      <c r="AH569" s="91"/>
      <c r="AI569" s="91">
        <f>SUM(ППД5[[#This Row],[ТП Лоджия 1]:[ТП Лоджия 3]])</f>
        <v>1.45</v>
      </c>
      <c r="AJ569" s="95">
        <v>2.9</v>
      </c>
      <c r="AK569" s="91">
        <f>SUM(ППД5[[#This Row],[Площадь по ТП жилая]:[ТП Лоджия 3]])-ППД5[[#This Row],[ТП Летние]]+ППД5[[#This Row],[кроме того прочая
(без коэффициента)]]</f>
        <v>25.9</v>
      </c>
      <c r="AL569" s="95">
        <f>ППД5[[#This Row],[ТП Площадь без летних]]+(ППД5[[#This Row],[ТП Летние]])</f>
        <v>24.45</v>
      </c>
      <c r="AM569" s="91">
        <f>ППД5[[#This Row],[ТП общая S]]-ППД5[[#This Row],[кроме того прочая
(без коэффициента)]]</f>
        <v>23</v>
      </c>
      <c r="AN569" s="95">
        <f>SUM(ППД5[[#This Row],[ТП Кухня]:[ТП Коридор]])</f>
        <v>15.8</v>
      </c>
      <c r="AO569" s="91">
        <f>ППД5[[#This Row],[Расчетная ТП площадь]]-ППД5[[#This Row],[Расчетная проектная площадь]]</f>
        <v>-5.0000000000000711E-2</v>
      </c>
      <c r="AP569" s="335">
        <f>ППД5[[#This Row],[Расчетная ТП площадь]]/ППД5[[#This Row],[Расчетная проектная площадь]]-1</f>
        <v>-2.0408163265306367E-3</v>
      </c>
      <c r="AQ569" s="91">
        <f>ППД5[[#This Row],[% расхождения]]*ППД5[[#This Row],[Стоимость до скидки]]</f>
        <v>-6380.2040816327299</v>
      </c>
      <c r="AR569" s="91">
        <f>VLOOKUP(ППД5[[#This Row],[№]],наценкад5[],COLUMN(наценкад5[[#This Row],[Цена м2 с учетом всех K]]),0)</f>
        <v>98113.68</v>
      </c>
      <c r="AS569" s="8">
        <f>ППД5[[#This Row],[м2 после К]]*5%</f>
        <v>4905.6840000000002</v>
      </c>
      <c r="AT569" s="8">
        <f>ППД5[[#This Row],[м2 после К]]+ППД5[[#This Row],[Повышение 16.08.23 - 5%]]</f>
        <v>103019.36399999999</v>
      </c>
      <c r="AU569" s="93">
        <f>ППД5[[#This Row],[Фикс 16.08.23]]*3%</f>
        <v>3090.5809199999994</v>
      </c>
      <c r="AV569" s="93">
        <f>ППД5[[#This Row],[Фикс 16.08.23]]+ППД5[[#This Row],[Повышение 29.08.23 - 3%]]</f>
        <v>106109.94491999998</v>
      </c>
      <c r="AW569" s="93">
        <f>ППД5[[#This Row],[Фикс 29.08.23]]*9%</f>
        <v>9549.8950427999971</v>
      </c>
      <c r="AX569" s="93">
        <f>ППД5[[#This Row],[Фикс 29.08.23]]+ППД5[[#This Row],[Повышение 06.09.23 СТ и 1К]]</f>
        <v>115659.83996279998</v>
      </c>
      <c r="AY569" s="93"/>
      <c r="AZ569" s="93">
        <f>ППД5[[#This Row],[Повышение 23.10.23  В4 ]]+ППД5[[#This Row],[Фикс 06.09.23]]</f>
        <v>115659.83996279998</v>
      </c>
      <c r="BA569" s="93"/>
      <c r="BB569" s="93">
        <f>ППД5[[#This Row],[Повышение 8.11.23 1К 5%]]+ППД5[[#This Row],[Фикс 23.10.23]]</f>
        <v>115659.83996279998</v>
      </c>
      <c r="BC569" s="93"/>
      <c r="BD569" s="93">
        <f>ППД5[[#This Row],[Корректировка 24.11.23 - 1К В5, 2К А2, №233]]+ППД5[[#This Row],[Фикс 8.11.23]]</f>
        <v>115659.83996279998</v>
      </c>
      <c r="BE569" s="93">
        <f>ППД5[[#This Row],[Фикс 8.11.24]]*1%</f>
        <v>1156.5983996279997</v>
      </c>
      <c r="BF569" s="93">
        <f>ППД5[[#This Row],[Наценка за отделку 29.12.23 1%]]+ППД5[[#This Row],[Фикс 8.11.24]]</f>
        <v>116816.43836242797</v>
      </c>
      <c r="BG569" s="93">
        <f>ППД5[[#This Row],[Фикс 29.12.23]]*5%</f>
        <v>5840.821918121399</v>
      </c>
      <c r="BH569" s="93">
        <f>ППД5[[#This Row],[Фикс 29.12.23]]+ППД5[[#This Row],[Наценка 10.01.24 5%]]</f>
        <v>122657.26028054937</v>
      </c>
      <c r="BI569" s="93"/>
      <c r="BJ569" s="93">
        <f>ППД5[[#This Row],[Наценка 26.02.24 1 Этаж]]+ППД5[[#This Row],[Фикс 10.01.24]]</f>
        <v>122657.26028054937</v>
      </c>
      <c r="BK569" s="93">
        <f>ППД5[[#This Row],[Фикс 26.02.24]]*3%</f>
        <v>3679.7178084164807</v>
      </c>
      <c r="BL569" s="93">
        <f>ППД5[[#This Row],[Фикс 26.02.24]]+ППД5[[#This Row],[Наценка 06.03.24
СТ, 1К - 3%
2К, 3К - 2%]]</f>
        <v>126336.97808896584</v>
      </c>
      <c r="BM569" s="93"/>
      <c r="BN569" s="93">
        <f>ППД5[[#This Row],[Фикс 06.03.24]]+ППД5[[#This Row],[Наценка Г2+500]]</f>
        <v>126336.97808896584</v>
      </c>
      <c r="BO569" s="93"/>
      <c r="BP569" s="93">
        <f>ППД5[[#This Row],[Фикс 13.03.25]]+ППД5[[#This Row],[Наценка 20.03.24
2К, 3К - 2%]]</f>
        <v>126336.97808896584</v>
      </c>
      <c r="BQ569" s="93"/>
      <c r="BR569" s="93">
        <f>ППД5[[#This Row],[Фикс 20.03.24]]+ППД5[[#This Row],[Наценка 08.04.24 
2К: В3 - 150
3К: Г7 +1000]]</f>
        <v>126336.97808896584</v>
      </c>
      <c r="BS569" s="93">
        <f>ППД5[[#This Row],[Фикс 08.04.24]]*1%</f>
        <v>1263.3697808896584</v>
      </c>
      <c r="BT569" s="93">
        <f>ППД5[[#This Row],[Фикс 08.04.24]]+ППД5[[#This Row],[Наценка 16.05.24 1%
А4,А6,Б3,Б6,Б7,В2,В3,В5,В6,Г1,Г3-Г5]]</f>
        <v>127600.3478698555</v>
      </c>
      <c r="BU569" s="93"/>
      <c r="BV569" s="93">
        <f>ППД5[[#This Row],[Фикс 16.05.24]]+ППД5[[#This Row],[Наценка 24.05.24
1% - Б4, Б5,Г2,Г6
2% - А1,А3,А5,Б2,Г7]]</f>
        <v>127600.3478698555</v>
      </c>
      <c r="BW569" s="93"/>
      <c r="BX569" s="93">
        <f>ППД5[[#This Row],[Наценка 06.06.24
0К: В2,Г3 +0,5%
1К: А7, Б5/4, Г6 +0,5%
3К: В6 +0,5%
1К: А3 +1%]]+ППД5[[#This Row],[Фикс 24.05.24]]</f>
        <v>127600.3478698555</v>
      </c>
      <c r="BY569" s="93"/>
      <c r="BZ569" s="93">
        <f>ППД5[[#This Row],[Фикс 06.06.24]]+ППД5[[#This Row],[13.06.2024
3К - 2%]]</f>
        <v>127600.3478698555</v>
      </c>
      <c r="CA569" s="93"/>
      <c r="CB569" s="93">
        <f>ППД5[[#This Row],[02.07.2024: Г3 А1 А3 Б5 Б7 Г2 Г6 Б3 Б4 В3 Г7 2,5% ост 0,5-1,5%]]+ППД5[[#This Row],[Фикс 13.06.24]]</f>
        <v>127600.3478698555</v>
      </c>
      <c r="CC569" s="93"/>
      <c r="CD569" s="93">
        <f>ППД5[[#This Row],[Фикс 02.07.24]]+ППД5[[#This Row],[04.09.2024 +500
0К - Б2; 1К - А3;
2К - А6, Б4, В3, Г5]]</f>
        <v>127600.3478698555</v>
      </c>
      <c r="CE569" s="93"/>
      <c r="CF569" s="93">
        <f>ППД5[[#This Row],[Наценка 16.09.2024
1К: А1,В7,Г6/7,Г8 - 2%
2К: А4,А5,А6,Б1,Б6,Б3/4,В3,В4,Г4,Г5 - 4%
3К: 4%]]+ППД5[[#This Row],[Фикс 04.09.24]]</f>
        <v>127600.3478698555</v>
      </c>
      <c r="CG569" s="93"/>
      <c r="CH569" s="93">
        <f>ППД5[[#This Row],[Фикс 16.09.2024]]+ППД5[[#This Row],[Наценка 01.11.24
СТ: 4%
1К: 34-40м 5%; 40м+ 8%; МГН 1%
2К: 55-70м 6%; 70-73м 7%; 73-76м 8% 
3К: 5%]]</f>
        <v>127600.3478698555</v>
      </c>
      <c r="CI569" s="93"/>
      <c r="CJ569" s="93">
        <f>ППД5[[#This Row],[Наценка 06.11 13%]]+ППД5[[#This Row],[Фикс 01.11.24]]</f>
        <v>127600.3478698555</v>
      </c>
      <c r="CK569" s="93"/>
      <c r="CL569" s="93">
        <f>ППД5[[#This Row],[Фикс 06.11.24]]+ППД5[[#This Row],[Наценка 18.12.24 распределение КВ]]</f>
        <v>127600.3478698555</v>
      </c>
      <c r="CM569" s="93"/>
      <c r="CN569" s="93">
        <f>ППД5[[#This Row],[Фикс 18.12.24]]+ППД5[[#This Row],[Наценка 10.02.25 +1%
1К: А3
2К: Б3, В3]]</f>
        <v>127600.3478698555</v>
      </c>
      <c r="CO569" s="93">
        <f>ROUND(ППД5[[#This Row],[Фикс 10.02.25]],2)</f>
        <v>127600.35</v>
      </c>
      <c r="CP56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3126300</v>
      </c>
      <c r="CQ569" s="93">
        <f>ROUNDUP(ППД5[[#This Row],[Стоимость до скидки]]+ППД5[[#This Row],[Сумма доплаты]],-2)</f>
        <v>3120000</v>
      </c>
      <c r="CR569" s="68"/>
      <c r="CS569" s="90"/>
      <c r="CT569" s="68">
        <f>ППД5[[#This Row],[Стоимость до скидки]]*ППД5[[#This Row],[Скидка %]]+ППД5[[#This Row],[Скидка фиксированная]]</f>
        <v>0</v>
      </c>
      <c r="CU569" s="3">
        <f>ППД5[[#This Row],[Стоимость ОН без отделки со скидкой]]/ППД5[[#This Row],[Расчетная проектная площадь]]</f>
        <v>127604.08163265306</v>
      </c>
      <c r="CV569" s="3">
        <f>ROUND(ППД5[[#This Row],[Стоимость до скидки]]-ППД5[[#This Row],[Итоговая сумма скидки]],2)</f>
        <v>3126300</v>
      </c>
      <c r="CW56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569" s="197">
        <v>20000</v>
      </c>
      <c r="CY569" s="332">
        <f>ППД5[[#This Row],[Расхождение]]/ППД5[[#This Row],[Расчетная проектная площадь]]</f>
        <v>-2.0408163265306411E-3</v>
      </c>
      <c r="CZ569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-4.0000000000000036E-2</v>
      </c>
      <c r="DA569" s="3">
        <f>ППД5[[#This Row],[Цена м2 без отделки со скидкой]]+ППД5[[#This Row],[Стоимость отделки]]</f>
        <v>147604.08163265308</v>
      </c>
      <c r="DB569" s="3">
        <f>ППД5[[#This Row],[Стоимость квартиры с отделкой]]-ППД5[[#This Row],[Стоимость ОН без отделки со скидкой]]</f>
        <v>490000.00000000047</v>
      </c>
      <c r="DC569" s="3">
        <f>ППД5[[#This Row],[Цена м2 с отделкой]]*ППД5[[#This Row],[Расчетная проектная площадь]]</f>
        <v>3616300.0000000005</v>
      </c>
      <c r="DD569" s="47"/>
      <c r="DF569" s="155" t="s">
        <v>172</v>
      </c>
      <c r="DG569" s="245" t="s">
        <v>172</v>
      </c>
      <c r="DH569" s="100" t="b">
        <f>EXACT(ППД5[[#This Row],[Статусы CRM]],ППД5[[#This Row],[Статус]])</f>
        <v>1</v>
      </c>
      <c r="DI569" s="213" t="s">
        <v>741</v>
      </c>
      <c r="DJ569" s="204"/>
      <c r="DK569" s="111" t="s">
        <v>763</v>
      </c>
      <c r="DL569" s="216" t="s">
        <v>14</v>
      </c>
      <c r="DM569" s="201" t="b">
        <f>ППД5[[#This Row],[Отделка CRM]]=ППД5[[#This Row],[Отделка]]</f>
        <v>1</v>
      </c>
      <c r="DN569" s="203">
        <v>3616300</v>
      </c>
      <c r="DO56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-4.6566128730773926E-10</v>
      </c>
      <c r="DP569" s="207" t="b">
        <f>IF(AND(ППД5[[#This Row],[Статус]]="свободно",ППД5[[#This Row],[Итоговая сумма скидки]]&lt;&gt;0),FALSE,TRUE)</f>
        <v>1</v>
      </c>
      <c r="DQ569" s="240">
        <f>_xlfn.XLOOKUP(ППД5[[#This Row],[№]],Юрист[№ кв],Юрист[Дата подачи на регистрацию]," ",0,-1)</f>
        <v>45454</v>
      </c>
      <c r="DR569" s="115" t="str">
        <f>_xlfn.XLOOKUP(ППД5[[#This Row],[№]],Юрист[№ кв],Юрист[МОП],"",0,-1)</f>
        <v>Никишов</v>
      </c>
      <c r="DS569" s="333" t="s">
        <v>3430</v>
      </c>
      <c r="DT569" s="333" t="s">
        <v>3431</v>
      </c>
      <c r="DU569" s="333">
        <v>23</v>
      </c>
      <c r="DV569" s="111"/>
    </row>
    <row r="570" spans="1:126" hidden="1" x14ac:dyDescent="0.25">
      <c r="A570" s="112">
        <v>568</v>
      </c>
      <c r="B570" s="111" t="s">
        <v>2</v>
      </c>
      <c r="C570" s="111">
        <v>23</v>
      </c>
      <c r="D570" s="115">
        <v>4</v>
      </c>
      <c r="E570" s="111">
        <v>2</v>
      </c>
      <c r="F570" s="105">
        <v>14.48</v>
      </c>
      <c r="G570" s="105">
        <v>11.42</v>
      </c>
      <c r="H570" s="105"/>
      <c r="I570" s="94">
        <f>SUM(ППД5[[#This Row],[Комната 1]:[Комната 3]])</f>
        <v>25.9</v>
      </c>
      <c r="J570" s="105">
        <v>15.86</v>
      </c>
      <c r="K570" s="105">
        <v>3.01</v>
      </c>
      <c r="L570" s="105">
        <v>2.67</v>
      </c>
      <c r="M570" s="105"/>
      <c r="N570" s="105">
        <v>9.44</v>
      </c>
      <c r="O570" s="105">
        <v>2.72</v>
      </c>
      <c r="P570" s="105"/>
      <c r="Q570" s="105"/>
      <c r="R570" s="105">
        <f>SUM(ППД5[[#This Row],[Лоджия 1]:[Лоджия 3]])</f>
        <v>2.72</v>
      </c>
      <c r="S570" s="8">
        <f>ROUND(SUM(ППД5[[#This Row],[Площадь по проекту жилая]:[Лоджия 3]]),2)</f>
        <v>59.6</v>
      </c>
      <c r="T570" s="8">
        <f>ROUND(ППД5[[#This Row],[Площадь по проекту(общая)]]-ППД5[[#This Row],[Летние]],2)</f>
        <v>56.88</v>
      </c>
      <c r="U570" s="91">
        <f>ROUND(ППД5[[#This Row],[Площадь по проекту(общая)]]-(SUM(ППД5[[#This Row],[Лоджия 1]:[Лоджия 3]])/2),2)</f>
        <v>58.24</v>
      </c>
      <c r="V570" s="91">
        <f>IF(ППД5[[#This Row],[Статус]]="продажа",ППД5[[#This Row],[Расчетная проектная площадь]],ППД5[[#This Row],[Расчетная ТП площадь]])</f>
        <v>58.24</v>
      </c>
      <c r="W570" s="91">
        <v>14.4</v>
      </c>
      <c r="X570" s="91">
        <v>11.4</v>
      </c>
      <c r="Y570" s="91"/>
      <c r="Z570" s="91">
        <f>SUM(ППД5[[#This Row],[ТП Комната 1]:[ТП Комната 3]])</f>
        <v>25.8</v>
      </c>
      <c r="AA570" s="91">
        <v>15.7</v>
      </c>
      <c r="AB570" s="91">
        <v>2.7</v>
      </c>
      <c r="AC570" s="91">
        <v>2.9</v>
      </c>
      <c r="AD570" s="91"/>
      <c r="AE570" s="91">
        <v>9.4</v>
      </c>
      <c r="AF570" s="91">
        <v>1.4</v>
      </c>
      <c r="AG570" s="91"/>
      <c r="AH570" s="91"/>
      <c r="AI570" s="91">
        <f>SUM(ППД5[[#This Row],[ТП Лоджия 1]:[ТП Лоджия 3]])</f>
        <v>1.4</v>
      </c>
      <c r="AJ570" s="95">
        <v>2.8</v>
      </c>
      <c r="AK570" s="91">
        <f>SUM(ППД5[[#This Row],[Площадь по ТП жилая]:[ТП Лоджия 3]])-ППД5[[#This Row],[ТП Летние]]+ППД5[[#This Row],[кроме того прочая
(без коэффициента)]]</f>
        <v>59.3</v>
      </c>
      <c r="AL570" s="95">
        <f>ППД5[[#This Row],[ТП Площадь без летних]]+(ППД5[[#This Row],[ТП Летние]])</f>
        <v>57.9</v>
      </c>
      <c r="AM570" s="91">
        <f>ППД5[[#This Row],[ТП общая S]]-ППД5[[#This Row],[кроме того прочая
(без коэффициента)]]</f>
        <v>56.5</v>
      </c>
      <c r="AN570" s="95">
        <f>SUM(ППД5[[#This Row],[ТП Кухня]:[ТП Коридор]])</f>
        <v>30.699999999999996</v>
      </c>
      <c r="AO570" s="91">
        <f>ППД5[[#This Row],[Расчетная ТП площадь]]-ППД5[[#This Row],[Расчетная проектная площадь]]</f>
        <v>-0.34000000000000341</v>
      </c>
      <c r="AP570" s="335">
        <f>ППД5[[#This Row],[Расчетная ТП площадь]]/ППД5[[#This Row],[Расчетная проектная площадь]]-1</f>
        <v>-5.8379120879121782E-3</v>
      </c>
      <c r="AQ570" s="91">
        <f>ППД5[[#This Row],[% расхождения]]*ППД5[[#This Row],[Стоимость до скидки]]</f>
        <v>-31517.719780220268</v>
      </c>
      <c r="AR570" s="91">
        <f>VLOOKUP(ППД5[[#This Row],[№]],наценкад5[],COLUMN(наценкад5[[#This Row],[Цена м2 с учетом всех K]]),0)</f>
        <v>85713.201000000001</v>
      </c>
      <c r="AS570" s="8">
        <f>ППД5[[#This Row],[м2 после К]]*5%</f>
        <v>4285.6600500000004</v>
      </c>
      <c r="AT570" s="8">
        <f>ППД5[[#This Row],[м2 после К]]+ППД5[[#This Row],[Повышение 16.08.23 - 5%]]</f>
        <v>89998.861050000007</v>
      </c>
      <c r="AU570" s="93">
        <f>ППД5[[#This Row],[Фикс 16.08.23]]*3%</f>
        <v>2699.9658315000001</v>
      </c>
      <c r="AV570" s="93">
        <f>ППД5[[#This Row],[Фикс 16.08.23]]+ППД5[[#This Row],[Повышение 29.08.23 - 3%]]</f>
        <v>92698.826881500005</v>
      </c>
      <c r="AW570" s="93"/>
      <c r="AX570" s="93">
        <f>ППД5[[#This Row],[Фикс 29.08.23]]+ППД5[[#This Row],[Повышение 06.09.23 СТ и 1К]]</f>
        <v>92698.826881500005</v>
      </c>
      <c r="AY570" s="93"/>
      <c r="AZ570" s="93">
        <f>ППД5[[#This Row],[Повышение 23.10.23  В4 ]]+ППД5[[#This Row],[Фикс 06.09.23]]</f>
        <v>92698.826881500005</v>
      </c>
      <c r="BA570" s="93"/>
      <c r="BB570" s="93">
        <f>ППД5[[#This Row],[Повышение 8.11.23 1К 5%]]+ППД5[[#This Row],[Фикс 23.10.23]]</f>
        <v>92698.826881500005</v>
      </c>
      <c r="BC570" s="93"/>
      <c r="BD570" s="93">
        <f>ППД5[[#This Row],[Корректировка 24.11.23 - 1К В5, 2К А2, №233]]+ППД5[[#This Row],[Фикс 8.11.23]]</f>
        <v>92698.826881500005</v>
      </c>
      <c r="BE570" s="93"/>
      <c r="BF570" s="93">
        <f>ППД5[[#This Row],[Наценка за отделку 29.12.23 1%]]+ППД5[[#This Row],[Фикс 8.11.24]]</f>
        <v>92698.826881500005</v>
      </c>
      <c r="BG570" s="93"/>
      <c r="BH570" s="93">
        <f>ППД5[[#This Row],[Фикс 29.12.23]]+ППД5[[#This Row],[Наценка 10.01.24 5%]]</f>
        <v>92698.826881500005</v>
      </c>
      <c r="BI570" s="93"/>
      <c r="BJ570" s="93">
        <f>ППД5[[#This Row],[Наценка 26.02.24 1 Этаж]]+ППД5[[#This Row],[Фикс 10.01.24]]</f>
        <v>92698.826881500005</v>
      </c>
      <c r="BK570" s="93"/>
      <c r="BL570" s="93">
        <f>ППД5[[#This Row],[Фикс 26.02.24]]+ППД5[[#This Row],[Наценка 06.03.24
СТ, 1К - 3%
2К, 3К - 2%]]</f>
        <v>92698.826881500005</v>
      </c>
      <c r="BM570" s="93"/>
      <c r="BN570" s="93">
        <f>ППД5[[#This Row],[Фикс 06.03.24]]+ППД5[[#This Row],[Наценка Г2+500]]</f>
        <v>92698.826881500005</v>
      </c>
      <c r="BO570" s="93"/>
      <c r="BP570" s="93">
        <f>ППД5[[#This Row],[Фикс 13.03.25]]+ППД5[[#This Row],[Наценка 20.03.24
2К, 3К - 2%]]</f>
        <v>92698.826881500005</v>
      </c>
      <c r="BQ570" s="93"/>
      <c r="BR570" s="93">
        <f>ППД5[[#This Row],[Фикс 20.03.24]]+ППД5[[#This Row],[Наценка 08.04.24 
2К: В3 - 150
3К: Г7 +1000]]</f>
        <v>92698.826881500005</v>
      </c>
      <c r="BS570" s="93"/>
      <c r="BT570" s="93">
        <f>ППД5[[#This Row],[Фикс 08.04.24]]+ППД5[[#This Row],[Наценка 16.05.24 1%
А4,А6,Б3,Б6,Б7,В2,В3,В5,В6,Г1,Г3-Г5]]</f>
        <v>92698.826881500005</v>
      </c>
      <c r="BU570" s="93"/>
      <c r="BV570" s="93">
        <f>ППД5[[#This Row],[Фикс 16.05.24]]+ППД5[[#This Row],[Наценка 24.05.24
1% - Б4, Б5,Г2,Г6
2% - А1,А3,А5,Б2,Г7]]</f>
        <v>92698.826881500005</v>
      </c>
      <c r="BW570" s="93"/>
      <c r="BX570" s="93">
        <f>ППД5[[#This Row],[Наценка 06.06.24
0К: В2,Г3 +0,5%
1К: А7, Б5/4, Г6 +0,5%
3К: В6 +0,5%
1К: А3 +1%]]+ППД5[[#This Row],[Фикс 24.05.24]]</f>
        <v>92698.826881500005</v>
      </c>
      <c r="BY570" s="93"/>
      <c r="BZ570" s="93">
        <f>ППД5[[#This Row],[Фикс 06.06.24]]+ППД5[[#This Row],[13.06.2024
3К - 2%]]</f>
        <v>92698.826881500005</v>
      </c>
      <c r="CA570" s="93"/>
      <c r="CB570" s="93">
        <f>ППД5[[#This Row],[02.07.2024: Г3 А1 А3 Б5 Б7 Г2 Г6 Б3 Б4 В3 Г7 2,5% ост 0,5-1,5%]]+ППД5[[#This Row],[Фикс 13.06.24]]</f>
        <v>92698.826881500005</v>
      </c>
      <c r="CC570" s="93"/>
      <c r="CD570" s="93">
        <f>ППД5[[#This Row],[Фикс 02.07.24]]+ППД5[[#This Row],[04.09.2024 +500
0К - Б2; 1К - А3;
2К - А6, Б4, В3, Г5]]</f>
        <v>92698.826881500005</v>
      </c>
      <c r="CE570" s="93"/>
      <c r="CF570" s="93">
        <f>ППД5[[#This Row],[Наценка 16.09.2024
1К: А1,В7,Г6/7,Г8 - 2%
2К: А4,А5,А6,Б1,Б6,Б3/4,В3,В4,Г4,Г5 - 4%
3К: 4%]]+ППД5[[#This Row],[Фикс 04.09.24]]</f>
        <v>92698.826881500005</v>
      </c>
      <c r="CG570" s="93"/>
      <c r="CH570" s="93">
        <f>ППД5[[#This Row],[Фикс 16.09.2024]]+ППД5[[#This Row],[Наценка 01.11.24
СТ: 4%
1К: 34-40м 5%; 40м+ 8%; МГН 1%
2К: 55-70м 6%; 70-73м 7%; 73-76м 8% 
3К: 5%]]</f>
        <v>92698.826881500005</v>
      </c>
      <c r="CI570" s="93"/>
      <c r="CJ570" s="93">
        <f>ППД5[[#This Row],[Наценка 06.11 13%]]+ППД5[[#This Row],[Фикс 01.11.24]]</f>
        <v>92698.826881500005</v>
      </c>
      <c r="CK570" s="93"/>
      <c r="CL570" s="93">
        <f>ППД5[[#This Row],[Фикс 06.11.24]]+ППД5[[#This Row],[Наценка 18.12.24 распределение КВ]]</f>
        <v>92698.826881500005</v>
      </c>
      <c r="CM570" s="93"/>
      <c r="CN570" s="93">
        <f>ППД5[[#This Row],[Фикс 18.12.24]]+ППД5[[#This Row],[Наценка 10.02.25 +1%
1К: А3
2К: Б3, В3]]</f>
        <v>92698.826881500005</v>
      </c>
      <c r="CO570" s="93">
        <f>ROUND(ППД5[[#This Row],[Фикс 10.02.25]],2)</f>
        <v>92698.83</v>
      </c>
      <c r="CP57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5398800</v>
      </c>
      <c r="CQ570" s="93">
        <f>ROUNDUP(ППД5[[#This Row],[Стоимость до скидки]]+ППД5[[#This Row],[Сумма доплаты]],-2)</f>
        <v>5367300</v>
      </c>
      <c r="CR570" s="68"/>
      <c r="CS570" s="90">
        <v>0.02</v>
      </c>
      <c r="CT570" s="68">
        <f>ППД5[[#This Row],[Стоимость до скидки]]*ППД5[[#This Row],[Скидка %]]+ППД5[[#This Row],[Скидка фиксированная]]</f>
        <v>107976</v>
      </c>
      <c r="CU570" s="3">
        <f>ППД5[[#This Row],[Стоимость ОН без отделки со скидкой]]/ППД5[[#This Row],[Расчетная проектная площадь]]</f>
        <v>90845.192307692298</v>
      </c>
      <c r="CV570" s="3">
        <f>ROUND(ППД5[[#This Row],[Стоимость до скидки]]-ППД5[[#This Row],[Итоговая сумма скидки]],2)</f>
        <v>5290824</v>
      </c>
      <c r="CW57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570" s="197">
        <v>22000</v>
      </c>
      <c r="CY570" s="332">
        <f>ППД5[[#This Row],[Расхождение]]/ППД5[[#This Row],[Расчетная проектная площадь]]</f>
        <v>-5.8379120879121461E-3</v>
      </c>
      <c r="CZ57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-0.28000000000000291</v>
      </c>
      <c r="DA570" s="3">
        <f>ППД5[[#This Row],[Цена м2 без отделки со скидкой]]+ППД5[[#This Row],[Стоимость отделки]]</f>
        <v>112845.1923076923</v>
      </c>
      <c r="DB570" s="3">
        <f>ППД5[[#This Row],[Стоимость квартиры с отделкой]]-ППД5[[#This Row],[Стоимость ОН без отделки со скидкой]]</f>
        <v>1281280</v>
      </c>
      <c r="DC570" s="3">
        <f>ППД5[[#This Row],[Цена м2 с отделкой]]*ППД5[[#This Row],[Расчетная проектная площадь]]</f>
        <v>6572104</v>
      </c>
      <c r="DD570" s="47"/>
      <c r="DE570" s="111" t="s">
        <v>757</v>
      </c>
      <c r="DF570" s="199" t="s">
        <v>172</v>
      </c>
      <c r="DG570" s="245" t="s">
        <v>172</v>
      </c>
      <c r="DH570" s="100" t="b">
        <f>EXACT(ППД5[[#This Row],[Статусы CRM]],ППД5[[#This Row],[Статус]])</f>
        <v>1</v>
      </c>
      <c r="DI570" s="213" t="s">
        <v>742</v>
      </c>
      <c r="DJ570" s="204"/>
      <c r="DK570" s="111" t="s">
        <v>763</v>
      </c>
      <c r="DL570" s="216" t="s">
        <v>14</v>
      </c>
      <c r="DM570" s="201" t="b">
        <f>ППД5[[#This Row],[Отделка CRM]]=ППД5[[#This Row],[Отделка]]</f>
        <v>1</v>
      </c>
      <c r="DN570" s="203">
        <v>6572104</v>
      </c>
      <c r="DO57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70" s="207" t="b">
        <f>IF(AND(ППД5[[#This Row],[Статус]]="свободно",ППД5[[#This Row],[Итоговая сумма скидки]]&lt;&gt;0),FALSE,TRUE)</f>
        <v>1</v>
      </c>
      <c r="DQ570" s="240">
        <f>_xlfn.XLOOKUP(ППД5[[#This Row],[№]],Юрист[№ кв],Юрист[Дата подачи на регистрацию]," ",0,-1)</f>
        <v>45282</v>
      </c>
      <c r="DR570" s="115" t="str">
        <f>_xlfn.XLOOKUP(ППД5[[#This Row],[№]],Юрист[№ кв],Юрист[МОП],"",0,-1)</f>
        <v>Никишов</v>
      </c>
      <c r="DS570" s="333" t="s">
        <v>3432</v>
      </c>
      <c r="DT570" s="333" t="s">
        <v>3433</v>
      </c>
      <c r="DU570" s="333">
        <v>56.5</v>
      </c>
      <c r="DV570" s="111"/>
    </row>
    <row r="571" spans="1:126" hidden="1" x14ac:dyDescent="0.25">
      <c r="A571" s="112">
        <v>569</v>
      </c>
      <c r="B571" s="111" t="s">
        <v>2</v>
      </c>
      <c r="C571" s="111">
        <v>23</v>
      </c>
      <c r="D571" s="115">
        <v>5</v>
      </c>
      <c r="E571" s="111">
        <v>2</v>
      </c>
      <c r="F571" s="105">
        <v>15.41</v>
      </c>
      <c r="G571" s="105">
        <v>12.78</v>
      </c>
      <c r="H571" s="105"/>
      <c r="I571" s="94">
        <f>SUM(ППД5[[#This Row],[Комната 1]:[Комната 3]])</f>
        <v>28.189999999999998</v>
      </c>
      <c r="J571" s="105">
        <v>13.45</v>
      </c>
      <c r="K571" s="105">
        <v>3.7</v>
      </c>
      <c r="L571" s="105">
        <v>2.72</v>
      </c>
      <c r="M571" s="105"/>
      <c r="N571" s="105">
        <v>8.2200000000000006</v>
      </c>
      <c r="O571" s="105">
        <v>3.03</v>
      </c>
      <c r="P571" s="105"/>
      <c r="Q571" s="105"/>
      <c r="R571" s="105">
        <f>SUM(ППД5[[#This Row],[Лоджия 1]:[Лоджия 3]])</f>
        <v>3.03</v>
      </c>
      <c r="S571" s="8">
        <f>ROUND(SUM(ППД5[[#This Row],[Площадь по проекту жилая]:[Лоджия 3]]),2)</f>
        <v>59.31</v>
      </c>
      <c r="T571" s="8">
        <f>ROUND(ППД5[[#This Row],[Площадь по проекту(общая)]]-ППД5[[#This Row],[Летние]],2)</f>
        <v>56.28</v>
      </c>
      <c r="U571" s="91">
        <f>ROUND(ППД5[[#This Row],[Площадь по проекту(общая)]]-(SUM(ППД5[[#This Row],[Лоджия 1]:[Лоджия 3]])/2),2)</f>
        <v>57.8</v>
      </c>
      <c r="V571" s="91">
        <f>IF(ППД5[[#This Row],[Статус]]="продажа",ППД5[[#This Row],[Расчетная проектная площадь]],ППД5[[#This Row],[Расчетная ТП площадь]])</f>
        <v>57.949999999999996</v>
      </c>
      <c r="W571" s="91">
        <v>12.7</v>
      </c>
      <c r="X571" s="91">
        <v>15.4</v>
      </c>
      <c r="Y571" s="91"/>
      <c r="Z571" s="91">
        <f>SUM(ППД5[[#This Row],[ТП Комната 1]:[ТП Комната 3]])</f>
        <v>28.1</v>
      </c>
      <c r="AA571" s="91">
        <v>13.7</v>
      </c>
      <c r="AB571" s="91">
        <v>2.7</v>
      </c>
      <c r="AC571" s="91">
        <v>3.5</v>
      </c>
      <c r="AD571" s="91"/>
      <c r="AE571" s="91">
        <v>8.4</v>
      </c>
      <c r="AF571" s="91">
        <v>1.55</v>
      </c>
      <c r="AG571" s="91"/>
      <c r="AH571" s="91"/>
      <c r="AI571" s="91">
        <f>SUM(ППД5[[#This Row],[ТП Лоджия 1]:[ТП Лоджия 3]])</f>
        <v>1.55</v>
      </c>
      <c r="AJ571" s="95">
        <v>3.1</v>
      </c>
      <c r="AK571" s="91">
        <f>SUM(ППД5[[#This Row],[Площадь по ТП жилая]:[ТП Лоджия 3]])-ППД5[[#This Row],[ТП Летние]]+ППД5[[#This Row],[кроме того прочая
(без коэффициента)]]</f>
        <v>59.5</v>
      </c>
      <c r="AL571" s="95">
        <f>ППД5[[#This Row],[ТП Площадь без летних]]+(ППД5[[#This Row],[ТП Летние]])</f>
        <v>57.949999999999996</v>
      </c>
      <c r="AM571" s="91">
        <f>ППД5[[#This Row],[ТП общая S]]-ППД5[[#This Row],[кроме того прочая
(без коэффициента)]]</f>
        <v>56.4</v>
      </c>
      <c r="AN571" s="95">
        <f>SUM(ППД5[[#This Row],[ТП Кухня]:[ТП Коридор]])</f>
        <v>28.299999999999997</v>
      </c>
      <c r="AO571" s="91">
        <f>ППД5[[#This Row],[Расчетная ТП площадь]]-ППД5[[#This Row],[Расчетная проектная площадь]]</f>
        <v>0.14999999999999858</v>
      </c>
      <c r="AP571" s="335">
        <f>ППД5[[#This Row],[Расчетная ТП площадь]]/ППД5[[#This Row],[Расчетная проектная площадь]]-1</f>
        <v>2.5951557093424338E-3</v>
      </c>
      <c r="AQ571" s="91">
        <f>ППД5[[#This Row],[% расхождения]]*ППД5[[#This Row],[Стоимость до скидки]]</f>
        <v>19602.768166089008</v>
      </c>
      <c r="AR571" s="91">
        <f>VLOOKUP(ППД5[[#This Row],[№]],наценкад5[],COLUMN(наценкад5[[#This Row],[Цена м2 с учетом всех K]]),0)</f>
        <v>85327.105500000005</v>
      </c>
      <c r="AS571" s="8">
        <f>ППД5[[#This Row],[м2 после К]]*5%</f>
        <v>4266.3552750000008</v>
      </c>
      <c r="AT571" s="8">
        <f>ППД5[[#This Row],[м2 после К]]+ППД5[[#This Row],[Повышение 16.08.23 - 5%]]</f>
        <v>89593.460775</v>
      </c>
      <c r="AU571" s="93">
        <f>ППД5[[#This Row],[Фикс 16.08.23]]*3%</f>
        <v>2687.8038232499998</v>
      </c>
      <c r="AV571" s="93">
        <f>ППД5[[#This Row],[Фикс 16.08.23]]+ППД5[[#This Row],[Повышение 29.08.23 - 3%]]</f>
        <v>92281.264598249996</v>
      </c>
      <c r="AW571" s="93"/>
      <c r="AX571" s="93">
        <f>ППД5[[#This Row],[Фикс 29.08.23]]+ППД5[[#This Row],[Повышение 06.09.23 СТ и 1К]]</f>
        <v>92281.264598249996</v>
      </c>
      <c r="AY571" s="93"/>
      <c r="AZ571" s="93">
        <f>ППД5[[#This Row],[Повышение 23.10.23  В4 ]]+ППД5[[#This Row],[Фикс 06.09.23]]</f>
        <v>92281.264598249996</v>
      </c>
      <c r="BA571" s="93"/>
      <c r="BB571" s="93">
        <f>ППД5[[#This Row],[Повышение 8.11.23 1К 5%]]+ППД5[[#This Row],[Фикс 23.10.23]]</f>
        <v>92281.264598249996</v>
      </c>
      <c r="BC571" s="93"/>
      <c r="BD571" s="93">
        <f>ППД5[[#This Row],[Корректировка 24.11.23 - 1К В5, 2К А2, №233]]+ППД5[[#This Row],[Фикс 8.11.23]]</f>
        <v>92281.264598249996</v>
      </c>
      <c r="BE571" s="93">
        <f>ППД5[[#This Row],[Фикс 8.11.24]]*1%</f>
        <v>922.81264598249993</v>
      </c>
      <c r="BF571" s="93">
        <f>ППД5[[#This Row],[Наценка за отделку 29.12.23 1%]]+ППД5[[#This Row],[Фикс 8.11.24]]</f>
        <v>93204.077244232496</v>
      </c>
      <c r="BG571" s="93">
        <f>ППД5[[#This Row],[Фикс 29.12.23]]*5%</f>
        <v>4660.2038622116252</v>
      </c>
      <c r="BH571" s="93">
        <f>ППД5[[#This Row],[Фикс 29.12.23]]+ППД5[[#This Row],[Наценка 10.01.24 5%]]</f>
        <v>97864.281106444119</v>
      </c>
      <c r="BI571" s="93"/>
      <c r="BJ571" s="93">
        <f>ППД5[[#This Row],[Наценка 26.02.24 1 Этаж]]+ППД5[[#This Row],[Фикс 10.01.24]]</f>
        <v>97864.281106444119</v>
      </c>
      <c r="BK571" s="93">
        <f>ППД5[[#This Row],[Фикс 26.02.24]]*2%</f>
        <v>1957.2856221288823</v>
      </c>
      <c r="BL571" s="93">
        <f>ППД5[[#This Row],[Фикс 26.02.24]]+ППД5[[#This Row],[Наценка 06.03.24
СТ, 1К - 3%
2К, 3К - 2%]]</f>
        <v>99821.566728573001</v>
      </c>
      <c r="BM571" s="93"/>
      <c r="BN571" s="93">
        <f>ППД5[[#This Row],[Фикс 06.03.24]]+ППД5[[#This Row],[Наценка Г2+500]]</f>
        <v>99821.566728573001</v>
      </c>
      <c r="BO571" s="93">
        <f>ППД5[[#This Row],[Фикс 13.03.25]]*2%</f>
        <v>1996.4313345714602</v>
      </c>
      <c r="BP571" s="93">
        <f>ППД5[[#This Row],[Фикс 13.03.25]]+ППД5[[#This Row],[Наценка 20.03.24
2К, 3К - 2%]]</f>
        <v>101817.99806314446</v>
      </c>
      <c r="BQ571" s="93"/>
      <c r="BR571" s="93">
        <f>ППД5[[#This Row],[Фикс 20.03.24]]+ППД5[[#This Row],[Наценка 08.04.24 
2К: В3 - 150
3К: Г7 +1000]]</f>
        <v>101817.99806314446</v>
      </c>
      <c r="BS571" s="93">
        <f>ППД5[[#This Row],[Фикс 08.04.24]]*1%</f>
        <v>1018.1799806314447</v>
      </c>
      <c r="BT571" s="93">
        <f>ППД5[[#This Row],[Фикс 08.04.24]]+ППД5[[#This Row],[Наценка 16.05.24 1%
А4,А6,Б3,Б6,Б7,В2,В3,В5,В6,Г1,Г3-Г5]]</f>
        <v>102836.1780437759</v>
      </c>
      <c r="BU571" s="93"/>
      <c r="BV571" s="93">
        <f>ППД5[[#This Row],[Фикс 16.05.24]]+ППД5[[#This Row],[Наценка 24.05.24
1% - Б4, Б5,Г2,Г6
2% - А1,А3,А5,Б2,Г7]]</f>
        <v>102836.1780437759</v>
      </c>
      <c r="BW571" s="93"/>
      <c r="BX571" s="93">
        <f>ППД5[[#This Row],[Наценка 06.06.24
0К: В2,Г3 +0,5%
1К: А7, Б5/4, Г6 +0,5%
3К: В6 +0,5%
1К: А3 +1%]]+ППД5[[#This Row],[Фикс 24.05.24]]</f>
        <v>102836.1780437759</v>
      </c>
      <c r="BY571" s="93"/>
      <c r="BZ571" s="93">
        <f>ППД5[[#This Row],[Фикс 06.06.24]]+ППД5[[#This Row],[13.06.2024
3К - 2%]]</f>
        <v>102836.1780437759</v>
      </c>
      <c r="CA571" s="47">
        <f>1.5%*ППД5[[#This Row],[Фикс 13.06.24]]</f>
        <v>1542.5426706566384</v>
      </c>
      <c r="CB571" s="93">
        <f>ППД5[[#This Row],[02.07.2024: Г3 А1 А3 Б5 Б7 Г2 Г6 Б3 Б4 В3 Г7 2,5% ост 0,5-1,5%]]+ППД5[[#This Row],[Фикс 13.06.24]]</f>
        <v>104378.72071443254</v>
      </c>
      <c r="CC571" s="93">
        <v>500</v>
      </c>
      <c r="CD571" s="93">
        <f>ППД5[[#This Row],[Фикс 02.07.24]]+ППД5[[#This Row],[04.09.2024 +500
0К - Б2; 1К - А3;
2К - А6, Б4, В3, Г5]]</f>
        <v>104878.72071443254</v>
      </c>
      <c r="CE571" s="93">
        <f>ППД5[[#This Row],[Фикс 04.09.24]]*4%</f>
        <v>4195.1488285773012</v>
      </c>
      <c r="CF571" s="93">
        <f>ППД5[[#This Row],[Наценка 16.09.2024
1К: А1,В7,Г6/7,Г8 - 2%
2К: А4,А5,А6,Б1,Б6,Б3/4,В3,В4,Г4,Г5 - 4%
3К: 4%]]+ППД5[[#This Row],[Фикс 04.09.24]]</f>
        <v>109073.86954300985</v>
      </c>
      <c r="CG571" s="93">
        <f>ППД5[[#This Row],[Фикс 16.09.2024]]*6%</f>
        <v>6544.4321725805903</v>
      </c>
      <c r="CH571" s="93">
        <f>ППД5[[#This Row],[Фикс 16.09.2024]]+ППД5[[#This Row],[Наценка 01.11.24
СТ: 4%
1К: 34-40м 5%; 40м+ 8%; МГН 1%
2К: 55-70м 6%; 70-73м 7%; 73-76м 8% 
3К: 5%]]</f>
        <v>115618.30171559044</v>
      </c>
      <c r="CI571" s="93">
        <f>ППД5[[#This Row],[Фикс 01.11.24]]*13%</f>
        <v>15030.379223026757</v>
      </c>
      <c r="CJ571" s="93">
        <f>ППД5[[#This Row],[Наценка 06.11 13%]]+ППД5[[#This Row],[Фикс 01.11.24]]</f>
        <v>130648.6809386172</v>
      </c>
      <c r="CK571" s="93">
        <v>35</v>
      </c>
      <c r="CL571" s="93">
        <f>ППД5[[#This Row],[Фикс 06.11.24]]+ППД5[[#This Row],[Наценка 18.12.24 распределение КВ]]</f>
        <v>130683.6809386172</v>
      </c>
      <c r="CM571" s="93"/>
      <c r="CN571" s="93">
        <f>ППД5[[#This Row],[Фикс 18.12.24]]+ППД5[[#This Row],[Наценка 10.02.25 +1%
1К: А3
2К: Б3, В3]]</f>
        <v>130683.6809386172</v>
      </c>
      <c r="CO571" s="93">
        <f>ROUND(ППД5[[#This Row],[Фикс 10.02.25]],2)</f>
        <v>130683.68</v>
      </c>
      <c r="CP57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7553600</v>
      </c>
      <c r="CQ571" s="93">
        <f>ROUNDUP(ППД5[[#This Row],[Стоимость до скидки]]+ППД5[[#This Row],[Сумма доплаты]],-2)</f>
        <v>7573300</v>
      </c>
      <c r="CR571" s="68"/>
      <c r="CS571" s="90"/>
      <c r="CT571" s="68">
        <f>ППД5[[#This Row],[Стоимость до скидки]]*ППД5[[#This Row],[Скидка %]]+ППД5[[#This Row],[Скидка фиксированная]]</f>
        <v>0</v>
      </c>
      <c r="CU571" s="3">
        <f>ППД5[[#This Row],[Стоимость ОН без отделки со скидкой]]/ППД5[[#This Row],[Расчетная проектная площадь]]</f>
        <v>130685.12110726644</v>
      </c>
      <c r="CV571" s="3">
        <f>ROUND(ППД5[[#This Row],[Стоимость до скидки]]-ППД5[[#This Row],[Итоговая сумма скидки]],2)</f>
        <v>7553600</v>
      </c>
      <c r="CW57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71" s="197"/>
      <c r="CY571" s="332">
        <f>ППД5[[#This Row],[Расхождение]]/ППД5[[#This Row],[Расчетная проектная площадь]]</f>
        <v>2.5951557093425361E-3</v>
      </c>
      <c r="CZ57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0.21000000000000085</v>
      </c>
      <c r="DA571" s="3">
        <f>ППД5[[#This Row],[Цена м2 без отделки со скидкой]]+ППД5[[#This Row],[Стоимость отделки]]</f>
        <v>130685.12110726644</v>
      </c>
      <c r="DB571" s="3">
        <f>ППД5[[#This Row],[Стоимость квартиры с отделкой]]-ППД5[[#This Row],[Стоимость ОН без отделки со скидкой]]</f>
        <v>0</v>
      </c>
      <c r="DC571" s="3">
        <f>ППД5[[#This Row],[Цена м2 с отделкой]]*ППД5[[#This Row],[Расчетная проектная площадь]]</f>
        <v>7553600</v>
      </c>
      <c r="DD571" s="47"/>
      <c r="DF571" s="155" t="s">
        <v>161</v>
      </c>
      <c r="DG571" s="221" t="s">
        <v>161</v>
      </c>
      <c r="DH571" s="100" t="b">
        <f>EXACT(ППД5[[#This Row],[Статусы CRM]],ППД5[[#This Row],[Статус]])</f>
        <v>1</v>
      </c>
      <c r="DI571" s="213" t="s">
        <v>743</v>
      </c>
      <c r="DJ571" s="204"/>
      <c r="DK571" s="111" t="s">
        <v>763</v>
      </c>
      <c r="DL571" s="216" t="s">
        <v>12</v>
      </c>
      <c r="DM571" s="201" t="b">
        <f>ППД5[[#This Row],[Отделка CRM]]=ППД5[[#This Row],[Отделка]]</f>
        <v>1</v>
      </c>
      <c r="DN571" s="203">
        <v>7553600</v>
      </c>
      <c r="DO57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71" s="207" t="b">
        <f>IF(AND(ППД5[[#This Row],[Статус]]="свободно",ППД5[[#This Row],[Итоговая сумма скидки]]&lt;&gt;0),FALSE,TRUE)</f>
        <v>1</v>
      </c>
      <c r="DQ571" s="240" t="str">
        <f>_xlfn.XLOOKUP(ППД5[[#This Row],[№]],Юрист[№ кв],Юрист[Дата подачи на регистрацию]," ",0,-1)</f>
        <v xml:space="preserve"> </v>
      </c>
      <c r="DR571" s="115" t="str">
        <f>_xlfn.XLOOKUP(ППД5[[#This Row],[№]],Юрист[№ кв],Юрист[МОП],"",0,-1)</f>
        <v/>
      </c>
      <c r="DS571" s="333" t="s">
        <v>3434</v>
      </c>
      <c r="DT571" s="333" t="s">
        <v>3435</v>
      </c>
      <c r="DU571" s="333">
        <v>56.4</v>
      </c>
      <c r="DV571" s="111"/>
    </row>
    <row r="572" spans="1:126" hidden="1" x14ac:dyDescent="0.25">
      <c r="A572" s="112">
        <v>570</v>
      </c>
      <c r="B572" s="111" t="s">
        <v>2</v>
      </c>
      <c r="C572" s="111">
        <v>23</v>
      </c>
      <c r="D572" s="115">
        <v>6</v>
      </c>
      <c r="E572" s="111">
        <v>1</v>
      </c>
      <c r="F572" s="105">
        <v>12.71</v>
      </c>
      <c r="G572" s="105"/>
      <c r="H572" s="105"/>
      <c r="I572" s="94">
        <f>SUM(ППД5[[#This Row],[Комната 1]:[Комната 3]])</f>
        <v>12.71</v>
      </c>
      <c r="J572" s="105">
        <v>12.55</v>
      </c>
      <c r="K572" s="105">
        <v>4.28</v>
      </c>
      <c r="L572" s="105"/>
      <c r="M572" s="105"/>
      <c r="N572" s="105">
        <v>7.34</v>
      </c>
      <c r="O572" s="105">
        <v>2.84</v>
      </c>
      <c r="P572" s="105"/>
      <c r="Q572" s="105"/>
      <c r="R572" s="105">
        <f>SUM(ППД5[[#This Row],[Лоджия 1]:[Лоджия 3]])</f>
        <v>2.84</v>
      </c>
      <c r="S572" s="8">
        <f>ROUND(SUM(ППД5[[#This Row],[Площадь по проекту жилая]:[Лоджия 3]]),2)</f>
        <v>39.72</v>
      </c>
      <c r="T572" s="8">
        <f>ROUND(ППД5[[#This Row],[Площадь по проекту(общая)]]-ППД5[[#This Row],[Летние]],2)</f>
        <v>36.880000000000003</v>
      </c>
      <c r="U572" s="91">
        <f>ROUND(ППД5[[#This Row],[Площадь по проекту(общая)]]-(SUM(ППД5[[#This Row],[Лоджия 1]:[Лоджия 3]])/2),2)</f>
        <v>38.299999999999997</v>
      </c>
      <c r="V572" s="91">
        <f>IF(ППД5[[#This Row],[Статус]]="продажа",ППД5[[#This Row],[Расчетная проектная площадь]],ППД5[[#This Row],[Расчетная ТП площадь]])</f>
        <v>38.299999999999997</v>
      </c>
      <c r="W572" s="91">
        <v>12.5</v>
      </c>
      <c r="X572" s="91"/>
      <c r="Y572" s="91"/>
      <c r="Z572" s="91">
        <f>SUM(ППД5[[#This Row],[ТП Комната 1]:[ТП Комната 3]])</f>
        <v>12.5</v>
      </c>
      <c r="AA572" s="91">
        <v>12.6</v>
      </c>
      <c r="AB572" s="91">
        <v>3.9</v>
      </c>
      <c r="AC572" s="91"/>
      <c r="AD572" s="91"/>
      <c r="AE572" s="91">
        <v>7.3</v>
      </c>
      <c r="AF572" s="91">
        <v>1.4</v>
      </c>
      <c r="AG572" s="91"/>
      <c r="AH572" s="91"/>
      <c r="AI572" s="91">
        <f>SUM(ППД5[[#This Row],[ТП Лоджия 1]:[ТП Лоджия 3]])</f>
        <v>1.4</v>
      </c>
      <c r="AJ572" s="95">
        <v>2.8</v>
      </c>
      <c r="AK572" s="91">
        <f>SUM(ППД5[[#This Row],[Площадь по ТП жилая]:[ТП Лоджия 3]])-ППД5[[#This Row],[ТП Летние]]+ППД5[[#This Row],[кроме того прочая
(без коэффициента)]]</f>
        <v>39.099999999999994</v>
      </c>
      <c r="AL572" s="95">
        <f>ППД5[[#This Row],[ТП Площадь без летних]]+(ППД5[[#This Row],[ТП Летние]])</f>
        <v>37.699999999999996</v>
      </c>
      <c r="AM572" s="91">
        <f>ППД5[[#This Row],[ТП общая S]]-ППД5[[#This Row],[кроме того прочая
(без коэффициента)]]</f>
        <v>36.299999999999997</v>
      </c>
      <c r="AN572" s="95">
        <f>SUM(ППД5[[#This Row],[ТП Кухня]:[ТП Коридор]])</f>
        <v>23.8</v>
      </c>
      <c r="AO572" s="91">
        <f>ППД5[[#This Row],[Расчетная ТП площадь]]-ППД5[[#This Row],[Расчетная проектная площадь]]</f>
        <v>-0.60000000000000142</v>
      </c>
      <c r="AP572" s="335">
        <f>ППД5[[#This Row],[Расчетная ТП площадь]]/ППД5[[#This Row],[Расчетная проектная площадь]]-1</f>
        <v>-1.5665796344647598E-2</v>
      </c>
      <c r="AQ572" s="91">
        <f>ППД5[[#This Row],[% расхождения]]*ППД5[[#This Row],[Стоимость до скидки]]</f>
        <v>-61665.8760313319</v>
      </c>
      <c r="AR572" s="91">
        <f>VLOOKUP(ППД5[[#This Row],[№]],наценкад5[],COLUMN(наценкад5[[#This Row],[Цена м2 с учетом всех K]]),0)</f>
        <v>94090.5</v>
      </c>
      <c r="AS572" s="8">
        <f>ППД5[[#This Row],[м2 после К]]*5%</f>
        <v>4704.5250000000005</v>
      </c>
      <c r="AT572" s="8">
        <f>ППД5[[#This Row],[м2 после К]]+ППД5[[#This Row],[Повышение 16.08.23 - 5%]]</f>
        <v>98795.024999999994</v>
      </c>
      <c r="AU572" s="93">
        <f>ППД5[[#This Row],[Фикс 16.08.23]]*3%</f>
        <v>2963.8507499999996</v>
      </c>
      <c r="AV572" s="93">
        <f>ППД5[[#This Row],[Фикс 16.08.23]]+ППД5[[#This Row],[Повышение 29.08.23 - 3%]]</f>
        <v>101758.87574999999</v>
      </c>
      <c r="AW572" s="93">
        <f>ППД5[[#This Row],[Фикс 29.08.23]]*1%</f>
        <v>1017.5887574999999</v>
      </c>
      <c r="AX572" s="93">
        <f>ППД5[[#This Row],[Фикс 29.08.23]]+ППД5[[#This Row],[Повышение 06.09.23 СТ и 1К]]</f>
        <v>102776.46450749999</v>
      </c>
      <c r="AY572" s="93"/>
      <c r="AZ572" s="93">
        <f>ППД5[[#This Row],[Повышение 23.10.23  В4 ]]+ППД5[[#This Row],[Фикс 06.09.23]]</f>
        <v>102776.46450749999</v>
      </c>
      <c r="BA572" s="93"/>
      <c r="BB572" s="93">
        <f>ППД5[[#This Row],[Повышение 8.11.23 1К 5%]]+ППД5[[#This Row],[Фикс 23.10.23]]</f>
        <v>102776.46450749999</v>
      </c>
      <c r="BC572" s="93"/>
      <c r="BD572" s="93">
        <f>ППД5[[#This Row],[Корректировка 24.11.23 - 1К В5, 2К А2, №233]]+ППД5[[#This Row],[Фикс 8.11.23]]</f>
        <v>102776.46450749999</v>
      </c>
      <c r="BE572" s="93"/>
      <c r="BF572" s="93">
        <f>ППД5[[#This Row],[Наценка за отделку 29.12.23 1%]]+ППД5[[#This Row],[Фикс 8.11.24]]</f>
        <v>102776.46450749999</v>
      </c>
      <c r="BG572" s="93"/>
      <c r="BH572" s="93">
        <f>ППД5[[#This Row],[Фикс 29.12.23]]+ППД5[[#This Row],[Наценка 10.01.24 5%]]</f>
        <v>102776.46450749999</v>
      </c>
      <c r="BI572" s="93"/>
      <c r="BJ572" s="93">
        <f>ППД5[[#This Row],[Наценка 26.02.24 1 Этаж]]+ППД5[[#This Row],[Фикс 10.01.24]]</f>
        <v>102776.46450749999</v>
      </c>
      <c r="BK572" s="93"/>
      <c r="BL572" s="93">
        <f>ППД5[[#This Row],[Фикс 26.02.24]]+ППД5[[#This Row],[Наценка 06.03.24
СТ, 1К - 3%
2К, 3К - 2%]]</f>
        <v>102776.46450749999</v>
      </c>
      <c r="BM572" s="93"/>
      <c r="BN572" s="93">
        <f>ППД5[[#This Row],[Фикс 06.03.24]]+ППД5[[#This Row],[Наценка Г2+500]]</f>
        <v>102776.46450749999</v>
      </c>
      <c r="BO572" s="93"/>
      <c r="BP572" s="93">
        <f>ППД5[[#This Row],[Фикс 13.03.25]]+ППД5[[#This Row],[Наценка 20.03.24
2К, 3К - 2%]]</f>
        <v>102776.46450749999</v>
      </c>
      <c r="BQ572" s="93"/>
      <c r="BR572" s="93">
        <f>ППД5[[#This Row],[Фикс 20.03.24]]+ППД5[[#This Row],[Наценка 08.04.24 
2К: В3 - 150
3К: Г7 +1000]]</f>
        <v>102776.46450749999</v>
      </c>
      <c r="BS572" s="93"/>
      <c r="BT572" s="93">
        <f>ППД5[[#This Row],[Фикс 08.04.24]]+ППД5[[#This Row],[Наценка 16.05.24 1%
А4,А6,Б3,Б6,Б7,В2,В3,В5,В6,Г1,Г3-Г5]]</f>
        <v>102776.46450749999</v>
      </c>
      <c r="BU572" s="93"/>
      <c r="BV572" s="93">
        <f>ППД5[[#This Row],[Фикс 16.05.24]]+ППД5[[#This Row],[Наценка 24.05.24
1% - Б4, Б5,Г2,Г6
2% - А1,А3,А5,Б2,Г7]]</f>
        <v>102776.46450749999</v>
      </c>
      <c r="BW572" s="93"/>
      <c r="BX572" s="93">
        <f>ППД5[[#This Row],[Наценка 06.06.24
0К: В2,Г3 +0,5%
1К: А7, Б5/4, Г6 +0,5%
3К: В6 +0,5%
1К: А3 +1%]]+ППД5[[#This Row],[Фикс 24.05.24]]</f>
        <v>102776.46450749999</v>
      </c>
      <c r="BY572" s="93"/>
      <c r="BZ572" s="93">
        <f>ППД5[[#This Row],[Фикс 06.06.24]]+ППД5[[#This Row],[13.06.2024
3К - 2%]]</f>
        <v>102776.46450749999</v>
      </c>
      <c r="CA572" s="93"/>
      <c r="CB572" s="93">
        <f>ППД5[[#This Row],[02.07.2024: Г3 А1 А3 Б5 Б7 Г2 Г6 Б3 Б4 В3 Г7 2,5% ост 0,5-1,5%]]+ППД5[[#This Row],[Фикс 13.06.24]]</f>
        <v>102776.46450749999</v>
      </c>
      <c r="CC572" s="93"/>
      <c r="CD572" s="93">
        <f>ППД5[[#This Row],[Фикс 02.07.24]]+ППД5[[#This Row],[04.09.2024 +500
0К - Б2; 1К - А3;
2К - А6, Б4, В3, Г5]]</f>
        <v>102776.46450749999</v>
      </c>
      <c r="CE572" s="93"/>
      <c r="CF572" s="93">
        <f>ППД5[[#This Row],[Наценка 16.09.2024
1К: А1,В7,Г6/7,Г8 - 2%
2К: А4,А5,А6,Б1,Б6,Б3/4,В3,В4,Г4,Г5 - 4%
3К: 4%]]+ППД5[[#This Row],[Фикс 04.09.24]]</f>
        <v>102776.46450749999</v>
      </c>
      <c r="CG572" s="93"/>
      <c r="CH572" s="93">
        <f>ППД5[[#This Row],[Фикс 16.09.2024]]+ППД5[[#This Row],[Наценка 01.11.24
СТ: 4%
1К: 34-40м 5%; 40м+ 8%; МГН 1%
2К: 55-70м 6%; 70-73м 7%; 73-76м 8% 
3К: 5%]]</f>
        <v>102776.46450749999</v>
      </c>
      <c r="CI572" s="93"/>
      <c r="CJ572" s="93">
        <f>ППД5[[#This Row],[Наценка 06.11 13%]]+ППД5[[#This Row],[Фикс 01.11.24]]</f>
        <v>102776.46450749999</v>
      </c>
      <c r="CK572" s="93"/>
      <c r="CL572" s="93">
        <f>ППД5[[#This Row],[Фикс 06.11.24]]+ППД5[[#This Row],[Наценка 18.12.24 распределение КВ]]</f>
        <v>102776.46450749999</v>
      </c>
      <c r="CM572" s="93"/>
      <c r="CN572" s="93">
        <f>ППД5[[#This Row],[Фикс 18.12.24]]+ППД5[[#This Row],[Наценка 10.02.25 +1%
1К: А3
2К: Б3, В3]]</f>
        <v>102776.46450749999</v>
      </c>
      <c r="CO572" s="93">
        <f>ROUND(ППД5[[#This Row],[Фикс 10.02.25]],2)</f>
        <v>102776.46</v>
      </c>
      <c r="CP57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3936338.42</v>
      </c>
      <c r="CQ572" s="93">
        <f>ROUNDUP(ППД5[[#This Row],[Стоимость до скидки]]+ППД5[[#This Row],[Сумма доплаты]],-2)</f>
        <v>3874700</v>
      </c>
      <c r="CR572" s="68"/>
      <c r="CS572" s="90">
        <v>0.02</v>
      </c>
      <c r="CT572" s="68">
        <f>ППД5[[#This Row],[Стоимость до скидки]]*ППД5[[#This Row],[Скидка %]]+ППД5[[#This Row],[Скидка фиксированная]]</f>
        <v>78726.768400000001</v>
      </c>
      <c r="CU572" s="3">
        <f>ППД5[[#This Row],[Стоимость ОН без отделки со скидкой]]/ППД5[[#This Row],[Расчетная проектная площадь]]</f>
        <v>100720.93080939948</v>
      </c>
      <c r="CV572" s="3">
        <f>ROUND(ППД5[[#This Row],[Стоимость до скидки]]-ППД5[[#This Row],[Итоговая сумма скидки]],2)</f>
        <v>3857611.65</v>
      </c>
      <c r="CW57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Предчистовая</v>
      </c>
      <c r="CX572" s="197">
        <v>7500</v>
      </c>
      <c r="CY572" s="332">
        <f>ППД5[[#This Row],[Расхождение]]/ППД5[[#This Row],[Расчетная проектная площадь]]</f>
        <v>-1.5665796344647556E-2</v>
      </c>
      <c r="CZ57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-0.37000000000000099</v>
      </c>
      <c r="DA572" s="3">
        <f>ППД5[[#This Row],[Цена м2 без отделки со скидкой]]+ППД5[[#This Row],[Стоимость отделки]]</f>
        <v>108220.93080939948</v>
      </c>
      <c r="DB572" s="3">
        <f>ППД5[[#This Row],[Стоимость квартиры с отделкой]]-ППД5[[#This Row],[Стоимость ОН без отделки со скидкой]]</f>
        <v>287249.99999999953</v>
      </c>
      <c r="DC572" s="3">
        <f>ППД5[[#This Row],[Цена м2 с отделкой]]*ППД5[[#This Row],[Расчетная проектная площадь]]</f>
        <v>4144861.6499999994</v>
      </c>
      <c r="DD572" s="47"/>
      <c r="DE572" s="111" t="s">
        <v>757</v>
      </c>
      <c r="DF572" s="199" t="s">
        <v>172</v>
      </c>
      <c r="DG572" s="245" t="s">
        <v>172</v>
      </c>
      <c r="DH572" s="100" t="b">
        <f>EXACT(ППД5[[#This Row],[Статусы CRM]],ППД5[[#This Row],[Статус]])</f>
        <v>1</v>
      </c>
      <c r="DI572" s="213" t="s">
        <v>744</v>
      </c>
      <c r="DJ572" s="204"/>
      <c r="DK572" s="111" t="s">
        <v>76</v>
      </c>
      <c r="DL572" s="216" t="s">
        <v>13</v>
      </c>
      <c r="DM572" s="201" t="b">
        <f>ППД5[[#This Row],[Отделка CRM]]=ППД5[[#This Row],[Отделка]]</f>
        <v>1</v>
      </c>
      <c r="DN572" s="203">
        <v>4144861.65</v>
      </c>
      <c r="DO57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4.6566128730773926E-10</v>
      </c>
      <c r="DP572" s="207" t="b">
        <f>IF(AND(ППД5[[#This Row],[Статус]]="свободно",ППД5[[#This Row],[Итоговая сумма скидки]]&lt;&gt;0),FALSE,TRUE)</f>
        <v>1</v>
      </c>
      <c r="DQ572" s="240">
        <f>_xlfn.XLOOKUP(ППД5[[#This Row],[№]],Юрист[№ кв],Юрист[Дата подачи на регистрацию]," ",0,-1)</f>
        <v>45248</v>
      </c>
      <c r="DR572" s="115" t="str">
        <f>_xlfn.XLOOKUP(ППД5[[#This Row],[№]],Юрист[№ кв],Юрист[МОП],"",0,-1)</f>
        <v>Дик</v>
      </c>
      <c r="DS572" s="333" t="s">
        <v>3436</v>
      </c>
      <c r="DT572" s="333" t="s">
        <v>3437</v>
      </c>
      <c r="DU572" s="333">
        <v>36.299999999999997</v>
      </c>
      <c r="DV572" s="111"/>
    </row>
    <row r="573" spans="1:126" hidden="1" x14ac:dyDescent="0.25">
      <c r="A573" s="112">
        <v>571</v>
      </c>
      <c r="B573" s="111" t="s">
        <v>2</v>
      </c>
      <c r="C573" s="111">
        <v>23</v>
      </c>
      <c r="D573" s="115">
        <v>7</v>
      </c>
      <c r="E573" s="111">
        <v>3</v>
      </c>
      <c r="F573" s="105">
        <v>14.49</v>
      </c>
      <c r="G573" s="105">
        <v>13.98</v>
      </c>
      <c r="H573" s="105">
        <v>11.42</v>
      </c>
      <c r="I573" s="94">
        <f>SUM(ППД5[[#This Row],[Комната 1]:[Комната 3]])</f>
        <v>39.89</v>
      </c>
      <c r="J573" s="105">
        <v>16.670000000000002</v>
      </c>
      <c r="K573" s="105">
        <v>4.1399999999999997</v>
      </c>
      <c r="L573" s="105">
        <v>1.89</v>
      </c>
      <c r="M573" s="105"/>
      <c r="N573" s="105">
        <v>11.31</v>
      </c>
      <c r="O573" s="105">
        <v>2.86</v>
      </c>
      <c r="P573" s="105">
        <v>2.79</v>
      </c>
      <c r="Q573" s="105">
        <v>5.42</v>
      </c>
      <c r="R573" s="105">
        <f>SUM(ППД5[[#This Row],[Лоджия 1]:[Лоджия 3]])</f>
        <v>11.07</v>
      </c>
      <c r="S573" s="8">
        <f>ROUND(SUM(ППД5[[#This Row],[Площадь по проекту жилая]:[Лоджия 3]]),2)</f>
        <v>84.97</v>
      </c>
      <c r="T573" s="8">
        <f>ROUND(ППД5[[#This Row],[Площадь по проекту(общая)]]-ППД5[[#This Row],[Летние]],2)</f>
        <v>73.900000000000006</v>
      </c>
      <c r="U573" s="91">
        <f>ROUND(ППД5[[#This Row],[Площадь по проекту(общая)]]-(SUM(ППД5[[#This Row],[Лоджия 1]:[Лоджия 3]])/2),2)</f>
        <v>79.44</v>
      </c>
      <c r="V573" s="91">
        <f>IF(ППД5[[#This Row],[Статус]]="продажа",ППД5[[#This Row],[Расчетная проектная площадь]],ППД5[[#This Row],[Расчетная ТП площадь]])</f>
        <v>79.44</v>
      </c>
      <c r="W573" s="91">
        <v>11.4</v>
      </c>
      <c r="X573" s="91">
        <v>14.4</v>
      </c>
      <c r="Y573" s="91">
        <v>14</v>
      </c>
      <c r="Z573" s="91">
        <f>SUM(ППД5[[#This Row],[ТП Комната 1]:[ТП Комната 3]])</f>
        <v>39.799999999999997</v>
      </c>
      <c r="AA573" s="91">
        <v>16.399999999999999</v>
      </c>
      <c r="AB573" s="91">
        <v>1.9</v>
      </c>
      <c r="AC573" s="91">
        <v>4</v>
      </c>
      <c r="AD573" s="91"/>
      <c r="AE573" s="91">
        <v>11.1</v>
      </c>
      <c r="AF573" s="91">
        <v>1.45</v>
      </c>
      <c r="AG573" s="91">
        <v>2.65</v>
      </c>
      <c r="AH573" s="91">
        <v>1.35</v>
      </c>
      <c r="AI573" s="91">
        <f>SUM(ППД5[[#This Row],[ТП Лоджия 1]:[ТП Лоджия 3]])</f>
        <v>5.4499999999999993</v>
      </c>
      <c r="AJ573" s="95">
        <v>10.899999999999999</v>
      </c>
      <c r="AK573" s="91">
        <f>SUM(ППД5[[#This Row],[Площадь по ТП жилая]:[ТП Лоджия 3]])-ППД5[[#This Row],[ТП Летние]]+ППД5[[#This Row],[кроме того прочая
(без коэффициента)]]</f>
        <v>84.1</v>
      </c>
      <c r="AL573" s="95">
        <f>ППД5[[#This Row],[ТП Площадь без летних]]+(ППД5[[#This Row],[ТП Летние]])</f>
        <v>78.649999999999991</v>
      </c>
      <c r="AM573" s="91">
        <f>ППД5[[#This Row],[ТП общая S]]-ППД5[[#This Row],[кроме того прочая
(без коэффициента)]]</f>
        <v>73.199999999999989</v>
      </c>
      <c r="AN573" s="95">
        <f>SUM(ППД5[[#This Row],[ТП Кухня]:[ТП Коридор]])</f>
        <v>33.4</v>
      </c>
      <c r="AO573" s="91">
        <f>ППД5[[#This Row],[Расчетная ТП площадь]]-ППД5[[#This Row],[Расчетная проектная площадь]]</f>
        <v>-0.79000000000000625</v>
      </c>
      <c r="AP573" s="335">
        <f>ППД5[[#This Row],[Расчетная ТП площадь]]/ППД5[[#This Row],[Расчетная проектная площадь]]-1</f>
        <v>-9.9446122860020747E-3</v>
      </c>
      <c r="AQ573" s="91">
        <f>ППД5[[#This Row],[% расхождения]]*ППД5[[#This Row],[Стоимость до скидки]]</f>
        <v>-88189.816213494996</v>
      </c>
      <c r="AR573" s="91">
        <f>VLOOKUP(ППД5[[#This Row],[№]],наценкад5[],COLUMN(наценкад5[[#This Row],[Цена м2 с учетом всех K]]),0)</f>
        <v>83513.430000000022</v>
      </c>
      <c r="AS573" s="8">
        <f>ППД5[[#This Row],[м2 после К]]*5%</f>
        <v>4175.6715000000013</v>
      </c>
      <c r="AT573" s="8">
        <f>ППД5[[#This Row],[м2 после К]]+ППД5[[#This Row],[Повышение 16.08.23 - 5%]]</f>
        <v>87689.101500000019</v>
      </c>
      <c r="AU573" s="93">
        <f>ППД5[[#This Row],[Фикс 16.08.23]]*3%</f>
        <v>2630.6730450000005</v>
      </c>
      <c r="AV573" s="93">
        <f>ППД5[[#This Row],[Фикс 16.08.23]]+ППД5[[#This Row],[Повышение 29.08.23 - 3%]]</f>
        <v>90319.774545000022</v>
      </c>
      <c r="AW573" s="93"/>
      <c r="AX573" s="93">
        <f>ППД5[[#This Row],[Фикс 29.08.23]]+ППД5[[#This Row],[Повышение 06.09.23 СТ и 1К]]</f>
        <v>90319.774545000022</v>
      </c>
      <c r="AY573" s="93"/>
      <c r="AZ573" s="93">
        <f>ППД5[[#This Row],[Повышение 23.10.23  В4 ]]+ППД5[[#This Row],[Фикс 06.09.23]]</f>
        <v>90319.774545000022</v>
      </c>
      <c r="BA573" s="93"/>
      <c r="BB573" s="93">
        <f>ППД5[[#This Row],[Повышение 8.11.23 1К 5%]]+ППД5[[#This Row],[Фикс 23.10.23]]</f>
        <v>90319.774545000022</v>
      </c>
      <c r="BC573" s="93"/>
      <c r="BD573" s="93">
        <f>ППД5[[#This Row],[Корректировка 24.11.23 - 1К В5, 2К А2, №233]]+ППД5[[#This Row],[Фикс 8.11.23]]</f>
        <v>90319.774545000022</v>
      </c>
      <c r="BE573" s="93">
        <f>ППД5[[#This Row],[Фикс 8.11.24]]*1%</f>
        <v>903.19774545000018</v>
      </c>
      <c r="BF573" s="93">
        <f>ППД5[[#This Row],[Наценка за отделку 29.12.23 1%]]+ППД5[[#This Row],[Фикс 8.11.24]]</f>
        <v>91222.972290450023</v>
      </c>
      <c r="BG573" s="93">
        <f>ППД5[[#This Row],[Фикс 29.12.23]]*5%</f>
        <v>4561.1486145225017</v>
      </c>
      <c r="BH573" s="93">
        <f>ППД5[[#This Row],[Фикс 29.12.23]]+ППД5[[#This Row],[Наценка 10.01.24 5%]]</f>
        <v>95784.120904972529</v>
      </c>
      <c r="BI573" s="93"/>
      <c r="BJ573" s="93">
        <f>ППД5[[#This Row],[Наценка 26.02.24 1 Этаж]]+ППД5[[#This Row],[Фикс 10.01.24]]</f>
        <v>95784.120904972529</v>
      </c>
      <c r="BK573" s="93">
        <f>ППД5[[#This Row],[Фикс 26.02.24]]*2%</f>
        <v>1915.6824180994506</v>
      </c>
      <c r="BL573" s="93">
        <f>ППД5[[#This Row],[Фикс 26.02.24]]+ППД5[[#This Row],[Наценка 06.03.24
СТ, 1К - 3%
2К, 3К - 2%]]</f>
        <v>97699.803323071974</v>
      </c>
      <c r="BM573" s="93"/>
      <c r="BN573" s="93">
        <f>ППД5[[#This Row],[Фикс 06.03.24]]+ППД5[[#This Row],[Наценка Г2+500]]</f>
        <v>97699.803323071974</v>
      </c>
      <c r="BO573" s="93">
        <f>ППД5[[#This Row],[Фикс 13.03.25]]*2%</f>
        <v>1953.9960664614396</v>
      </c>
      <c r="BP573" s="93">
        <f>ППД5[[#This Row],[Фикс 13.03.25]]+ППД5[[#This Row],[Наценка 20.03.24
2К, 3К - 2%]]</f>
        <v>99653.799389533408</v>
      </c>
      <c r="BQ573" s="93">
        <v>1000</v>
      </c>
      <c r="BR573" s="93">
        <f>ППД5[[#This Row],[Фикс 20.03.24]]+ППД5[[#This Row],[Наценка 08.04.24 
2К: В3 - 150
3К: Г7 +1000]]</f>
        <v>100653.79938953341</v>
      </c>
      <c r="BS573" s="93"/>
      <c r="BT573" s="93">
        <f>ППД5[[#This Row],[Фикс 08.04.24]]+ППД5[[#This Row],[Наценка 16.05.24 1%
А4,А6,Б3,Б6,Б7,В2,В3,В5,В6,Г1,Г3-Г5]]</f>
        <v>100653.79938953341</v>
      </c>
      <c r="BU573" s="93">
        <f>ППД5[[#This Row],[Фикс 16.05.24]]*2%</f>
        <v>2013.0759877906683</v>
      </c>
      <c r="BV573" s="93">
        <f>ППД5[[#This Row],[Фикс 16.05.24]]+ППД5[[#This Row],[Наценка 24.05.24
1% - Б4, Б5,Г2,Г6
2% - А1,А3,А5,Б2,Г7]]</f>
        <v>102666.87537732408</v>
      </c>
      <c r="BW573" s="93"/>
      <c r="BX573" s="93">
        <f>ППД5[[#This Row],[Наценка 06.06.24
0К: В2,Г3 +0,5%
1К: А7, Б5/4, Г6 +0,5%
3К: В6 +0,5%
1К: А3 +1%]]+ППД5[[#This Row],[Фикс 24.05.24]]</f>
        <v>102666.87537732408</v>
      </c>
      <c r="BY573" s="93">
        <f>ППД5[[#This Row],[Фикс 06.06.24]]*2%</f>
        <v>2053.3375075464814</v>
      </c>
      <c r="BZ573" s="93">
        <f>ППД5[[#This Row],[Фикс 06.06.24]]+ППД5[[#This Row],[13.06.2024
3К - 2%]]</f>
        <v>104720.21288487056</v>
      </c>
      <c r="CA573" s="93">
        <f>2.5%*ППД5[[#This Row],[Фикс 13.06.24]]</f>
        <v>2618.005322121764</v>
      </c>
      <c r="CB573" s="93">
        <f>ППД5[[#This Row],[02.07.2024: Г3 А1 А3 Б5 Б7 Г2 Г6 Б3 Б4 В3 Г7 2,5% ост 0,5-1,5%]]+ППД5[[#This Row],[Фикс 13.06.24]]</f>
        <v>107338.21820699233</v>
      </c>
      <c r="CC573" s="93"/>
      <c r="CD573" s="93">
        <f>ППД5[[#This Row],[Фикс 02.07.24]]+ППД5[[#This Row],[04.09.2024 +500
0К - Б2; 1К - А3;
2К - А6, Б4, В3, Г5]]</f>
        <v>107338.21820699233</v>
      </c>
      <c r="CE573" s="93">
        <f>ППД5[[#This Row],[Фикс 04.09.24]]*4%</f>
        <v>4293.5287282796935</v>
      </c>
      <c r="CF573" s="93">
        <f>ППД5[[#This Row],[Наценка 16.09.2024
1К: А1,В7,Г6/7,Г8 - 2%
2К: А4,А5,А6,Б1,Б6,Б3/4,В3,В4,Г4,Г5 - 4%
3К: 4%]]+ППД5[[#This Row],[Фикс 04.09.24]]</f>
        <v>111631.74693527202</v>
      </c>
      <c r="CG573" s="93"/>
      <c r="CH573" s="93">
        <f>ППД5[[#This Row],[Фикс 16.09.2024]]+ППД5[[#This Row],[Наценка 01.11.24
СТ: 4%
1К: 34-40м 5%; 40м+ 8%; МГН 1%
2К: 55-70м 6%; 70-73м 7%; 73-76м 8% 
3К: 5%]]</f>
        <v>111631.74693527202</v>
      </c>
      <c r="CI573" s="93"/>
      <c r="CJ573" s="93">
        <f>ППД5[[#This Row],[Наценка 06.11 13%]]+ППД5[[#This Row],[Фикс 01.11.24]]</f>
        <v>111631.74693527202</v>
      </c>
      <c r="CK573" s="93"/>
      <c r="CL573" s="93">
        <f>ППД5[[#This Row],[Фикс 06.11.24]]+ППД5[[#This Row],[Наценка 18.12.24 распределение КВ]]</f>
        <v>111631.74693527202</v>
      </c>
      <c r="CM573" s="93"/>
      <c r="CN573" s="93">
        <f>ППД5[[#This Row],[Фикс 18.12.24]]+ППД5[[#This Row],[Наценка 10.02.25 +1%
1К: А3
2К: Б3, В3]]</f>
        <v>111631.74693527202</v>
      </c>
      <c r="CO573" s="93">
        <f>ROUND(ППД5[[#This Row],[Фикс 10.02.25]],2)</f>
        <v>111631.75</v>
      </c>
      <c r="CP573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8868100</v>
      </c>
      <c r="CQ573" s="93">
        <f>ROUNDUP(ППД5[[#This Row],[Стоимость до скидки]]+ППД5[[#This Row],[Сумма доплаты]],-2)</f>
        <v>8780000</v>
      </c>
      <c r="CR573" s="68"/>
      <c r="CS573" s="90">
        <v>0.03</v>
      </c>
      <c r="CT573" s="68">
        <f>ППД5[[#This Row],[Стоимость до скидки]]*ППД5[[#This Row],[Скидка %]]+ППД5[[#This Row],[Скидка фиксированная]]</f>
        <v>266043</v>
      </c>
      <c r="CU573" s="3">
        <f>ППД5[[#This Row],[Стоимость ОН без отделки со скидкой]]/ППД5[[#This Row],[Расчетная проектная площадь]]</f>
        <v>108283.69838872105</v>
      </c>
      <c r="CV573" s="3">
        <f>ROUND(ППД5[[#This Row],[Стоимость до скидки]]-ППД5[[#This Row],[Итоговая сумма скидки]],2)</f>
        <v>8602057</v>
      </c>
      <c r="CW573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73" s="197"/>
      <c r="CY573" s="332">
        <f>ППД5[[#This Row],[Расхождение]]/ППД5[[#This Row],[Расчетная проектная площадь]]</f>
        <v>-9.9446122860020938E-3</v>
      </c>
      <c r="CZ573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-0.61000000000000654</v>
      </c>
      <c r="DA573" s="3">
        <f>ППД5[[#This Row],[Цена м2 без отделки со скидкой]]+ППД5[[#This Row],[Стоимость отделки]]</f>
        <v>108283.69838872105</v>
      </c>
      <c r="DB573" s="3">
        <f>ППД5[[#This Row],[Стоимость квартиры с отделкой]]-ППД5[[#This Row],[Стоимость ОН без отделки со скидкой]]</f>
        <v>0</v>
      </c>
      <c r="DC573" s="3">
        <f>ППД5[[#This Row],[Цена м2 с отделкой]]*ППД5[[#This Row],[Расчетная проектная площадь]]</f>
        <v>8602057</v>
      </c>
      <c r="DD573" s="3" t="s">
        <v>155</v>
      </c>
      <c r="DE573" s="111" t="s">
        <v>167</v>
      </c>
      <c r="DF573" s="155" t="s">
        <v>172</v>
      </c>
      <c r="DG573" s="245" t="s">
        <v>172</v>
      </c>
      <c r="DH573" s="100" t="b">
        <f>EXACT(ППД5[[#This Row],[Статусы CRM]],ППД5[[#This Row],[Статус]])</f>
        <v>1</v>
      </c>
      <c r="DI573" s="213" t="s">
        <v>745</v>
      </c>
      <c r="DJ573" s="204"/>
      <c r="DK573" s="111" t="s">
        <v>763</v>
      </c>
      <c r="DL573" s="216" t="s">
        <v>12</v>
      </c>
      <c r="DM573" s="201" t="b">
        <f>ППД5[[#This Row],[Отделка CRM]]=ППД5[[#This Row],[Отделка]]</f>
        <v>1</v>
      </c>
      <c r="DN573" s="203">
        <v>8602057</v>
      </c>
      <c r="DO573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73" s="207" t="b">
        <f>IF(AND(ППД5[[#This Row],[Статус]]="свободно",ППД5[[#This Row],[Итоговая сумма скидки]]&lt;&gt;0),FALSE,TRUE)</f>
        <v>1</v>
      </c>
      <c r="DQ573" s="240">
        <f>_xlfn.XLOOKUP(ППД5[[#This Row],[№]],Юрист[№ кв],Юрист[Дата подачи на регистрацию]," ",0,-1)</f>
        <v>45596</v>
      </c>
      <c r="DR573" s="115" t="str">
        <f>_xlfn.XLOOKUP(ППД5[[#This Row],[№]],Юрист[№ кв],Юрист[МОП],"",0,-1)</f>
        <v>Дик</v>
      </c>
      <c r="DS573" s="333" t="s">
        <v>3438</v>
      </c>
      <c r="DT573" s="333" t="s">
        <v>3439</v>
      </c>
      <c r="DU573" s="333">
        <v>73.2</v>
      </c>
      <c r="DV573" s="111"/>
    </row>
    <row r="574" spans="1:126" hidden="1" x14ac:dyDescent="0.25">
      <c r="A574" s="112">
        <v>572</v>
      </c>
      <c r="B574" s="111" t="s">
        <v>2</v>
      </c>
      <c r="C574" s="111">
        <v>23</v>
      </c>
      <c r="D574" s="115">
        <v>8</v>
      </c>
      <c r="E574" s="111">
        <v>1</v>
      </c>
      <c r="F574" s="105">
        <v>16.79</v>
      </c>
      <c r="G574" s="105"/>
      <c r="H574" s="105"/>
      <c r="I574" s="94">
        <f>SUM(ППД5[[#This Row],[Комната 1]:[Комната 3]])</f>
        <v>16.79</v>
      </c>
      <c r="J574" s="105">
        <v>11.43</v>
      </c>
      <c r="K574" s="105">
        <v>3.56</v>
      </c>
      <c r="L574" s="105"/>
      <c r="M574" s="105"/>
      <c r="N574" s="105">
        <v>6.66</v>
      </c>
      <c r="O574" s="105">
        <v>2.4900000000000002</v>
      </c>
      <c r="P574" s="105"/>
      <c r="Q574" s="105"/>
      <c r="R574" s="105">
        <f>SUM(ППД5[[#This Row],[Лоджия 1]:[Лоджия 3]])</f>
        <v>2.4900000000000002</v>
      </c>
      <c r="S574" s="8">
        <f>ROUND(SUM(ППД5[[#This Row],[Площадь по проекту жилая]:[Лоджия 3]]),2)</f>
        <v>40.93</v>
      </c>
      <c r="T574" s="8">
        <f>ROUND(ППД5[[#This Row],[Площадь по проекту(общая)]]-ППД5[[#This Row],[Летние]],2)</f>
        <v>38.44</v>
      </c>
      <c r="U574" s="91">
        <f>ROUND(ППД5[[#This Row],[Площадь по проекту(общая)]]-(SUM(ППД5[[#This Row],[Лоджия 1]:[Лоджия 3]])/2),2)</f>
        <v>39.69</v>
      </c>
      <c r="V574" s="91">
        <f>IF(ППД5[[#This Row],[Статус]]="продажа",ППД5[[#This Row],[Расчетная проектная площадь]],ППД5[[#This Row],[Расчетная ТП площадь]])</f>
        <v>39.400000000000006</v>
      </c>
      <c r="W574" s="91">
        <v>16.7</v>
      </c>
      <c r="X574" s="91"/>
      <c r="Y574" s="91"/>
      <c r="Z574" s="91">
        <f>SUM(ППД5[[#This Row],[ТП Комната 1]:[ТП Комната 3]])</f>
        <v>16.7</v>
      </c>
      <c r="AA574" s="91">
        <v>11.3</v>
      </c>
      <c r="AB574" s="91">
        <v>3.6</v>
      </c>
      <c r="AC574" s="91"/>
      <c r="AD574" s="91"/>
      <c r="AE574" s="91">
        <v>6.6</v>
      </c>
      <c r="AF574" s="91">
        <v>1.2</v>
      </c>
      <c r="AG574" s="91"/>
      <c r="AH574" s="91"/>
      <c r="AI574" s="91">
        <f>SUM(ППД5[[#This Row],[ТП Лоджия 1]:[ТП Лоджия 3]])</f>
        <v>1.2</v>
      </c>
      <c r="AJ574" s="95">
        <v>2.4</v>
      </c>
      <c r="AK574" s="91">
        <f>SUM(ППД5[[#This Row],[Площадь по ТП жилая]:[ТП Лоджия 3]])-ППД5[[#This Row],[ТП Летние]]+ППД5[[#This Row],[кроме того прочая
(без коэффициента)]]</f>
        <v>40.6</v>
      </c>
      <c r="AL574" s="95">
        <f>ППД5[[#This Row],[ТП Площадь без летних]]+(ППД5[[#This Row],[ТП Летние]])</f>
        <v>39.400000000000006</v>
      </c>
      <c r="AM574" s="91">
        <f>ППД5[[#This Row],[ТП общая S]]-ППД5[[#This Row],[кроме того прочая
(без коэффициента)]]</f>
        <v>38.200000000000003</v>
      </c>
      <c r="AN574" s="95">
        <f>SUM(ППД5[[#This Row],[ТП Кухня]:[ТП Коридор]])</f>
        <v>21.5</v>
      </c>
      <c r="AO574" s="91">
        <f>ППД5[[#This Row],[Расчетная ТП площадь]]-ППД5[[#This Row],[Расчетная проектная площадь]]</f>
        <v>-0.28999999999999204</v>
      </c>
      <c r="AP574" s="335">
        <f>ППД5[[#This Row],[Расчетная ТП площадь]]/ППД5[[#This Row],[Расчетная проектная площадь]]-1</f>
        <v>-7.3066263542451715E-3</v>
      </c>
      <c r="AQ574" s="91">
        <f>ППД5[[#This Row],[% расхождения]]*ППД5[[#This Row],[Стоимость до скидки]]</f>
        <v>-42472.688334591759</v>
      </c>
      <c r="AR574" s="91">
        <f>VLOOKUP(ППД5[[#This Row],[№]],наценкад5[],COLUMN(наценкад5[[#This Row],[Цена м2 с учетом всех K]]),0)</f>
        <v>92873.8125</v>
      </c>
      <c r="AS574" s="8">
        <f>ППД5[[#This Row],[м2 после К]]*5%</f>
        <v>4643.6906250000002</v>
      </c>
      <c r="AT574" s="8">
        <f>ППД5[[#This Row],[м2 после К]]+ППД5[[#This Row],[Повышение 16.08.23 - 5%]]</f>
        <v>97517.503125000003</v>
      </c>
      <c r="AU574" s="93">
        <f>ППД5[[#This Row],[Фикс 16.08.23]]*3%</f>
        <v>2925.52509375</v>
      </c>
      <c r="AV574" s="93">
        <f>ППД5[[#This Row],[Фикс 16.08.23]]+ППД5[[#This Row],[Повышение 29.08.23 - 3%]]</f>
        <v>100443.02821875</v>
      </c>
      <c r="AW574" s="93">
        <f>ППД5[[#This Row],[Фикс 29.08.23]]*4.5%</f>
        <v>4519.9362698437499</v>
      </c>
      <c r="AX574" s="93">
        <f>ППД5[[#This Row],[Фикс 29.08.23]]+ППД5[[#This Row],[Повышение 06.09.23 СТ и 1К]]</f>
        <v>104962.96448859375</v>
      </c>
      <c r="AY574" s="93"/>
      <c r="AZ574" s="93">
        <f>ППД5[[#This Row],[Повышение 23.10.23  В4 ]]+ППД5[[#This Row],[Фикс 06.09.23]]</f>
        <v>104962.96448859375</v>
      </c>
      <c r="BA574" s="93">
        <f>ППД5[[#This Row],[Фикс 23.10.23]]*5%</f>
        <v>5248.1482244296876</v>
      </c>
      <c r="BB574" s="93">
        <f>ППД5[[#This Row],[Повышение 8.11.23 1К 5%]]+ППД5[[#This Row],[Фикс 23.10.23]]</f>
        <v>110211.11271302344</v>
      </c>
      <c r="BC574" s="93"/>
      <c r="BD574" s="93">
        <f>ППД5[[#This Row],[Корректировка 24.11.23 - 1К В5, 2К А2, №233]]+ППД5[[#This Row],[Фикс 8.11.23]]</f>
        <v>110211.11271302344</v>
      </c>
      <c r="BE574" s="93">
        <f>ППД5[[#This Row],[Фикс 8.11.24]]*1%</f>
        <v>1102.1111271302343</v>
      </c>
      <c r="BF574" s="93">
        <f>ППД5[[#This Row],[Наценка за отделку 29.12.23 1%]]+ППД5[[#This Row],[Фикс 8.11.24]]</f>
        <v>111313.22384015367</v>
      </c>
      <c r="BG574" s="93">
        <f>ППД5[[#This Row],[Фикс 29.12.23]]*5%</f>
        <v>5565.6611920076839</v>
      </c>
      <c r="BH574" s="93">
        <f>ППД5[[#This Row],[Фикс 29.12.23]]+ППД5[[#This Row],[Наценка 10.01.24 5%]]</f>
        <v>116878.88503216136</v>
      </c>
      <c r="BI574" s="93"/>
      <c r="BJ574" s="93">
        <f>ППД5[[#This Row],[Наценка 26.02.24 1 Этаж]]+ППД5[[#This Row],[Фикс 10.01.24]]</f>
        <v>116878.88503216136</v>
      </c>
      <c r="BK574" s="93">
        <f>ППД5[[#This Row],[Фикс 26.02.24]]*3%</f>
        <v>3506.3665509648404</v>
      </c>
      <c r="BL574" s="93">
        <f>ППД5[[#This Row],[Фикс 26.02.24]]+ППД5[[#This Row],[Наценка 06.03.24
СТ, 1К - 3%
2К, 3К - 2%]]</f>
        <v>120385.2515831262</v>
      </c>
      <c r="BM574" s="93"/>
      <c r="BN574" s="93">
        <f>ППД5[[#This Row],[Фикс 06.03.24]]+ППД5[[#This Row],[Наценка Г2+500]]</f>
        <v>120385.2515831262</v>
      </c>
      <c r="BO574" s="93"/>
      <c r="BP574" s="93">
        <f>ППД5[[#This Row],[Фикс 13.03.25]]+ППД5[[#This Row],[Наценка 20.03.24
2К, 3К - 2%]]</f>
        <v>120385.2515831262</v>
      </c>
      <c r="BQ574" s="93"/>
      <c r="BR574" s="93">
        <f>ППД5[[#This Row],[Фикс 20.03.24]]+ППД5[[#This Row],[Наценка 08.04.24 
2К: В3 - 150
3К: Г7 +1000]]</f>
        <v>120385.2515831262</v>
      </c>
      <c r="BS574" s="93"/>
      <c r="BT574" s="93">
        <f>ППД5[[#This Row],[Фикс 08.04.24]]+ППД5[[#This Row],[Наценка 16.05.24 1%
А4,А6,Б3,Б6,Б7,В2,В3,В5,В6,Г1,Г3-Г5]]</f>
        <v>120385.2515831262</v>
      </c>
      <c r="BU574" s="93"/>
      <c r="BV574" s="93">
        <f>ППД5[[#This Row],[Фикс 16.05.24]]+ППД5[[#This Row],[Наценка 24.05.24
1% - Б4, Б5,Г2,Г6
2% - А1,А3,А5,Б2,Г7]]</f>
        <v>120385.2515831262</v>
      </c>
      <c r="BW574" s="93"/>
      <c r="BX574" s="93">
        <f>ППД5[[#This Row],[Наценка 06.06.24
0К: В2,Г3 +0,5%
1К: А7, Б5/4, Г6 +0,5%
3К: В6 +0,5%
1К: А3 +1%]]+ППД5[[#This Row],[Фикс 24.05.24]]</f>
        <v>120385.2515831262</v>
      </c>
      <c r="BY574" s="93"/>
      <c r="BZ574" s="93">
        <f>ППД5[[#This Row],[Фикс 06.06.24]]+ППД5[[#This Row],[13.06.2024
3К - 2%]]</f>
        <v>120385.2515831262</v>
      </c>
      <c r="CA574" s="93">
        <f>0.5%*ППД5[[#This Row],[Фикс 13.06.24]]</f>
        <v>601.92625791563103</v>
      </c>
      <c r="CB574" s="93">
        <f>ППД5[[#This Row],[02.07.2024: Г3 А1 А3 Б5 Б7 Г2 Г6 Б3 Б4 В3 Г7 2,5% ост 0,5-1,5%]]+ППД5[[#This Row],[Фикс 13.06.24]]</f>
        <v>120987.17784104183</v>
      </c>
      <c r="CC574" s="93"/>
      <c r="CD574" s="93">
        <f>ППД5[[#This Row],[Фикс 02.07.24]]+ППД5[[#This Row],[04.09.2024 +500
0К - Б2; 1К - А3;
2К - А6, Б4, В3, Г5]]</f>
        <v>120987.17784104183</v>
      </c>
      <c r="CE574" s="93">
        <f>ППД5[[#This Row],[Фикс 04.09.24]]*2%</f>
        <v>2419.7435568208366</v>
      </c>
      <c r="CF574" s="93">
        <f>ППД5[[#This Row],[Наценка 16.09.2024
1К: А1,В7,Г6/7,Г8 - 2%
2К: А4,А5,А6,Б1,Б6,Б3/4,В3,В4,Г4,Г5 - 4%
3К: 4%]]+ППД5[[#This Row],[Фикс 04.09.24]]</f>
        <v>123406.92139786266</v>
      </c>
      <c r="CG574" s="93">
        <f>ППД5[[#This Row],[Фикс 16.09.2024]]*5%</f>
        <v>6170.346069893134</v>
      </c>
      <c r="CH574" s="93">
        <f>ППД5[[#This Row],[Фикс 16.09.2024]]+ППД5[[#This Row],[Наценка 01.11.24
СТ: 4%
1К: 34-40м 5%; 40м+ 8%; МГН 1%
2К: 55-70м 6%; 70-73м 7%; 73-76м 8% 
3К: 5%]]</f>
        <v>129577.2674677558</v>
      </c>
      <c r="CI574" s="93">
        <f>ППД5[[#This Row],[Фикс 01.11.24]]*13%</f>
        <v>16845.044770808254</v>
      </c>
      <c r="CJ574" s="93">
        <f>ППД5[[#This Row],[Наценка 06.11 13%]]+ППД5[[#This Row],[Фикс 01.11.24]]</f>
        <v>146422.31223856405</v>
      </c>
      <c r="CK574" s="93">
        <v>35</v>
      </c>
      <c r="CL574" s="93">
        <f>ППД5[[#This Row],[Фикс 06.11.24]]+ППД5[[#This Row],[Наценка 18.12.24 распределение КВ]]</f>
        <v>146457.31223856405</v>
      </c>
      <c r="CM574" s="93"/>
      <c r="CN574" s="93">
        <f>ППД5[[#This Row],[Фикс 18.12.24]]+ППД5[[#This Row],[Наценка 10.02.25 +1%
1К: А3
2К: Б3, В3]]</f>
        <v>146457.31223856405</v>
      </c>
      <c r="CO574" s="93">
        <f>ROUND(ППД5[[#This Row],[Фикс 10.02.25]],2)</f>
        <v>146457.31</v>
      </c>
      <c r="CP574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5812900</v>
      </c>
      <c r="CQ574" s="93">
        <f>ROUNDUP(ППД5[[#This Row],[Стоимость до скидки]]+ППД5[[#This Row],[Сумма доплаты]],-2)</f>
        <v>5770500</v>
      </c>
      <c r="CR574" s="68"/>
      <c r="CS574" s="90"/>
      <c r="CT574" s="68">
        <f>ППД5[[#This Row],[Стоимость до скидки]]*ППД5[[#This Row],[Скидка %]]+ППД5[[#This Row],[Скидка фиксированная]]</f>
        <v>0</v>
      </c>
      <c r="CU574" s="3">
        <f>ППД5[[#This Row],[Стоимость ОН без отделки со скидкой]]/ППД5[[#This Row],[Расчетная проектная площадь]]</f>
        <v>146457.54598135551</v>
      </c>
      <c r="CV574" s="3">
        <f>ROUND(ППД5[[#This Row],[Стоимость до скидки]]-ППД5[[#This Row],[Итоговая сумма скидки]],2)</f>
        <v>5812900</v>
      </c>
      <c r="CW574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574" s="218">
        <v>10000</v>
      </c>
      <c r="CY574" s="332">
        <f>ППД5[[#This Row],[Расхождение]]/ППД5[[#This Row],[Расчетная проектная площадь]]</f>
        <v>-7.3066263542452018E-3</v>
      </c>
      <c r="CZ574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-0.15000000000000036</v>
      </c>
      <c r="DA574" s="3">
        <f>ППД5[[#This Row],[Цена м2 без отделки со скидкой]]+ППД5[[#This Row],[Стоимость отделки]]</f>
        <v>156457.54598135551</v>
      </c>
      <c r="DB574" s="3">
        <f>ППД5[[#This Row],[Стоимость квартиры с отделкой]]-ППД5[[#This Row],[Стоимость ОН без отделки со скидкой]]</f>
        <v>396900</v>
      </c>
      <c r="DC574" s="3">
        <f>ППД5[[#This Row],[Цена м2 с отделкой]]*ППД5[[#This Row],[Расчетная проектная площадь]]</f>
        <v>6209800</v>
      </c>
      <c r="DD574" s="47"/>
      <c r="DF574" s="155" t="s">
        <v>157</v>
      </c>
      <c r="DG574" s="221" t="s">
        <v>157</v>
      </c>
      <c r="DH574" s="100" t="b">
        <f>EXACT(ППД5[[#This Row],[Статусы CRM]],ППД5[[#This Row],[Статус]])</f>
        <v>1</v>
      </c>
      <c r="DI574" s="213" t="s">
        <v>746</v>
      </c>
      <c r="DJ574" s="204"/>
      <c r="DK574" s="111" t="s">
        <v>763</v>
      </c>
      <c r="DL574" s="216" t="s">
        <v>780</v>
      </c>
      <c r="DM574" s="201" t="b">
        <f>ППД5[[#This Row],[Отделка CRM]]=ППД5[[#This Row],[Отделка]]</f>
        <v>1</v>
      </c>
      <c r="DN574" s="203">
        <v>6209800</v>
      </c>
      <c r="DO574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74" s="207" t="b">
        <f>IF(AND(ППД5[[#This Row],[Статус]]="свободно",ППД5[[#This Row],[Итоговая сумма скидки]]&lt;&gt;0),FALSE,TRUE)</f>
        <v>1</v>
      </c>
      <c r="DQ574" s="240" t="str">
        <f>_xlfn.XLOOKUP(ППД5[[#This Row],[№]],Юрист[№ кв],Юрист[Дата подачи на регистрацию]," ",0,-1)</f>
        <v xml:space="preserve"> </v>
      </c>
      <c r="DR574" s="115" t="str">
        <f>_xlfn.XLOOKUP(ППД5[[#This Row],[№]],Юрист[№ кв],Юрист[МОП],"",0,-1)</f>
        <v/>
      </c>
      <c r="DS574" s="333" t="s">
        <v>3440</v>
      </c>
      <c r="DT574" s="333" t="s">
        <v>3441</v>
      </c>
      <c r="DU574" s="333">
        <v>38.200000000000003</v>
      </c>
      <c r="DV574" s="111"/>
    </row>
    <row r="575" spans="1:126" hidden="1" x14ac:dyDescent="0.25">
      <c r="A575" s="112">
        <v>573</v>
      </c>
      <c r="B575" s="111" t="s">
        <v>2</v>
      </c>
      <c r="C575" s="111">
        <v>24</v>
      </c>
      <c r="D575" s="338">
        <v>1</v>
      </c>
      <c r="E575" s="111">
        <v>0</v>
      </c>
      <c r="F575" s="105">
        <v>13.74</v>
      </c>
      <c r="G575" s="105"/>
      <c r="H575" s="105"/>
      <c r="I575" s="94">
        <f>SUM(ППД5[[#This Row],[Комната 1]:[Комната 3]])</f>
        <v>13.74</v>
      </c>
      <c r="J575" s="105">
        <v>5.84</v>
      </c>
      <c r="K575" s="105">
        <v>3.76</v>
      </c>
      <c r="L575" s="105"/>
      <c r="M575" s="105"/>
      <c r="N575" s="105">
        <v>3.73</v>
      </c>
      <c r="O575" s="105">
        <v>4.6500000000000004</v>
      </c>
      <c r="P575" s="105"/>
      <c r="Q575" s="105"/>
      <c r="R575" s="105">
        <f>SUM(ППД5[[#This Row],[Лоджия 1]:[Лоджия 3]])</f>
        <v>4.6500000000000004</v>
      </c>
      <c r="S575" s="8">
        <f>ROUND(SUM(ППД5[[#This Row],[Площадь по проекту жилая]:[Лоджия 3]]),2)</f>
        <v>31.72</v>
      </c>
      <c r="T575" s="8">
        <f>ROUND(ППД5[[#This Row],[Площадь по проекту(общая)]]-ППД5[[#This Row],[Летние]],2)</f>
        <v>27.07</v>
      </c>
      <c r="U575" s="91">
        <f>ROUND(ППД5[[#This Row],[Площадь по проекту(общая)]]-(SUM(ППД5[[#This Row],[Лоджия 1]:[Лоджия 3]])/2),2)</f>
        <v>29.4</v>
      </c>
      <c r="V575" s="91">
        <f>IF(ППД5[[#This Row],[Статус]]="продажа",ППД5[[#This Row],[Расчетная проектная площадь]],ППД5[[#This Row],[Расчетная ТП площадь]])</f>
        <v>29.4</v>
      </c>
      <c r="W575" s="91">
        <v>13.7</v>
      </c>
      <c r="X575" s="91"/>
      <c r="Y575" s="91"/>
      <c r="Z575" s="91">
        <f>SUM(ППД5[[#This Row],[ТП Комната 1]:[ТП Комната 3]])</f>
        <v>13.7</v>
      </c>
      <c r="AA575" s="91">
        <v>5.8</v>
      </c>
      <c r="AB575" s="91">
        <v>3.8</v>
      </c>
      <c r="AC575" s="91"/>
      <c r="AD575" s="91"/>
      <c r="AE575" s="91">
        <v>3.7</v>
      </c>
      <c r="AF575" s="91">
        <v>2.2999999999999998</v>
      </c>
      <c r="AG575" s="91"/>
      <c r="AH575" s="91"/>
      <c r="AI575" s="91">
        <f>SUM(ППД5[[#This Row],[ТП Лоджия 1]:[ТП Лоджия 3]])</f>
        <v>2.2999999999999998</v>
      </c>
      <c r="AJ575" s="95">
        <v>4.5999999999999996</v>
      </c>
      <c r="AK575" s="91">
        <f>SUM(ППД5[[#This Row],[Площадь по ТП жилая]:[ТП Лоджия 3]])-ППД5[[#This Row],[ТП Летние]]+ППД5[[#This Row],[кроме того прочая
(без коэффициента)]]</f>
        <v>31.6</v>
      </c>
      <c r="AL575" s="95">
        <f>ППД5[[#This Row],[ТП Площадь без летних]]+(ППД5[[#This Row],[ТП Летние]])</f>
        <v>29.3</v>
      </c>
      <c r="AM575" s="91">
        <f>ППД5[[#This Row],[ТП общая S]]-ППД5[[#This Row],[кроме того прочая
(без коэффициента)]]</f>
        <v>27</v>
      </c>
      <c r="AN575" s="95">
        <f>SUM(ППД5[[#This Row],[ТП Кухня]:[ТП Коридор]])</f>
        <v>13.3</v>
      </c>
      <c r="AO575" s="91">
        <f>ППД5[[#This Row],[Расчетная ТП площадь]]-ППД5[[#This Row],[Расчетная проектная площадь]]</f>
        <v>-9.9999999999997868E-2</v>
      </c>
      <c r="AP575" s="335">
        <f>ППД5[[#This Row],[Расчетная ТП площадь]]/ППД5[[#This Row],[Расчетная проектная площадь]]-1</f>
        <v>-3.4013605442175798E-3</v>
      </c>
      <c r="AQ575" s="91">
        <f>ППД5[[#This Row],[% расхождения]]*ППД5[[#This Row],[Стоимость до скидки]]</f>
        <v>-12720.408163264905</v>
      </c>
      <c r="AR575" s="91">
        <f>VLOOKUP(ППД5[[#This Row],[№]],наценкад5[],COLUMN(наценкад5[[#This Row],[Цена м2 с учетом всех K]]),0)</f>
        <v>96361.65</v>
      </c>
      <c r="AS575" s="8">
        <f>ППД5[[#This Row],[м2 после К]]*5%</f>
        <v>4818.0824999999995</v>
      </c>
      <c r="AT575" s="8">
        <f>ППД5[[#This Row],[м2 после К]]+ППД5[[#This Row],[Повышение 16.08.23 - 5%]]</f>
        <v>101179.7325</v>
      </c>
      <c r="AU575" s="93">
        <f>ППД5[[#This Row],[Фикс 16.08.23]]*3%</f>
        <v>3035.391975</v>
      </c>
      <c r="AV575" s="93">
        <f>ППД5[[#This Row],[Фикс 16.08.23]]+ППД5[[#This Row],[Повышение 29.08.23 - 3%]]</f>
        <v>104215.124475</v>
      </c>
      <c r="AW575" s="93">
        <f>ППД5[[#This Row],[Фикс 29.08.23]]*9%</f>
        <v>9379.3612027500003</v>
      </c>
      <c r="AX575" s="93">
        <f>ППД5[[#This Row],[Фикс 29.08.23]]+ППД5[[#This Row],[Повышение 06.09.23 СТ и 1К]]</f>
        <v>113594.48567775001</v>
      </c>
      <c r="AY575" s="93"/>
      <c r="AZ575" s="93">
        <f>ППД5[[#This Row],[Повышение 23.10.23  В4 ]]+ППД5[[#This Row],[Фикс 06.09.23]]</f>
        <v>113594.48567775001</v>
      </c>
      <c r="BA575" s="93"/>
      <c r="BB575" s="93">
        <f>ППД5[[#This Row],[Повышение 8.11.23 1К 5%]]+ППД5[[#This Row],[Фикс 23.10.23]]</f>
        <v>113594.48567775001</v>
      </c>
      <c r="BC575" s="93"/>
      <c r="BD575" s="93">
        <f>ППД5[[#This Row],[Корректировка 24.11.23 - 1К В5, 2К А2, №233]]+ППД5[[#This Row],[Фикс 8.11.23]]</f>
        <v>113594.48567775001</v>
      </c>
      <c r="BE575" s="93">
        <f>ППД5[[#This Row],[Фикс 8.11.24]]*1%</f>
        <v>1135.9448567775</v>
      </c>
      <c r="BF575" s="93">
        <f>ППД5[[#This Row],[Наценка за отделку 29.12.23 1%]]+ППД5[[#This Row],[Фикс 8.11.24]]</f>
        <v>114730.43053452751</v>
      </c>
      <c r="BG575" s="93">
        <f>ППД5[[#This Row],[Фикс 29.12.23]]*5%</f>
        <v>5736.5215267263757</v>
      </c>
      <c r="BH575" s="93">
        <f>ППД5[[#This Row],[Фикс 29.12.23]]+ППД5[[#This Row],[Наценка 10.01.24 5%]]</f>
        <v>120466.95206125388</v>
      </c>
      <c r="BI575" s="93"/>
      <c r="BJ575" s="93">
        <f>ППД5[[#This Row],[Наценка 26.02.24 1 Этаж]]+ППД5[[#This Row],[Фикс 10.01.24]]</f>
        <v>120466.95206125388</v>
      </c>
      <c r="BK575" s="93">
        <f>ППД5[[#This Row],[Фикс 26.02.24]]*3%</f>
        <v>3614.0085618376161</v>
      </c>
      <c r="BL575" s="93">
        <f>ППД5[[#This Row],[Фикс 26.02.24]]+ППД5[[#This Row],[Наценка 06.03.24
СТ, 1К - 3%
2К, 3К - 2%]]</f>
        <v>124080.96062309149</v>
      </c>
      <c r="BM575" s="93"/>
      <c r="BN575" s="93">
        <f>ППД5[[#This Row],[Фикс 06.03.24]]+ППД5[[#This Row],[Наценка Г2+500]]</f>
        <v>124080.96062309149</v>
      </c>
      <c r="BO575" s="93"/>
      <c r="BP575" s="93">
        <f>ППД5[[#This Row],[Фикс 13.03.25]]+ППД5[[#This Row],[Наценка 20.03.24
2К, 3К - 2%]]</f>
        <v>124080.96062309149</v>
      </c>
      <c r="BQ575" s="93"/>
      <c r="BR575" s="93">
        <f>ППД5[[#This Row],[Фикс 20.03.24]]+ППД5[[#This Row],[Наценка 08.04.24 
2К: В3 - 150
3К: Г7 +1000]]</f>
        <v>124080.96062309149</v>
      </c>
      <c r="BS575" s="93">
        <f>ППД5[[#This Row],[Фикс 08.04.24]]*1%</f>
        <v>1240.8096062309151</v>
      </c>
      <c r="BT575" s="93">
        <f>ППД5[[#This Row],[Фикс 08.04.24]]+ППД5[[#This Row],[Наценка 16.05.24 1%
А4,А6,Б3,Б6,Б7,В2,В3,В5,В6,Г1,Г3-Г5]]</f>
        <v>125321.77022932241</v>
      </c>
      <c r="BU575" s="93"/>
      <c r="BV575" s="93">
        <f>ППД5[[#This Row],[Фикс 16.05.24]]+ППД5[[#This Row],[Наценка 24.05.24
1% - Б4, Б5,Г2,Г6
2% - А1,А3,А5,Б2,Г7]]</f>
        <v>125321.77022932241</v>
      </c>
      <c r="BW575" s="93"/>
      <c r="BX575" s="93">
        <f>ППД5[[#This Row],[Наценка 06.06.24
0К: В2,Г3 +0,5%
1К: А7, Б5/4, Г6 +0,5%
3К: В6 +0,5%
1К: А3 +1%]]+ППД5[[#This Row],[Фикс 24.05.24]]</f>
        <v>125321.77022932241</v>
      </c>
      <c r="BY575" s="93"/>
      <c r="BZ575" s="93">
        <f>ППД5[[#This Row],[Фикс 06.06.24]]+ППД5[[#This Row],[13.06.2024
3К - 2%]]</f>
        <v>125321.77022932241</v>
      </c>
      <c r="CA575" s="93">
        <f>1.5%*ППД5[[#This Row],[Фикс 13.06.24]]</f>
        <v>1879.8265534398361</v>
      </c>
      <c r="CB575" s="93">
        <f>ППД5[[#This Row],[02.07.2024: Г3 А1 А3 Б5 Б7 Г2 Г6 Б3 Б4 В3 Г7 2,5% ост 0,5-1,5%]]+ППД5[[#This Row],[Фикс 13.06.24]]</f>
        <v>127201.59678276225</v>
      </c>
      <c r="CC575" s="93"/>
      <c r="CD575" s="93">
        <f>ППД5[[#This Row],[Фикс 02.07.24]]+ППД5[[#This Row],[04.09.2024 +500
0К - Б2; 1К - А3;
2К - А6, Б4, В3, Г5]]</f>
        <v>127201.59678276225</v>
      </c>
      <c r="CE575" s="93"/>
      <c r="CF575" s="93">
        <f>ППД5[[#This Row],[Наценка 16.09.2024
1К: А1,В7,Г6/7,Г8 - 2%
2К: А4,А5,А6,Б1,Б6,Б3/4,В3,В4,Г4,Г5 - 4%
3К: 4%]]+ППД5[[#This Row],[Фикс 04.09.24]]</f>
        <v>127201.59678276225</v>
      </c>
      <c r="CG575" s="93"/>
      <c r="CH575" s="93">
        <f>ППД5[[#This Row],[Фикс 16.09.2024]]+ППД5[[#This Row],[Наценка 01.11.24
СТ: 4%
1К: 34-40м 5%; 40м+ 8%; МГН 1%
2К: 55-70м 6%; 70-73м 7%; 73-76м 8% 
3К: 5%]]</f>
        <v>127201.59678276225</v>
      </c>
      <c r="CI575" s="93"/>
      <c r="CJ575" s="93">
        <f>ППД5[[#This Row],[Наценка 06.11 13%]]+ППД5[[#This Row],[Фикс 01.11.24]]</f>
        <v>127201.59678276225</v>
      </c>
      <c r="CK575" s="93"/>
      <c r="CL575" s="93">
        <f>ППД5[[#This Row],[Фикс 06.11.24]]+ППД5[[#This Row],[Наценка 18.12.24 распределение КВ]]</f>
        <v>127201.59678276225</v>
      </c>
      <c r="CM575" s="93"/>
      <c r="CN575" s="93">
        <f>ППД5[[#This Row],[Фикс 18.12.24]]+ППД5[[#This Row],[Наценка 10.02.25 +1%
1К: А3
2К: Б3, В3]]</f>
        <v>127201.59678276225</v>
      </c>
      <c r="CO575" s="93">
        <f>ROUND(ППД5[[#This Row],[Фикс 10.02.25]],2)</f>
        <v>127201.60000000001</v>
      </c>
      <c r="CP575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3739800</v>
      </c>
      <c r="CQ575" s="93">
        <f>ROUNDUP(ППД5[[#This Row],[Стоимость до скидки]]+ППД5[[#This Row],[Сумма доплаты]],-2)</f>
        <v>3727100</v>
      </c>
      <c r="CR575" s="68"/>
      <c r="CS575" s="90"/>
      <c r="CT575" s="68">
        <f>ППД5[[#This Row],[Стоимость до скидки]]*ППД5[[#This Row],[Скидка %]]+ППД5[[#This Row],[Скидка фиксированная]]</f>
        <v>0</v>
      </c>
      <c r="CU575" s="3">
        <f>ППД5[[#This Row],[Стоимость ОН без отделки со скидкой]]/ППД5[[#This Row],[Расчетная проектная площадь]]</f>
        <v>127204.08163265306</v>
      </c>
      <c r="CV575" s="3">
        <f>ROUND(ППД5[[#This Row],[Стоимость до скидки]]-ППД5[[#This Row],[Итоговая сумма скидки]],2)</f>
        <v>3739800</v>
      </c>
      <c r="CW575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575" s="218">
        <v>20000</v>
      </c>
      <c r="CY575" s="332">
        <f>ППД5[[#This Row],[Расхождение]]/ППД5[[#This Row],[Расчетная проектная площадь]]</f>
        <v>-3.4013605442176145E-3</v>
      </c>
      <c r="CZ575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-2.9999999999999361E-2</v>
      </c>
      <c r="DA575" s="3">
        <f>ППД5[[#This Row],[Цена м2 без отделки со скидкой]]+ППД5[[#This Row],[Стоимость отделки]]</f>
        <v>147204.08163265308</v>
      </c>
      <c r="DB575" s="3">
        <f>ППД5[[#This Row],[Стоимость квартиры с отделкой]]-ППД5[[#This Row],[Стоимость ОН без отделки со скидкой]]</f>
        <v>588000</v>
      </c>
      <c r="DC575" s="3">
        <f>ППД5[[#This Row],[Цена м2 с отделкой]]*ППД5[[#This Row],[Расчетная проектная площадь]]</f>
        <v>4327800</v>
      </c>
      <c r="DD575" s="47"/>
      <c r="DF575" s="155" t="s">
        <v>172</v>
      </c>
      <c r="DG575" s="245" t="s">
        <v>172</v>
      </c>
      <c r="DH575" s="100" t="b">
        <f>EXACT(ППД5[[#This Row],[Статусы CRM]],ППД5[[#This Row],[Статус]])</f>
        <v>1</v>
      </c>
      <c r="DI575" s="213" t="s">
        <v>747</v>
      </c>
      <c r="DJ575" s="204"/>
      <c r="DK575" s="111" t="s">
        <v>763</v>
      </c>
      <c r="DL575" s="216" t="s">
        <v>14</v>
      </c>
      <c r="DM575" s="201" t="b">
        <f>ППД5[[#This Row],[Отделка CRM]]=ППД5[[#This Row],[Отделка]]</f>
        <v>1</v>
      </c>
      <c r="DN575" s="203">
        <v>4327800</v>
      </c>
      <c r="DO575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75" s="207" t="b">
        <f>IF(AND(ППД5[[#This Row],[Статус]]="свободно",ППД5[[#This Row],[Итоговая сумма скидки]]&lt;&gt;0),FALSE,TRUE)</f>
        <v>1</v>
      </c>
      <c r="DQ575" s="240">
        <f>_xlfn.XLOOKUP(ППД5[[#This Row],[№]],Юрист[№ кв],Юрист[Дата подачи на регистрацию]," ",0,-1)</f>
        <v>45568</v>
      </c>
      <c r="DR575" s="115" t="str">
        <f>_xlfn.XLOOKUP(ППД5[[#This Row],[№]],Юрист[№ кв],Юрист[МОП],"",0,-1)</f>
        <v>Дик</v>
      </c>
      <c r="DS575" s="333" t="s">
        <v>3442</v>
      </c>
      <c r="DT575" s="333" t="s">
        <v>3443</v>
      </c>
      <c r="DU575" s="333">
        <v>27</v>
      </c>
      <c r="DV575" s="111"/>
    </row>
    <row r="576" spans="1:126" hidden="1" x14ac:dyDescent="0.25">
      <c r="A576" s="112">
        <v>574</v>
      </c>
      <c r="B576" s="111" t="s">
        <v>2</v>
      </c>
      <c r="C576" s="111">
        <v>24</v>
      </c>
      <c r="D576" s="115">
        <v>2</v>
      </c>
      <c r="E576" s="111">
        <v>1</v>
      </c>
      <c r="F576" s="105">
        <v>13.17</v>
      </c>
      <c r="G576" s="105"/>
      <c r="H576" s="105"/>
      <c r="I576" s="94">
        <f>SUM(ППД5[[#This Row],[Комната 1]:[Комната 3]])</f>
        <v>13.17</v>
      </c>
      <c r="J576" s="105">
        <v>16.940000000000001</v>
      </c>
      <c r="K576" s="105">
        <v>3.55</v>
      </c>
      <c r="L576" s="105">
        <v>2.41</v>
      </c>
      <c r="M576" s="105"/>
      <c r="N576" s="105">
        <v>5.8</v>
      </c>
      <c r="O576" s="105">
        <v>2.68</v>
      </c>
      <c r="P576" s="105"/>
      <c r="Q576" s="105"/>
      <c r="R576" s="105">
        <f>SUM(ППД5[[#This Row],[Лоджия 1]:[Лоджия 3]])</f>
        <v>2.68</v>
      </c>
      <c r="S576" s="8">
        <f>ROUND(SUM(ППД5[[#This Row],[Площадь по проекту жилая]:[Лоджия 3]]),2)</f>
        <v>44.55</v>
      </c>
      <c r="T576" s="8">
        <f>ROUND(ППД5[[#This Row],[Площадь по проекту(общая)]]-ППД5[[#This Row],[Летние]],2)</f>
        <v>41.87</v>
      </c>
      <c r="U576" s="91">
        <f>ROUND(ППД5[[#This Row],[Площадь по проекту(общая)]]-(SUM(ППД5[[#This Row],[Лоджия 1]:[Лоджия 3]])/2),2)</f>
        <v>43.21</v>
      </c>
      <c r="V576" s="91">
        <f>IF(ППД5[[#This Row],[Статус]]="продажа",ППД5[[#This Row],[Расчетная проектная площадь]],ППД5[[#This Row],[Расчетная ТП площадь]])</f>
        <v>42.25</v>
      </c>
      <c r="W576" s="91">
        <v>13</v>
      </c>
      <c r="X576" s="91"/>
      <c r="Y576" s="91"/>
      <c r="Z576" s="91">
        <f>SUM(ППД5[[#This Row],[ТП Комната 1]:[ТП Комната 3]])</f>
        <v>13</v>
      </c>
      <c r="AA576" s="91">
        <v>16.7</v>
      </c>
      <c r="AB576" s="91">
        <v>2.1</v>
      </c>
      <c r="AC576" s="91">
        <v>3.3</v>
      </c>
      <c r="AD576" s="91"/>
      <c r="AE576" s="91">
        <v>5.8</v>
      </c>
      <c r="AF576" s="91">
        <v>1.35</v>
      </c>
      <c r="AG576" s="91"/>
      <c r="AH576" s="91"/>
      <c r="AI576" s="91">
        <f>SUM(ППД5[[#This Row],[ТП Лоджия 1]:[ТП Лоджия 3]])</f>
        <v>1.35</v>
      </c>
      <c r="AJ576" s="95">
        <v>2.7</v>
      </c>
      <c r="AK576" s="91">
        <f>SUM(ППД5[[#This Row],[Площадь по ТП жилая]:[ТП Лоджия 3]])-ППД5[[#This Row],[ТП Летние]]+ППД5[[#This Row],[кроме того прочая
(без коэффициента)]]</f>
        <v>43.6</v>
      </c>
      <c r="AL576" s="95">
        <f>ППД5[[#This Row],[ТП Площадь без летних]]+(ППД5[[#This Row],[ТП Летние]])</f>
        <v>42.25</v>
      </c>
      <c r="AM576" s="91">
        <f>ППД5[[#This Row],[ТП общая S]]-ППД5[[#This Row],[кроме того прочая
(без коэффициента)]]</f>
        <v>40.9</v>
      </c>
      <c r="AN576" s="95">
        <f>SUM(ППД5[[#This Row],[ТП Кухня]:[ТП Коридор]])</f>
        <v>27.900000000000002</v>
      </c>
      <c r="AO576" s="91">
        <f>ППД5[[#This Row],[Расчетная ТП площадь]]-ППД5[[#This Row],[Расчетная проектная площадь]]</f>
        <v>-0.96000000000000085</v>
      </c>
      <c r="AP576" s="335">
        <f>ППД5[[#This Row],[Расчетная ТП площадь]]/ППД5[[#This Row],[Расчетная проектная площадь]]-1</f>
        <v>-2.2217079379773241E-2</v>
      </c>
      <c r="AQ576" s="91">
        <f>ППД5[[#This Row],[% расхождения]]*ППД5[[#This Row],[Стоимость до скидки]]</f>
        <v>-139914.27910205995</v>
      </c>
      <c r="AR576" s="91">
        <f>VLOOKUP(ППД5[[#This Row],[№]],наценкад5[],COLUMN(наценкад5[[#This Row],[Цена м2 с учетом всех K]]),0)</f>
        <v>91657.125</v>
      </c>
      <c r="AS576" s="8">
        <f>ППД5[[#This Row],[м2 после К]]*5%</f>
        <v>4582.8562499999998</v>
      </c>
      <c r="AT576" s="8">
        <f>ППД5[[#This Row],[м2 после К]]+ППД5[[#This Row],[Повышение 16.08.23 - 5%]]</f>
        <v>96239.981249999997</v>
      </c>
      <c r="AU576" s="93">
        <f>ППД5[[#This Row],[Фикс 16.08.23]]*3%</f>
        <v>2887.1994374999999</v>
      </c>
      <c r="AV576" s="93">
        <f>ППД5[[#This Row],[Фикс 16.08.23]]+ППД5[[#This Row],[Повышение 29.08.23 - 3%]]</f>
        <v>99127.180687500004</v>
      </c>
      <c r="AW576" s="93">
        <f>ППД5[[#This Row],[Фикс 29.08.23]]*1%</f>
        <v>991.27180687500004</v>
      </c>
      <c r="AX576" s="93">
        <f>ППД5[[#This Row],[Фикс 29.08.23]]+ППД5[[#This Row],[Повышение 06.09.23 СТ и 1К]]</f>
        <v>100118.452494375</v>
      </c>
      <c r="AY576" s="93"/>
      <c r="AZ576" s="93">
        <f>ППД5[[#This Row],[Повышение 23.10.23  В4 ]]+ППД5[[#This Row],[Фикс 06.09.23]]</f>
        <v>100118.452494375</v>
      </c>
      <c r="BA576" s="93">
        <f>ППД5[[#This Row],[Фикс 23.10.23]]*5%</f>
        <v>5005.9226247187507</v>
      </c>
      <c r="BB576" s="93">
        <f>ППД5[[#This Row],[Повышение 8.11.23 1К 5%]]+ППД5[[#This Row],[Фикс 23.10.23]]</f>
        <v>105124.37511909375</v>
      </c>
      <c r="BC576" s="93"/>
      <c r="BD576" s="93">
        <f>ППД5[[#This Row],[Корректировка 24.11.23 - 1К В5, 2К А2, №233]]+ППД5[[#This Row],[Фикс 8.11.23]]</f>
        <v>105124.37511909375</v>
      </c>
      <c r="BE576" s="93">
        <f>ППД5[[#This Row],[Фикс 8.11.24]]*1%</f>
        <v>1051.2437511909375</v>
      </c>
      <c r="BF576" s="93">
        <f>ППД5[[#This Row],[Наценка за отделку 29.12.23 1%]]+ППД5[[#This Row],[Фикс 8.11.24]]</f>
        <v>106175.61887028468</v>
      </c>
      <c r="BG576" s="93">
        <f>ППД5[[#This Row],[Фикс 29.12.23]]*5%</f>
        <v>5308.7809435142344</v>
      </c>
      <c r="BH576" s="93">
        <f>ППД5[[#This Row],[Фикс 29.12.23]]+ППД5[[#This Row],[Наценка 10.01.24 5%]]</f>
        <v>111484.39981379893</v>
      </c>
      <c r="BI576" s="93"/>
      <c r="BJ576" s="93">
        <f>ППД5[[#This Row],[Наценка 26.02.24 1 Этаж]]+ППД5[[#This Row],[Фикс 10.01.24]]</f>
        <v>111484.39981379893</v>
      </c>
      <c r="BK576" s="93">
        <f>ППД5[[#This Row],[Фикс 26.02.24]]*3%</f>
        <v>3344.5319944139678</v>
      </c>
      <c r="BL576" s="93">
        <f>ППД5[[#This Row],[Фикс 26.02.24]]+ППД5[[#This Row],[Наценка 06.03.24
СТ, 1К - 3%
2К, 3К - 2%]]</f>
        <v>114828.93180821289</v>
      </c>
      <c r="BM576" s="93">
        <v>500</v>
      </c>
      <c r="BN576" s="93">
        <f>ППД5[[#This Row],[Фикс 06.03.24]]+ППД5[[#This Row],[Наценка Г2+500]]</f>
        <v>115328.93180821289</v>
      </c>
      <c r="BO576" s="93"/>
      <c r="BP576" s="93">
        <f>ППД5[[#This Row],[Фикс 13.03.25]]+ППД5[[#This Row],[Наценка 20.03.24
2К, 3К - 2%]]</f>
        <v>115328.93180821289</v>
      </c>
      <c r="BQ576" s="93"/>
      <c r="BR576" s="93">
        <f>ППД5[[#This Row],[Фикс 20.03.24]]+ППД5[[#This Row],[Наценка 08.04.24 
2К: В3 - 150
3К: Г7 +1000]]</f>
        <v>115328.93180821289</v>
      </c>
      <c r="BS576" s="93"/>
      <c r="BT576" s="93">
        <f>ППД5[[#This Row],[Фикс 08.04.24]]+ППД5[[#This Row],[Наценка 16.05.24 1%
А4,А6,Б3,Б6,Б7,В2,В3,В5,В6,Г1,Г3-Г5]]</f>
        <v>115328.93180821289</v>
      </c>
      <c r="BU576" s="93">
        <f>ППД5[[#This Row],[Фикс 16.05.24]]*1%</f>
        <v>1153.2893180821288</v>
      </c>
      <c r="BV576" s="93">
        <f>ППД5[[#This Row],[Фикс 16.05.24]]+ППД5[[#This Row],[Наценка 24.05.24
1% - Б4, Б5,Г2,Г6
2% - А1,А3,А5,Б2,Г7]]</f>
        <v>116482.22112629501</v>
      </c>
      <c r="BW576" s="93"/>
      <c r="BX576" s="93">
        <f>ППД5[[#This Row],[Наценка 06.06.24
0К: В2,Г3 +0,5%
1К: А7, Б5/4, Г6 +0,5%
3К: В6 +0,5%
1К: А3 +1%]]+ППД5[[#This Row],[Фикс 24.05.24]]</f>
        <v>116482.22112629501</v>
      </c>
      <c r="BY576" s="93"/>
      <c r="BZ576" s="93">
        <f>ППД5[[#This Row],[Фикс 06.06.24]]+ППД5[[#This Row],[13.06.2024
3К - 2%]]</f>
        <v>116482.22112629501</v>
      </c>
      <c r="CA576" s="93">
        <f>2.5%*ППД5[[#This Row],[Фикс 13.06.24]]</f>
        <v>2912.0555281573756</v>
      </c>
      <c r="CB576" s="93">
        <f>ППД5[[#This Row],[02.07.2024: Г3 А1 А3 Б5 Б7 Г2 Г6 Б3 Б4 В3 Г7 2,5% ост 0,5-1,5%]]+ППД5[[#This Row],[Фикс 13.06.24]]</f>
        <v>119394.27665445239</v>
      </c>
      <c r="CC576" s="93"/>
      <c r="CD576" s="93">
        <f>ППД5[[#This Row],[Фикс 02.07.24]]+ППД5[[#This Row],[04.09.2024 +500
0К - Б2; 1К - А3;
2К - А6, Б4, В3, Г5]]</f>
        <v>119394.27665445239</v>
      </c>
      <c r="CE576" s="93"/>
      <c r="CF576" s="93">
        <f>ППД5[[#This Row],[Наценка 16.09.2024
1К: А1,В7,Г6/7,Г8 - 2%
2К: А4,А5,А6,Б1,Б6,Б3/4,В3,В4,Г4,Г5 - 4%
3К: 4%]]+ППД5[[#This Row],[Фикс 04.09.24]]</f>
        <v>119394.27665445239</v>
      </c>
      <c r="CG576" s="93">
        <f>ППД5[[#This Row],[Фикс 16.09.2024]]*8%</f>
        <v>9551.5421323561914</v>
      </c>
      <c r="CH576" s="93">
        <f>ППД5[[#This Row],[Фикс 16.09.2024]]+ППД5[[#This Row],[Наценка 01.11.24
СТ: 4%
1К: 34-40м 5%; 40м+ 8%; МГН 1%
2К: 55-70м 6%; 70-73м 7%; 73-76м 8% 
3К: 5%]]</f>
        <v>128945.81878680858</v>
      </c>
      <c r="CI576" s="93">
        <f>ППД5[[#This Row],[Фикс 01.11.24]]*13%</f>
        <v>16762.956442285114</v>
      </c>
      <c r="CJ576" s="93">
        <f>ППД5[[#This Row],[Наценка 06.11 13%]]+ППД5[[#This Row],[Фикс 01.11.24]]</f>
        <v>145708.77522909371</v>
      </c>
      <c r="CK576" s="93">
        <v>35</v>
      </c>
      <c r="CL576" s="93">
        <f>ППД5[[#This Row],[Фикс 06.11.24]]+ППД5[[#This Row],[Наценка 18.12.24 распределение КВ]]</f>
        <v>145743.77522909371</v>
      </c>
      <c r="CM576" s="93"/>
      <c r="CN576" s="93">
        <f>ППД5[[#This Row],[Фикс 18.12.24]]+ППД5[[#This Row],[Наценка 10.02.25 +1%
1К: А3
2К: Б3, В3]]</f>
        <v>145743.77522909371</v>
      </c>
      <c r="CO576" s="93">
        <f>ROUND(ППД5[[#This Row],[Фикс 10.02.25]],2)</f>
        <v>145743.78</v>
      </c>
      <c r="CP576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6297600</v>
      </c>
      <c r="CQ576" s="93">
        <f>ROUNDUP(ППД5[[#This Row],[Стоимость до скидки]]+ППД5[[#This Row],[Сумма доплаты]],-2)</f>
        <v>6157700</v>
      </c>
      <c r="CR576" s="68"/>
      <c r="CS576" s="90"/>
      <c r="CT576" s="68">
        <f>ППД5[[#This Row],[Стоимость до скидки]]*ППД5[[#This Row],[Скидка %]]+ППД5[[#This Row],[Скидка фиксированная]]</f>
        <v>0</v>
      </c>
      <c r="CU576" s="3">
        <f>ППД5[[#This Row],[Стоимость ОН без отделки со скидкой]]/ППД5[[#This Row],[Расчетная проектная площадь]]</f>
        <v>145744.04073131218</v>
      </c>
      <c r="CV576" s="3">
        <f>ROUND(ППД5[[#This Row],[Стоимость до скидки]]-ППД5[[#This Row],[Итоговая сумма скидки]],2)</f>
        <v>6297600</v>
      </c>
      <c r="CW576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576" s="218">
        <v>10000</v>
      </c>
      <c r="CY576" s="332">
        <f>ППД5[[#This Row],[Расхождение]]/ППД5[[#This Row],[Расчетная проектная площадь]]</f>
        <v>-2.2217079379773221E-2</v>
      </c>
      <c r="CZ576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-0.80000000000000071</v>
      </c>
      <c r="DA576" s="3">
        <f>ППД5[[#This Row],[Цена м2 без отделки со скидкой]]+ППД5[[#This Row],[Стоимость отделки]]</f>
        <v>155744.04073131218</v>
      </c>
      <c r="DB576" s="3">
        <f>ППД5[[#This Row],[Стоимость квартиры с отделкой]]-ППД5[[#This Row],[Стоимость ОН без отделки со скидкой]]</f>
        <v>432100</v>
      </c>
      <c r="DC576" s="3">
        <f>ППД5[[#This Row],[Цена м2 с отделкой]]*ППД5[[#This Row],[Расчетная проектная площадь]]</f>
        <v>6729700</v>
      </c>
      <c r="DD576" s="47"/>
      <c r="DF576" s="155" t="s">
        <v>157</v>
      </c>
      <c r="DG576" s="221" t="s">
        <v>157</v>
      </c>
      <c r="DH576" s="100" t="b">
        <f>EXACT(ППД5[[#This Row],[Статусы CRM]],ППД5[[#This Row],[Статус]])</f>
        <v>1</v>
      </c>
      <c r="DI576" s="213" t="s">
        <v>748</v>
      </c>
      <c r="DJ576" s="204"/>
      <c r="DK576" s="111" t="s">
        <v>763</v>
      </c>
      <c r="DL576" s="216" t="s">
        <v>780</v>
      </c>
      <c r="DM576" s="201" t="b">
        <f>ППД5[[#This Row],[Отделка CRM]]=ППД5[[#This Row],[Отделка]]</f>
        <v>1</v>
      </c>
      <c r="DN576" s="203">
        <v>6729700</v>
      </c>
      <c r="DO576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76" s="207" t="b">
        <f>IF(AND(ППД5[[#This Row],[Статус]]="свободно",ППД5[[#This Row],[Итоговая сумма скидки]]&lt;&gt;0),FALSE,TRUE)</f>
        <v>1</v>
      </c>
      <c r="DQ576" s="240" t="str">
        <f>_xlfn.XLOOKUP(ППД5[[#This Row],[№]],Юрист[№ кв],Юрист[Дата подачи на регистрацию]," ",0,-1)</f>
        <v xml:space="preserve"> </v>
      </c>
      <c r="DR576" s="115" t="str">
        <f>_xlfn.XLOOKUP(ППД5[[#This Row],[№]],Юрист[№ кв],Юрист[МОП],"",0,-1)</f>
        <v/>
      </c>
      <c r="DS576" s="333" t="s">
        <v>3444</v>
      </c>
      <c r="DT576" s="333" t="s">
        <v>3445</v>
      </c>
      <c r="DU576" s="333">
        <v>40.9</v>
      </c>
      <c r="DV576" s="111"/>
    </row>
    <row r="577" spans="1:126" hidden="1" x14ac:dyDescent="0.25">
      <c r="A577" s="112">
        <v>575</v>
      </c>
      <c r="B577" s="111" t="s">
        <v>2</v>
      </c>
      <c r="C577" s="111">
        <v>24</v>
      </c>
      <c r="D577" s="115">
        <v>3</v>
      </c>
      <c r="E577" s="111">
        <v>0</v>
      </c>
      <c r="F577" s="105">
        <v>7.2</v>
      </c>
      <c r="G577" s="105"/>
      <c r="H577" s="105"/>
      <c r="I577" s="94">
        <f>SUM(ППД5[[#This Row],[Комната 1]:[Комната 3]])</f>
        <v>7.2</v>
      </c>
      <c r="J577" s="105">
        <v>5.17</v>
      </c>
      <c r="K577" s="105">
        <v>3.71</v>
      </c>
      <c r="L577" s="105"/>
      <c r="M577" s="105"/>
      <c r="N577" s="105">
        <v>6.96</v>
      </c>
      <c r="O577" s="105">
        <v>2.92</v>
      </c>
      <c r="P577" s="105"/>
      <c r="Q577" s="105"/>
      <c r="R577" s="105">
        <f>SUM(ППД5[[#This Row],[Лоджия 1]:[Лоджия 3]])</f>
        <v>2.92</v>
      </c>
      <c r="S577" s="8">
        <f>ROUND(SUM(ППД5[[#This Row],[Площадь по проекту жилая]:[Лоджия 3]]),2)</f>
        <v>25.96</v>
      </c>
      <c r="T577" s="8">
        <f>ROUND(ППД5[[#This Row],[Площадь по проекту(общая)]]-ППД5[[#This Row],[Летние]],2)</f>
        <v>23.04</v>
      </c>
      <c r="U577" s="91">
        <f>ROUND(ППД5[[#This Row],[Площадь по проекту(общая)]]-(SUM(ППД5[[#This Row],[Лоджия 1]:[Лоджия 3]])/2),2)</f>
        <v>24.5</v>
      </c>
      <c r="V577" s="91">
        <f>IF(ППД5[[#This Row],[Статус]]="продажа",ППД5[[#This Row],[Расчетная проектная площадь]],ППД5[[#This Row],[Расчетная ТП площадь]])</f>
        <v>24.5</v>
      </c>
      <c r="W577" s="91">
        <v>7.2</v>
      </c>
      <c r="X577" s="91"/>
      <c r="Y577" s="91"/>
      <c r="Z577" s="91">
        <f>SUM(ППД5[[#This Row],[ТП Комната 1]:[ТП Комната 3]])</f>
        <v>7.2</v>
      </c>
      <c r="AA577" s="91">
        <v>5.4</v>
      </c>
      <c r="AB577" s="91">
        <v>3.7</v>
      </c>
      <c r="AC577" s="91"/>
      <c r="AD577" s="91"/>
      <c r="AE577" s="91">
        <v>6.5</v>
      </c>
      <c r="AF577" s="91">
        <v>1.45</v>
      </c>
      <c r="AG577" s="91"/>
      <c r="AH577" s="91"/>
      <c r="AI577" s="91">
        <f>SUM(ППД5[[#This Row],[ТП Лоджия 1]:[ТП Лоджия 3]])</f>
        <v>1.45</v>
      </c>
      <c r="AJ577" s="95">
        <v>2.9</v>
      </c>
      <c r="AK577" s="91">
        <f>SUM(ППД5[[#This Row],[Площадь по ТП жилая]:[ТП Лоджия 3]])-ППД5[[#This Row],[ТП Летние]]+ППД5[[#This Row],[кроме того прочая
(без коэффициента)]]</f>
        <v>25.7</v>
      </c>
      <c r="AL577" s="95">
        <f>ППД5[[#This Row],[ТП Площадь без летних]]+(ППД5[[#This Row],[ТП Летние]])</f>
        <v>24.25</v>
      </c>
      <c r="AM577" s="91">
        <f>ППД5[[#This Row],[ТП общая S]]-ППД5[[#This Row],[кроме того прочая
(без коэффициента)]]</f>
        <v>22.8</v>
      </c>
      <c r="AN577" s="95">
        <f>SUM(ППД5[[#This Row],[ТП Кухня]:[ТП Коридор]])</f>
        <v>15.600000000000001</v>
      </c>
      <c r="AO577" s="91">
        <f>ППД5[[#This Row],[Расчетная ТП площадь]]-ППД5[[#This Row],[Расчетная проектная площадь]]</f>
        <v>-0.25</v>
      </c>
      <c r="AP577" s="335">
        <f>ППД5[[#This Row],[Расчетная ТП площадь]]/ППД5[[#This Row],[Расчетная проектная площадь]]-1</f>
        <v>-1.0204081632653073E-2</v>
      </c>
      <c r="AQ577" s="91">
        <f>ППД5[[#This Row],[% расхождения]]*ППД5[[#This Row],[Стоимость до скидки]]</f>
        <v>-32861.224489795954</v>
      </c>
      <c r="AR577" s="91">
        <f>VLOOKUP(ППД5[[#This Row],[№]],наценкад5[],COLUMN(наценкад5[[#This Row],[Цена м2 с учетом всех K]]),0)</f>
        <v>98113.68</v>
      </c>
      <c r="AS577" s="8">
        <f>ППД5[[#This Row],[м2 после К]]*5%</f>
        <v>4905.6840000000002</v>
      </c>
      <c r="AT577" s="8">
        <f>ППД5[[#This Row],[м2 после К]]+ППД5[[#This Row],[Повышение 16.08.23 - 5%]]</f>
        <v>103019.36399999999</v>
      </c>
      <c r="AU577" s="93">
        <f>ППД5[[#This Row],[Фикс 16.08.23]]*3%</f>
        <v>3090.5809199999994</v>
      </c>
      <c r="AV577" s="93">
        <f>ППД5[[#This Row],[Фикс 16.08.23]]+ППД5[[#This Row],[Повышение 29.08.23 - 3%]]</f>
        <v>106109.94491999998</v>
      </c>
      <c r="AW577" s="93">
        <f>ППД5[[#This Row],[Фикс 29.08.23]]*9%</f>
        <v>9549.8950427999971</v>
      </c>
      <c r="AX577" s="93">
        <f>ППД5[[#This Row],[Фикс 29.08.23]]+ППД5[[#This Row],[Повышение 06.09.23 СТ и 1К]]</f>
        <v>115659.83996279998</v>
      </c>
      <c r="AY577" s="93"/>
      <c r="AZ577" s="93">
        <f>ППД5[[#This Row],[Повышение 23.10.23  В4 ]]+ППД5[[#This Row],[Фикс 06.09.23]]</f>
        <v>115659.83996279998</v>
      </c>
      <c r="BA577" s="93"/>
      <c r="BB577" s="93">
        <f>ППД5[[#This Row],[Повышение 8.11.23 1К 5%]]+ППД5[[#This Row],[Фикс 23.10.23]]</f>
        <v>115659.83996279998</v>
      </c>
      <c r="BC577" s="93"/>
      <c r="BD577" s="93">
        <f>ППД5[[#This Row],[Корректировка 24.11.23 - 1К В5, 2К А2, №233]]+ППД5[[#This Row],[Фикс 8.11.23]]</f>
        <v>115659.83996279998</v>
      </c>
      <c r="BE577" s="93">
        <f>ППД5[[#This Row],[Фикс 8.11.24]]*1%</f>
        <v>1156.5983996279997</v>
      </c>
      <c r="BF577" s="93">
        <f>ППД5[[#This Row],[Наценка за отделку 29.12.23 1%]]+ППД5[[#This Row],[Фикс 8.11.24]]</f>
        <v>116816.43836242797</v>
      </c>
      <c r="BG577" s="93">
        <f>ППД5[[#This Row],[Фикс 29.12.23]]*5%</f>
        <v>5840.821918121399</v>
      </c>
      <c r="BH577" s="93">
        <f>ППД5[[#This Row],[Фикс 29.12.23]]+ППД5[[#This Row],[Наценка 10.01.24 5%]]</f>
        <v>122657.26028054937</v>
      </c>
      <c r="BI577" s="93"/>
      <c r="BJ577" s="93">
        <f>ППД5[[#This Row],[Наценка 26.02.24 1 Этаж]]+ППД5[[#This Row],[Фикс 10.01.24]]</f>
        <v>122657.26028054937</v>
      </c>
      <c r="BK577" s="93">
        <f>ППД5[[#This Row],[Фикс 26.02.24]]*3%</f>
        <v>3679.7178084164807</v>
      </c>
      <c r="BL577" s="93">
        <f>ППД5[[#This Row],[Фикс 26.02.24]]+ППД5[[#This Row],[Наценка 06.03.24
СТ, 1К - 3%
2К, 3К - 2%]]</f>
        <v>126336.97808896584</v>
      </c>
      <c r="BM577" s="93"/>
      <c r="BN577" s="93">
        <f>ППД5[[#This Row],[Фикс 06.03.24]]+ППД5[[#This Row],[Наценка Г2+500]]</f>
        <v>126336.97808896584</v>
      </c>
      <c r="BO577" s="93"/>
      <c r="BP577" s="93">
        <f>ППД5[[#This Row],[Фикс 13.03.25]]+ППД5[[#This Row],[Наценка 20.03.24
2К, 3К - 2%]]</f>
        <v>126336.97808896584</v>
      </c>
      <c r="BQ577" s="93"/>
      <c r="BR577" s="93">
        <f>ППД5[[#This Row],[Фикс 20.03.24]]+ППД5[[#This Row],[Наценка 08.04.24 
2К: В3 - 150
3К: Г7 +1000]]</f>
        <v>126336.97808896584</v>
      </c>
      <c r="BS577" s="93">
        <f>ППД5[[#This Row],[Фикс 08.04.24]]*1%</f>
        <v>1263.3697808896584</v>
      </c>
      <c r="BT577" s="93">
        <f>ППД5[[#This Row],[Фикс 08.04.24]]+ППД5[[#This Row],[Наценка 16.05.24 1%
А4,А6,Б3,Б6,Б7,В2,В3,В5,В6,Г1,Г3-Г5]]</f>
        <v>127600.3478698555</v>
      </c>
      <c r="BU577" s="93"/>
      <c r="BV577" s="93">
        <f>ППД5[[#This Row],[Фикс 16.05.24]]+ППД5[[#This Row],[Наценка 24.05.24
1% - Б4, Б5,Г2,Г6
2% - А1,А3,А5,Б2,Г7]]</f>
        <v>127600.3478698555</v>
      </c>
      <c r="BW577" s="93">
        <f>ППД5[[#This Row],[Фикс 24.05.24]]*0.5%</f>
        <v>638.0017393492775</v>
      </c>
      <c r="BX577" s="93">
        <f>ППД5[[#This Row],[Наценка 06.06.24
0К: В2,Г3 +0,5%
1К: А7, Б5/4, Г6 +0,5%
3К: В6 +0,5%
1К: А3 +1%]]+ППД5[[#This Row],[Фикс 24.05.24]]</f>
        <v>128238.34960920477</v>
      </c>
      <c r="BY577" s="93"/>
      <c r="BZ577" s="93">
        <f>ППД5[[#This Row],[Фикс 06.06.24]]+ППД5[[#This Row],[13.06.2024
3К - 2%]]</f>
        <v>128238.34960920477</v>
      </c>
      <c r="CA577" s="93">
        <f>2.5%*ППД5[[#This Row],[Фикс 13.06.24]]</f>
        <v>3205.9587402301195</v>
      </c>
      <c r="CB577" s="93">
        <f>ППД5[[#This Row],[02.07.2024: Г3 А1 А3 Б5 Б7 Г2 Г6 Б3 Б4 В3 Г7 2,5% ост 0,5-1,5%]]+ППД5[[#This Row],[Фикс 13.06.24]]</f>
        <v>131444.3083494349</v>
      </c>
      <c r="CC577" s="93"/>
      <c r="CD577" s="93">
        <f>ППД5[[#This Row],[Фикс 02.07.24]]+ППД5[[#This Row],[04.09.2024 +500
0К - Б2; 1К - А3;
2К - А6, Б4, В3, Г5]]</f>
        <v>131444.3083494349</v>
      </c>
      <c r="CE577" s="93"/>
      <c r="CF577" s="93">
        <f>ППД5[[#This Row],[Наценка 16.09.2024
1К: А1,В7,Г6/7,Г8 - 2%
2К: А4,А5,А6,Б1,Б6,Б3/4,В3,В4,Г4,Г5 - 4%
3К: 4%]]+ППД5[[#This Row],[Фикс 04.09.24]]</f>
        <v>131444.3083494349</v>
      </c>
      <c r="CG577" s="93"/>
      <c r="CH577" s="93">
        <f>ППД5[[#This Row],[Фикс 16.09.2024]]+ППД5[[#This Row],[Наценка 01.11.24
СТ: 4%
1К: 34-40м 5%; 40м+ 8%; МГН 1%
2К: 55-70м 6%; 70-73м 7%; 73-76м 8% 
3К: 5%]]</f>
        <v>131444.3083494349</v>
      </c>
      <c r="CI577" s="93"/>
      <c r="CJ577" s="93">
        <f>ППД5[[#This Row],[Наценка 06.11 13%]]+ППД5[[#This Row],[Фикс 01.11.24]]</f>
        <v>131444.3083494349</v>
      </c>
      <c r="CK577" s="93"/>
      <c r="CL577" s="93">
        <f>ППД5[[#This Row],[Фикс 06.11.24]]+ППД5[[#This Row],[Наценка 18.12.24 распределение КВ]]</f>
        <v>131444.3083494349</v>
      </c>
      <c r="CM577" s="93"/>
      <c r="CN577" s="93">
        <f>ППД5[[#This Row],[Фикс 18.12.24]]+ППД5[[#This Row],[Наценка 10.02.25 +1%
1К: А3
2К: Б3, В3]]</f>
        <v>131444.3083494349</v>
      </c>
      <c r="CO577" s="93">
        <f>ROUND(ППД5[[#This Row],[Фикс 10.02.25]],2)</f>
        <v>131444.31</v>
      </c>
      <c r="CP577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3220400</v>
      </c>
      <c r="CQ577" s="93">
        <f>ROUNDUP(ППД5[[#This Row],[Стоимость до скидки]]+ППД5[[#This Row],[Сумма доплаты]],-2)</f>
        <v>3187600</v>
      </c>
      <c r="CR577" s="68"/>
      <c r="CS577" s="90">
        <v>0.03</v>
      </c>
      <c r="CT577" s="68">
        <f>ППД5[[#This Row],[Стоимость до скидки]]*ППД5[[#This Row],[Скидка %]]+ППД5[[#This Row],[Скидка фиксированная]]</f>
        <v>96612</v>
      </c>
      <c r="CU577" s="3">
        <f>ППД5[[#This Row],[Стоимость ОН без отделки со скидкой]]/ППД5[[#This Row],[Расчетная проектная площадь]]</f>
        <v>127501.55102040817</v>
      </c>
      <c r="CV577" s="3">
        <f>ROUND(ППД5[[#This Row],[Стоимость до скидки]]-ППД5[[#This Row],[Итоговая сумма скидки]],2)</f>
        <v>3123788</v>
      </c>
      <c r="CW577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Чистовая</v>
      </c>
      <c r="CX577" s="197">
        <v>24000</v>
      </c>
      <c r="CY577" s="332">
        <f>ППД5[[#This Row],[Расхождение]]/ППД5[[#This Row],[Расчетная проектная площадь]]</f>
        <v>-1.020408163265306E-2</v>
      </c>
      <c r="CZ577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-0.23999999999999932</v>
      </c>
      <c r="DA577" s="3">
        <f>ППД5[[#This Row],[Цена м2 без отделки со скидкой]]+ППД5[[#This Row],[Стоимость отделки]]</f>
        <v>151501.55102040817</v>
      </c>
      <c r="DB577" s="3">
        <f>ППД5[[#This Row],[Стоимость квартиры с отделкой]]-ППД5[[#This Row],[Стоимость ОН без отделки со скидкой]]</f>
        <v>588000</v>
      </c>
      <c r="DC577" s="3">
        <f>ППД5[[#This Row],[Цена м2 с отделкой]]*ППД5[[#This Row],[Расчетная проектная площадь]]</f>
        <v>3711788</v>
      </c>
      <c r="DD577" s="47"/>
      <c r="DE577" s="111" t="s">
        <v>162</v>
      </c>
      <c r="DF577" s="155" t="s">
        <v>172</v>
      </c>
      <c r="DG577" s="245" t="s">
        <v>172</v>
      </c>
      <c r="DH577" s="100" t="b">
        <f>EXACT(ППД5[[#This Row],[Статусы CRM]],ППД5[[#This Row],[Статус]])</f>
        <v>1</v>
      </c>
      <c r="DI577" s="213" t="s">
        <v>749</v>
      </c>
      <c r="DJ577" s="204"/>
      <c r="DK577" s="111" t="s">
        <v>763</v>
      </c>
      <c r="DL577" s="216" t="s">
        <v>14</v>
      </c>
      <c r="DM577" s="201" t="b">
        <f>ППД5[[#This Row],[Отделка CRM]]=ППД5[[#This Row],[Отделка]]</f>
        <v>1</v>
      </c>
      <c r="DN577" s="203">
        <v>3711788</v>
      </c>
      <c r="DO577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77" s="207" t="b">
        <f>IF(AND(ППД5[[#This Row],[Статус]]="свободно",ППД5[[#This Row],[Итоговая сумма скидки]]&lt;&gt;0),FALSE,TRUE)</f>
        <v>1</v>
      </c>
      <c r="DQ577" s="240">
        <f>_xlfn.XLOOKUP(ППД5[[#This Row],[№]],Юрист[№ кв],Юрист[Дата подачи на регистрацию]," ",0,-1)</f>
        <v>45622</v>
      </c>
      <c r="DR577" s="115" t="str">
        <f>_xlfn.XLOOKUP(ППД5[[#This Row],[№]],Юрист[№ кв],Юрист[МОП],"",0,-1)</f>
        <v>Дик</v>
      </c>
      <c r="DS577" s="333" t="s">
        <v>3446</v>
      </c>
      <c r="DT577" s="333" t="s">
        <v>3447</v>
      </c>
      <c r="DU577" s="333">
        <v>22.8</v>
      </c>
      <c r="DV577" s="111"/>
    </row>
    <row r="578" spans="1:126" hidden="1" x14ac:dyDescent="0.25">
      <c r="A578" s="112">
        <v>576</v>
      </c>
      <c r="B578" s="111" t="s">
        <v>2</v>
      </c>
      <c r="C578" s="111">
        <v>24</v>
      </c>
      <c r="D578" s="115">
        <v>4</v>
      </c>
      <c r="E578" s="111">
        <v>2</v>
      </c>
      <c r="F578" s="105">
        <v>14.48</v>
      </c>
      <c r="G578" s="105">
        <v>11.42</v>
      </c>
      <c r="H578" s="105"/>
      <c r="I578" s="94">
        <f>SUM(ППД5[[#This Row],[Комната 1]:[Комната 3]])</f>
        <v>25.9</v>
      </c>
      <c r="J578" s="105">
        <v>15.86</v>
      </c>
      <c r="K578" s="105">
        <v>3.01</v>
      </c>
      <c r="L578" s="105">
        <v>2.67</v>
      </c>
      <c r="M578" s="105"/>
      <c r="N578" s="105">
        <v>9.44</v>
      </c>
      <c r="O578" s="105">
        <v>2.72</v>
      </c>
      <c r="P578" s="105"/>
      <c r="Q578" s="105"/>
      <c r="R578" s="105">
        <f>SUM(ППД5[[#This Row],[Лоджия 1]:[Лоджия 3]])</f>
        <v>2.72</v>
      </c>
      <c r="S578" s="8">
        <f>ROUND(SUM(ППД5[[#This Row],[Площадь по проекту жилая]:[Лоджия 3]]),2)</f>
        <v>59.6</v>
      </c>
      <c r="T578" s="8">
        <f>ROUND(ППД5[[#This Row],[Площадь по проекту(общая)]]-ППД5[[#This Row],[Летние]],2)</f>
        <v>56.88</v>
      </c>
      <c r="U578" s="91">
        <f>ROUND(ППД5[[#This Row],[Площадь по проекту(общая)]]-(SUM(ППД5[[#This Row],[Лоджия 1]:[Лоджия 3]])/2),2)</f>
        <v>58.24</v>
      </c>
      <c r="V578" s="91">
        <f>IF(ППД5[[#This Row],[Статус]]="продажа",ППД5[[#This Row],[Расчетная проектная площадь]],ППД5[[#This Row],[Расчетная ТП площадь]])</f>
        <v>58.150000000000006</v>
      </c>
      <c r="W578" s="91">
        <v>14.6</v>
      </c>
      <c r="X578" s="91">
        <v>11.4</v>
      </c>
      <c r="Y578" s="91"/>
      <c r="Z578" s="91">
        <f>SUM(ППД5[[#This Row],[ТП Комната 1]:[ТП Комната 3]])</f>
        <v>26</v>
      </c>
      <c r="AA578" s="91">
        <v>15.7</v>
      </c>
      <c r="AB578" s="91">
        <v>2.7</v>
      </c>
      <c r="AC578" s="91">
        <v>3</v>
      </c>
      <c r="AD578" s="91"/>
      <c r="AE578" s="91">
        <v>9.4</v>
      </c>
      <c r="AF578" s="91">
        <v>1.35</v>
      </c>
      <c r="AG578" s="91"/>
      <c r="AH578" s="91"/>
      <c r="AI578" s="91">
        <f>SUM(ППД5[[#This Row],[ТП Лоджия 1]:[ТП Лоджия 3]])</f>
        <v>1.35</v>
      </c>
      <c r="AJ578" s="95">
        <v>2.7</v>
      </c>
      <c r="AK578" s="91">
        <f>SUM(ППД5[[#This Row],[Площадь по ТП жилая]:[ТП Лоджия 3]])-ППД5[[#This Row],[ТП Летние]]+ППД5[[#This Row],[кроме того прочая
(без коэффициента)]]</f>
        <v>59.500000000000007</v>
      </c>
      <c r="AL578" s="95">
        <f>ППД5[[#This Row],[ТП Площадь без летних]]+(ППД5[[#This Row],[ТП Летние]])</f>
        <v>58.150000000000006</v>
      </c>
      <c r="AM578" s="91">
        <f>ППД5[[#This Row],[ТП общая S]]-ППД5[[#This Row],[кроме того прочая
(без коэффициента)]]</f>
        <v>56.800000000000004</v>
      </c>
      <c r="AN578" s="95">
        <f>SUM(ППД5[[#This Row],[ТП Кухня]:[ТП Коридор]])</f>
        <v>30.799999999999997</v>
      </c>
      <c r="AO578" s="91">
        <f>ППД5[[#This Row],[Расчетная ТП площадь]]-ППД5[[#This Row],[Расчетная проектная площадь]]</f>
        <v>-8.9999999999996305E-2</v>
      </c>
      <c r="AP578" s="335">
        <f>ППД5[[#This Row],[Расчетная ТП площадь]]/ППД5[[#This Row],[Расчетная проектная площадь]]-1</f>
        <v>-1.5453296703296093E-3</v>
      </c>
      <c r="AQ578" s="91">
        <f>ППД5[[#This Row],[% расхождения]]*ППД5[[#This Row],[Стоимость до скидки]]</f>
        <v>-11758.567994505031</v>
      </c>
      <c r="AR578" s="91">
        <f>VLOOKUP(ППД5[[#This Row],[№]],наценкад5[],COLUMN(наценкад5[[#This Row],[Цена м2 с учетом всех K]]),0)</f>
        <v>85713.201000000001</v>
      </c>
      <c r="AS578" s="8">
        <f>ППД5[[#This Row],[м2 после К]]*5%</f>
        <v>4285.6600500000004</v>
      </c>
      <c r="AT578" s="8">
        <f>ППД5[[#This Row],[м2 после К]]+ППД5[[#This Row],[Повышение 16.08.23 - 5%]]</f>
        <v>89998.861050000007</v>
      </c>
      <c r="AU578" s="93">
        <f>ППД5[[#This Row],[Фикс 16.08.23]]*3%</f>
        <v>2699.9658315000001</v>
      </c>
      <c r="AV578" s="93">
        <f>ППД5[[#This Row],[Фикс 16.08.23]]+ППД5[[#This Row],[Повышение 29.08.23 - 3%]]</f>
        <v>92698.826881500005</v>
      </c>
      <c r="AW578" s="93"/>
      <c r="AX578" s="93">
        <f>ППД5[[#This Row],[Фикс 29.08.23]]+ППД5[[#This Row],[Повышение 06.09.23 СТ и 1К]]</f>
        <v>92698.826881500005</v>
      </c>
      <c r="AY578" s="93"/>
      <c r="AZ578" s="93">
        <f>ППД5[[#This Row],[Повышение 23.10.23  В4 ]]+ППД5[[#This Row],[Фикс 06.09.23]]</f>
        <v>92698.826881500005</v>
      </c>
      <c r="BA578" s="93"/>
      <c r="BB578" s="93">
        <f>ППД5[[#This Row],[Повышение 8.11.23 1К 5%]]+ППД5[[#This Row],[Фикс 23.10.23]]</f>
        <v>92698.826881500005</v>
      </c>
      <c r="BC578" s="93"/>
      <c r="BD578" s="93">
        <f>ППД5[[#This Row],[Корректировка 24.11.23 - 1К В5, 2К А2, №233]]+ППД5[[#This Row],[Фикс 8.11.23]]</f>
        <v>92698.826881500005</v>
      </c>
      <c r="BE578" s="93">
        <f>ППД5[[#This Row],[Фикс 8.11.24]]*1%</f>
        <v>926.98826881500008</v>
      </c>
      <c r="BF578" s="93">
        <f>ППД5[[#This Row],[Наценка за отделку 29.12.23 1%]]+ППД5[[#This Row],[Фикс 8.11.24]]</f>
        <v>93625.815150315</v>
      </c>
      <c r="BG578" s="93">
        <f>ППД5[[#This Row],[Фикс 29.12.23]]*5%</f>
        <v>4681.2907575157506</v>
      </c>
      <c r="BH578" s="93">
        <f>ППД5[[#This Row],[Фикс 29.12.23]]+ППД5[[#This Row],[Наценка 10.01.24 5%]]</f>
        <v>98307.105907830744</v>
      </c>
      <c r="BI578" s="93"/>
      <c r="BJ578" s="93">
        <f>ППД5[[#This Row],[Наценка 26.02.24 1 Этаж]]+ППД5[[#This Row],[Фикс 10.01.24]]</f>
        <v>98307.105907830744</v>
      </c>
      <c r="BK578" s="93">
        <f>ППД5[[#This Row],[Фикс 26.02.24]]*2%</f>
        <v>1966.142118156615</v>
      </c>
      <c r="BL578" s="93">
        <f>ППД5[[#This Row],[Фикс 26.02.24]]+ППД5[[#This Row],[Наценка 06.03.24
СТ, 1К - 3%
2К, 3К - 2%]]</f>
        <v>100273.24802598736</v>
      </c>
      <c r="BM578" s="93"/>
      <c r="BN578" s="93">
        <f>ППД5[[#This Row],[Фикс 06.03.24]]+ППД5[[#This Row],[Наценка Г2+500]]</f>
        <v>100273.24802598736</v>
      </c>
      <c r="BO578" s="93">
        <f>ППД5[[#This Row],[Фикс 13.03.25]]*2%</f>
        <v>2005.4649605197471</v>
      </c>
      <c r="BP578" s="93">
        <f>ППД5[[#This Row],[Фикс 13.03.25]]+ППД5[[#This Row],[Наценка 20.03.24
2К, 3К - 2%]]</f>
        <v>102278.7129865071</v>
      </c>
      <c r="BQ578" s="93"/>
      <c r="BR578" s="93">
        <f>ППД5[[#This Row],[Фикс 20.03.24]]+ППД5[[#This Row],[Наценка 08.04.24 
2К: В3 - 150
3К: Г7 +1000]]</f>
        <v>102278.7129865071</v>
      </c>
      <c r="BS578" s="93">
        <f>ППД5[[#This Row],[Фикс 08.04.24]]*1%</f>
        <v>1022.7871298650711</v>
      </c>
      <c r="BT578" s="93">
        <f>ППД5[[#This Row],[Фикс 08.04.24]]+ППД5[[#This Row],[Наценка 16.05.24 1%
А4,А6,Б3,Б6,Б7,В2,В3,В5,В6,Г1,Г3-Г5]]</f>
        <v>103301.50011637218</v>
      </c>
      <c r="BU578" s="93"/>
      <c r="BV578" s="93">
        <f>ППД5[[#This Row],[Фикс 16.05.24]]+ППД5[[#This Row],[Наценка 24.05.24
1% - Б4, Б5,Г2,Г6
2% - А1,А3,А5,Б2,Г7]]</f>
        <v>103301.50011637218</v>
      </c>
      <c r="BW578" s="93"/>
      <c r="BX578" s="93">
        <f>ППД5[[#This Row],[Наценка 06.06.24
0К: В2,Г3 +0,5%
1К: А7, Б5/4, Г6 +0,5%
3К: В6 +0,5%
1К: А3 +1%]]+ППД5[[#This Row],[Фикс 24.05.24]]</f>
        <v>103301.50011637218</v>
      </c>
      <c r="BY578" s="93"/>
      <c r="BZ578" s="93">
        <f>ППД5[[#This Row],[Фикс 06.06.24]]+ППД5[[#This Row],[13.06.2024
3К - 2%]]</f>
        <v>103301.50011637218</v>
      </c>
      <c r="CA578" s="47">
        <f>1.5%*ППД5[[#This Row],[Фикс 13.06.24]]</f>
        <v>1549.5225017455825</v>
      </c>
      <c r="CB578" s="93">
        <f>ППД5[[#This Row],[02.07.2024: Г3 А1 А3 Б5 Б7 Г2 Г6 Б3 Б4 В3 Г7 2,5% ост 0,5-1,5%]]+ППД5[[#This Row],[Фикс 13.06.24]]</f>
        <v>104851.02261811776</v>
      </c>
      <c r="CC578" s="93"/>
      <c r="CD578" s="93">
        <f>ППД5[[#This Row],[Фикс 02.07.24]]+ППД5[[#This Row],[04.09.2024 +500
0К - Б2; 1К - А3;
2К - А6, Б4, В3, Г5]]</f>
        <v>104851.02261811776</v>
      </c>
      <c r="CE578" s="93">
        <f>ППД5[[#This Row],[Фикс 04.09.24]]*4%</f>
        <v>4194.0409047247103</v>
      </c>
      <c r="CF578" s="93">
        <f>ППД5[[#This Row],[Наценка 16.09.2024
1К: А1,В7,Г6/7,Г8 - 2%
2К: А4,А5,А6,Б1,Б6,Б3/4,В3,В4,Г4,Г5 - 4%
3К: 4%]]+ППД5[[#This Row],[Фикс 04.09.24]]</f>
        <v>109045.06352284247</v>
      </c>
      <c r="CG578" s="93">
        <f>ППД5[[#This Row],[Фикс 16.09.2024]]*6%</f>
        <v>6542.7038113705476</v>
      </c>
      <c r="CH578" s="93">
        <f>ППД5[[#This Row],[Фикс 16.09.2024]]+ППД5[[#This Row],[Наценка 01.11.24
СТ: 4%
1К: 34-40м 5%; 40м+ 8%; МГН 1%
2К: 55-70м 6%; 70-73м 7%; 73-76м 8% 
3К: 5%]]</f>
        <v>115587.76733421301</v>
      </c>
      <c r="CI578" s="93">
        <f>ППД5[[#This Row],[Фикс 01.11.24]]*13%</f>
        <v>15026.409753447693</v>
      </c>
      <c r="CJ578" s="93">
        <f>ППД5[[#This Row],[Наценка 06.11 13%]]+ППД5[[#This Row],[Фикс 01.11.24]]</f>
        <v>130614.1770876607</v>
      </c>
      <c r="CK578" s="93">
        <v>35</v>
      </c>
      <c r="CL578" s="93">
        <f>ППД5[[#This Row],[Фикс 06.11.24]]+ППД5[[#This Row],[Наценка 18.12.24 распределение КВ]]</f>
        <v>130649.1770876607</v>
      </c>
      <c r="CM578" s="93"/>
      <c r="CN578" s="93">
        <f>ППД5[[#This Row],[Фикс 18.12.24]]+ППД5[[#This Row],[Наценка 10.02.25 +1%
1К: А3
2К: Б3, В3]]</f>
        <v>130649.1770876607</v>
      </c>
      <c r="CO578" s="93">
        <f>ROUND(ППД5[[#This Row],[Фикс 10.02.25]],2)</f>
        <v>130649.18</v>
      </c>
      <c r="CP578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7609100</v>
      </c>
      <c r="CQ578" s="93">
        <f>ROUNDUP(ППД5[[#This Row],[Стоимость до скидки]]+ППД5[[#This Row],[Сумма доплаты]],-2)</f>
        <v>7597400</v>
      </c>
      <c r="CR578" s="68"/>
      <c r="CS578" s="90"/>
      <c r="CT578" s="68">
        <f>ППД5[[#This Row],[Стоимость до скидки]]*ППД5[[#This Row],[Скидка %]]+ППД5[[#This Row],[Скидка фиксированная]]</f>
        <v>0</v>
      </c>
      <c r="CU578" s="3">
        <f>ППД5[[#This Row],[Стоимость ОН без отделки со скидкой]]/ППД5[[#This Row],[Расчетная проектная площадь]]</f>
        <v>130650.75549450549</v>
      </c>
      <c r="CV578" s="3">
        <f>ROUND(ППД5[[#This Row],[Стоимость до скидки]]-ППД5[[#This Row],[Итоговая сумма скидки]],2)</f>
        <v>7609100</v>
      </c>
      <c r="CW578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578" s="218">
        <v>10000</v>
      </c>
      <c r="CY578" s="332">
        <f>ППД5[[#This Row],[Расхождение]]/ППД5[[#This Row],[Расчетная проектная площадь]]</f>
        <v>-1.5453296703296069E-3</v>
      </c>
      <c r="CZ578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-0.18000000000000149</v>
      </c>
      <c r="DA578" s="3">
        <f>ППД5[[#This Row],[Цена м2 без отделки со скидкой]]+ППД5[[#This Row],[Стоимость отделки]]</f>
        <v>140650.75549450549</v>
      </c>
      <c r="DB578" s="3">
        <f>ППД5[[#This Row],[Стоимость квартиры с отделкой]]-ППД5[[#This Row],[Стоимость ОН без отделки со скидкой]]</f>
        <v>582400</v>
      </c>
      <c r="DC578" s="3">
        <f>ППД5[[#This Row],[Цена м2 с отделкой]]*ППД5[[#This Row],[Расчетная проектная площадь]]</f>
        <v>8191500</v>
      </c>
      <c r="DD578" s="47"/>
      <c r="DF578" s="155" t="s">
        <v>157</v>
      </c>
      <c r="DG578" s="221" t="s">
        <v>157</v>
      </c>
      <c r="DH578" s="100" t="b">
        <f>EXACT(ППД5[[#This Row],[Статусы CRM]],ППД5[[#This Row],[Статус]])</f>
        <v>1</v>
      </c>
      <c r="DI578" s="213" t="s">
        <v>750</v>
      </c>
      <c r="DJ578" s="204"/>
      <c r="DK578" s="111" t="s">
        <v>763</v>
      </c>
      <c r="DL578" s="216" t="s">
        <v>780</v>
      </c>
      <c r="DM578" s="201" t="b">
        <f>ППД5[[#This Row],[Отделка CRM]]=ППД5[[#This Row],[Отделка]]</f>
        <v>1</v>
      </c>
      <c r="DN578" s="203">
        <v>8191500</v>
      </c>
      <c r="DO578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78" s="207" t="b">
        <f>IF(AND(ППД5[[#This Row],[Статус]]="свободно",ППД5[[#This Row],[Итоговая сумма скидки]]&lt;&gt;0),FALSE,TRUE)</f>
        <v>1</v>
      </c>
      <c r="DQ578" s="240" t="str">
        <f>_xlfn.XLOOKUP(ППД5[[#This Row],[№]],Юрист[№ кв],Юрист[Дата подачи на регистрацию]," ",0,-1)</f>
        <v xml:space="preserve"> </v>
      </c>
      <c r="DR578" s="115" t="str">
        <f>_xlfn.XLOOKUP(ППД5[[#This Row],[№]],Юрист[№ кв],Юрист[МОП],"",0,-1)</f>
        <v/>
      </c>
      <c r="DS578" s="333" t="s">
        <v>3448</v>
      </c>
      <c r="DT578" s="333" t="s">
        <v>3449</v>
      </c>
      <c r="DU578" s="333">
        <v>56.8</v>
      </c>
      <c r="DV578" s="111"/>
    </row>
    <row r="579" spans="1:126" hidden="1" x14ac:dyDescent="0.25">
      <c r="A579" s="112">
        <v>577</v>
      </c>
      <c r="B579" s="111" t="s">
        <v>2</v>
      </c>
      <c r="C579" s="111">
        <v>24</v>
      </c>
      <c r="D579" s="115">
        <v>5</v>
      </c>
      <c r="E579" s="111">
        <v>2</v>
      </c>
      <c r="F579" s="105">
        <v>15.41</v>
      </c>
      <c r="G579" s="105">
        <v>12.78</v>
      </c>
      <c r="H579" s="105"/>
      <c r="I579" s="94">
        <f>SUM(ППД5[[#This Row],[Комната 1]:[Комната 3]])</f>
        <v>28.189999999999998</v>
      </c>
      <c r="J579" s="105">
        <v>13.45</v>
      </c>
      <c r="K579" s="105">
        <v>3.7</v>
      </c>
      <c r="L579" s="105">
        <v>2.72</v>
      </c>
      <c r="M579" s="105"/>
      <c r="N579" s="105">
        <v>8.2200000000000006</v>
      </c>
      <c r="O579" s="105">
        <v>3.03</v>
      </c>
      <c r="P579" s="105"/>
      <c r="Q579" s="105"/>
      <c r="R579" s="105">
        <f>SUM(ППД5[[#This Row],[Лоджия 1]:[Лоджия 3]])</f>
        <v>3.03</v>
      </c>
      <c r="S579" s="8">
        <f>ROUND(SUM(ППД5[[#This Row],[Площадь по проекту жилая]:[Лоджия 3]]),2)</f>
        <v>59.31</v>
      </c>
      <c r="T579" s="8">
        <f>ROUND(ППД5[[#This Row],[Площадь по проекту(общая)]]-ППД5[[#This Row],[Летние]],2)</f>
        <v>56.28</v>
      </c>
      <c r="U579" s="91">
        <f>ROUND(ППД5[[#This Row],[Площадь по проекту(общая)]]-(SUM(ППД5[[#This Row],[Лоджия 1]:[Лоджия 3]])/2),2)</f>
        <v>57.8</v>
      </c>
      <c r="V579" s="91">
        <f>IF(ППД5[[#This Row],[Статус]]="продажа",ППД5[[#This Row],[Расчетная проектная площадь]],ППД5[[#This Row],[Расчетная ТП площадь]])</f>
        <v>57.5</v>
      </c>
      <c r="W579" s="91">
        <v>12.6</v>
      </c>
      <c r="X579" s="91">
        <v>15.4</v>
      </c>
      <c r="Y579" s="91"/>
      <c r="Z579" s="91">
        <f>SUM(ППД5[[#This Row],[ТП Комната 1]:[ТП Комната 3]])</f>
        <v>28</v>
      </c>
      <c r="AA579" s="91">
        <v>13.5</v>
      </c>
      <c r="AB579" s="91">
        <v>2.8</v>
      </c>
      <c r="AC579" s="91">
        <v>3.7</v>
      </c>
      <c r="AD579" s="91"/>
      <c r="AE579" s="91">
        <v>8</v>
      </c>
      <c r="AF579" s="91">
        <v>1.5</v>
      </c>
      <c r="AG579" s="91"/>
      <c r="AH579" s="91"/>
      <c r="AI579" s="91">
        <f>SUM(ППД5[[#This Row],[ТП Лоджия 1]:[ТП Лоджия 3]])</f>
        <v>1.5</v>
      </c>
      <c r="AJ579" s="95">
        <v>3</v>
      </c>
      <c r="AK579" s="91">
        <f>SUM(ППД5[[#This Row],[Площадь по ТП жилая]:[ТП Лоджия 3]])-ППД5[[#This Row],[ТП Летние]]+ППД5[[#This Row],[кроме того прочая
(без коэффициента)]]</f>
        <v>59</v>
      </c>
      <c r="AL579" s="95">
        <f>ППД5[[#This Row],[ТП Площадь без летних]]+(ППД5[[#This Row],[ТП Летние]])</f>
        <v>57.5</v>
      </c>
      <c r="AM579" s="91">
        <f>ППД5[[#This Row],[ТП общая S]]-ППД5[[#This Row],[кроме того прочая
(без коэффициента)]]</f>
        <v>56</v>
      </c>
      <c r="AN579" s="95">
        <f>SUM(ППД5[[#This Row],[ТП Кухня]:[ТП Коридор]])</f>
        <v>28</v>
      </c>
      <c r="AO579" s="91">
        <f>ППД5[[#This Row],[Расчетная ТП площадь]]-ППД5[[#This Row],[Расчетная проектная площадь]]</f>
        <v>-0.29999999999999716</v>
      </c>
      <c r="AP579" s="335">
        <f>ППД5[[#This Row],[Расчетная ТП площадь]]/ППД5[[#This Row],[Расчетная проектная площадь]]-1</f>
        <v>-5.1903114186850896E-3</v>
      </c>
      <c r="AQ579" s="91">
        <f>ППД5[[#This Row],[% расхождения]]*ППД5[[#This Row],[Стоимость до скидки]]</f>
        <v>-39205.53633217969</v>
      </c>
      <c r="AR579" s="91">
        <f>VLOOKUP(ППД5[[#This Row],[№]],наценкад5[],COLUMN(наценкад5[[#This Row],[Цена м2 с учетом всех K]]),0)</f>
        <v>85327.105500000005</v>
      </c>
      <c r="AS579" s="8">
        <f>ППД5[[#This Row],[м2 после К]]*5%</f>
        <v>4266.3552750000008</v>
      </c>
      <c r="AT579" s="8">
        <f>ППД5[[#This Row],[м2 после К]]+ППД5[[#This Row],[Повышение 16.08.23 - 5%]]</f>
        <v>89593.460775</v>
      </c>
      <c r="AU579" s="93">
        <f>ППД5[[#This Row],[Фикс 16.08.23]]*3%</f>
        <v>2687.8038232499998</v>
      </c>
      <c r="AV579" s="93">
        <f>ППД5[[#This Row],[Фикс 16.08.23]]+ППД5[[#This Row],[Повышение 29.08.23 - 3%]]</f>
        <v>92281.264598249996</v>
      </c>
      <c r="AW579" s="93"/>
      <c r="AX579" s="93">
        <f>ППД5[[#This Row],[Фикс 29.08.23]]+ППД5[[#This Row],[Повышение 06.09.23 СТ и 1К]]</f>
        <v>92281.264598249996</v>
      </c>
      <c r="AY579" s="93"/>
      <c r="AZ579" s="93">
        <f>ППД5[[#This Row],[Повышение 23.10.23  В4 ]]+ППД5[[#This Row],[Фикс 06.09.23]]</f>
        <v>92281.264598249996</v>
      </c>
      <c r="BA579" s="93"/>
      <c r="BB579" s="93">
        <f>ППД5[[#This Row],[Повышение 8.11.23 1К 5%]]+ППД5[[#This Row],[Фикс 23.10.23]]</f>
        <v>92281.264598249996</v>
      </c>
      <c r="BC579" s="93"/>
      <c r="BD579" s="93">
        <f>ППД5[[#This Row],[Корректировка 24.11.23 - 1К В5, 2К А2, №233]]+ППД5[[#This Row],[Фикс 8.11.23]]</f>
        <v>92281.264598249996</v>
      </c>
      <c r="BE579" s="93">
        <f>ППД5[[#This Row],[Фикс 8.11.24]]*1%</f>
        <v>922.81264598249993</v>
      </c>
      <c r="BF579" s="93">
        <f>ППД5[[#This Row],[Наценка за отделку 29.12.23 1%]]+ППД5[[#This Row],[Фикс 8.11.24]]</f>
        <v>93204.077244232496</v>
      </c>
      <c r="BG579" s="93">
        <f>ППД5[[#This Row],[Фикс 29.12.23]]*5%</f>
        <v>4660.2038622116252</v>
      </c>
      <c r="BH579" s="93">
        <f>ППД5[[#This Row],[Фикс 29.12.23]]+ППД5[[#This Row],[Наценка 10.01.24 5%]]</f>
        <v>97864.281106444119</v>
      </c>
      <c r="BI579" s="93"/>
      <c r="BJ579" s="93">
        <f>ППД5[[#This Row],[Наценка 26.02.24 1 Этаж]]+ППД5[[#This Row],[Фикс 10.01.24]]</f>
        <v>97864.281106444119</v>
      </c>
      <c r="BK579" s="93">
        <f>ППД5[[#This Row],[Фикс 26.02.24]]*2%</f>
        <v>1957.2856221288823</v>
      </c>
      <c r="BL579" s="93">
        <f>ППД5[[#This Row],[Фикс 26.02.24]]+ППД5[[#This Row],[Наценка 06.03.24
СТ, 1К - 3%
2К, 3К - 2%]]</f>
        <v>99821.566728573001</v>
      </c>
      <c r="BM579" s="93"/>
      <c r="BN579" s="93">
        <f>ППД5[[#This Row],[Фикс 06.03.24]]+ППД5[[#This Row],[Наценка Г2+500]]</f>
        <v>99821.566728573001</v>
      </c>
      <c r="BO579" s="93">
        <f>ППД5[[#This Row],[Фикс 13.03.25]]*2%</f>
        <v>1996.4313345714602</v>
      </c>
      <c r="BP579" s="93">
        <f>ППД5[[#This Row],[Фикс 13.03.25]]+ППД5[[#This Row],[Наценка 20.03.24
2К, 3К - 2%]]</f>
        <v>101817.99806314446</v>
      </c>
      <c r="BQ579" s="93"/>
      <c r="BR579" s="93">
        <f>ППД5[[#This Row],[Фикс 20.03.24]]+ППД5[[#This Row],[Наценка 08.04.24 
2К: В3 - 150
3К: Г7 +1000]]</f>
        <v>101817.99806314446</v>
      </c>
      <c r="BS579" s="93">
        <f>ППД5[[#This Row],[Фикс 08.04.24]]*1%</f>
        <v>1018.1799806314447</v>
      </c>
      <c r="BT579" s="93">
        <f>ППД5[[#This Row],[Фикс 08.04.24]]+ППД5[[#This Row],[Наценка 16.05.24 1%
А4,А6,Б3,Б6,Б7,В2,В3,В5,В6,Г1,Г3-Г5]]</f>
        <v>102836.1780437759</v>
      </c>
      <c r="BU579" s="93"/>
      <c r="BV579" s="93">
        <f>ППД5[[#This Row],[Фикс 16.05.24]]+ППД5[[#This Row],[Наценка 24.05.24
1% - Б4, Б5,Г2,Г6
2% - А1,А3,А5,Б2,Г7]]</f>
        <v>102836.1780437759</v>
      </c>
      <c r="BW579" s="93"/>
      <c r="BX579" s="93">
        <f>ППД5[[#This Row],[Наценка 06.06.24
0К: В2,Г3 +0,5%
1К: А7, Б5/4, Г6 +0,5%
3К: В6 +0,5%
1К: А3 +1%]]+ППД5[[#This Row],[Фикс 24.05.24]]</f>
        <v>102836.1780437759</v>
      </c>
      <c r="BY579" s="93"/>
      <c r="BZ579" s="93">
        <f>ППД5[[#This Row],[Фикс 06.06.24]]+ППД5[[#This Row],[13.06.2024
3К - 2%]]</f>
        <v>102836.1780437759</v>
      </c>
      <c r="CA579" s="47">
        <f>1.5%*ППД5[[#This Row],[Фикс 13.06.24]]</f>
        <v>1542.5426706566384</v>
      </c>
      <c r="CB579" s="93">
        <f>ППД5[[#This Row],[02.07.2024: Г3 А1 А3 Б5 Б7 Г2 Г6 Б3 Б4 В3 Г7 2,5% ост 0,5-1,5%]]+ППД5[[#This Row],[Фикс 13.06.24]]</f>
        <v>104378.72071443254</v>
      </c>
      <c r="CC579" s="93">
        <v>500</v>
      </c>
      <c r="CD579" s="93">
        <f>ППД5[[#This Row],[Фикс 02.07.24]]+ППД5[[#This Row],[04.09.2024 +500
0К - Б2; 1К - А3;
2К - А6, Б4, В3, Г5]]</f>
        <v>104878.72071443254</v>
      </c>
      <c r="CE579" s="93">
        <f>ППД5[[#This Row],[Фикс 04.09.24]]*4%</f>
        <v>4195.1488285773012</v>
      </c>
      <c r="CF579" s="93">
        <f>ППД5[[#This Row],[Наценка 16.09.2024
1К: А1,В7,Г6/7,Г8 - 2%
2К: А4,А5,А6,Б1,Б6,Б3/4,В3,В4,Г4,Г5 - 4%
3К: 4%]]+ППД5[[#This Row],[Фикс 04.09.24]]</f>
        <v>109073.86954300985</v>
      </c>
      <c r="CG579" s="93">
        <f>ППД5[[#This Row],[Фикс 16.09.2024]]*6%</f>
        <v>6544.4321725805903</v>
      </c>
      <c r="CH579" s="93">
        <f>ППД5[[#This Row],[Фикс 16.09.2024]]+ППД5[[#This Row],[Наценка 01.11.24
СТ: 4%
1К: 34-40м 5%; 40м+ 8%; МГН 1%
2К: 55-70м 6%; 70-73м 7%; 73-76м 8% 
3К: 5%]]</f>
        <v>115618.30171559044</v>
      </c>
      <c r="CI579" s="93">
        <f>ППД5[[#This Row],[Фикс 01.11.24]]*13%</f>
        <v>15030.379223026757</v>
      </c>
      <c r="CJ579" s="93">
        <f>ППД5[[#This Row],[Наценка 06.11 13%]]+ППД5[[#This Row],[Фикс 01.11.24]]</f>
        <v>130648.6809386172</v>
      </c>
      <c r="CK579" s="93">
        <v>35</v>
      </c>
      <c r="CL579" s="93">
        <f>ППД5[[#This Row],[Фикс 06.11.24]]+ППД5[[#This Row],[Наценка 18.12.24 распределение КВ]]</f>
        <v>130683.6809386172</v>
      </c>
      <c r="CM579" s="93"/>
      <c r="CN579" s="93">
        <f>ППД5[[#This Row],[Фикс 18.12.24]]+ППД5[[#This Row],[Наценка 10.02.25 +1%
1К: А3
2К: Б3, В3]]</f>
        <v>130683.6809386172</v>
      </c>
      <c r="CO579" s="93">
        <f>ROUND(ППД5[[#This Row],[Фикс 10.02.25]],2)</f>
        <v>130683.68</v>
      </c>
      <c r="CP579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7553600</v>
      </c>
      <c r="CQ579" s="93">
        <f>ROUNDUP(ППД5[[#This Row],[Стоимость до скидки]]+ППД5[[#This Row],[Сумма доплаты]],-2)</f>
        <v>7514400</v>
      </c>
      <c r="CR579" s="68"/>
      <c r="CS579" s="90"/>
      <c r="CT579" s="68">
        <f>ППД5[[#This Row],[Стоимость до скидки]]*ППД5[[#This Row],[Скидка %]]+ППД5[[#This Row],[Скидка фиксированная]]</f>
        <v>0</v>
      </c>
      <c r="CU579" s="3">
        <f>ППД5[[#This Row],[Стоимость ОН без отделки со скидкой]]/ППД5[[#This Row],[Расчетная проектная площадь]]</f>
        <v>130685.12110726644</v>
      </c>
      <c r="CV579" s="3">
        <f>ROUND(ППД5[[#This Row],[Стоимость до скидки]]-ППД5[[#This Row],[Итоговая сумма скидки]],2)</f>
        <v>7553600</v>
      </c>
      <c r="CW579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White Box</v>
      </c>
      <c r="CX579" s="218">
        <v>10000</v>
      </c>
      <c r="CY579" s="332">
        <f>ППД5[[#This Row],[Расхождение]]/ППД5[[#This Row],[Расчетная проектная площадь]]</f>
        <v>-5.1903114186850723E-3</v>
      </c>
      <c r="CZ579" s="329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-8.9999999999996305E-2</v>
      </c>
      <c r="DA579" s="3">
        <f>ППД5[[#This Row],[Цена м2 без отделки со скидкой]]+ППД5[[#This Row],[Стоимость отделки]]</f>
        <v>140685.12110726646</v>
      </c>
      <c r="DB579" s="3">
        <f>ППД5[[#This Row],[Стоимость квартиры с отделкой]]-ППД5[[#This Row],[Стоимость ОН без отделки со скидкой]]</f>
        <v>578000.00000000093</v>
      </c>
      <c r="DC579" s="3">
        <f>ППД5[[#This Row],[Цена м2 с отделкой]]*ППД5[[#This Row],[Расчетная проектная площадь]]</f>
        <v>8131600.0000000009</v>
      </c>
      <c r="DD579" s="47"/>
      <c r="DF579" s="155" t="s">
        <v>157</v>
      </c>
      <c r="DG579" s="245" t="s">
        <v>157</v>
      </c>
      <c r="DH579" s="100" t="b">
        <f>EXACT(ППД5[[#This Row],[Статусы CRM]],ППД5[[#This Row],[Статус]])</f>
        <v>1</v>
      </c>
      <c r="DI579" s="213" t="s">
        <v>751</v>
      </c>
      <c r="DJ579" s="204"/>
      <c r="DK579" s="111" t="s">
        <v>763</v>
      </c>
      <c r="DL579" s="216" t="s">
        <v>780</v>
      </c>
      <c r="DM579" s="201" t="b">
        <f>ППД5[[#This Row],[Отделка CRM]]=ППД5[[#This Row],[Отделка]]</f>
        <v>1</v>
      </c>
      <c r="DN579" s="203">
        <v>8131600</v>
      </c>
      <c r="DO579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-9.3132257461547852E-10</v>
      </c>
      <c r="DP579" s="207" t="b">
        <f>IF(AND(ППД5[[#This Row],[Статус]]="свободно",ППД5[[#This Row],[Итоговая сумма скидки]]&lt;&gt;0),FALSE,TRUE)</f>
        <v>1</v>
      </c>
      <c r="DQ579" s="240" t="str">
        <f>_xlfn.XLOOKUP(ППД5[[#This Row],[№]],Юрист[№ кв],Юрист[Дата подачи на регистрацию]," ",0,-1)</f>
        <v xml:space="preserve"> </v>
      </c>
      <c r="DR579" s="115" t="str">
        <f>_xlfn.XLOOKUP(ППД5[[#This Row],[№]],Юрист[№ кв],Юрист[МОП],"",0,-1)</f>
        <v/>
      </c>
      <c r="DS579" s="333" t="s">
        <v>3450</v>
      </c>
      <c r="DT579" s="333" t="s">
        <v>3451</v>
      </c>
      <c r="DU579" s="333">
        <v>56</v>
      </c>
      <c r="DV579" s="111"/>
    </row>
    <row r="580" spans="1:126" hidden="1" x14ac:dyDescent="0.25">
      <c r="A580" s="112">
        <v>578</v>
      </c>
      <c r="B580" s="111" t="s">
        <v>2</v>
      </c>
      <c r="C580" s="111">
        <v>24</v>
      </c>
      <c r="D580" s="115">
        <v>6</v>
      </c>
      <c r="E580" s="111">
        <v>1</v>
      </c>
      <c r="F580" s="105">
        <v>12.71</v>
      </c>
      <c r="G580" s="105"/>
      <c r="H580" s="105"/>
      <c r="I580" s="94">
        <f>SUM(ППД5[[#This Row],[Комната 1]:[Комната 3]])</f>
        <v>12.71</v>
      </c>
      <c r="J580" s="105">
        <v>12.55</v>
      </c>
      <c r="K580" s="105">
        <v>4.28</v>
      </c>
      <c r="L580" s="105"/>
      <c r="M580" s="105"/>
      <c r="N580" s="105">
        <v>7.34</v>
      </c>
      <c r="O580" s="105">
        <v>2.84</v>
      </c>
      <c r="P580" s="105"/>
      <c r="Q580" s="105"/>
      <c r="R580" s="105">
        <f>SUM(ППД5[[#This Row],[Лоджия 1]:[Лоджия 3]])</f>
        <v>2.84</v>
      </c>
      <c r="S580" s="8">
        <f>ROUND(SUM(ППД5[[#This Row],[Площадь по проекту жилая]:[Лоджия 3]]),2)</f>
        <v>39.72</v>
      </c>
      <c r="T580" s="8">
        <f>ROUND(ППД5[[#This Row],[Площадь по проекту(общая)]]-ППД5[[#This Row],[Летние]],2)</f>
        <v>36.880000000000003</v>
      </c>
      <c r="U580" s="91">
        <f>ROUND(ППД5[[#This Row],[Площадь по проекту(общая)]]-(SUM(ППД5[[#This Row],[Лоджия 1]:[Лоджия 3]])/2),2)</f>
        <v>38.299999999999997</v>
      </c>
      <c r="V580" s="91">
        <f>IF(ППД5[[#This Row],[Статус]]="продажа",ППД5[[#This Row],[Расчетная проектная площадь]],ППД5[[#This Row],[Расчетная ТП площадь]])</f>
        <v>37.699999999999996</v>
      </c>
      <c r="W580" s="91">
        <v>12.5</v>
      </c>
      <c r="X580" s="91"/>
      <c r="Y580" s="91"/>
      <c r="Z580" s="91">
        <f>SUM(ППД5[[#This Row],[ТП Комната 1]:[ТП Комната 3]])</f>
        <v>12.5</v>
      </c>
      <c r="AA580" s="91">
        <v>12.5</v>
      </c>
      <c r="AB580" s="91">
        <v>4</v>
      </c>
      <c r="AC580" s="91"/>
      <c r="AD580" s="91"/>
      <c r="AE580" s="91">
        <v>7.3</v>
      </c>
      <c r="AF580" s="91">
        <v>1.4</v>
      </c>
      <c r="AG580" s="91"/>
      <c r="AH580" s="91"/>
      <c r="AI580" s="91">
        <f>SUM(ППД5[[#This Row],[ТП Лоджия 1]:[ТП Лоджия 3]])</f>
        <v>1.4</v>
      </c>
      <c r="AJ580" s="95">
        <v>2.8</v>
      </c>
      <c r="AK580" s="91">
        <f>SUM(ППД5[[#This Row],[Площадь по ТП жилая]:[ТП Лоджия 3]])-ППД5[[#This Row],[ТП Летние]]+ППД5[[#This Row],[кроме того прочая
(без коэффициента)]]</f>
        <v>39.099999999999994</v>
      </c>
      <c r="AL580" s="95">
        <f>ППД5[[#This Row],[ТП Площадь без летних]]+(ППД5[[#This Row],[ТП Летние]])</f>
        <v>37.699999999999996</v>
      </c>
      <c r="AM580" s="91">
        <f>ППД5[[#This Row],[ТП общая S]]-ППД5[[#This Row],[кроме того прочая
(без коэффициента)]]</f>
        <v>36.299999999999997</v>
      </c>
      <c r="AN580" s="95">
        <f>SUM(ППД5[[#This Row],[ТП Кухня]:[ТП Коридор]])</f>
        <v>23.8</v>
      </c>
      <c r="AO580" s="91">
        <f>ППД5[[#This Row],[Расчетная ТП площадь]]-ППД5[[#This Row],[Расчетная проектная площадь]]</f>
        <v>-0.60000000000000142</v>
      </c>
      <c r="AP580" s="335">
        <f>ППД5[[#This Row],[Расчетная ТП площадь]]/ППД5[[#This Row],[Расчетная проектная площадь]]-1</f>
        <v>-1.5665796344647598E-2</v>
      </c>
      <c r="AQ580" s="91">
        <f>ППД5[[#This Row],[% расхождения]]*ППД5[[#This Row],[Стоимость до скидки]]</f>
        <v>-89077.284595300705</v>
      </c>
      <c r="AR580" s="91">
        <f>VLOOKUP(ППД5[[#This Row],[№]],наценкад5[],COLUMN(наценкад5[[#This Row],[Цена м2 с учетом всех K]]),0)</f>
        <v>94090.5</v>
      </c>
      <c r="AS580" s="8">
        <f>ППД5[[#This Row],[м2 после К]]*5%</f>
        <v>4704.5250000000005</v>
      </c>
      <c r="AT580" s="8">
        <f>ППД5[[#This Row],[м2 после К]]+ППД5[[#This Row],[Повышение 16.08.23 - 5%]]</f>
        <v>98795.024999999994</v>
      </c>
      <c r="AU580" s="93">
        <f>ППД5[[#This Row],[Фикс 16.08.23]]*3%</f>
        <v>2963.8507499999996</v>
      </c>
      <c r="AV580" s="93">
        <f>ППД5[[#This Row],[Фикс 16.08.23]]+ППД5[[#This Row],[Повышение 29.08.23 - 3%]]</f>
        <v>101758.87574999999</v>
      </c>
      <c r="AW580" s="93">
        <f>ППД5[[#This Row],[Фикс 29.08.23]]*1%</f>
        <v>1017.5887574999999</v>
      </c>
      <c r="AX580" s="93">
        <f>ППД5[[#This Row],[Фикс 29.08.23]]+ППД5[[#This Row],[Повышение 06.09.23 СТ и 1К]]</f>
        <v>102776.46450749999</v>
      </c>
      <c r="AY580" s="93"/>
      <c r="AZ580" s="93">
        <f>ППД5[[#This Row],[Повышение 23.10.23  В4 ]]+ППД5[[#This Row],[Фикс 06.09.23]]</f>
        <v>102776.46450749999</v>
      </c>
      <c r="BA580" s="93">
        <f>ППД5[[#This Row],[Фикс 23.10.23]]*5%</f>
        <v>5138.8232253749993</v>
      </c>
      <c r="BB580" s="93">
        <f>ППД5[[#This Row],[Повышение 8.11.23 1К 5%]]+ППД5[[#This Row],[Фикс 23.10.23]]</f>
        <v>107915.28773287499</v>
      </c>
      <c r="BC580" s="93"/>
      <c r="BD580" s="93">
        <f>ППД5[[#This Row],[Корректировка 24.11.23 - 1К В5, 2К А2, №233]]+ППД5[[#This Row],[Фикс 8.11.23]]</f>
        <v>107915.28773287499</v>
      </c>
      <c r="BE580" s="93">
        <f>ППД5[[#This Row],[Фикс 8.11.24]]*1%</f>
        <v>1079.1528773287498</v>
      </c>
      <c r="BF580" s="93">
        <f>ППД5[[#This Row],[Наценка за отделку 29.12.23 1%]]+ППД5[[#This Row],[Фикс 8.11.24]]</f>
        <v>108994.44061020373</v>
      </c>
      <c r="BG580" s="93">
        <f>ППД5[[#This Row],[Фикс 29.12.23]]*5%</f>
        <v>5449.7220305101873</v>
      </c>
      <c r="BH580" s="93">
        <f>ППД5[[#This Row],[Фикс 29.12.23]]+ППД5[[#This Row],[Наценка 10.01.24 5%]]</f>
        <v>114444.16264071391</v>
      </c>
      <c r="BI580" s="93"/>
      <c r="BJ580" s="93">
        <f>ППД5[[#This Row],[Наценка 26.02.24 1 Этаж]]+ППД5[[#This Row],[Фикс 10.01.24]]</f>
        <v>114444.16264071391</v>
      </c>
      <c r="BK580" s="93">
        <f>ППД5[[#This Row],[Фикс 26.02.24]]*3%</f>
        <v>3433.3248792214172</v>
      </c>
      <c r="BL580" s="93">
        <f>ППД5[[#This Row],[Фикс 26.02.24]]+ППД5[[#This Row],[Наценка 06.03.24
СТ, 1К - 3%
2К, 3К - 2%]]</f>
        <v>117877.48751993533</v>
      </c>
      <c r="BM580" s="93"/>
      <c r="BN580" s="93">
        <f>ППД5[[#This Row],[Фикс 06.03.24]]+ППД5[[#This Row],[Наценка Г2+500]]</f>
        <v>117877.48751993533</v>
      </c>
      <c r="BO580" s="93"/>
      <c r="BP580" s="93">
        <f>ППД5[[#This Row],[Фикс 13.03.25]]+ППД5[[#This Row],[Наценка 20.03.24
2К, 3К - 2%]]</f>
        <v>117877.48751993533</v>
      </c>
      <c r="BQ580" s="93"/>
      <c r="BR580" s="93">
        <f>ППД5[[#This Row],[Фикс 20.03.24]]+ППД5[[#This Row],[Наценка 08.04.24 
2К: В3 - 150
3К: Г7 +1000]]</f>
        <v>117877.48751993533</v>
      </c>
      <c r="BS580" s="93"/>
      <c r="BT580" s="93">
        <f>ППД5[[#This Row],[Фикс 08.04.24]]+ППД5[[#This Row],[Наценка 16.05.24 1%
А4,А6,Б3,Б6,Б7,В2,В3,В5,В6,Г1,Г3-Г5]]</f>
        <v>117877.48751993533</v>
      </c>
      <c r="BU580" s="93">
        <f>ППД5[[#This Row],[Фикс 16.05.24]]*1%</f>
        <v>1178.7748751993533</v>
      </c>
      <c r="BV580" s="93">
        <f>ППД5[[#This Row],[Фикс 16.05.24]]+ППД5[[#This Row],[Наценка 24.05.24
1% - Б4, Б5,Г2,Г6
2% - А1,А3,А5,Б2,Г7]]</f>
        <v>119056.26239513468</v>
      </c>
      <c r="BW580" s="93">
        <f>ППД5[[#This Row],[Фикс 24.05.24]]*0.5%</f>
        <v>595.28131197567336</v>
      </c>
      <c r="BX580" s="93">
        <f>ППД5[[#This Row],[Наценка 06.06.24
0К: В2,Г3 +0,5%
1К: А7, Б5/4, Г6 +0,5%
3К: В6 +0,5%
1К: А3 +1%]]+ППД5[[#This Row],[Фикс 24.05.24]]</f>
        <v>119651.54370711035</v>
      </c>
      <c r="BY580" s="93"/>
      <c r="BZ580" s="93">
        <f>ППД5[[#This Row],[Фикс 06.06.24]]+ППД5[[#This Row],[13.06.2024
3К - 2%]]</f>
        <v>119651.54370711035</v>
      </c>
      <c r="CA580" s="93">
        <f>2.5%*ППД5[[#This Row],[Фикс 13.06.24]]</f>
        <v>2991.288592677759</v>
      </c>
      <c r="CB580" s="93">
        <f>ППД5[[#This Row],[02.07.2024: Г3 А1 А3 Б5 Б7 Г2 Г6 Б3 Б4 В3 Г7 2,5% ост 0,5-1,5%]]+ППД5[[#This Row],[Фикс 13.06.24]]</f>
        <v>122642.8322997881</v>
      </c>
      <c r="CC580" s="93"/>
      <c r="CD580" s="93">
        <f>ППД5[[#This Row],[Фикс 02.07.24]]+ППД5[[#This Row],[04.09.2024 +500
0К - Б2; 1К - А3;
2К - А6, Б4, В3, Г5]]</f>
        <v>122642.8322997881</v>
      </c>
      <c r="CE580" s="93">
        <f>ППД5[[#This Row],[Фикс 04.09.24]]*2%</f>
        <v>2452.8566459957619</v>
      </c>
      <c r="CF580" s="93">
        <f>ППД5[[#This Row],[Наценка 16.09.2024
1К: А1,В7,Г6/7,Г8 - 2%
2К: А4,А5,А6,Б1,Б6,Б3/4,В3,В4,Г4,Г5 - 4%
3К: 4%]]+ППД5[[#This Row],[Фикс 04.09.24]]</f>
        <v>125095.68894578387</v>
      </c>
      <c r="CG580" s="93">
        <f>ППД5[[#This Row],[Фикс 16.09.2024]]*5%</f>
        <v>6254.7844472891938</v>
      </c>
      <c r="CH580" s="93">
        <f>ППД5[[#This Row],[Фикс 16.09.2024]]+ППД5[[#This Row],[Наценка 01.11.24
СТ: 4%
1К: 34-40м 5%; 40м+ 8%; МГН 1%
2К: 55-70м 6%; 70-73м 7%; 73-76м 8% 
3К: 5%]]</f>
        <v>131350.47339307307</v>
      </c>
      <c r="CI580" s="93">
        <f>ППД5[[#This Row],[Фикс 01.11.24]]*13%</f>
        <v>17075.561541099501</v>
      </c>
      <c r="CJ580" s="93">
        <f>ППД5[[#This Row],[Наценка 06.11 13%]]+ППД5[[#This Row],[Фикс 01.11.24]]</f>
        <v>148426.03493417258</v>
      </c>
      <c r="CK580" s="93">
        <v>35</v>
      </c>
      <c r="CL580" s="93">
        <f>ППД5[[#This Row],[Фикс 06.11.24]]+ППД5[[#This Row],[Наценка 18.12.24 распределение КВ]]</f>
        <v>148461.03493417258</v>
      </c>
      <c r="CM580" s="93"/>
      <c r="CN580" s="93">
        <f>ППД5[[#This Row],[Фикс 18.12.24]]+ППД5[[#This Row],[Наценка 10.02.25 +1%
1К: А3
2К: Б3, В3]]</f>
        <v>148461.03493417258</v>
      </c>
      <c r="CO580" s="93">
        <f>ROUND(ППД5[[#This Row],[Фикс 10.02.25]],2)</f>
        <v>148461.03</v>
      </c>
      <c r="CP580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5686100</v>
      </c>
      <c r="CQ580" s="93">
        <f>ROUNDUP(ППД5[[#This Row],[Стоимость до скидки]]+ППД5[[#This Row],[Сумма доплаты]],-2)</f>
        <v>5597100</v>
      </c>
      <c r="CR580" s="68"/>
      <c r="CS580" s="90"/>
      <c r="CT580" s="68">
        <f>ППД5[[#This Row],[Стоимость до скидки]]*ППД5[[#This Row],[Скидка %]]+ППД5[[#This Row],[Скидка фиксированная]]</f>
        <v>0</v>
      </c>
      <c r="CU580" s="3">
        <f>ППД5[[#This Row],[Стоимость ОН без отделки со скидкой]]/ППД5[[#This Row],[Расчетная проектная площадь]]</f>
        <v>148462.14099216711</v>
      </c>
      <c r="CV580" s="3">
        <f>ROUND(ППД5[[#This Row],[Стоимость до скидки]]-ППД5[[#This Row],[Итоговая сумма скидки]],2)</f>
        <v>5686100</v>
      </c>
      <c r="CW580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80" s="197"/>
      <c r="CY580" s="332">
        <f>ППД5[[#This Row],[Расхождение]]/ППД5[[#This Row],[Расчетная проектная площадь]]</f>
        <v>-1.5665796344647556E-2</v>
      </c>
      <c r="CZ580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-0.37000000000000099</v>
      </c>
      <c r="DA580" s="3">
        <f>ППД5[[#This Row],[Цена м2 без отделки со скидкой]]+ППД5[[#This Row],[Стоимость отделки]]</f>
        <v>148462.14099216711</v>
      </c>
      <c r="DB580" s="3">
        <f>ППД5[[#This Row],[Стоимость квартиры с отделкой]]-ППД5[[#This Row],[Стоимость ОН без отделки со скидкой]]</f>
        <v>0</v>
      </c>
      <c r="DC580" s="3">
        <f>ППД5[[#This Row],[Цена м2 с отделкой]]*ППД5[[#This Row],[Расчетная проектная площадь]]</f>
        <v>5686100</v>
      </c>
      <c r="DD580" s="47"/>
      <c r="DF580" s="199" t="s">
        <v>157</v>
      </c>
      <c r="DG580" s="245" t="s">
        <v>157</v>
      </c>
      <c r="DH580" s="100" t="b">
        <f>EXACT(ППД5[[#This Row],[Статусы CRM]],ППД5[[#This Row],[Статус]])</f>
        <v>1</v>
      </c>
      <c r="DI580" s="213" t="s">
        <v>752</v>
      </c>
      <c r="DJ580" s="204"/>
      <c r="DK580" s="111" t="s">
        <v>763</v>
      </c>
      <c r="DL580" s="216" t="s">
        <v>12</v>
      </c>
      <c r="DM580" s="201" t="b">
        <f>ППД5[[#This Row],[Отделка CRM]]=ППД5[[#This Row],[Отделка]]</f>
        <v>1</v>
      </c>
      <c r="DN580" s="203">
        <v>5686100</v>
      </c>
      <c r="DO580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80" s="207" t="b">
        <f>IF(AND(ППД5[[#This Row],[Статус]]="свободно",ППД5[[#This Row],[Итоговая сумма скидки]]&lt;&gt;0),FALSE,TRUE)</f>
        <v>1</v>
      </c>
      <c r="DQ580" s="240" t="str">
        <f>_xlfn.XLOOKUP(ППД5[[#This Row],[№]],Юрист[№ кв],Юрист[Дата подачи на регистрацию]," ",0,-1)</f>
        <v xml:space="preserve"> </v>
      </c>
      <c r="DR580" s="115" t="str">
        <f>_xlfn.XLOOKUP(ППД5[[#This Row],[№]],Юрист[№ кв],Юрист[МОП],"",0,-1)</f>
        <v/>
      </c>
      <c r="DS580" s="333" t="s">
        <v>3452</v>
      </c>
      <c r="DT580" s="333" t="s">
        <v>3453</v>
      </c>
      <c r="DU580" s="333">
        <v>36.299999999999997</v>
      </c>
      <c r="DV580" s="111"/>
    </row>
    <row r="581" spans="1:126" hidden="1" x14ac:dyDescent="0.25">
      <c r="A581" s="112">
        <v>579</v>
      </c>
      <c r="B581" s="111" t="s">
        <v>2</v>
      </c>
      <c r="C581" s="111">
        <v>24</v>
      </c>
      <c r="D581" s="115">
        <v>7</v>
      </c>
      <c r="E581" s="111">
        <v>3</v>
      </c>
      <c r="F581" s="105">
        <v>14.49</v>
      </c>
      <c r="G581" s="105">
        <v>13.98</v>
      </c>
      <c r="H581" s="105">
        <v>11.42</v>
      </c>
      <c r="I581" s="94">
        <f>SUM(ППД5[[#This Row],[Комната 1]:[Комната 3]])</f>
        <v>39.89</v>
      </c>
      <c r="J581" s="105">
        <v>16.670000000000002</v>
      </c>
      <c r="K581" s="105">
        <v>4.1399999999999997</v>
      </c>
      <c r="L581" s="105">
        <v>1.89</v>
      </c>
      <c r="M581" s="105"/>
      <c r="N581" s="105">
        <v>11.31</v>
      </c>
      <c r="O581" s="105">
        <v>2.86</v>
      </c>
      <c r="P581" s="105">
        <v>2.79</v>
      </c>
      <c r="Q581" s="105">
        <v>5.42</v>
      </c>
      <c r="R581" s="105">
        <f>SUM(ППД5[[#This Row],[Лоджия 1]:[Лоджия 3]])</f>
        <v>11.07</v>
      </c>
      <c r="S581" s="8">
        <f>ROUND(SUM(ППД5[[#This Row],[Площадь по проекту жилая]:[Лоджия 3]]),2)</f>
        <v>84.97</v>
      </c>
      <c r="T581" s="8">
        <f>ROUND(ППД5[[#This Row],[Площадь по проекту(общая)]]-ППД5[[#This Row],[Летние]],2)</f>
        <v>73.900000000000006</v>
      </c>
      <c r="U581" s="91">
        <f>ROUND(ППД5[[#This Row],[Площадь по проекту(общая)]]-(SUM(ППД5[[#This Row],[Лоджия 1]:[Лоджия 3]])/2),2)</f>
        <v>79.44</v>
      </c>
      <c r="V581" s="91">
        <f>IF(ППД5[[#This Row],[Статус]]="продажа",ППД5[[#This Row],[Расчетная проектная площадь]],ППД5[[#This Row],[Расчетная ТП площадь]])</f>
        <v>78.249999999999986</v>
      </c>
      <c r="W581" s="91">
        <v>11.3</v>
      </c>
      <c r="X581" s="91">
        <v>14.4</v>
      </c>
      <c r="Y581" s="91">
        <v>14</v>
      </c>
      <c r="Z581" s="91">
        <f>SUM(ППД5[[#This Row],[ТП Комната 1]:[ТП Комната 3]])</f>
        <v>39.700000000000003</v>
      </c>
      <c r="AA581" s="91">
        <v>16.399999999999999</v>
      </c>
      <c r="AB581" s="91">
        <v>1.9</v>
      </c>
      <c r="AC581" s="91">
        <v>4</v>
      </c>
      <c r="AD581" s="91"/>
      <c r="AE581" s="91">
        <v>10.8</v>
      </c>
      <c r="AF581" s="91">
        <v>1.45</v>
      </c>
      <c r="AG581" s="91">
        <v>2.65</v>
      </c>
      <c r="AH581" s="91">
        <v>1.35</v>
      </c>
      <c r="AI581" s="91">
        <f>SUM(ППД5[[#This Row],[ТП Лоджия 1]:[ТП Лоджия 3]])</f>
        <v>5.4499999999999993</v>
      </c>
      <c r="AJ581" s="95">
        <v>10.899999999999999</v>
      </c>
      <c r="AK581" s="91">
        <f>SUM(ППД5[[#This Row],[Площадь по ТП жилая]:[ТП Лоджия 3]])-ППД5[[#This Row],[ТП Летние]]+ППД5[[#This Row],[кроме того прочая
(без коэффициента)]]</f>
        <v>83.699999999999989</v>
      </c>
      <c r="AL581" s="95">
        <f>ППД5[[#This Row],[ТП Площадь без летних]]+(ППД5[[#This Row],[ТП Летние]])</f>
        <v>78.249999999999986</v>
      </c>
      <c r="AM581" s="91">
        <f>ППД5[[#This Row],[ТП общая S]]-ППД5[[#This Row],[кроме того прочая
(без коэффициента)]]</f>
        <v>72.799999999999983</v>
      </c>
      <c r="AN581" s="95">
        <f>SUM(ППД5[[#This Row],[ТП Кухня]:[ТП Коридор]])</f>
        <v>33.099999999999994</v>
      </c>
      <c r="AO581" s="91">
        <f>ППД5[[#This Row],[Расчетная ТП площадь]]-ППД5[[#This Row],[Расчетная проектная площадь]]</f>
        <v>-1.1900000000000119</v>
      </c>
      <c r="AP581" s="335">
        <f>ППД5[[#This Row],[Расчетная ТП площадь]]/ППД5[[#This Row],[Расчетная проектная площадь]]-1</f>
        <v>-1.4979859013091845E-2</v>
      </c>
      <c r="AQ581" s="91">
        <f>ППД5[[#This Row],[% расхождения]]*ППД5[[#This Row],[Стоимость до скидки]]</f>
        <v>-157658.52215508773</v>
      </c>
      <c r="AR581" s="91">
        <f>VLOOKUP(ППД5[[#This Row],[№]],наценкад5[],COLUMN(наценкад5[[#This Row],[Цена м2 с учетом всех K]]),0)</f>
        <v>83513.430000000022</v>
      </c>
      <c r="AS581" s="8">
        <f>ППД5[[#This Row],[м2 после К]]*5%</f>
        <v>4175.6715000000013</v>
      </c>
      <c r="AT581" s="8">
        <f>ППД5[[#This Row],[м2 после К]]+ППД5[[#This Row],[Повышение 16.08.23 - 5%]]</f>
        <v>87689.101500000019</v>
      </c>
      <c r="AU581" s="93">
        <f>ППД5[[#This Row],[Фикс 16.08.23]]*3%</f>
        <v>2630.6730450000005</v>
      </c>
      <c r="AV581" s="93">
        <f>ППД5[[#This Row],[Фикс 16.08.23]]+ППД5[[#This Row],[Повышение 29.08.23 - 3%]]</f>
        <v>90319.774545000022</v>
      </c>
      <c r="AW581" s="93"/>
      <c r="AX581" s="93">
        <f>ППД5[[#This Row],[Фикс 29.08.23]]+ППД5[[#This Row],[Повышение 06.09.23 СТ и 1К]]</f>
        <v>90319.774545000022</v>
      </c>
      <c r="AY581" s="93"/>
      <c r="AZ581" s="93">
        <f>ППД5[[#This Row],[Повышение 23.10.23  В4 ]]+ППД5[[#This Row],[Фикс 06.09.23]]</f>
        <v>90319.774545000022</v>
      </c>
      <c r="BA581" s="93"/>
      <c r="BB581" s="93">
        <f>ППД5[[#This Row],[Повышение 8.11.23 1К 5%]]+ППД5[[#This Row],[Фикс 23.10.23]]</f>
        <v>90319.774545000022</v>
      </c>
      <c r="BC581" s="93"/>
      <c r="BD581" s="93">
        <f>ППД5[[#This Row],[Корректировка 24.11.23 - 1К В5, 2К А2, №233]]+ППД5[[#This Row],[Фикс 8.11.23]]</f>
        <v>90319.774545000022</v>
      </c>
      <c r="BE581" s="93">
        <f>ППД5[[#This Row],[Фикс 8.11.24]]*1%</f>
        <v>903.19774545000018</v>
      </c>
      <c r="BF581" s="93">
        <f>ППД5[[#This Row],[Наценка за отделку 29.12.23 1%]]+ППД5[[#This Row],[Фикс 8.11.24]]</f>
        <v>91222.972290450023</v>
      </c>
      <c r="BG581" s="93">
        <f>ППД5[[#This Row],[Фикс 29.12.23]]*5%</f>
        <v>4561.1486145225017</v>
      </c>
      <c r="BH581" s="93">
        <f>ППД5[[#This Row],[Фикс 29.12.23]]+ППД5[[#This Row],[Наценка 10.01.24 5%]]</f>
        <v>95784.120904972529</v>
      </c>
      <c r="BI581" s="93"/>
      <c r="BJ581" s="93">
        <f>ППД5[[#This Row],[Наценка 26.02.24 1 Этаж]]+ППД5[[#This Row],[Фикс 10.01.24]]</f>
        <v>95784.120904972529</v>
      </c>
      <c r="BK581" s="93">
        <f>ППД5[[#This Row],[Фикс 26.02.24]]*2%</f>
        <v>1915.6824180994506</v>
      </c>
      <c r="BL581" s="93">
        <f>ППД5[[#This Row],[Фикс 26.02.24]]+ППД5[[#This Row],[Наценка 06.03.24
СТ, 1К - 3%
2К, 3К - 2%]]</f>
        <v>97699.803323071974</v>
      </c>
      <c r="BM581" s="93"/>
      <c r="BN581" s="93">
        <f>ППД5[[#This Row],[Фикс 06.03.24]]+ППД5[[#This Row],[Наценка Г2+500]]</f>
        <v>97699.803323071974</v>
      </c>
      <c r="BO581" s="93">
        <f>ППД5[[#This Row],[Фикс 13.03.25]]*2%</f>
        <v>1953.9960664614396</v>
      </c>
      <c r="BP581" s="93">
        <f>ППД5[[#This Row],[Фикс 13.03.25]]+ППД5[[#This Row],[Наценка 20.03.24
2К, 3К - 2%]]</f>
        <v>99653.799389533408</v>
      </c>
      <c r="BQ581" s="93">
        <v>1000</v>
      </c>
      <c r="BR581" s="93">
        <f>ППД5[[#This Row],[Фикс 20.03.24]]+ППД5[[#This Row],[Наценка 08.04.24 
2К: В3 - 150
3К: Г7 +1000]]</f>
        <v>100653.79938953341</v>
      </c>
      <c r="BS581" s="93"/>
      <c r="BT581" s="93">
        <f>ППД5[[#This Row],[Фикс 08.04.24]]+ППД5[[#This Row],[Наценка 16.05.24 1%
А4,А6,Б3,Б6,Б7,В2,В3,В5,В6,Г1,Г3-Г5]]</f>
        <v>100653.79938953341</v>
      </c>
      <c r="BU581" s="93">
        <f>ППД5[[#This Row],[Фикс 16.05.24]]*2%</f>
        <v>2013.0759877906683</v>
      </c>
      <c r="BV581" s="93">
        <f>ППД5[[#This Row],[Фикс 16.05.24]]+ППД5[[#This Row],[Наценка 24.05.24
1% - Б4, Б5,Г2,Г6
2% - А1,А3,А5,Б2,Г7]]</f>
        <v>102666.87537732408</v>
      </c>
      <c r="BW581" s="93"/>
      <c r="BX581" s="93">
        <f>ППД5[[#This Row],[Наценка 06.06.24
0К: В2,Г3 +0,5%
1К: А7, Б5/4, Г6 +0,5%
3К: В6 +0,5%
1К: А3 +1%]]+ППД5[[#This Row],[Фикс 24.05.24]]</f>
        <v>102666.87537732408</v>
      </c>
      <c r="BY581" s="93">
        <f>ППД5[[#This Row],[Фикс 06.06.24]]*2%</f>
        <v>2053.3375075464814</v>
      </c>
      <c r="BZ581" s="93">
        <f>ППД5[[#This Row],[Фикс 06.06.24]]+ППД5[[#This Row],[13.06.2024
3К - 2%]]</f>
        <v>104720.21288487056</v>
      </c>
      <c r="CA581" s="93">
        <f>ППД5[[#This Row],[Фикс 13.06.24]]*2.5%</f>
        <v>2618.005322121764</v>
      </c>
      <c r="CB581" s="93">
        <f>ППД5[[#This Row],[02.07.2024: Г3 А1 А3 Б5 Б7 Г2 Г6 Б3 Б4 В3 Г7 2,5% ост 0,5-1,5%]]+ППД5[[#This Row],[Фикс 13.06.24]]</f>
        <v>107338.21820699233</v>
      </c>
      <c r="CC581" s="93"/>
      <c r="CD581" s="93">
        <f>ППД5[[#This Row],[Фикс 02.07.24]]+ППД5[[#This Row],[04.09.2024 +500
0К - Б2; 1К - А3;
2К - А6, Б4, В3, Г5]]</f>
        <v>107338.21820699233</v>
      </c>
      <c r="CE581" s="93">
        <f>ППД5[[#This Row],[Фикс 04.09.24]]*4%</f>
        <v>4293.5287282796935</v>
      </c>
      <c r="CF581" s="93">
        <f>ППД5[[#This Row],[Наценка 16.09.2024
1К: А1,В7,Г6/7,Г8 - 2%
2К: А4,А5,А6,Б1,Б6,Б3/4,В3,В4,Г4,Г5 - 4%
3К: 4%]]+ППД5[[#This Row],[Фикс 04.09.24]]</f>
        <v>111631.74693527202</v>
      </c>
      <c r="CG581" s="219">
        <f>5%*ППД5[[#This Row],[Фикс 16.09.2024]]</f>
        <v>5581.5873467636011</v>
      </c>
      <c r="CH581" s="93">
        <f>ППД5[[#This Row],[Фикс 16.09.2024]]+ППД5[[#This Row],[Наценка 01.11.24
СТ: 4%
1К: 34-40м 5%; 40м+ 8%; МГН 1%
2К: 55-70м 6%; 70-73м 7%; 73-76м 8% 
3К: 5%]]</f>
        <v>117213.33428203562</v>
      </c>
      <c r="CI581" s="93">
        <f>ППД5[[#This Row],[Фикс 01.11.24]]*13%</f>
        <v>15237.733456664631</v>
      </c>
      <c r="CJ581" s="93">
        <f>ППД5[[#This Row],[Наценка 06.11 13%]]+ППД5[[#This Row],[Фикс 01.11.24]]</f>
        <v>132451.06773870025</v>
      </c>
      <c r="CK581" s="93">
        <v>35</v>
      </c>
      <c r="CL581" s="93">
        <f>ППД5[[#This Row],[Фикс 06.11.24]]+ППД5[[#This Row],[Наценка 18.12.24 распределение КВ]]</f>
        <v>132486.06773870025</v>
      </c>
      <c r="CM581" s="93"/>
      <c r="CN581" s="93">
        <f>ППД5[[#This Row],[Фикс 18.12.24]]+ППД5[[#This Row],[Наценка 10.02.25 +1%
1К: А3
2К: Б3, В3]]</f>
        <v>132486.06773870025</v>
      </c>
      <c r="CO581" s="93">
        <f>ROUND(ППД5[[#This Row],[Фикс 10.02.25]],2)</f>
        <v>132486.07</v>
      </c>
      <c r="CP581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10524700</v>
      </c>
      <c r="CQ581" s="93">
        <f>ROUNDUP(ППД5[[#This Row],[Стоимость до скидки]]+ППД5[[#This Row],[Сумма доплаты]],-2)</f>
        <v>10367100</v>
      </c>
      <c r="CR581" s="68"/>
      <c r="CS581" s="90"/>
      <c r="CT581" s="68">
        <f>ППД5[[#This Row],[Стоимость до скидки]]*ППД5[[#This Row],[Скидка %]]+ППД5[[#This Row],[Скидка фиксированная]]</f>
        <v>0</v>
      </c>
      <c r="CU581" s="3">
        <f>ППД5[[#This Row],[Стоимость ОН без отделки со скидкой]]/ППД5[[#This Row],[Расчетная проектная площадь]]</f>
        <v>132486.15307150051</v>
      </c>
      <c r="CV581" s="3">
        <f>ROUND(ППД5[[#This Row],[Стоимость до скидки]]-ППД5[[#This Row],[Итоговая сумма скидки]],2)</f>
        <v>10524700</v>
      </c>
      <c r="CW581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81" s="197"/>
      <c r="CY581" s="332">
        <f>ППД5[[#This Row],[Расхождение]]/ППД5[[#This Row],[Расчетная проектная площадь]]</f>
        <v>-1.4979859013091791E-2</v>
      </c>
      <c r="CZ581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-0.9100000000000108</v>
      </c>
      <c r="DA581" s="3">
        <f>ППД5[[#This Row],[Цена м2 без отделки со скидкой]]+ППД5[[#This Row],[Стоимость отделки]]</f>
        <v>132486.15307150051</v>
      </c>
      <c r="DB581" s="3">
        <f>ППД5[[#This Row],[Стоимость квартиры с отделкой]]-ППД5[[#This Row],[Стоимость ОН без отделки со скидкой]]</f>
        <v>0</v>
      </c>
      <c r="DC581" s="3">
        <f>ППД5[[#This Row],[Цена м2 с отделкой]]*ППД5[[#This Row],[Расчетная проектная площадь]]</f>
        <v>10524700</v>
      </c>
      <c r="DD581" s="3" t="s">
        <v>155</v>
      </c>
      <c r="DF581" s="199" t="s">
        <v>157</v>
      </c>
      <c r="DG581" s="245" t="s">
        <v>157</v>
      </c>
      <c r="DH581" s="100" t="b">
        <f>EXACT(ППД5[[#This Row],[Статусы CRM]],ППД5[[#This Row],[Статус]])</f>
        <v>1</v>
      </c>
      <c r="DI581" s="213" t="s">
        <v>753</v>
      </c>
      <c r="DJ581" s="204"/>
      <c r="DK581" s="111" t="s">
        <v>763</v>
      </c>
      <c r="DL581" s="216" t="s">
        <v>12</v>
      </c>
      <c r="DM581" s="201" t="b">
        <f>ППД5[[#This Row],[Отделка CRM]]=ППД5[[#This Row],[Отделка]]</f>
        <v>1</v>
      </c>
      <c r="DN581" s="203">
        <v>10524700</v>
      </c>
      <c r="DO581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81" s="207" t="b">
        <f>IF(AND(ППД5[[#This Row],[Статус]]="свободно",ППД5[[#This Row],[Итоговая сумма скидки]]&lt;&gt;0),FALSE,TRUE)</f>
        <v>1</v>
      </c>
      <c r="DQ581" s="240" t="str">
        <f>_xlfn.XLOOKUP(ППД5[[#This Row],[№]],Юрист[№ кв],Юрист[Дата подачи на регистрацию]," ",0,-1)</f>
        <v xml:space="preserve"> </v>
      </c>
      <c r="DR581" s="115" t="str">
        <f>_xlfn.XLOOKUP(ППД5[[#This Row],[№]],Юрист[№ кв],Юрист[МОП],"",0,-1)</f>
        <v/>
      </c>
      <c r="DS581" s="333" t="s">
        <v>3454</v>
      </c>
      <c r="DT581" s="333" t="s">
        <v>3455</v>
      </c>
      <c r="DU581" s="333">
        <v>72.8</v>
      </c>
      <c r="DV581" s="111"/>
    </row>
    <row r="582" spans="1:126" hidden="1" x14ac:dyDescent="0.25">
      <c r="A582" s="112">
        <v>580</v>
      </c>
      <c r="B582" s="111" t="s">
        <v>2</v>
      </c>
      <c r="C582" s="111">
        <v>24</v>
      </c>
      <c r="D582" s="115">
        <v>8</v>
      </c>
      <c r="E582" s="111">
        <v>1</v>
      </c>
      <c r="F582" s="105">
        <v>16.79</v>
      </c>
      <c r="G582" s="105"/>
      <c r="H582" s="105"/>
      <c r="I582" s="94">
        <f>SUM(ППД5[[#This Row],[Комната 1]:[Комната 3]])</f>
        <v>16.79</v>
      </c>
      <c r="J582" s="105">
        <v>11.43</v>
      </c>
      <c r="K582" s="105">
        <v>3.56</v>
      </c>
      <c r="L582" s="105"/>
      <c r="M582" s="105"/>
      <c r="N582" s="105">
        <v>6.66</v>
      </c>
      <c r="O582" s="105">
        <v>2.4900000000000002</v>
      </c>
      <c r="P582" s="105"/>
      <c r="Q582" s="105"/>
      <c r="R582" s="105">
        <f>SUM(ППД5[[#This Row],[Лоджия 1]:[Лоджия 3]])</f>
        <v>2.4900000000000002</v>
      </c>
      <c r="S582" s="8">
        <f>ROUND(SUM(ППД5[[#This Row],[Площадь по проекту жилая]:[Лоджия 3]]),2)</f>
        <v>40.93</v>
      </c>
      <c r="T582" s="8">
        <f>ROUND(ППД5[[#This Row],[Площадь по проекту(общая)]]-ППД5[[#This Row],[Летние]],2)</f>
        <v>38.44</v>
      </c>
      <c r="U582" s="91">
        <f>ROUND(ППД5[[#This Row],[Площадь по проекту(общая)]]-(SUM(ППД5[[#This Row],[Лоджия 1]:[Лоджия 3]])/2),2)</f>
        <v>39.69</v>
      </c>
      <c r="V582" s="91">
        <f>IF(ППД5[[#This Row],[Статус]]="продажа",ППД5[[#This Row],[Расчетная проектная площадь]],ППД5[[#This Row],[Расчетная ТП площадь]])</f>
        <v>39.550000000000004</v>
      </c>
      <c r="W582" s="91">
        <v>16.7</v>
      </c>
      <c r="X582" s="91"/>
      <c r="Y582" s="91"/>
      <c r="Z582" s="91">
        <f>SUM(ППД5[[#This Row],[ТП Комната 1]:[ТП Комната 3]])</f>
        <v>16.7</v>
      </c>
      <c r="AA582" s="91">
        <v>11.4</v>
      </c>
      <c r="AB582" s="91">
        <v>3.5</v>
      </c>
      <c r="AC582" s="91"/>
      <c r="AD582" s="91"/>
      <c r="AE582" s="91">
        <v>6.7</v>
      </c>
      <c r="AF582" s="92">
        <v>1.25</v>
      </c>
      <c r="AG582" s="91"/>
      <c r="AH582" s="91"/>
      <c r="AI582" s="91">
        <f>SUM(ППД5[[#This Row],[ТП Лоджия 1]:[ТП Лоджия 3]])</f>
        <v>1.25</v>
      </c>
      <c r="AJ582" s="95">
        <v>2.5</v>
      </c>
      <c r="AK582" s="91">
        <f>SUM(ППД5[[#This Row],[Площадь по ТП жилая]:[ТП Лоджия 3]])-ППД5[[#This Row],[ТП Летние]]+ППД5[[#This Row],[кроме того прочая
(без коэффициента)]]</f>
        <v>40.800000000000004</v>
      </c>
      <c r="AL582" s="95">
        <f>ППД5[[#This Row],[ТП Площадь без летних]]+(ППД5[[#This Row],[ТП Летние]])</f>
        <v>39.550000000000004</v>
      </c>
      <c r="AM582" s="91">
        <f>ППД5[[#This Row],[ТП общая S]]-ППД5[[#This Row],[кроме того прочая
(без коэффициента)]]</f>
        <v>38.300000000000004</v>
      </c>
      <c r="AN582" s="95">
        <f>SUM(ППД5[[#This Row],[ТП Кухня]:[ТП Коридор]])</f>
        <v>21.6</v>
      </c>
      <c r="AO582" s="91">
        <f>ППД5[[#This Row],[Расчетная ТП площадь]]-ППД5[[#This Row],[Расчетная проектная площадь]]</f>
        <v>-0.13999999999999346</v>
      </c>
      <c r="AP582" s="335">
        <f>ППД5[[#This Row],[Расчетная ТП площадь]]/ППД5[[#This Row],[Расчетная проектная площадь]]-1</f>
        <v>-3.5273368606700828E-3</v>
      </c>
      <c r="AQ582" s="91">
        <f>ППД5[[#This Row],[% расхождения]]*ППД5[[#This Row],[Стоимость до скидки]]</f>
        <v>-20504.056437389125</v>
      </c>
      <c r="AR582" s="91">
        <f>VLOOKUP(ППД5[[#This Row],[№]],наценкад5[],COLUMN(наценкад5[[#This Row],[Цена м2 с учетом всех K]]),0)</f>
        <v>92873.8125</v>
      </c>
      <c r="AS582" s="8">
        <f>ППД5[[#This Row],[м2 после К]]*5%</f>
        <v>4643.6906250000002</v>
      </c>
      <c r="AT582" s="8">
        <f>ППД5[[#This Row],[м2 после К]]+ППД5[[#This Row],[Повышение 16.08.23 - 5%]]</f>
        <v>97517.503125000003</v>
      </c>
      <c r="AU582" s="93">
        <f>ППД5[[#This Row],[Фикс 16.08.23]]*3%</f>
        <v>2925.52509375</v>
      </c>
      <c r="AV582" s="93">
        <f>ППД5[[#This Row],[Фикс 16.08.23]]+ППД5[[#This Row],[Повышение 29.08.23 - 3%]]</f>
        <v>100443.02821875</v>
      </c>
      <c r="AW582" s="93">
        <f>ППД5[[#This Row],[Фикс 29.08.23]]*4.5%</f>
        <v>4519.9362698437499</v>
      </c>
      <c r="AX582" s="93">
        <f>ППД5[[#This Row],[Фикс 29.08.23]]+ППД5[[#This Row],[Повышение 06.09.23 СТ и 1К]]</f>
        <v>104962.96448859375</v>
      </c>
      <c r="AY582" s="93"/>
      <c r="AZ582" s="93">
        <f>ППД5[[#This Row],[Повышение 23.10.23  В4 ]]+ППД5[[#This Row],[Фикс 06.09.23]]</f>
        <v>104962.96448859375</v>
      </c>
      <c r="BA582" s="93">
        <f>ППД5[[#This Row],[Фикс 23.10.23]]*5%</f>
        <v>5248.1482244296876</v>
      </c>
      <c r="BB582" s="93">
        <f>ППД5[[#This Row],[Повышение 8.11.23 1К 5%]]+ППД5[[#This Row],[Фикс 23.10.23]]</f>
        <v>110211.11271302344</v>
      </c>
      <c r="BC582" s="93"/>
      <c r="BD582" s="93">
        <f>ППД5[[#This Row],[Корректировка 24.11.23 - 1К В5, 2К А2, №233]]+ППД5[[#This Row],[Фикс 8.11.23]]</f>
        <v>110211.11271302344</v>
      </c>
      <c r="BE582" s="93">
        <f>ППД5[[#This Row],[Фикс 8.11.24]]*1%</f>
        <v>1102.1111271302343</v>
      </c>
      <c r="BF582" s="93">
        <f>ППД5[[#This Row],[Наценка за отделку 29.12.23 1%]]+ППД5[[#This Row],[Фикс 8.11.24]]</f>
        <v>111313.22384015367</v>
      </c>
      <c r="BG582" s="93">
        <f>ППД5[[#This Row],[Фикс 29.12.23]]*5%</f>
        <v>5565.6611920076839</v>
      </c>
      <c r="BH582" s="93">
        <f>ППД5[[#This Row],[Фикс 29.12.23]]+ППД5[[#This Row],[Наценка 10.01.24 5%]]</f>
        <v>116878.88503216136</v>
      </c>
      <c r="BI582" s="93"/>
      <c r="BJ582" s="93">
        <f>ППД5[[#This Row],[Наценка 26.02.24 1 Этаж]]+ППД5[[#This Row],[Фикс 10.01.24]]</f>
        <v>116878.88503216136</v>
      </c>
      <c r="BK582" s="93">
        <f>ППД5[[#This Row],[Фикс 26.02.24]]*3%</f>
        <v>3506.3665509648404</v>
      </c>
      <c r="BL582" s="93">
        <f>ППД5[[#This Row],[Фикс 26.02.24]]+ППД5[[#This Row],[Наценка 06.03.24
СТ, 1К - 3%
2К, 3К - 2%]]</f>
        <v>120385.2515831262</v>
      </c>
      <c r="BM582" s="93"/>
      <c r="BN582" s="93">
        <f>ППД5[[#This Row],[Фикс 06.03.24]]+ППД5[[#This Row],[Наценка Г2+500]]</f>
        <v>120385.2515831262</v>
      </c>
      <c r="BO582" s="93"/>
      <c r="BP582" s="93">
        <f>ППД5[[#This Row],[Фикс 13.03.25]]+ППД5[[#This Row],[Наценка 20.03.24
2К, 3К - 2%]]</f>
        <v>120385.2515831262</v>
      </c>
      <c r="BQ582" s="93"/>
      <c r="BR582" s="93">
        <f>ППД5[[#This Row],[Фикс 20.03.24]]+ППД5[[#This Row],[Наценка 08.04.24 
2К: В3 - 150
3К: Г7 +1000]]</f>
        <v>120385.2515831262</v>
      </c>
      <c r="BS582" s="93"/>
      <c r="BT582" s="93">
        <f>ППД5[[#This Row],[Фикс 08.04.24]]+ППД5[[#This Row],[Наценка 16.05.24 1%
А4,А6,Б3,Б6,Б7,В2,В3,В5,В6,Г1,Г3-Г5]]</f>
        <v>120385.2515831262</v>
      </c>
      <c r="BU582" s="93"/>
      <c r="BV582" s="93">
        <f>ППД5[[#This Row],[Фикс 16.05.24]]+ППД5[[#This Row],[Наценка 24.05.24
1% - Б4, Б5,Г2,Г6
2% - А1,А3,А5,Б2,Г7]]</f>
        <v>120385.2515831262</v>
      </c>
      <c r="BW582" s="93"/>
      <c r="BX582" s="93">
        <f>ППД5[[#This Row],[Наценка 06.06.24
0К: В2,Г3 +0,5%
1К: А7, Б5/4, Г6 +0,5%
3К: В6 +0,5%
1К: А3 +1%]]+ППД5[[#This Row],[Фикс 24.05.24]]</f>
        <v>120385.2515831262</v>
      </c>
      <c r="BY582" s="93"/>
      <c r="BZ582" s="93">
        <f>ППД5[[#This Row],[Фикс 06.06.24]]+ППД5[[#This Row],[13.06.2024
3К - 2%]]</f>
        <v>120385.2515831262</v>
      </c>
      <c r="CA582" s="93">
        <f>0.5%*ППД5[[#This Row],[Фикс 13.06.24]]</f>
        <v>601.92625791563103</v>
      </c>
      <c r="CB582" s="93">
        <f>ППД5[[#This Row],[02.07.2024: Г3 А1 А3 Б5 Б7 Г2 Г6 Б3 Б4 В3 Г7 2,5% ост 0,5-1,5%]]+ППД5[[#This Row],[Фикс 13.06.24]]</f>
        <v>120987.17784104183</v>
      </c>
      <c r="CC582" s="93"/>
      <c r="CD582" s="93">
        <f>ППД5[[#This Row],[Фикс 02.07.24]]+ППД5[[#This Row],[04.09.2024 +500
0К - Б2; 1К - А3;
2К - А6, Б4, В3, Г5]]</f>
        <v>120987.17784104183</v>
      </c>
      <c r="CE582" s="93">
        <f>ППД5[[#This Row],[Фикс 04.09.24]]*2%</f>
        <v>2419.7435568208366</v>
      </c>
      <c r="CF582" s="93">
        <f>ППД5[[#This Row],[Наценка 16.09.2024
1К: А1,В7,Г6/7,Г8 - 2%
2К: А4,А5,А6,Б1,Б6,Б3/4,В3,В4,Г4,Г5 - 4%
3К: 4%]]+ППД5[[#This Row],[Фикс 04.09.24]]</f>
        <v>123406.92139786266</v>
      </c>
      <c r="CG582" s="93">
        <f>ППД5[[#This Row],[Фикс 16.09.2024]]*5%</f>
        <v>6170.346069893134</v>
      </c>
      <c r="CH582" s="93">
        <f>ППД5[[#This Row],[Фикс 16.09.2024]]+ППД5[[#This Row],[Наценка 01.11.24
СТ: 4%
1К: 34-40м 5%; 40м+ 8%; МГН 1%
2К: 55-70м 6%; 70-73м 7%; 73-76м 8% 
3К: 5%]]</f>
        <v>129577.2674677558</v>
      </c>
      <c r="CI582" s="93">
        <f>ППД5[[#This Row],[Фикс 01.11.24]]*13%</f>
        <v>16845.044770808254</v>
      </c>
      <c r="CJ582" s="93">
        <f>ППД5[[#This Row],[Наценка 06.11 13%]]+ППД5[[#This Row],[Фикс 01.11.24]]</f>
        <v>146422.31223856405</v>
      </c>
      <c r="CK582" s="93">
        <v>35</v>
      </c>
      <c r="CL582" s="93">
        <f>ППД5[[#This Row],[Фикс 06.11.24]]+ППД5[[#This Row],[Наценка 18.12.24 распределение КВ]]</f>
        <v>146457.31223856405</v>
      </c>
      <c r="CM582" s="93"/>
      <c r="CN582" s="93">
        <f>ППД5[[#This Row],[Фикс 18.12.24]]+ППД5[[#This Row],[Наценка 10.02.25 +1%
1К: А3
2К: Б3, В3]]</f>
        <v>146457.31223856405</v>
      </c>
      <c r="CO582" s="93">
        <f>ROUND(ППД5[[#This Row],[Фикс 10.02.25]],2)</f>
        <v>146457.31</v>
      </c>
      <c r="CP582" s="93">
        <f>IF(ППД5[[#This Row],[Округление]]="ДА",ROUNDUP(ППД5[[#This Row],[утв цена м2]]*ППД5[[#This Row],[Расчетная проектная площадь]],-2),ROUND(ППД5[[#This Row],[утв цена м2]]*ППД5[[#This Row],[Расчетная проектная площадь]],2))</f>
        <v>5812900</v>
      </c>
      <c r="CQ582" s="93">
        <f>ROUNDUP(ППД5[[#This Row],[Стоимость до скидки]]+ППД5[[#This Row],[Сумма доплаты]],-2)</f>
        <v>5792400</v>
      </c>
      <c r="CR582" s="68"/>
      <c r="CS582" s="90"/>
      <c r="CT582" s="68">
        <f>ППД5[[#This Row],[Стоимость до скидки]]*ППД5[[#This Row],[Скидка %]]+ППД5[[#This Row],[Скидка фиксированная]]</f>
        <v>0</v>
      </c>
      <c r="CU582" s="3">
        <f>ППД5[[#This Row],[Стоимость ОН без отделки со скидкой]]/ППД5[[#This Row],[Расчетная проектная площадь]]</f>
        <v>146457.54598135551</v>
      </c>
      <c r="CV582" s="3">
        <f>ROUND(ППД5[[#This Row],[Стоимость до скидки]]-ППД5[[#This Row],[Итоговая сумма скидки]],2)</f>
        <v>5812900</v>
      </c>
      <c r="CW582" s="3" t="str">
        <f>IF(ППД5[[#This Row],[№]]=205,"Чистовая",IF(ППД5[[#This Row],[Стоимость отделки]]=0,"Черновая","") &amp; IF((OR(ППД5[[#This Row],[Стоимость отделки]]=7000,ППД5[[#This Row],[Стоимость отделки]]=8000,ППД5[[#This Row],[Стоимость отделки]]=10000)),"White Box","") &amp; IF(OR(ППД5[[#This Row],[Стоимость отделки]]=7500,ППД5[[#This Row],[Стоимость отделки]]=6000,ППД5[[#This Row],[Стоимость отделки]]=5000,ППД5[[#This Row],[Стоимость отделки]]=4500,ППД5[[#This Row],[Стоимость отделки]]=4000),"Предчистовая","") &amp; IF(OR(ППД5[[#This Row],[Стоимость отделки]]=15000,ППД5[[#This Row],[Стоимость отделки]]=15500,ППД5[[#This Row],[Стоимость отделки]]=16000,ППД5[[#This Row],[Стоимость отделки]]=20000,ППД5[[#This Row],[Стоимость отделки]]=22000,ППД5[[#This Row],[Стоимость отделки]]=24000,ППД5[[#This Row],[Стоимость отделки]]=25000),"Чистовая",""))</f>
        <v>Черновая</v>
      </c>
      <c r="CX582" s="197"/>
      <c r="CY582" s="332">
        <f>ППД5[[#This Row],[Расхождение]]/ППД5[[#This Row],[Расчетная проектная площадь]]</f>
        <v>-3.5273368606700294E-3</v>
      </c>
      <c r="CZ582" s="328">
        <f>ППД5[[#This Row],[ТП Кухня]]+ППД5[[#This Row],[ТП Ванная]]+ППД5[[#This Row],[ТП С\У]]+ППД5[[#This Row],[ТП Гардеробная]]+ППД5[[#This Row],[ТП Коридор]]-ППД5[[#This Row],[Коридор]]-ППД5[[#This Row],[Гардеробная]]-ППД5[[#This Row],[С\У]]-ППД5[[#This Row],[Ванная]]-ППД5[[#This Row],[Кухня]]</f>
        <v>-4.9999999999998934E-2</v>
      </c>
      <c r="DA582" s="3">
        <f>ППД5[[#This Row],[Цена м2 без отделки со скидкой]]+ППД5[[#This Row],[Стоимость отделки]]</f>
        <v>146457.54598135551</v>
      </c>
      <c r="DB582" s="3">
        <f>ППД5[[#This Row],[Стоимость квартиры с отделкой]]-ППД5[[#This Row],[Стоимость ОН без отделки со скидкой]]</f>
        <v>0</v>
      </c>
      <c r="DC582" s="3">
        <f>ППД5[[#This Row],[Цена м2 с отделкой]]*ППД5[[#This Row],[Расчетная проектная площадь]]</f>
        <v>5812900</v>
      </c>
      <c r="DD582" s="47"/>
      <c r="DF582" s="155" t="s">
        <v>157</v>
      </c>
      <c r="DG582" s="221" t="s">
        <v>157</v>
      </c>
      <c r="DH582" s="100" t="b">
        <f>EXACT(ППД5[[#This Row],[Статусы CRM]],ППД5[[#This Row],[Статус]])</f>
        <v>1</v>
      </c>
      <c r="DI582" s="213" t="s">
        <v>754</v>
      </c>
      <c r="DJ582" s="204"/>
      <c r="DK582" s="111" t="s">
        <v>763</v>
      </c>
      <c r="DL582" s="216" t="s">
        <v>12</v>
      </c>
      <c r="DM582" s="201" t="b">
        <f>ППД5[[#This Row],[Отделка CRM]]=ППД5[[#This Row],[Отделка]]</f>
        <v>1</v>
      </c>
      <c r="DN582" s="203">
        <v>5812900</v>
      </c>
      <c r="DO582" s="203">
        <f>IF(ППД5[[#This Row],[Стоимость по переуступке]]="",ППД5[[#This Row],[Стоимость CRM]]-ППД5[[#This Row],[Стоимость квартиры с отделкой]],ППД5[[#This Row],[Стоимость по переуступке]]-ППД5[[#This Row],[Стоимость CRM]])</f>
        <v>0</v>
      </c>
      <c r="DP582" s="207" t="b">
        <f>IF(AND(ППД5[[#This Row],[Статус]]="свободно",ППД5[[#This Row],[Итоговая сумма скидки]]&lt;&gt;0),FALSE,TRUE)</f>
        <v>1</v>
      </c>
      <c r="DQ582" s="240" t="str">
        <f>_xlfn.XLOOKUP(ППД5[[#This Row],[№]],Юрист[№ кв],Юрист[Дата подачи на регистрацию]," ",0,-1)</f>
        <v xml:space="preserve"> </v>
      </c>
      <c r="DR582" s="115" t="str">
        <f>_xlfn.XLOOKUP(ППД5[[#This Row],[№]],Юрист[№ кв],Юрист[МОП],"",0,-1)</f>
        <v/>
      </c>
      <c r="DS582" s="333" t="s">
        <v>3456</v>
      </c>
      <c r="DT582" s="333" t="s">
        <v>3457</v>
      </c>
      <c r="DU582" s="333">
        <v>38.299999999999997</v>
      </c>
      <c r="DV582" s="111"/>
    </row>
    <row r="583" spans="1:126" x14ac:dyDescent="0.25">
      <c r="O583" s="105"/>
      <c r="P583" s="105"/>
      <c r="Q583" s="105"/>
      <c r="S583" s="94"/>
      <c r="DD583" s="204"/>
    </row>
    <row r="584" spans="1:126" x14ac:dyDescent="0.25">
      <c r="P584" s="105"/>
      <c r="Q584" s="105"/>
      <c r="AM584" s="355"/>
      <c r="CU584" s="10"/>
      <c r="CV584" s="108"/>
      <c r="CW584" s="204"/>
      <c r="CX584" s="111"/>
      <c r="CY584" s="108"/>
      <c r="CZ584" s="356"/>
      <c r="DA584" s="357"/>
      <c r="DB584" s="108"/>
      <c r="DD584" s="212"/>
      <c r="DE584" s="108"/>
      <c r="DH584" s="111"/>
      <c r="DI584" s="108"/>
      <c r="DM584" s="108"/>
    </row>
    <row r="585" spans="1:126" ht="12" x14ac:dyDescent="0.25">
      <c r="J585" s="105"/>
      <c r="AK585" s="355"/>
      <c r="AL585" s="355"/>
      <c r="AM585" s="355"/>
      <c r="AN585" s="355"/>
      <c r="BR585" s="209"/>
      <c r="BS585" s="209"/>
      <c r="BT585" s="209"/>
      <c r="BU585" s="209"/>
      <c r="BV585" s="209"/>
      <c r="BW585" s="209"/>
      <c r="BX585" s="209"/>
      <c r="BY585" s="209"/>
      <c r="BZ585" s="209"/>
      <c r="CA585" s="209"/>
      <c r="CB585" s="209"/>
      <c r="CC585" s="209"/>
      <c r="CD585" s="209"/>
      <c r="CE585" s="209"/>
      <c r="CF585" s="209"/>
      <c r="CG585" s="209"/>
      <c r="CH585" s="209"/>
      <c r="CI585" s="209"/>
      <c r="CJ585" s="209"/>
      <c r="CK585" s="209"/>
      <c r="CL585" s="209"/>
      <c r="CM585" s="209"/>
      <c r="CN585" s="209"/>
      <c r="CO585" s="209"/>
      <c r="CR585" s="325"/>
      <c r="CS585" s="324"/>
      <c r="CU585" s="10"/>
      <c r="CV585" s="196"/>
      <c r="CW585" s="10"/>
      <c r="CX585" s="111"/>
      <c r="CY585" s="108"/>
      <c r="CZ585" s="356"/>
      <c r="DA585" s="357"/>
      <c r="DB585" s="108"/>
      <c r="DE585" s="108"/>
      <c r="DH585" s="111"/>
      <c r="DI585" s="108"/>
      <c r="DM585" s="108"/>
    </row>
    <row r="586" spans="1:126" x14ac:dyDescent="0.25">
      <c r="J586" s="204"/>
      <c r="P586" s="105"/>
      <c r="Q586" s="105"/>
      <c r="AE586" s="177"/>
      <c r="BS586" s="209"/>
      <c r="BT586" s="209"/>
      <c r="BU586" s="209"/>
      <c r="BV586" s="209"/>
      <c r="BW586" s="209"/>
      <c r="BX586" s="209"/>
      <c r="BY586" s="209"/>
      <c r="BZ586" s="209"/>
      <c r="CA586" s="209"/>
      <c r="CB586" s="209"/>
      <c r="CC586" s="209"/>
      <c r="CD586" s="209"/>
      <c r="CE586" s="209"/>
      <c r="CF586" s="209"/>
      <c r="CG586" s="209"/>
      <c r="CH586" s="209"/>
      <c r="CI586" s="209"/>
      <c r="CJ586" s="209"/>
      <c r="CK586" s="209"/>
      <c r="CL586" s="209"/>
      <c r="CM586" s="209"/>
      <c r="CN586" s="209"/>
      <c r="CO586" s="209"/>
      <c r="CS586" s="323"/>
      <c r="DB586" s="108"/>
      <c r="DD586" s="204"/>
      <c r="DE586" s="108"/>
      <c r="DH586" s="111"/>
      <c r="DI586" s="108"/>
      <c r="DM586" s="108"/>
    </row>
    <row r="587" spans="1:126" x14ac:dyDescent="0.25">
      <c r="AE587" s="358"/>
      <c r="AL587" s="358"/>
      <c r="AP587" s="358"/>
      <c r="CS587" s="323"/>
      <c r="DD587" s="204"/>
    </row>
    <row r="588" spans="1:126" x14ac:dyDescent="0.25">
      <c r="J588" s="105"/>
      <c r="AE588" s="359"/>
      <c r="AF588" s="360"/>
      <c r="AL588" s="359"/>
      <c r="AP588" s="359"/>
      <c r="DD588" s="204"/>
    </row>
    <row r="589" spans="1:126" x14ac:dyDescent="0.25">
      <c r="AA589" s="177"/>
      <c r="AE589" s="361"/>
      <c r="AF589" s="358"/>
      <c r="AL589" s="361"/>
      <c r="AP589" s="361"/>
    </row>
    <row r="590" spans="1:126" x14ac:dyDescent="0.25">
      <c r="AA590" s="209"/>
      <c r="AF590" s="359"/>
      <c r="CP590" s="14">
        <f>CP69*AP69</f>
        <v>-89455.106964774168</v>
      </c>
    </row>
    <row r="591" spans="1:126" x14ac:dyDescent="0.25">
      <c r="Y591" s="209"/>
      <c r="Z591" s="209"/>
      <c r="AB591" s="209"/>
      <c r="AC591" s="209"/>
      <c r="AD591" s="209"/>
      <c r="AF591" s="361"/>
      <c r="CP591" s="14">
        <f>DC69*AP69</f>
        <v>-96655.106964774182</v>
      </c>
      <c r="DD591" s="204"/>
    </row>
    <row r="592" spans="1:126" x14ac:dyDescent="0.25">
      <c r="Y592" s="209"/>
      <c r="Z592" s="209"/>
      <c r="AA592" s="362"/>
      <c r="AB592" s="209"/>
      <c r="AC592" s="209"/>
      <c r="AD592" s="209"/>
    </row>
    <row r="593" spans="25:30" x14ac:dyDescent="0.25">
      <c r="Y593" s="209"/>
      <c r="Z593" s="209"/>
      <c r="AA593" s="209"/>
      <c r="AB593" s="209"/>
      <c r="AC593" s="209"/>
      <c r="AD593" s="209"/>
    </row>
    <row r="594" spans="25:30" x14ac:dyDescent="0.25">
      <c r="Y594" s="209"/>
      <c r="Z594" s="209"/>
      <c r="AA594" s="209"/>
      <c r="AB594" s="209"/>
      <c r="AC594" s="209"/>
      <c r="AD594" s="209"/>
    </row>
    <row r="595" spans="25:30" x14ac:dyDescent="0.25">
      <c r="Y595" s="209"/>
      <c r="Z595" s="209"/>
      <c r="AA595" s="209"/>
      <c r="AB595" s="209"/>
      <c r="AC595" s="209"/>
      <c r="AD595" s="209"/>
    </row>
    <row r="596" spans="25:30" x14ac:dyDescent="0.25">
      <c r="Y596" s="209"/>
      <c r="Z596" s="209"/>
      <c r="AA596" s="209"/>
      <c r="AB596" s="209"/>
      <c r="AC596" s="209"/>
      <c r="AD596" s="209"/>
    </row>
    <row r="597" spans="25:30" x14ac:dyDescent="0.25">
      <c r="Y597" s="209"/>
      <c r="Z597" s="209"/>
      <c r="AA597" s="209"/>
      <c r="AB597" s="209"/>
      <c r="AC597" s="209"/>
      <c r="AD597" s="209"/>
    </row>
    <row r="598" spans="25:30" x14ac:dyDescent="0.25">
      <c r="Y598" s="209"/>
      <c r="Z598" s="209"/>
      <c r="AA598" s="209"/>
      <c r="AB598" s="209"/>
      <c r="AC598" s="209"/>
      <c r="AD598" s="209"/>
    </row>
    <row r="599" spans="25:30" x14ac:dyDescent="0.25">
      <c r="Y599" s="209"/>
      <c r="Z599" s="209"/>
      <c r="AA599" s="209"/>
      <c r="AB599" s="209"/>
      <c r="AC599" s="209"/>
      <c r="AD599" s="209"/>
    </row>
    <row r="600" spans="25:30" x14ac:dyDescent="0.25">
      <c r="Y600" s="209"/>
      <c r="Z600" s="209"/>
      <c r="AA600" s="209"/>
      <c r="AB600" s="209"/>
      <c r="AC600" s="209"/>
      <c r="AD600" s="209"/>
    </row>
  </sheetData>
  <mergeCells count="1">
    <mergeCell ref="DG1:DH1"/>
  </mergeCells>
  <phoneticPr fontId="6" type="noConversion"/>
  <conditionalFormatting sqref="DF2:DF11 DF545 DF423 DF41 DF251 DF133:DF145 DF220 DF253:DF257 DF309:DF310 DF282 DF304:DF306 CX584:CX585 DE583 DF334:DF336 DF539 DF14:DF39 DF43:DF53 DF75:DF79 DF81:DF95 DF97:DF102 DF123:DF131 DF222:DF249 DF259:DF261 DF312:DF332 DF338:DF342 DF344:DF351 DF353:DF356 DF358:DF375 DF377:DF382 DF425:DF441 DF443:DF466 DF498:DF510 DF512:DF519 DF521:DF526 DF536:DF537 DF582 DF263:DF273 DF528:DF534 DF183:DF187 DF104:DF121 DF189:DF193 DF275:DF280 DF55:DF58 DF294:DF302 DF384:DF421 DF541:DF543 DE587:DE1048576 DF284:DF292 DF195:DF216 DF147:DF181 DF60:DF73 DF468:DF477 DF479:DF496 DF547:DF579">
    <cfRule type="containsText" dxfId="361" priority="419" operator="containsText" text="Свободно">
      <formula>NOT(ISERROR(SEARCH("Свободно",CX2)))</formula>
    </cfRule>
    <cfRule type="containsText" dxfId="360" priority="420" operator="containsText" text="*Бронь">
      <formula>NOT(ISERROR(SEARCH("*Бронь",CX2)))</formula>
    </cfRule>
    <cfRule type="containsText" dxfId="359" priority="421" operator="containsText" text="*Резерв">
      <formula>NOT(ISERROR(SEARCH("*Резерв",CX2)))</formula>
    </cfRule>
    <cfRule type="containsText" dxfId="358" priority="422" operator="containsText" text="Продажа">
      <formula>NOT(ISERROR(SEARCH("Продажа",CX2)))</formula>
    </cfRule>
  </conditionalFormatting>
  <conditionalFormatting sqref="AW404:AW580 BL497:BR497 BL401:BR401 BL529:BR529 BL398:CO398 BL399:CZ400 BS401:CZ403 BL494:CZ496 BS497:CZ499 BL526:CZ528 BT529:CZ531 DH3:DH582 CB128:CO128 CS544:CZ544 A116:X116 Z7:AH7 A7:X7 AQ3:CO127 AQ129:CO227 AQ128:BZ128 AO526:BK529 AO494:BK497 AO398:BK401 AO402:BR403 AO498:BR499 AO530:BR531 AO500:CZ525 AO532:CZ543 AO544:CQ544 AO404:CZ493 AO545:CZ582 AO228:CO397 CP3:CZ398 DA496:DD496 DA526:DD526 DA403:DD403 DA3:DE402 DA404:DE495 DA497:DE525 DA527:DE582 Z116:AH116 A8:AH115 A3:AL3 AN3 AM3:AM582 AI4:AK582 A4:AH6 A117:AH277 A278:AE278 AH278 A279:AH582">
    <cfRule type="expression" dxfId="357" priority="600">
      <formula>AND(ROW(A3)=CELL("строка"),$DF$1="Подсветка ВКЛ")</formula>
    </cfRule>
  </conditionalFormatting>
  <conditionalFormatting sqref="DP3:DP582">
    <cfRule type="cellIs" dxfId="356" priority="415" operator="equal">
      <formula>FALSE</formula>
    </cfRule>
  </conditionalFormatting>
  <conditionalFormatting sqref="DF184">
    <cfRule type="containsText" dxfId="355" priority="411" operator="containsText" text="Свободно">
      <formula>NOT(ISERROR(SEARCH("Свободно",DF184)))</formula>
    </cfRule>
    <cfRule type="containsText" dxfId="354" priority="412" operator="containsText" text="*Бронь">
      <formula>NOT(ISERROR(SEARCH("*Бронь",DF184)))</formula>
    </cfRule>
    <cfRule type="containsText" dxfId="353" priority="413" operator="containsText" text="*Резерв">
      <formula>NOT(ISERROR(SEARCH("*Резерв",DF184)))</formula>
    </cfRule>
    <cfRule type="containsText" dxfId="352" priority="414" operator="containsText" text="Продажа">
      <formula>NOT(ISERROR(SEARCH("Продажа",DF184)))</formula>
    </cfRule>
  </conditionalFormatting>
  <conditionalFormatting sqref="DF417">
    <cfRule type="containsText" dxfId="351" priority="407" operator="containsText" text="Свободно">
      <formula>NOT(ISERROR(SEARCH("Свободно",DF417)))</formula>
    </cfRule>
    <cfRule type="containsText" dxfId="350" priority="408" operator="containsText" text="*Бронь">
      <formula>NOT(ISERROR(SEARCH("*Бронь",DF417)))</formula>
    </cfRule>
    <cfRule type="containsText" dxfId="349" priority="409" operator="containsText" text="*Резерв">
      <formula>NOT(ISERROR(SEARCH("*Резерв",DF417)))</formula>
    </cfRule>
    <cfRule type="containsText" dxfId="348" priority="410" operator="containsText" text="Продажа">
      <formula>NOT(ISERROR(SEARCH("Продажа",DF417)))</formula>
    </cfRule>
  </conditionalFormatting>
  <conditionalFormatting sqref="DF70">
    <cfRule type="containsText" dxfId="347" priority="403" operator="containsText" text="Свободно">
      <formula>NOT(ISERROR(SEARCH("Свободно",DF70)))</formula>
    </cfRule>
    <cfRule type="containsText" dxfId="346" priority="404" operator="containsText" text="*Бронь">
      <formula>NOT(ISERROR(SEARCH("*Бронь",DF70)))</formula>
    </cfRule>
    <cfRule type="containsText" dxfId="345" priority="405" operator="containsText" text="*Резерв">
      <formula>NOT(ISERROR(SEARCH("*Резерв",DF70)))</formula>
    </cfRule>
    <cfRule type="containsText" dxfId="344" priority="406" operator="containsText" text="Продажа">
      <formula>NOT(ISERROR(SEARCH("Продажа",DF70)))</formula>
    </cfRule>
  </conditionalFormatting>
  <conditionalFormatting sqref="DF110">
    <cfRule type="containsText" dxfId="343" priority="399" operator="containsText" text="Свободно">
      <formula>NOT(ISERROR(SEARCH("Свободно",DF110)))</formula>
    </cfRule>
    <cfRule type="containsText" dxfId="342" priority="400" operator="containsText" text="*Бронь">
      <formula>NOT(ISERROR(SEARCH("*Бронь",DF110)))</formula>
    </cfRule>
    <cfRule type="containsText" dxfId="341" priority="401" operator="containsText" text="*Резерв">
      <formula>NOT(ISERROR(SEARCH("*Резерв",DF110)))</formula>
    </cfRule>
    <cfRule type="containsText" dxfId="340" priority="402" operator="containsText" text="Продажа">
      <formula>NOT(ISERROR(SEARCH("Продажа",DF110)))</formula>
    </cfRule>
  </conditionalFormatting>
  <conditionalFormatting sqref="DF49">
    <cfRule type="containsText" dxfId="339" priority="395" operator="containsText" text="Свободно">
      <formula>NOT(ISERROR(SEARCH("Свободно",DF49)))</formula>
    </cfRule>
    <cfRule type="containsText" dxfId="338" priority="396" operator="containsText" text="*Бронь">
      <formula>NOT(ISERROR(SEARCH("*Бронь",DF49)))</formula>
    </cfRule>
    <cfRule type="containsText" dxfId="337" priority="397" operator="containsText" text="*Резерв">
      <formula>NOT(ISERROR(SEARCH("*Резерв",DF49)))</formula>
    </cfRule>
    <cfRule type="containsText" dxfId="336" priority="398" operator="containsText" text="Продажа">
      <formula>NOT(ISERROR(SEARCH("Продажа",DF49)))</formula>
    </cfRule>
  </conditionalFormatting>
  <conditionalFormatting sqref="DF181">
    <cfRule type="containsText" dxfId="335" priority="391" operator="containsText" text="Свободно">
      <formula>NOT(ISERROR(SEARCH("Свободно",DF181)))</formula>
    </cfRule>
    <cfRule type="containsText" dxfId="334" priority="392" operator="containsText" text="*Бронь">
      <formula>NOT(ISERROR(SEARCH("*Бронь",DF181)))</formula>
    </cfRule>
    <cfRule type="containsText" dxfId="333" priority="393" operator="containsText" text="*Резерв">
      <formula>NOT(ISERROR(SEARCH("*Резерв",DF181)))</formula>
    </cfRule>
    <cfRule type="containsText" dxfId="332" priority="394" operator="containsText" text="Продажа">
      <formula>NOT(ISERROR(SEARCH("Продажа",DF181)))</formula>
    </cfRule>
  </conditionalFormatting>
  <conditionalFormatting sqref="DF167">
    <cfRule type="containsText" dxfId="331" priority="387" operator="containsText" text="Свободно">
      <formula>NOT(ISERROR(SEARCH("Свободно",DF167)))</formula>
    </cfRule>
    <cfRule type="containsText" dxfId="330" priority="388" operator="containsText" text="*Бронь">
      <formula>NOT(ISERROR(SEARCH("*Бронь",DF167)))</formula>
    </cfRule>
    <cfRule type="containsText" dxfId="329" priority="389" operator="containsText" text="*Резерв">
      <formula>NOT(ISERROR(SEARCH("*Резерв",DF167)))</formula>
    </cfRule>
    <cfRule type="containsText" dxfId="328" priority="390" operator="containsText" text="Продажа">
      <formula>NOT(ISERROR(SEARCH("Продажа",DF167)))</formula>
    </cfRule>
  </conditionalFormatting>
  <conditionalFormatting sqref="DF171">
    <cfRule type="containsText" dxfId="327" priority="383" operator="containsText" text="Свободно">
      <formula>NOT(ISERROR(SEARCH("Свободно",DF171)))</formula>
    </cfRule>
    <cfRule type="containsText" dxfId="326" priority="384" operator="containsText" text="*Бронь">
      <formula>NOT(ISERROR(SEARCH("*Бронь",DF171)))</formula>
    </cfRule>
    <cfRule type="containsText" dxfId="325" priority="385" operator="containsText" text="*Резерв">
      <formula>NOT(ISERROR(SEARCH("*Резерв",DF171)))</formula>
    </cfRule>
    <cfRule type="containsText" dxfId="324" priority="386" operator="containsText" text="Продажа">
      <formula>NOT(ISERROR(SEARCH("Продажа",DF171)))</formula>
    </cfRule>
  </conditionalFormatting>
  <conditionalFormatting sqref="DF129">
    <cfRule type="containsText" dxfId="323" priority="379" operator="containsText" text="Свободно">
      <formula>NOT(ISERROR(SEARCH("Свободно",DF129)))</formula>
    </cfRule>
    <cfRule type="containsText" dxfId="322" priority="380" operator="containsText" text="*Бронь">
      <formula>NOT(ISERROR(SEARCH("*Бронь",DF129)))</formula>
    </cfRule>
    <cfRule type="containsText" dxfId="321" priority="381" operator="containsText" text="*Резерв">
      <formula>NOT(ISERROR(SEARCH("*Резерв",DF129)))</formula>
    </cfRule>
    <cfRule type="containsText" dxfId="320" priority="382" operator="containsText" text="Продажа">
      <formula>NOT(ISERROR(SEARCH("Продажа",DF129)))</formula>
    </cfRule>
  </conditionalFormatting>
  <conditionalFormatting sqref="DF220">
    <cfRule type="containsText" dxfId="319" priority="375" operator="containsText" text="Свободно">
      <formula>NOT(ISERROR(SEARCH("Свободно",DF220)))</formula>
    </cfRule>
    <cfRule type="containsText" dxfId="318" priority="376" operator="containsText" text="*Бронь">
      <formula>NOT(ISERROR(SEARCH("*Бронь",DF220)))</formula>
    </cfRule>
    <cfRule type="containsText" dxfId="317" priority="377" operator="containsText" text="*Резерв">
      <formula>NOT(ISERROR(SEARCH("*Резерв",DF220)))</formula>
    </cfRule>
    <cfRule type="containsText" dxfId="316" priority="378" operator="containsText" text="Продажа">
      <formula>NOT(ISERROR(SEARCH("Продажа",DF220)))</formula>
    </cfRule>
  </conditionalFormatting>
  <conditionalFormatting sqref="DF140">
    <cfRule type="containsText" dxfId="315" priority="371" operator="containsText" text="Свободно">
      <formula>NOT(ISERROR(SEARCH("Свободно",DF140)))</formula>
    </cfRule>
    <cfRule type="containsText" dxfId="314" priority="372" operator="containsText" text="*Бронь">
      <formula>NOT(ISERROR(SEARCH("*Бронь",DF140)))</formula>
    </cfRule>
    <cfRule type="containsText" dxfId="313" priority="373" operator="containsText" text="*Резерв">
      <formula>NOT(ISERROR(SEARCH("*Резерв",DF140)))</formula>
    </cfRule>
    <cfRule type="containsText" dxfId="312" priority="374" operator="containsText" text="Продажа">
      <formula>NOT(ISERROR(SEARCH("Продажа",DF140)))</formula>
    </cfRule>
  </conditionalFormatting>
  <conditionalFormatting sqref="DF260">
    <cfRule type="containsText" dxfId="311" priority="367" operator="containsText" text="Свободно">
      <formula>NOT(ISERROR(SEARCH("Свободно",DF260)))</formula>
    </cfRule>
    <cfRule type="containsText" dxfId="310" priority="368" operator="containsText" text="*Бронь">
      <formula>NOT(ISERROR(SEARCH("*Бронь",DF260)))</formula>
    </cfRule>
    <cfRule type="containsText" dxfId="309" priority="369" operator="containsText" text="*Резерв">
      <formula>NOT(ISERROR(SEARCH("*Резерв",DF260)))</formula>
    </cfRule>
    <cfRule type="containsText" dxfId="308" priority="370" operator="containsText" text="Продажа">
      <formula>NOT(ISERROR(SEARCH("Продажа",DF260)))</formula>
    </cfRule>
  </conditionalFormatting>
  <conditionalFormatting sqref="BS529:BS531">
    <cfRule type="expression" dxfId="307" priority="366">
      <formula>AND(ROW(BS529)=CELL("строка"),$DF$1="Подсветка ВКЛ")</formula>
    </cfRule>
  </conditionalFormatting>
  <conditionalFormatting sqref="DF511">
    <cfRule type="containsText" dxfId="306" priority="362" operator="containsText" text="Свободно">
      <formula>NOT(ISERROR(SEARCH("Свободно",DF511)))</formula>
    </cfRule>
    <cfRule type="containsText" dxfId="305" priority="363" operator="containsText" text="*Бронь">
      <formula>NOT(ISERROR(SEARCH("*Бронь",DF511)))</formula>
    </cfRule>
    <cfRule type="containsText" dxfId="304" priority="364" operator="containsText" text="*Резерв">
      <formula>NOT(ISERROR(SEARCH("*Резерв",DF511)))</formula>
    </cfRule>
    <cfRule type="containsText" dxfId="303" priority="365" operator="containsText" text="Продажа">
      <formula>NOT(ISERROR(SEARCH("Продажа",DF511)))</formula>
    </cfRule>
  </conditionalFormatting>
  <conditionalFormatting sqref="DF463">
    <cfRule type="containsText" dxfId="302" priority="358" operator="containsText" text="Свободно">
      <formula>NOT(ISERROR(SEARCH("Свободно",DF463)))</formula>
    </cfRule>
    <cfRule type="containsText" dxfId="301" priority="359" operator="containsText" text="*Бронь">
      <formula>NOT(ISERROR(SEARCH("*Бронь",DF463)))</formula>
    </cfRule>
    <cfRule type="containsText" dxfId="300" priority="360" operator="containsText" text="*Резерв">
      <formula>NOT(ISERROR(SEARCH("*Резерв",DF463)))</formula>
    </cfRule>
    <cfRule type="containsText" dxfId="299" priority="361" operator="containsText" text="Продажа">
      <formula>NOT(ISERROR(SEARCH("Продажа",DF463)))</formula>
    </cfRule>
  </conditionalFormatting>
  <conditionalFormatting sqref="DF410">
    <cfRule type="containsText" dxfId="298" priority="354" operator="containsText" text="Свободно">
      <formula>NOT(ISERROR(SEARCH("Свободно",DF410)))</formula>
    </cfRule>
    <cfRule type="containsText" dxfId="297" priority="355" operator="containsText" text="*Бронь">
      <formula>NOT(ISERROR(SEARCH("*Бронь",DF410)))</formula>
    </cfRule>
    <cfRule type="containsText" dxfId="296" priority="356" operator="containsText" text="*Резерв">
      <formula>NOT(ISERROR(SEARCH("*Резерв",DF410)))</formula>
    </cfRule>
    <cfRule type="containsText" dxfId="295" priority="357" operator="containsText" text="Продажа">
      <formula>NOT(ISERROR(SEARCH("Продажа",DF410)))</formula>
    </cfRule>
  </conditionalFormatting>
  <conditionalFormatting sqref="DF200">
    <cfRule type="containsText" dxfId="294" priority="346" operator="containsText" text="Свободно">
      <formula>NOT(ISERROR(SEARCH("Свободно",DF200)))</formula>
    </cfRule>
    <cfRule type="containsText" dxfId="293" priority="347" operator="containsText" text="*Бронь">
      <formula>NOT(ISERROR(SEARCH("*Бронь",DF200)))</formula>
    </cfRule>
    <cfRule type="containsText" dxfId="292" priority="348" operator="containsText" text="*Резерв">
      <formula>NOT(ISERROR(SEARCH("*Резерв",DF200)))</formula>
    </cfRule>
    <cfRule type="containsText" dxfId="291" priority="349" operator="containsText" text="Продажа">
      <formula>NOT(ISERROR(SEARCH("Продажа",DF200)))</formula>
    </cfRule>
  </conditionalFormatting>
  <conditionalFormatting sqref="DF129">
    <cfRule type="containsText" dxfId="290" priority="342" operator="containsText" text="Свободно">
      <formula>NOT(ISERROR(SEARCH("Свободно",DF129)))</formula>
    </cfRule>
    <cfRule type="containsText" dxfId="289" priority="343" operator="containsText" text="*Бронь">
      <formula>NOT(ISERROR(SEARCH("*Бронь",DF129)))</formula>
    </cfRule>
    <cfRule type="containsText" dxfId="288" priority="344" operator="containsText" text="*Резерв">
      <formula>NOT(ISERROR(SEARCH("*Резерв",DF129)))</formula>
    </cfRule>
    <cfRule type="containsText" dxfId="287" priority="345" operator="containsText" text="Продажа">
      <formula>NOT(ISERROR(SEARCH("Продажа",DF129)))</formula>
    </cfRule>
  </conditionalFormatting>
  <conditionalFormatting sqref="DF129">
    <cfRule type="containsText" dxfId="286" priority="338" operator="containsText" text="Свободно">
      <formula>NOT(ISERROR(SEARCH("Свободно",DF129)))</formula>
    </cfRule>
    <cfRule type="containsText" dxfId="285" priority="339" operator="containsText" text="*Бронь">
      <formula>NOT(ISERROR(SEARCH("*Бронь",DF129)))</formula>
    </cfRule>
    <cfRule type="containsText" dxfId="284" priority="340" operator="containsText" text="*Резерв">
      <formula>NOT(ISERROR(SEARCH("*Резерв",DF129)))</formula>
    </cfRule>
    <cfRule type="containsText" dxfId="283" priority="341" operator="containsText" text="Продажа">
      <formula>NOT(ISERROR(SEARCH("Продажа",DF129)))</formula>
    </cfRule>
  </conditionalFormatting>
  <conditionalFormatting sqref="DF141">
    <cfRule type="containsText" dxfId="282" priority="334" operator="containsText" text="Свободно">
      <formula>NOT(ISERROR(SEARCH("Свободно",DF141)))</formula>
    </cfRule>
    <cfRule type="containsText" dxfId="281" priority="335" operator="containsText" text="*Бронь">
      <formula>NOT(ISERROR(SEARCH("*Бронь",DF141)))</formula>
    </cfRule>
    <cfRule type="containsText" dxfId="280" priority="336" operator="containsText" text="*Резерв">
      <formula>NOT(ISERROR(SEARCH("*Резерв",DF141)))</formula>
    </cfRule>
    <cfRule type="containsText" dxfId="279" priority="337" operator="containsText" text="Продажа">
      <formula>NOT(ISERROR(SEARCH("Продажа",DF141)))</formula>
    </cfRule>
  </conditionalFormatting>
  <conditionalFormatting sqref="DF201">
    <cfRule type="containsText" dxfId="278" priority="330" operator="containsText" text="Свободно">
      <formula>NOT(ISERROR(SEARCH("Свободно",DF201)))</formula>
    </cfRule>
    <cfRule type="containsText" dxfId="277" priority="331" operator="containsText" text="*Бронь">
      <formula>NOT(ISERROR(SEARCH("*Бронь",DF201)))</formula>
    </cfRule>
    <cfRule type="containsText" dxfId="276" priority="332" operator="containsText" text="*Резерв">
      <formula>NOT(ISERROR(SEARCH("*Резерв",DF201)))</formula>
    </cfRule>
    <cfRule type="containsText" dxfId="275" priority="333" operator="containsText" text="Продажа">
      <formula>NOT(ISERROR(SEARCH("Продажа",DF201)))</formula>
    </cfRule>
  </conditionalFormatting>
  <conditionalFormatting sqref="DF254">
    <cfRule type="containsText" dxfId="274" priority="326" operator="containsText" text="Свободно">
      <formula>NOT(ISERROR(SEARCH("Свободно",DF254)))</formula>
    </cfRule>
    <cfRule type="containsText" dxfId="273" priority="327" operator="containsText" text="*Бронь">
      <formula>NOT(ISERROR(SEARCH("*Бронь",DF254)))</formula>
    </cfRule>
    <cfRule type="containsText" dxfId="272" priority="328" operator="containsText" text="*Резерв">
      <formula>NOT(ISERROR(SEARCH("*Резерв",DF254)))</formula>
    </cfRule>
    <cfRule type="containsText" dxfId="271" priority="329" operator="containsText" text="Продажа">
      <formula>NOT(ISERROR(SEARCH("Продажа",DF254)))</formula>
    </cfRule>
  </conditionalFormatting>
  <conditionalFormatting sqref="DF291">
    <cfRule type="containsText" dxfId="270" priority="322" operator="containsText" text="Свободно">
      <formula>NOT(ISERROR(SEARCH("Свободно",DF291)))</formula>
    </cfRule>
    <cfRule type="containsText" dxfId="269" priority="323" operator="containsText" text="*Бронь">
      <formula>NOT(ISERROR(SEARCH("*Бронь",DF291)))</formula>
    </cfRule>
    <cfRule type="containsText" dxfId="268" priority="324" operator="containsText" text="*Резерв">
      <formula>NOT(ISERROR(SEARCH("*Резерв",DF291)))</formula>
    </cfRule>
    <cfRule type="containsText" dxfId="267" priority="325" operator="containsText" text="Продажа">
      <formula>NOT(ISERROR(SEARCH("Продажа",DF291)))</formula>
    </cfRule>
  </conditionalFormatting>
  <conditionalFormatting sqref="DF523">
    <cfRule type="containsText" dxfId="266" priority="318" operator="containsText" text="Свободно">
      <formula>NOT(ISERROR(SEARCH("Свободно",DF523)))</formula>
    </cfRule>
    <cfRule type="containsText" dxfId="265" priority="319" operator="containsText" text="*Бронь">
      <formula>NOT(ISERROR(SEARCH("*Бронь",DF523)))</formula>
    </cfRule>
    <cfRule type="containsText" dxfId="264" priority="320" operator="containsText" text="*Резерв">
      <formula>NOT(ISERROR(SEARCH("*Резерв",DF523)))</formula>
    </cfRule>
    <cfRule type="containsText" dxfId="263" priority="321" operator="containsText" text="Продажа">
      <formula>NOT(ISERROR(SEARCH("Продажа",DF523)))</formula>
    </cfRule>
  </conditionalFormatting>
  <conditionalFormatting sqref="DF562">
    <cfRule type="containsText" dxfId="262" priority="314" operator="containsText" text="Свободно">
      <formula>NOT(ISERROR(SEARCH("Свободно",DF562)))</formula>
    </cfRule>
    <cfRule type="containsText" dxfId="261" priority="315" operator="containsText" text="*Бронь">
      <formula>NOT(ISERROR(SEARCH("*Бронь",DF562)))</formula>
    </cfRule>
    <cfRule type="containsText" dxfId="260" priority="316" operator="containsText" text="*Резерв">
      <formula>NOT(ISERROR(SEARCH("*Резерв",DF562)))</formula>
    </cfRule>
    <cfRule type="containsText" dxfId="259" priority="317" operator="containsText" text="Продажа">
      <formula>NOT(ISERROR(SEARCH("Продажа",DF562)))</formula>
    </cfRule>
  </conditionalFormatting>
  <conditionalFormatting sqref="DF369">
    <cfRule type="containsText" dxfId="258" priority="310" operator="containsText" text="Свободно">
      <formula>NOT(ISERROR(SEARCH("Свободно",DF369)))</formula>
    </cfRule>
    <cfRule type="containsText" dxfId="257" priority="311" operator="containsText" text="*Бронь">
      <formula>NOT(ISERROR(SEARCH("*Бронь",DF369)))</formula>
    </cfRule>
    <cfRule type="containsText" dxfId="256" priority="312" operator="containsText" text="*Резерв">
      <formula>NOT(ISERROR(SEARCH("*Резерв",DF369)))</formula>
    </cfRule>
    <cfRule type="containsText" dxfId="255" priority="313" operator="containsText" text="Продажа">
      <formula>NOT(ISERROR(SEARCH("Продажа",DF369)))</formula>
    </cfRule>
  </conditionalFormatting>
  <conditionalFormatting sqref="DF209">
    <cfRule type="containsText" dxfId="254" priority="306" operator="containsText" text="Свободно">
      <formula>NOT(ISERROR(SEARCH("Свободно",DF209)))</formula>
    </cfRule>
    <cfRule type="containsText" dxfId="253" priority="307" operator="containsText" text="*Бронь">
      <formula>NOT(ISERROR(SEARCH("*Бронь",DF209)))</formula>
    </cfRule>
    <cfRule type="containsText" dxfId="252" priority="308" operator="containsText" text="*Резерв">
      <formula>NOT(ISERROR(SEARCH("*Резерв",DF209)))</formula>
    </cfRule>
    <cfRule type="containsText" dxfId="251" priority="309" operator="containsText" text="Продажа">
      <formula>NOT(ISERROR(SEARCH("Продажа",DF209)))</formula>
    </cfRule>
  </conditionalFormatting>
  <conditionalFormatting sqref="DF209">
    <cfRule type="containsText" dxfId="250" priority="302" operator="containsText" text="Свободно">
      <formula>NOT(ISERROR(SEARCH("Свободно",DF209)))</formula>
    </cfRule>
    <cfRule type="containsText" dxfId="249" priority="303" operator="containsText" text="*Бронь">
      <formula>NOT(ISERROR(SEARCH("*Бронь",DF209)))</formula>
    </cfRule>
    <cfRule type="containsText" dxfId="248" priority="304" operator="containsText" text="*Резерв">
      <formula>NOT(ISERROR(SEARCH("*Резерв",DF209)))</formula>
    </cfRule>
    <cfRule type="containsText" dxfId="247" priority="305" operator="containsText" text="Продажа">
      <formula>NOT(ISERROR(SEARCH("Продажа",DF209)))</formula>
    </cfRule>
  </conditionalFormatting>
  <conditionalFormatting sqref="DF209">
    <cfRule type="containsText" dxfId="246" priority="298" operator="containsText" text="Свободно">
      <formula>NOT(ISERROR(SEARCH("Свободно",DF209)))</formula>
    </cfRule>
    <cfRule type="containsText" dxfId="245" priority="299" operator="containsText" text="*Бронь">
      <formula>NOT(ISERROR(SEARCH("*Бронь",DF209)))</formula>
    </cfRule>
    <cfRule type="containsText" dxfId="244" priority="300" operator="containsText" text="*Резерв">
      <formula>NOT(ISERROR(SEARCH("*Резерв",DF209)))</formula>
    </cfRule>
    <cfRule type="containsText" dxfId="243" priority="301" operator="containsText" text="Продажа">
      <formula>NOT(ISERROR(SEARCH("Продажа",DF209)))</formula>
    </cfRule>
  </conditionalFormatting>
  <conditionalFormatting sqref="DF299">
    <cfRule type="containsText" dxfId="242" priority="294" operator="containsText" text="Свободно">
      <formula>NOT(ISERROR(SEARCH("Свободно",DF299)))</formula>
    </cfRule>
    <cfRule type="containsText" dxfId="241" priority="295" operator="containsText" text="*Бронь">
      <formula>NOT(ISERROR(SEARCH("*Бронь",DF299)))</formula>
    </cfRule>
    <cfRule type="containsText" dxfId="240" priority="296" operator="containsText" text="*Резерв">
      <formula>NOT(ISERROR(SEARCH("*Резерв",DF299)))</formula>
    </cfRule>
    <cfRule type="containsText" dxfId="239" priority="297" operator="containsText" text="Продажа">
      <formula>NOT(ISERROR(SEARCH("Продажа",DF299)))</formula>
    </cfRule>
  </conditionalFormatting>
  <conditionalFormatting sqref="DF299">
    <cfRule type="containsText" dxfId="238" priority="290" operator="containsText" text="Свободно">
      <formula>NOT(ISERROR(SEARCH("Свободно",DF299)))</formula>
    </cfRule>
    <cfRule type="containsText" dxfId="237" priority="291" operator="containsText" text="*Бронь">
      <formula>NOT(ISERROR(SEARCH("*Бронь",DF299)))</formula>
    </cfRule>
    <cfRule type="containsText" dxfId="236" priority="292" operator="containsText" text="*Резерв">
      <formula>NOT(ISERROR(SEARCH("*Резерв",DF299)))</formula>
    </cfRule>
    <cfRule type="containsText" dxfId="235" priority="293" operator="containsText" text="Продажа">
      <formula>NOT(ISERROR(SEARCH("Продажа",DF299)))</formula>
    </cfRule>
  </conditionalFormatting>
  <conditionalFormatting sqref="DF299">
    <cfRule type="containsText" dxfId="234" priority="286" operator="containsText" text="Свободно">
      <formula>NOT(ISERROR(SEARCH("Свободно",DF299)))</formula>
    </cfRule>
    <cfRule type="containsText" dxfId="233" priority="287" operator="containsText" text="*Бронь">
      <formula>NOT(ISERROR(SEARCH("*Бронь",DF299)))</formula>
    </cfRule>
    <cfRule type="containsText" dxfId="232" priority="288" operator="containsText" text="*Резерв">
      <formula>NOT(ISERROR(SEARCH("*Резерв",DF299)))</formula>
    </cfRule>
    <cfRule type="containsText" dxfId="231" priority="289" operator="containsText" text="Продажа">
      <formula>NOT(ISERROR(SEARCH("Продажа",DF299)))</formula>
    </cfRule>
  </conditionalFormatting>
  <conditionalFormatting sqref="DF347">
    <cfRule type="containsText" dxfId="230" priority="282" operator="containsText" text="Свободно">
      <formula>NOT(ISERROR(SEARCH("Свободно",DF347)))</formula>
    </cfRule>
    <cfRule type="containsText" dxfId="229" priority="283" operator="containsText" text="*Бронь">
      <formula>NOT(ISERROR(SEARCH("*Бронь",DF347)))</formula>
    </cfRule>
    <cfRule type="containsText" dxfId="228" priority="284" operator="containsText" text="*Резерв">
      <formula>NOT(ISERROR(SEARCH("*Резерв",DF347)))</formula>
    </cfRule>
    <cfRule type="containsText" dxfId="227" priority="285" operator="containsText" text="Продажа">
      <formula>NOT(ISERROR(SEARCH("Продажа",DF347)))</formula>
    </cfRule>
  </conditionalFormatting>
  <conditionalFormatting sqref="DF347">
    <cfRule type="containsText" dxfId="226" priority="278" operator="containsText" text="Свободно">
      <formula>NOT(ISERROR(SEARCH("Свободно",DF347)))</formula>
    </cfRule>
    <cfRule type="containsText" dxfId="225" priority="279" operator="containsText" text="*Бронь">
      <formula>NOT(ISERROR(SEARCH("*Бронь",DF347)))</formula>
    </cfRule>
    <cfRule type="containsText" dxfId="224" priority="280" operator="containsText" text="*Резерв">
      <formula>NOT(ISERROR(SEARCH("*Резерв",DF347)))</formula>
    </cfRule>
    <cfRule type="containsText" dxfId="223" priority="281" operator="containsText" text="Продажа">
      <formula>NOT(ISERROR(SEARCH("Продажа",DF347)))</formula>
    </cfRule>
  </conditionalFormatting>
  <conditionalFormatting sqref="DF347">
    <cfRule type="containsText" dxfId="222" priority="274" operator="containsText" text="Свободно">
      <formula>NOT(ISERROR(SEARCH("Свободно",DF347)))</formula>
    </cfRule>
    <cfRule type="containsText" dxfId="221" priority="275" operator="containsText" text="*Бронь">
      <formula>NOT(ISERROR(SEARCH("*Бронь",DF347)))</formula>
    </cfRule>
    <cfRule type="containsText" dxfId="220" priority="276" operator="containsText" text="*Резерв">
      <formula>NOT(ISERROR(SEARCH("*Резерв",DF347)))</formula>
    </cfRule>
    <cfRule type="containsText" dxfId="219" priority="277" operator="containsText" text="Продажа">
      <formula>NOT(ISERROR(SEARCH("Продажа",DF347)))</formula>
    </cfRule>
  </conditionalFormatting>
  <conditionalFormatting sqref="DF458">
    <cfRule type="containsText" dxfId="218" priority="270" operator="containsText" text="Свободно">
      <formula>NOT(ISERROR(SEARCH("Свободно",DF458)))</formula>
    </cfRule>
    <cfRule type="containsText" dxfId="217" priority="271" operator="containsText" text="*Бронь">
      <formula>NOT(ISERROR(SEARCH("*Бронь",DF458)))</formula>
    </cfRule>
    <cfRule type="containsText" dxfId="216" priority="272" operator="containsText" text="*Резерв">
      <formula>NOT(ISERROR(SEARCH("*Резерв",DF458)))</formula>
    </cfRule>
    <cfRule type="containsText" dxfId="215" priority="273" operator="containsText" text="Продажа">
      <formula>NOT(ISERROR(SEARCH("Продажа",DF458)))</formula>
    </cfRule>
  </conditionalFormatting>
  <conditionalFormatting sqref="DF458">
    <cfRule type="containsText" dxfId="214" priority="266" operator="containsText" text="Свободно">
      <formula>NOT(ISERROR(SEARCH("Свободно",DF458)))</formula>
    </cfRule>
    <cfRule type="containsText" dxfId="213" priority="267" operator="containsText" text="*Бронь">
      <formula>NOT(ISERROR(SEARCH("*Бронь",DF458)))</formula>
    </cfRule>
    <cfRule type="containsText" dxfId="212" priority="268" operator="containsText" text="*Резерв">
      <formula>NOT(ISERROR(SEARCH("*Резерв",DF458)))</formula>
    </cfRule>
    <cfRule type="containsText" dxfId="211" priority="269" operator="containsText" text="Продажа">
      <formula>NOT(ISERROR(SEARCH("Продажа",DF458)))</formula>
    </cfRule>
  </conditionalFormatting>
  <conditionalFormatting sqref="DF458">
    <cfRule type="containsText" dxfId="210" priority="262" operator="containsText" text="Свободно">
      <formula>NOT(ISERROR(SEARCH("Свободно",DF458)))</formula>
    </cfRule>
    <cfRule type="containsText" dxfId="209" priority="263" operator="containsText" text="*Бронь">
      <formula>NOT(ISERROR(SEARCH("*Бронь",DF458)))</formula>
    </cfRule>
    <cfRule type="containsText" dxfId="208" priority="264" operator="containsText" text="*Резерв">
      <formula>NOT(ISERROR(SEARCH("*Резерв",DF458)))</formula>
    </cfRule>
    <cfRule type="containsText" dxfId="207" priority="265" operator="containsText" text="Продажа">
      <formula>NOT(ISERROR(SEARCH("Продажа",DF458)))</formula>
    </cfRule>
  </conditionalFormatting>
  <conditionalFormatting sqref="DF523">
    <cfRule type="containsText" dxfId="206" priority="258" operator="containsText" text="Свободно">
      <formula>NOT(ISERROR(SEARCH("Свободно",DF523)))</formula>
    </cfRule>
    <cfRule type="containsText" dxfId="205" priority="259" operator="containsText" text="*Бронь">
      <formula>NOT(ISERROR(SEARCH("*Бронь",DF523)))</formula>
    </cfRule>
    <cfRule type="containsText" dxfId="204" priority="260" operator="containsText" text="*Резерв">
      <formula>NOT(ISERROR(SEARCH("*Резерв",DF523)))</formula>
    </cfRule>
    <cfRule type="containsText" dxfId="203" priority="261" operator="containsText" text="Продажа">
      <formula>NOT(ISERROR(SEARCH("Продажа",DF523)))</formula>
    </cfRule>
  </conditionalFormatting>
  <conditionalFormatting sqref="DF523">
    <cfRule type="containsText" dxfId="202" priority="254" operator="containsText" text="Свободно">
      <formula>NOT(ISERROR(SEARCH("Свободно",DF523)))</formula>
    </cfRule>
    <cfRule type="containsText" dxfId="201" priority="255" operator="containsText" text="*Бронь">
      <formula>NOT(ISERROR(SEARCH("*Бронь",DF523)))</formula>
    </cfRule>
    <cfRule type="containsText" dxfId="200" priority="256" operator="containsText" text="*Резерв">
      <formula>NOT(ISERROR(SEARCH("*Резерв",DF523)))</formula>
    </cfRule>
    <cfRule type="containsText" dxfId="199" priority="257" operator="containsText" text="Продажа">
      <formula>NOT(ISERROR(SEARCH("Продажа",DF523)))</formula>
    </cfRule>
  </conditionalFormatting>
  <conditionalFormatting sqref="DF523">
    <cfRule type="containsText" dxfId="198" priority="250" operator="containsText" text="Свободно">
      <formula>NOT(ISERROR(SEARCH("Свободно",DF523)))</formula>
    </cfRule>
    <cfRule type="containsText" dxfId="197" priority="251" operator="containsText" text="*Бронь">
      <formula>NOT(ISERROR(SEARCH("*Бронь",DF523)))</formula>
    </cfRule>
    <cfRule type="containsText" dxfId="196" priority="252" operator="containsText" text="*Резерв">
      <formula>NOT(ISERROR(SEARCH("*Резерв",DF523)))</formula>
    </cfRule>
    <cfRule type="containsText" dxfId="195" priority="253" operator="containsText" text="Продажа">
      <formula>NOT(ISERROR(SEARCH("Продажа",DF523)))</formula>
    </cfRule>
  </conditionalFormatting>
  <conditionalFormatting sqref="DF538">
    <cfRule type="containsText" dxfId="194" priority="246" operator="containsText" text="Свободно">
      <formula>NOT(ISERROR(SEARCH("Свободно",DF538)))</formula>
    </cfRule>
    <cfRule type="containsText" dxfId="193" priority="247" operator="containsText" text="*Бронь">
      <formula>NOT(ISERROR(SEARCH("*Бронь",DF538)))</formula>
    </cfRule>
    <cfRule type="containsText" dxfId="192" priority="248" operator="containsText" text="*Резерв">
      <formula>NOT(ISERROR(SEARCH("*Резерв",DF538)))</formula>
    </cfRule>
    <cfRule type="containsText" dxfId="191" priority="249" operator="containsText" text="Продажа">
      <formula>NOT(ISERROR(SEARCH("Продажа",DF538)))</formula>
    </cfRule>
  </conditionalFormatting>
  <conditionalFormatting sqref="DE403">
    <cfRule type="expression" dxfId="190" priority="245">
      <formula>AND(ROW(DE403)=CELL("строка"),$DF$1="Подсветка ВКЛ")</formula>
    </cfRule>
  </conditionalFormatting>
  <conditionalFormatting sqref="DE496">
    <cfRule type="expression" dxfId="189" priority="244">
      <formula>AND(ROW(DE496)=CELL("строка"),$DF$1="Подсветка ВКЛ")</formula>
    </cfRule>
  </conditionalFormatting>
  <conditionalFormatting sqref="DF59">
    <cfRule type="containsText" dxfId="188" priority="239" operator="containsText" text="Свободно">
      <formula>NOT(ISERROR(SEARCH("Свободно",DF59)))</formula>
    </cfRule>
    <cfRule type="containsText" dxfId="187" priority="240" operator="containsText" text="*Бронь">
      <formula>NOT(ISERROR(SEARCH("*Бронь",DF59)))</formula>
    </cfRule>
    <cfRule type="containsText" dxfId="186" priority="241" operator="containsText" text="*Резерв">
      <formula>NOT(ISERROR(SEARCH("*Резерв",DF59)))</formula>
    </cfRule>
    <cfRule type="containsText" dxfId="185" priority="242" operator="containsText" text="Продажа">
      <formula>NOT(ISERROR(SEARCH("Продажа",DF59)))</formula>
    </cfRule>
  </conditionalFormatting>
  <conditionalFormatting sqref="DF308">
    <cfRule type="containsText" dxfId="184" priority="235" operator="containsText" text="Свободно">
      <formula>NOT(ISERROR(SEARCH("Свободно",DF308)))</formula>
    </cfRule>
    <cfRule type="containsText" dxfId="183" priority="236" operator="containsText" text="*Бронь">
      <formula>NOT(ISERROR(SEARCH("*Бронь",DF308)))</formula>
    </cfRule>
    <cfRule type="containsText" dxfId="182" priority="237" operator="containsText" text="*Резерв">
      <formula>NOT(ISERROR(SEARCH("*Резерв",DF308)))</formula>
    </cfRule>
    <cfRule type="containsText" dxfId="181" priority="238" operator="containsText" text="Продажа">
      <formula>NOT(ISERROR(SEARCH("Продажа",DF308)))</formula>
    </cfRule>
  </conditionalFormatting>
  <conditionalFormatting sqref="DF40">
    <cfRule type="containsText" dxfId="180" priority="231" operator="containsText" text="Свободно">
      <formula>NOT(ISERROR(SEARCH("Свободно",DF40)))</formula>
    </cfRule>
    <cfRule type="containsText" dxfId="179" priority="232" operator="containsText" text="*Бронь">
      <formula>NOT(ISERROR(SEARCH("*Бронь",DF40)))</formula>
    </cfRule>
    <cfRule type="containsText" dxfId="178" priority="233" operator="containsText" text="*Резерв">
      <formula>NOT(ISERROR(SEARCH("*Резерв",DF40)))</formula>
    </cfRule>
    <cfRule type="containsText" dxfId="177" priority="234" operator="containsText" text="Продажа">
      <formula>NOT(ISERROR(SEARCH("Продажа",DF40)))</formula>
    </cfRule>
  </conditionalFormatting>
  <conditionalFormatting sqref="DF42">
    <cfRule type="containsText" dxfId="176" priority="223" operator="containsText" text="Свободно">
      <formula>NOT(ISERROR(SEARCH("Свободно",DF42)))</formula>
    </cfRule>
    <cfRule type="containsText" dxfId="175" priority="224" operator="containsText" text="*Бронь">
      <formula>NOT(ISERROR(SEARCH("*Бронь",DF42)))</formula>
    </cfRule>
    <cfRule type="containsText" dxfId="174" priority="225" operator="containsText" text="*Резерв">
      <formula>NOT(ISERROR(SEARCH("*Резерв",DF42)))</formula>
    </cfRule>
    <cfRule type="containsText" dxfId="173" priority="226" operator="containsText" text="Продажа">
      <formula>NOT(ISERROR(SEARCH("Продажа",DF42)))</formula>
    </cfRule>
  </conditionalFormatting>
  <conditionalFormatting sqref="DF442">
    <cfRule type="containsText" dxfId="172" priority="219" operator="containsText" text="Свободно">
      <formula>NOT(ISERROR(SEARCH("Свободно",DF442)))</formula>
    </cfRule>
    <cfRule type="containsText" dxfId="171" priority="220" operator="containsText" text="*Бронь">
      <formula>NOT(ISERROR(SEARCH("*Бронь",DF442)))</formula>
    </cfRule>
    <cfRule type="containsText" dxfId="170" priority="221" operator="containsText" text="*Резерв">
      <formula>NOT(ISERROR(SEARCH("*Резерв",DF442)))</formula>
    </cfRule>
    <cfRule type="containsText" dxfId="169" priority="222" operator="containsText" text="Продажа">
      <formula>NOT(ISERROR(SEARCH("Продажа",DF442)))</formula>
    </cfRule>
  </conditionalFormatting>
  <conditionalFormatting sqref="DF424">
    <cfRule type="containsText" dxfId="168" priority="215" operator="containsText" text="Свободно">
      <formula>NOT(ISERROR(SEARCH("Свободно",DF424)))</formula>
    </cfRule>
    <cfRule type="containsText" dxfId="167" priority="216" operator="containsText" text="*Бронь">
      <formula>NOT(ISERROR(SEARCH("*Бронь",DF424)))</formula>
    </cfRule>
    <cfRule type="containsText" dxfId="166" priority="217" operator="containsText" text="*Резерв">
      <formula>NOT(ISERROR(SEARCH("*Резерв",DF424)))</formula>
    </cfRule>
    <cfRule type="containsText" dxfId="165" priority="218" operator="containsText" text="Продажа">
      <formula>NOT(ISERROR(SEARCH("Продажа",DF424)))</formula>
    </cfRule>
  </conditionalFormatting>
  <conditionalFormatting sqref="DF96">
    <cfRule type="containsText" dxfId="164" priority="207" operator="containsText" text="Свободно">
      <formula>NOT(ISERROR(SEARCH("Свободно",DF96)))</formula>
    </cfRule>
    <cfRule type="containsText" dxfId="163" priority="208" operator="containsText" text="*Бронь">
      <formula>NOT(ISERROR(SEARCH("*Бронь",DF96)))</formula>
    </cfRule>
    <cfRule type="containsText" dxfId="162" priority="209" operator="containsText" text="*Резерв">
      <formula>NOT(ISERROR(SEARCH("*Резерв",DF96)))</formula>
    </cfRule>
    <cfRule type="containsText" dxfId="161" priority="210" operator="containsText" text="Продажа">
      <formula>NOT(ISERROR(SEARCH("Продажа",DF96)))</formula>
    </cfRule>
  </conditionalFormatting>
  <conditionalFormatting sqref="DF146">
    <cfRule type="containsText" dxfId="160" priority="203" operator="containsText" text="Свободно">
      <formula>NOT(ISERROR(SEARCH("Свободно",DF146)))</formula>
    </cfRule>
    <cfRule type="containsText" dxfId="159" priority="204" operator="containsText" text="*Бронь">
      <formula>NOT(ISERROR(SEARCH("*Бронь",DF146)))</formula>
    </cfRule>
    <cfRule type="containsText" dxfId="158" priority="205" operator="containsText" text="*Резерв">
      <formula>NOT(ISERROR(SEARCH("*Резерв",DF146)))</formula>
    </cfRule>
    <cfRule type="containsText" dxfId="157" priority="206" operator="containsText" text="Продажа">
      <formula>NOT(ISERROR(SEARCH("Продажа",DF146)))</formula>
    </cfRule>
  </conditionalFormatting>
  <conditionalFormatting sqref="DF182">
    <cfRule type="containsText" dxfId="156" priority="199" operator="containsText" text="Свободно">
      <formula>NOT(ISERROR(SEARCH("Свободно",DF182)))</formula>
    </cfRule>
    <cfRule type="containsText" dxfId="155" priority="200" operator="containsText" text="*Бронь">
      <formula>NOT(ISERROR(SEARCH("*Бронь",DF182)))</formula>
    </cfRule>
    <cfRule type="containsText" dxfId="154" priority="201" operator="containsText" text="*Резерв">
      <formula>NOT(ISERROR(SEARCH("*Резерв",DF182)))</formula>
    </cfRule>
    <cfRule type="containsText" dxfId="153" priority="202" operator="containsText" text="Продажа">
      <formula>NOT(ISERROR(SEARCH("Продажа",DF182)))</formula>
    </cfRule>
  </conditionalFormatting>
  <conditionalFormatting sqref="DF182">
    <cfRule type="containsText" dxfId="152" priority="195" operator="containsText" text="Свободно">
      <formula>NOT(ISERROR(SEARCH("Свободно",DF182)))</formula>
    </cfRule>
    <cfRule type="containsText" dxfId="151" priority="196" operator="containsText" text="*Бронь">
      <formula>NOT(ISERROR(SEARCH("*Бронь",DF182)))</formula>
    </cfRule>
    <cfRule type="containsText" dxfId="150" priority="197" operator="containsText" text="*Резерв">
      <formula>NOT(ISERROR(SEARCH("*Резерв",DF182)))</formula>
    </cfRule>
    <cfRule type="containsText" dxfId="149" priority="198" operator="containsText" text="Продажа">
      <formula>NOT(ISERROR(SEARCH("Продажа",DF182)))</formula>
    </cfRule>
  </conditionalFormatting>
  <conditionalFormatting sqref="DF194">
    <cfRule type="containsText" dxfId="148" priority="191" operator="containsText" text="Свободно">
      <formula>NOT(ISERROR(SEARCH("Свободно",DF194)))</formula>
    </cfRule>
    <cfRule type="containsText" dxfId="147" priority="192" operator="containsText" text="*Бронь">
      <formula>NOT(ISERROR(SEARCH("*Бронь",DF194)))</formula>
    </cfRule>
    <cfRule type="containsText" dxfId="146" priority="193" operator="containsText" text="*Резерв">
      <formula>NOT(ISERROR(SEARCH("*Резерв",DF194)))</formula>
    </cfRule>
    <cfRule type="containsText" dxfId="145" priority="194" operator="containsText" text="Продажа">
      <formula>NOT(ISERROR(SEARCH("Продажа",DF194)))</formula>
    </cfRule>
  </conditionalFormatting>
  <conditionalFormatting sqref="DF194">
    <cfRule type="containsText" dxfId="144" priority="187" operator="containsText" text="Свободно">
      <formula>NOT(ISERROR(SEARCH("Свободно",DF194)))</formula>
    </cfRule>
    <cfRule type="containsText" dxfId="143" priority="188" operator="containsText" text="*Бронь">
      <formula>NOT(ISERROR(SEARCH("*Бронь",DF194)))</formula>
    </cfRule>
    <cfRule type="containsText" dxfId="142" priority="189" operator="containsText" text="*Резерв">
      <formula>NOT(ISERROR(SEARCH("*Резерв",DF194)))</formula>
    </cfRule>
    <cfRule type="containsText" dxfId="141" priority="190" operator="containsText" text="Продажа">
      <formula>NOT(ISERROR(SEARCH("Продажа",DF194)))</formula>
    </cfRule>
  </conditionalFormatting>
  <conditionalFormatting sqref="DF217:DF219">
    <cfRule type="containsText" dxfId="140" priority="183" operator="containsText" text="Свободно">
      <formula>NOT(ISERROR(SEARCH("Свободно",DF217)))</formula>
    </cfRule>
    <cfRule type="containsText" dxfId="139" priority="184" operator="containsText" text="*Бронь">
      <formula>NOT(ISERROR(SEARCH("*Бронь",DF217)))</formula>
    </cfRule>
    <cfRule type="containsText" dxfId="138" priority="185" operator="containsText" text="*Резерв">
      <formula>NOT(ISERROR(SEARCH("*Резерв",DF217)))</formula>
    </cfRule>
    <cfRule type="containsText" dxfId="137" priority="186" operator="containsText" text="Продажа">
      <formula>NOT(ISERROR(SEARCH("Продажа",DF217)))</formula>
    </cfRule>
  </conditionalFormatting>
  <conditionalFormatting sqref="DF217:DF219">
    <cfRule type="containsText" dxfId="136" priority="179" operator="containsText" text="Свободно">
      <formula>NOT(ISERROR(SEARCH("Свободно",DF217)))</formula>
    </cfRule>
    <cfRule type="containsText" dxfId="135" priority="180" operator="containsText" text="*Бронь">
      <formula>NOT(ISERROR(SEARCH("*Бронь",DF217)))</formula>
    </cfRule>
    <cfRule type="containsText" dxfId="134" priority="181" operator="containsText" text="*Резерв">
      <formula>NOT(ISERROR(SEARCH("*Резерв",DF217)))</formula>
    </cfRule>
    <cfRule type="containsText" dxfId="133" priority="182" operator="containsText" text="Продажа">
      <formula>NOT(ISERROR(SEARCH("Продажа",DF217)))</formula>
    </cfRule>
  </conditionalFormatting>
  <conditionalFormatting sqref="DF132">
    <cfRule type="containsText" dxfId="132" priority="175" operator="containsText" text="Свободно">
      <formula>NOT(ISERROR(SEARCH("Свободно",DF132)))</formula>
    </cfRule>
    <cfRule type="containsText" dxfId="131" priority="176" operator="containsText" text="*Бронь">
      <formula>NOT(ISERROR(SEARCH("*Бронь",DF132)))</formula>
    </cfRule>
    <cfRule type="containsText" dxfId="130" priority="177" operator="containsText" text="*Резерв">
      <formula>NOT(ISERROR(SEARCH("*Резерв",DF132)))</formula>
    </cfRule>
    <cfRule type="containsText" dxfId="129" priority="178" operator="containsText" text="Продажа">
      <formula>NOT(ISERROR(SEARCH("Продажа",DF132)))</formula>
    </cfRule>
  </conditionalFormatting>
  <conditionalFormatting sqref="DF250">
    <cfRule type="containsText" dxfId="128" priority="171" operator="containsText" text="Свободно">
      <formula>NOT(ISERROR(SEARCH("Свободно",DF250)))</formula>
    </cfRule>
    <cfRule type="containsText" dxfId="127" priority="172" operator="containsText" text="*Бронь">
      <formula>NOT(ISERROR(SEARCH("*Бронь",DF250)))</formula>
    </cfRule>
    <cfRule type="containsText" dxfId="126" priority="173" operator="containsText" text="*Резерв">
      <formula>NOT(ISERROR(SEARCH("*Резерв",DF250)))</formula>
    </cfRule>
    <cfRule type="containsText" dxfId="125" priority="174" operator="containsText" text="Продажа">
      <formula>NOT(ISERROR(SEARCH("Продажа",DF250)))</formula>
    </cfRule>
  </conditionalFormatting>
  <conditionalFormatting sqref="DF258">
    <cfRule type="containsText" dxfId="124" priority="167" operator="containsText" text="Свободно">
      <formula>NOT(ISERROR(SEARCH("Свободно",DF258)))</formula>
    </cfRule>
    <cfRule type="containsText" dxfId="123" priority="168" operator="containsText" text="*Бронь">
      <formula>NOT(ISERROR(SEARCH("*Бронь",DF258)))</formula>
    </cfRule>
    <cfRule type="containsText" dxfId="122" priority="169" operator="containsText" text="*Резерв">
      <formula>NOT(ISERROR(SEARCH("*Резерв",DF258)))</formula>
    </cfRule>
    <cfRule type="containsText" dxfId="121" priority="170" operator="containsText" text="Продажа">
      <formula>NOT(ISERROR(SEARCH("Продажа",DF258)))</formula>
    </cfRule>
  </conditionalFormatting>
  <conditionalFormatting sqref="DF307">
    <cfRule type="containsText" dxfId="120" priority="163" operator="containsText" text="Свободно">
      <formula>NOT(ISERROR(SEARCH("Свободно",DF307)))</formula>
    </cfRule>
    <cfRule type="containsText" dxfId="119" priority="164" operator="containsText" text="*Бронь">
      <formula>NOT(ISERROR(SEARCH("*Бронь",DF307)))</formula>
    </cfRule>
    <cfRule type="containsText" dxfId="118" priority="165" operator="containsText" text="*Резерв">
      <formula>NOT(ISERROR(SEARCH("*Резерв",DF307)))</formula>
    </cfRule>
    <cfRule type="containsText" dxfId="117" priority="166" operator="containsText" text="Продажа">
      <formula>NOT(ISERROR(SEARCH("Продажа",DF307)))</formula>
    </cfRule>
  </conditionalFormatting>
  <conditionalFormatting sqref="DF333">
    <cfRule type="containsText" dxfId="116" priority="159" operator="containsText" text="Свободно">
      <formula>NOT(ISERROR(SEARCH("Свободно",DF333)))</formula>
    </cfRule>
    <cfRule type="containsText" dxfId="115" priority="160" operator="containsText" text="*Бронь">
      <formula>NOT(ISERROR(SEARCH("*Бронь",DF333)))</formula>
    </cfRule>
    <cfRule type="containsText" dxfId="114" priority="161" operator="containsText" text="*Резерв">
      <formula>NOT(ISERROR(SEARCH("*Резерв",DF333)))</formula>
    </cfRule>
    <cfRule type="containsText" dxfId="113" priority="162" operator="containsText" text="Продажа">
      <formula>NOT(ISERROR(SEARCH("Продажа",DF333)))</formula>
    </cfRule>
  </conditionalFormatting>
  <conditionalFormatting sqref="DF337">
    <cfRule type="containsText" dxfId="112" priority="155" operator="containsText" text="Свободно">
      <formula>NOT(ISERROR(SEARCH("Свободно",DF337)))</formula>
    </cfRule>
    <cfRule type="containsText" dxfId="111" priority="156" operator="containsText" text="*Бронь">
      <formula>NOT(ISERROR(SEARCH("*Бронь",DF337)))</formula>
    </cfRule>
    <cfRule type="containsText" dxfId="110" priority="157" operator="containsText" text="*Резерв">
      <formula>NOT(ISERROR(SEARCH("*Резерв",DF337)))</formula>
    </cfRule>
    <cfRule type="containsText" dxfId="109" priority="158" operator="containsText" text="Продажа">
      <formula>NOT(ISERROR(SEARCH("Продажа",DF337)))</formula>
    </cfRule>
  </conditionalFormatting>
  <conditionalFormatting sqref="DF376">
    <cfRule type="containsText" dxfId="108" priority="147" operator="containsText" text="Свободно">
      <formula>NOT(ISERROR(SEARCH("Свободно",DF376)))</formula>
    </cfRule>
    <cfRule type="containsText" dxfId="107" priority="148" operator="containsText" text="*Бронь">
      <formula>NOT(ISERROR(SEARCH("*Бронь",DF376)))</formula>
    </cfRule>
    <cfRule type="containsText" dxfId="106" priority="149" operator="containsText" text="*Резерв">
      <formula>NOT(ISERROR(SEARCH("*Резерв",DF376)))</formula>
    </cfRule>
    <cfRule type="containsText" dxfId="105" priority="150" operator="containsText" text="Продажа">
      <formula>NOT(ISERROR(SEARCH("Продажа",DF376)))</formula>
    </cfRule>
  </conditionalFormatting>
  <conditionalFormatting sqref="DF520">
    <cfRule type="containsText" dxfId="104" priority="139" operator="containsText" text="Свободно">
      <formula>NOT(ISERROR(SEARCH("Свободно",DF520)))</formula>
    </cfRule>
    <cfRule type="containsText" dxfId="103" priority="140" operator="containsText" text="*Бронь">
      <formula>NOT(ISERROR(SEARCH("*Бронь",DF520)))</formula>
    </cfRule>
    <cfRule type="containsText" dxfId="102" priority="141" operator="containsText" text="*Резерв">
      <formula>NOT(ISERROR(SEARCH("*Резерв",DF520)))</formula>
    </cfRule>
    <cfRule type="containsText" dxfId="101" priority="142" operator="containsText" text="Продажа">
      <formula>NOT(ISERROR(SEARCH("Продажа",DF520)))</formula>
    </cfRule>
  </conditionalFormatting>
  <conditionalFormatting sqref="DF535">
    <cfRule type="containsText" dxfId="100" priority="135" operator="containsText" text="Свободно">
      <formula>NOT(ISERROR(SEARCH("Свободно",DF535)))</formula>
    </cfRule>
    <cfRule type="containsText" dxfId="99" priority="136" operator="containsText" text="*Бронь">
      <formula>NOT(ISERROR(SEARCH("*Бронь",DF535)))</formula>
    </cfRule>
    <cfRule type="containsText" dxfId="98" priority="137" operator="containsText" text="*Резерв">
      <formula>NOT(ISERROR(SEARCH("*Резерв",DF535)))</formula>
    </cfRule>
    <cfRule type="containsText" dxfId="97" priority="138" operator="containsText" text="Продажа">
      <formula>NOT(ISERROR(SEARCH("Продажа",DF535)))</formula>
    </cfRule>
  </conditionalFormatting>
  <conditionalFormatting sqref="DF546">
    <cfRule type="containsText" dxfId="96" priority="131" operator="containsText" text="Свободно">
      <formula>NOT(ISERROR(SEARCH("Свободно",DF546)))</formula>
    </cfRule>
    <cfRule type="containsText" dxfId="95" priority="132" operator="containsText" text="*Бронь">
      <formula>NOT(ISERROR(SEARCH("*Бронь",DF546)))</formula>
    </cfRule>
    <cfRule type="containsText" dxfId="94" priority="133" operator="containsText" text="*Резерв">
      <formula>NOT(ISERROR(SEARCH("*Резерв",DF546)))</formula>
    </cfRule>
    <cfRule type="containsText" dxfId="93" priority="134" operator="containsText" text="Продажа">
      <formula>NOT(ISERROR(SEARCH("Продажа",DF546)))</formula>
    </cfRule>
  </conditionalFormatting>
  <conditionalFormatting sqref="DF580">
    <cfRule type="containsText" dxfId="92" priority="123" operator="containsText" text="Свободно">
      <formula>NOT(ISERROR(SEARCH("Свободно",DF580)))</formula>
    </cfRule>
    <cfRule type="containsText" dxfId="91" priority="124" operator="containsText" text="*Бронь">
      <formula>NOT(ISERROR(SEARCH("*Бронь",DF580)))</formula>
    </cfRule>
    <cfRule type="containsText" dxfId="90" priority="125" operator="containsText" text="*Резерв">
      <formula>NOT(ISERROR(SEARCH("*Резерв",DF580)))</formula>
    </cfRule>
    <cfRule type="containsText" dxfId="89" priority="126" operator="containsText" text="Продажа">
      <formula>NOT(ISERROR(SEARCH("Продажа",DF580)))</formula>
    </cfRule>
  </conditionalFormatting>
  <conditionalFormatting sqref="DF581">
    <cfRule type="containsText" dxfId="88" priority="119" operator="containsText" text="Свободно">
      <formula>NOT(ISERROR(SEARCH("Свободно",DF581)))</formula>
    </cfRule>
    <cfRule type="containsText" dxfId="87" priority="120" operator="containsText" text="*Бронь">
      <formula>NOT(ISERROR(SEARCH("*Бронь",DF581)))</formula>
    </cfRule>
    <cfRule type="containsText" dxfId="86" priority="121" operator="containsText" text="*Резерв">
      <formula>NOT(ISERROR(SEARCH("*Резерв",DF581)))</formula>
    </cfRule>
    <cfRule type="containsText" dxfId="85" priority="122" operator="containsText" text="Продажа">
      <formula>NOT(ISERROR(SEARCH("Продажа",DF581)))</formula>
    </cfRule>
  </conditionalFormatting>
  <conditionalFormatting sqref="DF497">
    <cfRule type="containsText" dxfId="84" priority="115" operator="containsText" text="Свободно">
      <formula>NOT(ISERROR(SEARCH("Свободно",DF497)))</formula>
    </cfRule>
    <cfRule type="containsText" dxfId="83" priority="116" operator="containsText" text="*Бронь">
      <formula>NOT(ISERROR(SEARCH("*Бронь",DF497)))</formula>
    </cfRule>
    <cfRule type="containsText" dxfId="82" priority="117" operator="containsText" text="*Резерв">
      <formula>NOT(ISERROR(SEARCH("*Резерв",DF497)))</formula>
    </cfRule>
    <cfRule type="containsText" dxfId="81" priority="118" operator="containsText" text="Продажа">
      <formula>NOT(ISERROR(SEARCH("Продажа",DF497)))</formula>
    </cfRule>
  </conditionalFormatting>
  <conditionalFormatting sqref="DF252">
    <cfRule type="containsText" dxfId="80" priority="107" operator="containsText" text="Свободно">
      <formula>NOT(ISERROR(SEARCH("Свободно",DF252)))</formula>
    </cfRule>
    <cfRule type="containsText" dxfId="79" priority="108" operator="containsText" text="*Бронь">
      <formula>NOT(ISERROR(SEARCH("*Бронь",DF252)))</formula>
    </cfRule>
    <cfRule type="containsText" dxfId="78" priority="109" operator="containsText" text="*Резерв">
      <formula>NOT(ISERROR(SEARCH("*Резерв",DF252)))</formula>
    </cfRule>
    <cfRule type="containsText" dxfId="77" priority="110" operator="containsText" text="Продажа">
      <formula>NOT(ISERROR(SEARCH("Продажа",DF252)))</formula>
    </cfRule>
  </conditionalFormatting>
  <conditionalFormatting sqref="DF283">
    <cfRule type="containsText" dxfId="76" priority="103" operator="containsText" text="Свободно">
      <formula>NOT(ISERROR(SEARCH("Свободно",DF283)))</formula>
    </cfRule>
    <cfRule type="containsText" dxfId="75" priority="104" operator="containsText" text="*Бронь">
      <formula>NOT(ISERROR(SEARCH("*Бронь",DF283)))</formula>
    </cfRule>
    <cfRule type="containsText" dxfId="74" priority="105" operator="containsText" text="*Резерв">
      <formula>NOT(ISERROR(SEARCH("*Резерв",DF283)))</formula>
    </cfRule>
    <cfRule type="containsText" dxfId="73" priority="106" operator="containsText" text="Продажа">
      <formula>NOT(ISERROR(SEARCH("Продажа",DF283)))</formula>
    </cfRule>
  </conditionalFormatting>
  <conditionalFormatting sqref="DF343">
    <cfRule type="containsText" dxfId="72" priority="99" operator="containsText" text="Свободно">
      <formula>NOT(ISERROR(SEARCH("Свободно",DF343)))</formula>
    </cfRule>
    <cfRule type="containsText" dxfId="71" priority="100" operator="containsText" text="*Бронь">
      <formula>NOT(ISERROR(SEARCH("*Бронь",DF343)))</formula>
    </cfRule>
    <cfRule type="containsText" dxfId="70" priority="101" operator="containsText" text="*Резерв">
      <formula>NOT(ISERROR(SEARCH("*Резерв",DF343)))</formula>
    </cfRule>
    <cfRule type="containsText" dxfId="69" priority="102" operator="containsText" text="Продажа">
      <formula>NOT(ISERROR(SEARCH("Продажа",DF343)))</formula>
    </cfRule>
  </conditionalFormatting>
  <conditionalFormatting sqref="DF357">
    <cfRule type="containsText" dxfId="68" priority="95" operator="containsText" text="Свободно">
      <formula>NOT(ISERROR(SEARCH("Свободно",DF357)))</formula>
    </cfRule>
    <cfRule type="containsText" dxfId="67" priority="96" operator="containsText" text="*Бронь">
      <formula>NOT(ISERROR(SEARCH("*Бронь",DF357)))</formula>
    </cfRule>
    <cfRule type="containsText" dxfId="66" priority="97" operator="containsText" text="*Резерв">
      <formula>NOT(ISERROR(SEARCH("*Резерв",DF357)))</formula>
    </cfRule>
    <cfRule type="containsText" dxfId="65" priority="98" operator="containsText" text="Продажа">
      <formula>NOT(ISERROR(SEARCH("Продажа",DF357)))</formula>
    </cfRule>
  </conditionalFormatting>
  <conditionalFormatting sqref="DF422">
    <cfRule type="containsText" dxfId="64" priority="91" operator="containsText" text="Свободно">
      <formula>NOT(ISERROR(SEARCH("Свободно",DF422)))</formula>
    </cfRule>
    <cfRule type="containsText" dxfId="63" priority="92" operator="containsText" text="*Бронь">
      <formula>NOT(ISERROR(SEARCH("*Бронь",DF422)))</formula>
    </cfRule>
    <cfRule type="containsText" dxfId="62" priority="93" operator="containsText" text="*Резерв">
      <formula>NOT(ISERROR(SEARCH("*Резерв",DF422)))</formula>
    </cfRule>
    <cfRule type="containsText" dxfId="61" priority="94" operator="containsText" text="Продажа">
      <formula>NOT(ISERROR(SEARCH("Продажа",DF422)))</formula>
    </cfRule>
  </conditionalFormatting>
  <conditionalFormatting sqref="DF74">
    <cfRule type="containsText" dxfId="60" priority="87" operator="containsText" text="Свободно">
      <formula>NOT(ISERROR(SEARCH("Свободно",DF74)))</formula>
    </cfRule>
    <cfRule type="containsText" dxfId="59" priority="88" operator="containsText" text="*Бронь">
      <formula>NOT(ISERROR(SEARCH("*Бронь",DF74)))</formula>
    </cfRule>
    <cfRule type="containsText" dxfId="58" priority="89" operator="containsText" text="*Резерв">
      <formula>NOT(ISERROR(SEARCH("*Резерв",DF74)))</formula>
    </cfRule>
    <cfRule type="containsText" dxfId="57" priority="90" operator="containsText" text="Продажа">
      <formula>NOT(ISERROR(SEARCH("Продажа",DF74)))</formula>
    </cfRule>
  </conditionalFormatting>
  <conditionalFormatting sqref="DF122">
    <cfRule type="containsText" dxfId="56" priority="83" operator="containsText" text="Свободно">
      <formula>NOT(ISERROR(SEARCH("Свободно",DF122)))</formula>
    </cfRule>
    <cfRule type="containsText" dxfId="55" priority="84" operator="containsText" text="*Бронь">
      <formula>NOT(ISERROR(SEARCH("*Бронь",DF122)))</formula>
    </cfRule>
    <cfRule type="containsText" dxfId="54" priority="85" operator="containsText" text="*Резерв">
      <formula>NOT(ISERROR(SEARCH("*Резерв",DF122)))</formula>
    </cfRule>
    <cfRule type="containsText" dxfId="53" priority="86" operator="containsText" text="Продажа">
      <formula>NOT(ISERROR(SEARCH("Продажа",DF122)))</formula>
    </cfRule>
  </conditionalFormatting>
  <conditionalFormatting sqref="DF478">
    <cfRule type="containsText" dxfId="52" priority="79" operator="containsText" text="Свободно">
      <formula>NOT(ISERROR(SEARCH("Свободно",DF478)))</formula>
    </cfRule>
    <cfRule type="containsText" dxfId="51" priority="80" operator="containsText" text="*Бронь">
      <formula>NOT(ISERROR(SEARCH("*Бронь",DF478)))</formula>
    </cfRule>
    <cfRule type="containsText" dxfId="50" priority="81" operator="containsText" text="*Резерв">
      <formula>NOT(ISERROR(SEARCH("*Резерв",DF478)))</formula>
    </cfRule>
    <cfRule type="containsText" dxfId="49" priority="82" operator="containsText" text="Продажа">
      <formula>NOT(ISERROR(SEARCH("Продажа",DF478)))</formula>
    </cfRule>
  </conditionalFormatting>
  <conditionalFormatting sqref="DF303">
    <cfRule type="containsText" dxfId="48" priority="75" operator="containsText" text="Свободно">
      <formula>NOT(ISERROR(SEARCH("Свободно",DF303)))</formula>
    </cfRule>
    <cfRule type="containsText" dxfId="47" priority="76" operator="containsText" text="*Бронь">
      <formula>NOT(ISERROR(SEARCH("*Бронь",DF303)))</formula>
    </cfRule>
    <cfRule type="containsText" dxfId="46" priority="77" operator="containsText" text="*Резерв">
      <formula>NOT(ISERROR(SEARCH("*Резерв",DF303)))</formula>
    </cfRule>
    <cfRule type="containsText" dxfId="45" priority="78" operator="containsText" text="Продажа">
      <formula>NOT(ISERROR(SEARCH("Продажа",DF303)))</formula>
    </cfRule>
  </conditionalFormatting>
  <conditionalFormatting sqref="DF352">
    <cfRule type="containsText" dxfId="44" priority="71" operator="containsText" text="Свободно">
      <formula>NOT(ISERROR(SEARCH("Свободно",DF352)))</formula>
    </cfRule>
    <cfRule type="containsText" dxfId="43" priority="72" operator="containsText" text="*Бронь">
      <formula>NOT(ISERROR(SEARCH("*Бронь",DF352)))</formula>
    </cfRule>
    <cfRule type="containsText" dxfId="42" priority="73" operator="containsText" text="*Резерв">
      <formula>NOT(ISERROR(SEARCH("*Резерв",DF352)))</formula>
    </cfRule>
    <cfRule type="containsText" dxfId="41" priority="74" operator="containsText" text="Продажа">
      <formula>NOT(ISERROR(SEARCH("Продажа",DF352)))</formula>
    </cfRule>
  </conditionalFormatting>
  <conditionalFormatting sqref="DF311">
    <cfRule type="containsText" dxfId="40" priority="67" operator="containsText" text="Свободно">
      <formula>NOT(ISERROR(SEARCH("Свободно",DF311)))</formula>
    </cfRule>
    <cfRule type="containsText" dxfId="39" priority="68" operator="containsText" text="*Бронь">
      <formula>NOT(ISERROR(SEARCH("*Бронь",DF311)))</formula>
    </cfRule>
    <cfRule type="containsText" dxfId="38" priority="69" operator="containsText" text="*Резерв">
      <formula>NOT(ISERROR(SEARCH("*Резерв",DF311)))</formula>
    </cfRule>
    <cfRule type="containsText" dxfId="37" priority="70" operator="containsText" text="Продажа">
      <formula>NOT(ISERROR(SEARCH("Продажа",DF311)))</formula>
    </cfRule>
  </conditionalFormatting>
  <conditionalFormatting sqref="DF467">
    <cfRule type="containsText" dxfId="36" priority="59" operator="containsText" text="Свободно">
      <formula>NOT(ISERROR(SEARCH("Свободно",DF467)))</formula>
    </cfRule>
    <cfRule type="containsText" dxfId="35" priority="60" operator="containsText" text="*Бронь">
      <formula>NOT(ISERROR(SEARCH("*Бронь",DF467)))</formula>
    </cfRule>
    <cfRule type="containsText" dxfId="34" priority="61" operator="containsText" text="*Резерв">
      <formula>NOT(ISERROR(SEARCH("*Резерв",DF467)))</formula>
    </cfRule>
    <cfRule type="containsText" dxfId="33" priority="62" operator="containsText" text="Продажа">
      <formula>NOT(ISERROR(SEARCH("Продажа",DF467)))</formula>
    </cfRule>
  </conditionalFormatting>
  <conditionalFormatting sqref="DF221">
    <cfRule type="containsText" dxfId="32" priority="55" operator="containsText" text="Свободно">
      <formula>NOT(ISERROR(SEARCH("Свободно",DF221)))</formula>
    </cfRule>
    <cfRule type="containsText" dxfId="31" priority="56" operator="containsText" text="*Бронь">
      <formula>NOT(ISERROR(SEARCH("*Бронь",DF221)))</formula>
    </cfRule>
    <cfRule type="containsText" dxfId="30" priority="57" operator="containsText" text="*Резерв">
      <formula>NOT(ISERROR(SEARCH("*Резерв",DF221)))</formula>
    </cfRule>
    <cfRule type="containsText" dxfId="29" priority="58" operator="containsText" text="Продажа">
      <formula>NOT(ISERROR(SEARCH("Продажа",DF221)))</formula>
    </cfRule>
  </conditionalFormatting>
  <conditionalFormatting sqref="DF544">
    <cfRule type="containsText" dxfId="28" priority="41" operator="containsText" text="Свободно">
      <formula>NOT(ISERROR(SEARCH("Свободно",DF544)))</formula>
    </cfRule>
    <cfRule type="containsText" dxfId="27" priority="42" operator="containsText" text="*Бронь">
      <formula>NOT(ISERROR(SEARCH("*Бронь",DF544)))</formula>
    </cfRule>
    <cfRule type="containsText" dxfId="26" priority="43" operator="containsText" text="*Резерв">
      <formula>NOT(ISERROR(SEARCH("*Резерв",DF544)))</formula>
    </cfRule>
    <cfRule type="containsText" dxfId="25" priority="44" operator="containsText" text="Продажа">
      <formula>NOT(ISERROR(SEARCH("Продажа",DF544)))</formula>
    </cfRule>
  </conditionalFormatting>
  <conditionalFormatting sqref="CA128">
    <cfRule type="expression" dxfId="24" priority="36">
      <formula>AND(ROW(CA128)=CELL("строка"),$DF$1="Подсветка ВКЛ")</formula>
    </cfRule>
  </conditionalFormatting>
  <conditionalFormatting sqref="CR544">
    <cfRule type="expression" dxfId="23" priority="34">
      <formula>AND(ROW(CR544)=CELL("строка"),$DF$1="Подсветка ВКЛ")</formula>
    </cfRule>
  </conditionalFormatting>
  <conditionalFormatting sqref="DF12">
    <cfRule type="containsText" dxfId="22" priority="29" operator="containsText" text="Свободно">
      <formula>NOT(ISERROR(SEARCH("Свободно",DF12)))</formula>
    </cfRule>
    <cfRule type="containsText" dxfId="21" priority="30" operator="containsText" text="*Бронь">
      <formula>NOT(ISERROR(SEARCH("*Бронь",DF12)))</formula>
    </cfRule>
    <cfRule type="containsText" dxfId="20" priority="31" operator="containsText" text="*Резерв">
      <formula>NOT(ISERROR(SEARCH("*Резерв",DF12)))</formula>
    </cfRule>
    <cfRule type="containsText" dxfId="19" priority="32" operator="containsText" text="Продажа">
      <formula>NOT(ISERROR(SEARCH("Продажа",DF12)))</formula>
    </cfRule>
  </conditionalFormatting>
  <conditionalFormatting sqref="DF13">
    <cfRule type="containsText" dxfId="18" priority="25" operator="containsText" text="Свободно">
      <formula>NOT(ISERROR(SEARCH("Свободно",DF13)))</formula>
    </cfRule>
    <cfRule type="containsText" dxfId="17" priority="26" operator="containsText" text="*Бронь">
      <formula>NOT(ISERROR(SEARCH("*Бронь",DF13)))</formula>
    </cfRule>
    <cfRule type="containsText" dxfId="16" priority="27" operator="containsText" text="*Резерв">
      <formula>NOT(ISERROR(SEARCH("*Резерв",DF13)))</formula>
    </cfRule>
    <cfRule type="containsText" dxfId="15" priority="28" operator="containsText" text="Продажа">
      <formula>NOT(ISERROR(SEARCH("Продажа",DF13)))</formula>
    </cfRule>
  </conditionalFormatting>
  <conditionalFormatting sqref="DF527">
    <cfRule type="containsText" dxfId="14" priority="21" operator="containsText" text="Свободно">
      <formula>NOT(ISERROR(SEARCH("Свободно",DF527)))</formula>
    </cfRule>
    <cfRule type="containsText" dxfId="13" priority="22" operator="containsText" text="*Бронь">
      <formula>NOT(ISERROR(SEARCH("*Бронь",DF527)))</formula>
    </cfRule>
    <cfRule type="containsText" dxfId="12" priority="23" operator="containsText" text="*Резерв">
      <formula>NOT(ISERROR(SEARCH("*Резерв",DF527)))</formula>
    </cfRule>
    <cfRule type="containsText" dxfId="11" priority="24" operator="containsText" text="Продажа">
      <formula>NOT(ISERROR(SEARCH("Продажа",DF527)))</formula>
    </cfRule>
  </conditionalFormatting>
  <conditionalFormatting sqref="AO3:AP227">
    <cfRule type="expression" dxfId="10" priority="20">
      <formula>AND(ROW(AO3)=CELL("строка"),$DF$1="Подсветка ВКЛ")</formula>
    </cfRule>
  </conditionalFormatting>
  <conditionalFormatting sqref="AO2:AP582 AP583:AQ586 AP590:AQ1048576 AQ587:AQ589">
    <cfRule type="cellIs" dxfId="9" priority="19" operator="lessThan">
      <formula>0</formula>
    </cfRule>
  </conditionalFormatting>
  <conditionalFormatting sqref="AL4:AN582">
    <cfRule type="expression" dxfId="8" priority="16">
      <formula>AND(ROW(AL4)=CELL("строка"),$DF$1="Подсветка ВКЛ")</formula>
    </cfRule>
  </conditionalFormatting>
  <conditionalFormatting sqref="CY2">
    <cfRule type="cellIs" dxfId="7" priority="15" operator="lessThan">
      <formula>0</formula>
    </cfRule>
  </conditionalFormatting>
  <conditionalFormatting sqref="AF278:AG278">
    <cfRule type="expression" dxfId="6" priority="5">
      <formula>AND(ROW(AF278)=CELL("строка"),$DF$1="Подсветка ВКЛ")</formula>
    </cfRule>
  </conditionalFormatting>
  <conditionalFormatting sqref="DF80">
    <cfRule type="containsText" dxfId="5" priority="1" operator="containsText" text="Свободно">
      <formula>NOT(ISERROR(SEARCH("Свободно",DF80)))</formula>
    </cfRule>
    <cfRule type="containsText" dxfId="4" priority="2" operator="containsText" text="*Бронь">
      <formula>NOT(ISERROR(SEARCH("*Бронь",DF80)))</formula>
    </cfRule>
    <cfRule type="containsText" dxfId="3" priority="3" operator="containsText" text="*Резерв">
      <formula>NOT(ISERROR(SEARCH("*Резерв",DF80)))</formula>
    </cfRule>
    <cfRule type="containsText" dxfId="2" priority="4" operator="containsText" text="Продажа">
      <formula>NOT(ISERROR(SEARCH("Продажа",DF80)))</formula>
    </cfRule>
  </conditionalFormatting>
  <dataValidations count="1">
    <dataValidation allowBlank="1" showInputMessage="1" showErrorMessage="1" error=" " promptTitle="Поиск" prompt="Эта запись Отделка должна уже существовать в Microsoft Dynamics 365 или в этом исходном файле." sqref="DL3:DL582" xr:uid="{00000000-0002-0000-0000-000009000000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/>
  <dimension ref="A1:AL582"/>
  <sheetViews>
    <sheetView topLeftCell="O1" workbookViewId="0">
      <selection activeCell="AI307" sqref="AI307"/>
    </sheetView>
  </sheetViews>
  <sheetFormatPr defaultColWidth="9.140625" defaultRowHeight="15" x14ac:dyDescent="0.25"/>
  <cols>
    <col min="1" max="1" width="5" customWidth="1"/>
    <col min="2" max="2" width="5.85546875" customWidth="1"/>
    <col min="3" max="3" width="5.7109375" customWidth="1"/>
    <col min="4" max="4" width="8.7109375" customWidth="1"/>
    <col min="5" max="5" width="6.85546875" customWidth="1"/>
    <col min="6" max="6" width="10.42578125" customWidth="1"/>
    <col min="7" max="7" width="11.7109375" customWidth="1"/>
    <col min="8" max="8" width="9.28515625" customWidth="1"/>
    <col min="9" max="9" width="8.28515625" customWidth="1"/>
    <col min="10" max="10" width="8.140625" customWidth="1"/>
    <col min="11" max="11" width="10" customWidth="1"/>
    <col min="12" max="12" width="19.85546875" customWidth="1"/>
    <col min="13" max="13" width="14.140625" customWidth="1"/>
    <col min="14" max="15" width="23.5703125" customWidth="1"/>
    <col min="16" max="16" width="15.140625" customWidth="1"/>
    <col min="17" max="17" width="10.85546875" customWidth="1"/>
    <col min="18" max="18" width="10.5703125" customWidth="1"/>
    <col min="19" max="19" width="12.28515625" customWidth="1"/>
    <col min="20" max="20" width="9.5703125" customWidth="1"/>
    <col min="21" max="21" width="12.140625" customWidth="1"/>
    <col min="22" max="25" width="11" customWidth="1"/>
    <col min="26" max="26" width="11.28515625" customWidth="1"/>
    <col min="27" max="27" width="13" customWidth="1"/>
    <col min="28" max="28" width="13.140625" customWidth="1"/>
    <col min="29" max="30" width="11.28515625" customWidth="1"/>
    <col min="31" max="31" width="10" customWidth="1"/>
    <col min="32" max="32" width="7.7109375" customWidth="1"/>
    <col min="33" max="33" width="12" customWidth="1"/>
    <col min="34" max="34" width="7.7109375" customWidth="1"/>
    <col min="35" max="35" width="13.5703125" customWidth="1"/>
    <col min="36" max="36" width="16.85546875" customWidth="1"/>
    <col min="37" max="37" width="26.7109375" customWidth="1"/>
    <col min="38" max="38" width="16.28515625" bestFit="1" customWidth="1"/>
    <col min="39" max="39" width="29.28515625" bestFit="1" customWidth="1"/>
  </cols>
  <sheetData>
    <row r="1" spans="1:38" x14ac:dyDescent="0.25">
      <c r="E1" s="29">
        <f>SUBTOTAL(3,наценкад5[Тип кв])</f>
        <v>1</v>
      </c>
      <c r="F1" s="26">
        <f>SUBTOTAL(9,наценкад5[Кухня])</f>
        <v>9.2799999999999994</v>
      </c>
      <c r="G1" s="26">
        <f>SUBTOTAL(9,наценкад5[Ванная])</f>
        <v>3.79</v>
      </c>
      <c r="H1" s="26">
        <f>SUBTOTAL(9,наценкад5[Гардеробная])</f>
        <v>0</v>
      </c>
      <c r="I1" s="26">
        <f>SUBTOTAL(9,наценкад5[Лоджия 2])</f>
        <v>0</v>
      </c>
      <c r="J1" s="26"/>
      <c r="K1" s="26">
        <f>SUBTOTAL(9,наценкад5[Расчетная проектная площадь])</f>
        <v>34.81</v>
      </c>
      <c r="L1" s="24">
        <v>63000</v>
      </c>
      <c r="Y1" s="51"/>
      <c r="AK1" s="21">
        <f>AL1/K1</f>
        <v>147212.97</v>
      </c>
      <c r="AL1" s="21">
        <f>SUBTOTAL(9,наценкад5[Стоимость ОН без отделки])</f>
        <v>5124483.4857000001</v>
      </c>
    </row>
    <row r="2" spans="1:38" s="182" customFormat="1" ht="48" x14ac:dyDescent="0.25">
      <c r="A2" s="17" t="s">
        <v>6</v>
      </c>
      <c r="B2" s="6" t="s">
        <v>17</v>
      </c>
      <c r="C2" s="6" t="s">
        <v>16</v>
      </c>
      <c r="D2" s="18" t="s">
        <v>36</v>
      </c>
      <c r="E2" s="6" t="s">
        <v>18</v>
      </c>
      <c r="F2" s="4" t="s">
        <v>60</v>
      </c>
      <c r="G2" s="4" t="s">
        <v>61</v>
      </c>
      <c r="H2" s="181" t="s">
        <v>40</v>
      </c>
      <c r="I2" s="4" t="s">
        <v>64</v>
      </c>
      <c r="J2" s="4" t="s">
        <v>62</v>
      </c>
      <c r="K2" s="6" t="s">
        <v>92</v>
      </c>
      <c r="L2" s="19" t="s">
        <v>37</v>
      </c>
      <c r="M2" s="77" t="s">
        <v>52</v>
      </c>
      <c r="N2" s="20" t="s">
        <v>51</v>
      </c>
      <c r="O2" s="28" t="s">
        <v>29</v>
      </c>
      <c r="P2" s="28" t="s">
        <v>55</v>
      </c>
      <c r="Q2" s="52" t="s">
        <v>30</v>
      </c>
      <c r="R2" s="52" t="s">
        <v>143</v>
      </c>
      <c r="S2" s="52" t="s">
        <v>138</v>
      </c>
      <c r="T2" s="52" t="s">
        <v>45</v>
      </c>
      <c r="U2" s="52" t="s">
        <v>81</v>
      </c>
      <c r="V2" s="52" t="s">
        <v>141</v>
      </c>
      <c r="W2" s="52" t="s">
        <v>50</v>
      </c>
      <c r="X2" s="52" t="s">
        <v>71</v>
      </c>
      <c r="Y2" s="52" t="s">
        <v>32</v>
      </c>
      <c r="Z2" s="52" t="s">
        <v>48</v>
      </c>
      <c r="AA2" s="52" t="s">
        <v>41</v>
      </c>
      <c r="AB2" s="52" t="s">
        <v>33</v>
      </c>
      <c r="AC2" s="52" t="s">
        <v>84</v>
      </c>
      <c r="AD2" s="52" t="s">
        <v>34</v>
      </c>
      <c r="AE2" s="52" t="s">
        <v>107</v>
      </c>
      <c r="AF2" s="52" t="s">
        <v>108</v>
      </c>
      <c r="AG2" s="52" t="s">
        <v>102</v>
      </c>
      <c r="AH2" s="52" t="s">
        <v>106</v>
      </c>
      <c r="AI2" s="87" t="s">
        <v>53</v>
      </c>
      <c r="AJ2" s="71" t="s">
        <v>38</v>
      </c>
      <c r="AK2" s="70" t="s">
        <v>39</v>
      </c>
      <c r="AL2" s="30" t="s">
        <v>0</v>
      </c>
    </row>
    <row r="3" spans="1:38" s="104" customFormat="1" hidden="1" x14ac:dyDescent="0.25">
      <c r="A3" s="101">
        <v>1</v>
      </c>
      <c r="B3" s="2" t="str">
        <f>_xlfn.XLOOKUP(наценкад5[[#This Row],[№]],ППД5[№],ППД5[Секция],"-",0)</f>
        <v>А</v>
      </c>
      <c r="C3" s="2">
        <f>_xlfn.XLOOKUP(наценкад5[[#This Row],[№]],ППД5[№],ППД5[Этаж],"-",0)</f>
        <v>1</v>
      </c>
      <c r="D3" s="2">
        <f>_xlfn.XLOOKUP(наценкад5[[#This Row],[№]],ППД5[№],ППД5[№ на этаже],"-",0)</f>
        <v>1</v>
      </c>
      <c r="E3" s="2">
        <f>_xlfn.XLOOKUP(наценкад5[[#This Row],[№]],ППД5[№],ППД5[Тип кв],"-",0)</f>
        <v>1</v>
      </c>
      <c r="F3" s="72">
        <f>_xlfn.XLOOKUP(наценкад5[[#This Row],[№]],ППД5[№],ППД5[Кухня],"-",0)</f>
        <v>9.84</v>
      </c>
      <c r="G3" s="72">
        <f>_xlfn.XLOOKUP(наценкад5[[#This Row],[№]],ППД5[№],ППД5[Ванная],"-",0)</f>
        <v>3.63</v>
      </c>
      <c r="H3" s="72">
        <f>_xlfn.XLOOKUP(наценкад5[[#This Row],[№]],ППД5[№],ППД5[Гардеробная],"-",0)</f>
        <v>0</v>
      </c>
      <c r="I3" s="72">
        <f>_xlfn.XLOOKUP(наценкад5[[#This Row],[№]],ППД5[№],ППД5[Лоджия 2],"-",0)</f>
        <v>0</v>
      </c>
      <c r="J3" s="72">
        <f>_xlfn.XLOOKUP(наценкад5[[#This Row],[№]],ППД5[№],ППД5[С\У],"-",0)</f>
        <v>0</v>
      </c>
      <c r="K3" s="72">
        <f>_xlfn.XLOOKUP(наценкад5[[#This Row],[№]],ППД5[№],ППД5[Расчетная проектная площадь],"-",0)</f>
        <v>34.39</v>
      </c>
      <c r="L3" s="12">
        <f t="shared" ref="L3:L66" si="0">$L$1</f>
        <v>63000</v>
      </c>
      <c r="M3" s="102">
        <f>коэффициенты!$G$2</f>
        <v>1.2875000000000001</v>
      </c>
      <c r="N3" s="103">
        <f>наценкад5[[#This Row],[Цена м2 базовая]]*наценкад5[[#This Row],[Базовой K]]</f>
        <v>81112.5</v>
      </c>
      <c r="O3" s="76"/>
      <c r="P3" s="76"/>
      <c r="Q3" s="76"/>
      <c r="R3" s="76"/>
      <c r="S3" s="76"/>
      <c r="T3" s="76"/>
      <c r="U3" s="76"/>
      <c r="V3" s="76"/>
      <c r="W3" s="76"/>
      <c r="X3" s="76"/>
      <c r="Y3" s="78"/>
      <c r="Z3" s="76"/>
      <c r="AA3" s="76">
        <f>коэффициенты!$G$14</f>
        <v>0.01</v>
      </c>
      <c r="AB3" s="76"/>
      <c r="AC3" s="76"/>
      <c r="AD3" s="76">
        <f>коэффициенты!$G$19</f>
        <v>0.01</v>
      </c>
      <c r="AE3" s="76">
        <f>коэффициенты!$G$20</f>
        <v>0.05</v>
      </c>
      <c r="AF3" s="76"/>
      <c r="AG3" s="76"/>
      <c r="AH3" s="76"/>
      <c r="AI3" s="73">
        <f>SUM(наценкад5[[#This Row],[еврокухня]:[большая площадь]])*наценкад5[[#This Row],[Цена м2 с базовым K]]+наценкад5[[#This Row],[Цена м2 с базовым K]]</f>
        <v>86790.375</v>
      </c>
      <c r="AJ3" s="72">
        <f>VLOOKUP(наценкад5[[#This Row],[№]],ППД5[],COLUMN(ППД5[[#This Row],[утв цена м2]]),0)</f>
        <v>91129.89</v>
      </c>
      <c r="AK3" s="3">
        <f>наценкад5[[#This Row],[утв цена м2]]*наценкад5[[#This Row],[Расчетная проектная площадь]]</f>
        <v>3133956.9171000002</v>
      </c>
      <c r="AL3" s="22" t="str">
        <f>VLOOKUP(наценкад5[[#This Row],[№]],ППД5[],COLUMN('Реестр ОН'!$DF$1),0)</f>
        <v>Продажа</v>
      </c>
    </row>
    <row r="4" spans="1:38" s="104" customFormat="1" hidden="1" x14ac:dyDescent="0.25">
      <c r="A4" s="101">
        <v>2</v>
      </c>
      <c r="B4" s="2" t="str">
        <f>_xlfn.XLOOKUP(наценкад5[[#This Row],[№]],ППД5[№],ППД5[Секция],"-",0)</f>
        <v>А</v>
      </c>
      <c r="C4" s="2">
        <f>_xlfn.XLOOKUP(наценкад5[[#This Row],[№]],ППД5[№],ППД5[Этаж],"-",0)</f>
        <v>1</v>
      </c>
      <c r="D4" s="2">
        <f>_xlfn.XLOOKUP(наценкад5[[#This Row],[№]],ППД5[№],ППД5[№ на этаже],"-",0)</f>
        <v>2</v>
      </c>
      <c r="E4" s="2">
        <f>_xlfn.XLOOKUP(наценкад5[[#This Row],[№]],ППД5[№],ППД5[Тип кв],"-",0)</f>
        <v>2</v>
      </c>
      <c r="F4" s="72">
        <f>_xlfn.XLOOKUP(наценкад5[[#This Row],[№]],ППД5[№],ППД5[Кухня],"-",0)</f>
        <v>18.7</v>
      </c>
      <c r="G4" s="72">
        <f>_xlfn.XLOOKUP(наценкад5[[#This Row],[№]],ППД5[№],ППД5[Ванная],"-",0)</f>
        <v>4.42</v>
      </c>
      <c r="H4" s="72">
        <f>_xlfn.XLOOKUP(наценкад5[[#This Row],[№]],ППД5[№],ППД5[Гардеробная],"-",0)</f>
        <v>3.25</v>
      </c>
      <c r="I4" s="72">
        <f>_xlfn.XLOOKUP(наценкад5[[#This Row],[№]],ППД5[№],ППД5[Лоджия 2],"-",0)</f>
        <v>0</v>
      </c>
      <c r="J4" s="72">
        <f>_xlfn.XLOOKUP(наценкад5[[#This Row],[№]],ППД5[№],ППД5[С\У],"-",0)</f>
        <v>0</v>
      </c>
      <c r="K4" s="72">
        <f>_xlfn.XLOOKUP(наценкад5[[#This Row],[№]],ППД5[№],ППД5[Расчетная проектная площадь],"-",0)</f>
        <v>66.959999999999994</v>
      </c>
      <c r="L4" s="12">
        <f t="shared" si="0"/>
        <v>63000</v>
      </c>
      <c r="M4" s="102">
        <f>коэффициенты!$F$2</f>
        <v>1.2257</v>
      </c>
      <c r="N4" s="103">
        <f>наценкад5[[#This Row],[Цена м2 базовая]]*наценкад5[[#This Row],[Базовой K]]</f>
        <v>77219.100000000006</v>
      </c>
      <c r="O4" s="76">
        <f>коэффициенты!$F$4</f>
        <v>1.4999999999999999E-2</v>
      </c>
      <c r="P4" s="76"/>
      <c r="Q4" s="76">
        <f>коэффициенты!$F$6</f>
        <v>0.02</v>
      </c>
      <c r="R4" s="76"/>
      <c r="S4" s="76"/>
      <c r="T4" s="76"/>
      <c r="U4" s="76"/>
      <c r="V4" s="74">
        <f>коэффициенты!$F$11</f>
        <v>5.0000000000000001E-3</v>
      </c>
      <c r="W4" s="76"/>
      <c r="X4" s="76"/>
      <c r="Y4" s="78"/>
      <c r="Z4" s="76"/>
      <c r="AA4" s="76"/>
      <c r="AB4" s="76">
        <f>коэффициенты!$F$17</f>
        <v>0.05</v>
      </c>
      <c r="AC4" s="76"/>
      <c r="AD4" s="76"/>
      <c r="AE4" s="76">
        <f>коэффициенты!$F$20</f>
        <v>0.03</v>
      </c>
      <c r="AF4" s="76"/>
      <c r="AG4" s="76"/>
      <c r="AH4" s="76">
        <f>'отрицательный кф'!$O$20</f>
        <v>-0.02</v>
      </c>
      <c r="AI4" s="73">
        <f>SUM(наценкад5[[#This Row],[еврокухня]:[большая площадь]])*наценкад5[[#This Row],[Цена м2 с базовым K]]+наценкад5[[#This Row],[Цена м2 с базовым K]]</f>
        <v>84941.010000000009</v>
      </c>
      <c r="AJ4" s="72">
        <f>VLOOKUP(наценкад5[[#This Row],[№]],ППД5[],COLUMN(ППД5[[#This Row],[утв цена м2]]),0)</f>
        <v>125277.21</v>
      </c>
      <c r="AK4" s="3">
        <f>наценкад5[[#This Row],[утв цена м2]]*наценкад5[[#This Row],[Расчетная проектная площадь]]</f>
        <v>8388561.9815999996</v>
      </c>
      <c r="AL4" s="22" t="str">
        <f>VLOOKUP(наценкад5[[#This Row],[№]],ППД5[],COLUMN('Реестр ОН'!$DF$1),0)</f>
        <v>Свободно</v>
      </c>
    </row>
    <row r="5" spans="1:38" s="104" customFormat="1" hidden="1" x14ac:dyDescent="0.25">
      <c r="A5" s="101">
        <v>3</v>
      </c>
      <c r="B5" s="2" t="str">
        <f>_xlfn.XLOOKUP(наценкад5[[#This Row],[№]],ППД5[№],ППД5[Секция],"-",0)</f>
        <v>А</v>
      </c>
      <c r="C5" s="2">
        <f>_xlfn.XLOOKUP(наценкад5[[#This Row],[№]],ППД5[№],ППД5[Этаж],"-",0)</f>
        <v>1</v>
      </c>
      <c r="D5" s="2">
        <f>_xlfn.XLOOKUP(наценкад5[[#This Row],[№]],ППД5[№],ППД5[№ на этаже],"-",0)</f>
        <v>3</v>
      </c>
      <c r="E5" s="2">
        <f>_xlfn.XLOOKUP(наценкад5[[#This Row],[№]],ППД5[№],ППД5[Тип кв],"-",0)</f>
        <v>1</v>
      </c>
      <c r="F5" s="72">
        <f>_xlfn.XLOOKUP(наценкад5[[#This Row],[№]],ППД5[№],ППД5[Кухня],"-",0)</f>
        <v>14.97</v>
      </c>
      <c r="G5" s="72">
        <f>_xlfn.XLOOKUP(наценкад5[[#This Row],[№]],ППД5[№],ППД5[Ванная],"-",0)</f>
        <v>4.1100000000000003</v>
      </c>
      <c r="H5" s="72">
        <f>_xlfn.XLOOKUP(наценкад5[[#This Row],[№]],ППД5[№],ППД5[Гардеробная],"-",0)</f>
        <v>0</v>
      </c>
      <c r="I5" s="72">
        <f>_xlfn.XLOOKUP(наценкад5[[#This Row],[№]],ППД5[№],ППД5[Лоджия 2],"-",0)</f>
        <v>0</v>
      </c>
      <c r="J5" s="72">
        <f>_xlfn.XLOOKUP(наценкад5[[#This Row],[№]],ППД5[№],ППД5[С\У],"-",0)</f>
        <v>0</v>
      </c>
      <c r="K5" s="72">
        <f>_xlfn.XLOOKUP(наценкад5[[#This Row],[№]],ППД5[№],ППД5[Расчетная проектная площадь],"-",0)</f>
        <v>37.869999999999997</v>
      </c>
      <c r="L5" s="12">
        <f t="shared" si="0"/>
        <v>63000</v>
      </c>
      <c r="M5" s="102">
        <f>коэффициенты!$G$2</f>
        <v>1.2875000000000001</v>
      </c>
      <c r="N5" s="103">
        <f>наценкад5[[#This Row],[Цена м2 базовая]]*наценкад5[[#This Row],[Базовой K]]</f>
        <v>81112.5</v>
      </c>
      <c r="O5" s="76">
        <f>коэффициенты!$G$4</f>
        <v>0.02</v>
      </c>
      <c r="P5" s="76"/>
      <c r="Q5" s="76">
        <f>коэффициенты!$G$6</f>
        <v>0.03</v>
      </c>
      <c r="R5" s="76"/>
      <c r="S5" s="76"/>
      <c r="T5" s="76"/>
      <c r="U5" s="76"/>
      <c r="V5" s="76"/>
      <c r="W5" s="76"/>
      <c r="X5" s="74">
        <f>коэффициенты!$G$13</f>
        <v>0.01</v>
      </c>
      <c r="Y5" s="78"/>
      <c r="Z5" s="76"/>
      <c r="AA5" s="76">
        <f>коэффициенты!$G$14</f>
        <v>0.01</v>
      </c>
      <c r="AB5" s="76"/>
      <c r="AC5" s="76"/>
      <c r="AD5" s="76">
        <f>коэффициенты!$G$19</f>
        <v>0.01</v>
      </c>
      <c r="AE5" s="76">
        <f>коэффициенты!$G$20</f>
        <v>0.05</v>
      </c>
      <c r="AF5" s="76"/>
      <c r="AG5" s="76"/>
      <c r="AH5" s="76"/>
      <c r="AI5" s="73">
        <f>SUM(наценкад5[[#This Row],[еврокухня]:[большая площадь]])*наценкад5[[#This Row],[Цена м2 с базовым K]]+наценкад5[[#This Row],[Цена м2 с базовым K]]</f>
        <v>91657.125</v>
      </c>
      <c r="AJ5" s="72">
        <f>VLOOKUP(наценкад5[[#This Row],[№]],ППД5[],COLUMN(ППД5[[#This Row],[утв цена м2]]),0)</f>
        <v>153973.6</v>
      </c>
      <c r="AK5" s="3">
        <f>наценкад5[[#This Row],[утв цена м2]]*наценкад5[[#This Row],[Расчетная проектная площадь]]</f>
        <v>5830980.2319999998</v>
      </c>
      <c r="AL5" s="22" t="str">
        <f>VLOOKUP(наценкад5[[#This Row],[№]],ППД5[],COLUMN('Реестр ОН'!$DF$1),0)</f>
        <v>Свободно</v>
      </c>
    </row>
    <row r="6" spans="1:38" s="104" customFormat="1" hidden="1" x14ac:dyDescent="0.25">
      <c r="A6" s="101">
        <v>4</v>
      </c>
      <c r="B6" s="2" t="str">
        <f>_xlfn.XLOOKUP(наценкад5[[#This Row],[№]],ППД5[№],ППД5[Секция],"-",0)</f>
        <v>А</v>
      </c>
      <c r="C6" s="2">
        <f>_xlfn.XLOOKUP(наценкад5[[#This Row],[№]],ППД5[№],ППД5[Этаж],"-",0)</f>
        <v>1</v>
      </c>
      <c r="D6" s="2">
        <f>_xlfn.XLOOKUP(наценкад5[[#This Row],[№]],ППД5[№],ППД5[№ на этаже],"-",0)</f>
        <v>4</v>
      </c>
      <c r="E6" s="2">
        <f>_xlfn.XLOOKUP(наценкад5[[#This Row],[№]],ППД5[№],ППД5[Тип кв],"-",0)</f>
        <v>2</v>
      </c>
      <c r="F6" s="72">
        <f>_xlfn.XLOOKUP(наценкад5[[#This Row],[№]],ППД5[№],ППД5[Кухня],"-",0)</f>
        <v>27.57</v>
      </c>
      <c r="G6" s="72">
        <f>_xlfn.XLOOKUP(наценкад5[[#This Row],[№]],ППД5[№],ППД5[Ванная],"-",0)</f>
        <v>4.3499999999999996</v>
      </c>
      <c r="H6" s="72">
        <f>_xlfn.XLOOKUP(наценкад5[[#This Row],[№]],ППД5[№],ППД5[Гардеробная],"-",0)</f>
        <v>0</v>
      </c>
      <c r="I6" s="72">
        <f>_xlfn.XLOOKUP(наценкад5[[#This Row],[№]],ППД5[№],ППД5[Лоджия 2],"-",0)</f>
        <v>2.56</v>
      </c>
      <c r="J6" s="72">
        <f>_xlfn.XLOOKUP(наценкад5[[#This Row],[№]],ППД5[№],ППД5[С\У],"-",0)</f>
        <v>1.55</v>
      </c>
      <c r="K6" s="72">
        <f>_xlfn.XLOOKUP(наценкад5[[#This Row],[№]],ППД5[№],ППД5[Расчетная проектная площадь],"-",0)</f>
        <v>73.02</v>
      </c>
      <c r="L6" s="12">
        <f t="shared" si="0"/>
        <v>63000</v>
      </c>
      <c r="M6" s="102">
        <f>коэффициенты!$F$2</f>
        <v>1.2257</v>
      </c>
      <c r="N6" s="103">
        <f>наценкад5[[#This Row],[Цена м2 базовая]]*наценкад5[[#This Row],[Базовой K]]</f>
        <v>77219.100000000006</v>
      </c>
      <c r="O6" s="76">
        <f>коэффициенты!$F$4</f>
        <v>1.4999999999999999E-2</v>
      </c>
      <c r="P6" s="76"/>
      <c r="Q6" s="76">
        <f>коэффициенты!$F$6</f>
        <v>0.02</v>
      </c>
      <c r="R6" s="76"/>
      <c r="S6" s="76">
        <f>коэффициенты!$F$9</f>
        <v>0</v>
      </c>
      <c r="T6" s="74">
        <f>коэффициенты!$F$7</f>
        <v>0.03</v>
      </c>
      <c r="U6" s="76"/>
      <c r="V6" s="76"/>
      <c r="W6" s="76"/>
      <c r="X6" s="76"/>
      <c r="Y6" s="78"/>
      <c r="Z6" s="76"/>
      <c r="AA6" s="76">
        <f>коэффициенты!$F$14</f>
        <v>0.02</v>
      </c>
      <c r="AB6" s="76"/>
      <c r="AC6" s="76"/>
      <c r="AD6" s="76">
        <f>коэффициенты!$F$19</f>
        <v>5.0000000000000001E-3</v>
      </c>
      <c r="AE6" s="76">
        <f>коэффициенты!$F$20</f>
        <v>0.03</v>
      </c>
      <c r="AF6" s="76"/>
      <c r="AG6" s="76"/>
      <c r="AH6" s="76">
        <f>'отрицательный кф'!$O$21</f>
        <v>-0.08</v>
      </c>
      <c r="AI6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6" s="72">
        <f>VLOOKUP(наценкад5[[#This Row],[№]],ППД5[],COLUMN(ППД5[[#This Row],[утв цена м2]]),0)</f>
        <v>86852.95</v>
      </c>
      <c r="AK6" s="3">
        <f>наценкад5[[#This Row],[утв цена м2]]*наценкад5[[#This Row],[Расчетная проектная площадь]]</f>
        <v>6342002.4089999991</v>
      </c>
      <c r="AL6" s="22" t="str">
        <f>VLOOKUP(наценкад5[[#This Row],[№]],ППД5[],COLUMN('Реестр ОН'!$DF$1),0)</f>
        <v>Продажа</v>
      </c>
    </row>
    <row r="7" spans="1:38" s="104" customFormat="1" hidden="1" x14ac:dyDescent="0.25">
      <c r="A7" s="101">
        <v>5</v>
      </c>
      <c r="B7" s="2" t="str">
        <f>_xlfn.XLOOKUP(наценкад5[[#This Row],[№]],ППД5[№],ППД5[Секция],"-",0)</f>
        <v>А</v>
      </c>
      <c r="C7" s="2">
        <f>_xlfn.XLOOKUP(наценкад5[[#This Row],[№]],ППД5[№],ППД5[Этаж],"-",0)</f>
        <v>1</v>
      </c>
      <c r="D7" s="2">
        <f>_xlfn.XLOOKUP(наценкад5[[#This Row],[№]],ППД5[№],ППД5[№ на этаже],"-",0)</f>
        <v>5</v>
      </c>
      <c r="E7" s="2">
        <f>_xlfn.XLOOKUP(наценкад5[[#This Row],[№]],ППД5[№],ППД5[Тип кв],"-",0)</f>
        <v>2</v>
      </c>
      <c r="F7" s="72">
        <f>_xlfn.XLOOKUP(наценкад5[[#This Row],[№]],ППД5[№],ППД5[Кухня],"-",0)</f>
        <v>14.35</v>
      </c>
      <c r="G7" s="72">
        <f>_xlfn.XLOOKUP(наценкад5[[#This Row],[№]],ППД5[№],ППД5[Ванная],"-",0)</f>
        <v>4.16</v>
      </c>
      <c r="H7" s="72">
        <f>_xlfn.XLOOKUP(наценкад5[[#This Row],[№]],ППД5[№],ППД5[Гардеробная],"-",0)</f>
        <v>0</v>
      </c>
      <c r="I7" s="72">
        <f>_xlfn.XLOOKUP(наценкад5[[#This Row],[№]],ППД5[№],ППД5[Лоджия 2],"-",0)</f>
        <v>0</v>
      </c>
      <c r="J7" s="72">
        <f>_xlfn.XLOOKUP(наценкад5[[#This Row],[№]],ППД5[№],ППД5[С\У],"-",0)</f>
        <v>1.93</v>
      </c>
      <c r="K7" s="72">
        <f>_xlfn.XLOOKUP(наценкад5[[#This Row],[№]],ППД5[№],ППД5[Расчетная проектная площадь],"-",0)</f>
        <v>58.27</v>
      </c>
      <c r="L7" s="12">
        <f t="shared" si="0"/>
        <v>63000</v>
      </c>
      <c r="M7" s="102">
        <f>коэффициенты!$F$2</f>
        <v>1.2257</v>
      </c>
      <c r="N7" s="103">
        <f>наценкад5[[#This Row],[Цена м2 базовая]]*наценкад5[[#This Row],[Базовой K]]</f>
        <v>77219.100000000006</v>
      </c>
      <c r="O7" s="76">
        <f>коэффициенты!$F$4</f>
        <v>1.4999999999999999E-2</v>
      </c>
      <c r="P7" s="76"/>
      <c r="Q7" s="76">
        <f>коэффициенты!$F$6</f>
        <v>0.02</v>
      </c>
      <c r="R7" s="76"/>
      <c r="S7" s="76">
        <f>коэффициенты!$F$9</f>
        <v>0</v>
      </c>
      <c r="T7" s="76"/>
      <c r="U7" s="76"/>
      <c r="V7" s="76">
        <f>коэффициенты!$F$11</f>
        <v>5.0000000000000001E-3</v>
      </c>
      <c r="W7" s="76"/>
      <c r="X7" s="76">
        <f>коэффициенты!$F$13</f>
        <v>0.02</v>
      </c>
      <c r="Y7" s="78"/>
      <c r="Z7" s="76"/>
      <c r="AA7" s="76"/>
      <c r="AB7" s="76"/>
      <c r="AC7" s="76"/>
      <c r="AD7" s="76">
        <f>коэффициенты!$F$19</f>
        <v>5.0000000000000001E-3</v>
      </c>
      <c r="AE7" s="76">
        <f>коэффициенты!$F$20</f>
        <v>0.03</v>
      </c>
      <c r="AF7" s="76"/>
      <c r="AG7" s="76"/>
      <c r="AH7" s="76">
        <f>'отрицательный кф'!$O$22</f>
        <v>-0.06</v>
      </c>
      <c r="AI7" s="73">
        <f>SUM(наценкад5[[#This Row],[еврокухня]:[большая площадь]])*наценкад5[[#This Row],[Цена м2 с базовым K]]+наценкад5[[#This Row],[Цена м2 с базовым K]]</f>
        <v>79921.768500000006</v>
      </c>
      <c r="AJ7" s="72">
        <f>VLOOKUP(наценкад5[[#This Row],[№]],ППД5[],COLUMN(ППД5[[#This Row],[утв цена м2]]),0)</f>
        <v>79921.77</v>
      </c>
      <c r="AK7" s="3">
        <f>наценкад5[[#This Row],[утв цена м2]]*наценкад5[[#This Row],[Расчетная проектная площадь]]</f>
        <v>4657041.5379000008</v>
      </c>
      <c r="AL7" s="22" t="str">
        <f>VLOOKUP(наценкад5[[#This Row],[№]],ППД5[],COLUMN('Реестр ОН'!$DF$1),0)</f>
        <v>Продажа</v>
      </c>
    </row>
    <row r="8" spans="1:38" s="104" customFormat="1" hidden="1" x14ac:dyDescent="0.25">
      <c r="A8" s="101">
        <v>6</v>
      </c>
      <c r="B8" s="2" t="str">
        <f>_xlfn.XLOOKUP(наценкад5[[#This Row],[№]],ППД5[№],ППД5[Секция],"-",0)</f>
        <v>А</v>
      </c>
      <c r="C8" s="2">
        <f>_xlfn.XLOOKUP(наценкад5[[#This Row],[№]],ППД5[№],ППД5[Этаж],"-",0)</f>
        <v>1</v>
      </c>
      <c r="D8" s="2">
        <f>_xlfn.XLOOKUP(наценкад5[[#This Row],[№]],ППД5[№],ППД5[№ на этаже],"-",0)</f>
        <v>6</v>
      </c>
      <c r="E8" s="2">
        <f>_xlfn.XLOOKUP(наценкад5[[#This Row],[№]],ППД5[№],ППД5[Тип кв],"-",0)</f>
        <v>1</v>
      </c>
      <c r="F8" s="72">
        <f>_xlfn.XLOOKUP(наценкад5[[#This Row],[№]],ППД5[№],ППД5[Кухня],"-",0)</f>
        <v>13.04</v>
      </c>
      <c r="G8" s="72">
        <f>_xlfn.XLOOKUP(наценкад5[[#This Row],[№]],ППД5[№],ППД5[Ванная],"-",0)</f>
        <v>3.9</v>
      </c>
      <c r="H8" s="72">
        <f>_xlfn.XLOOKUP(наценкад5[[#This Row],[№]],ППД5[№],ППД5[Гардеробная],"-",0)</f>
        <v>0</v>
      </c>
      <c r="I8" s="72">
        <f>_xlfn.XLOOKUP(наценкад5[[#This Row],[№]],ППД5[№],ППД5[Лоджия 2],"-",0)</f>
        <v>0</v>
      </c>
      <c r="J8" s="72">
        <f>_xlfn.XLOOKUP(наценкад5[[#This Row],[№]],ППД5[№],ППД5[С\У],"-",0)</f>
        <v>0</v>
      </c>
      <c r="K8" s="72">
        <f>_xlfn.XLOOKUP(наценкад5[[#This Row],[№]],ППД5[№],ППД5[Расчетная проектная площадь],"-",0)</f>
        <v>42.75</v>
      </c>
      <c r="L8" s="12">
        <f t="shared" si="0"/>
        <v>63000</v>
      </c>
      <c r="M8" s="102">
        <f>коэффициенты!$G$2</f>
        <v>1.2875000000000001</v>
      </c>
      <c r="N8" s="103">
        <f>наценкад5[[#This Row],[Цена м2 базовая]]*наценкад5[[#This Row],[Базовой K]]</f>
        <v>81112.5</v>
      </c>
      <c r="O8" s="76"/>
      <c r="P8" s="76">
        <f>коэффициенты!$G$5</f>
        <v>0.01</v>
      </c>
      <c r="Q8" s="76"/>
      <c r="R8" s="76"/>
      <c r="S8" s="76"/>
      <c r="T8" s="76"/>
      <c r="U8" s="76"/>
      <c r="V8" s="76">
        <f>коэффициенты!$G$11</f>
        <v>0.01</v>
      </c>
      <c r="W8" s="76"/>
      <c r="X8" s="76"/>
      <c r="Y8" s="78"/>
      <c r="Z8" s="76"/>
      <c r="AA8" s="76">
        <f>коэффициенты!$G$14</f>
        <v>0.01</v>
      </c>
      <c r="AB8" s="76"/>
      <c r="AC8" s="76"/>
      <c r="AD8" s="76">
        <f>коэффициенты!$G$19</f>
        <v>0.01</v>
      </c>
      <c r="AE8" s="76">
        <f>коэффициенты!$G$20</f>
        <v>0.05</v>
      </c>
      <c r="AF8" s="76"/>
      <c r="AG8" s="74">
        <f>коэффициенты!$A$24</f>
        <v>-5.0000000000000001E-3</v>
      </c>
      <c r="AH8" s="74">
        <f>'отрицательный кф'!$O$12</f>
        <v>-0.05</v>
      </c>
      <c r="AI8" s="73">
        <f>SUM(наценкад5[[#This Row],[еврокухня]:[большая площадь]])*наценкад5[[#This Row],[Цена м2 с базовым K]]+наценкад5[[#This Row],[Цена м2 с базовым K]]</f>
        <v>83951.4375</v>
      </c>
      <c r="AJ8" s="72">
        <f>VLOOKUP(наценкад5[[#This Row],[№]],ППД5[],COLUMN(ППД5[[#This Row],[утв цена м2]]),0)</f>
        <v>94425.22</v>
      </c>
      <c r="AK8" s="3">
        <f>наценкад5[[#This Row],[утв цена м2]]*наценкад5[[#This Row],[Расчетная проектная площадь]]</f>
        <v>4036678.1550000003</v>
      </c>
      <c r="AL8" s="22" t="str">
        <f>VLOOKUP(наценкад5[[#This Row],[№]],ППД5[],COLUMN('Реестр ОН'!$DF$1),0)</f>
        <v>Продажа</v>
      </c>
    </row>
    <row r="9" spans="1:38" hidden="1" x14ac:dyDescent="0.25">
      <c r="A9" s="101">
        <v>7</v>
      </c>
      <c r="B9" s="2" t="str">
        <f>_xlfn.XLOOKUP(наценкад5[[#This Row],[№]],ППД5[№],ППД5[Секция],"-",0)</f>
        <v>А</v>
      </c>
      <c r="C9" s="2">
        <f>_xlfn.XLOOKUP(наценкад5[[#This Row],[№]],ППД5[№],ППД5[Этаж],"-",0)</f>
        <v>2</v>
      </c>
      <c r="D9" s="2">
        <f>_xlfn.XLOOKUP(наценкад5[[#This Row],[№]],ППД5[№],ППД5[№ на этаже],"-",0)</f>
        <v>1</v>
      </c>
      <c r="E9" s="2">
        <f>_xlfn.XLOOKUP(наценкад5[[#This Row],[№]],ППД5[№],ППД5[Тип кв],"-",0)</f>
        <v>1</v>
      </c>
      <c r="F9" s="72">
        <f>_xlfn.XLOOKUP(наценкад5[[#This Row],[№]],ППД5[№],ППД5[Кухня],"-",0)</f>
        <v>9.84</v>
      </c>
      <c r="G9" s="72">
        <f>_xlfn.XLOOKUP(наценкад5[[#This Row],[№]],ППД5[№],ППД5[Ванная],"-",0)</f>
        <v>3.63</v>
      </c>
      <c r="H9" s="72">
        <f>_xlfn.XLOOKUP(наценкад5[[#This Row],[№]],ППД5[№],ППД5[Гардеробная],"-",0)</f>
        <v>0</v>
      </c>
      <c r="I9" s="72">
        <f>_xlfn.XLOOKUP(наценкад5[[#This Row],[№]],ППД5[№],ППД5[Лоджия 2],"-",0)</f>
        <v>0</v>
      </c>
      <c r="J9" s="72">
        <f>_xlfn.XLOOKUP(наценкад5[[#This Row],[№]],ППД5[№],ППД5[С\У],"-",0)</f>
        <v>0</v>
      </c>
      <c r="K9" s="72">
        <f>_xlfn.XLOOKUP(наценкад5[[#This Row],[№]],ППД5[№],ППД5[Расчетная проектная площадь],"-",0)</f>
        <v>34.39</v>
      </c>
      <c r="L9" s="12">
        <f t="shared" si="0"/>
        <v>63000</v>
      </c>
      <c r="M9" s="102">
        <f>коэффициенты!$G$2</f>
        <v>1.2875000000000001</v>
      </c>
      <c r="N9" s="13">
        <f>наценкад5[[#This Row],[Цена м2 базовая]]*наценкад5[[#This Row],[Базовой K]]</f>
        <v>81112.5</v>
      </c>
      <c r="O9" s="74"/>
      <c r="P9" s="74"/>
      <c r="Q9" s="74"/>
      <c r="R9" s="74"/>
      <c r="S9" s="74"/>
      <c r="T9" s="74"/>
      <c r="U9" s="74"/>
      <c r="V9" s="74"/>
      <c r="W9" s="74"/>
      <c r="X9" s="74"/>
      <c r="Y9" s="78">
        <f>коэффициенты!$G$15</f>
        <v>0.01</v>
      </c>
      <c r="Z9" s="74"/>
      <c r="AA9" s="76">
        <f>коэффициенты!$G$14</f>
        <v>0.01</v>
      </c>
      <c r="AB9" s="74"/>
      <c r="AC9" s="74"/>
      <c r="AD9" s="76">
        <f>коэффициенты!$G$19</f>
        <v>0.01</v>
      </c>
      <c r="AE9" s="76"/>
      <c r="AF9" s="76"/>
      <c r="AG9" s="74"/>
      <c r="AH9" s="74"/>
      <c r="AI9" s="73">
        <f>SUM(наценкад5[[#This Row],[еврокухня]:[большая площадь]])*наценкад5[[#This Row],[Цена м2 с базовым K]]+наценкад5[[#This Row],[Цена м2 с базовым K]]</f>
        <v>83545.875</v>
      </c>
      <c r="AJ9" s="72">
        <f>VLOOKUP(наценкад5[[#This Row],[№]],ППД5[],COLUMN(ППД5[[#This Row],[утв цена м2]]),0)</f>
        <v>83545.88</v>
      </c>
      <c r="AK9" s="3">
        <f>наценкад5[[#This Row],[утв цена м2]]*наценкад5[[#This Row],[Расчетная проектная площадь]]</f>
        <v>2873142.8132000002</v>
      </c>
      <c r="AL9" s="22" t="str">
        <f>VLOOKUP(наценкад5[[#This Row],[№]],ППД5[],COLUMN('Реестр ОН'!$DF$1),0)</f>
        <v>Продажа</v>
      </c>
    </row>
    <row r="10" spans="1:38" hidden="1" x14ac:dyDescent="0.25">
      <c r="A10" s="101">
        <v>8</v>
      </c>
      <c r="B10" s="2" t="str">
        <f>_xlfn.XLOOKUP(наценкад5[[#This Row],[№]],ППД5[№],ППД5[Секция],"-",0)</f>
        <v>А</v>
      </c>
      <c r="C10" s="2">
        <f>_xlfn.XLOOKUP(наценкад5[[#This Row],[№]],ППД5[№],ППД5[Этаж],"-",0)</f>
        <v>2</v>
      </c>
      <c r="D10" s="2">
        <f>_xlfn.XLOOKUP(наценкад5[[#This Row],[№]],ППД5[№],ППД5[№ на этаже],"-",0)</f>
        <v>2</v>
      </c>
      <c r="E10" s="2">
        <f>_xlfn.XLOOKUP(наценкад5[[#This Row],[№]],ППД5[№],ППД5[Тип кв],"-",0)</f>
        <v>2</v>
      </c>
      <c r="F10" s="72">
        <f>_xlfn.XLOOKUP(наценкад5[[#This Row],[№]],ППД5[№],ППД5[Кухня],"-",0)</f>
        <v>19.440000000000001</v>
      </c>
      <c r="G10" s="72">
        <f>_xlfn.XLOOKUP(наценкад5[[#This Row],[№]],ППД5[№],ППД5[Ванная],"-",0)</f>
        <v>4.42</v>
      </c>
      <c r="H10" s="72">
        <f>_xlfn.XLOOKUP(наценкад5[[#This Row],[№]],ППД5[№],ППД5[Гардеробная],"-",0)</f>
        <v>3.25</v>
      </c>
      <c r="I10" s="72">
        <f>_xlfn.XLOOKUP(наценкад5[[#This Row],[№]],ППД5[№],ППД5[Лоджия 2],"-",0)</f>
        <v>0</v>
      </c>
      <c r="J10" s="72">
        <f>_xlfn.XLOOKUP(наценкад5[[#This Row],[№]],ППД5[№],ППД5[С\У],"-",0)</f>
        <v>0</v>
      </c>
      <c r="K10" s="72">
        <f>_xlfn.XLOOKUP(наценкад5[[#This Row],[№]],ППД5[№],ППД5[Расчетная проектная площадь],"-",0)</f>
        <v>68.5</v>
      </c>
      <c r="L10" s="12">
        <f t="shared" si="0"/>
        <v>63000</v>
      </c>
      <c r="M10" s="102">
        <f>коэффициенты!$F$2</f>
        <v>1.2257</v>
      </c>
      <c r="N10" s="13">
        <f>наценкад5[[#This Row],[Цена м2 базовая]]*наценкад5[[#This Row],[Базовой K]]</f>
        <v>77219.100000000006</v>
      </c>
      <c r="O10" s="76">
        <f>коэффициенты!$F$4</f>
        <v>1.4999999999999999E-2</v>
      </c>
      <c r="P10" s="74"/>
      <c r="Q10" s="76">
        <f>коэффициенты!$F$6</f>
        <v>0.02</v>
      </c>
      <c r="R10" s="76"/>
      <c r="S10" s="76"/>
      <c r="T10" s="74"/>
      <c r="U10" s="74"/>
      <c r="V10" s="74">
        <f>коэффициенты!$F$11</f>
        <v>5.0000000000000001E-3</v>
      </c>
      <c r="W10" s="74"/>
      <c r="X10" s="74"/>
      <c r="Y10" s="78">
        <f>коэффициенты!$F$15</f>
        <v>0.01</v>
      </c>
      <c r="Z10" s="74"/>
      <c r="AA10" s="74"/>
      <c r="AB10" s="76">
        <f>коэффициенты!$F$17</f>
        <v>0.05</v>
      </c>
      <c r="AC10" s="74"/>
      <c r="AD10" s="76"/>
      <c r="AE10" s="76"/>
      <c r="AF10" s="76"/>
      <c r="AG10" s="74"/>
      <c r="AH10" s="76"/>
      <c r="AI10" s="73">
        <f>SUM(наценкад5[[#This Row],[еврокухня]:[большая площадь]])*наценкад5[[#This Row],[Цена м2 с базовым K]]+наценкад5[[#This Row],[Цена м2 с базовым K]]</f>
        <v>84941.010000000009</v>
      </c>
      <c r="AJ10" s="72">
        <f>VLOOKUP(наценкад5[[#This Row],[№]],ППД5[],COLUMN(ППД5[[#This Row],[утв цена м2]]),0)</f>
        <v>120944.05</v>
      </c>
      <c r="AK10" s="3">
        <f>наценкад5[[#This Row],[утв цена м2]]*наценкад5[[#This Row],[Расчетная проектная площадь]]</f>
        <v>8284667.4249999998</v>
      </c>
      <c r="AL10" s="22" t="str">
        <f>VLOOKUP(наценкад5[[#This Row],[№]],ППД5[],COLUMN('Реестр ОН'!$DF$1),0)</f>
        <v>Продажа</v>
      </c>
    </row>
    <row r="11" spans="1:38" hidden="1" x14ac:dyDescent="0.25">
      <c r="A11" s="101">
        <v>9</v>
      </c>
      <c r="B11" s="2" t="str">
        <f>_xlfn.XLOOKUP(наценкад5[[#This Row],[№]],ППД5[№],ППД5[Секция],"-",0)</f>
        <v>А</v>
      </c>
      <c r="C11" s="2">
        <f>_xlfn.XLOOKUP(наценкад5[[#This Row],[№]],ППД5[№],ППД5[Этаж],"-",0)</f>
        <v>2</v>
      </c>
      <c r="D11" s="2">
        <f>_xlfn.XLOOKUP(наценкад5[[#This Row],[№]],ППД5[№],ППД5[№ на этаже],"-",0)</f>
        <v>3</v>
      </c>
      <c r="E11" s="2">
        <f>_xlfn.XLOOKUP(наценкад5[[#This Row],[№]],ППД5[№],ППД5[Тип кв],"-",0)</f>
        <v>1</v>
      </c>
      <c r="F11" s="72">
        <f>_xlfn.XLOOKUP(наценкад5[[#This Row],[№]],ППД5[№],ППД5[Кухня],"-",0)</f>
        <v>14.97</v>
      </c>
      <c r="G11" s="72">
        <f>_xlfn.XLOOKUP(наценкад5[[#This Row],[№]],ППД5[№],ППД5[Ванная],"-",0)</f>
        <v>4.1100000000000003</v>
      </c>
      <c r="H11" s="72">
        <f>_xlfn.XLOOKUP(наценкад5[[#This Row],[№]],ППД5[№],ППД5[Гардеробная],"-",0)</f>
        <v>0</v>
      </c>
      <c r="I11" s="72">
        <f>_xlfn.XLOOKUP(наценкад5[[#This Row],[№]],ППД5[№],ППД5[Лоджия 2],"-",0)</f>
        <v>0</v>
      </c>
      <c r="J11" s="72">
        <f>_xlfn.XLOOKUP(наценкад5[[#This Row],[№]],ППД5[№],ППД5[С\У],"-",0)</f>
        <v>0</v>
      </c>
      <c r="K11" s="72">
        <f>_xlfn.XLOOKUP(наценкад5[[#This Row],[№]],ППД5[№],ППД5[Расчетная проектная площадь],"-",0)</f>
        <v>37.729999999999997</v>
      </c>
      <c r="L11" s="12">
        <f t="shared" si="0"/>
        <v>63000</v>
      </c>
      <c r="M11" s="102">
        <f>коэффициенты!$G$2</f>
        <v>1.2875000000000001</v>
      </c>
      <c r="N11" s="13">
        <f>наценкад5[[#This Row],[Цена м2 базовая]]*наценкад5[[#This Row],[Базовой K]]</f>
        <v>81112.5</v>
      </c>
      <c r="O11" s="76">
        <f>коэффициенты!$G$4</f>
        <v>0.02</v>
      </c>
      <c r="P11" s="74"/>
      <c r="Q11" s="76">
        <f>коэффициенты!$G$6</f>
        <v>0.03</v>
      </c>
      <c r="R11" s="74"/>
      <c r="S11" s="74"/>
      <c r="T11" s="74"/>
      <c r="U11" s="74"/>
      <c r="V11" s="74"/>
      <c r="W11" s="74"/>
      <c r="X11" s="74">
        <f>коэффициенты!$G$13</f>
        <v>0.01</v>
      </c>
      <c r="Y11" s="78">
        <f>коэффициенты!$G$15</f>
        <v>0.01</v>
      </c>
      <c r="Z11" s="74"/>
      <c r="AA11" s="76">
        <f>коэффициенты!$G$14</f>
        <v>0.01</v>
      </c>
      <c r="AB11" s="74"/>
      <c r="AC11" s="74"/>
      <c r="AD11" s="76">
        <f>коэффициенты!$G$19</f>
        <v>0.01</v>
      </c>
      <c r="AE11" s="76"/>
      <c r="AF11" s="76"/>
      <c r="AG11" s="74"/>
      <c r="AH11" s="74"/>
      <c r="AI11" s="73">
        <f>SUM(наценкад5[[#This Row],[еврокухня]:[большая площадь]])*наценкад5[[#This Row],[Цена м2 с базовым K]]+наценкад5[[#This Row],[Цена м2 с базовым K]]</f>
        <v>88412.625</v>
      </c>
      <c r="AJ11" s="72">
        <f>VLOOKUP(наценкад5[[#This Row],[№]],ППД5[],COLUMN(ППД5[[#This Row],[утв цена м2]]),0)</f>
        <v>121980.63</v>
      </c>
      <c r="AK11" s="3">
        <f>наценкад5[[#This Row],[утв цена м2]]*наценкад5[[#This Row],[Расчетная проектная площадь]]</f>
        <v>4602329.1699000001</v>
      </c>
      <c r="AL11" s="22" t="str">
        <f>VLOOKUP(наценкад5[[#This Row],[№]],ППД5[],COLUMN('Реестр ОН'!$DF$1),0)</f>
        <v>Продажа</v>
      </c>
    </row>
    <row r="12" spans="1:38" hidden="1" x14ac:dyDescent="0.25">
      <c r="A12" s="101">
        <v>10</v>
      </c>
      <c r="B12" s="2" t="str">
        <f>_xlfn.XLOOKUP(наценкад5[[#This Row],[№]],ППД5[№],ППД5[Секция],"-",0)</f>
        <v>А</v>
      </c>
      <c r="C12" s="2">
        <f>_xlfn.XLOOKUP(наценкад5[[#This Row],[№]],ППД5[№],ППД5[Этаж],"-",0)</f>
        <v>2</v>
      </c>
      <c r="D12" s="2">
        <f>_xlfn.XLOOKUP(наценкад5[[#This Row],[№]],ППД5[№],ППД5[№ на этаже],"-",0)</f>
        <v>4</v>
      </c>
      <c r="E12" s="2">
        <f>_xlfn.XLOOKUP(наценкад5[[#This Row],[№]],ППД5[№],ППД5[Тип кв],"-",0)</f>
        <v>1</v>
      </c>
      <c r="F12" s="72">
        <f>_xlfn.XLOOKUP(наценкад5[[#This Row],[№]],ППД5[№],ППД5[Кухня],"-",0)</f>
        <v>14.58</v>
      </c>
      <c r="G12" s="72">
        <f>_xlfn.XLOOKUP(наценкад5[[#This Row],[№]],ППД5[№],ППД5[Ванная],"-",0)</f>
        <v>4.34</v>
      </c>
      <c r="H12" s="72">
        <f>_xlfn.XLOOKUP(наценкад5[[#This Row],[№]],ППД5[№],ППД5[Гардеробная],"-",0)</f>
        <v>0</v>
      </c>
      <c r="I12" s="72">
        <f>_xlfn.XLOOKUP(наценкад5[[#This Row],[№]],ППД5[№],ППД5[Лоджия 2],"-",0)</f>
        <v>0</v>
      </c>
      <c r="J12" s="72">
        <f>_xlfn.XLOOKUP(наценкад5[[#This Row],[№]],ППД5[№],ППД5[С\У],"-",0)</f>
        <v>3.71</v>
      </c>
      <c r="K12" s="72">
        <f>_xlfn.XLOOKUP(наценкад5[[#This Row],[№]],ППД5[№],ППД5[Расчетная проектная площадь],"-",0)</f>
        <v>58.39</v>
      </c>
      <c r="L12" s="12">
        <f t="shared" si="0"/>
        <v>63000</v>
      </c>
      <c r="M12" s="102">
        <f>коэффициенты!$G$2</f>
        <v>1.2875000000000001</v>
      </c>
      <c r="N12" s="13">
        <f>наценкад5[[#This Row],[Цена м2 базовая]]*наценкад5[[#This Row],[Базовой K]]</f>
        <v>81112.5</v>
      </c>
      <c r="O12" s="76">
        <f>коэффициенты!$G$4</f>
        <v>0.02</v>
      </c>
      <c r="P12" s="74"/>
      <c r="Q12" s="74">
        <f>коэффициенты!$G$6</f>
        <v>0.03</v>
      </c>
      <c r="R12" s="74"/>
      <c r="S12" s="74">
        <f>коэффициенты!$G$9</f>
        <v>0</v>
      </c>
      <c r="T12" s="74"/>
      <c r="U12" s="74"/>
      <c r="V12" s="74">
        <f>коэффициенты!$G$11</f>
        <v>0.01</v>
      </c>
      <c r="W12" s="74"/>
      <c r="X12" s="74">
        <f>коэффициенты!$G$13</f>
        <v>0.01</v>
      </c>
      <c r="Y12" s="78">
        <f>коэффициенты!$G$15</f>
        <v>0.01</v>
      </c>
      <c r="Z12" s="74"/>
      <c r="AA12" s="74"/>
      <c r="AB12" s="74"/>
      <c r="AC12" s="74"/>
      <c r="AD12" s="76">
        <f>коэффициенты!$G$19</f>
        <v>0.01</v>
      </c>
      <c r="AE12" s="76"/>
      <c r="AF12" s="76"/>
      <c r="AG12" s="74"/>
      <c r="AH12" s="74">
        <f>'отрицательный кф'!$O$11</f>
        <v>-0.12</v>
      </c>
      <c r="AI12" s="73">
        <f>SUM(наценкад5[[#This Row],[еврокухня]:[большая площадь]])*наценкад5[[#This Row],[Цена м2 с базовым K]]+наценкад5[[#This Row],[Цена м2 с базовым K]]</f>
        <v>78679.125</v>
      </c>
      <c r="AJ12" s="72">
        <f>VLOOKUP(наценкад5[[#This Row],[№]],ППД5[],COLUMN(ППД5[[#This Row],[утв цена м2]]),0)</f>
        <v>114226</v>
      </c>
      <c r="AK12" s="3">
        <f>наценкад5[[#This Row],[утв цена м2]]*наценкад5[[#This Row],[Расчетная проектная площадь]]</f>
        <v>6669656.1399999997</v>
      </c>
      <c r="AL12" s="22" t="str">
        <f>VLOOKUP(наценкад5[[#This Row],[№]],ППД5[],COLUMN('Реестр ОН'!$DF$1),0)</f>
        <v>Продажа</v>
      </c>
    </row>
    <row r="13" spans="1:38" hidden="1" x14ac:dyDescent="0.25">
      <c r="A13" s="101">
        <v>11</v>
      </c>
      <c r="B13" s="2" t="str">
        <f>_xlfn.XLOOKUP(наценкад5[[#This Row],[№]],ППД5[№],ППД5[Секция],"-",0)</f>
        <v>А</v>
      </c>
      <c r="C13" s="2">
        <f>_xlfn.XLOOKUP(наценкад5[[#This Row],[№]],ППД5[№],ППД5[Этаж],"-",0)</f>
        <v>2</v>
      </c>
      <c r="D13" s="2">
        <f>_xlfn.XLOOKUP(наценкад5[[#This Row],[№]],ППД5[№],ППД5[№ на этаже],"-",0)</f>
        <v>5</v>
      </c>
      <c r="E13" s="2">
        <f>_xlfn.XLOOKUP(наценкад5[[#This Row],[№]],ППД5[№],ППД5[Тип кв],"-",0)</f>
        <v>2</v>
      </c>
      <c r="F13" s="3">
        <f>_xlfn.XLOOKUP(наценкад5[[#This Row],[№]],ППД5[№],ППД5[Кухня],"-",0)</f>
        <v>18</v>
      </c>
      <c r="G13" s="72">
        <f>_xlfn.XLOOKUP(наценкад5[[#This Row],[№]],ППД5[№],ППД5[Ванная],"-",0)</f>
        <v>4.3499999999999996</v>
      </c>
      <c r="H13" s="72">
        <f>_xlfn.XLOOKUP(наценкад5[[#This Row],[№]],ППД5[№],ППД5[Гардеробная],"-",0)</f>
        <v>0</v>
      </c>
      <c r="I13" s="72">
        <f>_xlfn.XLOOKUP(наценкад5[[#This Row],[№]],ППД5[№],ППД5[Лоджия 2],"-",0)</f>
        <v>0</v>
      </c>
      <c r="J13" s="72">
        <f>_xlfn.XLOOKUP(наценкад5[[#This Row],[№]],ППД5[№],ППД5[С\У],"-",0)</f>
        <v>1.55</v>
      </c>
      <c r="K13" s="72">
        <f>_xlfn.XLOOKUP(наценкад5[[#This Row],[№]],ППД5[№],ППД5[Расчетная проектная площадь],"-",0)</f>
        <v>62.17</v>
      </c>
      <c r="L13" s="12">
        <f t="shared" si="0"/>
        <v>63000</v>
      </c>
      <c r="M13" s="102">
        <f>коэффициенты!$F$2</f>
        <v>1.2257</v>
      </c>
      <c r="N13" s="13">
        <f>наценкад5[[#This Row],[Цена м2 базовая]]*наценкад5[[#This Row],[Базовой K]]</f>
        <v>77219.100000000006</v>
      </c>
      <c r="O13" s="74">
        <f>коэффициенты!$F$4</f>
        <v>1.4999999999999999E-2</v>
      </c>
      <c r="P13" s="74"/>
      <c r="Q13" s="76">
        <f>коэффициенты!$F$6</f>
        <v>0.02</v>
      </c>
      <c r="R13" s="76"/>
      <c r="S13" s="76">
        <f>коэффициенты!$F$9</f>
        <v>0</v>
      </c>
      <c r="T13" s="74"/>
      <c r="U13" s="74"/>
      <c r="V13" s="76">
        <f>коэффициенты!$F$11</f>
        <v>5.0000000000000001E-3</v>
      </c>
      <c r="W13" s="74"/>
      <c r="X13" s="76"/>
      <c r="Y13" s="78">
        <f>коэффициенты!$F$15</f>
        <v>0.01</v>
      </c>
      <c r="Z13" s="74"/>
      <c r="AA13" s="74"/>
      <c r="AB13" s="74"/>
      <c r="AC13" s="74"/>
      <c r="AD13" s="76">
        <f>коэффициенты!$F$19</f>
        <v>5.0000000000000001E-3</v>
      </c>
      <c r="AE13" s="76"/>
      <c r="AF13" s="76"/>
      <c r="AG13" s="74"/>
      <c r="AH13" s="74"/>
      <c r="AI13" s="73">
        <f>SUM(наценкад5[[#This Row],[еврокухня]:[большая площадь]])*наценкад5[[#This Row],[Цена м2 с базовым K]]+наценкад5[[#This Row],[Цена м2 с базовым K]]</f>
        <v>81466.150500000003</v>
      </c>
      <c r="AJ13" s="72">
        <f>VLOOKUP(наценкад5[[#This Row],[№]],ППД5[],COLUMN(ППД5[[#This Row],[утв цена м2]]),0)</f>
        <v>122954.23</v>
      </c>
      <c r="AK13" s="3">
        <f>наценкад5[[#This Row],[утв цена м2]]*наценкад5[[#This Row],[Расчетная проектная площадь]]</f>
        <v>7644064.4791000001</v>
      </c>
      <c r="AL13" s="22" t="str">
        <f>VLOOKUP(наценкад5[[#This Row],[№]],ППД5[],COLUMN('Реестр ОН'!$DF$1),0)</f>
        <v>Продажа</v>
      </c>
    </row>
    <row r="14" spans="1:38" hidden="1" x14ac:dyDescent="0.25">
      <c r="A14" s="101">
        <v>12</v>
      </c>
      <c r="B14" s="2" t="str">
        <f>_xlfn.XLOOKUP(наценкад5[[#This Row],[№]],ППД5[№],ППД5[Секция],"-",0)</f>
        <v>А</v>
      </c>
      <c r="C14" s="2">
        <f>_xlfn.XLOOKUP(наценкад5[[#This Row],[№]],ППД5[№],ППД5[Этаж],"-",0)</f>
        <v>2</v>
      </c>
      <c r="D14" s="2">
        <f>_xlfn.XLOOKUP(наценкад5[[#This Row],[№]],ППД5[№],ППД5[№ на этаже],"-",0)</f>
        <v>6</v>
      </c>
      <c r="E14" s="2">
        <f>_xlfn.XLOOKUP(наценкад5[[#This Row],[№]],ППД5[№],ППД5[Тип кв],"-",0)</f>
        <v>2</v>
      </c>
      <c r="F14" s="72">
        <f>_xlfn.XLOOKUP(наценкад5[[#This Row],[№]],ППД5[№],ППД5[Кухня],"-",0)</f>
        <v>14.35</v>
      </c>
      <c r="G14" s="72">
        <f>_xlfn.XLOOKUP(наценкад5[[#This Row],[№]],ППД5[№],ППД5[Ванная],"-",0)</f>
        <v>4.16</v>
      </c>
      <c r="H14" s="72">
        <f>_xlfn.XLOOKUP(наценкад5[[#This Row],[№]],ППД5[№],ППД5[Гардеробная],"-",0)</f>
        <v>0</v>
      </c>
      <c r="I14" s="72">
        <f>_xlfn.XLOOKUP(наценкад5[[#This Row],[№]],ППД5[№],ППД5[Лоджия 2],"-",0)</f>
        <v>0</v>
      </c>
      <c r="J14" s="72">
        <f>_xlfn.XLOOKUP(наценкад5[[#This Row],[№]],ППД5[№],ППД5[С\У],"-",0)</f>
        <v>1.93</v>
      </c>
      <c r="K14" s="72">
        <f>_xlfn.XLOOKUP(наценкад5[[#This Row],[№]],ППД5[№],ППД5[Расчетная проектная площадь],"-",0)</f>
        <v>58.16</v>
      </c>
      <c r="L14" s="12">
        <f t="shared" si="0"/>
        <v>63000</v>
      </c>
      <c r="M14" s="102">
        <f>коэффициенты!$F$2</f>
        <v>1.2257</v>
      </c>
      <c r="N14" s="13">
        <f>наценкад5[[#This Row],[Цена м2 базовая]]*наценкад5[[#This Row],[Базовой K]]</f>
        <v>77219.100000000006</v>
      </c>
      <c r="O14" s="74">
        <f>коэффициенты!$F$4</f>
        <v>1.4999999999999999E-2</v>
      </c>
      <c r="P14" s="74"/>
      <c r="Q14" s="74">
        <f>коэффициенты!$E$6</f>
        <v>0.01</v>
      </c>
      <c r="R14" s="76"/>
      <c r="S14" s="76">
        <f>коэффициенты!$F$9</f>
        <v>0</v>
      </c>
      <c r="T14" s="74"/>
      <c r="U14" s="74"/>
      <c r="V14" s="74">
        <f>коэффициенты!$F$11</f>
        <v>5.0000000000000001E-3</v>
      </c>
      <c r="W14" s="74"/>
      <c r="X14" s="74">
        <f>коэффициенты!$F$13</f>
        <v>0.02</v>
      </c>
      <c r="Y14" s="78">
        <f>коэффициенты!$F$15</f>
        <v>0.01</v>
      </c>
      <c r="Z14" s="74"/>
      <c r="AA14" s="74"/>
      <c r="AB14" s="74"/>
      <c r="AC14" s="74"/>
      <c r="AD14" s="76">
        <f>коэффициенты!$F$19</f>
        <v>5.0000000000000001E-3</v>
      </c>
      <c r="AE14" s="76"/>
      <c r="AF14" s="76"/>
      <c r="AG14" s="74"/>
      <c r="AH14" s="74"/>
      <c r="AI14" s="73">
        <f>SUM(наценкад5[[#This Row],[еврокухня]:[большая площадь]])*наценкад5[[#This Row],[Цена м2 с базовым K]]+наценкад5[[#This Row],[Цена м2 с базовым K]]</f>
        <v>82238.34150000001</v>
      </c>
      <c r="AJ14" s="72">
        <f>VLOOKUP(наценкад5[[#This Row],[№]],ППД5[],COLUMN(ППД5[[#This Row],[утв цена м2]]),0)</f>
        <v>88940.77</v>
      </c>
      <c r="AK14" s="3">
        <f>наценкад5[[#This Row],[утв цена м2]]*наценкад5[[#This Row],[Расчетная проектная площадь]]</f>
        <v>5172795.1831999999</v>
      </c>
      <c r="AL14" s="22" t="str">
        <f>VLOOKUP(наценкад5[[#This Row],[№]],ППД5[],COLUMN('Реестр ОН'!$DF$1),0)</f>
        <v>Продажа</v>
      </c>
    </row>
    <row r="15" spans="1:38" hidden="1" x14ac:dyDescent="0.25">
      <c r="A15" s="101">
        <v>13</v>
      </c>
      <c r="B15" s="2" t="str">
        <f>_xlfn.XLOOKUP(наценкад5[[#This Row],[№]],ППД5[№],ППД5[Секция],"-",0)</f>
        <v>А</v>
      </c>
      <c r="C15" s="2">
        <f>_xlfn.XLOOKUP(наценкад5[[#This Row],[№]],ППД5[№],ППД5[Этаж],"-",0)</f>
        <v>2</v>
      </c>
      <c r="D15" s="2">
        <f>_xlfn.XLOOKUP(наценкад5[[#This Row],[№]],ППД5[№],ППД5[№ на этаже],"-",0)</f>
        <v>7</v>
      </c>
      <c r="E15" s="2">
        <f>_xlfn.XLOOKUP(наценкад5[[#This Row],[№]],ППД5[№],ППД5[Тип кв],"-",0)</f>
        <v>1</v>
      </c>
      <c r="F15" s="72">
        <f>_xlfn.XLOOKUP(наценкад5[[#This Row],[№]],ППД5[№],ППД5[Кухня],"-",0)</f>
        <v>13.04</v>
      </c>
      <c r="G15" s="72">
        <f>_xlfn.XLOOKUP(наценкад5[[#This Row],[№]],ППД5[№],ППД5[Ванная],"-",0)</f>
        <v>3.9</v>
      </c>
      <c r="H15" s="72">
        <f>_xlfn.XLOOKUP(наценкад5[[#This Row],[№]],ППД5[№],ППД5[Гардеробная],"-",0)</f>
        <v>0</v>
      </c>
      <c r="I15" s="72">
        <f>_xlfn.XLOOKUP(наценкад5[[#This Row],[№]],ППД5[№],ППД5[Лоджия 2],"-",0)</f>
        <v>0</v>
      </c>
      <c r="J15" s="72">
        <f>_xlfn.XLOOKUP(наценкад5[[#This Row],[№]],ППД5[№],ППД5[С\У],"-",0)</f>
        <v>0</v>
      </c>
      <c r="K15" s="72">
        <f>_xlfn.XLOOKUP(наценкад5[[#This Row],[№]],ППД5[№],ППД5[Расчетная проектная площадь],"-",0)</f>
        <v>42.75</v>
      </c>
      <c r="L15" s="12">
        <f t="shared" si="0"/>
        <v>63000</v>
      </c>
      <c r="M15" s="102">
        <f>коэффициенты!$G$2</f>
        <v>1.2875000000000001</v>
      </c>
      <c r="N15" s="13">
        <f>наценкад5[[#This Row],[Цена м2 базовая]]*наценкад5[[#This Row],[Базовой K]]</f>
        <v>81112.5</v>
      </c>
      <c r="O15" s="74"/>
      <c r="P15" s="76">
        <f>коэффициенты!$G$5</f>
        <v>0.01</v>
      </c>
      <c r="Q15" s="74"/>
      <c r="R15" s="74"/>
      <c r="S15" s="74"/>
      <c r="T15" s="74"/>
      <c r="U15" s="74"/>
      <c r="V15" s="74">
        <f>коэффициенты!$G$11</f>
        <v>0.01</v>
      </c>
      <c r="W15" s="74"/>
      <c r="X15" s="74"/>
      <c r="Y15" s="78">
        <f>коэффициенты!$G$15</f>
        <v>0.01</v>
      </c>
      <c r="Z15" s="74"/>
      <c r="AA15" s="76">
        <f>коэффициенты!$G$14</f>
        <v>0.01</v>
      </c>
      <c r="AB15" s="74"/>
      <c r="AC15" s="74"/>
      <c r="AD15" s="76">
        <f>коэффициенты!$G$19</f>
        <v>0.01</v>
      </c>
      <c r="AE15" s="76"/>
      <c r="AF15" s="76"/>
      <c r="AG15" s="74">
        <f>коэффициенты!$A$24</f>
        <v>-5.0000000000000001E-3</v>
      </c>
      <c r="AH15" s="74"/>
      <c r="AI15" s="73">
        <f>SUM(наценкад5[[#This Row],[еврокухня]:[большая площадь]])*наценкад5[[#This Row],[Цена м2 с базовым K]]+наценкад5[[#This Row],[Цена м2 с базовым K]]</f>
        <v>84762.5625</v>
      </c>
      <c r="AJ15" s="72">
        <f>VLOOKUP(наценкад5[[#This Row],[№]],ППД5[],COLUMN(ППД5[[#This Row],[утв цена м2]]),0)</f>
        <v>95337.54</v>
      </c>
      <c r="AK15" s="3">
        <f>наценкад5[[#This Row],[утв цена м2]]*наценкад5[[#This Row],[Расчетная проектная площадь]]</f>
        <v>4075679.8349999995</v>
      </c>
      <c r="AL15" s="22" t="str">
        <f>VLOOKUP(наценкад5[[#This Row],[№]],ППД5[],COLUMN('Реестр ОН'!$DF$1),0)</f>
        <v>Продажа</v>
      </c>
    </row>
    <row r="16" spans="1:38" hidden="1" x14ac:dyDescent="0.25">
      <c r="A16" s="198">
        <v>14</v>
      </c>
      <c r="B16" s="2" t="str">
        <f>_xlfn.XLOOKUP(наценкад5[[#This Row],[№]],ППД5[№],ППД5[Секция],"-",0)</f>
        <v>А</v>
      </c>
      <c r="C16" s="2">
        <f>_xlfn.XLOOKUP(наценкад5[[#This Row],[№]],ППД5[№],ППД5[Этаж],"-",0)</f>
        <v>3</v>
      </c>
      <c r="D16" s="2">
        <f>_xlfn.XLOOKUP(наценкад5[[#This Row],[№]],ППД5[№],ППД5[№ на этаже],"-",0)</f>
        <v>1</v>
      </c>
      <c r="E16" s="2">
        <f>_xlfn.XLOOKUP(наценкад5[[#This Row],[№]],ППД5[№],ППД5[Тип кв],"-",0)</f>
        <v>1</v>
      </c>
      <c r="F16" s="72">
        <f>_xlfn.XLOOKUP(наценкад5[[#This Row],[№]],ППД5[№],ППД5[Кухня],"-",0)</f>
        <v>9.84</v>
      </c>
      <c r="G16" s="72">
        <f>_xlfn.XLOOKUP(наценкад5[[#This Row],[№]],ППД5[№],ППД5[Ванная],"-",0)</f>
        <v>3.63</v>
      </c>
      <c r="H16" s="72">
        <f>_xlfn.XLOOKUP(наценкад5[[#This Row],[№]],ППД5[№],ППД5[Гардеробная],"-",0)</f>
        <v>0</v>
      </c>
      <c r="I16" s="72">
        <f>_xlfn.XLOOKUP(наценкад5[[#This Row],[№]],ППД5[№],ППД5[Лоджия 2],"-",0)</f>
        <v>0</v>
      </c>
      <c r="J16" s="72">
        <f>_xlfn.XLOOKUP(наценкад5[[#This Row],[№]],ППД5[№],ППД5[С\У],"-",0)</f>
        <v>0</v>
      </c>
      <c r="K16" s="72">
        <f>_xlfn.XLOOKUP(наценкад5[[#This Row],[№]],ППД5[№],ППД5[Расчетная проектная площадь],"-",0)</f>
        <v>34.39</v>
      </c>
      <c r="L16" s="12">
        <f t="shared" si="0"/>
        <v>63000</v>
      </c>
      <c r="M16" s="102">
        <f>коэффициенты!$G$2</f>
        <v>1.2875000000000001</v>
      </c>
      <c r="N16" s="13">
        <f>наценкад5[[#This Row],[Цена м2 базовая]]*наценкад5[[#This Row],[Базовой K]]</f>
        <v>81112.5</v>
      </c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8">
        <f>коэффициенты!$G$15</f>
        <v>0.01</v>
      </c>
      <c r="Z16" s="74"/>
      <c r="AA16" s="76">
        <f>коэффициенты!$G$14</f>
        <v>0.01</v>
      </c>
      <c r="AB16" s="74"/>
      <c r="AC16" s="74"/>
      <c r="AD16" s="76">
        <f>коэффициенты!$G$19</f>
        <v>0.01</v>
      </c>
      <c r="AE16" s="76"/>
      <c r="AF16" s="76"/>
      <c r="AG16" s="74"/>
      <c r="AH16" s="74"/>
      <c r="AI16" s="73">
        <f>SUM(наценкад5[[#This Row],[еврокухня]:[большая площадь]])*наценкад5[[#This Row],[Цена м2 с базовым K]]+наценкад5[[#This Row],[Цена м2 с базовым K]]</f>
        <v>83545.875</v>
      </c>
      <c r="AJ16" s="72">
        <f>VLOOKUP(наценкад5[[#This Row],[№]],ППД5[],COLUMN(ППД5[[#This Row],[утв цена м2]]),0)</f>
        <v>87723.17</v>
      </c>
      <c r="AK16" s="3">
        <f>наценкад5[[#This Row],[утв цена м2]]*наценкад5[[#This Row],[Расчетная проектная площадь]]</f>
        <v>3016799.8163000001</v>
      </c>
      <c r="AL16" s="22" t="str">
        <f>VLOOKUP(наценкад5[[#This Row],[№]],ППД5[],COLUMN('Реестр ОН'!$DF$1),0)</f>
        <v>Продажа</v>
      </c>
    </row>
    <row r="17" spans="1:38" hidden="1" x14ac:dyDescent="0.25">
      <c r="A17" s="101">
        <v>15</v>
      </c>
      <c r="B17" s="2" t="str">
        <f>_xlfn.XLOOKUP(наценкад5[[#This Row],[№]],ППД5[№],ППД5[Секция],"-",0)</f>
        <v>А</v>
      </c>
      <c r="C17" s="2">
        <f>_xlfn.XLOOKUP(наценкад5[[#This Row],[№]],ППД5[№],ППД5[Этаж],"-",0)</f>
        <v>3</v>
      </c>
      <c r="D17" s="2">
        <f>_xlfn.XLOOKUP(наценкад5[[#This Row],[№]],ППД5[№],ППД5[№ на этаже],"-",0)</f>
        <v>2</v>
      </c>
      <c r="E17" s="2">
        <f>_xlfn.XLOOKUP(наценкад5[[#This Row],[№]],ППД5[№],ППД5[Тип кв],"-",0)</f>
        <v>2</v>
      </c>
      <c r="F17" s="72">
        <f>_xlfn.XLOOKUP(наценкад5[[#This Row],[№]],ППД5[№],ППД5[Кухня],"-",0)</f>
        <v>19.440000000000001</v>
      </c>
      <c r="G17" s="72">
        <f>_xlfn.XLOOKUP(наценкад5[[#This Row],[№]],ППД5[№],ППД5[Ванная],"-",0)</f>
        <v>4.42</v>
      </c>
      <c r="H17" s="72">
        <f>_xlfn.XLOOKUP(наценкад5[[#This Row],[№]],ППД5[№],ППД5[Гардеробная],"-",0)</f>
        <v>3.25</v>
      </c>
      <c r="I17" s="72">
        <f>_xlfn.XLOOKUP(наценкад5[[#This Row],[№]],ППД5[№],ППД5[Лоджия 2],"-",0)</f>
        <v>0</v>
      </c>
      <c r="J17" s="72">
        <f>_xlfn.XLOOKUP(наценкад5[[#This Row],[№]],ППД5[№],ППД5[С\У],"-",0)</f>
        <v>0</v>
      </c>
      <c r="K17" s="72">
        <f>_xlfn.XLOOKUP(наценкад5[[#This Row],[№]],ППД5[№],ППД5[Расчетная проектная площадь],"-",0)</f>
        <v>68.5</v>
      </c>
      <c r="L17" s="12">
        <f t="shared" si="0"/>
        <v>63000</v>
      </c>
      <c r="M17" s="102">
        <f>коэффициенты!$F$2</f>
        <v>1.2257</v>
      </c>
      <c r="N17" s="13">
        <f>наценкад5[[#This Row],[Цена м2 базовая]]*наценкад5[[#This Row],[Базовой K]]</f>
        <v>77219.100000000006</v>
      </c>
      <c r="O17" s="74">
        <f>коэффициенты!$F$4</f>
        <v>1.4999999999999999E-2</v>
      </c>
      <c r="P17" s="74"/>
      <c r="Q17" s="76">
        <f>коэффициенты!$F$6</f>
        <v>0.02</v>
      </c>
      <c r="R17" s="76"/>
      <c r="S17" s="76"/>
      <c r="T17" s="74"/>
      <c r="U17" s="74"/>
      <c r="V17" s="74">
        <f>коэффициенты!$F$11</f>
        <v>5.0000000000000001E-3</v>
      </c>
      <c r="W17" s="74"/>
      <c r="X17" s="74"/>
      <c r="Y17" s="78">
        <f>коэффициенты!$F$15</f>
        <v>0.01</v>
      </c>
      <c r="Z17" s="74"/>
      <c r="AA17" s="74"/>
      <c r="AB17" s="76">
        <f>коэффициенты!$F$17</f>
        <v>0.05</v>
      </c>
      <c r="AC17" s="74"/>
      <c r="AD17" s="76"/>
      <c r="AE17" s="76"/>
      <c r="AF17" s="76"/>
      <c r="AG17" s="74"/>
      <c r="AH17" s="76"/>
      <c r="AI17" s="73">
        <f>SUM(наценкад5[[#This Row],[еврокухня]:[большая площадь]])*наценкад5[[#This Row],[Цена м2 с базовым K]]+наценкад5[[#This Row],[Цена м2 с базовым K]]</f>
        <v>84941.010000000009</v>
      </c>
      <c r="AJ17" s="72">
        <f>VLOOKUP(наценкад5[[#This Row],[№]],ППД5[],COLUMN(ППД5[[#This Row],[утв цена м2]]),0)</f>
        <v>120944.05</v>
      </c>
      <c r="AK17" s="3">
        <f>наценкад5[[#This Row],[утв цена м2]]*наценкад5[[#This Row],[Расчетная проектная площадь]]</f>
        <v>8284667.4249999998</v>
      </c>
      <c r="AL17" s="22" t="str">
        <f>VLOOKUP(наценкад5[[#This Row],[№]],ППД5[],COLUMN('Реестр ОН'!$DF$1),0)</f>
        <v>Свободно</v>
      </c>
    </row>
    <row r="18" spans="1:38" hidden="1" x14ac:dyDescent="0.25">
      <c r="A18" s="101">
        <v>16</v>
      </c>
      <c r="B18" s="2" t="str">
        <f>_xlfn.XLOOKUP(наценкад5[[#This Row],[№]],ППД5[№],ППД5[Секция],"-",0)</f>
        <v>А</v>
      </c>
      <c r="C18" s="2">
        <f>_xlfn.XLOOKUP(наценкад5[[#This Row],[№]],ППД5[№],ППД5[Этаж],"-",0)</f>
        <v>3</v>
      </c>
      <c r="D18" s="2">
        <f>_xlfn.XLOOKUP(наценкад5[[#This Row],[№]],ППД5[№],ППД5[№ на этаже],"-",0)</f>
        <v>3</v>
      </c>
      <c r="E18" s="2">
        <f>_xlfn.XLOOKUP(наценкад5[[#This Row],[№]],ППД5[№],ППД5[Тип кв],"-",0)</f>
        <v>1</v>
      </c>
      <c r="F18" s="72">
        <f>_xlfn.XLOOKUP(наценкад5[[#This Row],[№]],ППД5[№],ППД5[Кухня],"-",0)</f>
        <v>14.97</v>
      </c>
      <c r="G18" s="72">
        <f>_xlfn.XLOOKUP(наценкад5[[#This Row],[№]],ППД5[№],ППД5[Ванная],"-",0)</f>
        <v>4.1100000000000003</v>
      </c>
      <c r="H18" s="72">
        <f>_xlfn.XLOOKUP(наценкад5[[#This Row],[№]],ППД5[№],ППД5[Гардеробная],"-",0)</f>
        <v>0</v>
      </c>
      <c r="I18" s="72">
        <f>_xlfn.XLOOKUP(наценкад5[[#This Row],[№]],ППД5[№],ППД5[Лоджия 2],"-",0)</f>
        <v>0</v>
      </c>
      <c r="J18" s="72">
        <f>_xlfn.XLOOKUP(наценкад5[[#This Row],[№]],ППД5[№],ППД5[С\У],"-",0)</f>
        <v>0</v>
      </c>
      <c r="K18" s="72">
        <f>_xlfn.XLOOKUP(наценкад5[[#This Row],[№]],ППД5[№],ППД5[Расчетная проектная площадь],"-",0)</f>
        <v>37.729999999999997</v>
      </c>
      <c r="L18" s="12">
        <f t="shared" si="0"/>
        <v>63000</v>
      </c>
      <c r="M18" s="102">
        <f>коэффициенты!$G$2</f>
        <v>1.2875000000000001</v>
      </c>
      <c r="N18" s="13">
        <f>наценкад5[[#This Row],[Цена м2 базовая]]*наценкад5[[#This Row],[Базовой K]]</f>
        <v>81112.5</v>
      </c>
      <c r="O18" s="76">
        <f>коэффициенты!$G$4</f>
        <v>0.02</v>
      </c>
      <c r="P18" s="74"/>
      <c r="Q18" s="76">
        <f>коэффициенты!$G$6</f>
        <v>0.03</v>
      </c>
      <c r="R18" s="74"/>
      <c r="S18" s="74"/>
      <c r="T18" s="74"/>
      <c r="U18" s="74"/>
      <c r="V18" s="74"/>
      <c r="W18" s="74"/>
      <c r="X18" s="74">
        <f>коэффициенты!$G$13</f>
        <v>0.01</v>
      </c>
      <c r="Y18" s="78">
        <f>коэффициенты!$G$15</f>
        <v>0.01</v>
      </c>
      <c r="Z18" s="74"/>
      <c r="AA18" s="76">
        <f>коэффициенты!$G$14</f>
        <v>0.01</v>
      </c>
      <c r="AB18" s="74"/>
      <c r="AC18" s="74"/>
      <c r="AD18" s="76">
        <f>коэффициенты!$G$19</f>
        <v>0.01</v>
      </c>
      <c r="AE18" s="76"/>
      <c r="AF18" s="76"/>
      <c r="AG18" s="74"/>
      <c r="AH18" s="74"/>
      <c r="AI18" s="73">
        <f>SUM(наценкад5[[#This Row],[еврокухня]:[большая площадь]])*наценкад5[[#This Row],[Цена м2 с базовым K]]+наценкад5[[#This Row],[Цена м2 с базовым K]]</f>
        <v>88412.625</v>
      </c>
      <c r="AJ18" s="72">
        <f>VLOOKUP(наценкад5[[#This Row],[№]],ППД5[],COLUMN(ППД5[[#This Row],[утв цена м2]]),0)</f>
        <v>88412.63</v>
      </c>
      <c r="AK18" s="3">
        <f>наценкад5[[#This Row],[утв цена м2]]*наценкад5[[#This Row],[Расчетная проектная площадь]]</f>
        <v>3335808.5299</v>
      </c>
      <c r="AL18" s="22" t="str">
        <f>VLOOKUP(наценкад5[[#This Row],[№]],ППД5[],COLUMN('Реестр ОН'!$DF$1),0)</f>
        <v>Продажа</v>
      </c>
    </row>
    <row r="19" spans="1:38" hidden="1" x14ac:dyDescent="0.25">
      <c r="A19" s="101">
        <v>17</v>
      </c>
      <c r="B19" s="2" t="str">
        <f>_xlfn.XLOOKUP(наценкад5[[#This Row],[№]],ППД5[№],ППД5[Секция],"-",0)</f>
        <v>А</v>
      </c>
      <c r="C19" s="2">
        <f>_xlfn.XLOOKUP(наценкад5[[#This Row],[№]],ППД5[№],ППД5[Этаж],"-",0)</f>
        <v>3</v>
      </c>
      <c r="D19" s="2">
        <f>_xlfn.XLOOKUP(наценкад5[[#This Row],[№]],ППД5[№],ППД5[№ на этаже],"-",0)</f>
        <v>4</v>
      </c>
      <c r="E19" s="2">
        <f>_xlfn.XLOOKUP(наценкад5[[#This Row],[№]],ППД5[№],ППД5[Тип кв],"-",0)</f>
        <v>2</v>
      </c>
      <c r="F19" s="72">
        <f>_xlfn.XLOOKUP(наценкад5[[#This Row],[№]],ППД5[№],ППД5[Кухня],"-",0)</f>
        <v>14.58</v>
      </c>
      <c r="G19" s="72">
        <f>_xlfn.XLOOKUP(наценкад5[[#This Row],[№]],ППД5[№],ППД5[Ванная],"-",0)</f>
        <v>4.34</v>
      </c>
      <c r="H19" s="72">
        <f>_xlfn.XLOOKUP(наценкад5[[#This Row],[№]],ППД5[№],ППД5[Гардеробная],"-",0)</f>
        <v>0</v>
      </c>
      <c r="I19" s="72">
        <f>_xlfn.XLOOKUP(наценкад5[[#This Row],[№]],ППД5[№],ППД5[Лоджия 2],"-",0)</f>
        <v>0</v>
      </c>
      <c r="J19" s="72">
        <f>_xlfn.XLOOKUP(наценкад5[[#This Row],[№]],ППД5[№],ППД5[С\У],"-",0)</f>
        <v>2.08</v>
      </c>
      <c r="K19" s="72">
        <f>_xlfn.XLOOKUP(наценкад5[[#This Row],[№]],ППД5[№],ППД5[Расчетная проектная площадь],"-",0)</f>
        <v>59.09</v>
      </c>
      <c r="L19" s="12">
        <f t="shared" si="0"/>
        <v>63000</v>
      </c>
      <c r="M19" s="102">
        <f>коэффициенты!$F$2</f>
        <v>1.2257</v>
      </c>
      <c r="N19" s="13">
        <f>наценкад5[[#This Row],[Цена м2 базовая]]*наценкад5[[#This Row],[Базовой K]]</f>
        <v>77219.100000000006</v>
      </c>
      <c r="O19" s="74">
        <f>коэффициенты!$F$4</f>
        <v>1.4999999999999999E-2</v>
      </c>
      <c r="P19" s="74"/>
      <c r="Q19" s="76">
        <f>коэффициенты!$F$6</f>
        <v>0.02</v>
      </c>
      <c r="R19" s="76"/>
      <c r="S19" s="76">
        <f>коэффициенты!$F$9</f>
        <v>0</v>
      </c>
      <c r="T19" s="74"/>
      <c r="U19" s="74"/>
      <c r="V19" s="74"/>
      <c r="W19" s="74"/>
      <c r="X19" s="74"/>
      <c r="Y19" s="78">
        <f>коэффициенты!$F$15</f>
        <v>0.01</v>
      </c>
      <c r="Z19" s="74"/>
      <c r="AA19" s="74"/>
      <c r="AB19" s="74"/>
      <c r="AC19" s="74"/>
      <c r="AD19" s="76">
        <f>коэффициенты!$F$19</f>
        <v>5.0000000000000001E-3</v>
      </c>
      <c r="AE19" s="76"/>
      <c r="AF19" s="76"/>
      <c r="AG19" s="74"/>
      <c r="AH19" s="74"/>
      <c r="AI19" s="73">
        <f>SUM(наценкад5[[#This Row],[еврокухня]:[большая площадь]])*наценкад5[[#This Row],[Цена м2 с базовым K]]+наценкад5[[#This Row],[Цена м2 с базовым K]]</f>
        <v>81080.055000000008</v>
      </c>
      <c r="AJ19" s="72">
        <f>VLOOKUP(наценкад5[[#This Row],[№]],ППД5[],COLUMN(ППД5[[#This Row],[утв цена м2]]),0)</f>
        <v>123588.95</v>
      </c>
      <c r="AK19" s="3">
        <f>наценкад5[[#This Row],[утв цена м2]]*наценкад5[[#This Row],[Расчетная проектная площадь]]</f>
        <v>7302871.0555000007</v>
      </c>
      <c r="AL19" s="22" t="str">
        <f>VLOOKUP(наценкад5[[#This Row],[№]],ППД5[],COLUMN('Реестр ОН'!$DF$1),0)</f>
        <v>Продажа</v>
      </c>
    </row>
    <row r="20" spans="1:38" hidden="1" x14ac:dyDescent="0.25">
      <c r="A20" s="101">
        <v>18</v>
      </c>
      <c r="B20" s="2" t="str">
        <f>_xlfn.XLOOKUP(наценкад5[[#This Row],[№]],ППД5[№],ППД5[Секция],"-",0)</f>
        <v>А</v>
      </c>
      <c r="C20" s="2">
        <f>_xlfn.XLOOKUP(наценкад5[[#This Row],[№]],ППД5[№],ППД5[Этаж],"-",0)</f>
        <v>3</v>
      </c>
      <c r="D20" s="2">
        <f>_xlfn.XLOOKUP(наценкад5[[#This Row],[№]],ППД5[№],ППД5[№ на этаже],"-",0)</f>
        <v>5</v>
      </c>
      <c r="E20" s="2">
        <f>_xlfn.XLOOKUP(наценкад5[[#This Row],[№]],ППД5[№],ППД5[Тип кв],"-",0)</f>
        <v>2</v>
      </c>
      <c r="F20" s="72">
        <f>_xlfn.XLOOKUP(наценкад5[[#This Row],[№]],ППД5[№],ППД5[Кухня],"-",0)</f>
        <v>18</v>
      </c>
      <c r="G20" s="72">
        <f>_xlfn.XLOOKUP(наценкад5[[#This Row],[№]],ППД5[№],ППД5[Ванная],"-",0)</f>
        <v>4.3499999999999996</v>
      </c>
      <c r="H20" s="72">
        <f>_xlfn.XLOOKUP(наценкад5[[#This Row],[№]],ППД5[№],ППД5[Гардеробная],"-",0)</f>
        <v>0</v>
      </c>
      <c r="I20" s="72">
        <f>_xlfn.XLOOKUP(наценкад5[[#This Row],[№]],ППД5[№],ППД5[Лоджия 2],"-",0)</f>
        <v>0</v>
      </c>
      <c r="J20" s="72">
        <f>_xlfn.XLOOKUP(наценкад5[[#This Row],[№]],ППД5[№],ППД5[С\У],"-",0)</f>
        <v>1.55</v>
      </c>
      <c r="K20" s="72">
        <f>_xlfn.XLOOKUP(наценкад5[[#This Row],[№]],ППД5[№],ППД5[Расчетная проектная площадь],"-",0)</f>
        <v>62.17</v>
      </c>
      <c r="L20" s="12">
        <f t="shared" si="0"/>
        <v>63000</v>
      </c>
      <c r="M20" s="102">
        <f>коэффициенты!$F$2</f>
        <v>1.2257</v>
      </c>
      <c r="N20" s="13">
        <f>наценкад5[[#This Row],[Цена м2 базовая]]*наценкад5[[#This Row],[Базовой K]]</f>
        <v>77219.100000000006</v>
      </c>
      <c r="O20" s="74">
        <f>коэффициенты!$F$4</f>
        <v>1.4999999999999999E-2</v>
      </c>
      <c r="P20" s="74"/>
      <c r="Q20" s="76">
        <f>коэффициенты!$F$6</f>
        <v>0.02</v>
      </c>
      <c r="R20" s="76"/>
      <c r="S20" s="76">
        <f>коэффициенты!$F$9</f>
        <v>0</v>
      </c>
      <c r="T20" s="74"/>
      <c r="U20" s="74"/>
      <c r="V20" s="76"/>
      <c r="W20" s="75"/>
      <c r="X20" s="76"/>
      <c r="Y20" s="78">
        <f>коэффициенты!$F$15</f>
        <v>0.01</v>
      </c>
      <c r="Z20" s="74"/>
      <c r="AA20" s="74"/>
      <c r="AB20" s="74"/>
      <c r="AC20" s="74"/>
      <c r="AD20" s="76">
        <f>коэффициенты!$F$19</f>
        <v>5.0000000000000001E-3</v>
      </c>
      <c r="AE20" s="76"/>
      <c r="AF20" s="76"/>
      <c r="AG20" s="74"/>
      <c r="AH20" s="74"/>
      <c r="AI20" s="73">
        <f>SUM(наценкад5[[#This Row],[еврокухня]:[большая площадь]])*наценкад5[[#This Row],[Цена м2 с базовым K]]+наценкад5[[#This Row],[Цена м2 с базовым K]]</f>
        <v>81080.055000000008</v>
      </c>
      <c r="AJ20" s="72">
        <f>VLOOKUP(наценкад5[[#This Row],[№]],ППД5[],COLUMN(ППД5[[#This Row],[утв цена м2]]),0)</f>
        <v>87688.08</v>
      </c>
      <c r="AK20" s="3">
        <f>наценкад5[[#This Row],[утв цена м2]]*наценкад5[[#This Row],[Расчетная проектная площадь]]</f>
        <v>5451567.9336000001</v>
      </c>
      <c r="AL20" s="22" t="str">
        <f>VLOOKUP(наценкад5[[#This Row],[№]],ППД5[],COLUMN('Реестр ОН'!$DF$1),0)</f>
        <v>Продажа</v>
      </c>
    </row>
    <row r="21" spans="1:38" hidden="1" x14ac:dyDescent="0.25">
      <c r="A21" s="101">
        <v>19</v>
      </c>
      <c r="B21" s="2" t="str">
        <f>_xlfn.XLOOKUP(наценкад5[[#This Row],[№]],ППД5[№],ППД5[Секция],"-",0)</f>
        <v>А</v>
      </c>
      <c r="C21" s="2">
        <f>_xlfn.XLOOKUP(наценкад5[[#This Row],[№]],ППД5[№],ППД5[Этаж],"-",0)</f>
        <v>3</v>
      </c>
      <c r="D21" s="2">
        <f>_xlfn.XLOOKUP(наценкад5[[#This Row],[№]],ППД5[№],ППД5[№ на этаже],"-",0)</f>
        <v>6</v>
      </c>
      <c r="E21" s="2">
        <f>_xlfn.XLOOKUP(наценкад5[[#This Row],[№]],ППД5[№],ППД5[Тип кв],"-",0)</f>
        <v>2</v>
      </c>
      <c r="F21" s="72">
        <f>_xlfn.XLOOKUP(наценкад5[[#This Row],[№]],ППД5[№],ППД5[Кухня],"-",0)</f>
        <v>14.35</v>
      </c>
      <c r="G21" s="72">
        <f>_xlfn.XLOOKUP(наценкад5[[#This Row],[№]],ППД5[№],ППД5[Ванная],"-",0)</f>
        <v>4.16</v>
      </c>
      <c r="H21" s="72">
        <f>_xlfn.XLOOKUP(наценкад5[[#This Row],[№]],ППД5[№],ППД5[Гардеробная],"-",0)</f>
        <v>0</v>
      </c>
      <c r="I21" s="72">
        <f>_xlfn.XLOOKUP(наценкад5[[#This Row],[№]],ППД5[№],ППД5[Лоджия 2],"-",0)</f>
        <v>0</v>
      </c>
      <c r="J21" s="72">
        <f>_xlfn.XLOOKUP(наценкад5[[#This Row],[№]],ППД5[№],ППД5[С\У],"-",0)</f>
        <v>1.93</v>
      </c>
      <c r="K21" s="72">
        <f>_xlfn.XLOOKUP(наценкад5[[#This Row],[№]],ППД5[№],ППД5[Расчетная проектная площадь],"-",0)</f>
        <v>58.16</v>
      </c>
      <c r="L21" s="12">
        <f t="shared" si="0"/>
        <v>63000</v>
      </c>
      <c r="M21" s="102">
        <f>коэффициенты!$F$2</f>
        <v>1.2257</v>
      </c>
      <c r="N21" s="13">
        <f>наценкад5[[#This Row],[Цена м2 базовая]]*наценкад5[[#This Row],[Базовой K]]</f>
        <v>77219.100000000006</v>
      </c>
      <c r="O21" s="74">
        <f>коэффициенты!$F$4</f>
        <v>1.4999999999999999E-2</v>
      </c>
      <c r="P21" s="74"/>
      <c r="Q21" s="74">
        <f>коэффициенты!$E$6</f>
        <v>0.01</v>
      </c>
      <c r="R21" s="76"/>
      <c r="S21" s="76">
        <f>коэффициенты!$F$9</f>
        <v>0</v>
      </c>
      <c r="T21" s="74"/>
      <c r="U21" s="74"/>
      <c r="V21" s="74">
        <f>коэффициенты!$F$11</f>
        <v>5.0000000000000001E-3</v>
      </c>
      <c r="W21" s="74"/>
      <c r="X21" s="74">
        <f>коэффициенты!$F$13</f>
        <v>0.02</v>
      </c>
      <c r="Y21" s="78">
        <f>коэффициенты!$F$15</f>
        <v>0.01</v>
      </c>
      <c r="Z21" s="74"/>
      <c r="AA21" s="74"/>
      <c r="AB21" s="74"/>
      <c r="AC21" s="74"/>
      <c r="AD21" s="76">
        <f>коэффициенты!$F$19</f>
        <v>5.0000000000000001E-3</v>
      </c>
      <c r="AE21" s="76"/>
      <c r="AF21" s="76"/>
      <c r="AG21" s="74"/>
      <c r="AH21" s="74"/>
      <c r="AI21" s="73">
        <f>SUM(наценкад5[[#This Row],[еврокухня]:[большая площадь]])*наценкад5[[#This Row],[Цена м2 с базовым K]]+наценкад5[[#This Row],[Цена м2 с базовым K]]</f>
        <v>82238.34150000001</v>
      </c>
      <c r="AJ21" s="72">
        <f>VLOOKUP(наценкад5[[#This Row],[№]],ППД5[],COLUMN(ППД5[[#This Row],[утв цена м2]]),0)</f>
        <v>125976.86</v>
      </c>
      <c r="AK21" s="3">
        <f>наценкад5[[#This Row],[утв цена м2]]*наценкад5[[#This Row],[Расчетная проектная площадь]]</f>
        <v>7326814.1776000001</v>
      </c>
      <c r="AL21" s="22" t="str">
        <f>VLOOKUP(наценкад5[[#This Row],[№]],ППД5[],COLUMN('Реестр ОН'!$DF$1),0)</f>
        <v>Продажа</v>
      </c>
    </row>
    <row r="22" spans="1:38" hidden="1" x14ac:dyDescent="0.25">
      <c r="A22" s="101">
        <v>20</v>
      </c>
      <c r="B22" s="2" t="str">
        <f>_xlfn.XLOOKUP(наценкад5[[#This Row],[№]],ППД5[№],ППД5[Секция],"-",0)</f>
        <v>А</v>
      </c>
      <c r="C22" s="2">
        <f>_xlfn.XLOOKUP(наценкад5[[#This Row],[№]],ППД5[№],ППД5[Этаж],"-",0)</f>
        <v>3</v>
      </c>
      <c r="D22" s="2">
        <f>_xlfn.XLOOKUP(наценкад5[[#This Row],[№]],ППД5[№],ППД5[№ на этаже],"-",0)</f>
        <v>7</v>
      </c>
      <c r="E22" s="2">
        <f>_xlfn.XLOOKUP(наценкад5[[#This Row],[№]],ППД5[№],ППД5[Тип кв],"-",0)</f>
        <v>1</v>
      </c>
      <c r="F22" s="72">
        <f>_xlfn.XLOOKUP(наценкад5[[#This Row],[№]],ППД5[№],ППД5[Кухня],"-",0)</f>
        <v>13.04</v>
      </c>
      <c r="G22" s="72">
        <f>_xlfn.XLOOKUP(наценкад5[[#This Row],[№]],ППД5[№],ППД5[Ванная],"-",0)</f>
        <v>3.9</v>
      </c>
      <c r="H22" s="72">
        <f>_xlfn.XLOOKUP(наценкад5[[#This Row],[№]],ППД5[№],ППД5[Гардеробная],"-",0)</f>
        <v>0</v>
      </c>
      <c r="I22" s="72">
        <f>_xlfn.XLOOKUP(наценкад5[[#This Row],[№]],ППД5[№],ППД5[Лоджия 2],"-",0)</f>
        <v>0</v>
      </c>
      <c r="J22" s="72">
        <f>_xlfn.XLOOKUP(наценкад5[[#This Row],[№]],ППД5[№],ППД5[С\У],"-",0)</f>
        <v>0</v>
      </c>
      <c r="K22" s="72">
        <f>_xlfn.XLOOKUP(наценкад5[[#This Row],[№]],ППД5[№],ППД5[Расчетная проектная площадь],"-",0)</f>
        <v>42.75</v>
      </c>
      <c r="L22" s="12">
        <f t="shared" si="0"/>
        <v>63000</v>
      </c>
      <c r="M22" s="102">
        <f>коэффициенты!$G$2</f>
        <v>1.2875000000000001</v>
      </c>
      <c r="N22" s="13">
        <f>наценкад5[[#This Row],[Цена м2 базовая]]*наценкад5[[#This Row],[Базовой K]]</f>
        <v>81112.5</v>
      </c>
      <c r="O22" s="74"/>
      <c r="P22" s="76">
        <f>коэффициенты!$G$5</f>
        <v>0.01</v>
      </c>
      <c r="Q22" s="74"/>
      <c r="R22" s="74"/>
      <c r="S22" s="74"/>
      <c r="T22" s="74"/>
      <c r="U22" s="74"/>
      <c r="V22" s="74">
        <f>коэффициенты!$G$11</f>
        <v>0.01</v>
      </c>
      <c r="W22" s="74"/>
      <c r="X22" s="74"/>
      <c r="Y22" s="78">
        <f>коэффициенты!$G$15</f>
        <v>0.01</v>
      </c>
      <c r="Z22" s="74"/>
      <c r="AA22" s="76">
        <f>коэффициенты!$G$14</f>
        <v>0.01</v>
      </c>
      <c r="AB22" s="74"/>
      <c r="AC22" s="74"/>
      <c r="AD22" s="76">
        <f>коэффициенты!$G$19</f>
        <v>0.01</v>
      </c>
      <c r="AE22" s="76"/>
      <c r="AF22" s="76"/>
      <c r="AG22" s="74">
        <f>коэффициенты!$A$24</f>
        <v>-5.0000000000000001E-3</v>
      </c>
      <c r="AH22" s="74"/>
      <c r="AI22" s="73">
        <f>SUM(наценкад5[[#This Row],[еврокухня]:[большая площадь]])*наценкад5[[#This Row],[Цена м2 с базовым K]]+наценкад5[[#This Row],[Цена м2 с базовым K]]</f>
        <v>84762.5625</v>
      </c>
      <c r="AJ22" s="72">
        <f>VLOOKUP(наценкад5[[#This Row],[№]],ППД5[],COLUMN(ППД5[[#This Row],[утв цена м2]]),0)</f>
        <v>109345.56</v>
      </c>
      <c r="AK22" s="3">
        <f>наценкад5[[#This Row],[утв цена м2]]*наценкад5[[#This Row],[Расчетная проектная площадь]]</f>
        <v>4674522.6899999995</v>
      </c>
      <c r="AL22" s="22" t="str">
        <f>VLOOKUP(наценкад5[[#This Row],[№]],ППД5[],COLUMN('Реестр ОН'!$DF$1),0)</f>
        <v>Продажа</v>
      </c>
    </row>
    <row r="23" spans="1:38" hidden="1" x14ac:dyDescent="0.25">
      <c r="A23" s="101">
        <v>21</v>
      </c>
      <c r="B23" s="2" t="str">
        <f>_xlfn.XLOOKUP(наценкад5[[#This Row],[№]],ППД5[№],ППД5[Секция],"-",0)</f>
        <v>А</v>
      </c>
      <c r="C23" s="2">
        <f>_xlfn.XLOOKUP(наценкад5[[#This Row],[№]],ППД5[№],ППД5[Этаж],"-",0)</f>
        <v>4</v>
      </c>
      <c r="D23" s="2">
        <f>_xlfn.XLOOKUP(наценкад5[[#This Row],[№]],ППД5[№],ППД5[№ на этаже],"-",0)</f>
        <v>1</v>
      </c>
      <c r="E23" s="2">
        <f>_xlfn.XLOOKUP(наценкад5[[#This Row],[№]],ППД5[№],ППД5[Тип кв],"-",0)</f>
        <v>1</v>
      </c>
      <c r="F23" s="72">
        <f>_xlfn.XLOOKUP(наценкад5[[#This Row],[№]],ППД5[№],ППД5[Кухня],"-",0)</f>
        <v>9.84</v>
      </c>
      <c r="G23" s="72">
        <f>_xlfn.XLOOKUP(наценкад5[[#This Row],[№]],ППД5[№],ППД5[Ванная],"-",0)</f>
        <v>3.63</v>
      </c>
      <c r="H23" s="72">
        <f>_xlfn.XLOOKUP(наценкад5[[#This Row],[№]],ППД5[№],ППД5[Гардеробная],"-",0)</f>
        <v>0</v>
      </c>
      <c r="I23" s="72">
        <f>_xlfn.XLOOKUP(наценкад5[[#This Row],[№]],ППД5[№],ППД5[Лоджия 2],"-",0)</f>
        <v>0</v>
      </c>
      <c r="J23" s="72">
        <f>_xlfn.XLOOKUP(наценкад5[[#This Row],[№]],ППД5[№],ППД5[С\У],"-",0)</f>
        <v>0</v>
      </c>
      <c r="K23" s="72">
        <f>_xlfn.XLOOKUP(наценкад5[[#This Row],[№]],ППД5[№],ППД5[Расчетная проектная площадь],"-",0)</f>
        <v>34.39</v>
      </c>
      <c r="L23" s="12">
        <f t="shared" si="0"/>
        <v>63000</v>
      </c>
      <c r="M23" s="102">
        <f>коэффициенты!$G$2</f>
        <v>1.2875000000000001</v>
      </c>
      <c r="N23" s="13">
        <f>наценкад5[[#This Row],[Цена м2 базовая]]*наценкад5[[#This Row],[Базовой K]]</f>
        <v>81112.5</v>
      </c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8">
        <f>коэффициенты!$G$15</f>
        <v>0.01</v>
      </c>
      <c r="Z23" s="74"/>
      <c r="AA23" s="76">
        <f>коэффициенты!$G$14</f>
        <v>0.01</v>
      </c>
      <c r="AB23" s="74"/>
      <c r="AC23" s="74"/>
      <c r="AD23" s="76">
        <f>коэффициенты!$G$19</f>
        <v>0.01</v>
      </c>
      <c r="AE23" s="76"/>
      <c r="AF23" s="76"/>
      <c r="AG23" s="74"/>
      <c r="AH23" s="74"/>
      <c r="AI23" s="73">
        <f>SUM(наценкад5[[#This Row],[еврокухня]:[большая площадь]])*наценкад5[[#This Row],[Цена м2 с базовым K]]+наценкад5[[#This Row],[Цена м2 с базовым K]]</f>
        <v>83545.875</v>
      </c>
      <c r="AJ23" s="72">
        <f>VLOOKUP(наценкад5[[#This Row],[№]],ППД5[],COLUMN(ППД5[[#This Row],[утв цена м2]]),0)</f>
        <v>118139.08</v>
      </c>
      <c r="AK23" s="3">
        <f>наценкад5[[#This Row],[утв цена м2]]*наценкад5[[#This Row],[Расчетная проектная площадь]]</f>
        <v>4062802.9612000003</v>
      </c>
      <c r="AL23" s="22" t="str">
        <f>VLOOKUP(наценкад5[[#This Row],[№]],ППД5[],COLUMN('Реестр ОН'!$DF$1),0)</f>
        <v>Продажа</v>
      </c>
    </row>
    <row r="24" spans="1:38" hidden="1" x14ac:dyDescent="0.25">
      <c r="A24" s="101">
        <v>22</v>
      </c>
      <c r="B24" s="2" t="str">
        <f>_xlfn.XLOOKUP(наценкад5[[#This Row],[№]],ППД5[№],ППД5[Секция],"-",0)</f>
        <v>А</v>
      </c>
      <c r="C24" s="2">
        <f>_xlfn.XLOOKUP(наценкад5[[#This Row],[№]],ППД5[№],ППД5[Этаж],"-",0)</f>
        <v>4</v>
      </c>
      <c r="D24" s="2">
        <f>_xlfn.XLOOKUP(наценкад5[[#This Row],[№]],ППД5[№],ППД5[№ на этаже],"-",0)</f>
        <v>2</v>
      </c>
      <c r="E24" s="2">
        <f>_xlfn.XLOOKUP(наценкад5[[#This Row],[№]],ППД5[№],ППД5[Тип кв],"-",0)</f>
        <v>2</v>
      </c>
      <c r="F24" s="72">
        <f>_xlfn.XLOOKUP(наценкад5[[#This Row],[№]],ППД5[№],ППД5[Кухня],"-",0)</f>
        <v>19.440000000000001</v>
      </c>
      <c r="G24" s="72">
        <f>_xlfn.XLOOKUP(наценкад5[[#This Row],[№]],ППД5[№],ППД5[Ванная],"-",0)</f>
        <v>4.42</v>
      </c>
      <c r="H24" s="72">
        <f>_xlfn.XLOOKUP(наценкад5[[#This Row],[№]],ППД5[№],ППД5[Гардеробная],"-",0)</f>
        <v>3.25</v>
      </c>
      <c r="I24" s="72">
        <f>_xlfn.XLOOKUP(наценкад5[[#This Row],[№]],ППД5[№],ППД5[Лоджия 2],"-",0)</f>
        <v>0</v>
      </c>
      <c r="J24" s="72">
        <f>_xlfn.XLOOKUP(наценкад5[[#This Row],[№]],ППД5[№],ППД5[С\У],"-",0)</f>
        <v>0</v>
      </c>
      <c r="K24" s="72">
        <f>_xlfn.XLOOKUP(наценкад5[[#This Row],[№]],ППД5[№],ППД5[Расчетная проектная площадь],"-",0)</f>
        <v>68.5</v>
      </c>
      <c r="L24" s="12">
        <f t="shared" si="0"/>
        <v>63000</v>
      </c>
      <c r="M24" s="102">
        <f>коэффициенты!$F$2</f>
        <v>1.2257</v>
      </c>
      <c r="N24" s="13">
        <f>наценкад5[[#This Row],[Цена м2 базовая]]*наценкад5[[#This Row],[Базовой K]]</f>
        <v>77219.100000000006</v>
      </c>
      <c r="O24" s="74">
        <f>коэффициенты!$F$4</f>
        <v>1.4999999999999999E-2</v>
      </c>
      <c r="P24" s="74"/>
      <c r="Q24" s="76">
        <f>коэффициенты!$F$6</f>
        <v>0.02</v>
      </c>
      <c r="R24" s="76"/>
      <c r="S24" s="76"/>
      <c r="T24" s="74"/>
      <c r="U24" s="74"/>
      <c r="V24" s="74">
        <f>коэффициенты!$F$11</f>
        <v>5.0000000000000001E-3</v>
      </c>
      <c r="W24" s="75"/>
      <c r="X24" s="74"/>
      <c r="Y24" s="78">
        <f>коэффициенты!$F$15</f>
        <v>0.01</v>
      </c>
      <c r="Z24" s="74"/>
      <c r="AA24" s="74"/>
      <c r="AB24" s="76">
        <f>коэффициенты!$F$17</f>
        <v>0.05</v>
      </c>
      <c r="AC24" s="74"/>
      <c r="AD24" s="76"/>
      <c r="AE24" s="76"/>
      <c r="AF24" s="76"/>
      <c r="AG24" s="74"/>
      <c r="AH24" s="76"/>
      <c r="AI24" s="73">
        <f>SUM(наценкад5[[#This Row],[еврокухня]:[большая площадь]])*наценкад5[[#This Row],[Цена м2 с базовым K]]+наценкад5[[#This Row],[Цена м2 с базовым K]]</f>
        <v>84941.010000000009</v>
      </c>
      <c r="AJ24" s="72">
        <f>VLOOKUP(наценкад5[[#This Row],[№]],ППД5[],COLUMN(ППД5[[#This Row],[утв цена м2]]),0)</f>
        <v>120944.05</v>
      </c>
      <c r="AK24" s="3">
        <f>наценкад5[[#This Row],[утв цена м2]]*наценкад5[[#This Row],[Расчетная проектная площадь]]</f>
        <v>8284667.4249999998</v>
      </c>
      <c r="AL24" s="22" t="str">
        <f>VLOOKUP(наценкад5[[#This Row],[№]],ППД5[],COLUMN('Реестр ОН'!$DF$1),0)</f>
        <v>Ус. Бронь</v>
      </c>
    </row>
    <row r="25" spans="1:38" hidden="1" x14ac:dyDescent="0.25">
      <c r="A25" s="101">
        <v>23</v>
      </c>
      <c r="B25" s="2" t="str">
        <f>_xlfn.XLOOKUP(наценкад5[[#This Row],[№]],ППД5[№],ППД5[Секция],"-",0)</f>
        <v>А</v>
      </c>
      <c r="C25" s="2">
        <f>_xlfn.XLOOKUP(наценкад5[[#This Row],[№]],ППД5[№],ППД5[Этаж],"-",0)</f>
        <v>4</v>
      </c>
      <c r="D25" s="2">
        <f>_xlfn.XLOOKUP(наценкад5[[#This Row],[№]],ППД5[№],ППД5[№ на этаже],"-",0)</f>
        <v>3</v>
      </c>
      <c r="E25" s="2">
        <f>_xlfn.XLOOKUP(наценкад5[[#This Row],[№]],ППД5[№],ППД5[Тип кв],"-",0)</f>
        <v>1</v>
      </c>
      <c r="F25" s="72">
        <f>_xlfn.XLOOKUP(наценкад5[[#This Row],[№]],ППД5[№],ППД5[Кухня],"-",0)</f>
        <v>14.97</v>
      </c>
      <c r="G25" s="72">
        <f>_xlfn.XLOOKUP(наценкад5[[#This Row],[№]],ППД5[№],ППД5[Ванная],"-",0)</f>
        <v>4.1100000000000003</v>
      </c>
      <c r="H25" s="72">
        <f>_xlfn.XLOOKUP(наценкад5[[#This Row],[№]],ППД5[№],ППД5[Гардеробная],"-",0)</f>
        <v>0</v>
      </c>
      <c r="I25" s="72">
        <f>_xlfn.XLOOKUP(наценкад5[[#This Row],[№]],ППД5[№],ППД5[Лоджия 2],"-",0)</f>
        <v>0</v>
      </c>
      <c r="J25" s="72">
        <f>_xlfn.XLOOKUP(наценкад5[[#This Row],[№]],ППД5[№],ППД5[С\У],"-",0)</f>
        <v>0</v>
      </c>
      <c r="K25" s="72">
        <f>_xlfn.XLOOKUP(наценкад5[[#This Row],[№]],ППД5[№],ППД5[Расчетная проектная площадь],"-",0)</f>
        <v>37.729999999999997</v>
      </c>
      <c r="L25" s="12">
        <f t="shared" si="0"/>
        <v>63000</v>
      </c>
      <c r="M25" s="102">
        <f>коэффициенты!$G$2</f>
        <v>1.2875000000000001</v>
      </c>
      <c r="N25" s="13">
        <f>наценкад5[[#This Row],[Цена м2 базовая]]*наценкад5[[#This Row],[Базовой K]]</f>
        <v>81112.5</v>
      </c>
      <c r="O25" s="76">
        <f>коэффициенты!$G$4</f>
        <v>0.02</v>
      </c>
      <c r="P25" s="74"/>
      <c r="Q25" s="76">
        <f>коэффициенты!$G$6</f>
        <v>0.03</v>
      </c>
      <c r="R25" s="74"/>
      <c r="S25" s="74"/>
      <c r="T25" s="74"/>
      <c r="U25" s="74"/>
      <c r="V25" s="74"/>
      <c r="W25" s="74"/>
      <c r="X25" s="74">
        <f>коэффициенты!$G$13</f>
        <v>0.01</v>
      </c>
      <c r="Y25" s="78">
        <f>коэффициенты!$G$15</f>
        <v>0.01</v>
      </c>
      <c r="Z25" s="74"/>
      <c r="AA25" s="76">
        <f>коэффициенты!$G$14</f>
        <v>0.01</v>
      </c>
      <c r="AB25" s="74"/>
      <c r="AC25" s="74"/>
      <c r="AD25" s="76">
        <f>коэффициенты!$G$19</f>
        <v>0.01</v>
      </c>
      <c r="AE25" s="76"/>
      <c r="AF25" s="76"/>
      <c r="AG25" s="74"/>
      <c r="AH25" s="74"/>
      <c r="AI25" s="73">
        <f>SUM(наценкад5[[#This Row],[еврокухня]:[большая площадь]])*наценкад5[[#This Row],[Цена м2 с базовым K]]+наценкад5[[#This Row],[Цена м2 с базовым K]]</f>
        <v>88412.625</v>
      </c>
      <c r="AJ25" s="72">
        <f>VLOOKUP(наценкад5[[#This Row],[№]],ППД5[],COLUMN(ППД5[[#This Row],[утв цена м2]]),0)</f>
        <v>117344.24</v>
      </c>
      <c r="AK25" s="3">
        <f>наценкад5[[#This Row],[утв цена м2]]*наценкад5[[#This Row],[Расчетная проектная площадь]]</f>
        <v>4427398.1751999995</v>
      </c>
      <c r="AL25" s="22" t="str">
        <f>VLOOKUP(наценкад5[[#This Row],[№]],ППД5[],COLUMN('Реестр ОН'!$DF$1),0)</f>
        <v>Продажа</v>
      </c>
    </row>
    <row r="26" spans="1:38" hidden="1" x14ac:dyDescent="0.25">
      <c r="A26" s="101">
        <v>24</v>
      </c>
      <c r="B26" s="2" t="str">
        <f>_xlfn.XLOOKUP(наценкад5[[#This Row],[№]],ППД5[№],ППД5[Секция],"-",0)</f>
        <v>А</v>
      </c>
      <c r="C26" s="2">
        <f>_xlfn.XLOOKUP(наценкад5[[#This Row],[№]],ППД5[№],ППД5[Этаж],"-",0)</f>
        <v>4</v>
      </c>
      <c r="D26" s="2">
        <f>_xlfn.XLOOKUP(наценкад5[[#This Row],[№]],ППД5[№],ППД5[№ на этаже],"-",0)</f>
        <v>4</v>
      </c>
      <c r="E26" s="2">
        <f>_xlfn.XLOOKUP(наценкад5[[#This Row],[№]],ППД5[№],ППД5[Тип кв],"-",0)</f>
        <v>2</v>
      </c>
      <c r="F26" s="72">
        <f>_xlfn.XLOOKUP(наценкад5[[#This Row],[№]],ППД5[№],ППД5[Кухня],"-",0)</f>
        <v>14.58</v>
      </c>
      <c r="G26" s="72">
        <f>_xlfn.XLOOKUP(наценкад5[[#This Row],[№]],ППД5[№],ППД5[Ванная],"-",0)</f>
        <v>4.34</v>
      </c>
      <c r="H26" s="72">
        <f>_xlfn.XLOOKUP(наценкад5[[#This Row],[№]],ППД5[№],ППД5[Гардеробная],"-",0)</f>
        <v>0</v>
      </c>
      <c r="I26" s="72">
        <f>_xlfn.XLOOKUP(наценкад5[[#This Row],[№]],ППД5[№],ППД5[Лоджия 2],"-",0)</f>
        <v>0</v>
      </c>
      <c r="J26" s="72">
        <f>_xlfn.XLOOKUP(наценкад5[[#This Row],[№]],ППД5[№],ППД5[С\У],"-",0)</f>
        <v>2.08</v>
      </c>
      <c r="K26" s="72">
        <f>_xlfn.XLOOKUP(наценкад5[[#This Row],[№]],ППД5[№],ППД5[Расчетная проектная площадь],"-",0)</f>
        <v>59.09</v>
      </c>
      <c r="L26" s="12">
        <f t="shared" si="0"/>
        <v>63000</v>
      </c>
      <c r="M26" s="102">
        <f>коэффициенты!$F$2</f>
        <v>1.2257</v>
      </c>
      <c r="N26" s="13">
        <f>наценкад5[[#This Row],[Цена м2 базовая]]*наценкад5[[#This Row],[Базовой K]]</f>
        <v>77219.100000000006</v>
      </c>
      <c r="O26" s="74">
        <f>коэффициенты!$F$4</f>
        <v>1.4999999999999999E-2</v>
      </c>
      <c r="P26" s="74"/>
      <c r="Q26" s="76">
        <f>коэффициенты!$F$6</f>
        <v>0.02</v>
      </c>
      <c r="R26" s="76"/>
      <c r="S26" s="76">
        <f>коэффициенты!$F$9</f>
        <v>0</v>
      </c>
      <c r="T26" s="74"/>
      <c r="U26" s="74"/>
      <c r="V26" s="74"/>
      <c r="W26" s="75"/>
      <c r="X26" s="74"/>
      <c r="Y26" s="78">
        <f>коэффициенты!$F$15</f>
        <v>0.01</v>
      </c>
      <c r="Z26" s="74"/>
      <c r="AA26" s="74"/>
      <c r="AB26" s="74"/>
      <c r="AC26" s="74"/>
      <c r="AD26" s="76">
        <f>коэффициенты!$F$19</f>
        <v>5.0000000000000001E-3</v>
      </c>
      <c r="AE26" s="76"/>
      <c r="AF26" s="76"/>
      <c r="AG26" s="74"/>
      <c r="AH26" s="74"/>
      <c r="AI26" s="73">
        <f>SUM(наценкад5[[#This Row],[еврокухня]:[большая площадь]])*наценкад5[[#This Row],[Цена м2 с базовым K]]+наценкад5[[#This Row],[Цена м2 с базовым K]]</f>
        <v>81080.055000000008</v>
      </c>
      <c r="AJ26" s="72">
        <f>VLOOKUP(наценкад5[[#This Row],[№]],ППД5[],COLUMN(ППД5[[#This Row],[утв цена м2]]),0)</f>
        <v>123588.95</v>
      </c>
      <c r="AK26" s="3">
        <f>наценкад5[[#This Row],[утв цена м2]]*наценкад5[[#This Row],[Расчетная проектная площадь]]</f>
        <v>7302871.0555000007</v>
      </c>
      <c r="AL26" s="22" t="str">
        <f>VLOOKUP(наценкад5[[#This Row],[№]],ППД5[],COLUMN('Реестр ОН'!$DF$1),0)</f>
        <v>Продажа</v>
      </c>
    </row>
    <row r="27" spans="1:38" hidden="1" x14ac:dyDescent="0.25">
      <c r="A27" s="101">
        <v>25</v>
      </c>
      <c r="B27" s="2" t="str">
        <f>_xlfn.XLOOKUP(наценкад5[[#This Row],[№]],ППД5[№],ППД5[Секция],"-",0)</f>
        <v>А</v>
      </c>
      <c r="C27" s="2">
        <f>_xlfn.XLOOKUP(наценкад5[[#This Row],[№]],ППД5[№],ППД5[Этаж],"-",0)</f>
        <v>4</v>
      </c>
      <c r="D27" s="2">
        <f>_xlfn.XLOOKUP(наценкад5[[#This Row],[№]],ППД5[№],ППД5[№ на этаже],"-",0)</f>
        <v>5</v>
      </c>
      <c r="E27" s="2">
        <f>_xlfn.XLOOKUP(наценкад5[[#This Row],[№]],ППД5[№],ППД5[Тип кв],"-",0)</f>
        <v>2</v>
      </c>
      <c r="F27" s="72">
        <f>_xlfn.XLOOKUP(наценкад5[[#This Row],[№]],ППД5[№],ППД5[Кухня],"-",0)</f>
        <v>18</v>
      </c>
      <c r="G27" s="72">
        <f>_xlfn.XLOOKUP(наценкад5[[#This Row],[№]],ППД5[№],ППД5[Ванная],"-",0)</f>
        <v>4.3499999999999996</v>
      </c>
      <c r="H27" s="72">
        <f>_xlfn.XLOOKUP(наценкад5[[#This Row],[№]],ППД5[№],ППД5[Гардеробная],"-",0)</f>
        <v>0</v>
      </c>
      <c r="I27" s="72">
        <f>_xlfn.XLOOKUP(наценкад5[[#This Row],[№]],ППД5[№],ППД5[Лоджия 2],"-",0)</f>
        <v>0</v>
      </c>
      <c r="J27" s="72">
        <f>_xlfn.XLOOKUP(наценкад5[[#This Row],[№]],ППД5[№],ППД5[С\У],"-",0)</f>
        <v>1.55</v>
      </c>
      <c r="K27" s="72">
        <f>_xlfn.XLOOKUP(наценкад5[[#This Row],[№]],ППД5[№],ППД5[Расчетная проектная площадь],"-",0)</f>
        <v>62.17</v>
      </c>
      <c r="L27" s="12">
        <f t="shared" si="0"/>
        <v>63000</v>
      </c>
      <c r="M27" s="102">
        <f>коэффициенты!$F$2</f>
        <v>1.2257</v>
      </c>
      <c r="N27" s="13">
        <f>наценкад5[[#This Row],[Цена м2 базовая]]*наценкад5[[#This Row],[Базовой K]]</f>
        <v>77219.100000000006</v>
      </c>
      <c r="O27" s="74">
        <f>коэффициенты!$F$4</f>
        <v>1.4999999999999999E-2</v>
      </c>
      <c r="P27" s="74"/>
      <c r="Q27" s="76">
        <f>коэффициенты!$F$6</f>
        <v>0.02</v>
      </c>
      <c r="R27" s="76"/>
      <c r="S27" s="76">
        <f>коэффициенты!$F$9</f>
        <v>0</v>
      </c>
      <c r="T27" s="74"/>
      <c r="U27" s="74"/>
      <c r="V27" s="76"/>
      <c r="W27" s="75"/>
      <c r="X27" s="76"/>
      <c r="Y27" s="78">
        <f>коэффициенты!$F$15</f>
        <v>0.01</v>
      </c>
      <c r="Z27" s="74"/>
      <c r="AA27" s="74"/>
      <c r="AB27" s="74"/>
      <c r="AC27" s="74"/>
      <c r="AD27" s="76">
        <f>коэффициенты!$F$19</f>
        <v>5.0000000000000001E-3</v>
      </c>
      <c r="AE27" s="76"/>
      <c r="AF27" s="76"/>
      <c r="AG27" s="74"/>
      <c r="AH27" s="74"/>
      <c r="AI27" s="73">
        <f>SUM(наценкад5[[#This Row],[еврокухня]:[большая площадь]])*наценкад5[[#This Row],[Цена м2 с базовым K]]+наценкад5[[#This Row],[Цена м2 с базовым K]]</f>
        <v>81080.055000000008</v>
      </c>
      <c r="AJ27" s="72">
        <f>VLOOKUP(наценкад5[[#This Row],[№]],ППД5[],COLUMN(ППД5[[#This Row],[утв цена м2]]),0)</f>
        <v>81080.06</v>
      </c>
      <c r="AK27" s="3">
        <f>наценкад5[[#This Row],[утв цена м2]]*наценкад5[[#This Row],[Расчетная проектная площадь]]</f>
        <v>5040747.3301999997</v>
      </c>
      <c r="AL27" s="22" t="str">
        <f>VLOOKUP(наценкад5[[#This Row],[№]],ППД5[],COLUMN('Реестр ОН'!$DF$1),0)</f>
        <v>Продажа</v>
      </c>
    </row>
    <row r="28" spans="1:38" hidden="1" x14ac:dyDescent="0.25">
      <c r="A28" s="101">
        <v>26</v>
      </c>
      <c r="B28" s="2" t="str">
        <f>_xlfn.XLOOKUP(наценкад5[[#This Row],[№]],ППД5[№],ППД5[Секция],"-",0)</f>
        <v>А</v>
      </c>
      <c r="C28" s="2">
        <f>_xlfn.XLOOKUP(наценкад5[[#This Row],[№]],ППД5[№],ППД5[Этаж],"-",0)</f>
        <v>4</v>
      </c>
      <c r="D28" s="2">
        <f>_xlfn.XLOOKUP(наценкад5[[#This Row],[№]],ППД5[№],ППД5[№ на этаже],"-",0)</f>
        <v>6</v>
      </c>
      <c r="E28" s="2">
        <f>_xlfn.XLOOKUP(наценкад5[[#This Row],[№]],ППД5[№],ППД5[Тип кв],"-",0)</f>
        <v>2</v>
      </c>
      <c r="F28" s="72">
        <f>_xlfn.XLOOKUP(наценкад5[[#This Row],[№]],ППД5[№],ППД5[Кухня],"-",0)</f>
        <v>14.35</v>
      </c>
      <c r="G28" s="72">
        <f>_xlfn.XLOOKUP(наценкад5[[#This Row],[№]],ППД5[№],ППД5[Ванная],"-",0)</f>
        <v>4.16</v>
      </c>
      <c r="H28" s="72">
        <f>_xlfn.XLOOKUP(наценкад5[[#This Row],[№]],ППД5[№],ППД5[Гардеробная],"-",0)</f>
        <v>0</v>
      </c>
      <c r="I28" s="72">
        <f>_xlfn.XLOOKUP(наценкад5[[#This Row],[№]],ППД5[№],ППД5[Лоджия 2],"-",0)</f>
        <v>0</v>
      </c>
      <c r="J28" s="72">
        <f>_xlfn.XLOOKUP(наценкад5[[#This Row],[№]],ППД5[№],ППД5[С\У],"-",0)</f>
        <v>1.93</v>
      </c>
      <c r="K28" s="72">
        <f>_xlfn.XLOOKUP(наценкад5[[#This Row],[№]],ППД5[№],ППД5[Расчетная проектная площадь],"-",0)</f>
        <v>58.16</v>
      </c>
      <c r="L28" s="12">
        <f t="shared" si="0"/>
        <v>63000</v>
      </c>
      <c r="M28" s="102">
        <f>коэффициенты!$F$2</f>
        <v>1.2257</v>
      </c>
      <c r="N28" s="13">
        <f>наценкад5[[#This Row],[Цена м2 базовая]]*наценкад5[[#This Row],[Базовой K]]</f>
        <v>77219.100000000006</v>
      </c>
      <c r="O28" s="74">
        <f>коэффициенты!$F$4</f>
        <v>1.4999999999999999E-2</v>
      </c>
      <c r="P28" s="74"/>
      <c r="Q28" s="74">
        <f>коэффициенты!$E$6</f>
        <v>0.01</v>
      </c>
      <c r="R28" s="76"/>
      <c r="S28" s="76">
        <f>коэффициенты!$F$9</f>
        <v>0</v>
      </c>
      <c r="T28" s="74"/>
      <c r="U28" s="74"/>
      <c r="V28" s="74">
        <f>коэффициенты!$F$11</f>
        <v>5.0000000000000001E-3</v>
      </c>
      <c r="W28" s="75"/>
      <c r="X28" s="74">
        <f>коэффициенты!$F$13</f>
        <v>0.02</v>
      </c>
      <c r="Y28" s="78">
        <f>коэффициенты!$F$15</f>
        <v>0.01</v>
      </c>
      <c r="Z28" s="74"/>
      <c r="AA28" s="74"/>
      <c r="AB28" s="74"/>
      <c r="AC28" s="74"/>
      <c r="AD28" s="76">
        <f>коэффициенты!$F$19</f>
        <v>5.0000000000000001E-3</v>
      </c>
      <c r="AE28" s="76"/>
      <c r="AF28" s="76"/>
      <c r="AG28" s="74"/>
      <c r="AH28" s="74"/>
      <c r="AI28" s="73">
        <f>SUM(наценкад5[[#This Row],[еврокухня]:[большая площадь]])*наценкад5[[#This Row],[Цена м2 с базовым K]]+наценкад5[[#This Row],[Цена м2 с базовым K]]</f>
        <v>82238.34150000001</v>
      </c>
      <c r="AJ28" s="72">
        <f>VLOOKUP(наценкад5[[#This Row],[№]],ППД5[],COLUMN(ППД5[[#This Row],[утв цена м2]]),0)</f>
        <v>99113.600000000006</v>
      </c>
      <c r="AK28" s="3">
        <f>наценкад5[[#This Row],[утв цена м2]]*наценкад5[[#This Row],[Расчетная проектная площадь]]</f>
        <v>5764446.9759999998</v>
      </c>
      <c r="AL28" s="22" t="str">
        <f>VLOOKUP(наценкад5[[#This Row],[№]],ППД5[],COLUMN('Реестр ОН'!$DF$1),0)</f>
        <v>Продажа</v>
      </c>
    </row>
    <row r="29" spans="1:38" hidden="1" x14ac:dyDescent="0.25">
      <c r="A29" s="101">
        <v>27</v>
      </c>
      <c r="B29" s="2" t="str">
        <f>_xlfn.XLOOKUP(наценкад5[[#This Row],[№]],ППД5[№],ППД5[Секция],"-",0)</f>
        <v>А</v>
      </c>
      <c r="C29" s="2">
        <f>_xlfn.XLOOKUP(наценкад5[[#This Row],[№]],ППД5[№],ППД5[Этаж],"-",0)</f>
        <v>4</v>
      </c>
      <c r="D29" s="2">
        <f>_xlfn.XLOOKUP(наценкад5[[#This Row],[№]],ППД5[№],ППД5[№ на этаже],"-",0)</f>
        <v>7</v>
      </c>
      <c r="E29" s="2">
        <f>_xlfn.XLOOKUP(наценкад5[[#This Row],[№]],ППД5[№],ППД5[Тип кв],"-",0)</f>
        <v>1</v>
      </c>
      <c r="F29" s="72">
        <f>_xlfn.XLOOKUP(наценкад5[[#This Row],[№]],ППД5[№],ППД5[Кухня],"-",0)</f>
        <v>13.04</v>
      </c>
      <c r="G29" s="72">
        <f>_xlfn.XLOOKUP(наценкад5[[#This Row],[№]],ППД5[№],ППД5[Ванная],"-",0)</f>
        <v>3.9</v>
      </c>
      <c r="H29" s="72">
        <f>_xlfn.XLOOKUP(наценкад5[[#This Row],[№]],ППД5[№],ППД5[Гардеробная],"-",0)</f>
        <v>0</v>
      </c>
      <c r="I29" s="72">
        <f>_xlfn.XLOOKUP(наценкад5[[#This Row],[№]],ППД5[№],ППД5[Лоджия 2],"-",0)</f>
        <v>0</v>
      </c>
      <c r="J29" s="72">
        <f>_xlfn.XLOOKUP(наценкад5[[#This Row],[№]],ППД5[№],ППД5[С\У],"-",0)</f>
        <v>0</v>
      </c>
      <c r="K29" s="72">
        <f>_xlfn.XLOOKUP(наценкад5[[#This Row],[№]],ППД5[№],ППД5[Расчетная проектная площадь],"-",0)</f>
        <v>42.75</v>
      </c>
      <c r="L29" s="12">
        <f t="shared" si="0"/>
        <v>63000</v>
      </c>
      <c r="M29" s="102">
        <f>коэффициенты!$G$2</f>
        <v>1.2875000000000001</v>
      </c>
      <c r="N29" s="13">
        <f>наценкад5[[#This Row],[Цена м2 базовая]]*наценкад5[[#This Row],[Базовой K]]</f>
        <v>81112.5</v>
      </c>
      <c r="O29" s="74"/>
      <c r="P29" s="76">
        <f>коэффициенты!$G$5</f>
        <v>0.01</v>
      </c>
      <c r="Q29" s="74"/>
      <c r="R29" s="74"/>
      <c r="S29" s="74"/>
      <c r="T29" s="74"/>
      <c r="U29" s="74"/>
      <c r="V29" s="74">
        <f>коэффициенты!$G$11</f>
        <v>0.01</v>
      </c>
      <c r="W29" s="75"/>
      <c r="X29" s="74"/>
      <c r="Y29" s="78">
        <f>коэффициенты!$G$15</f>
        <v>0.01</v>
      </c>
      <c r="Z29" s="74"/>
      <c r="AA29" s="76">
        <f>коэффициенты!$G$14</f>
        <v>0.01</v>
      </c>
      <c r="AB29" s="74"/>
      <c r="AC29" s="74"/>
      <c r="AD29" s="76">
        <f>коэффициенты!$G$19</f>
        <v>0.01</v>
      </c>
      <c r="AE29" s="76"/>
      <c r="AF29" s="76"/>
      <c r="AG29" s="74">
        <f>коэффициенты!$A$24</f>
        <v>-5.0000000000000001E-3</v>
      </c>
      <c r="AH29" s="74"/>
      <c r="AI29" s="73">
        <f>SUM(наценкад5[[#This Row],[еврокухня]:[большая площадь]])*наценкад5[[#This Row],[Цена м2 с базовым K]]+наценкад5[[#This Row],[Цена м2 с базовым K]]</f>
        <v>84762.5625</v>
      </c>
      <c r="AJ29" s="72">
        <f>VLOOKUP(наценкад5[[#This Row],[№]],ППД5[],COLUMN(ППД5[[#This Row],[утв цена м2]]),0)</f>
        <v>95337.54</v>
      </c>
      <c r="AK29" s="3">
        <f>наценкад5[[#This Row],[утв цена м2]]*наценкад5[[#This Row],[Расчетная проектная площадь]]</f>
        <v>4075679.8349999995</v>
      </c>
      <c r="AL29" s="22" t="str">
        <f>VLOOKUP(наценкад5[[#This Row],[№]],ППД5[],COLUMN('Реестр ОН'!$DF$1),0)</f>
        <v>Продажа</v>
      </c>
    </row>
    <row r="30" spans="1:38" hidden="1" x14ac:dyDescent="0.25">
      <c r="A30" s="101">
        <v>28</v>
      </c>
      <c r="B30" s="2" t="str">
        <f>_xlfn.XLOOKUP(наценкад5[[#This Row],[№]],ППД5[№],ППД5[Секция],"-",0)</f>
        <v>А</v>
      </c>
      <c r="C30" s="2">
        <f>_xlfn.XLOOKUP(наценкад5[[#This Row],[№]],ППД5[№],ППД5[Этаж],"-",0)</f>
        <v>5</v>
      </c>
      <c r="D30" s="2">
        <f>_xlfn.XLOOKUP(наценкад5[[#This Row],[№]],ППД5[№],ППД5[№ на этаже],"-",0)</f>
        <v>1</v>
      </c>
      <c r="E30" s="2">
        <f>_xlfn.XLOOKUP(наценкад5[[#This Row],[№]],ППД5[№],ППД5[Тип кв],"-",0)</f>
        <v>1</v>
      </c>
      <c r="F30" s="72">
        <f>_xlfn.XLOOKUP(наценкад5[[#This Row],[№]],ППД5[№],ППД5[Кухня],"-",0)</f>
        <v>9.84</v>
      </c>
      <c r="G30" s="72">
        <f>_xlfn.XLOOKUP(наценкад5[[#This Row],[№]],ППД5[№],ППД5[Ванная],"-",0)</f>
        <v>3.63</v>
      </c>
      <c r="H30" s="72">
        <f>_xlfn.XLOOKUP(наценкад5[[#This Row],[№]],ППД5[№],ППД5[Гардеробная],"-",0)</f>
        <v>0</v>
      </c>
      <c r="I30" s="72">
        <f>_xlfn.XLOOKUP(наценкад5[[#This Row],[№]],ППД5[№],ППД5[Лоджия 2],"-",0)</f>
        <v>0</v>
      </c>
      <c r="J30" s="72">
        <f>_xlfn.XLOOKUP(наценкад5[[#This Row],[№]],ППД5[№],ППД5[С\У],"-",0)</f>
        <v>0</v>
      </c>
      <c r="K30" s="72">
        <f>_xlfn.XLOOKUP(наценкад5[[#This Row],[№]],ППД5[№],ППД5[Расчетная проектная площадь],"-",0)</f>
        <v>34.39</v>
      </c>
      <c r="L30" s="12">
        <f t="shared" si="0"/>
        <v>63000</v>
      </c>
      <c r="M30" s="102">
        <f>коэффициенты!$G$2</f>
        <v>1.2875000000000001</v>
      </c>
      <c r="N30" s="13">
        <f>наценкад5[[#This Row],[Цена м2 базовая]]*наценкад5[[#This Row],[Базовой K]]</f>
        <v>81112.5</v>
      </c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5"/>
      <c r="Z30" s="74"/>
      <c r="AA30" s="76">
        <f>коэффициенты!$G$14</f>
        <v>0.01</v>
      </c>
      <c r="AB30" s="74"/>
      <c r="AC30" s="74"/>
      <c r="AD30" s="76">
        <f>коэффициенты!$G$19</f>
        <v>0.01</v>
      </c>
      <c r="AE30" s="76"/>
      <c r="AF30" s="76"/>
      <c r="AG30" s="74"/>
      <c r="AH30" s="74"/>
      <c r="AI30" s="73">
        <f>SUM(наценкад5[[#This Row],[еврокухня]:[большая площадь]])*наценкад5[[#This Row],[Цена м2 с базовым K]]+наценкад5[[#This Row],[Цена м2 с базовым K]]</f>
        <v>82734.75</v>
      </c>
      <c r="AJ30" s="72">
        <f>VLOOKUP(наценкад5[[#This Row],[№]],ППД5[],COLUMN(ППД5[[#This Row],[утв цена м2]]),0)</f>
        <v>122315.24</v>
      </c>
      <c r="AK30" s="3">
        <f>наценкад5[[#This Row],[утв цена м2]]*наценкад5[[#This Row],[Расчетная проектная площадь]]</f>
        <v>4206421.1036</v>
      </c>
      <c r="AL30" s="22" t="str">
        <f>VLOOKUP(наценкад5[[#This Row],[№]],ППД5[],COLUMN('Реестр ОН'!$DF$1),0)</f>
        <v>Продажа</v>
      </c>
    </row>
    <row r="31" spans="1:38" hidden="1" x14ac:dyDescent="0.25">
      <c r="A31" s="101">
        <v>29</v>
      </c>
      <c r="B31" s="2" t="str">
        <f>_xlfn.XLOOKUP(наценкад5[[#This Row],[№]],ППД5[№],ППД5[Секция],"-",0)</f>
        <v>А</v>
      </c>
      <c r="C31" s="2">
        <f>_xlfn.XLOOKUP(наценкад5[[#This Row],[№]],ППД5[№],ППД5[Этаж],"-",0)</f>
        <v>5</v>
      </c>
      <c r="D31" s="2">
        <f>_xlfn.XLOOKUP(наценкад5[[#This Row],[№]],ППД5[№],ППД5[№ на этаже],"-",0)</f>
        <v>2</v>
      </c>
      <c r="E31" s="2">
        <f>_xlfn.XLOOKUP(наценкад5[[#This Row],[№]],ППД5[№],ППД5[Тип кв],"-",0)</f>
        <v>2</v>
      </c>
      <c r="F31" s="72">
        <f>_xlfn.XLOOKUP(наценкад5[[#This Row],[№]],ППД5[№],ППД5[Кухня],"-",0)</f>
        <v>19.440000000000001</v>
      </c>
      <c r="G31" s="72">
        <f>_xlfn.XLOOKUP(наценкад5[[#This Row],[№]],ППД5[№],ППД5[Ванная],"-",0)</f>
        <v>4.42</v>
      </c>
      <c r="H31" s="72">
        <f>_xlfn.XLOOKUP(наценкад5[[#This Row],[№]],ППД5[№],ППД5[Гардеробная],"-",0)</f>
        <v>3.25</v>
      </c>
      <c r="I31" s="72">
        <f>_xlfn.XLOOKUP(наценкад5[[#This Row],[№]],ППД5[№],ППД5[Лоджия 2],"-",0)</f>
        <v>0</v>
      </c>
      <c r="J31" s="72">
        <f>_xlfn.XLOOKUP(наценкад5[[#This Row],[№]],ППД5[№],ППД5[С\У],"-",0)</f>
        <v>0</v>
      </c>
      <c r="K31" s="72">
        <f>_xlfn.XLOOKUP(наценкад5[[#This Row],[№]],ППД5[№],ППД5[Расчетная проектная площадь],"-",0)</f>
        <v>68.5</v>
      </c>
      <c r="L31" s="12">
        <f t="shared" si="0"/>
        <v>63000</v>
      </c>
      <c r="M31" s="102">
        <f>коэффициенты!$F$2</f>
        <v>1.2257</v>
      </c>
      <c r="N31" s="13">
        <f>наценкад5[[#This Row],[Цена м2 базовая]]*наценкад5[[#This Row],[Базовой K]]</f>
        <v>77219.100000000006</v>
      </c>
      <c r="O31" s="74">
        <f>коэффициенты!$F$4</f>
        <v>1.4999999999999999E-2</v>
      </c>
      <c r="P31" s="74"/>
      <c r="Q31" s="76">
        <f>коэффициенты!$F$6</f>
        <v>0.02</v>
      </c>
      <c r="R31" s="76"/>
      <c r="S31" s="76"/>
      <c r="T31" s="74"/>
      <c r="U31" s="74"/>
      <c r="V31" s="74">
        <f>коэффициенты!$F$11</f>
        <v>5.0000000000000001E-3</v>
      </c>
      <c r="W31" s="74"/>
      <c r="X31" s="74"/>
      <c r="Y31" s="75"/>
      <c r="Z31" s="74"/>
      <c r="AA31" s="74"/>
      <c r="AB31" s="76">
        <f>коэффициенты!$F$17</f>
        <v>0.05</v>
      </c>
      <c r="AC31" s="74"/>
      <c r="AD31" s="76"/>
      <c r="AE31" s="76"/>
      <c r="AF31" s="76"/>
      <c r="AG31" s="74"/>
      <c r="AH31" s="76"/>
      <c r="AI31" s="73">
        <f>SUM(наценкад5[[#This Row],[еврокухня]:[большая площадь]])*наценкад5[[#This Row],[Цена м2 с базовым K]]+наценкад5[[#This Row],[Цена м2 с базовым K]]</f>
        <v>84168.819000000003</v>
      </c>
      <c r="AJ31" s="72">
        <f>VLOOKUP(наценкад5[[#This Row],[№]],ППД5[],COLUMN(ППД5[[#This Row],[утв цена м2]]),0)</f>
        <v>119799.85</v>
      </c>
      <c r="AK31" s="3">
        <f>наценкад5[[#This Row],[утв цена м2]]*наценкад5[[#This Row],[Расчетная проектная площадь]]</f>
        <v>8206289.7250000006</v>
      </c>
      <c r="AL31" s="22" t="str">
        <f>VLOOKUP(наценкад5[[#This Row],[№]],ППД5[],COLUMN('Реестр ОН'!$DF$1),0)</f>
        <v>Продажа</v>
      </c>
    </row>
    <row r="32" spans="1:38" hidden="1" x14ac:dyDescent="0.25">
      <c r="A32" s="101">
        <v>30</v>
      </c>
      <c r="B32" s="2" t="str">
        <f>_xlfn.XLOOKUP(наценкад5[[#This Row],[№]],ППД5[№],ППД5[Секция],"-",0)</f>
        <v>А</v>
      </c>
      <c r="C32" s="2">
        <f>_xlfn.XLOOKUP(наценкад5[[#This Row],[№]],ППД5[№],ППД5[Этаж],"-",0)</f>
        <v>5</v>
      </c>
      <c r="D32" s="2">
        <f>_xlfn.XLOOKUP(наценкад5[[#This Row],[№]],ППД5[№],ППД5[№ на этаже],"-",0)</f>
        <v>3</v>
      </c>
      <c r="E32" s="2">
        <f>_xlfn.XLOOKUP(наценкад5[[#This Row],[№]],ППД5[№],ППД5[Тип кв],"-",0)</f>
        <v>1</v>
      </c>
      <c r="F32" s="3">
        <f>_xlfn.XLOOKUP(наценкад5[[#This Row],[№]],ППД5[№],ППД5[Кухня],"-",0)</f>
        <v>14.97</v>
      </c>
      <c r="G32" s="72">
        <f>_xlfn.XLOOKUP(наценкад5[[#This Row],[№]],ППД5[№],ППД5[Ванная],"-",0)</f>
        <v>4.1100000000000003</v>
      </c>
      <c r="H32" s="72">
        <f>_xlfn.XLOOKUP(наценкад5[[#This Row],[№]],ППД5[№],ППД5[Гардеробная],"-",0)</f>
        <v>0</v>
      </c>
      <c r="I32" s="72">
        <f>_xlfn.XLOOKUP(наценкад5[[#This Row],[№]],ППД5[№],ППД5[Лоджия 2],"-",0)</f>
        <v>0</v>
      </c>
      <c r="J32" s="72">
        <f>_xlfn.XLOOKUP(наценкад5[[#This Row],[№]],ППД5[№],ППД5[С\У],"-",0)</f>
        <v>0</v>
      </c>
      <c r="K32" s="72">
        <f>_xlfn.XLOOKUP(наценкад5[[#This Row],[№]],ППД5[№],ППД5[Расчетная проектная площадь],"-",0)</f>
        <v>37.729999999999997</v>
      </c>
      <c r="L32" s="12">
        <f t="shared" si="0"/>
        <v>63000</v>
      </c>
      <c r="M32" s="102">
        <f>коэффициенты!$G$2</f>
        <v>1.2875000000000001</v>
      </c>
      <c r="N32" s="13">
        <f>наценкад5[[#This Row],[Цена м2 базовая]]*наценкад5[[#This Row],[Базовой K]]</f>
        <v>81112.5</v>
      </c>
      <c r="O32" s="76">
        <f>коэффициенты!$G$4</f>
        <v>0.02</v>
      </c>
      <c r="P32" s="74"/>
      <c r="Q32" s="76">
        <f>коэффициенты!$G$6</f>
        <v>0.03</v>
      </c>
      <c r="R32" s="74"/>
      <c r="S32" s="74"/>
      <c r="T32" s="74"/>
      <c r="U32" s="74"/>
      <c r="V32" s="74"/>
      <c r="W32" s="74"/>
      <c r="X32" s="74">
        <f>коэффициенты!$G$13</f>
        <v>0.01</v>
      </c>
      <c r="Y32" s="75"/>
      <c r="Z32" s="74"/>
      <c r="AA32" s="76">
        <f>коэффициенты!$G$14</f>
        <v>0.01</v>
      </c>
      <c r="AB32" s="74"/>
      <c r="AC32" s="74"/>
      <c r="AD32" s="76">
        <f>коэффициенты!$G$19</f>
        <v>0.01</v>
      </c>
      <c r="AE32" s="76"/>
      <c r="AF32" s="76"/>
      <c r="AG32" s="74"/>
      <c r="AH32" s="74"/>
      <c r="AI32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32" s="72">
        <f>VLOOKUP(наценкад5[[#This Row],[№]],ППД5[],COLUMN(ППД5[[#This Row],[утв цена м2]]),0)</f>
        <v>144877.07999999999</v>
      </c>
      <c r="AK32" s="3">
        <f>наценкад5[[#This Row],[утв цена м2]]*наценкад5[[#This Row],[Расчетная проектная площадь]]</f>
        <v>5466212.2283999994</v>
      </c>
      <c r="AL32" s="22" t="str">
        <f>VLOOKUP(наценкад5[[#This Row],[№]],ППД5[],COLUMN('Реестр ОН'!$DF$1),0)</f>
        <v>Свободно</v>
      </c>
    </row>
    <row r="33" spans="1:38" hidden="1" x14ac:dyDescent="0.25">
      <c r="A33" s="101">
        <v>31</v>
      </c>
      <c r="B33" s="2" t="str">
        <f>_xlfn.XLOOKUP(наценкад5[[#This Row],[№]],ППД5[№],ППД5[Секция],"-",0)</f>
        <v>А</v>
      </c>
      <c r="C33" s="2">
        <f>_xlfn.XLOOKUP(наценкад5[[#This Row],[№]],ППД5[№],ППД5[Этаж],"-",0)</f>
        <v>5</v>
      </c>
      <c r="D33" s="2">
        <f>_xlfn.XLOOKUP(наценкад5[[#This Row],[№]],ППД5[№],ППД5[№ на этаже],"-",0)</f>
        <v>4</v>
      </c>
      <c r="E33" s="2">
        <f>_xlfn.XLOOKUP(наценкад5[[#This Row],[№]],ППД5[№],ППД5[Тип кв],"-",0)</f>
        <v>2</v>
      </c>
      <c r="F33" s="72">
        <f>_xlfn.XLOOKUP(наценкад5[[#This Row],[№]],ППД5[№],ППД5[Кухня],"-",0)</f>
        <v>14.58</v>
      </c>
      <c r="G33" s="72">
        <f>_xlfn.XLOOKUP(наценкад5[[#This Row],[№]],ППД5[№],ППД5[Ванная],"-",0)</f>
        <v>4.34</v>
      </c>
      <c r="H33" s="72">
        <f>_xlfn.XLOOKUP(наценкад5[[#This Row],[№]],ППД5[№],ППД5[Гардеробная],"-",0)</f>
        <v>0</v>
      </c>
      <c r="I33" s="72">
        <f>_xlfn.XLOOKUP(наценкад5[[#This Row],[№]],ППД5[№],ППД5[Лоджия 2],"-",0)</f>
        <v>0</v>
      </c>
      <c r="J33" s="72">
        <f>_xlfn.XLOOKUP(наценкад5[[#This Row],[№]],ППД5[№],ППД5[С\У],"-",0)</f>
        <v>2.08</v>
      </c>
      <c r="K33" s="72">
        <f>_xlfn.XLOOKUP(наценкад5[[#This Row],[№]],ППД5[№],ППД5[Расчетная проектная площадь],"-",0)</f>
        <v>59.09</v>
      </c>
      <c r="L33" s="12">
        <f t="shared" si="0"/>
        <v>63000</v>
      </c>
      <c r="M33" s="102">
        <f>коэффициенты!$F$2</f>
        <v>1.2257</v>
      </c>
      <c r="N33" s="13">
        <f>наценкад5[[#This Row],[Цена м2 базовая]]*наценкад5[[#This Row],[Базовой K]]</f>
        <v>77219.100000000006</v>
      </c>
      <c r="O33" s="74">
        <f>коэффициенты!$F$4</f>
        <v>1.4999999999999999E-2</v>
      </c>
      <c r="P33" s="74"/>
      <c r="Q33" s="76">
        <f>коэффициенты!$F$6</f>
        <v>0.02</v>
      </c>
      <c r="R33" s="76"/>
      <c r="S33" s="76">
        <f>коэффициенты!$F$9</f>
        <v>0</v>
      </c>
      <c r="T33" s="74"/>
      <c r="U33" s="74"/>
      <c r="V33" s="74"/>
      <c r="W33" s="74"/>
      <c r="X33" s="74"/>
      <c r="Y33" s="75"/>
      <c r="Z33" s="74"/>
      <c r="AA33" s="74"/>
      <c r="AB33" s="74"/>
      <c r="AC33" s="74"/>
      <c r="AD33" s="76">
        <f>коэффициенты!$F$19</f>
        <v>5.0000000000000001E-3</v>
      </c>
      <c r="AE33" s="76"/>
      <c r="AF33" s="76"/>
      <c r="AG33" s="74"/>
      <c r="AH33" s="74"/>
      <c r="AI33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33" s="72">
        <f>VLOOKUP(наценкад5[[#This Row],[№]],ППД5[],COLUMN(ППД5[[#This Row],[утв цена м2]]),0)</f>
        <v>80307.86</v>
      </c>
      <c r="AK33" s="3">
        <f>наценкад5[[#This Row],[утв цена м2]]*наценкад5[[#This Row],[Расчетная проектная площадь]]</f>
        <v>4745391.4473999999</v>
      </c>
      <c r="AL33" s="22" t="str">
        <f>VLOOKUP(наценкад5[[#This Row],[№]],ППД5[],COLUMN('Реестр ОН'!$DF$1),0)</f>
        <v>Продажа</v>
      </c>
    </row>
    <row r="34" spans="1:38" hidden="1" x14ac:dyDescent="0.25">
      <c r="A34" s="101">
        <v>32</v>
      </c>
      <c r="B34" s="2" t="str">
        <f>_xlfn.XLOOKUP(наценкад5[[#This Row],[№]],ППД5[№],ППД5[Секция],"-",0)</f>
        <v>А</v>
      </c>
      <c r="C34" s="2">
        <f>_xlfn.XLOOKUP(наценкад5[[#This Row],[№]],ППД5[№],ППД5[Этаж],"-",0)</f>
        <v>5</v>
      </c>
      <c r="D34" s="2">
        <f>_xlfn.XLOOKUP(наценкад5[[#This Row],[№]],ППД5[№],ППД5[№ на этаже],"-",0)</f>
        <v>5</v>
      </c>
      <c r="E34" s="2">
        <f>_xlfn.XLOOKUP(наценкад5[[#This Row],[№]],ППД5[№],ППД5[Тип кв],"-",0)</f>
        <v>2</v>
      </c>
      <c r="F34" s="72">
        <f>_xlfn.XLOOKUP(наценкад5[[#This Row],[№]],ППД5[№],ППД5[Кухня],"-",0)</f>
        <v>18</v>
      </c>
      <c r="G34" s="72">
        <f>_xlfn.XLOOKUP(наценкад5[[#This Row],[№]],ППД5[№],ППД5[Ванная],"-",0)</f>
        <v>4.3499999999999996</v>
      </c>
      <c r="H34" s="72">
        <f>_xlfn.XLOOKUP(наценкад5[[#This Row],[№]],ППД5[№],ППД5[Гардеробная],"-",0)</f>
        <v>0</v>
      </c>
      <c r="I34" s="72">
        <f>_xlfn.XLOOKUP(наценкад5[[#This Row],[№]],ППД5[№],ППД5[Лоджия 2],"-",0)</f>
        <v>0</v>
      </c>
      <c r="J34" s="72">
        <f>_xlfn.XLOOKUP(наценкад5[[#This Row],[№]],ППД5[№],ППД5[С\У],"-",0)</f>
        <v>1.55</v>
      </c>
      <c r="K34" s="72">
        <f>_xlfn.XLOOKUP(наценкад5[[#This Row],[№]],ППД5[№],ППД5[Расчетная проектная площадь],"-",0)</f>
        <v>62.17</v>
      </c>
      <c r="L34" s="12">
        <f t="shared" si="0"/>
        <v>63000</v>
      </c>
      <c r="M34" s="102">
        <f>коэффициенты!$F$2</f>
        <v>1.2257</v>
      </c>
      <c r="N34" s="13">
        <f>наценкад5[[#This Row],[Цена м2 базовая]]*наценкад5[[#This Row],[Базовой K]]</f>
        <v>77219.100000000006</v>
      </c>
      <c r="O34" s="74">
        <f>коэффициенты!$F$4</f>
        <v>1.4999999999999999E-2</v>
      </c>
      <c r="P34" s="74"/>
      <c r="Q34" s="76">
        <f>коэффициенты!$F$6</f>
        <v>0.02</v>
      </c>
      <c r="R34" s="76"/>
      <c r="S34" s="76">
        <f>коэффициенты!$F$9</f>
        <v>0</v>
      </c>
      <c r="T34" s="74"/>
      <c r="U34" s="74"/>
      <c r="V34" s="76"/>
      <c r="W34" s="74"/>
      <c r="X34" s="76"/>
      <c r="Y34" s="75"/>
      <c r="Z34" s="74"/>
      <c r="AA34" s="74"/>
      <c r="AB34" s="74"/>
      <c r="AC34" s="74"/>
      <c r="AD34" s="76">
        <f>коэффициенты!$F$19</f>
        <v>5.0000000000000001E-3</v>
      </c>
      <c r="AE34" s="76"/>
      <c r="AF34" s="76"/>
      <c r="AG34" s="74"/>
      <c r="AH34" s="74"/>
      <c r="AI34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34" s="72">
        <f>VLOOKUP(наценкад5[[#This Row],[№]],ППД5[],COLUMN(ППД5[[#This Row],[утв цена м2]]),0)</f>
        <v>101662.56</v>
      </c>
      <c r="AK34" s="3">
        <f>наценкад5[[#This Row],[утв цена м2]]*наценкад5[[#This Row],[Расчетная проектная площадь]]</f>
        <v>6320361.3552000001</v>
      </c>
      <c r="AL34" s="22" t="str">
        <f>VLOOKUP(наценкад5[[#This Row],[№]],ППД5[],COLUMN('Реестр ОН'!$DF$1),0)</f>
        <v>Продажа</v>
      </c>
    </row>
    <row r="35" spans="1:38" hidden="1" x14ac:dyDescent="0.25">
      <c r="A35" s="101">
        <v>33</v>
      </c>
      <c r="B35" s="2" t="str">
        <f>_xlfn.XLOOKUP(наценкад5[[#This Row],[№]],ППД5[№],ППД5[Секция],"-",0)</f>
        <v>А</v>
      </c>
      <c r="C35" s="2">
        <f>_xlfn.XLOOKUP(наценкад5[[#This Row],[№]],ППД5[№],ППД5[Этаж],"-",0)</f>
        <v>5</v>
      </c>
      <c r="D35" s="2">
        <f>_xlfn.XLOOKUP(наценкад5[[#This Row],[№]],ППД5[№],ППД5[№ на этаже],"-",0)</f>
        <v>6</v>
      </c>
      <c r="E35" s="2">
        <f>_xlfn.XLOOKUP(наценкад5[[#This Row],[№]],ППД5[№],ППД5[Тип кв],"-",0)</f>
        <v>2</v>
      </c>
      <c r="F35" s="72">
        <f>_xlfn.XLOOKUP(наценкад5[[#This Row],[№]],ППД5[№],ППД5[Кухня],"-",0)</f>
        <v>14.35</v>
      </c>
      <c r="G35" s="72">
        <f>_xlfn.XLOOKUP(наценкад5[[#This Row],[№]],ППД5[№],ППД5[Ванная],"-",0)</f>
        <v>4.16</v>
      </c>
      <c r="H35" s="72">
        <f>_xlfn.XLOOKUP(наценкад5[[#This Row],[№]],ППД5[№],ППД5[Гардеробная],"-",0)</f>
        <v>0</v>
      </c>
      <c r="I35" s="72">
        <f>_xlfn.XLOOKUP(наценкад5[[#This Row],[№]],ППД5[№],ППД5[Лоджия 2],"-",0)</f>
        <v>0</v>
      </c>
      <c r="J35" s="72">
        <f>_xlfn.XLOOKUP(наценкад5[[#This Row],[№]],ППД5[№],ППД5[С\У],"-",0)</f>
        <v>1.93</v>
      </c>
      <c r="K35" s="72">
        <f>_xlfn.XLOOKUP(наценкад5[[#This Row],[№]],ППД5[№],ППД5[Расчетная проектная площадь],"-",0)</f>
        <v>58.16</v>
      </c>
      <c r="L35" s="12">
        <f t="shared" si="0"/>
        <v>63000</v>
      </c>
      <c r="M35" s="102">
        <f>коэффициенты!$F$2</f>
        <v>1.2257</v>
      </c>
      <c r="N35" s="13">
        <f>наценкад5[[#This Row],[Цена м2 базовая]]*наценкад5[[#This Row],[Базовой K]]</f>
        <v>77219.100000000006</v>
      </c>
      <c r="O35" s="74">
        <f>коэффициенты!$F$4</f>
        <v>1.4999999999999999E-2</v>
      </c>
      <c r="P35" s="74"/>
      <c r="Q35" s="74">
        <f>коэффициенты!$E$6</f>
        <v>0.01</v>
      </c>
      <c r="R35" s="76"/>
      <c r="S35" s="76">
        <f>коэффициенты!$F$9</f>
        <v>0</v>
      </c>
      <c r="T35" s="74"/>
      <c r="U35" s="74"/>
      <c r="V35" s="74">
        <f>коэффициенты!$F$11</f>
        <v>5.0000000000000001E-3</v>
      </c>
      <c r="W35" s="74"/>
      <c r="X35" s="74">
        <f>коэффициенты!$F$13</f>
        <v>0.02</v>
      </c>
      <c r="Y35" s="75"/>
      <c r="Z35" s="74"/>
      <c r="AA35" s="74"/>
      <c r="AB35" s="74"/>
      <c r="AC35" s="74"/>
      <c r="AD35" s="76">
        <f>коэффициенты!$F$19</f>
        <v>5.0000000000000001E-3</v>
      </c>
      <c r="AE35" s="76"/>
      <c r="AF35" s="76"/>
      <c r="AG35" s="74"/>
      <c r="AH35" s="74"/>
      <c r="AI35" s="73">
        <f>SUM(наценкад5[[#This Row],[еврокухня]:[большая площадь]])*наценкад5[[#This Row],[Цена м2 с базовым K]]+наценкад5[[#This Row],[Цена м2 с базовым K]]</f>
        <v>81466.150500000003</v>
      </c>
      <c r="AJ35" s="72">
        <f>VLOOKUP(наценкад5[[#This Row],[№]],ППД5[],COLUMN(ППД5[[#This Row],[утв цена м2]]),0)</f>
        <v>97210.85</v>
      </c>
      <c r="AK35" s="3">
        <f>наценкад5[[#This Row],[утв цена м2]]*наценкад5[[#This Row],[Расчетная проектная площадь]]</f>
        <v>5653783.0360000003</v>
      </c>
      <c r="AL35" s="22" t="str">
        <f>VLOOKUP(наценкад5[[#This Row],[№]],ППД5[],COLUMN('Реестр ОН'!$DF$1),0)</f>
        <v>Продажа</v>
      </c>
    </row>
    <row r="36" spans="1:38" hidden="1" x14ac:dyDescent="0.25">
      <c r="A36" s="101">
        <v>34</v>
      </c>
      <c r="B36" s="2" t="str">
        <f>_xlfn.XLOOKUP(наценкад5[[#This Row],[№]],ППД5[№],ППД5[Секция],"-",0)</f>
        <v>А</v>
      </c>
      <c r="C36" s="2">
        <f>_xlfn.XLOOKUP(наценкад5[[#This Row],[№]],ППД5[№],ППД5[Этаж],"-",0)</f>
        <v>5</v>
      </c>
      <c r="D36" s="2">
        <f>_xlfn.XLOOKUP(наценкад5[[#This Row],[№]],ППД5[№],ППД5[№ на этаже],"-",0)</f>
        <v>7</v>
      </c>
      <c r="E36" s="2">
        <f>_xlfn.XLOOKUP(наценкад5[[#This Row],[№]],ППД5[№],ППД5[Тип кв],"-",0)</f>
        <v>1</v>
      </c>
      <c r="F36" s="72">
        <f>_xlfn.XLOOKUP(наценкад5[[#This Row],[№]],ППД5[№],ППД5[Кухня],"-",0)</f>
        <v>13.04</v>
      </c>
      <c r="G36" s="72">
        <f>_xlfn.XLOOKUP(наценкад5[[#This Row],[№]],ППД5[№],ППД5[Ванная],"-",0)</f>
        <v>3.9</v>
      </c>
      <c r="H36" s="72">
        <f>_xlfn.XLOOKUP(наценкад5[[#This Row],[№]],ППД5[№],ППД5[Гардеробная],"-",0)</f>
        <v>0</v>
      </c>
      <c r="I36" s="72">
        <f>_xlfn.XLOOKUP(наценкад5[[#This Row],[№]],ППД5[№],ППД5[Лоджия 2],"-",0)</f>
        <v>0</v>
      </c>
      <c r="J36" s="72">
        <f>_xlfn.XLOOKUP(наценкад5[[#This Row],[№]],ППД5[№],ППД5[С\У],"-",0)</f>
        <v>0</v>
      </c>
      <c r="K36" s="72">
        <f>_xlfn.XLOOKUP(наценкад5[[#This Row],[№]],ППД5[№],ППД5[Расчетная проектная площадь],"-",0)</f>
        <v>42.75</v>
      </c>
      <c r="L36" s="12">
        <f t="shared" si="0"/>
        <v>63000</v>
      </c>
      <c r="M36" s="102">
        <f>коэффициенты!$G$2</f>
        <v>1.2875000000000001</v>
      </c>
      <c r="N36" s="13">
        <f>наценкад5[[#This Row],[Цена м2 базовая]]*наценкад5[[#This Row],[Базовой K]]</f>
        <v>81112.5</v>
      </c>
      <c r="O36" s="74"/>
      <c r="P36" s="76">
        <f>коэффициенты!$G$5</f>
        <v>0.01</v>
      </c>
      <c r="Q36" s="74"/>
      <c r="R36" s="74"/>
      <c r="S36" s="74"/>
      <c r="T36" s="74"/>
      <c r="U36" s="74"/>
      <c r="V36" s="74">
        <f>коэффициенты!$G$11</f>
        <v>0.01</v>
      </c>
      <c r="W36" s="74"/>
      <c r="X36" s="74"/>
      <c r="Y36" s="75"/>
      <c r="Z36" s="74"/>
      <c r="AA36" s="76">
        <f>коэффициенты!$G$14</f>
        <v>0.01</v>
      </c>
      <c r="AB36" s="74"/>
      <c r="AC36" s="74"/>
      <c r="AD36" s="76">
        <f>коэффициенты!$G$19</f>
        <v>0.01</v>
      </c>
      <c r="AE36" s="76"/>
      <c r="AF36" s="76"/>
      <c r="AG36" s="74">
        <f>коэффициенты!$A$24</f>
        <v>-5.0000000000000001E-3</v>
      </c>
      <c r="AH36" s="74"/>
      <c r="AI36" s="73">
        <f>SUM(наценкад5[[#This Row],[еврокухня]:[большая площадь]])*наценкад5[[#This Row],[Цена м2 с базовым K]]+наценкад5[[#This Row],[Цена м2 с базовым K]]</f>
        <v>83951.4375</v>
      </c>
      <c r="AJ36" s="72">
        <f>VLOOKUP(наценкад5[[#This Row],[№]],ППД5[],COLUMN(ППД5[[#This Row],[утв цена м2]]),0)</f>
        <v>108299.19</v>
      </c>
      <c r="AK36" s="3">
        <f>наценкад5[[#This Row],[утв цена м2]]*наценкад5[[#This Row],[Расчетная проектная площадь]]</f>
        <v>4629790.3725000005</v>
      </c>
      <c r="AL36" s="22" t="str">
        <f>VLOOKUP(наценкад5[[#This Row],[№]],ППД5[],COLUMN('Реестр ОН'!$DF$1),0)</f>
        <v>Продажа</v>
      </c>
    </row>
    <row r="37" spans="1:38" hidden="1" x14ac:dyDescent="0.25">
      <c r="A37" s="101">
        <v>35</v>
      </c>
      <c r="B37" s="2" t="str">
        <f>_xlfn.XLOOKUP(наценкад5[[#This Row],[№]],ППД5[№],ППД5[Секция],"-",0)</f>
        <v>А</v>
      </c>
      <c r="C37" s="2">
        <f>_xlfn.XLOOKUP(наценкад5[[#This Row],[№]],ППД5[№],ППД5[Этаж],"-",0)</f>
        <v>6</v>
      </c>
      <c r="D37" s="2">
        <f>_xlfn.XLOOKUP(наценкад5[[#This Row],[№]],ППД5[№],ППД5[№ на этаже],"-",0)</f>
        <v>1</v>
      </c>
      <c r="E37" s="2">
        <f>_xlfn.XLOOKUP(наценкад5[[#This Row],[№]],ППД5[№],ППД5[Тип кв],"-",0)</f>
        <v>1</v>
      </c>
      <c r="F37" s="72">
        <f>_xlfn.XLOOKUP(наценкад5[[#This Row],[№]],ППД5[№],ППД5[Кухня],"-",0)</f>
        <v>9.84</v>
      </c>
      <c r="G37" s="72">
        <f>_xlfn.XLOOKUP(наценкад5[[#This Row],[№]],ППД5[№],ППД5[Ванная],"-",0)</f>
        <v>3.63</v>
      </c>
      <c r="H37" s="72">
        <f>_xlfn.XLOOKUP(наценкад5[[#This Row],[№]],ППД5[№],ППД5[Гардеробная],"-",0)</f>
        <v>0</v>
      </c>
      <c r="I37" s="72">
        <f>_xlfn.XLOOKUP(наценкад5[[#This Row],[№]],ППД5[№],ППД5[Лоджия 2],"-",0)</f>
        <v>0</v>
      </c>
      <c r="J37" s="72">
        <f>_xlfn.XLOOKUP(наценкад5[[#This Row],[№]],ППД5[№],ППД5[С\У],"-",0)</f>
        <v>0</v>
      </c>
      <c r="K37" s="72">
        <f>_xlfn.XLOOKUP(наценкад5[[#This Row],[№]],ППД5[№],ППД5[Расчетная проектная площадь],"-",0)</f>
        <v>34.39</v>
      </c>
      <c r="L37" s="12">
        <f t="shared" si="0"/>
        <v>63000</v>
      </c>
      <c r="M37" s="102">
        <f>коэффициенты!$G$2</f>
        <v>1.2875000000000001</v>
      </c>
      <c r="N37" s="13">
        <f>наценкад5[[#This Row],[Цена м2 базовая]]*наценкад5[[#This Row],[Базовой K]]</f>
        <v>81112.5</v>
      </c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5"/>
      <c r="Z37" s="74"/>
      <c r="AA37" s="76">
        <f>коэффициенты!$G$14</f>
        <v>0.01</v>
      </c>
      <c r="AB37" s="74"/>
      <c r="AC37" s="74"/>
      <c r="AD37" s="76">
        <f>коэффициенты!$G$19</f>
        <v>0.01</v>
      </c>
      <c r="AE37" s="76"/>
      <c r="AF37" s="76"/>
      <c r="AG37" s="74"/>
      <c r="AH37" s="74"/>
      <c r="AI37" s="73">
        <f>SUM(наценкад5[[#This Row],[еврокухня]:[большая площадь]])*наценкад5[[#This Row],[Цена м2 с базовым K]]+наценкад5[[#This Row],[Цена м2 с базовым K]]</f>
        <v>82734.75</v>
      </c>
      <c r="AJ37" s="72">
        <f>VLOOKUP(наценкад5[[#This Row],[№]],ППД5[],COLUMN(ППД5[[#This Row],[утв цена м2]]),0)</f>
        <v>148064.57</v>
      </c>
      <c r="AK37" s="3">
        <f>наценкад5[[#This Row],[утв цена м2]]*наценкад5[[#This Row],[Расчетная проектная площадь]]</f>
        <v>5091940.5623000003</v>
      </c>
      <c r="AL37" s="22" t="str">
        <f>VLOOKUP(наценкад5[[#This Row],[№]],ППД5[],COLUMN('Реестр ОН'!$DF$1),0)</f>
        <v>Продажа</v>
      </c>
    </row>
    <row r="38" spans="1:38" hidden="1" x14ac:dyDescent="0.25">
      <c r="A38" s="101">
        <v>36</v>
      </c>
      <c r="B38" s="2" t="str">
        <f>_xlfn.XLOOKUP(наценкад5[[#This Row],[№]],ППД5[№],ППД5[Секция],"-",0)</f>
        <v>А</v>
      </c>
      <c r="C38" s="2">
        <f>_xlfn.XLOOKUP(наценкад5[[#This Row],[№]],ППД5[№],ППД5[Этаж],"-",0)</f>
        <v>6</v>
      </c>
      <c r="D38" s="2">
        <f>_xlfn.XLOOKUP(наценкад5[[#This Row],[№]],ППД5[№],ППД5[№ на этаже],"-",0)</f>
        <v>2</v>
      </c>
      <c r="E38" s="2">
        <f>_xlfn.XLOOKUP(наценкад5[[#This Row],[№]],ППД5[№],ППД5[Тип кв],"-",0)</f>
        <v>2</v>
      </c>
      <c r="F38" s="72">
        <f>_xlfn.XLOOKUP(наценкад5[[#This Row],[№]],ППД5[№],ППД5[Кухня],"-",0)</f>
        <v>19.440000000000001</v>
      </c>
      <c r="G38" s="72">
        <f>_xlfn.XLOOKUP(наценкад5[[#This Row],[№]],ППД5[№],ППД5[Ванная],"-",0)</f>
        <v>4.42</v>
      </c>
      <c r="H38" s="72">
        <f>_xlfn.XLOOKUP(наценкад5[[#This Row],[№]],ППД5[№],ППД5[Гардеробная],"-",0)</f>
        <v>3.25</v>
      </c>
      <c r="I38" s="72">
        <f>_xlfn.XLOOKUP(наценкад5[[#This Row],[№]],ППД5[№],ППД5[Лоджия 2],"-",0)</f>
        <v>0</v>
      </c>
      <c r="J38" s="72">
        <f>_xlfn.XLOOKUP(наценкад5[[#This Row],[№]],ППД5[№],ППД5[С\У],"-",0)</f>
        <v>0</v>
      </c>
      <c r="K38" s="72">
        <f>_xlfn.XLOOKUP(наценкад5[[#This Row],[№]],ППД5[№],ППД5[Расчетная проектная площадь],"-",0)</f>
        <v>68.5</v>
      </c>
      <c r="L38" s="12">
        <f t="shared" si="0"/>
        <v>63000</v>
      </c>
      <c r="M38" s="102">
        <f>коэффициенты!$F$2</f>
        <v>1.2257</v>
      </c>
      <c r="N38" s="13">
        <f>наценкад5[[#This Row],[Цена м2 базовая]]*наценкад5[[#This Row],[Базовой K]]</f>
        <v>77219.100000000006</v>
      </c>
      <c r="O38" s="74">
        <f>коэффициенты!$F$4</f>
        <v>1.4999999999999999E-2</v>
      </c>
      <c r="P38" s="74"/>
      <c r="Q38" s="76">
        <f>коэффициенты!$F$6</f>
        <v>0.02</v>
      </c>
      <c r="R38" s="76"/>
      <c r="S38" s="76"/>
      <c r="T38" s="74"/>
      <c r="U38" s="74"/>
      <c r="V38" s="74">
        <f>коэффициенты!$F$11</f>
        <v>5.0000000000000001E-3</v>
      </c>
      <c r="W38" s="74"/>
      <c r="X38" s="74"/>
      <c r="Y38" s="75"/>
      <c r="Z38" s="74"/>
      <c r="AA38" s="74"/>
      <c r="AB38" s="76">
        <f>коэффициенты!$F$17</f>
        <v>0.05</v>
      </c>
      <c r="AC38" s="74"/>
      <c r="AD38" s="76"/>
      <c r="AE38" s="76"/>
      <c r="AF38" s="76"/>
      <c r="AG38" s="74"/>
      <c r="AH38" s="76"/>
      <c r="AI38" s="73">
        <f>SUM(наценкад5[[#This Row],[еврокухня]:[большая площадь]])*наценкад5[[#This Row],[Цена м2 с базовым K]]+наценкад5[[#This Row],[Цена м2 с базовым K]]</f>
        <v>84168.819000000003</v>
      </c>
      <c r="AJ38" s="72">
        <f>VLOOKUP(наценкад5[[#This Row],[№]],ППД5[],COLUMN(ППД5[[#This Row],[утв цена м2]]),0)</f>
        <v>100016.57</v>
      </c>
      <c r="AK38" s="3">
        <f>наценкад5[[#This Row],[утв цена м2]]*наценкад5[[#This Row],[Расчетная проектная площадь]]</f>
        <v>6851135.0450000009</v>
      </c>
      <c r="AL38" s="22" t="str">
        <f>VLOOKUP(наценкад5[[#This Row],[№]],ППД5[],COLUMN('Реестр ОН'!$DF$1),0)</f>
        <v>Продажа</v>
      </c>
    </row>
    <row r="39" spans="1:38" hidden="1" x14ac:dyDescent="0.25">
      <c r="A39" s="101">
        <v>37</v>
      </c>
      <c r="B39" s="2" t="str">
        <f>_xlfn.XLOOKUP(наценкад5[[#This Row],[№]],ППД5[№],ППД5[Секция],"-",0)</f>
        <v>А</v>
      </c>
      <c r="C39" s="2">
        <f>_xlfn.XLOOKUP(наценкад5[[#This Row],[№]],ППД5[№],ППД5[Этаж],"-",0)</f>
        <v>6</v>
      </c>
      <c r="D39" s="2">
        <f>_xlfn.XLOOKUP(наценкад5[[#This Row],[№]],ППД5[№],ППД5[№ на этаже],"-",0)</f>
        <v>3</v>
      </c>
      <c r="E39" s="2">
        <f>_xlfn.XLOOKUP(наценкад5[[#This Row],[№]],ППД5[№],ППД5[Тип кв],"-",0)</f>
        <v>1</v>
      </c>
      <c r="F39" s="72">
        <f>_xlfn.XLOOKUP(наценкад5[[#This Row],[№]],ППД5[№],ППД5[Кухня],"-",0)</f>
        <v>14.97</v>
      </c>
      <c r="G39" s="72">
        <f>_xlfn.XLOOKUP(наценкад5[[#This Row],[№]],ППД5[№],ППД5[Ванная],"-",0)</f>
        <v>4.1100000000000003</v>
      </c>
      <c r="H39" s="72">
        <f>_xlfn.XLOOKUP(наценкад5[[#This Row],[№]],ППД5[№],ППД5[Гардеробная],"-",0)</f>
        <v>0</v>
      </c>
      <c r="I39" s="72">
        <f>_xlfn.XLOOKUP(наценкад5[[#This Row],[№]],ППД5[№],ППД5[Лоджия 2],"-",0)</f>
        <v>0</v>
      </c>
      <c r="J39" s="72">
        <f>_xlfn.XLOOKUP(наценкад5[[#This Row],[№]],ППД5[№],ППД5[С\У],"-",0)</f>
        <v>0</v>
      </c>
      <c r="K39" s="72">
        <f>_xlfn.XLOOKUP(наценкад5[[#This Row],[№]],ППД5[№],ППД5[Расчетная проектная площадь],"-",0)</f>
        <v>37.729999999999997</v>
      </c>
      <c r="L39" s="12">
        <f t="shared" si="0"/>
        <v>63000</v>
      </c>
      <c r="M39" s="102">
        <f>коэффициенты!$G$2</f>
        <v>1.2875000000000001</v>
      </c>
      <c r="N39" s="13">
        <f>наценкад5[[#This Row],[Цена м2 базовая]]*наценкад5[[#This Row],[Базовой K]]</f>
        <v>81112.5</v>
      </c>
      <c r="O39" s="76">
        <f>коэффициенты!$G$4</f>
        <v>0.02</v>
      </c>
      <c r="P39" s="74"/>
      <c r="Q39" s="76">
        <f>коэффициенты!$G$6</f>
        <v>0.03</v>
      </c>
      <c r="R39" s="74"/>
      <c r="S39" s="74"/>
      <c r="T39" s="74"/>
      <c r="U39" s="74"/>
      <c r="V39" s="74"/>
      <c r="W39" s="74"/>
      <c r="X39" s="74">
        <f>коэффициенты!$G$13</f>
        <v>0.01</v>
      </c>
      <c r="Y39" s="75"/>
      <c r="Z39" s="74"/>
      <c r="AA39" s="76">
        <f>коэффициенты!$G$14</f>
        <v>0.01</v>
      </c>
      <c r="AB39" s="74"/>
      <c r="AC39" s="74"/>
      <c r="AD39" s="76">
        <f>коэффициенты!$G$19</f>
        <v>0.01</v>
      </c>
      <c r="AE39" s="76"/>
      <c r="AF39" s="76"/>
      <c r="AG39" s="74"/>
      <c r="AH39" s="74"/>
      <c r="AI39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39" s="72">
        <f>VLOOKUP(наценкад5[[#This Row],[№]],ППД5[],COLUMN(ППД5[[#This Row],[утв цена м2]]),0)</f>
        <v>87601.5</v>
      </c>
      <c r="AK39" s="3">
        <f>наценкад5[[#This Row],[утв цена м2]]*наценкад5[[#This Row],[Расчетная проектная площадь]]</f>
        <v>3305204.5949999997</v>
      </c>
      <c r="AL39" s="22" t="str">
        <f>VLOOKUP(наценкад5[[#This Row],[№]],ППД5[],COLUMN('Реестр ОН'!$DF$1),0)</f>
        <v>Продажа</v>
      </c>
    </row>
    <row r="40" spans="1:38" hidden="1" x14ac:dyDescent="0.25">
      <c r="A40" s="101">
        <v>38</v>
      </c>
      <c r="B40" s="2" t="str">
        <f>_xlfn.XLOOKUP(наценкад5[[#This Row],[№]],ППД5[№],ППД5[Секция],"-",0)</f>
        <v>А</v>
      </c>
      <c r="C40" s="2">
        <f>_xlfn.XLOOKUP(наценкад5[[#This Row],[№]],ППД5[№],ППД5[Этаж],"-",0)</f>
        <v>6</v>
      </c>
      <c r="D40" s="2">
        <f>_xlfn.XLOOKUP(наценкад5[[#This Row],[№]],ППД5[№],ППД5[№ на этаже],"-",0)</f>
        <v>4</v>
      </c>
      <c r="E40" s="2">
        <f>_xlfn.XLOOKUP(наценкад5[[#This Row],[№]],ППД5[№],ППД5[Тип кв],"-",0)</f>
        <v>2</v>
      </c>
      <c r="F40" s="72">
        <f>_xlfn.XLOOKUP(наценкад5[[#This Row],[№]],ППД5[№],ППД5[Кухня],"-",0)</f>
        <v>14.58</v>
      </c>
      <c r="G40" s="72">
        <f>_xlfn.XLOOKUP(наценкад5[[#This Row],[№]],ППД5[№],ППД5[Ванная],"-",0)</f>
        <v>4.34</v>
      </c>
      <c r="H40" s="72">
        <f>_xlfn.XLOOKUP(наценкад5[[#This Row],[№]],ППД5[№],ППД5[Гардеробная],"-",0)</f>
        <v>0</v>
      </c>
      <c r="I40" s="72">
        <f>_xlfn.XLOOKUP(наценкад5[[#This Row],[№]],ППД5[№],ППД5[Лоджия 2],"-",0)</f>
        <v>0</v>
      </c>
      <c r="J40" s="72">
        <f>_xlfn.XLOOKUP(наценкад5[[#This Row],[№]],ППД5[№],ППД5[С\У],"-",0)</f>
        <v>2.08</v>
      </c>
      <c r="K40" s="72">
        <f>_xlfn.XLOOKUP(наценкад5[[#This Row],[№]],ППД5[№],ППД5[Расчетная проектная площадь],"-",0)</f>
        <v>59.09</v>
      </c>
      <c r="L40" s="12">
        <f t="shared" si="0"/>
        <v>63000</v>
      </c>
      <c r="M40" s="102">
        <f>коэффициенты!$F$2</f>
        <v>1.2257</v>
      </c>
      <c r="N40" s="13">
        <f>наценкад5[[#This Row],[Цена м2 базовая]]*наценкад5[[#This Row],[Базовой K]]</f>
        <v>77219.100000000006</v>
      </c>
      <c r="O40" s="74">
        <f>коэффициенты!$F$4</f>
        <v>1.4999999999999999E-2</v>
      </c>
      <c r="P40" s="74"/>
      <c r="Q40" s="76">
        <f>коэффициенты!$F$6</f>
        <v>0.02</v>
      </c>
      <c r="R40" s="76"/>
      <c r="S40" s="76">
        <f>коэффициенты!$F$9</f>
        <v>0</v>
      </c>
      <c r="T40" s="74"/>
      <c r="U40" s="74"/>
      <c r="V40" s="74"/>
      <c r="W40" s="74"/>
      <c r="X40" s="74"/>
      <c r="Y40" s="75"/>
      <c r="Z40" s="74"/>
      <c r="AA40" s="74"/>
      <c r="AB40" s="74"/>
      <c r="AC40" s="74"/>
      <c r="AD40" s="76">
        <f>коэффициенты!$F$19</f>
        <v>5.0000000000000001E-3</v>
      </c>
      <c r="AE40" s="76"/>
      <c r="AF40" s="76"/>
      <c r="AG40" s="74"/>
      <c r="AH40" s="74"/>
      <c r="AI40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40" s="72">
        <f>VLOOKUP(наценкад5[[#This Row],[№]],ППД5[],COLUMN(ППД5[[#This Row],[утв цена м2]]),0)</f>
        <v>122412.25</v>
      </c>
      <c r="AK40" s="3">
        <f>наценкад5[[#This Row],[утв цена м2]]*наценкад5[[#This Row],[Расчетная проектная площадь]]</f>
        <v>7233339.8525</v>
      </c>
      <c r="AL40" s="22" t="str">
        <f>VLOOKUP(наценкад5[[#This Row],[№]],ППД5[],COLUMN('Реестр ОН'!$DF$1),0)</f>
        <v>Продажа</v>
      </c>
    </row>
    <row r="41" spans="1:38" hidden="1" x14ac:dyDescent="0.25">
      <c r="A41" s="101">
        <v>39</v>
      </c>
      <c r="B41" s="2" t="str">
        <f>_xlfn.XLOOKUP(наценкад5[[#This Row],[№]],ППД5[№],ППД5[Секция],"-",0)</f>
        <v>А</v>
      </c>
      <c r="C41" s="2">
        <f>_xlfn.XLOOKUP(наценкад5[[#This Row],[№]],ППД5[№],ППД5[Этаж],"-",0)</f>
        <v>6</v>
      </c>
      <c r="D41" s="2">
        <f>_xlfn.XLOOKUP(наценкад5[[#This Row],[№]],ППД5[№],ППД5[№ на этаже],"-",0)</f>
        <v>5</v>
      </c>
      <c r="E41" s="2">
        <f>_xlfn.XLOOKUP(наценкад5[[#This Row],[№]],ППД5[№],ППД5[Тип кв],"-",0)</f>
        <v>2</v>
      </c>
      <c r="F41" s="72">
        <f>_xlfn.XLOOKUP(наценкад5[[#This Row],[№]],ППД5[№],ППД5[Кухня],"-",0)</f>
        <v>18</v>
      </c>
      <c r="G41" s="72">
        <f>_xlfn.XLOOKUP(наценкад5[[#This Row],[№]],ППД5[№],ППД5[Ванная],"-",0)</f>
        <v>4.3499999999999996</v>
      </c>
      <c r="H41" s="72">
        <f>_xlfn.XLOOKUP(наценкад5[[#This Row],[№]],ППД5[№],ППД5[Гардеробная],"-",0)</f>
        <v>0</v>
      </c>
      <c r="I41" s="72">
        <f>_xlfn.XLOOKUP(наценкад5[[#This Row],[№]],ППД5[№],ППД5[Лоджия 2],"-",0)</f>
        <v>0</v>
      </c>
      <c r="J41" s="72">
        <f>_xlfn.XLOOKUP(наценкад5[[#This Row],[№]],ППД5[№],ППД5[С\У],"-",0)</f>
        <v>1.55</v>
      </c>
      <c r="K41" s="72">
        <f>_xlfn.XLOOKUP(наценкад5[[#This Row],[№]],ППД5[№],ППД5[Расчетная проектная площадь],"-",0)</f>
        <v>62.17</v>
      </c>
      <c r="L41" s="12">
        <f t="shared" si="0"/>
        <v>63000</v>
      </c>
      <c r="M41" s="102">
        <f>коэффициенты!$F$2</f>
        <v>1.2257</v>
      </c>
      <c r="N41" s="13">
        <f>наценкад5[[#This Row],[Цена м2 базовая]]*наценкад5[[#This Row],[Базовой K]]</f>
        <v>77219.100000000006</v>
      </c>
      <c r="O41" s="74">
        <f>коэффициенты!$F$4</f>
        <v>1.4999999999999999E-2</v>
      </c>
      <c r="P41" s="74"/>
      <c r="Q41" s="76">
        <f>коэффициенты!$F$6</f>
        <v>0.02</v>
      </c>
      <c r="R41" s="76"/>
      <c r="S41" s="76">
        <f>коэффициенты!$F$9</f>
        <v>0</v>
      </c>
      <c r="T41" s="74"/>
      <c r="U41" s="74"/>
      <c r="V41" s="76"/>
      <c r="W41" s="75"/>
      <c r="X41" s="76"/>
      <c r="Y41" s="75"/>
      <c r="Z41" s="74"/>
      <c r="AA41" s="74"/>
      <c r="AB41" s="74"/>
      <c r="AC41" s="74"/>
      <c r="AD41" s="76">
        <f>коэффициенты!$F$19</f>
        <v>5.0000000000000001E-3</v>
      </c>
      <c r="AE41" s="76"/>
      <c r="AF41" s="76"/>
      <c r="AG41" s="74"/>
      <c r="AH41" s="74"/>
      <c r="AI41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41" s="72">
        <f>VLOOKUP(наценкад5[[#This Row],[№]],ППД5[],COLUMN(ППД5[[#This Row],[утв цена м2]]),0)</f>
        <v>123623.9</v>
      </c>
      <c r="AK41" s="3">
        <f>наценкад5[[#This Row],[утв цена м2]]*наценкад5[[#This Row],[Расчетная проектная площадь]]</f>
        <v>7685697.8629999999</v>
      </c>
      <c r="AL41" s="22" t="str">
        <f>VLOOKUP(наценкад5[[#This Row],[№]],ППД5[],COLUMN('Реестр ОН'!$DF$1),0)</f>
        <v>Свободно</v>
      </c>
    </row>
    <row r="42" spans="1:38" hidden="1" x14ac:dyDescent="0.25">
      <c r="A42" s="101">
        <v>40</v>
      </c>
      <c r="B42" s="2" t="str">
        <f>_xlfn.XLOOKUP(наценкад5[[#This Row],[№]],ППД5[№],ППД5[Секция],"-",0)</f>
        <v>А</v>
      </c>
      <c r="C42" s="2">
        <f>_xlfn.XLOOKUP(наценкад5[[#This Row],[№]],ППД5[№],ППД5[Этаж],"-",0)</f>
        <v>6</v>
      </c>
      <c r="D42" s="2">
        <f>_xlfn.XLOOKUP(наценкад5[[#This Row],[№]],ППД5[№],ППД5[№ на этаже],"-",0)</f>
        <v>6</v>
      </c>
      <c r="E42" s="2">
        <f>_xlfn.XLOOKUP(наценкад5[[#This Row],[№]],ППД5[№],ППД5[Тип кв],"-",0)</f>
        <v>2</v>
      </c>
      <c r="F42" s="72">
        <f>_xlfn.XLOOKUP(наценкад5[[#This Row],[№]],ППД5[№],ППД5[Кухня],"-",0)</f>
        <v>14.35</v>
      </c>
      <c r="G42" s="72">
        <f>_xlfn.XLOOKUP(наценкад5[[#This Row],[№]],ППД5[№],ППД5[Ванная],"-",0)</f>
        <v>4.16</v>
      </c>
      <c r="H42" s="72">
        <f>_xlfn.XLOOKUP(наценкад5[[#This Row],[№]],ППД5[№],ППД5[Гардеробная],"-",0)</f>
        <v>0</v>
      </c>
      <c r="I42" s="72">
        <f>_xlfn.XLOOKUP(наценкад5[[#This Row],[№]],ППД5[№],ППД5[Лоджия 2],"-",0)</f>
        <v>0</v>
      </c>
      <c r="J42" s="72">
        <f>_xlfn.XLOOKUP(наценкад5[[#This Row],[№]],ППД5[№],ППД5[С\У],"-",0)</f>
        <v>1.93</v>
      </c>
      <c r="K42" s="72">
        <f>_xlfn.XLOOKUP(наценкад5[[#This Row],[№]],ППД5[№],ППД5[Расчетная проектная площадь],"-",0)</f>
        <v>58.16</v>
      </c>
      <c r="L42" s="12">
        <f t="shared" si="0"/>
        <v>63000</v>
      </c>
      <c r="M42" s="102">
        <f>коэффициенты!$F$2</f>
        <v>1.2257</v>
      </c>
      <c r="N42" s="13">
        <f>наценкад5[[#This Row],[Цена м2 базовая]]*наценкад5[[#This Row],[Базовой K]]</f>
        <v>77219.100000000006</v>
      </c>
      <c r="O42" s="74">
        <f>коэффициенты!$F$4</f>
        <v>1.4999999999999999E-2</v>
      </c>
      <c r="P42" s="74"/>
      <c r="Q42" s="74">
        <f>коэффициенты!$E$6</f>
        <v>0.01</v>
      </c>
      <c r="R42" s="76"/>
      <c r="S42" s="76">
        <f>коэффициенты!$F$9</f>
        <v>0</v>
      </c>
      <c r="T42" s="74"/>
      <c r="U42" s="74"/>
      <c r="V42" s="74">
        <f>коэффициенты!$F$11</f>
        <v>5.0000000000000001E-3</v>
      </c>
      <c r="W42" s="74"/>
      <c r="X42" s="74">
        <f>коэффициенты!$F$13</f>
        <v>0.02</v>
      </c>
      <c r="Y42" s="75"/>
      <c r="Z42" s="74"/>
      <c r="AA42" s="74"/>
      <c r="AB42" s="74"/>
      <c r="AC42" s="74"/>
      <c r="AD42" s="76">
        <f>коэффициенты!$F$19</f>
        <v>5.0000000000000001E-3</v>
      </c>
      <c r="AE42" s="76"/>
      <c r="AF42" s="76"/>
      <c r="AG42" s="74"/>
      <c r="AH42" s="74"/>
      <c r="AI42" s="73">
        <f>SUM(наценкад5[[#This Row],[еврокухня]:[большая площадь]])*наценкад5[[#This Row],[Цена м2 с базовым K]]+наценкад5[[#This Row],[Цена м2 с базовым K]]</f>
        <v>81466.150500000003</v>
      </c>
      <c r="AJ42" s="72">
        <f>VLOOKUP(наценкад5[[#This Row],[№]],ППД5[],COLUMN(ППД5[[#This Row],[утв цена м2]]),0)</f>
        <v>124765.16</v>
      </c>
      <c r="AK42" s="3">
        <f>наценкад5[[#This Row],[утв цена м2]]*наценкад5[[#This Row],[Расчетная проектная площадь]]</f>
        <v>7256341.7056</v>
      </c>
      <c r="AL42" s="22" t="str">
        <f>VLOOKUP(наценкад5[[#This Row],[№]],ППД5[],COLUMN('Реестр ОН'!$DF$1),0)</f>
        <v>Продажа</v>
      </c>
    </row>
    <row r="43" spans="1:38" hidden="1" x14ac:dyDescent="0.25">
      <c r="A43" s="101">
        <v>41</v>
      </c>
      <c r="B43" s="2" t="str">
        <f>_xlfn.XLOOKUP(наценкад5[[#This Row],[№]],ППД5[№],ППД5[Секция],"-",0)</f>
        <v>А</v>
      </c>
      <c r="C43" s="2">
        <f>_xlfn.XLOOKUP(наценкад5[[#This Row],[№]],ППД5[№],ППД5[Этаж],"-",0)</f>
        <v>6</v>
      </c>
      <c r="D43" s="2">
        <f>_xlfn.XLOOKUP(наценкад5[[#This Row],[№]],ППД5[№],ППД5[№ на этаже],"-",0)</f>
        <v>7</v>
      </c>
      <c r="E43" s="2">
        <f>_xlfn.XLOOKUP(наценкад5[[#This Row],[№]],ППД5[№],ППД5[Тип кв],"-",0)</f>
        <v>1</v>
      </c>
      <c r="F43" s="72">
        <f>_xlfn.XLOOKUP(наценкад5[[#This Row],[№]],ППД5[№],ППД5[Кухня],"-",0)</f>
        <v>13.04</v>
      </c>
      <c r="G43" s="72">
        <f>_xlfn.XLOOKUP(наценкад5[[#This Row],[№]],ППД5[№],ППД5[Ванная],"-",0)</f>
        <v>3.9</v>
      </c>
      <c r="H43" s="72">
        <f>_xlfn.XLOOKUP(наценкад5[[#This Row],[№]],ППД5[№],ППД5[Гардеробная],"-",0)</f>
        <v>0</v>
      </c>
      <c r="I43" s="72">
        <f>_xlfn.XLOOKUP(наценкад5[[#This Row],[№]],ППД5[№],ППД5[Лоджия 2],"-",0)</f>
        <v>0</v>
      </c>
      <c r="J43" s="72">
        <f>_xlfn.XLOOKUP(наценкад5[[#This Row],[№]],ППД5[№],ППД5[С\У],"-",0)</f>
        <v>0</v>
      </c>
      <c r="K43" s="72">
        <f>_xlfn.XLOOKUP(наценкад5[[#This Row],[№]],ППД5[№],ППД5[Расчетная проектная площадь],"-",0)</f>
        <v>42.75</v>
      </c>
      <c r="L43" s="12">
        <f t="shared" si="0"/>
        <v>63000</v>
      </c>
      <c r="M43" s="102">
        <f>коэффициенты!$G$2</f>
        <v>1.2875000000000001</v>
      </c>
      <c r="N43" s="13">
        <f>наценкад5[[#This Row],[Цена м2 базовая]]*наценкад5[[#This Row],[Базовой K]]</f>
        <v>81112.5</v>
      </c>
      <c r="O43" s="74"/>
      <c r="P43" s="76">
        <f>коэффициенты!$G$5</f>
        <v>0.01</v>
      </c>
      <c r="Q43" s="74"/>
      <c r="R43" s="74"/>
      <c r="S43" s="74"/>
      <c r="T43" s="74"/>
      <c r="U43" s="74"/>
      <c r="V43" s="74">
        <f>коэффициенты!$G$11</f>
        <v>0.01</v>
      </c>
      <c r="W43" s="75"/>
      <c r="X43" s="74"/>
      <c r="Y43" s="75"/>
      <c r="Z43" s="74"/>
      <c r="AA43" s="76">
        <f>коэффициенты!$G$14</f>
        <v>0.01</v>
      </c>
      <c r="AB43" s="74"/>
      <c r="AC43" s="74"/>
      <c r="AD43" s="76">
        <f>коэффициенты!$G$19</f>
        <v>0.01</v>
      </c>
      <c r="AE43" s="76"/>
      <c r="AF43" s="76"/>
      <c r="AG43" s="74">
        <f>коэффициенты!$A$24</f>
        <v>-5.0000000000000001E-3</v>
      </c>
      <c r="AH43" s="74"/>
      <c r="AI43" s="73">
        <f>SUM(наценкад5[[#This Row],[еврокухня]:[большая площадь]])*наценкад5[[#This Row],[Цена м2 с базовым K]]+наценкад5[[#This Row],[Цена м2 с базовым K]]</f>
        <v>83951.4375</v>
      </c>
      <c r="AJ43" s="72">
        <f>VLOOKUP(наценкад5[[#This Row],[№]],ППД5[],COLUMN(ППД5[[#This Row],[утв цена м2]]),0)</f>
        <v>108299.19</v>
      </c>
      <c r="AK43" s="3">
        <f>наценкад5[[#This Row],[утв цена м2]]*наценкад5[[#This Row],[Расчетная проектная площадь]]</f>
        <v>4629790.3725000005</v>
      </c>
      <c r="AL43" s="22" t="str">
        <f>VLOOKUP(наценкад5[[#This Row],[№]],ППД5[],COLUMN('Реестр ОН'!$DF$1),0)</f>
        <v>Продажа</v>
      </c>
    </row>
    <row r="44" spans="1:38" hidden="1" x14ac:dyDescent="0.25">
      <c r="A44" s="101">
        <v>42</v>
      </c>
      <c r="B44" s="2" t="str">
        <f>_xlfn.XLOOKUP(наценкад5[[#This Row],[№]],ППД5[№],ППД5[Секция],"-",0)</f>
        <v>А</v>
      </c>
      <c r="C44" s="2">
        <f>_xlfn.XLOOKUP(наценкад5[[#This Row],[№]],ППД5[№],ППД5[Этаж],"-",0)</f>
        <v>7</v>
      </c>
      <c r="D44" s="2">
        <f>_xlfn.XLOOKUP(наценкад5[[#This Row],[№]],ППД5[№],ППД5[№ на этаже],"-",0)</f>
        <v>1</v>
      </c>
      <c r="E44" s="2">
        <f>_xlfn.XLOOKUP(наценкад5[[#This Row],[№]],ППД5[№],ППД5[Тип кв],"-",0)</f>
        <v>1</v>
      </c>
      <c r="F44" s="72">
        <f>_xlfn.XLOOKUP(наценкад5[[#This Row],[№]],ППД5[№],ППД5[Кухня],"-",0)</f>
        <v>9.84</v>
      </c>
      <c r="G44" s="72">
        <f>_xlfn.XLOOKUP(наценкад5[[#This Row],[№]],ППД5[№],ППД5[Ванная],"-",0)</f>
        <v>3.63</v>
      </c>
      <c r="H44" s="72">
        <f>_xlfn.XLOOKUP(наценкад5[[#This Row],[№]],ППД5[№],ППД5[Гардеробная],"-",0)</f>
        <v>0</v>
      </c>
      <c r="I44" s="72">
        <f>_xlfn.XLOOKUP(наценкад5[[#This Row],[№]],ППД5[№],ППД5[Лоджия 2],"-",0)</f>
        <v>0</v>
      </c>
      <c r="J44" s="72">
        <f>_xlfn.XLOOKUP(наценкад5[[#This Row],[№]],ППД5[№],ППД5[С\У],"-",0)</f>
        <v>0</v>
      </c>
      <c r="K44" s="72">
        <f>_xlfn.XLOOKUP(наценкад5[[#This Row],[№]],ППД5[№],ППД5[Расчетная проектная площадь],"-",0)</f>
        <v>34.39</v>
      </c>
      <c r="L44" s="12">
        <f t="shared" si="0"/>
        <v>63000</v>
      </c>
      <c r="M44" s="102">
        <f>коэффициенты!$G$2</f>
        <v>1.2875000000000001</v>
      </c>
      <c r="N44" s="13">
        <f>наценкад5[[#This Row],[Цена м2 базовая]]*наценкад5[[#This Row],[Базовой K]]</f>
        <v>81112.5</v>
      </c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5"/>
      <c r="Z44" s="74"/>
      <c r="AA44" s="76">
        <f>коэффициенты!$G$14</f>
        <v>0.01</v>
      </c>
      <c r="AB44" s="74"/>
      <c r="AC44" s="74"/>
      <c r="AD44" s="76">
        <f>коэффициенты!$G$19</f>
        <v>0.01</v>
      </c>
      <c r="AE44" s="76"/>
      <c r="AF44" s="76"/>
      <c r="AG44" s="74"/>
      <c r="AH44" s="74"/>
      <c r="AI44" s="73">
        <f>SUM(наценкад5[[#This Row],[еврокухня]:[большая площадь]])*наценкад5[[#This Row],[Цена м2 с базовым K]]+наценкад5[[#This Row],[Цена м2 с базовым K]]</f>
        <v>82734.75</v>
      </c>
      <c r="AJ44" s="72">
        <f>VLOOKUP(наценкад5[[#This Row],[№]],ППД5[],COLUMN(ППД5[[#This Row],[утв цена м2]]),0)</f>
        <v>113584.56</v>
      </c>
      <c r="AK44" s="3">
        <f>наценкад5[[#This Row],[утв цена м2]]*наценкад5[[#This Row],[Расчетная проектная площадь]]</f>
        <v>3906173.0183999999</v>
      </c>
      <c r="AL44" s="22" t="str">
        <f>VLOOKUP(наценкад5[[#This Row],[№]],ППД5[],COLUMN('Реестр ОН'!$DF$1),0)</f>
        <v>Продажа</v>
      </c>
    </row>
    <row r="45" spans="1:38" hidden="1" x14ac:dyDescent="0.25">
      <c r="A45" s="101">
        <v>43</v>
      </c>
      <c r="B45" s="2" t="str">
        <f>_xlfn.XLOOKUP(наценкад5[[#This Row],[№]],ППД5[№],ППД5[Секция],"-",0)</f>
        <v>А</v>
      </c>
      <c r="C45" s="2">
        <f>_xlfn.XLOOKUP(наценкад5[[#This Row],[№]],ППД5[№],ППД5[Этаж],"-",0)</f>
        <v>7</v>
      </c>
      <c r="D45" s="2">
        <f>_xlfn.XLOOKUP(наценкад5[[#This Row],[№]],ППД5[№],ППД5[№ на этаже],"-",0)</f>
        <v>2</v>
      </c>
      <c r="E45" s="2">
        <f>_xlfn.XLOOKUP(наценкад5[[#This Row],[№]],ППД5[№],ППД5[Тип кв],"-",0)</f>
        <v>2</v>
      </c>
      <c r="F45" s="72">
        <f>_xlfn.XLOOKUP(наценкад5[[#This Row],[№]],ППД5[№],ППД5[Кухня],"-",0)</f>
        <v>19.440000000000001</v>
      </c>
      <c r="G45" s="72">
        <f>_xlfn.XLOOKUP(наценкад5[[#This Row],[№]],ППД5[№],ППД5[Ванная],"-",0)</f>
        <v>4.42</v>
      </c>
      <c r="H45" s="72">
        <f>_xlfn.XLOOKUP(наценкад5[[#This Row],[№]],ППД5[№],ППД5[Гардеробная],"-",0)</f>
        <v>3.25</v>
      </c>
      <c r="I45" s="72">
        <f>_xlfn.XLOOKUP(наценкад5[[#This Row],[№]],ППД5[№],ППД5[Лоджия 2],"-",0)</f>
        <v>0</v>
      </c>
      <c r="J45" s="72">
        <f>_xlfn.XLOOKUP(наценкад5[[#This Row],[№]],ППД5[№],ППД5[С\У],"-",0)</f>
        <v>0</v>
      </c>
      <c r="K45" s="72">
        <f>_xlfn.XLOOKUP(наценкад5[[#This Row],[№]],ППД5[№],ППД5[Расчетная проектная площадь],"-",0)</f>
        <v>68.5</v>
      </c>
      <c r="L45" s="12">
        <f t="shared" si="0"/>
        <v>63000</v>
      </c>
      <c r="M45" s="102">
        <f>коэффициенты!$F$2</f>
        <v>1.2257</v>
      </c>
      <c r="N45" s="13">
        <f>наценкад5[[#This Row],[Цена м2 базовая]]*наценкад5[[#This Row],[Базовой K]]</f>
        <v>77219.100000000006</v>
      </c>
      <c r="O45" s="74">
        <f>коэффициенты!$F$4</f>
        <v>1.4999999999999999E-2</v>
      </c>
      <c r="P45" s="74"/>
      <c r="Q45" s="76">
        <f>коэффициенты!$F$6</f>
        <v>0.02</v>
      </c>
      <c r="R45" s="76"/>
      <c r="S45" s="76"/>
      <c r="T45" s="74"/>
      <c r="U45" s="74"/>
      <c r="V45" s="74">
        <f>коэффициенты!$F$11</f>
        <v>5.0000000000000001E-3</v>
      </c>
      <c r="W45" s="74"/>
      <c r="X45" s="74"/>
      <c r="Y45" s="75"/>
      <c r="Z45" s="74"/>
      <c r="AA45" s="74"/>
      <c r="AB45" s="76">
        <f>коэффициенты!$F$17</f>
        <v>0.05</v>
      </c>
      <c r="AC45" s="74"/>
      <c r="AD45" s="76"/>
      <c r="AE45" s="76"/>
      <c r="AF45" s="76"/>
      <c r="AG45" s="74"/>
      <c r="AH45" s="76"/>
      <c r="AI45" s="73">
        <f>SUM(наценкад5[[#This Row],[еврокухня]:[большая площадь]])*наценкад5[[#This Row],[Цена м2 с базовым K]]+наценкад5[[#This Row],[Цена м2 с базовым K]]</f>
        <v>84168.819000000003</v>
      </c>
      <c r="AJ45" s="72">
        <f>VLOOKUP(наценкад5[[#This Row],[№]],ППД5[],COLUMN(ППД5[[#This Row],[утв цена м2]]),0)</f>
        <v>119834.85</v>
      </c>
      <c r="AK45" s="3">
        <f>наценкад5[[#This Row],[утв цена м2]]*наценкад5[[#This Row],[Расчетная проектная площадь]]</f>
        <v>8208687.2250000006</v>
      </c>
      <c r="AL45" s="22" t="str">
        <f>VLOOKUP(наценкад5[[#This Row],[№]],ППД5[],COLUMN('Реестр ОН'!$DF$1),0)</f>
        <v>Свободно</v>
      </c>
    </row>
    <row r="46" spans="1:38" hidden="1" x14ac:dyDescent="0.25">
      <c r="A46" s="101">
        <v>44</v>
      </c>
      <c r="B46" s="2" t="str">
        <f>_xlfn.XLOOKUP(наценкад5[[#This Row],[№]],ППД5[№],ППД5[Секция],"-",0)</f>
        <v>А</v>
      </c>
      <c r="C46" s="2">
        <f>_xlfn.XLOOKUP(наценкад5[[#This Row],[№]],ППД5[№],ППД5[Этаж],"-",0)</f>
        <v>7</v>
      </c>
      <c r="D46" s="2">
        <f>_xlfn.XLOOKUP(наценкад5[[#This Row],[№]],ППД5[№],ППД5[№ на этаже],"-",0)</f>
        <v>3</v>
      </c>
      <c r="E46" s="2">
        <f>_xlfn.XLOOKUP(наценкад5[[#This Row],[№]],ППД5[№],ППД5[Тип кв],"-",0)</f>
        <v>1</v>
      </c>
      <c r="F46" s="72">
        <f>_xlfn.XLOOKUP(наценкад5[[#This Row],[№]],ППД5[№],ППД5[Кухня],"-",0)</f>
        <v>14.97</v>
      </c>
      <c r="G46" s="72">
        <f>_xlfn.XLOOKUP(наценкад5[[#This Row],[№]],ППД5[№],ППД5[Ванная],"-",0)</f>
        <v>4.1100000000000003</v>
      </c>
      <c r="H46" s="72">
        <f>_xlfn.XLOOKUP(наценкад5[[#This Row],[№]],ППД5[№],ППД5[Гардеробная],"-",0)</f>
        <v>0</v>
      </c>
      <c r="I46" s="72">
        <f>_xlfn.XLOOKUP(наценкад5[[#This Row],[№]],ППД5[№],ППД5[Лоджия 2],"-",0)</f>
        <v>0</v>
      </c>
      <c r="J46" s="72">
        <f>_xlfn.XLOOKUP(наценкад5[[#This Row],[№]],ППД5[№],ППД5[С\У],"-",0)</f>
        <v>0</v>
      </c>
      <c r="K46" s="72">
        <f>_xlfn.XLOOKUP(наценкад5[[#This Row],[№]],ППД5[№],ППД5[Расчетная проектная площадь],"-",0)</f>
        <v>37.729999999999997</v>
      </c>
      <c r="L46" s="12">
        <f t="shared" si="0"/>
        <v>63000</v>
      </c>
      <c r="M46" s="102">
        <f>коэффициенты!$G$2</f>
        <v>1.2875000000000001</v>
      </c>
      <c r="N46" s="13">
        <f>наценкад5[[#This Row],[Цена м2 базовая]]*наценкад5[[#This Row],[Базовой K]]</f>
        <v>81112.5</v>
      </c>
      <c r="O46" s="76">
        <f>коэффициенты!$G$4</f>
        <v>0.02</v>
      </c>
      <c r="P46" s="74"/>
      <c r="Q46" s="76">
        <f>коэффициенты!$G$6</f>
        <v>0.03</v>
      </c>
      <c r="R46" s="74"/>
      <c r="S46" s="74"/>
      <c r="T46" s="74"/>
      <c r="U46" s="74"/>
      <c r="V46" s="74"/>
      <c r="W46" s="74"/>
      <c r="X46" s="74">
        <f>коэффициенты!$G$13</f>
        <v>0.01</v>
      </c>
      <c r="Y46" s="75"/>
      <c r="Z46" s="74"/>
      <c r="AA46" s="76">
        <f>коэффициенты!$G$14</f>
        <v>0.01</v>
      </c>
      <c r="AB46" s="74"/>
      <c r="AC46" s="74"/>
      <c r="AD46" s="76">
        <f>коэффициенты!$G$19</f>
        <v>0.01</v>
      </c>
      <c r="AE46" s="76"/>
      <c r="AF46" s="76"/>
      <c r="AG46" s="74"/>
      <c r="AH46" s="74"/>
      <c r="AI46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46" s="72">
        <f>VLOOKUP(наценкад5[[#This Row],[№]],ППД5[],COLUMN(ППД5[[#This Row],[утв цена м2]]),0)</f>
        <v>112881.25</v>
      </c>
      <c r="AK46" s="3">
        <f>наценкад5[[#This Row],[утв цена м2]]*наценкад5[[#This Row],[Расчетная проектная площадь]]</f>
        <v>4259009.5625</v>
      </c>
      <c r="AL46" s="22" t="str">
        <f>VLOOKUP(наценкад5[[#This Row],[№]],ППД5[],COLUMN('Реестр ОН'!$DF$1),0)</f>
        <v>Продажа</v>
      </c>
    </row>
    <row r="47" spans="1:38" hidden="1" x14ac:dyDescent="0.25">
      <c r="A47" s="101">
        <v>45</v>
      </c>
      <c r="B47" s="2" t="str">
        <f>_xlfn.XLOOKUP(наценкад5[[#This Row],[№]],ППД5[№],ППД5[Секция],"-",0)</f>
        <v>А</v>
      </c>
      <c r="C47" s="2">
        <f>_xlfn.XLOOKUP(наценкад5[[#This Row],[№]],ППД5[№],ППД5[Этаж],"-",0)</f>
        <v>7</v>
      </c>
      <c r="D47" s="2">
        <f>_xlfn.XLOOKUP(наценкад5[[#This Row],[№]],ППД5[№],ППД5[№ на этаже],"-",0)</f>
        <v>4</v>
      </c>
      <c r="E47" s="2">
        <f>_xlfn.XLOOKUP(наценкад5[[#This Row],[№]],ППД5[№],ППД5[Тип кв],"-",0)</f>
        <v>2</v>
      </c>
      <c r="F47" s="72">
        <f>_xlfn.XLOOKUP(наценкад5[[#This Row],[№]],ППД5[№],ППД5[Кухня],"-",0)</f>
        <v>14.58</v>
      </c>
      <c r="G47" s="72">
        <f>_xlfn.XLOOKUP(наценкад5[[#This Row],[№]],ППД5[№],ППД5[Ванная],"-",0)</f>
        <v>4.34</v>
      </c>
      <c r="H47" s="72">
        <f>_xlfn.XLOOKUP(наценкад5[[#This Row],[№]],ППД5[№],ППД5[Гардеробная],"-",0)</f>
        <v>0</v>
      </c>
      <c r="I47" s="72">
        <f>_xlfn.XLOOKUP(наценкад5[[#This Row],[№]],ППД5[№],ППД5[Лоджия 2],"-",0)</f>
        <v>0</v>
      </c>
      <c r="J47" s="72">
        <f>_xlfn.XLOOKUP(наценкад5[[#This Row],[№]],ППД5[№],ППД5[С\У],"-",0)</f>
        <v>2.08</v>
      </c>
      <c r="K47" s="72">
        <f>_xlfn.XLOOKUP(наценкад5[[#This Row],[№]],ППД5[№],ППД5[Расчетная проектная площадь],"-",0)</f>
        <v>59.09</v>
      </c>
      <c r="L47" s="12">
        <f t="shared" si="0"/>
        <v>63000</v>
      </c>
      <c r="M47" s="102">
        <f>коэффициенты!$F$2</f>
        <v>1.2257</v>
      </c>
      <c r="N47" s="13">
        <f>наценкад5[[#This Row],[Цена м2 базовая]]*наценкад5[[#This Row],[Базовой K]]</f>
        <v>77219.100000000006</v>
      </c>
      <c r="O47" s="74">
        <f>коэффициенты!$F$4</f>
        <v>1.4999999999999999E-2</v>
      </c>
      <c r="P47" s="74"/>
      <c r="Q47" s="76">
        <f>коэффициенты!$F$6</f>
        <v>0.02</v>
      </c>
      <c r="R47" s="76"/>
      <c r="S47" s="76">
        <f>коэффициенты!$F$9</f>
        <v>0</v>
      </c>
      <c r="T47" s="74"/>
      <c r="U47" s="74"/>
      <c r="V47" s="74"/>
      <c r="W47" s="75"/>
      <c r="X47" s="74"/>
      <c r="Y47" s="75"/>
      <c r="Z47" s="74"/>
      <c r="AA47" s="74"/>
      <c r="AB47" s="74"/>
      <c r="AC47" s="74"/>
      <c r="AD47" s="76">
        <f>коэффициенты!$F$19</f>
        <v>5.0000000000000001E-3</v>
      </c>
      <c r="AE47" s="76"/>
      <c r="AF47" s="76"/>
      <c r="AG47" s="74"/>
      <c r="AH47" s="74"/>
      <c r="AI47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47" s="72">
        <f>VLOOKUP(наценкад5[[#This Row],[№]],ППД5[],COLUMN(ППД5[[#This Row],[утв цена м2]]),0)</f>
        <v>93949.71</v>
      </c>
      <c r="AK47" s="3">
        <f>наценкад5[[#This Row],[утв цена м2]]*наценкад5[[#This Row],[Расчетная проектная площадь]]</f>
        <v>5551488.3639000012</v>
      </c>
      <c r="AL47" s="22" t="str">
        <f>VLOOKUP(наценкад5[[#This Row],[№]],ППД5[],COLUMN('Реестр ОН'!$DF$1),0)</f>
        <v>Продажа</v>
      </c>
    </row>
    <row r="48" spans="1:38" hidden="1" x14ac:dyDescent="0.25">
      <c r="A48" s="101">
        <v>46</v>
      </c>
      <c r="B48" s="2" t="str">
        <f>_xlfn.XLOOKUP(наценкад5[[#This Row],[№]],ППД5[№],ППД5[Секция],"-",0)</f>
        <v>А</v>
      </c>
      <c r="C48" s="2">
        <f>_xlfn.XLOOKUP(наценкад5[[#This Row],[№]],ППД5[№],ППД5[Этаж],"-",0)</f>
        <v>7</v>
      </c>
      <c r="D48" s="2">
        <f>_xlfn.XLOOKUP(наценкад5[[#This Row],[№]],ППД5[№],ППД5[№ на этаже],"-",0)</f>
        <v>5</v>
      </c>
      <c r="E48" s="2">
        <f>_xlfn.XLOOKUP(наценкад5[[#This Row],[№]],ППД5[№],ППД5[Тип кв],"-",0)</f>
        <v>2</v>
      </c>
      <c r="F48" s="72">
        <f>_xlfn.XLOOKUP(наценкад5[[#This Row],[№]],ППД5[№],ППД5[Кухня],"-",0)</f>
        <v>18</v>
      </c>
      <c r="G48" s="72">
        <f>_xlfn.XLOOKUP(наценкад5[[#This Row],[№]],ППД5[№],ППД5[Ванная],"-",0)</f>
        <v>4.3499999999999996</v>
      </c>
      <c r="H48" s="72">
        <f>_xlfn.XLOOKUP(наценкад5[[#This Row],[№]],ППД5[№],ППД5[Гардеробная],"-",0)</f>
        <v>0</v>
      </c>
      <c r="I48" s="72">
        <f>_xlfn.XLOOKUP(наценкад5[[#This Row],[№]],ППД5[№],ППД5[Лоджия 2],"-",0)</f>
        <v>0</v>
      </c>
      <c r="J48" s="72">
        <f>_xlfn.XLOOKUP(наценкад5[[#This Row],[№]],ППД5[№],ППД5[С\У],"-",0)</f>
        <v>1.55</v>
      </c>
      <c r="K48" s="72">
        <f>_xlfn.XLOOKUP(наценкад5[[#This Row],[№]],ППД5[№],ППД5[Расчетная проектная площадь],"-",0)</f>
        <v>62.17</v>
      </c>
      <c r="L48" s="12">
        <f t="shared" si="0"/>
        <v>63000</v>
      </c>
      <c r="M48" s="102">
        <f>коэффициенты!$F$2</f>
        <v>1.2257</v>
      </c>
      <c r="N48" s="13">
        <f>наценкад5[[#This Row],[Цена м2 базовая]]*наценкад5[[#This Row],[Базовой K]]</f>
        <v>77219.100000000006</v>
      </c>
      <c r="O48" s="74">
        <f>коэффициенты!$F$4</f>
        <v>1.4999999999999999E-2</v>
      </c>
      <c r="P48" s="74"/>
      <c r="Q48" s="76">
        <f>коэффициенты!$F$6</f>
        <v>0.02</v>
      </c>
      <c r="R48" s="76"/>
      <c r="S48" s="76">
        <f>коэффициенты!$F$9</f>
        <v>0</v>
      </c>
      <c r="T48" s="74"/>
      <c r="U48" s="74"/>
      <c r="V48" s="76"/>
      <c r="W48" s="74"/>
      <c r="X48" s="76"/>
      <c r="Y48" s="75"/>
      <c r="Z48" s="74"/>
      <c r="AA48" s="74"/>
      <c r="AB48" s="74"/>
      <c r="AC48" s="74"/>
      <c r="AD48" s="76">
        <f>коэффициенты!$F$19</f>
        <v>5.0000000000000001E-3</v>
      </c>
      <c r="AE48" s="76"/>
      <c r="AF48" s="76"/>
      <c r="AG48" s="74"/>
      <c r="AH48" s="74"/>
      <c r="AI48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48" s="72">
        <f>VLOOKUP(наценкад5[[#This Row],[№]],ППД5[],COLUMN(ППД5[[#This Row],[утв цена м2]]),0)</f>
        <v>86852.95</v>
      </c>
      <c r="AK48" s="3">
        <f>наценкад5[[#This Row],[утв цена м2]]*наценкад5[[#This Row],[Расчетная проектная площадь]]</f>
        <v>5399647.9014999997</v>
      </c>
      <c r="AL48" s="22" t="str">
        <f>VLOOKUP(наценкад5[[#This Row],[№]],ППД5[],COLUMN('Реестр ОН'!$DF$1),0)</f>
        <v>Продажа</v>
      </c>
    </row>
    <row r="49" spans="1:38" hidden="1" x14ac:dyDescent="0.25">
      <c r="A49" s="101">
        <v>47</v>
      </c>
      <c r="B49" s="2" t="str">
        <f>_xlfn.XLOOKUP(наценкад5[[#This Row],[№]],ППД5[№],ППД5[Секция],"-",0)</f>
        <v>А</v>
      </c>
      <c r="C49" s="2">
        <f>_xlfn.XLOOKUP(наценкад5[[#This Row],[№]],ППД5[№],ППД5[Этаж],"-",0)</f>
        <v>7</v>
      </c>
      <c r="D49" s="2">
        <f>_xlfn.XLOOKUP(наценкад5[[#This Row],[№]],ППД5[№],ППД5[№ на этаже],"-",0)</f>
        <v>6</v>
      </c>
      <c r="E49" s="2">
        <f>_xlfn.XLOOKUP(наценкад5[[#This Row],[№]],ППД5[№],ППД5[Тип кв],"-",0)</f>
        <v>2</v>
      </c>
      <c r="F49" s="72">
        <f>_xlfn.XLOOKUP(наценкад5[[#This Row],[№]],ППД5[№],ППД5[Кухня],"-",0)</f>
        <v>14.35</v>
      </c>
      <c r="G49" s="72">
        <f>_xlfn.XLOOKUP(наценкад5[[#This Row],[№]],ППД5[№],ППД5[Ванная],"-",0)</f>
        <v>4.16</v>
      </c>
      <c r="H49" s="72">
        <f>_xlfn.XLOOKUP(наценкад5[[#This Row],[№]],ППД5[№],ППД5[Гардеробная],"-",0)</f>
        <v>0</v>
      </c>
      <c r="I49" s="72">
        <f>_xlfn.XLOOKUP(наценкад5[[#This Row],[№]],ППД5[№],ППД5[Лоджия 2],"-",0)</f>
        <v>0</v>
      </c>
      <c r="J49" s="72">
        <f>_xlfn.XLOOKUP(наценкад5[[#This Row],[№]],ППД5[№],ППД5[С\У],"-",0)</f>
        <v>1.93</v>
      </c>
      <c r="K49" s="72">
        <f>_xlfn.XLOOKUP(наценкад5[[#This Row],[№]],ППД5[№],ППД5[Расчетная проектная площадь],"-",0)</f>
        <v>58.16</v>
      </c>
      <c r="L49" s="12">
        <f t="shared" si="0"/>
        <v>63000</v>
      </c>
      <c r="M49" s="102">
        <f>коэффициенты!$F$2</f>
        <v>1.2257</v>
      </c>
      <c r="N49" s="13">
        <f>наценкад5[[#This Row],[Цена м2 базовая]]*наценкад5[[#This Row],[Базовой K]]</f>
        <v>77219.100000000006</v>
      </c>
      <c r="O49" s="74">
        <f>коэффициенты!$F$4</f>
        <v>1.4999999999999999E-2</v>
      </c>
      <c r="P49" s="74"/>
      <c r="Q49" s="74">
        <f>коэффициенты!$E$6</f>
        <v>0.01</v>
      </c>
      <c r="R49" s="76"/>
      <c r="S49" s="76">
        <f>коэффициенты!$F$9</f>
        <v>0</v>
      </c>
      <c r="T49" s="74"/>
      <c r="U49" s="74"/>
      <c r="V49" s="74">
        <f>коэффициенты!$F$11</f>
        <v>5.0000000000000001E-3</v>
      </c>
      <c r="W49" s="74"/>
      <c r="X49" s="74">
        <f>коэффициенты!$F$13</f>
        <v>0.02</v>
      </c>
      <c r="Y49" s="75"/>
      <c r="Z49" s="74"/>
      <c r="AA49" s="74"/>
      <c r="AB49" s="74"/>
      <c r="AC49" s="74"/>
      <c r="AD49" s="76">
        <f>коэффициенты!$F$19</f>
        <v>5.0000000000000001E-3</v>
      </c>
      <c r="AE49" s="76"/>
      <c r="AF49" s="76"/>
      <c r="AG49" s="74"/>
      <c r="AH49" s="74"/>
      <c r="AI49" s="73">
        <f>SUM(наценкад5[[#This Row],[еврокухня]:[большая площадь]])*наценкад5[[#This Row],[Цена м2 с базовым K]]+наценкад5[[#This Row],[Цена м2 с базовым K]]</f>
        <v>81466.150500000003</v>
      </c>
      <c r="AJ49" s="72">
        <f>VLOOKUP(наценкад5[[#This Row],[№]],ППД5[],COLUMN(ППД5[[#This Row],[утв цена м2]]),0)</f>
        <v>99655.7</v>
      </c>
      <c r="AK49" s="3">
        <f>наценкад5[[#This Row],[утв цена м2]]*наценкад5[[#This Row],[Расчетная проектная площадь]]</f>
        <v>5795975.5119999992</v>
      </c>
      <c r="AL49" s="22" t="str">
        <f>VLOOKUP(наценкад5[[#This Row],[№]],ППД5[],COLUMN('Реестр ОН'!$DF$1),0)</f>
        <v>Продажа</v>
      </c>
    </row>
    <row r="50" spans="1:38" hidden="1" x14ac:dyDescent="0.25">
      <c r="A50" s="101">
        <v>48</v>
      </c>
      <c r="B50" s="2" t="str">
        <f>_xlfn.XLOOKUP(наценкад5[[#This Row],[№]],ППД5[№],ППД5[Секция],"-",0)</f>
        <v>А</v>
      </c>
      <c r="C50" s="2">
        <f>_xlfn.XLOOKUP(наценкад5[[#This Row],[№]],ППД5[№],ППД5[Этаж],"-",0)</f>
        <v>7</v>
      </c>
      <c r="D50" s="2">
        <f>_xlfn.XLOOKUP(наценкад5[[#This Row],[№]],ППД5[№],ППД5[№ на этаже],"-",0)</f>
        <v>7</v>
      </c>
      <c r="E50" s="2">
        <f>_xlfn.XLOOKUP(наценкад5[[#This Row],[№]],ППД5[№],ППД5[Тип кв],"-",0)</f>
        <v>1</v>
      </c>
      <c r="F50" s="72">
        <f>_xlfn.XLOOKUP(наценкад5[[#This Row],[№]],ППД5[№],ППД5[Кухня],"-",0)</f>
        <v>13.04</v>
      </c>
      <c r="G50" s="72">
        <f>_xlfn.XLOOKUP(наценкад5[[#This Row],[№]],ППД5[№],ППД5[Ванная],"-",0)</f>
        <v>3.9</v>
      </c>
      <c r="H50" s="72">
        <f>_xlfn.XLOOKUP(наценкад5[[#This Row],[№]],ППД5[№],ППД5[Гардеробная],"-",0)</f>
        <v>0</v>
      </c>
      <c r="I50" s="72">
        <f>_xlfn.XLOOKUP(наценкад5[[#This Row],[№]],ППД5[№],ППД5[Лоджия 2],"-",0)</f>
        <v>0</v>
      </c>
      <c r="J50" s="72">
        <f>_xlfn.XLOOKUP(наценкад5[[#This Row],[№]],ППД5[№],ППД5[С\У],"-",0)</f>
        <v>0</v>
      </c>
      <c r="K50" s="72">
        <f>_xlfn.XLOOKUP(наценкад5[[#This Row],[№]],ППД5[№],ППД5[Расчетная проектная площадь],"-",0)</f>
        <v>42.75</v>
      </c>
      <c r="L50" s="12">
        <f t="shared" si="0"/>
        <v>63000</v>
      </c>
      <c r="M50" s="102">
        <f>коэффициенты!$G$2</f>
        <v>1.2875000000000001</v>
      </c>
      <c r="N50" s="13">
        <f>наценкад5[[#This Row],[Цена м2 базовая]]*наценкад5[[#This Row],[Базовой K]]</f>
        <v>81112.5</v>
      </c>
      <c r="O50" s="74"/>
      <c r="P50" s="76">
        <f>коэффициенты!$G$5</f>
        <v>0.01</v>
      </c>
      <c r="Q50" s="74"/>
      <c r="R50" s="74"/>
      <c r="S50" s="74"/>
      <c r="T50" s="74"/>
      <c r="U50" s="74"/>
      <c r="V50" s="74">
        <f>коэффициенты!$G$11</f>
        <v>0.01</v>
      </c>
      <c r="W50" s="74"/>
      <c r="X50" s="74"/>
      <c r="Y50" s="75"/>
      <c r="Z50" s="74"/>
      <c r="AA50" s="76">
        <f>коэффициенты!$G$14</f>
        <v>0.01</v>
      </c>
      <c r="AB50" s="74"/>
      <c r="AC50" s="74"/>
      <c r="AD50" s="76">
        <f>коэффициенты!$G$19</f>
        <v>0.01</v>
      </c>
      <c r="AE50" s="76"/>
      <c r="AF50" s="76"/>
      <c r="AG50" s="74">
        <f>коэффициенты!$A$24</f>
        <v>-5.0000000000000001E-3</v>
      </c>
      <c r="AH50" s="74"/>
      <c r="AI50" s="73">
        <f>SUM(наценкад5[[#This Row],[еврокухня]:[большая площадь]])*наценкад5[[#This Row],[Цена м2 с базовым K]]+наценкад5[[#This Row],[Цена м2 с базовым K]]</f>
        <v>83951.4375</v>
      </c>
      <c r="AJ50" s="72">
        <f>VLOOKUP(наценкад5[[#This Row],[№]],ППД5[],COLUMN(ППД5[[#This Row],[утв цена м2]]),0)</f>
        <v>110473.29</v>
      </c>
      <c r="AK50" s="3">
        <f>наценкад5[[#This Row],[утв цена м2]]*наценкад5[[#This Row],[Расчетная проектная площадь]]</f>
        <v>4722733.1475</v>
      </c>
      <c r="AL50" s="22" t="str">
        <f>VLOOKUP(наценкад5[[#This Row],[№]],ППД5[],COLUMN('Реестр ОН'!$DF$1),0)</f>
        <v>Продажа</v>
      </c>
    </row>
    <row r="51" spans="1:38" hidden="1" x14ac:dyDescent="0.25">
      <c r="A51" s="101">
        <v>49</v>
      </c>
      <c r="B51" s="2" t="str">
        <f>_xlfn.XLOOKUP(наценкад5[[#This Row],[№]],ППД5[№],ППД5[Секция],"-",0)</f>
        <v>А</v>
      </c>
      <c r="C51" s="2">
        <f>_xlfn.XLOOKUP(наценкад5[[#This Row],[№]],ППД5[№],ППД5[Этаж],"-",0)</f>
        <v>8</v>
      </c>
      <c r="D51" s="2">
        <f>_xlfn.XLOOKUP(наценкад5[[#This Row],[№]],ППД5[№],ППД5[№ на этаже],"-",0)</f>
        <v>1</v>
      </c>
      <c r="E51" s="2">
        <f>_xlfn.XLOOKUP(наценкад5[[#This Row],[№]],ППД5[№],ППД5[Тип кв],"-",0)</f>
        <v>1</v>
      </c>
      <c r="F51" s="72">
        <f>_xlfn.XLOOKUP(наценкад5[[#This Row],[№]],ППД5[№],ППД5[Кухня],"-",0)</f>
        <v>9.84</v>
      </c>
      <c r="G51" s="72">
        <f>_xlfn.XLOOKUP(наценкад5[[#This Row],[№]],ППД5[№],ППД5[Ванная],"-",0)</f>
        <v>3.63</v>
      </c>
      <c r="H51" s="72">
        <f>_xlfn.XLOOKUP(наценкад5[[#This Row],[№]],ППД5[№],ППД5[Гардеробная],"-",0)</f>
        <v>0</v>
      </c>
      <c r="I51" s="72">
        <f>_xlfn.XLOOKUP(наценкад5[[#This Row],[№]],ППД5[№],ППД5[Лоджия 2],"-",0)</f>
        <v>0</v>
      </c>
      <c r="J51" s="72">
        <f>_xlfn.XLOOKUP(наценкад5[[#This Row],[№]],ППД5[№],ППД5[С\У],"-",0)</f>
        <v>0</v>
      </c>
      <c r="K51" s="72">
        <f>_xlfn.XLOOKUP(наценкад5[[#This Row],[№]],ППД5[№],ППД5[Расчетная проектная площадь],"-",0)</f>
        <v>34.39</v>
      </c>
      <c r="L51" s="12">
        <f t="shared" si="0"/>
        <v>63000</v>
      </c>
      <c r="M51" s="102">
        <f>коэффициенты!$G$2</f>
        <v>1.2875000000000001</v>
      </c>
      <c r="N51" s="13">
        <f>наценкад5[[#This Row],[Цена м2 базовая]]*наценкад5[[#This Row],[Базовой K]]</f>
        <v>81112.5</v>
      </c>
      <c r="O51" s="74"/>
      <c r="P51" s="74"/>
      <c r="Q51" s="74"/>
      <c r="R51" s="74"/>
      <c r="S51" s="74"/>
      <c r="T51" s="74"/>
      <c r="U51" s="74"/>
      <c r="V51" s="74"/>
      <c r="W51" s="75"/>
      <c r="X51" s="74"/>
      <c r="Y51" s="75"/>
      <c r="Z51" s="74"/>
      <c r="AA51" s="76">
        <f>коэффициенты!$G$14</f>
        <v>0.01</v>
      </c>
      <c r="AB51" s="74"/>
      <c r="AC51" s="74"/>
      <c r="AD51" s="76">
        <f>коэффициенты!$G$19</f>
        <v>0.01</v>
      </c>
      <c r="AE51" s="76"/>
      <c r="AF51" s="76"/>
      <c r="AG51" s="74"/>
      <c r="AH51" s="74"/>
      <c r="AI51" s="73">
        <f>SUM(наценкад5[[#This Row],[еврокухня]:[большая площадь]])*наценкад5[[#This Row],[Цена м2 с базовым K]]+наценкад5[[#This Row],[Цена м2 с базовым K]]</f>
        <v>82734.75</v>
      </c>
      <c r="AJ51" s="72">
        <f>VLOOKUP(наценкад5[[#This Row],[№]],ППД5[],COLUMN(ППД5[[#This Row],[утв цена м2]]),0)</f>
        <v>122315.24</v>
      </c>
      <c r="AK51" s="3">
        <f>наценкад5[[#This Row],[утв цена м2]]*наценкад5[[#This Row],[Расчетная проектная площадь]]</f>
        <v>4206421.1036</v>
      </c>
      <c r="AL51" s="22" t="str">
        <f>VLOOKUP(наценкад5[[#This Row],[№]],ППД5[],COLUMN('Реестр ОН'!$DF$1),0)</f>
        <v>Продажа</v>
      </c>
    </row>
    <row r="52" spans="1:38" hidden="1" x14ac:dyDescent="0.25">
      <c r="A52" s="101">
        <v>50</v>
      </c>
      <c r="B52" s="2" t="str">
        <f>_xlfn.XLOOKUP(наценкад5[[#This Row],[№]],ППД5[№],ППД5[Секция],"-",0)</f>
        <v>А</v>
      </c>
      <c r="C52" s="2">
        <f>_xlfn.XLOOKUP(наценкад5[[#This Row],[№]],ППД5[№],ППД5[Этаж],"-",0)</f>
        <v>8</v>
      </c>
      <c r="D52" s="2">
        <f>_xlfn.XLOOKUP(наценкад5[[#This Row],[№]],ППД5[№],ППД5[№ на этаже],"-",0)</f>
        <v>2</v>
      </c>
      <c r="E52" s="2">
        <f>_xlfn.XLOOKUP(наценкад5[[#This Row],[№]],ППД5[№],ППД5[Тип кв],"-",0)</f>
        <v>2</v>
      </c>
      <c r="F52" s="72">
        <f>_xlfn.XLOOKUP(наценкад5[[#This Row],[№]],ППД5[№],ППД5[Кухня],"-",0)</f>
        <v>19.440000000000001</v>
      </c>
      <c r="G52" s="72">
        <f>_xlfn.XLOOKUP(наценкад5[[#This Row],[№]],ППД5[№],ППД5[Ванная],"-",0)</f>
        <v>4.42</v>
      </c>
      <c r="H52" s="72">
        <f>_xlfn.XLOOKUP(наценкад5[[#This Row],[№]],ППД5[№],ППД5[Гардеробная],"-",0)</f>
        <v>3.25</v>
      </c>
      <c r="I52" s="72">
        <f>_xlfn.XLOOKUP(наценкад5[[#This Row],[№]],ППД5[№],ППД5[Лоджия 2],"-",0)</f>
        <v>0</v>
      </c>
      <c r="J52" s="72">
        <f>_xlfn.XLOOKUP(наценкад5[[#This Row],[№]],ППД5[№],ППД5[С\У],"-",0)</f>
        <v>0</v>
      </c>
      <c r="K52" s="72">
        <f>_xlfn.XLOOKUP(наценкад5[[#This Row],[№]],ППД5[№],ППД5[Расчетная проектная площадь],"-",0)</f>
        <v>68.5</v>
      </c>
      <c r="L52" s="12">
        <f t="shared" si="0"/>
        <v>63000</v>
      </c>
      <c r="M52" s="102">
        <f>коэффициенты!$F$2</f>
        <v>1.2257</v>
      </c>
      <c r="N52" s="13">
        <f>наценкад5[[#This Row],[Цена м2 базовая]]*наценкад5[[#This Row],[Базовой K]]</f>
        <v>77219.100000000006</v>
      </c>
      <c r="O52" s="74">
        <f>коэффициенты!$F$4</f>
        <v>1.4999999999999999E-2</v>
      </c>
      <c r="P52" s="74"/>
      <c r="Q52" s="76">
        <f>коэффициенты!$F$6</f>
        <v>0.02</v>
      </c>
      <c r="R52" s="76"/>
      <c r="S52" s="76"/>
      <c r="T52" s="74"/>
      <c r="U52" s="74"/>
      <c r="V52" s="74">
        <f>коэффициенты!$F$11</f>
        <v>5.0000000000000001E-3</v>
      </c>
      <c r="W52" s="74"/>
      <c r="X52" s="74"/>
      <c r="Y52" s="75"/>
      <c r="Z52" s="74"/>
      <c r="AA52" s="74"/>
      <c r="AB52" s="76">
        <f>коэффициенты!$F$17</f>
        <v>0.05</v>
      </c>
      <c r="AC52" s="74"/>
      <c r="AD52" s="76"/>
      <c r="AE52" s="76"/>
      <c r="AF52" s="76"/>
      <c r="AG52" s="74"/>
      <c r="AH52" s="76"/>
      <c r="AI52" s="73">
        <f>SUM(наценкад5[[#This Row],[еврокухня]:[большая площадь]])*наценкад5[[#This Row],[Цена м2 с базовым K]]+наценкад5[[#This Row],[Цена м2 с базовым K]]</f>
        <v>84168.819000000003</v>
      </c>
      <c r="AJ52" s="72">
        <f>VLOOKUP(наценкад5[[#This Row],[№]],ППД5[],COLUMN(ППД5[[#This Row],[утв цена м2]]),0)</f>
        <v>99518.97</v>
      </c>
      <c r="AK52" s="3">
        <f>наценкад5[[#This Row],[утв цена м2]]*наценкад5[[#This Row],[Расчетная проектная площадь]]</f>
        <v>6817049.4450000003</v>
      </c>
      <c r="AL52" s="22" t="str">
        <f>VLOOKUP(наценкад5[[#This Row],[№]],ППД5[],COLUMN('Реестр ОН'!$DF$1),0)</f>
        <v>Продажа</v>
      </c>
    </row>
    <row r="53" spans="1:38" hidden="1" x14ac:dyDescent="0.25">
      <c r="A53" s="101">
        <v>51</v>
      </c>
      <c r="B53" s="2" t="str">
        <f>_xlfn.XLOOKUP(наценкад5[[#This Row],[№]],ППД5[№],ППД5[Секция],"-",0)</f>
        <v>А</v>
      </c>
      <c r="C53" s="2">
        <f>_xlfn.XLOOKUP(наценкад5[[#This Row],[№]],ППД5[№],ППД5[Этаж],"-",0)</f>
        <v>8</v>
      </c>
      <c r="D53" s="2">
        <f>_xlfn.XLOOKUP(наценкад5[[#This Row],[№]],ППД5[№],ППД5[№ на этаже],"-",0)</f>
        <v>3</v>
      </c>
      <c r="E53" s="2">
        <f>_xlfn.XLOOKUP(наценкад5[[#This Row],[№]],ППД5[№],ППД5[Тип кв],"-",0)</f>
        <v>1</v>
      </c>
      <c r="F53" s="72">
        <f>_xlfn.XLOOKUP(наценкад5[[#This Row],[№]],ППД5[№],ППД5[Кухня],"-",0)</f>
        <v>14.97</v>
      </c>
      <c r="G53" s="72">
        <f>_xlfn.XLOOKUP(наценкад5[[#This Row],[№]],ППД5[№],ППД5[Ванная],"-",0)</f>
        <v>4.1100000000000003</v>
      </c>
      <c r="H53" s="72">
        <f>_xlfn.XLOOKUP(наценкад5[[#This Row],[№]],ППД5[№],ППД5[Гардеробная],"-",0)</f>
        <v>0</v>
      </c>
      <c r="I53" s="72">
        <f>_xlfn.XLOOKUP(наценкад5[[#This Row],[№]],ППД5[№],ППД5[Лоджия 2],"-",0)</f>
        <v>0</v>
      </c>
      <c r="J53" s="72">
        <f>_xlfn.XLOOKUP(наценкад5[[#This Row],[№]],ППД5[№],ППД5[С\У],"-",0)</f>
        <v>0</v>
      </c>
      <c r="K53" s="72">
        <f>_xlfn.XLOOKUP(наценкад5[[#This Row],[№]],ППД5[№],ППД5[Расчетная проектная площадь],"-",0)</f>
        <v>37.729999999999997</v>
      </c>
      <c r="L53" s="12">
        <f t="shared" si="0"/>
        <v>63000</v>
      </c>
      <c r="M53" s="102">
        <f>коэффициенты!$G$2</f>
        <v>1.2875000000000001</v>
      </c>
      <c r="N53" s="13">
        <f>наценкад5[[#This Row],[Цена м2 базовая]]*наценкад5[[#This Row],[Базовой K]]</f>
        <v>81112.5</v>
      </c>
      <c r="O53" s="76">
        <f>коэффициенты!$G$4</f>
        <v>0.02</v>
      </c>
      <c r="P53" s="74"/>
      <c r="Q53" s="76">
        <f>коэффициенты!$G$6</f>
        <v>0.03</v>
      </c>
      <c r="R53" s="74"/>
      <c r="S53" s="74"/>
      <c r="T53" s="74"/>
      <c r="U53" s="74"/>
      <c r="V53" s="74"/>
      <c r="W53" s="75"/>
      <c r="X53" s="74">
        <f>коэффициенты!$G$13</f>
        <v>0.01</v>
      </c>
      <c r="Y53" s="75"/>
      <c r="Z53" s="74"/>
      <c r="AA53" s="76">
        <f>коэффициенты!$G$14</f>
        <v>0.01</v>
      </c>
      <c r="AB53" s="74"/>
      <c r="AC53" s="74"/>
      <c r="AD53" s="76">
        <f>коэффициенты!$G$19</f>
        <v>0.01</v>
      </c>
      <c r="AE53" s="76"/>
      <c r="AF53" s="76"/>
      <c r="AG53" s="74"/>
      <c r="AH53" s="74"/>
      <c r="AI53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53" s="72">
        <f>VLOOKUP(наценкад5[[#This Row],[№]],ППД5[],COLUMN(ППД5[[#This Row],[утв цена м2]]),0)</f>
        <v>116267.69</v>
      </c>
      <c r="AK53" s="3">
        <f>наценкад5[[#This Row],[утв цена м2]]*наценкад5[[#This Row],[Расчетная проектная площадь]]</f>
        <v>4386779.9436999997</v>
      </c>
      <c r="AL53" s="22" t="str">
        <f>VLOOKUP(наценкад5[[#This Row],[№]],ППД5[],COLUMN('Реестр ОН'!$DF$1),0)</f>
        <v>Продажа</v>
      </c>
    </row>
    <row r="54" spans="1:38" hidden="1" x14ac:dyDescent="0.25">
      <c r="A54" s="101">
        <v>52</v>
      </c>
      <c r="B54" s="2" t="str">
        <f>_xlfn.XLOOKUP(наценкад5[[#This Row],[№]],ППД5[№],ППД5[Секция],"-",0)</f>
        <v>А</v>
      </c>
      <c r="C54" s="2">
        <f>_xlfn.XLOOKUP(наценкад5[[#This Row],[№]],ППД5[№],ППД5[Этаж],"-",0)</f>
        <v>8</v>
      </c>
      <c r="D54" s="2">
        <f>_xlfn.XLOOKUP(наценкад5[[#This Row],[№]],ППД5[№],ППД5[№ на этаже],"-",0)</f>
        <v>4</v>
      </c>
      <c r="E54" s="2">
        <f>_xlfn.XLOOKUP(наценкад5[[#This Row],[№]],ППД5[№],ППД5[Тип кв],"-",0)</f>
        <v>2</v>
      </c>
      <c r="F54" s="72">
        <f>_xlfn.XLOOKUP(наценкад5[[#This Row],[№]],ППД5[№],ППД5[Кухня],"-",0)</f>
        <v>14.58</v>
      </c>
      <c r="G54" s="72">
        <f>_xlfn.XLOOKUP(наценкад5[[#This Row],[№]],ППД5[№],ППД5[Ванная],"-",0)</f>
        <v>4.34</v>
      </c>
      <c r="H54" s="72">
        <f>_xlfn.XLOOKUP(наценкад5[[#This Row],[№]],ППД5[№],ППД5[Гардеробная],"-",0)</f>
        <v>0</v>
      </c>
      <c r="I54" s="72">
        <f>_xlfn.XLOOKUP(наценкад5[[#This Row],[№]],ППД5[№],ППД5[Лоджия 2],"-",0)</f>
        <v>0</v>
      </c>
      <c r="J54" s="72">
        <f>_xlfn.XLOOKUP(наценкад5[[#This Row],[№]],ППД5[№],ППД5[С\У],"-",0)</f>
        <v>2.08</v>
      </c>
      <c r="K54" s="72">
        <f>_xlfn.XLOOKUP(наценкад5[[#This Row],[№]],ППД5[№],ППД5[Расчетная проектная площадь],"-",0)</f>
        <v>59.09</v>
      </c>
      <c r="L54" s="12">
        <f t="shared" si="0"/>
        <v>63000</v>
      </c>
      <c r="M54" s="102">
        <f>коэффициенты!$F$2</f>
        <v>1.2257</v>
      </c>
      <c r="N54" s="13">
        <f>наценкад5[[#This Row],[Цена м2 базовая]]*наценкад5[[#This Row],[Базовой K]]</f>
        <v>77219.100000000006</v>
      </c>
      <c r="O54" s="74">
        <f>коэффициенты!$F$4</f>
        <v>1.4999999999999999E-2</v>
      </c>
      <c r="P54" s="74"/>
      <c r="Q54" s="76">
        <f>коэффициенты!$F$6</f>
        <v>0.02</v>
      </c>
      <c r="R54" s="76"/>
      <c r="S54" s="76">
        <f>коэффициенты!$F$9</f>
        <v>0</v>
      </c>
      <c r="T54" s="74"/>
      <c r="U54" s="74"/>
      <c r="V54" s="74"/>
      <c r="W54" s="74"/>
      <c r="X54" s="74"/>
      <c r="Y54" s="75"/>
      <c r="Z54" s="74"/>
      <c r="AA54" s="74"/>
      <c r="AB54" s="74"/>
      <c r="AC54" s="74"/>
      <c r="AD54" s="76">
        <f>коэффициенты!$F$19</f>
        <v>5.0000000000000001E-3</v>
      </c>
      <c r="AE54" s="76"/>
      <c r="AF54" s="76"/>
      <c r="AG54" s="74"/>
      <c r="AH54" s="74"/>
      <c r="AI54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54" s="72">
        <f>VLOOKUP(наценкад5[[#This Row],[№]],ППД5[],COLUMN(ППД5[[#This Row],[утв цена м2]]),0)</f>
        <v>122412.25</v>
      </c>
      <c r="AK54" s="3">
        <f>наценкад5[[#This Row],[утв цена м2]]*наценкад5[[#This Row],[Расчетная проектная площадь]]</f>
        <v>7233339.8525</v>
      </c>
      <c r="AL54" s="22" t="str">
        <f>VLOOKUP(наценкад5[[#This Row],[№]],ППД5[],COLUMN('Реестр ОН'!$DF$1),0)</f>
        <v>Свободно</v>
      </c>
    </row>
    <row r="55" spans="1:38" hidden="1" x14ac:dyDescent="0.25">
      <c r="A55" s="101">
        <v>53</v>
      </c>
      <c r="B55" s="2" t="str">
        <f>_xlfn.XLOOKUP(наценкад5[[#This Row],[№]],ППД5[№],ППД5[Секция],"-",0)</f>
        <v>А</v>
      </c>
      <c r="C55" s="2">
        <f>_xlfn.XLOOKUP(наценкад5[[#This Row],[№]],ППД5[№],ППД5[Этаж],"-",0)</f>
        <v>8</v>
      </c>
      <c r="D55" s="2">
        <f>_xlfn.XLOOKUP(наценкад5[[#This Row],[№]],ППД5[№],ППД5[№ на этаже],"-",0)</f>
        <v>5</v>
      </c>
      <c r="E55" s="2">
        <f>_xlfn.XLOOKUP(наценкад5[[#This Row],[№]],ППД5[№],ППД5[Тип кв],"-",0)</f>
        <v>2</v>
      </c>
      <c r="F55" s="72">
        <f>_xlfn.XLOOKUP(наценкад5[[#This Row],[№]],ППД5[№],ППД5[Кухня],"-",0)</f>
        <v>18</v>
      </c>
      <c r="G55" s="72">
        <f>_xlfn.XLOOKUP(наценкад5[[#This Row],[№]],ППД5[№],ППД5[Ванная],"-",0)</f>
        <v>4.3499999999999996</v>
      </c>
      <c r="H55" s="72">
        <f>_xlfn.XLOOKUP(наценкад5[[#This Row],[№]],ППД5[№],ППД5[Гардеробная],"-",0)</f>
        <v>0</v>
      </c>
      <c r="I55" s="72">
        <f>_xlfn.XLOOKUP(наценкад5[[#This Row],[№]],ППД5[№],ППД5[Лоджия 2],"-",0)</f>
        <v>0</v>
      </c>
      <c r="J55" s="72">
        <f>_xlfn.XLOOKUP(наценкад5[[#This Row],[№]],ППД5[№],ППД5[С\У],"-",0)</f>
        <v>1.55</v>
      </c>
      <c r="K55" s="72">
        <f>_xlfn.XLOOKUP(наценкад5[[#This Row],[№]],ППД5[№],ППД5[Расчетная проектная площадь],"-",0)</f>
        <v>62.17</v>
      </c>
      <c r="L55" s="12">
        <f t="shared" si="0"/>
        <v>63000</v>
      </c>
      <c r="M55" s="102">
        <f>коэффициенты!$F$2</f>
        <v>1.2257</v>
      </c>
      <c r="N55" s="13">
        <f>наценкад5[[#This Row],[Цена м2 базовая]]*наценкад5[[#This Row],[Базовой K]]</f>
        <v>77219.100000000006</v>
      </c>
      <c r="O55" s="74">
        <f>коэффициенты!$F$4</f>
        <v>1.4999999999999999E-2</v>
      </c>
      <c r="P55" s="74"/>
      <c r="Q55" s="76">
        <f>коэффициенты!$F$6</f>
        <v>0.02</v>
      </c>
      <c r="R55" s="76"/>
      <c r="S55" s="76">
        <f>коэффициенты!$F$9</f>
        <v>0</v>
      </c>
      <c r="T55" s="74"/>
      <c r="U55" s="74"/>
      <c r="V55" s="76"/>
      <c r="W55" s="75"/>
      <c r="X55" s="76"/>
      <c r="Y55" s="75"/>
      <c r="Z55" s="74"/>
      <c r="AA55" s="74"/>
      <c r="AB55" s="74"/>
      <c r="AC55" s="74"/>
      <c r="AD55" s="76">
        <f>коэффициенты!$F$19</f>
        <v>5.0000000000000001E-3</v>
      </c>
      <c r="AE55" s="76"/>
      <c r="AF55" s="76"/>
      <c r="AG55" s="74"/>
      <c r="AH55" s="74"/>
      <c r="AI55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55" s="72">
        <f>VLOOKUP(наценкад5[[#This Row],[№]],ППД5[],COLUMN(ППД5[[#This Row],[утв цена м2]]),0)</f>
        <v>124241.85</v>
      </c>
      <c r="AK55" s="3">
        <f>наценкад5[[#This Row],[утв цена м2]]*наценкад5[[#This Row],[Расчетная проектная площадь]]</f>
        <v>7724115.8145000003</v>
      </c>
      <c r="AL55" s="22" t="str">
        <f>VLOOKUP(наценкад5[[#This Row],[№]],ППД5[],COLUMN('Реестр ОН'!$DF$1),0)</f>
        <v>Свободно</v>
      </c>
    </row>
    <row r="56" spans="1:38" hidden="1" x14ac:dyDescent="0.25">
      <c r="A56" s="101">
        <v>54</v>
      </c>
      <c r="B56" s="2" t="str">
        <f>_xlfn.XLOOKUP(наценкад5[[#This Row],[№]],ППД5[№],ППД5[Секция],"-",0)</f>
        <v>А</v>
      </c>
      <c r="C56" s="2">
        <f>_xlfn.XLOOKUP(наценкад5[[#This Row],[№]],ППД5[№],ППД5[Этаж],"-",0)</f>
        <v>8</v>
      </c>
      <c r="D56" s="2">
        <f>_xlfn.XLOOKUP(наценкад5[[#This Row],[№]],ППД5[№],ППД5[№ на этаже],"-",0)</f>
        <v>6</v>
      </c>
      <c r="E56" s="2">
        <f>_xlfn.XLOOKUP(наценкад5[[#This Row],[№]],ППД5[№],ППД5[Тип кв],"-",0)</f>
        <v>2</v>
      </c>
      <c r="F56" s="72">
        <f>_xlfn.XLOOKUP(наценкад5[[#This Row],[№]],ППД5[№],ППД5[Кухня],"-",0)</f>
        <v>14.35</v>
      </c>
      <c r="G56" s="72">
        <f>_xlfn.XLOOKUP(наценкад5[[#This Row],[№]],ППД5[№],ППД5[Ванная],"-",0)</f>
        <v>4.16</v>
      </c>
      <c r="H56" s="72">
        <f>_xlfn.XLOOKUP(наценкад5[[#This Row],[№]],ППД5[№],ППД5[Гардеробная],"-",0)</f>
        <v>0</v>
      </c>
      <c r="I56" s="72">
        <f>_xlfn.XLOOKUP(наценкад5[[#This Row],[№]],ППД5[№],ППД5[Лоджия 2],"-",0)</f>
        <v>0</v>
      </c>
      <c r="J56" s="72">
        <f>_xlfn.XLOOKUP(наценкад5[[#This Row],[№]],ППД5[№],ППД5[С\У],"-",0)</f>
        <v>1.93</v>
      </c>
      <c r="K56" s="72">
        <f>_xlfn.XLOOKUP(наценкад5[[#This Row],[№]],ППД5[№],ППД5[Расчетная проектная площадь],"-",0)</f>
        <v>58.16</v>
      </c>
      <c r="L56" s="12">
        <f t="shared" si="0"/>
        <v>63000</v>
      </c>
      <c r="M56" s="102">
        <f>коэффициенты!$F$2</f>
        <v>1.2257</v>
      </c>
      <c r="N56" s="13">
        <f>наценкад5[[#This Row],[Цена м2 базовая]]*наценкад5[[#This Row],[Базовой K]]</f>
        <v>77219.100000000006</v>
      </c>
      <c r="O56" s="74">
        <f>коэффициенты!$F$4</f>
        <v>1.4999999999999999E-2</v>
      </c>
      <c r="P56" s="74"/>
      <c r="Q56" s="74">
        <f>коэффициенты!$E$6</f>
        <v>0.01</v>
      </c>
      <c r="R56" s="76"/>
      <c r="S56" s="76">
        <f>коэффициенты!$F$9</f>
        <v>0</v>
      </c>
      <c r="T56" s="74"/>
      <c r="U56" s="74"/>
      <c r="V56" s="74">
        <f>коэффициенты!$F$11</f>
        <v>5.0000000000000001E-3</v>
      </c>
      <c r="W56" s="75"/>
      <c r="X56" s="74">
        <f>коэффициенты!$F$13</f>
        <v>0.02</v>
      </c>
      <c r="Y56" s="75"/>
      <c r="Z56" s="74"/>
      <c r="AA56" s="74"/>
      <c r="AB56" s="74"/>
      <c r="AC56" s="74"/>
      <c r="AD56" s="76">
        <f>коэффициенты!$F$19</f>
        <v>5.0000000000000001E-3</v>
      </c>
      <c r="AE56" s="76"/>
      <c r="AF56" s="76"/>
      <c r="AG56" s="74"/>
      <c r="AH56" s="74"/>
      <c r="AI56" s="73">
        <f>SUM(наценкад5[[#This Row],[еврокухня]:[большая площадь]])*наценкад5[[#This Row],[Цена м2 с базовым K]]+наценкад5[[#This Row],[Цена м2 с базовым K]]</f>
        <v>81466.150500000003</v>
      </c>
      <c r="AJ56" s="72">
        <f>VLOOKUP(наценкад5[[#This Row],[№]],ППД5[],COLUMN(ППД5[[#This Row],[утв цена м2]]),0)</f>
        <v>88105.64</v>
      </c>
      <c r="AK56" s="3">
        <f>наценкад5[[#This Row],[утв цена м2]]*наценкад5[[#This Row],[Расчетная проектная площадь]]</f>
        <v>5124224.0223999992</v>
      </c>
      <c r="AL56" s="22" t="str">
        <f>VLOOKUP(наценкад5[[#This Row],[№]],ППД5[],COLUMN('Реестр ОН'!$DF$1),0)</f>
        <v>Продажа</v>
      </c>
    </row>
    <row r="57" spans="1:38" hidden="1" x14ac:dyDescent="0.25">
      <c r="A57" s="101">
        <v>55</v>
      </c>
      <c r="B57" s="2" t="str">
        <f>_xlfn.XLOOKUP(наценкад5[[#This Row],[№]],ППД5[№],ППД5[Секция],"-",0)</f>
        <v>А</v>
      </c>
      <c r="C57" s="2">
        <f>_xlfn.XLOOKUP(наценкад5[[#This Row],[№]],ППД5[№],ППД5[Этаж],"-",0)</f>
        <v>8</v>
      </c>
      <c r="D57" s="2">
        <f>_xlfn.XLOOKUP(наценкад5[[#This Row],[№]],ППД5[№],ППД5[№ на этаже],"-",0)</f>
        <v>7</v>
      </c>
      <c r="E57" s="2">
        <f>_xlfn.XLOOKUP(наценкад5[[#This Row],[№]],ППД5[№],ППД5[Тип кв],"-",0)</f>
        <v>1</v>
      </c>
      <c r="F57" s="3">
        <f>_xlfn.XLOOKUP(наценкад5[[#This Row],[№]],ППД5[№],ППД5[Кухня],"-",0)</f>
        <v>13.04</v>
      </c>
      <c r="G57" s="72">
        <f>_xlfn.XLOOKUP(наценкад5[[#This Row],[№]],ППД5[№],ППД5[Ванная],"-",0)</f>
        <v>3.9</v>
      </c>
      <c r="H57" s="72">
        <f>_xlfn.XLOOKUP(наценкад5[[#This Row],[№]],ППД5[№],ППД5[Гардеробная],"-",0)</f>
        <v>0</v>
      </c>
      <c r="I57" s="72">
        <f>_xlfn.XLOOKUP(наценкад5[[#This Row],[№]],ППД5[№],ППД5[Лоджия 2],"-",0)</f>
        <v>0</v>
      </c>
      <c r="J57" s="72">
        <f>_xlfn.XLOOKUP(наценкад5[[#This Row],[№]],ППД5[№],ППД5[С\У],"-",0)</f>
        <v>0</v>
      </c>
      <c r="K57" s="72">
        <f>_xlfn.XLOOKUP(наценкад5[[#This Row],[№]],ППД5[№],ППД5[Расчетная проектная площадь],"-",0)</f>
        <v>42.75</v>
      </c>
      <c r="L57" s="12">
        <f t="shared" si="0"/>
        <v>63000</v>
      </c>
      <c r="M57" s="102">
        <f>коэффициенты!$G$2</f>
        <v>1.2875000000000001</v>
      </c>
      <c r="N57" s="13">
        <f>наценкад5[[#This Row],[Цена м2 базовая]]*наценкад5[[#This Row],[Базовой K]]</f>
        <v>81112.5</v>
      </c>
      <c r="O57" s="74"/>
      <c r="P57" s="76">
        <f>коэффициенты!$G$5</f>
        <v>0.01</v>
      </c>
      <c r="Q57" s="74"/>
      <c r="R57" s="74"/>
      <c r="S57" s="74"/>
      <c r="T57" s="74"/>
      <c r="U57" s="74"/>
      <c r="V57" s="74">
        <f>коэффициенты!$G$11</f>
        <v>0.01</v>
      </c>
      <c r="W57" s="74"/>
      <c r="X57" s="74"/>
      <c r="Y57" s="75"/>
      <c r="Z57" s="74"/>
      <c r="AA57" s="76">
        <f>коэффициенты!$G$14</f>
        <v>0.01</v>
      </c>
      <c r="AB57" s="74"/>
      <c r="AC57" s="74"/>
      <c r="AD57" s="76">
        <f>коэффициенты!$G$19</f>
        <v>0.01</v>
      </c>
      <c r="AE57" s="76"/>
      <c r="AF57" s="76"/>
      <c r="AG57" s="74">
        <f>коэффициенты!$A$24</f>
        <v>-5.0000000000000001E-3</v>
      </c>
      <c r="AH57" s="74"/>
      <c r="AI57" s="73">
        <f>SUM(наценкад5[[#This Row],[еврокухня]:[большая площадь]])*наценкад5[[#This Row],[Цена м2 с базовым K]]+наценкад5[[#This Row],[Цена м2 с базовым K]]</f>
        <v>83951.4375</v>
      </c>
      <c r="AJ57" s="72">
        <f>VLOOKUP(наценкад5[[#This Row],[№]],ППД5[],COLUMN(ППД5[[#This Row],[утв цена м2]]),0)</f>
        <v>134856.60999999999</v>
      </c>
      <c r="AK57" s="3">
        <f>наценкад5[[#This Row],[утв цена м2]]*наценкад5[[#This Row],[Расчетная проектная площадь]]</f>
        <v>5765120.0774999997</v>
      </c>
      <c r="AL57" s="22" t="str">
        <f>VLOOKUP(наценкад5[[#This Row],[№]],ППД5[],COLUMN('Реестр ОН'!$DF$1),0)</f>
        <v>Продажа</v>
      </c>
    </row>
    <row r="58" spans="1:38" hidden="1" x14ac:dyDescent="0.25">
      <c r="A58" s="101">
        <v>56</v>
      </c>
      <c r="B58" s="2" t="str">
        <f>_xlfn.XLOOKUP(наценкад5[[#This Row],[№]],ППД5[№],ППД5[Секция],"-",0)</f>
        <v>А</v>
      </c>
      <c r="C58" s="2">
        <f>_xlfn.XLOOKUP(наценкад5[[#This Row],[№]],ППД5[№],ППД5[Этаж],"-",0)</f>
        <v>9</v>
      </c>
      <c r="D58" s="2">
        <f>_xlfn.XLOOKUP(наценкад5[[#This Row],[№]],ППД5[№],ППД5[№ на этаже],"-",0)</f>
        <v>1</v>
      </c>
      <c r="E58" s="2">
        <f>_xlfn.XLOOKUP(наценкад5[[#This Row],[№]],ППД5[№],ППД5[Тип кв],"-",0)</f>
        <v>1</v>
      </c>
      <c r="F58" s="72">
        <f>_xlfn.XLOOKUP(наценкад5[[#This Row],[№]],ППД5[№],ППД5[Кухня],"-",0)</f>
        <v>9.84</v>
      </c>
      <c r="G58" s="72">
        <f>_xlfn.XLOOKUP(наценкад5[[#This Row],[№]],ППД5[№],ППД5[Ванная],"-",0)</f>
        <v>3.63</v>
      </c>
      <c r="H58" s="72">
        <f>_xlfn.XLOOKUP(наценкад5[[#This Row],[№]],ППД5[№],ППД5[Гардеробная],"-",0)</f>
        <v>0</v>
      </c>
      <c r="I58" s="72">
        <f>_xlfn.XLOOKUP(наценкад5[[#This Row],[№]],ППД5[№],ППД5[Лоджия 2],"-",0)</f>
        <v>0</v>
      </c>
      <c r="J58" s="72">
        <f>_xlfn.XLOOKUP(наценкад5[[#This Row],[№]],ППД5[№],ППД5[С\У],"-",0)</f>
        <v>0</v>
      </c>
      <c r="K58" s="72">
        <f>_xlfn.XLOOKUP(наценкад5[[#This Row],[№]],ППД5[№],ППД5[Расчетная проектная площадь],"-",0)</f>
        <v>34.39</v>
      </c>
      <c r="L58" s="12">
        <f t="shared" si="0"/>
        <v>63000</v>
      </c>
      <c r="M58" s="102">
        <f>коэффициенты!$G$2</f>
        <v>1.2875000000000001</v>
      </c>
      <c r="N58" s="13">
        <f>наценкад5[[#This Row],[Цена м2 базовая]]*наценкад5[[#This Row],[Базовой K]]</f>
        <v>81112.5</v>
      </c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5"/>
      <c r="Z58" s="74"/>
      <c r="AA58" s="76">
        <f>коэффициенты!$G$14</f>
        <v>0.01</v>
      </c>
      <c r="AB58" s="74"/>
      <c r="AC58" s="74"/>
      <c r="AD58" s="76">
        <f>коэффициенты!$G$19</f>
        <v>0.01</v>
      </c>
      <c r="AE58" s="76"/>
      <c r="AF58" s="76"/>
      <c r="AG58" s="74"/>
      <c r="AH58" s="74"/>
      <c r="AI58" s="73">
        <f>SUM(наценкад5[[#This Row],[еврокухня]:[большая площадь]])*наценкад5[[#This Row],[Цена м2 с базовым K]]+наценкад5[[#This Row],[Цена м2 с базовым K]]</f>
        <v>82734.75</v>
      </c>
      <c r="AJ58" s="72">
        <f>VLOOKUP(наценкад5[[#This Row],[№]],ППД5[],COLUMN(ППД5[[#This Row],[утв цена м2]]),0)</f>
        <v>148064.57</v>
      </c>
      <c r="AK58" s="3">
        <f>наценкад5[[#This Row],[утв цена м2]]*наценкад5[[#This Row],[Расчетная проектная площадь]]</f>
        <v>5091940.5623000003</v>
      </c>
      <c r="AL58" s="22" t="str">
        <f>VLOOKUP(наценкад5[[#This Row],[№]],ППД5[],COLUMN('Реестр ОН'!$DF$1),0)</f>
        <v>Свободно</v>
      </c>
    </row>
    <row r="59" spans="1:38" hidden="1" x14ac:dyDescent="0.25">
      <c r="A59" s="101">
        <v>57</v>
      </c>
      <c r="B59" s="2" t="str">
        <f>_xlfn.XLOOKUP(наценкад5[[#This Row],[№]],ППД5[№],ППД5[Секция],"-",0)</f>
        <v>А</v>
      </c>
      <c r="C59" s="2">
        <f>_xlfn.XLOOKUP(наценкад5[[#This Row],[№]],ППД5[№],ППД5[Этаж],"-",0)</f>
        <v>9</v>
      </c>
      <c r="D59" s="2">
        <f>_xlfn.XLOOKUP(наценкад5[[#This Row],[№]],ППД5[№],ППД5[№ на этаже],"-",0)</f>
        <v>2</v>
      </c>
      <c r="E59" s="2">
        <f>_xlfn.XLOOKUP(наценкад5[[#This Row],[№]],ППД5[№],ППД5[Тип кв],"-",0)</f>
        <v>2</v>
      </c>
      <c r="F59" s="72">
        <f>_xlfn.XLOOKUP(наценкад5[[#This Row],[№]],ППД5[№],ППД5[Кухня],"-",0)</f>
        <v>19.440000000000001</v>
      </c>
      <c r="G59" s="72">
        <f>_xlfn.XLOOKUP(наценкад5[[#This Row],[№]],ППД5[№],ППД5[Ванная],"-",0)</f>
        <v>4.42</v>
      </c>
      <c r="H59" s="72">
        <f>_xlfn.XLOOKUP(наценкад5[[#This Row],[№]],ППД5[№],ППД5[Гардеробная],"-",0)</f>
        <v>3.25</v>
      </c>
      <c r="I59" s="72">
        <f>_xlfn.XLOOKUP(наценкад5[[#This Row],[№]],ППД5[№],ППД5[Лоджия 2],"-",0)</f>
        <v>0</v>
      </c>
      <c r="J59" s="72">
        <f>_xlfn.XLOOKUP(наценкад5[[#This Row],[№]],ППД5[№],ППД5[С\У],"-",0)</f>
        <v>0</v>
      </c>
      <c r="K59" s="72">
        <f>_xlfn.XLOOKUP(наценкад5[[#This Row],[№]],ППД5[№],ППД5[Расчетная проектная площадь],"-",0)</f>
        <v>68.5</v>
      </c>
      <c r="L59" s="12">
        <f t="shared" si="0"/>
        <v>63000</v>
      </c>
      <c r="M59" s="102">
        <f>коэффициенты!$F$2</f>
        <v>1.2257</v>
      </c>
      <c r="N59" s="13">
        <f>наценкад5[[#This Row],[Цена м2 базовая]]*наценкад5[[#This Row],[Базовой K]]</f>
        <v>77219.100000000006</v>
      </c>
      <c r="O59" s="74">
        <f>коэффициенты!$F$4</f>
        <v>1.4999999999999999E-2</v>
      </c>
      <c r="P59" s="74"/>
      <c r="Q59" s="76">
        <f>коэффициенты!$F$6</f>
        <v>0.02</v>
      </c>
      <c r="R59" s="76"/>
      <c r="S59" s="76"/>
      <c r="T59" s="74"/>
      <c r="U59" s="74"/>
      <c r="V59" s="74">
        <f>коэффициенты!$F$11</f>
        <v>5.0000000000000001E-3</v>
      </c>
      <c r="W59" s="74"/>
      <c r="X59" s="74"/>
      <c r="Y59" s="75"/>
      <c r="Z59" s="74"/>
      <c r="AA59" s="74"/>
      <c r="AB59" s="76">
        <f>коэффициенты!$F$17</f>
        <v>0.05</v>
      </c>
      <c r="AC59" s="74"/>
      <c r="AD59" s="76"/>
      <c r="AE59" s="76"/>
      <c r="AF59" s="76"/>
      <c r="AG59" s="74"/>
      <c r="AH59" s="76"/>
      <c r="AI59" s="73">
        <f>SUM(наценкад5[[#This Row],[еврокухня]:[большая площадь]])*наценкад5[[#This Row],[Цена м2 с базовым K]]+наценкад5[[#This Row],[Цена м2 с базовым K]]</f>
        <v>84168.819000000003</v>
      </c>
      <c r="AJ59" s="72">
        <f>VLOOKUP(наценкад5[[#This Row],[№]],ППД5[],COLUMN(ППД5[[#This Row],[утв цена м2]]),0)</f>
        <v>100016.57</v>
      </c>
      <c r="AK59" s="3">
        <f>наценкад5[[#This Row],[утв цена м2]]*наценкад5[[#This Row],[Расчетная проектная площадь]]</f>
        <v>6851135.0450000009</v>
      </c>
      <c r="AL59" s="22" t="str">
        <f>VLOOKUP(наценкад5[[#This Row],[№]],ППД5[],COLUMN('Реестр ОН'!$DF$1),0)</f>
        <v>Продажа</v>
      </c>
    </row>
    <row r="60" spans="1:38" hidden="1" x14ac:dyDescent="0.25">
      <c r="A60" s="101">
        <v>58</v>
      </c>
      <c r="B60" s="2" t="str">
        <f>_xlfn.XLOOKUP(наценкад5[[#This Row],[№]],ППД5[№],ППД5[Секция],"-",0)</f>
        <v>А</v>
      </c>
      <c r="C60" s="2">
        <f>_xlfn.XLOOKUP(наценкад5[[#This Row],[№]],ППД5[№],ППД5[Этаж],"-",0)</f>
        <v>9</v>
      </c>
      <c r="D60" s="2">
        <f>_xlfn.XLOOKUP(наценкад5[[#This Row],[№]],ППД5[№],ППД5[№ на этаже],"-",0)</f>
        <v>3</v>
      </c>
      <c r="E60" s="2">
        <f>_xlfn.XLOOKUP(наценкад5[[#This Row],[№]],ППД5[№],ППД5[Тип кв],"-",0)</f>
        <v>1</v>
      </c>
      <c r="F60" s="72">
        <f>_xlfn.XLOOKUP(наценкад5[[#This Row],[№]],ППД5[№],ППД5[Кухня],"-",0)</f>
        <v>14.97</v>
      </c>
      <c r="G60" s="72">
        <f>_xlfn.XLOOKUP(наценкад5[[#This Row],[№]],ППД5[№],ППД5[Ванная],"-",0)</f>
        <v>4.1100000000000003</v>
      </c>
      <c r="H60" s="72">
        <f>_xlfn.XLOOKUP(наценкад5[[#This Row],[№]],ППД5[№],ППД5[Гардеробная],"-",0)</f>
        <v>0</v>
      </c>
      <c r="I60" s="72">
        <f>_xlfn.XLOOKUP(наценкад5[[#This Row],[№]],ППД5[№],ППД5[Лоджия 2],"-",0)</f>
        <v>0</v>
      </c>
      <c r="J60" s="72">
        <f>_xlfn.XLOOKUP(наценкад5[[#This Row],[№]],ППД5[№],ППД5[С\У],"-",0)</f>
        <v>0</v>
      </c>
      <c r="K60" s="72">
        <f>_xlfn.XLOOKUP(наценкад5[[#This Row],[№]],ППД5[№],ППД5[Расчетная проектная площадь],"-",0)</f>
        <v>37.729999999999997</v>
      </c>
      <c r="L60" s="12">
        <f t="shared" si="0"/>
        <v>63000</v>
      </c>
      <c r="M60" s="102">
        <f>коэффициенты!$G$2</f>
        <v>1.2875000000000001</v>
      </c>
      <c r="N60" s="13">
        <f>наценкад5[[#This Row],[Цена м2 базовая]]*наценкад5[[#This Row],[Базовой K]]</f>
        <v>81112.5</v>
      </c>
      <c r="O60" s="76">
        <f>коэффициенты!$G$4</f>
        <v>0.02</v>
      </c>
      <c r="P60" s="74"/>
      <c r="Q60" s="76">
        <f>коэффициенты!$G$6</f>
        <v>0.03</v>
      </c>
      <c r="R60" s="74"/>
      <c r="S60" s="74"/>
      <c r="T60" s="74"/>
      <c r="U60" s="74"/>
      <c r="V60" s="74"/>
      <c r="W60" s="75"/>
      <c r="X60" s="74">
        <f>коэффициенты!$G$13</f>
        <v>0.01</v>
      </c>
      <c r="Y60" s="75"/>
      <c r="Z60" s="74"/>
      <c r="AA60" s="76">
        <f>коэффициенты!$G$14</f>
        <v>0.01</v>
      </c>
      <c r="AB60" s="74"/>
      <c r="AC60" s="74"/>
      <c r="AD60" s="76">
        <f>коэффициенты!$G$19</f>
        <v>0.01</v>
      </c>
      <c r="AE60" s="76"/>
      <c r="AF60" s="76"/>
      <c r="AG60" s="74"/>
      <c r="AH60" s="74"/>
      <c r="AI60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60" s="72">
        <f>VLOOKUP(наценкад5[[#This Row],[№]],ППД5[],COLUMN(ППД5[[#This Row],[утв цена м2]]),0)</f>
        <v>118593.04</v>
      </c>
      <c r="AK60" s="3">
        <f>наценкад5[[#This Row],[утв цена м2]]*наценкад5[[#This Row],[Расчетная проектная площадь]]</f>
        <v>4474515.3991999989</v>
      </c>
      <c r="AL60" s="22" t="str">
        <f>VLOOKUP(наценкад5[[#This Row],[№]],ППД5[],COLUMN('Реестр ОН'!$DF$1),0)</f>
        <v>Продажа</v>
      </c>
    </row>
    <row r="61" spans="1:38" hidden="1" x14ac:dyDescent="0.25">
      <c r="A61" s="101">
        <v>59</v>
      </c>
      <c r="B61" s="2" t="str">
        <f>_xlfn.XLOOKUP(наценкад5[[#This Row],[№]],ППД5[№],ППД5[Секция],"-",0)</f>
        <v>А</v>
      </c>
      <c r="C61" s="2">
        <f>_xlfn.XLOOKUP(наценкад5[[#This Row],[№]],ППД5[№],ППД5[Этаж],"-",0)</f>
        <v>9</v>
      </c>
      <c r="D61" s="2">
        <f>_xlfn.XLOOKUP(наценкад5[[#This Row],[№]],ППД5[№],ППД5[№ на этаже],"-",0)</f>
        <v>4</v>
      </c>
      <c r="E61" s="2">
        <f>_xlfn.XLOOKUP(наценкад5[[#This Row],[№]],ППД5[№],ППД5[Тип кв],"-",0)</f>
        <v>2</v>
      </c>
      <c r="F61" s="72">
        <f>_xlfn.XLOOKUP(наценкад5[[#This Row],[№]],ППД5[№],ППД5[Кухня],"-",0)</f>
        <v>14.58</v>
      </c>
      <c r="G61" s="72">
        <f>_xlfn.XLOOKUP(наценкад5[[#This Row],[№]],ППД5[№],ППД5[Ванная],"-",0)</f>
        <v>4.34</v>
      </c>
      <c r="H61" s="72">
        <f>_xlfn.XLOOKUP(наценкад5[[#This Row],[№]],ППД5[№],ППД5[Гардеробная],"-",0)</f>
        <v>0</v>
      </c>
      <c r="I61" s="72">
        <f>_xlfn.XLOOKUP(наценкад5[[#This Row],[№]],ППД5[№],ППД5[Лоджия 2],"-",0)</f>
        <v>0</v>
      </c>
      <c r="J61" s="72">
        <f>_xlfn.XLOOKUP(наценкад5[[#This Row],[№]],ППД5[№],ППД5[С\У],"-",0)</f>
        <v>2.08</v>
      </c>
      <c r="K61" s="72">
        <f>_xlfn.XLOOKUP(наценкад5[[#This Row],[№]],ППД5[№],ППД5[Расчетная проектная площадь],"-",0)</f>
        <v>59.09</v>
      </c>
      <c r="L61" s="12">
        <f t="shared" si="0"/>
        <v>63000</v>
      </c>
      <c r="M61" s="102">
        <f>коэффициенты!$F$2</f>
        <v>1.2257</v>
      </c>
      <c r="N61" s="13">
        <f>наценкад5[[#This Row],[Цена м2 базовая]]*наценкад5[[#This Row],[Базовой K]]</f>
        <v>77219.100000000006</v>
      </c>
      <c r="O61" s="74">
        <f>коэффициенты!$F$4</f>
        <v>1.4999999999999999E-2</v>
      </c>
      <c r="P61" s="74"/>
      <c r="Q61" s="76">
        <f>коэффициенты!$F$6</f>
        <v>0.02</v>
      </c>
      <c r="R61" s="76"/>
      <c r="S61" s="76">
        <f>коэффициенты!$F$9</f>
        <v>0</v>
      </c>
      <c r="T61" s="74"/>
      <c r="U61" s="74"/>
      <c r="V61" s="74"/>
      <c r="W61" s="75"/>
      <c r="X61" s="74"/>
      <c r="Y61" s="75"/>
      <c r="Z61" s="74"/>
      <c r="AA61" s="74"/>
      <c r="AB61" s="74"/>
      <c r="AC61" s="74"/>
      <c r="AD61" s="76">
        <f>коэффициенты!$F$19</f>
        <v>5.0000000000000001E-3</v>
      </c>
      <c r="AE61" s="76"/>
      <c r="AF61" s="76"/>
      <c r="AG61" s="74"/>
      <c r="AH61" s="74"/>
      <c r="AI61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61" s="72">
        <f>VLOOKUP(наценкад5[[#This Row],[№]],ППД5[],COLUMN(ППД5[[#This Row],[утв цена м2]]),0)</f>
        <v>86852.95</v>
      </c>
      <c r="AK61" s="3">
        <f>наценкад5[[#This Row],[утв цена м2]]*наценкад5[[#This Row],[Расчетная проектная площадь]]</f>
        <v>5132140.8155000005</v>
      </c>
      <c r="AL61" s="22" t="str">
        <f>VLOOKUP(наценкад5[[#This Row],[№]],ППД5[],COLUMN('Реестр ОН'!$DF$1),0)</f>
        <v>Продажа</v>
      </c>
    </row>
    <row r="62" spans="1:38" hidden="1" x14ac:dyDescent="0.25">
      <c r="A62" s="101">
        <v>60</v>
      </c>
      <c r="B62" s="2" t="str">
        <f>_xlfn.XLOOKUP(наценкад5[[#This Row],[№]],ППД5[№],ППД5[Секция],"-",0)</f>
        <v>А</v>
      </c>
      <c r="C62" s="2">
        <f>_xlfn.XLOOKUP(наценкад5[[#This Row],[№]],ППД5[№],ППД5[Этаж],"-",0)</f>
        <v>9</v>
      </c>
      <c r="D62" s="2">
        <f>_xlfn.XLOOKUP(наценкад5[[#This Row],[№]],ППД5[№],ППД5[№ на этаже],"-",0)</f>
        <v>5</v>
      </c>
      <c r="E62" s="2">
        <f>_xlfn.XLOOKUP(наценкад5[[#This Row],[№]],ППД5[№],ППД5[Тип кв],"-",0)</f>
        <v>2</v>
      </c>
      <c r="F62" s="72">
        <f>_xlfn.XLOOKUP(наценкад5[[#This Row],[№]],ППД5[№],ППД5[Кухня],"-",0)</f>
        <v>18</v>
      </c>
      <c r="G62" s="72">
        <f>_xlfn.XLOOKUP(наценкад5[[#This Row],[№]],ППД5[№],ППД5[Ванная],"-",0)</f>
        <v>4.3499999999999996</v>
      </c>
      <c r="H62" s="72">
        <f>_xlfn.XLOOKUP(наценкад5[[#This Row],[№]],ППД5[№],ППД5[Гардеробная],"-",0)</f>
        <v>0</v>
      </c>
      <c r="I62" s="72">
        <f>_xlfn.XLOOKUP(наценкад5[[#This Row],[№]],ППД5[№],ППД5[Лоджия 2],"-",0)</f>
        <v>0</v>
      </c>
      <c r="J62" s="72">
        <f>_xlfn.XLOOKUP(наценкад5[[#This Row],[№]],ППД5[№],ППД5[С\У],"-",0)</f>
        <v>1.55</v>
      </c>
      <c r="K62" s="72">
        <f>_xlfn.XLOOKUP(наценкад5[[#This Row],[№]],ППД5[№],ППД5[Расчетная проектная площадь],"-",0)</f>
        <v>62.17</v>
      </c>
      <c r="L62" s="12">
        <f t="shared" si="0"/>
        <v>63000</v>
      </c>
      <c r="M62" s="102">
        <f>коэффициенты!$F$2</f>
        <v>1.2257</v>
      </c>
      <c r="N62" s="13">
        <f>наценкад5[[#This Row],[Цена м2 базовая]]*наценкад5[[#This Row],[Базовой K]]</f>
        <v>77219.100000000006</v>
      </c>
      <c r="O62" s="74">
        <f>коэффициенты!$F$4</f>
        <v>1.4999999999999999E-2</v>
      </c>
      <c r="P62" s="74"/>
      <c r="Q62" s="76">
        <f>коэффициенты!$F$6</f>
        <v>0.02</v>
      </c>
      <c r="R62" s="76"/>
      <c r="S62" s="76">
        <f>коэффициенты!$F$9</f>
        <v>0</v>
      </c>
      <c r="T62" s="74"/>
      <c r="U62" s="74"/>
      <c r="V62" s="76"/>
      <c r="W62" s="75"/>
      <c r="X62" s="76"/>
      <c r="Y62" s="75"/>
      <c r="Z62" s="74"/>
      <c r="AA62" s="74"/>
      <c r="AB62" s="74"/>
      <c r="AC62" s="74"/>
      <c r="AD62" s="76">
        <f>коэффициенты!$F$19</f>
        <v>5.0000000000000001E-3</v>
      </c>
      <c r="AE62" s="76"/>
      <c r="AF62" s="76"/>
      <c r="AG62" s="74"/>
      <c r="AH62" s="74"/>
      <c r="AI62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62" s="72">
        <f>VLOOKUP(наценкад5[[#This Row],[№]],ППД5[],COLUMN(ППД5[[#This Row],[утв цена м2]]),0)</f>
        <v>124241.85</v>
      </c>
      <c r="AK62" s="3">
        <f>наценкад5[[#This Row],[утв цена м2]]*наценкад5[[#This Row],[Расчетная проектная площадь]]</f>
        <v>7724115.8145000003</v>
      </c>
      <c r="AL62" s="22" t="str">
        <f>VLOOKUP(наценкад5[[#This Row],[№]],ППД5[],COLUMN('Реестр ОН'!$DF$1),0)</f>
        <v>Продажа</v>
      </c>
    </row>
    <row r="63" spans="1:38" hidden="1" x14ac:dyDescent="0.25">
      <c r="A63" s="101">
        <v>61</v>
      </c>
      <c r="B63" s="2" t="str">
        <f>_xlfn.XLOOKUP(наценкад5[[#This Row],[№]],ППД5[№],ППД5[Секция],"-",0)</f>
        <v>А</v>
      </c>
      <c r="C63" s="2">
        <f>_xlfn.XLOOKUP(наценкад5[[#This Row],[№]],ППД5[№],ППД5[Этаж],"-",0)</f>
        <v>9</v>
      </c>
      <c r="D63" s="2">
        <f>_xlfn.XLOOKUP(наценкад5[[#This Row],[№]],ППД5[№],ППД5[№ на этаже],"-",0)</f>
        <v>6</v>
      </c>
      <c r="E63" s="2">
        <f>_xlfn.XLOOKUP(наценкад5[[#This Row],[№]],ППД5[№],ППД5[Тип кв],"-",0)</f>
        <v>2</v>
      </c>
      <c r="F63" s="72">
        <f>_xlfn.XLOOKUP(наценкад5[[#This Row],[№]],ППД5[№],ППД5[Кухня],"-",0)</f>
        <v>14.35</v>
      </c>
      <c r="G63" s="72">
        <f>_xlfn.XLOOKUP(наценкад5[[#This Row],[№]],ППД5[№],ППД5[Ванная],"-",0)</f>
        <v>4.16</v>
      </c>
      <c r="H63" s="72">
        <f>_xlfn.XLOOKUP(наценкад5[[#This Row],[№]],ППД5[№],ППД5[Гардеробная],"-",0)</f>
        <v>0</v>
      </c>
      <c r="I63" s="72">
        <f>_xlfn.XLOOKUP(наценкад5[[#This Row],[№]],ППД5[№],ППД5[Лоджия 2],"-",0)</f>
        <v>0</v>
      </c>
      <c r="J63" s="72">
        <f>_xlfn.XLOOKUP(наценкад5[[#This Row],[№]],ППД5[№],ППД5[С\У],"-",0)</f>
        <v>1.93</v>
      </c>
      <c r="K63" s="72">
        <f>_xlfn.XLOOKUP(наценкад5[[#This Row],[№]],ППД5[№],ППД5[Расчетная проектная площадь],"-",0)</f>
        <v>58.16</v>
      </c>
      <c r="L63" s="12">
        <f t="shared" si="0"/>
        <v>63000</v>
      </c>
      <c r="M63" s="102">
        <f>коэффициенты!$F$2</f>
        <v>1.2257</v>
      </c>
      <c r="N63" s="13">
        <f>наценкад5[[#This Row],[Цена м2 базовая]]*наценкад5[[#This Row],[Базовой K]]</f>
        <v>77219.100000000006</v>
      </c>
      <c r="O63" s="74">
        <f>коэффициенты!$F$4</f>
        <v>1.4999999999999999E-2</v>
      </c>
      <c r="P63" s="74"/>
      <c r="Q63" s="74">
        <f>коэффициенты!$E$6</f>
        <v>0.01</v>
      </c>
      <c r="R63" s="76"/>
      <c r="S63" s="76">
        <f>коэффициенты!$F$9</f>
        <v>0</v>
      </c>
      <c r="T63" s="74"/>
      <c r="U63" s="74"/>
      <c r="V63" s="74">
        <f>коэффициенты!$F$11</f>
        <v>5.0000000000000001E-3</v>
      </c>
      <c r="W63" s="75"/>
      <c r="X63" s="74">
        <f>коэффициенты!$F$13</f>
        <v>0.02</v>
      </c>
      <c r="Y63" s="75"/>
      <c r="Z63" s="74"/>
      <c r="AA63" s="74"/>
      <c r="AB63" s="74"/>
      <c r="AC63" s="74"/>
      <c r="AD63" s="76">
        <f>коэффициенты!$F$19</f>
        <v>5.0000000000000001E-3</v>
      </c>
      <c r="AE63" s="76"/>
      <c r="AF63" s="76"/>
      <c r="AG63" s="74"/>
      <c r="AH63" s="74"/>
      <c r="AI63" s="73">
        <f>SUM(наценкад5[[#This Row],[еврокухня]:[большая площадь]])*наценкад5[[#This Row],[Цена м2 с базовым K]]+наценкад5[[#This Row],[Цена м2 с базовым K]]</f>
        <v>81466.150500000003</v>
      </c>
      <c r="AJ63" s="72">
        <f>VLOOKUP(наценкад5[[#This Row],[№]],ППД5[],COLUMN(ППД5[[#This Row],[утв цена м2]]),0)</f>
        <v>124800.16</v>
      </c>
      <c r="AK63" s="3">
        <f>наценкад5[[#This Row],[утв цена м2]]*наценкад5[[#This Row],[Расчетная проектная площадь]]</f>
        <v>7258377.3055999996</v>
      </c>
      <c r="AL63" s="22" t="str">
        <f>VLOOKUP(наценкад5[[#This Row],[№]],ППД5[],COLUMN('Реестр ОН'!$DF$1),0)</f>
        <v>Продажа</v>
      </c>
    </row>
    <row r="64" spans="1:38" hidden="1" x14ac:dyDescent="0.25">
      <c r="A64" s="101">
        <v>62</v>
      </c>
      <c r="B64" s="2" t="str">
        <f>_xlfn.XLOOKUP(наценкад5[[#This Row],[№]],ППД5[№],ППД5[Секция],"-",0)</f>
        <v>А</v>
      </c>
      <c r="C64" s="2">
        <f>_xlfn.XLOOKUP(наценкад5[[#This Row],[№]],ППД5[№],ППД5[Этаж],"-",0)</f>
        <v>9</v>
      </c>
      <c r="D64" s="2">
        <f>_xlfn.XLOOKUP(наценкад5[[#This Row],[№]],ППД5[№],ППД5[№ на этаже],"-",0)</f>
        <v>7</v>
      </c>
      <c r="E64" s="2">
        <f>_xlfn.XLOOKUP(наценкад5[[#This Row],[№]],ППД5[№],ППД5[Тип кв],"-",0)</f>
        <v>1</v>
      </c>
      <c r="F64" s="72">
        <f>_xlfn.XLOOKUP(наценкад5[[#This Row],[№]],ППД5[№],ППД5[Кухня],"-",0)</f>
        <v>13.04</v>
      </c>
      <c r="G64" s="72">
        <f>_xlfn.XLOOKUP(наценкад5[[#This Row],[№]],ППД5[№],ППД5[Ванная],"-",0)</f>
        <v>3.9</v>
      </c>
      <c r="H64" s="72">
        <f>_xlfn.XLOOKUP(наценкад5[[#This Row],[№]],ППД5[№],ППД5[Гардеробная],"-",0)</f>
        <v>0</v>
      </c>
      <c r="I64" s="72">
        <f>_xlfn.XLOOKUP(наценкад5[[#This Row],[№]],ППД5[№],ППД5[Лоджия 2],"-",0)</f>
        <v>0</v>
      </c>
      <c r="J64" s="72">
        <f>_xlfn.XLOOKUP(наценкад5[[#This Row],[№]],ППД5[№],ППД5[С\У],"-",0)</f>
        <v>0</v>
      </c>
      <c r="K64" s="72">
        <f>_xlfn.XLOOKUP(наценкад5[[#This Row],[№]],ППД5[№],ППД5[Расчетная проектная площадь],"-",0)</f>
        <v>42.75</v>
      </c>
      <c r="L64" s="12">
        <f t="shared" si="0"/>
        <v>63000</v>
      </c>
      <c r="M64" s="102">
        <f>коэффициенты!$G$2</f>
        <v>1.2875000000000001</v>
      </c>
      <c r="N64" s="13">
        <f>наценкад5[[#This Row],[Цена м2 базовая]]*наценкад5[[#This Row],[Базовой K]]</f>
        <v>81112.5</v>
      </c>
      <c r="O64" s="74"/>
      <c r="P64" s="76">
        <f>коэффициенты!$G$5</f>
        <v>0.01</v>
      </c>
      <c r="Q64" s="74"/>
      <c r="R64" s="74"/>
      <c r="S64" s="74"/>
      <c r="T64" s="74"/>
      <c r="U64" s="74"/>
      <c r="V64" s="74">
        <f>коэффициенты!$G$11</f>
        <v>0.01</v>
      </c>
      <c r="W64" s="74"/>
      <c r="X64" s="74"/>
      <c r="Y64" s="75"/>
      <c r="Z64" s="74"/>
      <c r="AA64" s="76">
        <f>коэффициенты!$G$14</f>
        <v>0.01</v>
      </c>
      <c r="AB64" s="74"/>
      <c r="AC64" s="74"/>
      <c r="AD64" s="76">
        <f>коэффициенты!$G$19</f>
        <v>0.01</v>
      </c>
      <c r="AE64" s="76"/>
      <c r="AF64" s="76"/>
      <c r="AG64" s="74">
        <f>коэффициенты!$A$24</f>
        <v>-5.0000000000000001E-3</v>
      </c>
      <c r="AH64" s="74"/>
      <c r="AI64" s="73">
        <f>SUM(наценкад5[[#This Row],[еврокухня]:[большая площадь]])*наценкад5[[#This Row],[Цена м2 с базовым K]]+наценкад5[[#This Row],[Цена м2 с базовым K]]</f>
        <v>83951.4375</v>
      </c>
      <c r="AJ64" s="72">
        <f>VLOOKUP(наценкад5[[#This Row],[№]],ППД5[],COLUMN(ППД5[[#This Row],[утв цена м2]]),0)</f>
        <v>108299.19</v>
      </c>
      <c r="AK64" s="3">
        <f>наценкад5[[#This Row],[утв цена м2]]*наценкад5[[#This Row],[Расчетная проектная площадь]]</f>
        <v>4629790.3725000005</v>
      </c>
      <c r="AL64" s="22" t="str">
        <f>VLOOKUP(наценкад5[[#This Row],[№]],ППД5[],COLUMN('Реестр ОН'!$DF$1),0)</f>
        <v>Продажа</v>
      </c>
    </row>
    <row r="65" spans="1:38" hidden="1" x14ac:dyDescent="0.25">
      <c r="A65" s="101">
        <v>63</v>
      </c>
      <c r="B65" s="2" t="str">
        <f>_xlfn.XLOOKUP(наценкад5[[#This Row],[№]],ППД5[№],ППД5[Секция],"-",0)</f>
        <v>А</v>
      </c>
      <c r="C65" s="2">
        <f>_xlfn.XLOOKUP(наценкад5[[#This Row],[№]],ППД5[№],ППД5[Этаж],"-",0)</f>
        <v>10</v>
      </c>
      <c r="D65" s="2">
        <f>_xlfn.XLOOKUP(наценкад5[[#This Row],[№]],ППД5[№],ППД5[№ на этаже],"-",0)</f>
        <v>1</v>
      </c>
      <c r="E65" s="2">
        <f>_xlfn.XLOOKUP(наценкад5[[#This Row],[№]],ППД5[№],ППД5[Тип кв],"-",0)</f>
        <v>1</v>
      </c>
      <c r="F65" s="72">
        <f>_xlfn.XLOOKUP(наценкад5[[#This Row],[№]],ППД5[№],ППД5[Кухня],"-",0)</f>
        <v>9.84</v>
      </c>
      <c r="G65" s="72">
        <f>_xlfn.XLOOKUP(наценкад5[[#This Row],[№]],ППД5[№],ППД5[Ванная],"-",0)</f>
        <v>3.63</v>
      </c>
      <c r="H65" s="72">
        <f>_xlfn.XLOOKUP(наценкад5[[#This Row],[№]],ППД5[№],ППД5[Гардеробная],"-",0)</f>
        <v>0</v>
      </c>
      <c r="I65" s="72">
        <f>_xlfn.XLOOKUP(наценкад5[[#This Row],[№]],ППД5[№],ППД5[Лоджия 2],"-",0)</f>
        <v>0</v>
      </c>
      <c r="J65" s="72">
        <f>_xlfn.XLOOKUP(наценкад5[[#This Row],[№]],ППД5[№],ППД5[С\У],"-",0)</f>
        <v>0</v>
      </c>
      <c r="K65" s="72">
        <f>_xlfn.XLOOKUP(наценкад5[[#This Row],[№]],ППД5[№],ППД5[Расчетная проектная площадь],"-",0)</f>
        <v>34.39</v>
      </c>
      <c r="L65" s="12">
        <f t="shared" si="0"/>
        <v>63000</v>
      </c>
      <c r="M65" s="102">
        <f>коэффициенты!$G$2</f>
        <v>1.2875000000000001</v>
      </c>
      <c r="N65" s="13">
        <f>наценкад5[[#This Row],[Цена м2 базовая]]*наценкад5[[#This Row],[Базовой K]]</f>
        <v>81112.5</v>
      </c>
      <c r="O65" s="74"/>
      <c r="P65" s="74"/>
      <c r="Q65" s="74"/>
      <c r="R65" s="74"/>
      <c r="S65" s="74"/>
      <c r="T65" s="74"/>
      <c r="U65" s="74"/>
      <c r="V65" s="74"/>
      <c r="W65" s="75"/>
      <c r="X65" s="74"/>
      <c r="Y65" s="75"/>
      <c r="Z65" s="74"/>
      <c r="AA65" s="76">
        <f>коэффициенты!$G$14</f>
        <v>0.01</v>
      </c>
      <c r="AB65" s="74"/>
      <c r="AC65" s="74"/>
      <c r="AD65" s="76">
        <f>коэффициенты!$G$19</f>
        <v>0.01</v>
      </c>
      <c r="AE65" s="76"/>
      <c r="AF65" s="76"/>
      <c r="AG65" s="74"/>
      <c r="AH65" s="74"/>
      <c r="AI65" s="73">
        <f>SUM(наценкад5[[#This Row],[еврокухня]:[большая площадь]])*наценкад5[[#This Row],[Цена м2 с базовым K]]+наценкад5[[#This Row],[Цена м2 с базовым K]]</f>
        <v>82734.75</v>
      </c>
      <c r="AJ65" s="72">
        <f>VLOOKUP(наценкад5[[#This Row],[№]],ППД5[],COLUMN(ППД5[[#This Row],[утв цена м2]]),0)</f>
        <v>82734.75</v>
      </c>
      <c r="AK65" s="3">
        <f>наценкад5[[#This Row],[утв цена м2]]*наценкад5[[#This Row],[Расчетная проектная площадь]]</f>
        <v>2845248.0525000002</v>
      </c>
      <c r="AL65" s="22" t="str">
        <f>VLOOKUP(наценкад5[[#This Row],[№]],ППД5[],COLUMN('Реестр ОН'!$DF$1),0)</f>
        <v>Продажа</v>
      </c>
    </row>
    <row r="66" spans="1:38" hidden="1" x14ac:dyDescent="0.25">
      <c r="A66" s="101">
        <v>64</v>
      </c>
      <c r="B66" s="2" t="str">
        <f>_xlfn.XLOOKUP(наценкад5[[#This Row],[№]],ППД5[№],ППД5[Секция],"-",0)</f>
        <v>А</v>
      </c>
      <c r="C66" s="2">
        <f>_xlfn.XLOOKUP(наценкад5[[#This Row],[№]],ППД5[№],ППД5[Этаж],"-",0)</f>
        <v>10</v>
      </c>
      <c r="D66" s="2">
        <f>_xlfn.XLOOKUP(наценкад5[[#This Row],[№]],ППД5[№],ППД5[№ на этаже],"-",0)</f>
        <v>2</v>
      </c>
      <c r="E66" s="2">
        <f>_xlfn.XLOOKUP(наценкад5[[#This Row],[№]],ППД5[№],ППД5[Тип кв],"-",0)</f>
        <v>2</v>
      </c>
      <c r="F66" s="72">
        <f>_xlfn.XLOOKUP(наценкад5[[#This Row],[№]],ППД5[№],ППД5[Кухня],"-",0)</f>
        <v>19.440000000000001</v>
      </c>
      <c r="G66" s="72">
        <f>_xlfn.XLOOKUP(наценкад5[[#This Row],[№]],ППД5[№],ППД5[Ванная],"-",0)</f>
        <v>4.42</v>
      </c>
      <c r="H66" s="72">
        <f>_xlfn.XLOOKUP(наценкад5[[#This Row],[№]],ППД5[№],ППД5[Гардеробная],"-",0)</f>
        <v>3.25</v>
      </c>
      <c r="I66" s="72">
        <f>_xlfn.XLOOKUP(наценкад5[[#This Row],[№]],ППД5[№],ППД5[Лоджия 2],"-",0)</f>
        <v>0</v>
      </c>
      <c r="J66" s="72">
        <f>_xlfn.XLOOKUP(наценкад5[[#This Row],[№]],ППД5[№],ППД5[С\У],"-",0)</f>
        <v>0</v>
      </c>
      <c r="K66" s="72">
        <f>_xlfn.XLOOKUP(наценкад5[[#This Row],[№]],ППД5[№],ППД5[Расчетная проектная площадь],"-",0)</f>
        <v>68.5</v>
      </c>
      <c r="L66" s="12">
        <f t="shared" si="0"/>
        <v>63000</v>
      </c>
      <c r="M66" s="102">
        <f>коэффициенты!$F$2</f>
        <v>1.2257</v>
      </c>
      <c r="N66" s="13">
        <f>наценкад5[[#This Row],[Цена м2 базовая]]*наценкад5[[#This Row],[Базовой K]]</f>
        <v>77219.100000000006</v>
      </c>
      <c r="O66" s="74">
        <f>коэффициенты!$F$4</f>
        <v>1.4999999999999999E-2</v>
      </c>
      <c r="P66" s="74"/>
      <c r="Q66" s="76">
        <f>коэффициенты!$F$6</f>
        <v>0.02</v>
      </c>
      <c r="R66" s="76"/>
      <c r="S66" s="76"/>
      <c r="T66" s="74"/>
      <c r="U66" s="74"/>
      <c r="V66" s="74">
        <f>коэффициенты!$F$11</f>
        <v>5.0000000000000001E-3</v>
      </c>
      <c r="W66" s="74"/>
      <c r="X66" s="74"/>
      <c r="Y66" s="75"/>
      <c r="Z66" s="74"/>
      <c r="AA66" s="74"/>
      <c r="AB66" s="76">
        <f>коэффициенты!$F$17</f>
        <v>0.05</v>
      </c>
      <c r="AC66" s="74"/>
      <c r="AD66" s="76"/>
      <c r="AE66" s="76"/>
      <c r="AF66" s="76"/>
      <c r="AG66" s="74"/>
      <c r="AH66" s="76"/>
      <c r="AI66" s="73">
        <f>SUM(наценкад5[[#This Row],[еврокухня]:[большая площадь]])*наценкад5[[#This Row],[Цена м2 с базовым K]]+наценкад5[[#This Row],[Цена м2 с базовым K]]</f>
        <v>84168.819000000003</v>
      </c>
      <c r="AJ66" s="72">
        <f>VLOOKUP(наценкад5[[#This Row],[№]],ППД5[],COLUMN(ППД5[[#This Row],[утв цена м2]]),0)</f>
        <v>99518.97</v>
      </c>
      <c r="AK66" s="3">
        <f>наценкад5[[#This Row],[утв цена м2]]*наценкад5[[#This Row],[Расчетная проектная площадь]]</f>
        <v>6817049.4450000003</v>
      </c>
      <c r="AL66" s="22" t="str">
        <f>VLOOKUP(наценкад5[[#This Row],[№]],ППД5[],COLUMN('Реестр ОН'!$DF$1),0)</f>
        <v>Продажа</v>
      </c>
    </row>
    <row r="67" spans="1:38" hidden="1" x14ac:dyDescent="0.25">
      <c r="A67" s="101">
        <v>65</v>
      </c>
      <c r="B67" s="2" t="str">
        <f>_xlfn.XLOOKUP(наценкад5[[#This Row],[№]],ППД5[№],ППД5[Секция],"-",0)</f>
        <v>А</v>
      </c>
      <c r="C67" s="2">
        <f>_xlfn.XLOOKUP(наценкад5[[#This Row],[№]],ППД5[№],ППД5[Этаж],"-",0)</f>
        <v>10</v>
      </c>
      <c r="D67" s="2">
        <f>_xlfn.XLOOKUP(наценкад5[[#This Row],[№]],ППД5[№],ППД5[№ на этаже],"-",0)</f>
        <v>3</v>
      </c>
      <c r="E67" s="2">
        <f>_xlfn.XLOOKUP(наценкад5[[#This Row],[№]],ППД5[№],ППД5[Тип кв],"-",0)</f>
        <v>1</v>
      </c>
      <c r="F67" s="72">
        <f>_xlfn.XLOOKUP(наценкад5[[#This Row],[№]],ППД5[№],ППД5[Кухня],"-",0)</f>
        <v>14.97</v>
      </c>
      <c r="G67" s="72">
        <f>_xlfn.XLOOKUP(наценкад5[[#This Row],[№]],ППД5[№],ППД5[Ванная],"-",0)</f>
        <v>4.1100000000000003</v>
      </c>
      <c r="H67" s="72">
        <f>_xlfn.XLOOKUP(наценкад5[[#This Row],[№]],ППД5[№],ППД5[Гардеробная],"-",0)</f>
        <v>0</v>
      </c>
      <c r="I67" s="72">
        <f>_xlfn.XLOOKUP(наценкад5[[#This Row],[№]],ППД5[№],ППД5[Лоджия 2],"-",0)</f>
        <v>0</v>
      </c>
      <c r="J67" s="72">
        <f>_xlfn.XLOOKUP(наценкад5[[#This Row],[№]],ППД5[№],ППД5[С\У],"-",0)</f>
        <v>0</v>
      </c>
      <c r="K67" s="72">
        <f>_xlfn.XLOOKUP(наценкад5[[#This Row],[№]],ППД5[№],ППД5[Расчетная проектная площадь],"-",0)</f>
        <v>37.729999999999997</v>
      </c>
      <c r="L67" s="12">
        <f t="shared" ref="L67:L130" si="1">$L$1</f>
        <v>63000</v>
      </c>
      <c r="M67" s="102">
        <f>коэффициенты!$G$2</f>
        <v>1.2875000000000001</v>
      </c>
      <c r="N67" s="13">
        <f>наценкад5[[#This Row],[Цена м2 базовая]]*наценкад5[[#This Row],[Базовой K]]</f>
        <v>81112.5</v>
      </c>
      <c r="O67" s="76">
        <f>коэффициенты!$G$4</f>
        <v>0.02</v>
      </c>
      <c r="P67" s="74"/>
      <c r="Q67" s="76">
        <f>коэффициенты!$G$6</f>
        <v>0.03</v>
      </c>
      <c r="R67" s="74"/>
      <c r="S67" s="74"/>
      <c r="T67" s="74"/>
      <c r="U67" s="74"/>
      <c r="V67" s="74"/>
      <c r="W67" s="74"/>
      <c r="X67" s="74">
        <f>коэффициенты!$G$13</f>
        <v>0.01</v>
      </c>
      <c r="Y67" s="75"/>
      <c r="Z67" s="74"/>
      <c r="AA67" s="76">
        <f>коэффициенты!$G$14</f>
        <v>0.01</v>
      </c>
      <c r="AB67" s="74"/>
      <c r="AC67" s="74"/>
      <c r="AD67" s="76">
        <f>коэффициенты!$G$19</f>
        <v>0.01</v>
      </c>
      <c r="AE67" s="76"/>
      <c r="AF67" s="76"/>
      <c r="AG67" s="74"/>
      <c r="AH67" s="74"/>
      <c r="AI67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67" s="72">
        <f>VLOOKUP(наценкад5[[#This Row],[№]],ППД5[],COLUMN(ППД5[[#This Row],[утв цена м2]]),0)</f>
        <v>147761.94</v>
      </c>
      <c r="AK67" s="3">
        <f>наценкад5[[#This Row],[утв цена м2]]*наценкад5[[#This Row],[Расчетная проектная площадь]]</f>
        <v>5575057.9961999999</v>
      </c>
      <c r="AL67" s="22" t="str">
        <f>VLOOKUP(наценкад5[[#This Row],[№]],ППД5[],COLUMN('Реестр ОН'!$DF$1),0)</f>
        <v>Свободно</v>
      </c>
    </row>
    <row r="68" spans="1:38" hidden="1" x14ac:dyDescent="0.25">
      <c r="A68" s="101">
        <v>66</v>
      </c>
      <c r="B68" s="2" t="str">
        <f>_xlfn.XLOOKUP(наценкад5[[#This Row],[№]],ППД5[№],ППД5[Секция],"-",0)</f>
        <v>А</v>
      </c>
      <c r="C68" s="2">
        <f>_xlfn.XLOOKUP(наценкад5[[#This Row],[№]],ППД5[№],ППД5[Этаж],"-",0)</f>
        <v>10</v>
      </c>
      <c r="D68" s="2">
        <f>_xlfn.XLOOKUP(наценкад5[[#This Row],[№]],ППД5[№],ППД5[№ на этаже],"-",0)</f>
        <v>4</v>
      </c>
      <c r="E68" s="2">
        <f>_xlfn.XLOOKUP(наценкад5[[#This Row],[№]],ППД5[№],ППД5[Тип кв],"-",0)</f>
        <v>2</v>
      </c>
      <c r="F68" s="72">
        <f>_xlfn.XLOOKUP(наценкад5[[#This Row],[№]],ППД5[№],ППД5[Кухня],"-",0)</f>
        <v>14.58</v>
      </c>
      <c r="G68" s="72">
        <f>_xlfn.XLOOKUP(наценкад5[[#This Row],[№]],ППД5[№],ППД5[Ванная],"-",0)</f>
        <v>4.34</v>
      </c>
      <c r="H68" s="72">
        <f>_xlfn.XLOOKUP(наценкад5[[#This Row],[№]],ППД5[№],ППД5[Гардеробная],"-",0)</f>
        <v>0</v>
      </c>
      <c r="I68" s="72">
        <f>_xlfn.XLOOKUP(наценкад5[[#This Row],[№]],ППД5[№],ППД5[Лоджия 2],"-",0)</f>
        <v>0</v>
      </c>
      <c r="J68" s="72">
        <f>_xlfn.XLOOKUP(наценкад5[[#This Row],[№]],ППД5[№],ППД5[С\У],"-",0)</f>
        <v>2.08</v>
      </c>
      <c r="K68" s="72">
        <f>_xlfn.XLOOKUP(наценкад5[[#This Row],[№]],ППД5[№],ППД5[Расчетная проектная площадь],"-",0)</f>
        <v>59.09</v>
      </c>
      <c r="L68" s="12">
        <f t="shared" si="1"/>
        <v>63000</v>
      </c>
      <c r="M68" s="102">
        <f>коэффициенты!$F$2</f>
        <v>1.2257</v>
      </c>
      <c r="N68" s="13">
        <f>наценкад5[[#This Row],[Цена м2 базовая]]*наценкад5[[#This Row],[Базовой K]]</f>
        <v>77219.100000000006</v>
      </c>
      <c r="O68" s="74">
        <f>коэффициенты!$F$4</f>
        <v>1.4999999999999999E-2</v>
      </c>
      <c r="P68" s="74"/>
      <c r="Q68" s="76">
        <f>коэффициенты!$F$6</f>
        <v>0.02</v>
      </c>
      <c r="R68" s="76"/>
      <c r="S68" s="76">
        <f>коэффициенты!$F$9</f>
        <v>0</v>
      </c>
      <c r="T68" s="74"/>
      <c r="U68" s="74"/>
      <c r="V68" s="74"/>
      <c r="W68" s="75"/>
      <c r="X68" s="74"/>
      <c r="Y68" s="75"/>
      <c r="Z68" s="74"/>
      <c r="AA68" s="74"/>
      <c r="AB68" s="74"/>
      <c r="AC68" s="74"/>
      <c r="AD68" s="76">
        <f>коэффициенты!$F$19</f>
        <v>5.0000000000000001E-3</v>
      </c>
      <c r="AE68" s="76"/>
      <c r="AF68" s="76"/>
      <c r="AG68" s="74"/>
      <c r="AH68" s="74"/>
      <c r="AI68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68" s="72">
        <f>VLOOKUP(наценкад5[[#This Row],[№]],ППД5[],COLUMN(ППД5[[#This Row],[утв цена м2]]),0)</f>
        <v>98238.8</v>
      </c>
      <c r="AK68" s="3">
        <f>наценкад5[[#This Row],[утв цена м2]]*наценкад5[[#This Row],[Расчетная проектная площадь]]</f>
        <v>5804930.6920000007</v>
      </c>
      <c r="AL68" s="22" t="str">
        <f>VLOOKUP(наценкад5[[#This Row],[№]],ППД5[],COLUMN('Реестр ОН'!$DF$1),0)</f>
        <v>Продажа</v>
      </c>
    </row>
    <row r="69" spans="1:38" hidden="1" x14ac:dyDescent="0.25">
      <c r="A69" s="101">
        <v>67</v>
      </c>
      <c r="B69" s="2" t="str">
        <f>_xlfn.XLOOKUP(наценкад5[[#This Row],[№]],ППД5[№],ППД5[Секция],"-",0)</f>
        <v>А</v>
      </c>
      <c r="C69" s="2">
        <f>_xlfn.XLOOKUP(наценкад5[[#This Row],[№]],ППД5[№],ППД5[Этаж],"-",0)</f>
        <v>10</v>
      </c>
      <c r="D69" s="2">
        <f>_xlfn.XLOOKUP(наценкад5[[#This Row],[№]],ППД5[№],ППД5[№ на этаже],"-",0)</f>
        <v>5</v>
      </c>
      <c r="E69" s="2">
        <f>_xlfn.XLOOKUP(наценкад5[[#This Row],[№]],ППД5[№],ППД5[Тип кв],"-",0)</f>
        <v>2</v>
      </c>
      <c r="F69" s="72">
        <f>_xlfn.XLOOKUP(наценкад5[[#This Row],[№]],ППД5[№],ППД5[Кухня],"-",0)</f>
        <v>18</v>
      </c>
      <c r="G69" s="72">
        <f>_xlfn.XLOOKUP(наценкад5[[#This Row],[№]],ППД5[№],ППД5[Ванная],"-",0)</f>
        <v>4.3499999999999996</v>
      </c>
      <c r="H69" s="72">
        <f>_xlfn.XLOOKUP(наценкад5[[#This Row],[№]],ППД5[№],ППД5[Гардеробная],"-",0)</f>
        <v>0</v>
      </c>
      <c r="I69" s="72">
        <f>_xlfn.XLOOKUP(наценкад5[[#This Row],[№]],ППД5[№],ППД5[Лоджия 2],"-",0)</f>
        <v>0</v>
      </c>
      <c r="J69" s="72">
        <f>_xlfn.XLOOKUP(наценкад5[[#This Row],[№]],ППД5[№],ППД5[С\У],"-",0)</f>
        <v>1.55</v>
      </c>
      <c r="K69" s="72">
        <f>_xlfn.XLOOKUP(наценкад5[[#This Row],[№]],ППД5[№],ППД5[Расчетная проектная площадь],"-",0)</f>
        <v>62.17</v>
      </c>
      <c r="L69" s="12">
        <f t="shared" si="1"/>
        <v>63000</v>
      </c>
      <c r="M69" s="102">
        <f>коэффициенты!$F$2</f>
        <v>1.2257</v>
      </c>
      <c r="N69" s="13">
        <f>наценкад5[[#This Row],[Цена м2 базовая]]*наценкад5[[#This Row],[Базовой K]]</f>
        <v>77219.100000000006</v>
      </c>
      <c r="O69" s="74">
        <f>коэффициенты!$F$4</f>
        <v>1.4999999999999999E-2</v>
      </c>
      <c r="P69" s="74"/>
      <c r="Q69" s="76">
        <f>коэффициенты!$F$6</f>
        <v>0.02</v>
      </c>
      <c r="R69" s="76"/>
      <c r="S69" s="76">
        <f>коэффициенты!$F$9</f>
        <v>0</v>
      </c>
      <c r="T69" s="74"/>
      <c r="U69" s="74"/>
      <c r="V69" s="76"/>
      <c r="W69" s="74"/>
      <c r="X69" s="76"/>
      <c r="Y69" s="75"/>
      <c r="Z69" s="74"/>
      <c r="AA69" s="74"/>
      <c r="AB69" s="74"/>
      <c r="AC69" s="74"/>
      <c r="AD69" s="76">
        <f>коэффициенты!$F$19</f>
        <v>5.0000000000000001E-3</v>
      </c>
      <c r="AE69" s="76"/>
      <c r="AF69" s="76"/>
      <c r="AG69" s="74"/>
      <c r="AH69" s="74"/>
      <c r="AI69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69" s="72">
        <f>VLOOKUP(наценкад5[[#This Row],[№]],ППД5[],COLUMN(ППД5[[#This Row],[утв цена м2]]),0)</f>
        <v>124241.85</v>
      </c>
      <c r="AK69" s="3">
        <f>наценкад5[[#This Row],[утв цена м2]]*наценкад5[[#This Row],[Расчетная проектная площадь]]</f>
        <v>7724115.8145000003</v>
      </c>
      <c r="AL69" s="22" t="str">
        <f>VLOOKUP(наценкад5[[#This Row],[№]],ППД5[],COLUMN('Реестр ОН'!$DF$1),0)</f>
        <v>Ус. Бронь</v>
      </c>
    </row>
    <row r="70" spans="1:38" hidden="1" x14ac:dyDescent="0.25">
      <c r="A70" s="101">
        <v>68</v>
      </c>
      <c r="B70" s="2" t="str">
        <f>_xlfn.XLOOKUP(наценкад5[[#This Row],[№]],ППД5[№],ППД5[Секция],"-",0)</f>
        <v>А</v>
      </c>
      <c r="C70" s="2">
        <f>_xlfn.XLOOKUP(наценкад5[[#This Row],[№]],ППД5[№],ППД5[Этаж],"-",0)</f>
        <v>10</v>
      </c>
      <c r="D70" s="2">
        <f>_xlfn.XLOOKUP(наценкад5[[#This Row],[№]],ППД5[№],ППД5[№ на этаже],"-",0)</f>
        <v>6</v>
      </c>
      <c r="E70" s="2">
        <f>_xlfn.XLOOKUP(наценкад5[[#This Row],[№]],ППД5[№],ППД5[Тип кв],"-",0)</f>
        <v>2</v>
      </c>
      <c r="F70" s="72">
        <f>_xlfn.XLOOKUP(наценкад5[[#This Row],[№]],ППД5[№],ППД5[Кухня],"-",0)</f>
        <v>14.35</v>
      </c>
      <c r="G70" s="72">
        <f>_xlfn.XLOOKUP(наценкад5[[#This Row],[№]],ППД5[№],ППД5[Ванная],"-",0)</f>
        <v>4.16</v>
      </c>
      <c r="H70" s="72">
        <f>_xlfn.XLOOKUP(наценкад5[[#This Row],[№]],ППД5[№],ППД5[Гардеробная],"-",0)</f>
        <v>0</v>
      </c>
      <c r="I70" s="72">
        <f>_xlfn.XLOOKUP(наценкад5[[#This Row],[№]],ППД5[№],ППД5[Лоджия 2],"-",0)</f>
        <v>0</v>
      </c>
      <c r="J70" s="72">
        <f>_xlfn.XLOOKUP(наценкад5[[#This Row],[№]],ППД5[№],ППД5[С\У],"-",0)</f>
        <v>1.93</v>
      </c>
      <c r="K70" s="72">
        <f>_xlfn.XLOOKUP(наценкад5[[#This Row],[№]],ППД5[№],ППД5[Расчетная проектная площадь],"-",0)</f>
        <v>58.16</v>
      </c>
      <c r="L70" s="12">
        <f t="shared" si="1"/>
        <v>63000</v>
      </c>
      <c r="M70" s="102">
        <f>коэффициенты!$F$2</f>
        <v>1.2257</v>
      </c>
      <c r="N70" s="13">
        <f>наценкад5[[#This Row],[Цена м2 базовая]]*наценкад5[[#This Row],[Базовой K]]</f>
        <v>77219.100000000006</v>
      </c>
      <c r="O70" s="74">
        <f>коэффициенты!$F$4</f>
        <v>1.4999999999999999E-2</v>
      </c>
      <c r="P70" s="74"/>
      <c r="Q70" s="74">
        <f>коэффициенты!$E$6</f>
        <v>0.01</v>
      </c>
      <c r="R70" s="76"/>
      <c r="S70" s="76">
        <f>коэффициенты!$F$9</f>
        <v>0</v>
      </c>
      <c r="T70" s="74"/>
      <c r="U70" s="74"/>
      <c r="V70" s="74">
        <f>коэффициенты!$F$11</f>
        <v>5.0000000000000001E-3</v>
      </c>
      <c r="W70" s="75"/>
      <c r="X70" s="74">
        <f>коэффициенты!$F$13</f>
        <v>0.02</v>
      </c>
      <c r="Y70" s="75"/>
      <c r="Z70" s="74"/>
      <c r="AA70" s="74"/>
      <c r="AB70" s="74"/>
      <c r="AC70" s="74"/>
      <c r="AD70" s="76">
        <f>коэффициенты!$F$19</f>
        <v>5.0000000000000001E-3</v>
      </c>
      <c r="AE70" s="76"/>
      <c r="AF70" s="76"/>
      <c r="AG70" s="74"/>
      <c r="AH70" s="74"/>
      <c r="AI70" s="73">
        <f>SUM(наценкад5[[#This Row],[еврокухня]:[большая площадь]])*наценкад5[[#This Row],[Цена м2 с базовым K]]+наценкад5[[#This Row],[Цена м2 с базовым K]]</f>
        <v>81466.150500000003</v>
      </c>
      <c r="AJ70" s="72">
        <f>VLOOKUP(наценкад5[[#This Row],[№]],ППД5[],COLUMN(ППД5[[#This Row],[утв цена м2]]),0)</f>
        <v>97210.85</v>
      </c>
      <c r="AK70" s="3">
        <f>наценкад5[[#This Row],[утв цена м2]]*наценкад5[[#This Row],[Расчетная проектная площадь]]</f>
        <v>5653783.0360000003</v>
      </c>
      <c r="AL70" s="22" t="str">
        <f>VLOOKUP(наценкад5[[#This Row],[№]],ППД5[],COLUMN('Реестр ОН'!$DF$1),0)</f>
        <v>Продажа</v>
      </c>
    </row>
    <row r="71" spans="1:38" hidden="1" x14ac:dyDescent="0.25">
      <c r="A71" s="101">
        <v>69</v>
      </c>
      <c r="B71" s="2" t="str">
        <f>_xlfn.XLOOKUP(наценкад5[[#This Row],[№]],ППД5[№],ППД5[Секция],"-",0)</f>
        <v>А</v>
      </c>
      <c r="C71" s="2">
        <f>_xlfn.XLOOKUP(наценкад5[[#This Row],[№]],ППД5[№],ППД5[Этаж],"-",0)</f>
        <v>10</v>
      </c>
      <c r="D71" s="2">
        <f>_xlfn.XLOOKUP(наценкад5[[#This Row],[№]],ППД5[№],ППД5[№ на этаже],"-",0)</f>
        <v>7</v>
      </c>
      <c r="E71" s="2">
        <f>_xlfn.XLOOKUP(наценкад5[[#This Row],[№]],ППД5[№],ППД5[Тип кв],"-",0)</f>
        <v>1</v>
      </c>
      <c r="F71" s="72">
        <f>_xlfn.XLOOKUP(наценкад5[[#This Row],[№]],ППД5[№],ППД5[Кухня],"-",0)</f>
        <v>13.04</v>
      </c>
      <c r="G71" s="72">
        <f>_xlfn.XLOOKUP(наценкад5[[#This Row],[№]],ППД5[№],ППД5[Ванная],"-",0)</f>
        <v>3.9</v>
      </c>
      <c r="H71" s="72">
        <f>_xlfn.XLOOKUP(наценкад5[[#This Row],[№]],ППД5[№],ППД5[Гардеробная],"-",0)</f>
        <v>0</v>
      </c>
      <c r="I71" s="72">
        <f>_xlfn.XLOOKUP(наценкад5[[#This Row],[№]],ППД5[№],ППД5[Лоджия 2],"-",0)</f>
        <v>0</v>
      </c>
      <c r="J71" s="72">
        <f>_xlfn.XLOOKUP(наценкад5[[#This Row],[№]],ППД5[№],ППД5[С\У],"-",0)</f>
        <v>0</v>
      </c>
      <c r="K71" s="72">
        <f>_xlfn.XLOOKUP(наценкад5[[#This Row],[№]],ППД5[№],ППД5[Расчетная проектная площадь],"-",0)</f>
        <v>42.75</v>
      </c>
      <c r="L71" s="12">
        <f t="shared" si="1"/>
        <v>63000</v>
      </c>
      <c r="M71" s="102">
        <f>коэффициенты!$G$2</f>
        <v>1.2875000000000001</v>
      </c>
      <c r="N71" s="13">
        <f>наценкад5[[#This Row],[Цена м2 базовая]]*наценкад5[[#This Row],[Базовой K]]</f>
        <v>81112.5</v>
      </c>
      <c r="O71" s="74"/>
      <c r="P71" s="76">
        <f>коэффициенты!$G$5</f>
        <v>0.01</v>
      </c>
      <c r="Q71" s="74"/>
      <c r="R71" s="74"/>
      <c r="S71" s="74"/>
      <c r="T71" s="74"/>
      <c r="U71" s="74"/>
      <c r="V71" s="74">
        <f>коэффициенты!$G$11</f>
        <v>0.01</v>
      </c>
      <c r="W71" s="74"/>
      <c r="X71" s="74"/>
      <c r="Y71" s="75"/>
      <c r="Z71" s="74"/>
      <c r="AA71" s="76">
        <f>коэффициенты!$G$14</f>
        <v>0.01</v>
      </c>
      <c r="AB71" s="74"/>
      <c r="AC71" s="74"/>
      <c r="AD71" s="76">
        <f>коэффициенты!$G$19</f>
        <v>0.01</v>
      </c>
      <c r="AE71" s="76"/>
      <c r="AF71" s="76"/>
      <c r="AG71" s="74">
        <f>коэффициенты!$A$24</f>
        <v>-5.0000000000000001E-3</v>
      </c>
      <c r="AH71" s="74"/>
      <c r="AI71" s="73">
        <f>SUM(наценкад5[[#This Row],[еврокухня]:[большая площадь]])*наценкад5[[#This Row],[Цена м2 с базовым K]]+наценкад5[[#This Row],[Цена м2 с базовым K]]</f>
        <v>83951.4375</v>
      </c>
      <c r="AJ71" s="72">
        <f>VLOOKUP(наценкад5[[#This Row],[№]],ППД5[],COLUMN(ППД5[[#This Row],[утв цена м2]]),0)</f>
        <v>134856.60999999999</v>
      </c>
      <c r="AK71" s="3">
        <f>наценкад5[[#This Row],[утв цена м2]]*наценкад5[[#This Row],[Расчетная проектная площадь]]</f>
        <v>5765120.0774999997</v>
      </c>
      <c r="AL71" s="22" t="str">
        <f>VLOOKUP(наценкад5[[#This Row],[№]],ППД5[],COLUMN('Реестр ОН'!$DF$1),0)</f>
        <v>Продажа</v>
      </c>
    </row>
    <row r="72" spans="1:38" hidden="1" x14ac:dyDescent="0.25">
      <c r="A72" s="101">
        <v>70</v>
      </c>
      <c r="B72" s="2" t="str">
        <f>_xlfn.XLOOKUP(наценкад5[[#This Row],[№]],ППД5[№],ППД5[Секция],"-",0)</f>
        <v>А</v>
      </c>
      <c r="C72" s="2">
        <f>_xlfn.XLOOKUP(наценкад5[[#This Row],[№]],ППД5[№],ППД5[Этаж],"-",0)</f>
        <v>11</v>
      </c>
      <c r="D72" s="2">
        <f>_xlfn.XLOOKUP(наценкад5[[#This Row],[№]],ППД5[№],ППД5[№ на этаже],"-",0)</f>
        <v>1</v>
      </c>
      <c r="E72" s="2">
        <f>_xlfn.XLOOKUP(наценкад5[[#This Row],[№]],ППД5[№],ППД5[Тип кв],"-",0)</f>
        <v>1</v>
      </c>
      <c r="F72" s="72">
        <f>_xlfn.XLOOKUP(наценкад5[[#This Row],[№]],ППД5[№],ППД5[Кухня],"-",0)</f>
        <v>9.84</v>
      </c>
      <c r="G72" s="72">
        <f>_xlfn.XLOOKUP(наценкад5[[#This Row],[№]],ППД5[№],ППД5[Ванная],"-",0)</f>
        <v>3.63</v>
      </c>
      <c r="H72" s="72">
        <f>_xlfn.XLOOKUP(наценкад5[[#This Row],[№]],ППД5[№],ППД5[Гардеробная],"-",0)</f>
        <v>0</v>
      </c>
      <c r="I72" s="72">
        <f>_xlfn.XLOOKUP(наценкад5[[#This Row],[№]],ППД5[№],ППД5[Лоджия 2],"-",0)</f>
        <v>0</v>
      </c>
      <c r="J72" s="72">
        <f>_xlfn.XLOOKUP(наценкад5[[#This Row],[№]],ППД5[№],ППД5[С\У],"-",0)</f>
        <v>0</v>
      </c>
      <c r="K72" s="72">
        <f>_xlfn.XLOOKUP(наценкад5[[#This Row],[№]],ППД5[№],ППД5[Расчетная проектная площадь],"-",0)</f>
        <v>34.39</v>
      </c>
      <c r="L72" s="12">
        <f t="shared" si="1"/>
        <v>63000</v>
      </c>
      <c r="M72" s="102">
        <f>коэффициенты!$G$2</f>
        <v>1.2875000000000001</v>
      </c>
      <c r="N72" s="13">
        <f>наценкад5[[#This Row],[Цена м2 базовая]]*наценкад5[[#This Row],[Базовой K]]</f>
        <v>81112.5</v>
      </c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5"/>
      <c r="Z72" s="74"/>
      <c r="AA72" s="76">
        <f>коэффициенты!$G$14</f>
        <v>0.01</v>
      </c>
      <c r="AB72" s="74"/>
      <c r="AC72" s="74"/>
      <c r="AD72" s="76">
        <f>коэффициенты!$G$19</f>
        <v>0.01</v>
      </c>
      <c r="AE72" s="76"/>
      <c r="AF72" s="76"/>
      <c r="AG72" s="74"/>
      <c r="AH72" s="74"/>
      <c r="AI72" s="73">
        <f>SUM(наценкад5[[#This Row],[еврокухня]:[большая площадь]])*наценкад5[[#This Row],[Цена м2 с базовым K]]+наценкад5[[#This Row],[Цена м2 с базовым K]]</f>
        <v>82734.75</v>
      </c>
      <c r="AJ72" s="72">
        <f>VLOOKUP(наценкад5[[#This Row],[№]],ППД5[],COLUMN(ППД5[[#This Row],[утв цена м2]]),0)</f>
        <v>116992.1</v>
      </c>
      <c r="AK72" s="3">
        <f>наценкад5[[#This Row],[утв цена м2]]*наценкад5[[#This Row],[Расчетная проектная площадь]]</f>
        <v>4023358.3190000001</v>
      </c>
      <c r="AL72" s="22" t="str">
        <f>VLOOKUP(наценкад5[[#This Row],[№]],ППД5[],COLUMN('Реестр ОН'!$DF$1),0)</f>
        <v>Продажа</v>
      </c>
    </row>
    <row r="73" spans="1:38" hidden="1" x14ac:dyDescent="0.25">
      <c r="A73" s="101">
        <v>71</v>
      </c>
      <c r="B73" s="2" t="str">
        <f>_xlfn.XLOOKUP(наценкад5[[#This Row],[№]],ППД5[№],ППД5[Секция],"-",0)</f>
        <v>А</v>
      </c>
      <c r="C73" s="2">
        <f>_xlfn.XLOOKUP(наценкад5[[#This Row],[№]],ППД5[№],ППД5[Этаж],"-",0)</f>
        <v>11</v>
      </c>
      <c r="D73" s="2">
        <f>_xlfn.XLOOKUP(наценкад5[[#This Row],[№]],ППД5[№],ППД5[№ на этаже],"-",0)</f>
        <v>2</v>
      </c>
      <c r="E73" s="2">
        <f>_xlfn.XLOOKUP(наценкад5[[#This Row],[№]],ППД5[№],ППД5[Тип кв],"-",0)</f>
        <v>2</v>
      </c>
      <c r="F73" s="72">
        <f>_xlfn.XLOOKUP(наценкад5[[#This Row],[№]],ППД5[№],ППД5[Кухня],"-",0)</f>
        <v>19.440000000000001</v>
      </c>
      <c r="G73" s="72">
        <f>_xlfn.XLOOKUP(наценкад5[[#This Row],[№]],ППД5[№],ППД5[Ванная],"-",0)</f>
        <v>4.42</v>
      </c>
      <c r="H73" s="72">
        <f>_xlfn.XLOOKUP(наценкад5[[#This Row],[№]],ППД5[№],ППД5[Гардеробная],"-",0)</f>
        <v>3.25</v>
      </c>
      <c r="I73" s="72">
        <f>_xlfn.XLOOKUP(наценкад5[[#This Row],[№]],ППД5[№],ППД5[Лоджия 2],"-",0)</f>
        <v>0</v>
      </c>
      <c r="J73" s="72">
        <f>_xlfn.XLOOKUP(наценкад5[[#This Row],[№]],ППД5[№],ППД5[С\У],"-",0)</f>
        <v>0</v>
      </c>
      <c r="K73" s="72">
        <f>_xlfn.XLOOKUP(наценкад5[[#This Row],[№]],ППД5[№],ППД5[Расчетная проектная площадь],"-",0)</f>
        <v>68.5</v>
      </c>
      <c r="L73" s="12">
        <f t="shared" si="1"/>
        <v>63000</v>
      </c>
      <c r="M73" s="102">
        <f>коэффициенты!$F$2</f>
        <v>1.2257</v>
      </c>
      <c r="N73" s="13">
        <f>наценкад5[[#This Row],[Цена м2 базовая]]*наценкад5[[#This Row],[Базовой K]]</f>
        <v>77219.100000000006</v>
      </c>
      <c r="O73" s="74">
        <f>коэффициенты!$F$4</f>
        <v>1.4999999999999999E-2</v>
      </c>
      <c r="P73" s="74"/>
      <c r="Q73" s="76">
        <f>коэффициенты!$F$6</f>
        <v>0.02</v>
      </c>
      <c r="R73" s="76"/>
      <c r="S73" s="76"/>
      <c r="T73" s="74"/>
      <c r="U73" s="74"/>
      <c r="V73" s="74">
        <f>коэффициенты!$F$11</f>
        <v>5.0000000000000001E-3</v>
      </c>
      <c r="W73" s="74"/>
      <c r="X73" s="74"/>
      <c r="Y73" s="75"/>
      <c r="Z73" s="74"/>
      <c r="AA73" s="74"/>
      <c r="AB73" s="76">
        <f>коэффициенты!$F$17</f>
        <v>0.05</v>
      </c>
      <c r="AC73" s="74"/>
      <c r="AD73" s="76"/>
      <c r="AE73" s="76"/>
      <c r="AF73" s="76"/>
      <c r="AG73" s="74"/>
      <c r="AH73" s="76"/>
      <c r="AI73" s="73">
        <f>SUM(наценкад5[[#This Row],[еврокухня]:[большая площадь]])*наценкад5[[#This Row],[Цена м2 с базовым K]]+наценкад5[[#This Row],[Цена м2 с базовым K]]</f>
        <v>84168.819000000003</v>
      </c>
      <c r="AJ73" s="72">
        <f>VLOOKUP(наценкад5[[#This Row],[№]],ППД5[],COLUMN(ППД5[[#This Row],[утв цена м2]]),0)</f>
        <v>119834.85</v>
      </c>
      <c r="AK73" s="3">
        <f>наценкад5[[#This Row],[утв цена м2]]*наценкад5[[#This Row],[Расчетная проектная площадь]]</f>
        <v>8208687.2250000006</v>
      </c>
      <c r="AL73" s="22" t="str">
        <f>VLOOKUP(наценкад5[[#This Row],[№]],ППД5[],COLUMN('Реестр ОН'!$DF$1),0)</f>
        <v>Свободно</v>
      </c>
    </row>
    <row r="74" spans="1:38" hidden="1" x14ac:dyDescent="0.25">
      <c r="A74" s="101">
        <v>72</v>
      </c>
      <c r="B74" s="2" t="str">
        <f>_xlfn.XLOOKUP(наценкад5[[#This Row],[№]],ППД5[№],ППД5[Секция],"-",0)</f>
        <v>А</v>
      </c>
      <c r="C74" s="2">
        <f>_xlfn.XLOOKUP(наценкад5[[#This Row],[№]],ППД5[№],ППД5[Этаж],"-",0)</f>
        <v>11</v>
      </c>
      <c r="D74" s="2">
        <f>_xlfn.XLOOKUP(наценкад5[[#This Row],[№]],ППД5[№],ППД5[№ на этаже],"-",0)</f>
        <v>3</v>
      </c>
      <c r="E74" s="2">
        <f>_xlfn.XLOOKUP(наценкад5[[#This Row],[№]],ППД5[№],ППД5[Тип кв],"-",0)</f>
        <v>1</v>
      </c>
      <c r="F74" s="72">
        <f>_xlfn.XLOOKUP(наценкад5[[#This Row],[№]],ППД5[№],ППД5[Кухня],"-",0)</f>
        <v>14.97</v>
      </c>
      <c r="G74" s="72">
        <f>_xlfn.XLOOKUP(наценкад5[[#This Row],[№]],ППД5[№],ППД5[Ванная],"-",0)</f>
        <v>4.1100000000000003</v>
      </c>
      <c r="H74" s="72">
        <f>_xlfn.XLOOKUP(наценкад5[[#This Row],[№]],ППД5[№],ППД5[Гардеробная],"-",0)</f>
        <v>0</v>
      </c>
      <c r="I74" s="72">
        <f>_xlfn.XLOOKUP(наценкад5[[#This Row],[№]],ППД5[№],ППД5[Лоджия 2],"-",0)</f>
        <v>0</v>
      </c>
      <c r="J74" s="72">
        <f>_xlfn.XLOOKUP(наценкад5[[#This Row],[№]],ППД5[№],ППД5[С\У],"-",0)</f>
        <v>0</v>
      </c>
      <c r="K74" s="72">
        <f>_xlfn.XLOOKUP(наценкад5[[#This Row],[№]],ППД5[№],ППД5[Расчетная проектная площадь],"-",0)</f>
        <v>37.729999999999997</v>
      </c>
      <c r="L74" s="12">
        <f t="shared" si="1"/>
        <v>63000</v>
      </c>
      <c r="M74" s="102">
        <f>коэффициенты!$G$2</f>
        <v>1.2875000000000001</v>
      </c>
      <c r="N74" s="13">
        <f>наценкад5[[#This Row],[Цена м2 базовая]]*наценкад5[[#This Row],[Базовой K]]</f>
        <v>81112.5</v>
      </c>
      <c r="O74" s="76">
        <f>коэффициенты!$G$4</f>
        <v>0.02</v>
      </c>
      <c r="P74" s="74"/>
      <c r="Q74" s="76">
        <f>коэффициенты!$G$6</f>
        <v>0.03</v>
      </c>
      <c r="R74" s="74"/>
      <c r="S74" s="74"/>
      <c r="T74" s="74"/>
      <c r="U74" s="74"/>
      <c r="V74" s="74"/>
      <c r="W74" s="75"/>
      <c r="X74" s="74">
        <f>коэффициенты!$G$13</f>
        <v>0.01</v>
      </c>
      <c r="Y74" s="75"/>
      <c r="Z74" s="74"/>
      <c r="AA74" s="76">
        <f>коэффициенты!$G$14</f>
        <v>0.01</v>
      </c>
      <c r="AB74" s="74"/>
      <c r="AC74" s="74"/>
      <c r="AD74" s="76">
        <f>коэффициенты!$G$19</f>
        <v>0.01</v>
      </c>
      <c r="AE74" s="76"/>
      <c r="AF74" s="76"/>
      <c r="AG74" s="74"/>
      <c r="AH74" s="74"/>
      <c r="AI74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74" s="72">
        <f>VLOOKUP(наценкад5[[#This Row],[№]],ППД5[],COLUMN(ППД5[[#This Row],[утв цена м2]]),0)</f>
        <v>146263.95000000001</v>
      </c>
      <c r="AK74" s="3">
        <f>наценкад5[[#This Row],[утв цена м2]]*наценкад5[[#This Row],[Расчетная проектная площадь]]</f>
        <v>5518538.8334999997</v>
      </c>
      <c r="AL74" s="22" t="str">
        <f>VLOOKUP(наценкад5[[#This Row],[№]],ППД5[],COLUMN('Реестр ОН'!$DF$1),0)</f>
        <v>Продажа</v>
      </c>
    </row>
    <row r="75" spans="1:38" hidden="1" x14ac:dyDescent="0.25">
      <c r="A75" s="101">
        <v>73</v>
      </c>
      <c r="B75" s="2" t="str">
        <f>_xlfn.XLOOKUP(наценкад5[[#This Row],[№]],ППД5[№],ППД5[Секция],"-",0)</f>
        <v>А</v>
      </c>
      <c r="C75" s="2">
        <f>_xlfn.XLOOKUP(наценкад5[[#This Row],[№]],ППД5[№],ППД5[Этаж],"-",0)</f>
        <v>11</v>
      </c>
      <c r="D75" s="2">
        <f>_xlfn.XLOOKUP(наценкад5[[#This Row],[№]],ППД5[№],ППД5[№ на этаже],"-",0)</f>
        <v>4</v>
      </c>
      <c r="E75" s="2">
        <f>_xlfn.XLOOKUP(наценкад5[[#This Row],[№]],ППД5[№],ППД5[Тип кв],"-",0)</f>
        <v>2</v>
      </c>
      <c r="F75" s="72">
        <f>_xlfn.XLOOKUP(наценкад5[[#This Row],[№]],ППД5[№],ППД5[Кухня],"-",0)</f>
        <v>14.58</v>
      </c>
      <c r="G75" s="72">
        <f>_xlfn.XLOOKUP(наценкад5[[#This Row],[№]],ППД5[№],ППД5[Ванная],"-",0)</f>
        <v>4.34</v>
      </c>
      <c r="H75" s="72">
        <f>_xlfn.XLOOKUP(наценкад5[[#This Row],[№]],ППД5[№],ППД5[Гардеробная],"-",0)</f>
        <v>0</v>
      </c>
      <c r="I75" s="72">
        <f>_xlfn.XLOOKUP(наценкад5[[#This Row],[№]],ППД5[№],ППД5[Лоджия 2],"-",0)</f>
        <v>0</v>
      </c>
      <c r="J75" s="72">
        <f>_xlfn.XLOOKUP(наценкад5[[#This Row],[№]],ППД5[№],ППД5[С\У],"-",0)</f>
        <v>2.08</v>
      </c>
      <c r="K75" s="72">
        <f>_xlfn.XLOOKUP(наценкад5[[#This Row],[№]],ППД5[№],ППД5[Расчетная проектная площадь],"-",0)</f>
        <v>59.09</v>
      </c>
      <c r="L75" s="12">
        <f t="shared" si="1"/>
        <v>63000</v>
      </c>
      <c r="M75" s="102">
        <f>коэффициенты!$F$2</f>
        <v>1.2257</v>
      </c>
      <c r="N75" s="13">
        <f>наценкад5[[#This Row],[Цена м2 базовая]]*наценкад5[[#This Row],[Базовой K]]</f>
        <v>77219.100000000006</v>
      </c>
      <c r="O75" s="74">
        <f>коэффициенты!$F$4</f>
        <v>1.4999999999999999E-2</v>
      </c>
      <c r="P75" s="74"/>
      <c r="Q75" s="76">
        <f>коэффициенты!$F$6</f>
        <v>0.02</v>
      </c>
      <c r="R75" s="76"/>
      <c r="S75" s="76">
        <f>коэффициенты!$F$9</f>
        <v>0</v>
      </c>
      <c r="T75" s="74"/>
      <c r="U75" s="74"/>
      <c r="V75" s="74"/>
      <c r="W75" s="75"/>
      <c r="X75" s="74"/>
      <c r="Y75" s="75"/>
      <c r="Z75" s="74"/>
      <c r="AA75" s="74"/>
      <c r="AB75" s="74"/>
      <c r="AC75" s="74"/>
      <c r="AD75" s="76">
        <f>коэффициенты!$F$19</f>
        <v>5.0000000000000001E-3</v>
      </c>
      <c r="AE75" s="76"/>
      <c r="AF75" s="76"/>
      <c r="AG75" s="74"/>
      <c r="AH75" s="74"/>
      <c r="AI75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75" s="72">
        <f>VLOOKUP(наценкад5[[#This Row],[№]],ППД5[],COLUMN(ППД5[[#This Row],[утв цена м2]]),0)</f>
        <v>95828.7</v>
      </c>
      <c r="AK75" s="3">
        <f>наценкад5[[#This Row],[утв цена м2]]*наценкад5[[#This Row],[Расчетная проектная площадь]]</f>
        <v>5662517.8830000004</v>
      </c>
      <c r="AL75" s="22" t="str">
        <f>VLOOKUP(наценкад5[[#This Row],[№]],ППД5[],COLUMN('Реестр ОН'!$DF$1),0)</f>
        <v>Продажа</v>
      </c>
    </row>
    <row r="76" spans="1:38" hidden="1" x14ac:dyDescent="0.25">
      <c r="A76" s="101">
        <v>74</v>
      </c>
      <c r="B76" s="2" t="str">
        <f>_xlfn.XLOOKUP(наценкад5[[#This Row],[№]],ППД5[№],ППД5[Секция],"-",0)</f>
        <v>А</v>
      </c>
      <c r="C76" s="2">
        <f>_xlfn.XLOOKUP(наценкад5[[#This Row],[№]],ППД5[№],ППД5[Этаж],"-",0)</f>
        <v>11</v>
      </c>
      <c r="D76" s="2">
        <f>_xlfn.XLOOKUP(наценкад5[[#This Row],[№]],ППД5[№],ППД5[№ на этаже],"-",0)</f>
        <v>5</v>
      </c>
      <c r="E76" s="2">
        <f>_xlfn.XLOOKUP(наценкад5[[#This Row],[№]],ППД5[№],ППД5[Тип кв],"-",0)</f>
        <v>2</v>
      </c>
      <c r="F76" s="72">
        <f>_xlfn.XLOOKUP(наценкад5[[#This Row],[№]],ППД5[№],ППД5[Кухня],"-",0)</f>
        <v>18</v>
      </c>
      <c r="G76" s="72">
        <f>_xlfn.XLOOKUP(наценкад5[[#This Row],[№]],ППД5[№],ППД5[Ванная],"-",0)</f>
        <v>4.3499999999999996</v>
      </c>
      <c r="H76" s="72">
        <f>_xlfn.XLOOKUP(наценкад5[[#This Row],[№]],ППД5[№],ППД5[Гардеробная],"-",0)</f>
        <v>0</v>
      </c>
      <c r="I76" s="72">
        <f>_xlfn.XLOOKUP(наценкад5[[#This Row],[№]],ППД5[№],ППД5[Лоджия 2],"-",0)</f>
        <v>0</v>
      </c>
      <c r="J76" s="72">
        <f>_xlfn.XLOOKUP(наценкад5[[#This Row],[№]],ППД5[№],ППД5[С\У],"-",0)</f>
        <v>1.55</v>
      </c>
      <c r="K76" s="72">
        <f>_xlfn.XLOOKUP(наценкад5[[#This Row],[№]],ППД5[№],ППД5[Расчетная проектная площадь],"-",0)</f>
        <v>62.17</v>
      </c>
      <c r="L76" s="12">
        <f t="shared" si="1"/>
        <v>63000</v>
      </c>
      <c r="M76" s="102">
        <f>коэффициенты!$F$2</f>
        <v>1.2257</v>
      </c>
      <c r="N76" s="13">
        <f>наценкад5[[#This Row],[Цена м2 базовая]]*наценкад5[[#This Row],[Базовой K]]</f>
        <v>77219.100000000006</v>
      </c>
      <c r="O76" s="74">
        <f>коэффициенты!$F$4</f>
        <v>1.4999999999999999E-2</v>
      </c>
      <c r="P76" s="74"/>
      <c r="Q76" s="76">
        <f>коэффициенты!$F$6</f>
        <v>0.02</v>
      </c>
      <c r="R76" s="76"/>
      <c r="S76" s="76">
        <f>коэффициенты!$F$9</f>
        <v>0</v>
      </c>
      <c r="T76" s="74"/>
      <c r="U76" s="74"/>
      <c r="V76" s="76"/>
      <c r="W76" s="75"/>
      <c r="X76" s="76"/>
      <c r="Y76" s="75"/>
      <c r="Z76" s="74"/>
      <c r="AA76" s="74"/>
      <c r="AB76" s="74"/>
      <c r="AC76" s="74"/>
      <c r="AD76" s="76">
        <f>коэффициенты!$F$19</f>
        <v>5.0000000000000001E-3</v>
      </c>
      <c r="AE76" s="76"/>
      <c r="AF76" s="76"/>
      <c r="AG76" s="74"/>
      <c r="AH76" s="74"/>
      <c r="AI76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76" s="72">
        <f>VLOOKUP(наценкад5[[#This Row],[№]],ППД5[],COLUMN(ППД5[[#This Row],[утв цена м2]]),0)</f>
        <v>124241.85</v>
      </c>
      <c r="AK76" s="3">
        <f>наценкад5[[#This Row],[утв цена м2]]*наценкад5[[#This Row],[Расчетная проектная площадь]]</f>
        <v>7724115.8145000003</v>
      </c>
      <c r="AL76" s="22" t="str">
        <f>VLOOKUP(наценкад5[[#This Row],[№]],ППД5[],COLUMN('Реестр ОН'!$DF$1),0)</f>
        <v>Продажа</v>
      </c>
    </row>
    <row r="77" spans="1:38" hidden="1" x14ac:dyDescent="0.25">
      <c r="A77" s="101">
        <v>75</v>
      </c>
      <c r="B77" s="2" t="str">
        <f>_xlfn.XLOOKUP(наценкад5[[#This Row],[№]],ППД5[№],ППД5[Секция],"-",0)</f>
        <v>А</v>
      </c>
      <c r="C77" s="2">
        <f>_xlfn.XLOOKUP(наценкад5[[#This Row],[№]],ППД5[№],ППД5[Этаж],"-",0)</f>
        <v>11</v>
      </c>
      <c r="D77" s="2">
        <f>_xlfn.XLOOKUP(наценкад5[[#This Row],[№]],ППД5[№],ППД5[№ на этаже],"-",0)</f>
        <v>6</v>
      </c>
      <c r="E77" s="2">
        <f>_xlfn.XLOOKUP(наценкад5[[#This Row],[№]],ППД5[№],ППД5[Тип кв],"-",0)</f>
        <v>2</v>
      </c>
      <c r="F77" s="72">
        <f>_xlfn.XLOOKUP(наценкад5[[#This Row],[№]],ППД5[№],ППД5[Кухня],"-",0)</f>
        <v>14.35</v>
      </c>
      <c r="G77" s="72">
        <f>_xlfn.XLOOKUP(наценкад5[[#This Row],[№]],ППД5[№],ППД5[Ванная],"-",0)</f>
        <v>4.16</v>
      </c>
      <c r="H77" s="72">
        <f>_xlfn.XLOOKUP(наценкад5[[#This Row],[№]],ППД5[№],ППД5[Гардеробная],"-",0)</f>
        <v>0</v>
      </c>
      <c r="I77" s="72">
        <f>_xlfn.XLOOKUP(наценкад5[[#This Row],[№]],ППД5[№],ППД5[Лоджия 2],"-",0)</f>
        <v>0</v>
      </c>
      <c r="J77" s="72">
        <f>_xlfn.XLOOKUP(наценкад5[[#This Row],[№]],ППД5[№],ППД5[С\У],"-",0)</f>
        <v>1.93</v>
      </c>
      <c r="K77" s="72">
        <f>_xlfn.XLOOKUP(наценкад5[[#This Row],[№]],ППД5[№],ППД5[Расчетная проектная площадь],"-",0)</f>
        <v>58.16</v>
      </c>
      <c r="L77" s="12">
        <f t="shared" si="1"/>
        <v>63000</v>
      </c>
      <c r="M77" s="102">
        <f>коэффициенты!$F$2</f>
        <v>1.2257</v>
      </c>
      <c r="N77" s="13">
        <f>наценкад5[[#This Row],[Цена м2 базовая]]*наценкад5[[#This Row],[Базовой K]]</f>
        <v>77219.100000000006</v>
      </c>
      <c r="O77" s="74">
        <f>коэффициенты!$F$4</f>
        <v>1.4999999999999999E-2</v>
      </c>
      <c r="P77" s="74"/>
      <c r="Q77" s="74">
        <f>коэффициенты!$E$6</f>
        <v>0.01</v>
      </c>
      <c r="R77" s="76"/>
      <c r="S77" s="76">
        <f>коэффициенты!$F$9</f>
        <v>0</v>
      </c>
      <c r="T77" s="74"/>
      <c r="U77" s="74"/>
      <c r="V77" s="74">
        <f>коэффициенты!$F$11</f>
        <v>5.0000000000000001E-3</v>
      </c>
      <c r="W77" s="74"/>
      <c r="X77" s="74">
        <f>коэффициенты!$F$13</f>
        <v>0.02</v>
      </c>
      <c r="Y77" s="75"/>
      <c r="Z77" s="74"/>
      <c r="AA77" s="74"/>
      <c r="AB77" s="74"/>
      <c r="AC77" s="74"/>
      <c r="AD77" s="76">
        <f>коэффициенты!$F$19</f>
        <v>5.0000000000000001E-3</v>
      </c>
      <c r="AE77" s="76"/>
      <c r="AF77" s="76"/>
      <c r="AG77" s="74"/>
      <c r="AH77" s="74"/>
      <c r="AI77" s="73">
        <f>SUM(наценкад5[[#This Row],[еврокухня]:[большая площадь]])*наценкад5[[#This Row],[Цена м2 с базовым K]]+наценкад5[[#This Row],[Цена м2 с базовым K]]</f>
        <v>81466.150500000003</v>
      </c>
      <c r="AJ77" s="72">
        <f>VLOOKUP(наценкад5[[#This Row],[№]],ППД5[],COLUMN(ППД5[[#This Row],[утв цена м2]]),0)</f>
        <v>124800.16</v>
      </c>
      <c r="AK77" s="3">
        <f>наценкад5[[#This Row],[утв цена м2]]*наценкад5[[#This Row],[Расчетная проектная площадь]]</f>
        <v>7258377.3055999996</v>
      </c>
      <c r="AL77" s="22" t="str">
        <f>VLOOKUP(наценкад5[[#This Row],[№]],ППД5[],COLUMN('Реестр ОН'!$DF$1),0)</f>
        <v>Свободно</v>
      </c>
    </row>
    <row r="78" spans="1:38" hidden="1" x14ac:dyDescent="0.25">
      <c r="A78" s="101">
        <v>76</v>
      </c>
      <c r="B78" s="2" t="str">
        <f>_xlfn.XLOOKUP(наценкад5[[#This Row],[№]],ППД5[№],ППД5[Секция],"-",0)</f>
        <v>А</v>
      </c>
      <c r="C78" s="2">
        <f>_xlfn.XLOOKUP(наценкад5[[#This Row],[№]],ППД5[№],ППД5[Этаж],"-",0)</f>
        <v>11</v>
      </c>
      <c r="D78" s="2">
        <f>_xlfn.XLOOKUP(наценкад5[[#This Row],[№]],ППД5[№],ППД5[№ на этаже],"-",0)</f>
        <v>7</v>
      </c>
      <c r="E78" s="2">
        <f>_xlfn.XLOOKUP(наценкад5[[#This Row],[№]],ППД5[№],ППД5[Тип кв],"-",0)</f>
        <v>1</v>
      </c>
      <c r="F78" s="72">
        <f>_xlfn.XLOOKUP(наценкад5[[#This Row],[№]],ППД5[№],ППД5[Кухня],"-",0)</f>
        <v>13.04</v>
      </c>
      <c r="G78" s="72">
        <f>_xlfn.XLOOKUP(наценкад5[[#This Row],[№]],ППД5[№],ППД5[Ванная],"-",0)</f>
        <v>3.9</v>
      </c>
      <c r="H78" s="72">
        <f>_xlfn.XLOOKUP(наценкад5[[#This Row],[№]],ППД5[№],ППД5[Гардеробная],"-",0)</f>
        <v>0</v>
      </c>
      <c r="I78" s="72">
        <f>_xlfn.XLOOKUP(наценкад5[[#This Row],[№]],ППД5[№],ППД5[Лоджия 2],"-",0)</f>
        <v>0</v>
      </c>
      <c r="J78" s="72">
        <f>_xlfn.XLOOKUP(наценкад5[[#This Row],[№]],ППД5[№],ППД5[С\У],"-",0)</f>
        <v>0</v>
      </c>
      <c r="K78" s="72">
        <f>_xlfn.XLOOKUP(наценкад5[[#This Row],[№]],ППД5[№],ППД5[Расчетная проектная площадь],"-",0)</f>
        <v>42.75</v>
      </c>
      <c r="L78" s="12">
        <f t="shared" si="1"/>
        <v>63000</v>
      </c>
      <c r="M78" s="102">
        <f>коэффициенты!$G$2</f>
        <v>1.2875000000000001</v>
      </c>
      <c r="N78" s="13">
        <f>наценкад5[[#This Row],[Цена м2 базовая]]*наценкад5[[#This Row],[Базовой K]]</f>
        <v>81112.5</v>
      </c>
      <c r="O78" s="74"/>
      <c r="P78" s="76">
        <f>коэффициенты!$G$5</f>
        <v>0.01</v>
      </c>
      <c r="Q78" s="74"/>
      <c r="R78" s="74"/>
      <c r="S78" s="74"/>
      <c r="T78" s="74"/>
      <c r="U78" s="74"/>
      <c r="V78" s="74">
        <f>коэффициенты!$G$11</f>
        <v>0.01</v>
      </c>
      <c r="W78" s="74"/>
      <c r="X78" s="74"/>
      <c r="Y78" s="75"/>
      <c r="Z78" s="74"/>
      <c r="AA78" s="76">
        <f>коэффициенты!$G$14</f>
        <v>0.01</v>
      </c>
      <c r="AB78" s="74"/>
      <c r="AC78" s="74"/>
      <c r="AD78" s="76">
        <f>коэффициенты!$G$19</f>
        <v>0.01</v>
      </c>
      <c r="AE78" s="76"/>
      <c r="AF78" s="76"/>
      <c r="AG78" s="74">
        <f>коэффициенты!$A$24</f>
        <v>-5.0000000000000001E-3</v>
      </c>
      <c r="AH78" s="74"/>
      <c r="AI78" s="73">
        <f>SUM(наценкад5[[#This Row],[еврокухня]:[большая площадь]])*наценкад5[[#This Row],[Цена м2 с базовым K]]+наценкад5[[#This Row],[Цена м2 с базовым K]]</f>
        <v>83951.4375</v>
      </c>
      <c r="AJ78" s="72">
        <f>VLOOKUP(наценкад5[[#This Row],[№]],ППД5[],COLUMN(ППД5[[#This Row],[утв цена м2]]),0)</f>
        <v>94425.22</v>
      </c>
      <c r="AK78" s="3">
        <f>наценкад5[[#This Row],[утв цена м2]]*наценкад5[[#This Row],[Расчетная проектная площадь]]</f>
        <v>4036678.1550000003</v>
      </c>
      <c r="AL78" s="22" t="str">
        <f>VLOOKUP(наценкад5[[#This Row],[№]],ППД5[],COLUMN('Реестр ОН'!$DF$1),0)</f>
        <v>Продажа</v>
      </c>
    </row>
    <row r="79" spans="1:38" hidden="1" x14ac:dyDescent="0.25">
      <c r="A79" s="101">
        <v>77</v>
      </c>
      <c r="B79" s="2" t="str">
        <f>_xlfn.XLOOKUP(наценкад5[[#This Row],[№]],ППД5[№],ППД5[Секция],"-",0)</f>
        <v>А</v>
      </c>
      <c r="C79" s="2">
        <f>_xlfn.XLOOKUP(наценкад5[[#This Row],[№]],ППД5[№],ППД5[Этаж],"-",0)</f>
        <v>12</v>
      </c>
      <c r="D79" s="2">
        <f>_xlfn.XLOOKUP(наценкад5[[#This Row],[№]],ППД5[№],ППД5[№ на этаже],"-",0)</f>
        <v>1</v>
      </c>
      <c r="E79" s="2">
        <f>_xlfn.XLOOKUP(наценкад5[[#This Row],[№]],ППД5[№],ППД5[Тип кв],"-",0)</f>
        <v>1</v>
      </c>
      <c r="F79" s="72">
        <f>_xlfn.XLOOKUP(наценкад5[[#This Row],[№]],ППД5[№],ППД5[Кухня],"-",0)</f>
        <v>9.84</v>
      </c>
      <c r="G79" s="72">
        <f>_xlfn.XLOOKUP(наценкад5[[#This Row],[№]],ППД5[№],ППД5[Ванная],"-",0)</f>
        <v>3.63</v>
      </c>
      <c r="H79" s="72">
        <f>_xlfn.XLOOKUP(наценкад5[[#This Row],[№]],ППД5[№],ППД5[Гардеробная],"-",0)</f>
        <v>0</v>
      </c>
      <c r="I79" s="72">
        <f>_xlfn.XLOOKUP(наценкад5[[#This Row],[№]],ППД5[№],ППД5[Лоджия 2],"-",0)</f>
        <v>0</v>
      </c>
      <c r="J79" s="72">
        <f>_xlfn.XLOOKUP(наценкад5[[#This Row],[№]],ППД5[№],ППД5[С\У],"-",0)</f>
        <v>0</v>
      </c>
      <c r="K79" s="72">
        <f>_xlfn.XLOOKUP(наценкад5[[#This Row],[№]],ППД5[№],ППД5[Расчетная проектная площадь],"-",0)</f>
        <v>34.39</v>
      </c>
      <c r="L79" s="12">
        <f t="shared" si="1"/>
        <v>63000</v>
      </c>
      <c r="M79" s="102">
        <f>коэффициенты!$G$2</f>
        <v>1.2875000000000001</v>
      </c>
      <c r="N79" s="13">
        <f>наценкад5[[#This Row],[Цена м2 базовая]]*наценкад5[[#This Row],[Базовой K]]</f>
        <v>81112.5</v>
      </c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5"/>
      <c r="Z79" s="74"/>
      <c r="AA79" s="76">
        <f>коэффициенты!$G$14</f>
        <v>0.01</v>
      </c>
      <c r="AB79" s="74"/>
      <c r="AC79" s="74"/>
      <c r="AD79" s="76">
        <f>коэффициенты!$G$19</f>
        <v>0.01</v>
      </c>
      <c r="AE79" s="76"/>
      <c r="AF79" s="76"/>
      <c r="AG79" s="74"/>
      <c r="AH79" s="74"/>
      <c r="AI79" s="73">
        <f>SUM(наценкад5[[#This Row],[еврокухня]:[большая площадь]])*наценкад5[[#This Row],[Цена м2 с базовым K]]+наценкад5[[#This Row],[Цена м2 с базовым K]]</f>
        <v>82734.75</v>
      </c>
      <c r="AJ79" s="72">
        <f>VLOOKUP(наценкад5[[#This Row],[№]],ППД5[],COLUMN(ППД5[[#This Row],[утв цена м2]]),0)</f>
        <v>124761.54</v>
      </c>
      <c r="AK79" s="3">
        <f>наценкад5[[#This Row],[утв цена м2]]*наценкад5[[#This Row],[Расчетная проектная площадь]]</f>
        <v>4290549.3606000002</v>
      </c>
      <c r="AL79" s="22" t="str">
        <f>VLOOKUP(наценкад5[[#This Row],[№]],ППД5[],COLUMN('Реестр ОН'!$DF$1),0)</f>
        <v>Продажа</v>
      </c>
    </row>
    <row r="80" spans="1:38" hidden="1" x14ac:dyDescent="0.25">
      <c r="A80" s="101">
        <v>78</v>
      </c>
      <c r="B80" s="2" t="str">
        <f>_xlfn.XLOOKUP(наценкад5[[#This Row],[№]],ППД5[№],ППД5[Секция],"-",0)</f>
        <v>А</v>
      </c>
      <c r="C80" s="2">
        <f>_xlfn.XLOOKUP(наценкад5[[#This Row],[№]],ППД5[№],ППД5[Этаж],"-",0)</f>
        <v>12</v>
      </c>
      <c r="D80" s="2">
        <f>_xlfn.XLOOKUP(наценкад5[[#This Row],[№]],ППД5[№],ППД5[№ на этаже],"-",0)</f>
        <v>2</v>
      </c>
      <c r="E80" s="2">
        <f>_xlfn.XLOOKUP(наценкад5[[#This Row],[№]],ППД5[№],ППД5[Тип кв],"-",0)</f>
        <v>2</v>
      </c>
      <c r="F80" s="72">
        <f>_xlfn.XLOOKUP(наценкад5[[#This Row],[№]],ППД5[№],ППД5[Кухня],"-",0)</f>
        <v>19.440000000000001</v>
      </c>
      <c r="G80" s="72">
        <f>_xlfn.XLOOKUP(наценкад5[[#This Row],[№]],ППД5[№],ППД5[Ванная],"-",0)</f>
        <v>4.42</v>
      </c>
      <c r="H80" s="72">
        <f>_xlfn.XLOOKUP(наценкад5[[#This Row],[№]],ППД5[№],ППД5[Гардеробная],"-",0)</f>
        <v>3.25</v>
      </c>
      <c r="I80" s="72">
        <f>_xlfn.XLOOKUP(наценкад5[[#This Row],[№]],ППД5[№],ППД5[Лоджия 2],"-",0)</f>
        <v>0</v>
      </c>
      <c r="J80" s="72">
        <f>_xlfn.XLOOKUP(наценкад5[[#This Row],[№]],ППД5[№],ППД5[С\У],"-",0)</f>
        <v>0</v>
      </c>
      <c r="K80" s="72">
        <f>_xlfn.XLOOKUP(наценкад5[[#This Row],[№]],ППД5[№],ППД5[Расчетная проектная площадь],"-",0)</f>
        <v>68.5</v>
      </c>
      <c r="L80" s="12">
        <f t="shared" si="1"/>
        <v>63000</v>
      </c>
      <c r="M80" s="102">
        <f>коэффициенты!$F$2</f>
        <v>1.2257</v>
      </c>
      <c r="N80" s="13">
        <f>наценкад5[[#This Row],[Цена м2 базовая]]*наценкад5[[#This Row],[Базовой K]]</f>
        <v>77219.100000000006</v>
      </c>
      <c r="O80" s="74">
        <f>коэффициенты!$F$4</f>
        <v>1.4999999999999999E-2</v>
      </c>
      <c r="P80" s="74"/>
      <c r="Q80" s="76">
        <f>коэффициенты!$F$6</f>
        <v>0.02</v>
      </c>
      <c r="R80" s="76"/>
      <c r="S80" s="76"/>
      <c r="T80" s="74"/>
      <c r="U80" s="74"/>
      <c r="V80" s="74">
        <f>коэффициенты!$F$11</f>
        <v>5.0000000000000001E-3</v>
      </c>
      <c r="W80" s="75"/>
      <c r="X80" s="74"/>
      <c r="Y80" s="75"/>
      <c r="Z80" s="74"/>
      <c r="AA80" s="74"/>
      <c r="AB80" s="76">
        <f>коэффициенты!$F$17</f>
        <v>0.05</v>
      </c>
      <c r="AC80" s="74"/>
      <c r="AD80" s="76"/>
      <c r="AE80" s="76"/>
      <c r="AF80" s="76"/>
      <c r="AG80" s="74"/>
      <c r="AH80" s="76"/>
      <c r="AI80" s="73">
        <f>SUM(наценкад5[[#This Row],[еврокухня]:[большая площадь]])*наценкад5[[#This Row],[Цена м2 с базовым K]]+наценкад5[[#This Row],[Цена м2 с базовым K]]</f>
        <v>84168.819000000003</v>
      </c>
      <c r="AJ80" s="72">
        <f>VLOOKUP(наценкад5[[#This Row],[№]],ППД5[],COLUMN(ППД5[[#This Row],[утв цена м2]]),0)</f>
        <v>119834.85</v>
      </c>
      <c r="AK80" s="3">
        <f>наценкад5[[#This Row],[утв цена м2]]*наценкад5[[#This Row],[Расчетная проектная площадь]]</f>
        <v>8208687.2250000006</v>
      </c>
      <c r="AL80" s="22" t="str">
        <f>VLOOKUP(наценкад5[[#This Row],[№]],ППД5[],COLUMN('Реестр ОН'!$DF$1),0)</f>
        <v>Ус. Бронь</v>
      </c>
    </row>
    <row r="81" spans="1:38" hidden="1" x14ac:dyDescent="0.25">
      <c r="A81" s="101">
        <v>79</v>
      </c>
      <c r="B81" s="2" t="str">
        <f>_xlfn.XLOOKUP(наценкад5[[#This Row],[№]],ППД5[№],ППД5[Секция],"-",0)</f>
        <v>А</v>
      </c>
      <c r="C81" s="2">
        <f>_xlfn.XLOOKUP(наценкад5[[#This Row],[№]],ППД5[№],ППД5[Этаж],"-",0)</f>
        <v>12</v>
      </c>
      <c r="D81" s="2">
        <f>_xlfn.XLOOKUP(наценкад5[[#This Row],[№]],ППД5[№],ППД5[№ на этаже],"-",0)</f>
        <v>3</v>
      </c>
      <c r="E81" s="2">
        <f>_xlfn.XLOOKUP(наценкад5[[#This Row],[№]],ППД5[№],ППД5[Тип кв],"-",0)</f>
        <v>1</v>
      </c>
      <c r="F81" s="72">
        <f>_xlfn.XLOOKUP(наценкад5[[#This Row],[№]],ППД5[№],ППД5[Кухня],"-",0)</f>
        <v>14.97</v>
      </c>
      <c r="G81" s="72">
        <f>_xlfn.XLOOKUP(наценкад5[[#This Row],[№]],ППД5[№],ППД5[Ванная],"-",0)</f>
        <v>4.1100000000000003</v>
      </c>
      <c r="H81" s="72">
        <f>_xlfn.XLOOKUP(наценкад5[[#This Row],[№]],ППД5[№],ППД5[Гардеробная],"-",0)</f>
        <v>0</v>
      </c>
      <c r="I81" s="72">
        <f>_xlfn.XLOOKUP(наценкад5[[#This Row],[№]],ППД5[№],ППД5[Лоджия 2],"-",0)</f>
        <v>0</v>
      </c>
      <c r="J81" s="72">
        <f>_xlfn.XLOOKUP(наценкад5[[#This Row],[№]],ППД5[№],ППД5[С\У],"-",0)</f>
        <v>0</v>
      </c>
      <c r="K81" s="72">
        <f>_xlfn.XLOOKUP(наценкад5[[#This Row],[№]],ППД5[№],ППД5[Расчетная проектная площадь],"-",0)</f>
        <v>37.729999999999997</v>
      </c>
      <c r="L81" s="12">
        <f t="shared" si="1"/>
        <v>63000</v>
      </c>
      <c r="M81" s="102">
        <f>коэффициенты!$G$2</f>
        <v>1.2875000000000001</v>
      </c>
      <c r="N81" s="13">
        <f>наценкад5[[#This Row],[Цена м2 базовая]]*наценкад5[[#This Row],[Базовой K]]</f>
        <v>81112.5</v>
      </c>
      <c r="O81" s="76">
        <f>коэффициенты!$G$4</f>
        <v>0.02</v>
      </c>
      <c r="P81" s="74"/>
      <c r="Q81" s="76">
        <f>коэффициенты!$G$6</f>
        <v>0.03</v>
      </c>
      <c r="R81" s="74"/>
      <c r="S81" s="74"/>
      <c r="T81" s="74"/>
      <c r="U81" s="74"/>
      <c r="V81" s="74"/>
      <c r="W81" s="74"/>
      <c r="X81" s="74">
        <f>коэффициенты!$G$13</f>
        <v>0.01</v>
      </c>
      <c r="Y81" s="75"/>
      <c r="Z81" s="74"/>
      <c r="AA81" s="76">
        <f>коэффициенты!$G$14</f>
        <v>0.01</v>
      </c>
      <c r="AB81" s="74"/>
      <c r="AC81" s="74"/>
      <c r="AD81" s="76">
        <f>коэффициенты!$G$19</f>
        <v>0.01</v>
      </c>
      <c r="AE81" s="76"/>
      <c r="AF81" s="76"/>
      <c r="AG81" s="74"/>
      <c r="AH81" s="74"/>
      <c r="AI81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81" s="72">
        <f>VLOOKUP(наценкад5[[#This Row],[№]],ППД5[],COLUMN(ППД5[[#This Row],[утв цена м2]]),0)</f>
        <v>119778.97</v>
      </c>
      <c r="AK81" s="3">
        <f>наценкад5[[#This Row],[утв цена м2]]*наценкад5[[#This Row],[Расчетная проектная площадь]]</f>
        <v>4519260.5380999995</v>
      </c>
      <c r="AL81" s="22" t="str">
        <f>VLOOKUP(наценкад5[[#This Row],[№]],ППД5[],COLUMN('Реестр ОН'!$DF$1),0)</f>
        <v>Продажа</v>
      </c>
    </row>
    <row r="82" spans="1:38" hidden="1" x14ac:dyDescent="0.25">
      <c r="A82" s="101">
        <v>80</v>
      </c>
      <c r="B82" s="2" t="str">
        <f>_xlfn.XLOOKUP(наценкад5[[#This Row],[№]],ППД5[№],ППД5[Секция],"-",0)</f>
        <v>А</v>
      </c>
      <c r="C82" s="2">
        <f>_xlfn.XLOOKUP(наценкад5[[#This Row],[№]],ППД5[№],ППД5[Этаж],"-",0)</f>
        <v>12</v>
      </c>
      <c r="D82" s="2">
        <f>_xlfn.XLOOKUP(наценкад5[[#This Row],[№]],ППД5[№],ППД5[№ на этаже],"-",0)</f>
        <v>4</v>
      </c>
      <c r="E82" s="2">
        <f>_xlfn.XLOOKUP(наценкад5[[#This Row],[№]],ППД5[№],ППД5[Тип кв],"-",0)</f>
        <v>2</v>
      </c>
      <c r="F82" s="72">
        <f>_xlfn.XLOOKUP(наценкад5[[#This Row],[№]],ППД5[№],ППД5[Кухня],"-",0)</f>
        <v>14.58</v>
      </c>
      <c r="G82" s="72">
        <f>_xlfn.XLOOKUP(наценкад5[[#This Row],[№]],ППД5[№],ППД5[Ванная],"-",0)</f>
        <v>4.34</v>
      </c>
      <c r="H82" s="72">
        <f>_xlfn.XLOOKUP(наценкад5[[#This Row],[№]],ППД5[№],ППД5[Гардеробная],"-",0)</f>
        <v>0</v>
      </c>
      <c r="I82" s="72">
        <f>_xlfn.XLOOKUP(наценкад5[[#This Row],[№]],ППД5[№],ППД5[Лоджия 2],"-",0)</f>
        <v>0</v>
      </c>
      <c r="J82" s="72">
        <f>_xlfn.XLOOKUP(наценкад5[[#This Row],[№]],ППД5[№],ППД5[С\У],"-",0)</f>
        <v>2.08</v>
      </c>
      <c r="K82" s="72">
        <f>_xlfn.XLOOKUP(наценкад5[[#This Row],[№]],ППД5[№],ППД5[Расчетная проектная площадь],"-",0)</f>
        <v>59.09</v>
      </c>
      <c r="L82" s="12">
        <f t="shared" si="1"/>
        <v>63000</v>
      </c>
      <c r="M82" s="102">
        <f>коэффициенты!$F$2</f>
        <v>1.2257</v>
      </c>
      <c r="N82" s="13">
        <f>наценкад5[[#This Row],[Цена м2 базовая]]*наценкад5[[#This Row],[Базовой K]]</f>
        <v>77219.100000000006</v>
      </c>
      <c r="O82" s="74">
        <f>коэффициенты!$F$4</f>
        <v>1.4999999999999999E-2</v>
      </c>
      <c r="P82" s="74"/>
      <c r="Q82" s="76">
        <f>коэффициенты!$F$6</f>
        <v>0.02</v>
      </c>
      <c r="R82" s="76"/>
      <c r="S82" s="76">
        <f>коэффициенты!$F$9</f>
        <v>0</v>
      </c>
      <c r="T82" s="74"/>
      <c r="U82" s="74"/>
      <c r="V82" s="74"/>
      <c r="W82" s="74"/>
      <c r="X82" s="74"/>
      <c r="Y82" s="75"/>
      <c r="Z82" s="74"/>
      <c r="AA82" s="74"/>
      <c r="AB82" s="74"/>
      <c r="AC82" s="74"/>
      <c r="AD82" s="76">
        <f>коэффициенты!$F$19</f>
        <v>5.0000000000000001E-3</v>
      </c>
      <c r="AE82" s="76"/>
      <c r="AF82" s="76"/>
      <c r="AG82" s="74"/>
      <c r="AH82" s="74"/>
      <c r="AI82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82" s="72">
        <f>VLOOKUP(наценкад5[[#This Row],[№]],ППД5[],COLUMN(ППД5[[#This Row],[утв цена м2]]),0)</f>
        <v>86852.95</v>
      </c>
      <c r="AK82" s="3">
        <f>наценкад5[[#This Row],[утв цена м2]]*наценкад5[[#This Row],[Расчетная проектная площадь]]</f>
        <v>5132140.8155000005</v>
      </c>
      <c r="AL82" s="22" t="str">
        <f>VLOOKUP(наценкад5[[#This Row],[№]],ППД5[],COLUMN('Реестр ОН'!$DF$1),0)</f>
        <v>Продажа</v>
      </c>
    </row>
    <row r="83" spans="1:38" hidden="1" x14ac:dyDescent="0.25">
      <c r="A83" s="101">
        <v>81</v>
      </c>
      <c r="B83" s="2" t="str">
        <f>_xlfn.XLOOKUP(наценкад5[[#This Row],[№]],ППД5[№],ППД5[Секция],"-",0)</f>
        <v>А</v>
      </c>
      <c r="C83" s="2">
        <f>_xlfn.XLOOKUP(наценкад5[[#This Row],[№]],ППД5[№],ППД5[Этаж],"-",0)</f>
        <v>12</v>
      </c>
      <c r="D83" s="2">
        <f>_xlfn.XLOOKUP(наценкад5[[#This Row],[№]],ППД5[№],ППД5[№ на этаже],"-",0)</f>
        <v>5</v>
      </c>
      <c r="E83" s="2">
        <f>_xlfn.XLOOKUP(наценкад5[[#This Row],[№]],ППД5[№],ППД5[Тип кв],"-",0)</f>
        <v>2</v>
      </c>
      <c r="F83" s="72">
        <f>_xlfn.XLOOKUP(наценкад5[[#This Row],[№]],ППД5[№],ППД5[Кухня],"-",0)</f>
        <v>18</v>
      </c>
      <c r="G83" s="72">
        <f>_xlfn.XLOOKUP(наценкад5[[#This Row],[№]],ППД5[№],ППД5[Ванная],"-",0)</f>
        <v>4.3499999999999996</v>
      </c>
      <c r="H83" s="72">
        <f>_xlfn.XLOOKUP(наценкад5[[#This Row],[№]],ППД5[№],ППД5[Гардеробная],"-",0)</f>
        <v>0</v>
      </c>
      <c r="I83" s="72">
        <f>_xlfn.XLOOKUP(наценкад5[[#This Row],[№]],ППД5[№],ППД5[Лоджия 2],"-",0)</f>
        <v>0</v>
      </c>
      <c r="J83" s="72">
        <f>_xlfn.XLOOKUP(наценкад5[[#This Row],[№]],ППД5[№],ППД5[С\У],"-",0)</f>
        <v>1.55</v>
      </c>
      <c r="K83" s="72">
        <f>_xlfn.XLOOKUP(наценкад5[[#This Row],[№]],ППД5[№],ППД5[Расчетная проектная площадь],"-",0)</f>
        <v>62.17</v>
      </c>
      <c r="L83" s="12">
        <f t="shared" si="1"/>
        <v>63000</v>
      </c>
      <c r="M83" s="102">
        <f>коэффициенты!$F$2</f>
        <v>1.2257</v>
      </c>
      <c r="N83" s="13">
        <f>наценкад5[[#This Row],[Цена м2 базовая]]*наценкад5[[#This Row],[Базовой K]]</f>
        <v>77219.100000000006</v>
      </c>
      <c r="O83" s="74">
        <f>коэффициенты!$F$4</f>
        <v>1.4999999999999999E-2</v>
      </c>
      <c r="P83" s="74"/>
      <c r="Q83" s="76">
        <f>коэффициенты!$F$6</f>
        <v>0.02</v>
      </c>
      <c r="R83" s="76"/>
      <c r="S83" s="76">
        <f>коэффициенты!$F$9</f>
        <v>0</v>
      </c>
      <c r="T83" s="74"/>
      <c r="U83" s="74"/>
      <c r="V83" s="76"/>
      <c r="W83" s="75"/>
      <c r="X83" s="76"/>
      <c r="Y83" s="75"/>
      <c r="Z83" s="74"/>
      <c r="AA83" s="74"/>
      <c r="AB83" s="74"/>
      <c r="AC83" s="74"/>
      <c r="AD83" s="76">
        <f>коэффициенты!$F$19</f>
        <v>5.0000000000000001E-3</v>
      </c>
      <c r="AE83" s="76"/>
      <c r="AF83" s="76"/>
      <c r="AG83" s="74"/>
      <c r="AH83" s="74"/>
      <c r="AI83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83" s="72">
        <f>VLOOKUP(наценкад5[[#This Row],[№]],ППД5[],COLUMN(ППД5[[#This Row],[утв цена м2]]),0)</f>
        <v>124241.85</v>
      </c>
      <c r="AK83" s="3">
        <f>наценкад5[[#This Row],[утв цена м2]]*наценкад5[[#This Row],[Расчетная проектная площадь]]</f>
        <v>7724115.8145000003</v>
      </c>
      <c r="AL83" s="22" t="str">
        <f>VLOOKUP(наценкад5[[#This Row],[№]],ППД5[],COLUMN('Реестр ОН'!$DF$1),0)</f>
        <v>Свободно</v>
      </c>
    </row>
    <row r="84" spans="1:38" hidden="1" x14ac:dyDescent="0.25">
      <c r="A84" s="101">
        <v>82</v>
      </c>
      <c r="B84" s="2" t="str">
        <f>_xlfn.XLOOKUP(наценкад5[[#This Row],[№]],ППД5[№],ППД5[Секция],"-",0)</f>
        <v>А</v>
      </c>
      <c r="C84" s="2">
        <f>_xlfn.XLOOKUP(наценкад5[[#This Row],[№]],ППД5[№],ППД5[Этаж],"-",0)</f>
        <v>12</v>
      </c>
      <c r="D84" s="2">
        <f>_xlfn.XLOOKUP(наценкад5[[#This Row],[№]],ППД5[№],ППД5[№ на этаже],"-",0)</f>
        <v>6</v>
      </c>
      <c r="E84" s="2">
        <f>_xlfn.XLOOKUP(наценкад5[[#This Row],[№]],ППД5[№],ППД5[Тип кв],"-",0)</f>
        <v>2</v>
      </c>
      <c r="F84" s="72">
        <f>_xlfn.XLOOKUP(наценкад5[[#This Row],[№]],ППД5[№],ППД5[Кухня],"-",0)</f>
        <v>14.35</v>
      </c>
      <c r="G84" s="72">
        <f>_xlfn.XLOOKUP(наценкад5[[#This Row],[№]],ППД5[№],ППД5[Ванная],"-",0)</f>
        <v>4.16</v>
      </c>
      <c r="H84" s="72">
        <f>_xlfn.XLOOKUP(наценкад5[[#This Row],[№]],ППД5[№],ППД5[Гардеробная],"-",0)</f>
        <v>0</v>
      </c>
      <c r="I84" s="72">
        <f>_xlfn.XLOOKUP(наценкад5[[#This Row],[№]],ППД5[№],ППД5[Лоджия 2],"-",0)</f>
        <v>0</v>
      </c>
      <c r="J84" s="72">
        <f>_xlfn.XLOOKUP(наценкад5[[#This Row],[№]],ППД5[№],ППД5[С\У],"-",0)</f>
        <v>1.93</v>
      </c>
      <c r="K84" s="72">
        <f>_xlfn.XLOOKUP(наценкад5[[#This Row],[№]],ППД5[№],ППД5[Расчетная проектная площадь],"-",0)</f>
        <v>58.16</v>
      </c>
      <c r="L84" s="12">
        <f t="shared" si="1"/>
        <v>63000</v>
      </c>
      <c r="M84" s="102">
        <f>коэффициенты!$F$2</f>
        <v>1.2257</v>
      </c>
      <c r="N84" s="13">
        <f>наценкад5[[#This Row],[Цена м2 базовая]]*наценкад5[[#This Row],[Базовой K]]</f>
        <v>77219.100000000006</v>
      </c>
      <c r="O84" s="74">
        <f>коэффициенты!$F$4</f>
        <v>1.4999999999999999E-2</v>
      </c>
      <c r="P84" s="74"/>
      <c r="Q84" s="74">
        <f>коэффициенты!$E$6</f>
        <v>0.01</v>
      </c>
      <c r="R84" s="76"/>
      <c r="S84" s="76">
        <f>коэффициенты!$F$9</f>
        <v>0</v>
      </c>
      <c r="T84" s="74"/>
      <c r="U84" s="74"/>
      <c r="V84" s="74">
        <f>коэффициенты!$F$11</f>
        <v>5.0000000000000001E-3</v>
      </c>
      <c r="W84" s="75"/>
      <c r="X84" s="74">
        <f>коэффициенты!$F$13</f>
        <v>0.02</v>
      </c>
      <c r="Y84" s="75"/>
      <c r="Z84" s="74"/>
      <c r="AA84" s="74"/>
      <c r="AB84" s="74"/>
      <c r="AC84" s="74"/>
      <c r="AD84" s="76">
        <f>коэффициенты!$F$19</f>
        <v>5.0000000000000001E-3</v>
      </c>
      <c r="AE84" s="76"/>
      <c r="AF84" s="76"/>
      <c r="AG84" s="74"/>
      <c r="AH84" s="74"/>
      <c r="AI84" s="73">
        <f>SUM(наценкад5[[#This Row],[еврокухня]:[большая площадь]])*наценкад5[[#This Row],[Цена м2 с базовым K]]+наценкад5[[#This Row],[Цена м2 с базовым K]]</f>
        <v>81466.150500000003</v>
      </c>
      <c r="AJ84" s="72">
        <f>VLOOKUP(наценкад5[[#This Row],[№]],ППД5[],COLUMN(ППД5[[#This Row],[утв цена м2]]),0)</f>
        <v>88105.64</v>
      </c>
      <c r="AK84" s="3">
        <f>наценкад5[[#This Row],[утв цена м2]]*наценкад5[[#This Row],[Расчетная проектная площадь]]</f>
        <v>5124224.0223999992</v>
      </c>
      <c r="AL84" s="22" t="str">
        <f>VLOOKUP(наценкад5[[#This Row],[№]],ППД5[],COLUMN('Реестр ОН'!$DF$1),0)</f>
        <v>Продажа</v>
      </c>
    </row>
    <row r="85" spans="1:38" hidden="1" x14ac:dyDescent="0.25">
      <c r="A85" s="101">
        <v>83</v>
      </c>
      <c r="B85" s="2" t="str">
        <f>_xlfn.XLOOKUP(наценкад5[[#This Row],[№]],ППД5[№],ППД5[Секция],"-",0)</f>
        <v>А</v>
      </c>
      <c r="C85" s="2">
        <f>_xlfn.XLOOKUP(наценкад5[[#This Row],[№]],ППД5[№],ППД5[Этаж],"-",0)</f>
        <v>12</v>
      </c>
      <c r="D85" s="2">
        <f>_xlfn.XLOOKUP(наценкад5[[#This Row],[№]],ППД5[№],ППД5[№ на этаже],"-",0)</f>
        <v>7</v>
      </c>
      <c r="E85" s="2">
        <f>_xlfn.XLOOKUP(наценкад5[[#This Row],[№]],ППД5[№],ППД5[Тип кв],"-",0)</f>
        <v>1</v>
      </c>
      <c r="F85" s="72">
        <f>_xlfn.XLOOKUP(наценкад5[[#This Row],[№]],ППД5[№],ППД5[Кухня],"-",0)</f>
        <v>13.04</v>
      </c>
      <c r="G85" s="72">
        <f>_xlfn.XLOOKUP(наценкад5[[#This Row],[№]],ППД5[№],ППД5[Ванная],"-",0)</f>
        <v>3.9</v>
      </c>
      <c r="H85" s="72">
        <f>_xlfn.XLOOKUP(наценкад5[[#This Row],[№]],ППД5[№],ППД5[Гардеробная],"-",0)</f>
        <v>0</v>
      </c>
      <c r="I85" s="72">
        <f>_xlfn.XLOOKUP(наценкад5[[#This Row],[№]],ППД5[№],ППД5[Лоджия 2],"-",0)</f>
        <v>0</v>
      </c>
      <c r="J85" s="72">
        <f>_xlfn.XLOOKUP(наценкад5[[#This Row],[№]],ППД5[№],ППД5[С\У],"-",0)</f>
        <v>0</v>
      </c>
      <c r="K85" s="72">
        <f>_xlfn.XLOOKUP(наценкад5[[#This Row],[№]],ППД5[№],ППД5[Расчетная проектная площадь],"-",0)</f>
        <v>42.75</v>
      </c>
      <c r="L85" s="12">
        <f t="shared" si="1"/>
        <v>63000</v>
      </c>
      <c r="M85" s="102">
        <f>коэффициенты!$G$2</f>
        <v>1.2875000000000001</v>
      </c>
      <c r="N85" s="13">
        <f>наценкад5[[#This Row],[Цена м2 базовая]]*наценкад5[[#This Row],[Базовой K]]</f>
        <v>81112.5</v>
      </c>
      <c r="O85" s="74"/>
      <c r="P85" s="76">
        <f>коэффициенты!$G$5</f>
        <v>0.01</v>
      </c>
      <c r="Q85" s="74"/>
      <c r="R85" s="74"/>
      <c r="S85" s="74"/>
      <c r="T85" s="74"/>
      <c r="U85" s="74"/>
      <c r="V85" s="74">
        <f>коэффициенты!$G$11</f>
        <v>0.01</v>
      </c>
      <c r="W85" s="74"/>
      <c r="X85" s="74"/>
      <c r="Y85" s="75"/>
      <c r="Z85" s="74"/>
      <c r="AA85" s="76">
        <f>коэффициенты!$G$14</f>
        <v>0.01</v>
      </c>
      <c r="AB85" s="74"/>
      <c r="AC85" s="74"/>
      <c r="AD85" s="76">
        <f>коэффициенты!$G$19</f>
        <v>0.01</v>
      </c>
      <c r="AE85" s="76"/>
      <c r="AF85" s="76"/>
      <c r="AG85" s="74">
        <f>коэффициенты!$A$24</f>
        <v>-5.0000000000000001E-3</v>
      </c>
      <c r="AH85" s="74"/>
      <c r="AI85" s="73">
        <f>SUM(наценкад5[[#This Row],[еврокухня]:[большая площадь]])*наценкад5[[#This Row],[Цена м2 с базовым K]]+наценкад5[[#This Row],[Цена м2 с базовым K]]</f>
        <v>83951.4375</v>
      </c>
      <c r="AJ85" s="72">
        <f>VLOOKUP(наценкад5[[#This Row],[№]],ППД5[],COLUMN(ППД5[[#This Row],[утв цена м2]]),0)</f>
        <v>110473.29</v>
      </c>
      <c r="AK85" s="3">
        <f>наценкад5[[#This Row],[утв цена м2]]*наценкад5[[#This Row],[Расчетная проектная площадь]]</f>
        <v>4722733.1475</v>
      </c>
      <c r="AL85" s="22" t="str">
        <f>VLOOKUP(наценкад5[[#This Row],[№]],ППД5[],COLUMN('Реестр ОН'!$DF$1),0)</f>
        <v>Продажа</v>
      </c>
    </row>
    <row r="86" spans="1:38" hidden="1" x14ac:dyDescent="0.25">
      <c r="A86" s="101">
        <v>84</v>
      </c>
      <c r="B86" s="2" t="str">
        <f>_xlfn.XLOOKUP(наценкад5[[#This Row],[№]],ППД5[№],ППД5[Секция],"-",0)</f>
        <v>А</v>
      </c>
      <c r="C86" s="2">
        <f>_xlfn.XLOOKUP(наценкад5[[#This Row],[№]],ППД5[№],ППД5[Этаж],"-",0)</f>
        <v>13</v>
      </c>
      <c r="D86" s="2">
        <f>_xlfn.XLOOKUP(наценкад5[[#This Row],[№]],ППД5[№],ППД5[№ на этаже],"-",0)</f>
        <v>1</v>
      </c>
      <c r="E86" s="2">
        <f>_xlfn.XLOOKUP(наценкад5[[#This Row],[№]],ППД5[№],ППД5[Тип кв],"-",0)</f>
        <v>1</v>
      </c>
      <c r="F86" s="72">
        <f>_xlfn.XLOOKUP(наценкад5[[#This Row],[№]],ППД5[№],ППД5[Кухня],"-",0)</f>
        <v>9.84</v>
      </c>
      <c r="G86" s="72">
        <f>_xlfn.XLOOKUP(наценкад5[[#This Row],[№]],ППД5[№],ППД5[Ванная],"-",0)</f>
        <v>3.63</v>
      </c>
      <c r="H86" s="72">
        <f>_xlfn.XLOOKUP(наценкад5[[#This Row],[№]],ППД5[№],ППД5[Гардеробная],"-",0)</f>
        <v>0</v>
      </c>
      <c r="I86" s="72">
        <f>_xlfn.XLOOKUP(наценкад5[[#This Row],[№]],ППД5[№],ППД5[Лоджия 2],"-",0)</f>
        <v>0</v>
      </c>
      <c r="J86" s="72">
        <f>_xlfn.XLOOKUP(наценкад5[[#This Row],[№]],ППД5[№],ППД5[С\У],"-",0)</f>
        <v>0</v>
      </c>
      <c r="K86" s="72">
        <f>_xlfn.XLOOKUP(наценкад5[[#This Row],[№]],ППД5[№],ППД5[Расчетная проектная площадь],"-",0)</f>
        <v>34.39</v>
      </c>
      <c r="L86" s="12">
        <f t="shared" si="1"/>
        <v>63000</v>
      </c>
      <c r="M86" s="102">
        <f>коэффициенты!$G$2</f>
        <v>1.2875000000000001</v>
      </c>
      <c r="N86" s="13">
        <f>наценкад5[[#This Row],[Цена м2 базовая]]*наценкад5[[#This Row],[Базовой K]]</f>
        <v>81112.5</v>
      </c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5"/>
      <c r="Z86" s="74"/>
      <c r="AA86" s="76">
        <f>коэффициенты!$G$14</f>
        <v>0.01</v>
      </c>
      <c r="AB86" s="74"/>
      <c r="AC86" s="74"/>
      <c r="AD86" s="76">
        <f>коэффициенты!$G$19</f>
        <v>0.01</v>
      </c>
      <c r="AE86" s="76"/>
      <c r="AF86" s="76"/>
      <c r="AG86" s="74"/>
      <c r="AH86" s="74"/>
      <c r="AI86" s="73">
        <f>SUM(наценкад5[[#This Row],[еврокухня]:[большая площадь]])*наценкад5[[#This Row],[Цена м2 с базовым K]]+наценкад5[[#This Row],[Цена м2 с базовым K]]</f>
        <v>82734.75</v>
      </c>
      <c r="AJ86" s="72">
        <f>VLOOKUP(наценкад5[[#This Row],[№]],ППД5[],COLUMN(ППД5[[#This Row],[утв цена м2]]),0)</f>
        <v>116992.1</v>
      </c>
      <c r="AK86" s="3">
        <f>наценкад5[[#This Row],[утв цена м2]]*наценкад5[[#This Row],[Расчетная проектная площадь]]</f>
        <v>4023358.3190000001</v>
      </c>
      <c r="AL86" s="22" t="str">
        <f>VLOOKUP(наценкад5[[#This Row],[№]],ППД5[],COLUMN('Реестр ОН'!$DF$1),0)</f>
        <v>Продажа</v>
      </c>
    </row>
    <row r="87" spans="1:38" hidden="1" x14ac:dyDescent="0.25">
      <c r="A87" s="101">
        <v>85</v>
      </c>
      <c r="B87" s="2" t="str">
        <f>_xlfn.XLOOKUP(наценкад5[[#This Row],[№]],ППД5[№],ППД5[Секция],"-",0)</f>
        <v>А</v>
      </c>
      <c r="C87" s="2">
        <f>_xlfn.XLOOKUP(наценкад5[[#This Row],[№]],ППД5[№],ППД5[Этаж],"-",0)</f>
        <v>13</v>
      </c>
      <c r="D87" s="2">
        <f>_xlfn.XLOOKUP(наценкад5[[#This Row],[№]],ППД5[№],ППД5[№ на этаже],"-",0)</f>
        <v>2</v>
      </c>
      <c r="E87" s="2">
        <f>_xlfn.XLOOKUP(наценкад5[[#This Row],[№]],ППД5[№],ППД5[Тип кв],"-",0)</f>
        <v>2</v>
      </c>
      <c r="F87" s="72">
        <f>_xlfn.XLOOKUP(наценкад5[[#This Row],[№]],ППД5[№],ППД5[Кухня],"-",0)</f>
        <v>19.440000000000001</v>
      </c>
      <c r="G87" s="72">
        <f>_xlfn.XLOOKUP(наценкад5[[#This Row],[№]],ППД5[№],ППД5[Ванная],"-",0)</f>
        <v>4.42</v>
      </c>
      <c r="H87" s="72">
        <f>_xlfn.XLOOKUP(наценкад5[[#This Row],[№]],ППД5[№],ППД5[Гардеробная],"-",0)</f>
        <v>3.25</v>
      </c>
      <c r="I87" s="72">
        <f>_xlfn.XLOOKUP(наценкад5[[#This Row],[№]],ППД5[№],ППД5[Лоджия 2],"-",0)</f>
        <v>0</v>
      </c>
      <c r="J87" s="72">
        <f>_xlfn.XLOOKUP(наценкад5[[#This Row],[№]],ППД5[№],ППД5[С\У],"-",0)</f>
        <v>0</v>
      </c>
      <c r="K87" s="72">
        <f>_xlfn.XLOOKUP(наценкад5[[#This Row],[№]],ППД5[№],ППД5[Расчетная проектная площадь],"-",0)</f>
        <v>68.5</v>
      </c>
      <c r="L87" s="12">
        <f t="shared" si="1"/>
        <v>63000</v>
      </c>
      <c r="M87" s="102">
        <f>коэффициенты!$F$2</f>
        <v>1.2257</v>
      </c>
      <c r="N87" s="13">
        <f>наценкад5[[#This Row],[Цена м2 базовая]]*наценкад5[[#This Row],[Базовой K]]</f>
        <v>77219.100000000006</v>
      </c>
      <c r="O87" s="74">
        <f>коэффициенты!$F$4</f>
        <v>1.4999999999999999E-2</v>
      </c>
      <c r="P87" s="74"/>
      <c r="Q87" s="76">
        <f>коэффициенты!$F$6</f>
        <v>0.02</v>
      </c>
      <c r="R87" s="76"/>
      <c r="S87" s="76"/>
      <c r="T87" s="74"/>
      <c r="U87" s="74"/>
      <c r="V87" s="74">
        <f>коэффициенты!$F$11</f>
        <v>5.0000000000000001E-3</v>
      </c>
      <c r="W87" s="75"/>
      <c r="X87" s="74"/>
      <c r="Y87" s="75"/>
      <c r="Z87" s="74"/>
      <c r="AA87" s="74"/>
      <c r="AB87" s="76">
        <f>коэффициенты!$F$17</f>
        <v>0.05</v>
      </c>
      <c r="AC87" s="74"/>
      <c r="AD87" s="76"/>
      <c r="AE87" s="76"/>
      <c r="AF87" s="76"/>
      <c r="AG87" s="74"/>
      <c r="AH87" s="76"/>
      <c r="AI87" s="73">
        <f>SUM(наценкад5[[#This Row],[еврокухня]:[большая площадь]])*наценкад5[[#This Row],[Цена м2 с базовым K]]+наценкад5[[#This Row],[Цена м2 с базовым K]]</f>
        <v>84168.819000000003</v>
      </c>
      <c r="AJ87" s="72">
        <f>VLOOKUP(наценкад5[[#This Row],[№]],ППД5[],COLUMN(ППД5[[#This Row],[утв цена м2]]),0)</f>
        <v>119834.85</v>
      </c>
      <c r="AK87" s="3">
        <f>наценкад5[[#This Row],[утв цена м2]]*наценкад5[[#This Row],[Расчетная проектная площадь]]</f>
        <v>8208687.2250000006</v>
      </c>
      <c r="AL87" s="22" t="str">
        <f>VLOOKUP(наценкад5[[#This Row],[№]],ППД5[],COLUMN('Реестр ОН'!$DF$1),0)</f>
        <v>Свободно</v>
      </c>
    </row>
    <row r="88" spans="1:38" hidden="1" x14ac:dyDescent="0.25">
      <c r="A88" s="101">
        <v>86</v>
      </c>
      <c r="B88" s="2" t="str">
        <f>_xlfn.XLOOKUP(наценкад5[[#This Row],[№]],ППД5[№],ППД5[Секция],"-",0)</f>
        <v>А</v>
      </c>
      <c r="C88" s="2">
        <f>_xlfn.XLOOKUP(наценкад5[[#This Row],[№]],ППД5[№],ППД5[Этаж],"-",0)</f>
        <v>13</v>
      </c>
      <c r="D88" s="2">
        <f>_xlfn.XLOOKUP(наценкад5[[#This Row],[№]],ППД5[№],ППД5[№ на этаже],"-",0)</f>
        <v>3</v>
      </c>
      <c r="E88" s="2">
        <f>_xlfn.XLOOKUP(наценкад5[[#This Row],[№]],ППД5[№],ППД5[Тип кв],"-",0)</f>
        <v>1</v>
      </c>
      <c r="F88" s="72">
        <f>_xlfn.XLOOKUP(наценкад5[[#This Row],[№]],ППД5[№],ППД5[Кухня],"-",0)</f>
        <v>14.97</v>
      </c>
      <c r="G88" s="72">
        <f>_xlfn.XLOOKUP(наценкад5[[#This Row],[№]],ППД5[№],ППД5[Ванная],"-",0)</f>
        <v>4.1100000000000003</v>
      </c>
      <c r="H88" s="72">
        <f>_xlfn.XLOOKUP(наценкад5[[#This Row],[№]],ППД5[№],ППД5[Гардеробная],"-",0)</f>
        <v>0</v>
      </c>
      <c r="I88" s="72">
        <f>_xlfn.XLOOKUP(наценкад5[[#This Row],[№]],ППД5[№],ППД5[Лоджия 2],"-",0)</f>
        <v>0</v>
      </c>
      <c r="J88" s="72">
        <f>_xlfn.XLOOKUP(наценкад5[[#This Row],[№]],ППД5[№],ППД5[С\У],"-",0)</f>
        <v>0</v>
      </c>
      <c r="K88" s="72">
        <f>_xlfn.XLOOKUP(наценкад5[[#This Row],[№]],ППД5[№],ППД5[Расчетная проектная площадь],"-",0)</f>
        <v>37.729999999999997</v>
      </c>
      <c r="L88" s="12">
        <f t="shared" si="1"/>
        <v>63000</v>
      </c>
      <c r="M88" s="102">
        <f>коэффициенты!$G$2</f>
        <v>1.2875000000000001</v>
      </c>
      <c r="N88" s="13">
        <f>наценкад5[[#This Row],[Цена м2 базовая]]*наценкад5[[#This Row],[Базовой K]]</f>
        <v>81112.5</v>
      </c>
      <c r="O88" s="76">
        <f>коэффициенты!$G$4</f>
        <v>0.02</v>
      </c>
      <c r="P88" s="74"/>
      <c r="Q88" s="76">
        <f>коэффициенты!$G$6</f>
        <v>0.03</v>
      </c>
      <c r="R88" s="74"/>
      <c r="S88" s="74"/>
      <c r="T88" s="74"/>
      <c r="U88" s="74"/>
      <c r="V88" s="74"/>
      <c r="W88" s="74"/>
      <c r="X88" s="74">
        <f>коэффициенты!$G$13</f>
        <v>0.01</v>
      </c>
      <c r="Y88" s="75"/>
      <c r="Z88" s="74"/>
      <c r="AA88" s="76">
        <f>коэффициенты!$G$14</f>
        <v>0.01</v>
      </c>
      <c r="AB88" s="74"/>
      <c r="AC88" s="74"/>
      <c r="AD88" s="76">
        <f>коэффициенты!$G$19</f>
        <v>0.01</v>
      </c>
      <c r="AE88" s="76"/>
      <c r="AF88" s="76"/>
      <c r="AG88" s="74"/>
      <c r="AH88" s="74"/>
      <c r="AI88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88" s="72">
        <f>VLOOKUP(наценкад5[[#This Row],[№]],ППД5[],COLUMN(ППД5[[#This Row],[утв цена м2]]),0)</f>
        <v>101372.89</v>
      </c>
      <c r="AK88" s="3">
        <f>наценкад5[[#This Row],[утв цена м2]]*наценкад5[[#This Row],[Расчетная проектная площадь]]</f>
        <v>3824799.1396999997</v>
      </c>
      <c r="AL88" s="22" t="str">
        <f>VLOOKUP(наценкад5[[#This Row],[№]],ППД5[],COLUMN('Реестр ОН'!$DF$1),0)</f>
        <v>Продажа</v>
      </c>
    </row>
    <row r="89" spans="1:38" hidden="1" x14ac:dyDescent="0.25">
      <c r="A89" s="101">
        <v>87</v>
      </c>
      <c r="B89" s="2" t="str">
        <f>_xlfn.XLOOKUP(наценкад5[[#This Row],[№]],ППД5[№],ППД5[Секция],"-",0)</f>
        <v>А</v>
      </c>
      <c r="C89" s="2">
        <f>_xlfn.XLOOKUP(наценкад5[[#This Row],[№]],ППД5[№],ППД5[Этаж],"-",0)</f>
        <v>13</v>
      </c>
      <c r="D89" s="2">
        <f>_xlfn.XLOOKUP(наценкад5[[#This Row],[№]],ППД5[№],ППД5[№ на этаже],"-",0)</f>
        <v>4</v>
      </c>
      <c r="E89" s="2">
        <f>_xlfn.XLOOKUP(наценкад5[[#This Row],[№]],ППД5[№],ППД5[Тип кв],"-",0)</f>
        <v>2</v>
      </c>
      <c r="F89" s="72">
        <f>_xlfn.XLOOKUP(наценкад5[[#This Row],[№]],ППД5[№],ППД5[Кухня],"-",0)</f>
        <v>14.58</v>
      </c>
      <c r="G89" s="72">
        <f>_xlfn.XLOOKUP(наценкад5[[#This Row],[№]],ППД5[№],ППД5[Ванная],"-",0)</f>
        <v>4.34</v>
      </c>
      <c r="H89" s="72">
        <f>_xlfn.XLOOKUP(наценкад5[[#This Row],[№]],ППД5[№],ППД5[Гардеробная],"-",0)</f>
        <v>0</v>
      </c>
      <c r="I89" s="72">
        <f>_xlfn.XLOOKUP(наценкад5[[#This Row],[№]],ППД5[№],ППД5[Лоджия 2],"-",0)</f>
        <v>0</v>
      </c>
      <c r="J89" s="72">
        <f>_xlfn.XLOOKUP(наценкад5[[#This Row],[№]],ППД5[№],ППД5[С\У],"-",0)</f>
        <v>2.08</v>
      </c>
      <c r="K89" s="72">
        <f>_xlfn.XLOOKUP(наценкад5[[#This Row],[№]],ППД5[№],ППД5[Расчетная проектная площадь],"-",0)</f>
        <v>59.09</v>
      </c>
      <c r="L89" s="12">
        <f t="shared" si="1"/>
        <v>63000</v>
      </c>
      <c r="M89" s="102">
        <f>коэффициенты!$F$2</f>
        <v>1.2257</v>
      </c>
      <c r="N89" s="13">
        <f>наценкад5[[#This Row],[Цена м2 базовая]]*наценкад5[[#This Row],[Базовой K]]</f>
        <v>77219.100000000006</v>
      </c>
      <c r="O89" s="74">
        <f>коэффициенты!$F$4</f>
        <v>1.4999999999999999E-2</v>
      </c>
      <c r="P89" s="74"/>
      <c r="Q89" s="76">
        <f>коэффициенты!$F$6</f>
        <v>0.02</v>
      </c>
      <c r="R89" s="76"/>
      <c r="S89" s="76">
        <f>коэффициенты!$F$9</f>
        <v>0</v>
      </c>
      <c r="T89" s="74"/>
      <c r="U89" s="74"/>
      <c r="V89" s="74"/>
      <c r="W89" s="74"/>
      <c r="X89" s="74"/>
      <c r="Y89" s="75"/>
      <c r="Z89" s="74"/>
      <c r="AA89" s="74"/>
      <c r="AB89" s="74"/>
      <c r="AC89" s="74"/>
      <c r="AD89" s="76">
        <f>коэффициенты!$F$19</f>
        <v>5.0000000000000001E-3</v>
      </c>
      <c r="AE89" s="76"/>
      <c r="AF89" s="76"/>
      <c r="AG89" s="74"/>
      <c r="AH89" s="74"/>
      <c r="AI89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89" s="72">
        <f>VLOOKUP(наценкад5[[#This Row],[№]],ППД5[],COLUMN(ППД5[[#This Row],[утв цена м2]]),0)</f>
        <v>96786.99</v>
      </c>
      <c r="AK89" s="3">
        <f>наценкад5[[#This Row],[утв цена м2]]*наценкад5[[#This Row],[Расчетная проектная площадь]]</f>
        <v>5719143.2391000008</v>
      </c>
      <c r="AL89" s="22" t="str">
        <f>VLOOKUP(наценкад5[[#This Row],[№]],ППД5[],COLUMN('Реестр ОН'!$DF$1),0)</f>
        <v>Продажа</v>
      </c>
    </row>
    <row r="90" spans="1:38" hidden="1" x14ac:dyDescent="0.25">
      <c r="A90" s="101">
        <v>88</v>
      </c>
      <c r="B90" s="2" t="str">
        <f>_xlfn.XLOOKUP(наценкад5[[#This Row],[№]],ППД5[№],ППД5[Секция],"-",0)</f>
        <v>А</v>
      </c>
      <c r="C90" s="2">
        <f>_xlfn.XLOOKUP(наценкад5[[#This Row],[№]],ППД5[№],ППД5[Этаж],"-",0)</f>
        <v>13</v>
      </c>
      <c r="D90" s="2">
        <f>_xlfn.XLOOKUP(наценкад5[[#This Row],[№]],ППД5[№],ППД5[№ на этаже],"-",0)</f>
        <v>5</v>
      </c>
      <c r="E90" s="2">
        <f>_xlfn.XLOOKUP(наценкад5[[#This Row],[№]],ППД5[№],ППД5[Тип кв],"-",0)</f>
        <v>2</v>
      </c>
      <c r="F90" s="72">
        <f>_xlfn.XLOOKUP(наценкад5[[#This Row],[№]],ППД5[№],ППД5[Кухня],"-",0)</f>
        <v>18</v>
      </c>
      <c r="G90" s="72">
        <f>_xlfn.XLOOKUP(наценкад5[[#This Row],[№]],ППД5[№],ППД5[Ванная],"-",0)</f>
        <v>4.3499999999999996</v>
      </c>
      <c r="H90" s="72">
        <f>_xlfn.XLOOKUP(наценкад5[[#This Row],[№]],ППД5[№],ППД5[Гардеробная],"-",0)</f>
        <v>0</v>
      </c>
      <c r="I90" s="72">
        <f>_xlfn.XLOOKUP(наценкад5[[#This Row],[№]],ППД5[№],ППД5[Лоджия 2],"-",0)</f>
        <v>0</v>
      </c>
      <c r="J90" s="72">
        <f>_xlfn.XLOOKUP(наценкад5[[#This Row],[№]],ППД5[№],ППД5[С\У],"-",0)</f>
        <v>1.55</v>
      </c>
      <c r="K90" s="72">
        <f>_xlfn.XLOOKUP(наценкад5[[#This Row],[№]],ППД5[№],ППД5[Расчетная проектная площадь],"-",0)</f>
        <v>62.17</v>
      </c>
      <c r="L90" s="12">
        <f t="shared" si="1"/>
        <v>63000</v>
      </c>
      <c r="M90" s="102">
        <f>коэффициенты!$F$2</f>
        <v>1.2257</v>
      </c>
      <c r="N90" s="13">
        <f>наценкад5[[#This Row],[Цена м2 базовая]]*наценкад5[[#This Row],[Базовой K]]</f>
        <v>77219.100000000006</v>
      </c>
      <c r="O90" s="74">
        <f>коэффициенты!$F$4</f>
        <v>1.4999999999999999E-2</v>
      </c>
      <c r="P90" s="74"/>
      <c r="Q90" s="76">
        <f>коэффициенты!$F$6</f>
        <v>0.02</v>
      </c>
      <c r="R90" s="76"/>
      <c r="S90" s="76">
        <f>коэффициенты!$F$9</f>
        <v>0</v>
      </c>
      <c r="T90" s="74"/>
      <c r="U90" s="74"/>
      <c r="V90" s="76"/>
      <c r="W90" s="75"/>
      <c r="X90" s="76"/>
      <c r="Y90" s="75"/>
      <c r="Z90" s="74"/>
      <c r="AA90" s="74"/>
      <c r="AB90" s="74"/>
      <c r="AC90" s="74"/>
      <c r="AD90" s="76">
        <f>коэффициенты!$F$19</f>
        <v>5.0000000000000001E-3</v>
      </c>
      <c r="AE90" s="76"/>
      <c r="AF90" s="76"/>
      <c r="AG90" s="74"/>
      <c r="AH90" s="74"/>
      <c r="AI90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90" s="72">
        <f>VLOOKUP(наценкад5[[#This Row],[№]],ППД5[],COLUMN(ППД5[[#This Row],[утв цена м2]]),0)</f>
        <v>95828.7</v>
      </c>
      <c r="AK90" s="3">
        <f>наценкад5[[#This Row],[утв цена м2]]*наценкад5[[#This Row],[Расчетная проектная площадь]]</f>
        <v>5957670.2790000001</v>
      </c>
      <c r="AL90" s="22" t="str">
        <f>VLOOKUP(наценкад5[[#This Row],[№]],ППД5[],COLUMN('Реестр ОН'!$DF$1),0)</f>
        <v>Продажа</v>
      </c>
    </row>
    <row r="91" spans="1:38" hidden="1" x14ac:dyDescent="0.25">
      <c r="A91" s="101">
        <v>89</v>
      </c>
      <c r="B91" s="2" t="str">
        <f>_xlfn.XLOOKUP(наценкад5[[#This Row],[№]],ППД5[№],ППД5[Секция],"-",0)</f>
        <v>А</v>
      </c>
      <c r="C91" s="2">
        <f>_xlfn.XLOOKUP(наценкад5[[#This Row],[№]],ППД5[№],ППД5[Этаж],"-",0)</f>
        <v>13</v>
      </c>
      <c r="D91" s="2">
        <f>_xlfn.XLOOKUP(наценкад5[[#This Row],[№]],ППД5[№],ППД5[№ на этаже],"-",0)</f>
        <v>6</v>
      </c>
      <c r="E91" s="2">
        <f>_xlfn.XLOOKUP(наценкад5[[#This Row],[№]],ППД5[№],ППД5[Тип кв],"-",0)</f>
        <v>2</v>
      </c>
      <c r="F91" s="72">
        <f>_xlfn.XLOOKUP(наценкад5[[#This Row],[№]],ППД5[№],ППД5[Кухня],"-",0)</f>
        <v>14.35</v>
      </c>
      <c r="G91" s="72">
        <f>_xlfn.XLOOKUP(наценкад5[[#This Row],[№]],ППД5[№],ППД5[Ванная],"-",0)</f>
        <v>4.16</v>
      </c>
      <c r="H91" s="72">
        <f>_xlfn.XLOOKUP(наценкад5[[#This Row],[№]],ППД5[№],ППД5[Гардеробная],"-",0)</f>
        <v>0</v>
      </c>
      <c r="I91" s="72">
        <f>_xlfn.XLOOKUP(наценкад5[[#This Row],[№]],ППД5[№],ППД5[Лоджия 2],"-",0)</f>
        <v>0</v>
      </c>
      <c r="J91" s="72">
        <f>_xlfn.XLOOKUP(наценкад5[[#This Row],[№]],ППД5[№],ППД5[С\У],"-",0)</f>
        <v>1.93</v>
      </c>
      <c r="K91" s="72">
        <f>_xlfn.XLOOKUP(наценкад5[[#This Row],[№]],ППД5[№],ППД5[Расчетная проектная площадь],"-",0)</f>
        <v>58.16</v>
      </c>
      <c r="L91" s="12">
        <f t="shared" si="1"/>
        <v>63000</v>
      </c>
      <c r="M91" s="102">
        <f>коэффициенты!$F$2</f>
        <v>1.2257</v>
      </c>
      <c r="N91" s="13">
        <f>наценкад5[[#This Row],[Цена м2 базовая]]*наценкад5[[#This Row],[Базовой K]]</f>
        <v>77219.100000000006</v>
      </c>
      <c r="O91" s="74">
        <f>коэффициенты!$F$4</f>
        <v>1.4999999999999999E-2</v>
      </c>
      <c r="P91" s="74"/>
      <c r="Q91" s="74">
        <f>коэффициенты!$E$6</f>
        <v>0.01</v>
      </c>
      <c r="R91" s="76"/>
      <c r="S91" s="76">
        <f>коэффициенты!$F$9</f>
        <v>0</v>
      </c>
      <c r="T91" s="74"/>
      <c r="U91" s="74"/>
      <c r="V91" s="74">
        <f>коэффициенты!$F$11</f>
        <v>5.0000000000000001E-3</v>
      </c>
      <c r="W91" s="75"/>
      <c r="X91" s="74">
        <f>коэффициенты!$F$13</f>
        <v>0.02</v>
      </c>
      <c r="Y91" s="75"/>
      <c r="Z91" s="74"/>
      <c r="AA91" s="74"/>
      <c r="AB91" s="74"/>
      <c r="AC91" s="74"/>
      <c r="AD91" s="76">
        <f>коэффициенты!$F$19</f>
        <v>5.0000000000000001E-3</v>
      </c>
      <c r="AE91" s="76"/>
      <c r="AF91" s="76"/>
      <c r="AG91" s="74"/>
      <c r="AH91" s="74"/>
      <c r="AI91" s="73">
        <f>SUM(наценкад5[[#This Row],[еврокухня]:[большая площадь]])*наценкад5[[#This Row],[Цена м2 с базовым K]]+наценкад5[[#This Row],[Цена м2 с базовым K]]</f>
        <v>81466.150500000003</v>
      </c>
      <c r="AJ91" s="72">
        <f>VLOOKUP(наценкад5[[#This Row],[№]],ППД5[],COLUMN(ППД5[[#This Row],[утв цена м2]]),0)</f>
        <v>124800.16</v>
      </c>
      <c r="AK91" s="3">
        <f>наценкад5[[#This Row],[утв цена м2]]*наценкад5[[#This Row],[Расчетная проектная площадь]]</f>
        <v>7258377.3055999996</v>
      </c>
      <c r="AL91" s="22" t="str">
        <f>VLOOKUP(наценкад5[[#This Row],[№]],ППД5[],COLUMN('Реестр ОН'!$DF$1),0)</f>
        <v>Продажа</v>
      </c>
    </row>
    <row r="92" spans="1:38" hidden="1" x14ac:dyDescent="0.25">
      <c r="A92" s="101">
        <v>90</v>
      </c>
      <c r="B92" s="2" t="str">
        <f>_xlfn.XLOOKUP(наценкад5[[#This Row],[№]],ППД5[№],ППД5[Секция],"-",0)</f>
        <v>А</v>
      </c>
      <c r="C92" s="2">
        <f>_xlfn.XLOOKUP(наценкад5[[#This Row],[№]],ППД5[№],ППД5[Этаж],"-",0)</f>
        <v>13</v>
      </c>
      <c r="D92" s="2">
        <f>_xlfn.XLOOKUP(наценкад5[[#This Row],[№]],ППД5[№],ППД5[№ на этаже],"-",0)</f>
        <v>7</v>
      </c>
      <c r="E92" s="2">
        <f>_xlfn.XLOOKUP(наценкад5[[#This Row],[№]],ППД5[№],ППД5[Тип кв],"-",0)</f>
        <v>1</v>
      </c>
      <c r="F92" s="72">
        <f>_xlfn.XLOOKUP(наценкад5[[#This Row],[№]],ППД5[№],ППД5[Кухня],"-",0)</f>
        <v>13.04</v>
      </c>
      <c r="G92" s="72">
        <f>_xlfn.XLOOKUP(наценкад5[[#This Row],[№]],ППД5[№],ППД5[Ванная],"-",0)</f>
        <v>3.9</v>
      </c>
      <c r="H92" s="72">
        <f>_xlfn.XLOOKUP(наценкад5[[#This Row],[№]],ППД5[№],ППД5[Гардеробная],"-",0)</f>
        <v>0</v>
      </c>
      <c r="I92" s="72">
        <f>_xlfn.XLOOKUP(наценкад5[[#This Row],[№]],ППД5[№],ППД5[Лоджия 2],"-",0)</f>
        <v>0</v>
      </c>
      <c r="J92" s="72">
        <f>_xlfn.XLOOKUP(наценкад5[[#This Row],[№]],ППД5[№],ППД5[С\У],"-",0)</f>
        <v>0</v>
      </c>
      <c r="K92" s="72">
        <f>_xlfn.XLOOKUP(наценкад5[[#This Row],[№]],ППД5[№],ППД5[Расчетная проектная площадь],"-",0)</f>
        <v>42.75</v>
      </c>
      <c r="L92" s="12">
        <f t="shared" si="1"/>
        <v>63000</v>
      </c>
      <c r="M92" s="102">
        <f>коэффициенты!$G$2</f>
        <v>1.2875000000000001</v>
      </c>
      <c r="N92" s="13">
        <f>наценкад5[[#This Row],[Цена м2 базовая]]*наценкад5[[#This Row],[Базовой K]]</f>
        <v>81112.5</v>
      </c>
      <c r="O92" s="74"/>
      <c r="P92" s="76">
        <f>коэффициенты!$G$5</f>
        <v>0.01</v>
      </c>
      <c r="Q92" s="74"/>
      <c r="R92" s="74"/>
      <c r="S92" s="74"/>
      <c r="T92" s="74"/>
      <c r="U92" s="74"/>
      <c r="V92" s="74">
        <f>коэффициенты!$G$11</f>
        <v>0.01</v>
      </c>
      <c r="W92" s="74"/>
      <c r="X92" s="74"/>
      <c r="Y92" s="75"/>
      <c r="Z92" s="74"/>
      <c r="AA92" s="76">
        <f>коэффициенты!$G$14</f>
        <v>0.01</v>
      </c>
      <c r="AB92" s="74"/>
      <c r="AC92" s="74"/>
      <c r="AD92" s="76">
        <f>коэффициенты!$G$19</f>
        <v>0.01</v>
      </c>
      <c r="AE92" s="76"/>
      <c r="AF92" s="76"/>
      <c r="AG92" s="74">
        <f>коэффициенты!$A$24</f>
        <v>-5.0000000000000001E-3</v>
      </c>
      <c r="AH92" s="74"/>
      <c r="AI92" s="73">
        <f>SUM(наценкад5[[#This Row],[еврокухня]:[большая площадь]])*наценкад5[[#This Row],[Цена м2 с базовым K]]+наценкад5[[#This Row],[Цена м2 с базовым K]]</f>
        <v>83951.4375</v>
      </c>
      <c r="AJ92" s="72">
        <f>VLOOKUP(наценкад5[[#This Row],[№]],ППД5[],COLUMN(ППД5[[#This Row],[утв цена м2]]),0)</f>
        <v>110473.29</v>
      </c>
      <c r="AK92" s="3">
        <f>наценкад5[[#This Row],[утв цена м2]]*наценкад5[[#This Row],[Расчетная проектная площадь]]</f>
        <v>4722733.1475</v>
      </c>
      <c r="AL92" s="22" t="str">
        <f>VLOOKUP(наценкад5[[#This Row],[№]],ППД5[],COLUMN('Реестр ОН'!$DF$1),0)</f>
        <v>Продажа</v>
      </c>
    </row>
    <row r="93" spans="1:38" hidden="1" x14ac:dyDescent="0.25">
      <c r="A93" s="101">
        <v>91</v>
      </c>
      <c r="B93" s="2" t="str">
        <f>_xlfn.XLOOKUP(наценкад5[[#This Row],[№]],ППД5[№],ППД5[Секция],"-",0)</f>
        <v>А</v>
      </c>
      <c r="C93" s="2">
        <f>_xlfn.XLOOKUP(наценкад5[[#This Row],[№]],ППД5[№],ППД5[Этаж],"-",0)</f>
        <v>14</v>
      </c>
      <c r="D93" s="2">
        <f>_xlfn.XLOOKUP(наценкад5[[#This Row],[№]],ППД5[№],ППД5[№ на этаже],"-",0)</f>
        <v>1</v>
      </c>
      <c r="E93" s="2">
        <f>_xlfn.XLOOKUP(наценкад5[[#This Row],[№]],ППД5[№],ППД5[Тип кв],"-",0)</f>
        <v>1</v>
      </c>
      <c r="F93" s="72">
        <f>_xlfn.XLOOKUP(наценкад5[[#This Row],[№]],ППД5[№],ППД5[Кухня],"-",0)</f>
        <v>9.84</v>
      </c>
      <c r="G93" s="72">
        <f>_xlfn.XLOOKUP(наценкад5[[#This Row],[№]],ППД5[№],ППД5[Ванная],"-",0)</f>
        <v>3.63</v>
      </c>
      <c r="H93" s="72">
        <f>_xlfn.XLOOKUP(наценкад5[[#This Row],[№]],ППД5[№],ППД5[Гардеробная],"-",0)</f>
        <v>0</v>
      </c>
      <c r="I93" s="72">
        <f>_xlfn.XLOOKUP(наценкад5[[#This Row],[№]],ППД5[№],ППД5[Лоджия 2],"-",0)</f>
        <v>0</v>
      </c>
      <c r="J93" s="72">
        <f>_xlfn.XLOOKUP(наценкад5[[#This Row],[№]],ППД5[№],ППД5[С\У],"-",0)</f>
        <v>0</v>
      </c>
      <c r="K93" s="72">
        <f>_xlfn.XLOOKUP(наценкад5[[#This Row],[№]],ППД5[№],ППД5[Расчетная проектная площадь],"-",0)</f>
        <v>34.39</v>
      </c>
      <c r="L93" s="12">
        <f t="shared" si="1"/>
        <v>63000</v>
      </c>
      <c r="M93" s="102">
        <f>коэффициенты!$G$2</f>
        <v>1.2875000000000001</v>
      </c>
      <c r="N93" s="13">
        <f>наценкад5[[#This Row],[Цена м2 базовая]]*наценкад5[[#This Row],[Базовой K]]</f>
        <v>81112.5</v>
      </c>
      <c r="O93" s="74"/>
      <c r="P93" s="74"/>
      <c r="Q93" s="74"/>
      <c r="R93" s="74"/>
      <c r="S93" s="74"/>
      <c r="T93" s="74"/>
      <c r="U93" s="74"/>
      <c r="V93" s="74"/>
      <c r="W93" s="75"/>
      <c r="X93" s="74"/>
      <c r="Y93" s="75"/>
      <c r="Z93" s="74"/>
      <c r="AA93" s="76">
        <f>коэффициенты!$G$14</f>
        <v>0.01</v>
      </c>
      <c r="AB93" s="74"/>
      <c r="AC93" s="74"/>
      <c r="AD93" s="76">
        <f>коэффициенты!$G$19</f>
        <v>0.01</v>
      </c>
      <c r="AE93" s="76"/>
      <c r="AF93" s="76"/>
      <c r="AG93" s="74"/>
      <c r="AH93" s="74"/>
      <c r="AI93" s="73">
        <f>SUM(наценкад5[[#This Row],[еврокухня]:[большая площадь]])*наценкад5[[#This Row],[Цена м2 с базовым K]]+наценкад5[[#This Row],[Цена м2 с базовым K]]</f>
        <v>82734.75</v>
      </c>
      <c r="AJ93" s="72">
        <f>VLOOKUP(наценкад5[[#This Row],[№]],ППД5[],COLUMN(ППД5[[#This Row],[утв цена м2]]),0)</f>
        <v>148064.57</v>
      </c>
      <c r="AK93" s="3">
        <f>наценкад5[[#This Row],[утв цена м2]]*наценкад5[[#This Row],[Расчетная проектная площадь]]</f>
        <v>5091940.5623000003</v>
      </c>
      <c r="AL93" s="22" t="str">
        <f>VLOOKUP(наценкад5[[#This Row],[№]],ППД5[],COLUMN('Реестр ОН'!$DF$1),0)</f>
        <v>Свободно</v>
      </c>
    </row>
    <row r="94" spans="1:38" hidden="1" x14ac:dyDescent="0.25">
      <c r="A94" s="101">
        <v>92</v>
      </c>
      <c r="B94" s="2" t="str">
        <f>_xlfn.XLOOKUP(наценкад5[[#This Row],[№]],ППД5[№],ППД5[Секция],"-",0)</f>
        <v>А</v>
      </c>
      <c r="C94" s="2">
        <f>_xlfn.XLOOKUP(наценкад5[[#This Row],[№]],ППД5[№],ППД5[Этаж],"-",0)</f>
        <v>14</v>
      </c>
      <c r="D94" s="2">
        <f>_xlfn.XLOOKUP(наценкад5[[#This Row],[№]],ППД5[№],ППД5[№ на этаже],"-",0)</f>
        <v>2</v>
      </c>
      <c r="E94" s="2">
        <f>_xlfn.XLOOKUP(наценкад5[[#This Row],[№]],ППД5[№],ППД5[Тип кв],"-",0)</f>
        <v>2</v>
      </c>
      <c r="F94" s="72">
        <f>_xlfn.XLOOKUP(наценкад5[[#This Row],[№]],ППД5[№],ППД5[Кухня],"-",0)</f>
        <v>19.440000000000001</v>
      </c>
      <c r="G94" s="72">
        <f>_xlfn.XLOOKUP(наценкад5[[#This Row],[№]],ППД5[№],ППД5[Ванная],"-",0)</f>
        <v>4.42</v>
      </c>
      <c r="H94" s="72">
        <f>_xlfn.XLOOKUP(наценкад5[[#This Row],[№]],ППД5[№],ППД5[Гардеробная],"-",0)</f>
        <v>3.25</v>
      </c>
      <c r="I94" s="72">
        <f>_xlfn.XLOOKUP(наценкад5[[#This Row],[№]],ППД5[№],ППД5[Лоджия 2],"-",0)</f>
        <v>0</v>
      </c>
      <c r="J94" s="72">
        <f>_xlfn.XLOOKUP(наценкад5[[#This Row],[№]],ППД5[№],ППД5[С\У],"-",0)</f>
        <v>0</v>
      </c>
      <c r="K94" s="72">
        <f>_xlfn.XLOOKUP(наценкад5[[#This Row],[№]],ППД5[№],ППД5[Расчетная проектная площадь],"-",0)</f>
        <v>68.5</v>
      </c>
      <c r="L94" s="12">
        <f t="shared" si="1"/>
        <v>63000</v>
      </c>
      <c r="M94" s="102">
        <f>коэффициенты!$F$2</f>
        <v>1.2257</v>
      </c>
      <c r="N94" s="13">
        <f>наценкад5[[#This Row],[Цена м2 базовая]]*наценкад5[[#This Row],[Базовой K]]</f>
        <v>77219.100000000006</v>
      </c>
      <c r="O94" s="74">
        <f>коэффициенты!$F$4</f>
        <v>1.4999999999999999E-2</v>
      </c>
      <c r="P94" s="74"/>
      <c r="Q94" s="76">
        <f>коэффициенты!$F$6</f>
        <v>0.02</v>
      </c>
      <c r="R94" s="76"/>
      <c r="S94" s="76"/>
      <c r="T94" s="74"/>
      <c r="U94" s="74"/>
      <c r="V94" s="74">
        <f>коэффициенты!$F$11</f>
        <v>5.0000000000000001E-3</v>
      </c>
      <c r="W94" s="75"/>
      <c r="X94" s="74"/>
      <c r="Y94" s="75"/>
      <c r="Z94" s="74"/>
      <c r="AA94" s="74"/>
      <c r="AB94" s="76">
        <f>коэффициенты!$F$17</f>
        <v>0.05</v>
      </c>
      <c r="AC94" s="74"/>
      <c r="AD94" s="76"/>
      <c r="AE94" s="76"/>
      <c r="AF94" s="76"/>
      <c r="AG94" s="74"/>
      <c r="AH94" s="76"/>
      <c r="AI94" s="73">
        <f>SUM(наценкад5[[#This Row],[еврокухня]:[большая площадь]])*наценкад5[[#This Row],[Цена м2 с базовым K]]+наценкад5[[#This Row],[Цена м2 с базовым K]]</f>
        <v>84168.819000000003</v>
      </c>
      <c r="AJ94" s="72">
        <f>VLOOKUP(наценкад5[[#This Row],[№]],ППД5[],COLUMN(ППД5[[#This Row],[утв цена м2]]),0)</f>
        <v>99518.97</v>
      </c>
      <c r="AK94" s="3">
        <f>наценкад5[[#This Row],[утв цена м2]]*наценкад5[[#This Row],[Расчетная проектная площадь]]</f>
        <v>6817049.4450000003</v>
      </c>
      <c r="AL94" s="22" t="str">
        <f>VLOOKUP(наценкад5[[#This Row],[№]],ППД5[],COLUMN('Реестр ОН'!$DF$1),0)</f>
        <v>Продажа</v>
      </c>
    </row>
    <row r="95" spans="1:38" hidden="1" x14ac:dyDescent="0.25">
      <c r="A95" s="101">
        <v>93</v>
      </c>
      <c r="B95" s="2" t="str">
        <f>_xlfn.XLOOKUP(наценкад5[[#This Row],[№]],ППД5[№],ППД5[Секция],"-",0)</f>
        <v>А</v>
      </c>
      <c r="C95" s="2">
        <f>_xlfn.XLOOKUP(наценкад5[[#This Row],[№]],ППД5[№],ППД5[Этаж],"-",0)</f>
        <v>14</v>
      </c>
      <c r="D95" s="2">
        <f>_xlfn.XLOOKUP(наценкад5[[#This Row],[№]],ППД5[№],ППД5[№ на этаже],"-",0)</f>
        <v>3</v>
      </c>
      <c r="E95" s="2">
        <f>_xlfn.XLOOKUP(наценкад5[[#This Row],[№]],ППД5[№],ППД5[Тип кв],"-",0)</f>
        <v>1</v>
      </c>
      <c r="F95" s="72">
        <f>_xlfn.XLOOKUP(наценкад5[[#This Row],[№]],ППД5[№],ППД5[Кухня],"-",0)</f>
        <v>14.97</v>
      </c>
      <c r="G95" s="72">
        <f>_xlfn.XLOOKUP(наценкад5[[#This Row],[№]],ППД5[№],ППД5[Ванная],"-",0)</f>
        <v>4.1100000000000003</v>
      </c>
      <c r="H95" s="72">
        <f>_xlfn.XLOOKUP(наценкад5[[#This Row],[№]],ППД5[№],ППД5[Гардеробная],"-",0)</f>
        <v>0</v>
      </c>
      <c r="I95" s="72">
        <f>_xlfn.XLOOKUP(наценкад5[[#This Row],[№]],ППД5[№],ППД5[Лоджия 2],"-",0)</f>
        <v>0</v>
      </c>
      <c r="J95" s="72">
        <f>_xlfn.XLOOKUP(наценкад5[[#This Row],[№]],ППД5[№],ППД5[С\У],"-",0)</f>
        <v>0</v>
      </c>
      <c r="K95" s="72">
        <f>_xlfn.XLOOKUP(наценкад5[[#This Row],[№]],ППД5[№],ППД5[Расчетная проектная площадь],"-",0)</f>
        <v>37.729999999999997</v>
      </c>
      <c r="L95" s="12">
        <f t="shared" si="1"/>
        <v>63000</v>
      </c>
      <c r="M95" s="102">
        <f>коэффициенты!$G$2</f>
        <v>1.2875000000000001</v>
      </c>
      <c r="N95" s="13">
        <f>наценкад5[[#This Row],[Цена м2 базовая]]*наценкад5[[#This Row],[Базовой K]]</f>
        <v>81112.5</v>
      </c>
      <c r="O95" s="76">
        <f>коэффициенты!$G$4</f>
        <v>0.02</v>
      </c>
      <c r="P95" s="74"/>
      <c r="Q95" s="76">
        <f>коэффициенты!$G$6</f>
        <v>0.03</v>
      </c>
      <c r="R95" s="74"/>
      <c r="S95" s="74"/>
      <c r="T95" s="74"/>
      <c r="U95" s="74"/>
      <c r="V95" s="74"/>
      <c r="W95" s="74"/>
      <c r="X95" s="74">
        <f>коэффициенты!$G$13</f>
        <v>0.01</v>
      </c>
      <c r="Y95" s="75"/>
      <c r="Z95" s="74"/>
      <c r="AA95" s="76">
        <f>коэффициенты!$G$14</f>
        <v>0.01</v>
      </c>
      <c r="AB95" s="74"/>
      <c r="AC95" s="74"/>
      <c r="AD95" s="76">
        <f>коэффициенты!$G$19</f>
        <v>0.01</v>
      </c>
      <c r="AE95" s="76"/>
      <c r="AF95" s="76"/>
      <c r="AG95" s="74"/>
      <c r="AH95" s="74"/>
      <c r="AI95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95" s="72">
        <f>VLOOKUP(наценкад5[[#This Row],[№]],ППД5[],COLUMN(ППД5[[#This Row],[утв цена м2]]),0)</f>
        <v>87601.5</v>
      </c>
      <c r="AK95" s="3">
        <f>наценкад5[[#This Row],[утв цена м2]]*наценкад5[[#This Row],[Расчетная проектная площадь]]</f>
        <v>3305204.5949999997</v>
      </c>
      <c r="AL95" s="22" t="str">
        <f>VLOOKUP(наценкад5[[#This Row],[№]],ППД5[],COLUMN('Реестр ОН'!$DF$1),0)</f>
        <v>Продажа</v>
      </c>
    </row>
    <row r="96" spans="1:38" hidden="1" x14ac:dyDescent="0.25">
      <c r="A96" s="101">
        <v>94</v>
      </c>
      <c r="B96" s="2" t="str">
        <f>_xlfn.XLOOKUP(наценкад5[[#This Row],[№]],ППД5[№],ППД5[Секция],"-",0)</f>
        <v>А</v>
      </c>
      <c r="C96" s="2">
        <f>_xlfn.XLOOKUP(наценкад5[[#This Row],[№]],ППД5[№],ППД5[Этаж],"-",0)</f>
        <v>14</v>
      </c>
      <c r="D96" s="2">
        <f>_xlfn.XLOOKUP(наценкад5[[#This Row],[№]],ППД5[№],ППД5[№ на этаже],"-",0)</f>
        <v>4</v>
      </c>
      <c r="E96" s="2">
        <f>_xlfn.XLOOKUP(наценкад5[[#This Row],[№]],ППД5[№],ППД5[Тип кв],"-",0)</f>
        <v>2</v>
      </c>
      <c r="F96" s="3">
        <f>_xlfn.XLOOKUP(наценкад5[[#This Row],[№]],ППД5[№],ППД5[Кухня],"-",0)</f>
        <v>14.58</v>
      </c>
      <c r="G96" s="72">
        <f>_xlfn.XLOOKUP(наценкад5[[#This Row],[№]],ППД5[№],ППД5[Ванная],"-",0)</f>
        <v>4.34</v>
      </c>
      <c r="H96" s="72">
        <f>_xlfn.XLOOKUP(наценкад5[[#This Row],[№]],ППД5[№],ППД5[Гардеробная],"-",0)</f>
        <v>0</v>
      </c>
      <c r="I96" s="72">
        <f>_xlfn.XLOOKUP(наценкад5[[#This Row],[№]],ППД5[№],ППД5[Лоджия 2],"-",0)</f>
        <v>0</v>
      </c>
      <c r="J96" s="72">
        <f>_xlfn.XLOOKUP(наценкад5[[#This Row],[№]],ППД5[№],ППД5[С\У],"-",0)</f>
        <v>2.08</v>
      </c>
      <c r="K96" s="72">
        <f>_xlfn.XLOOKUP(наценкад5[[#This Row],[№]],ППД5[№],ППД5[Расчетная проектная площадь],"-",0)</f>
        <v>59.09</v>
      </c>
      <c r="L96" s="12">
        <f t="shared" si="1"/>
        <v>63000</v>
      </c>
      <c r="M96" s="102">
        <f>коэффициенты!$F$2</f>
        <v>1.2257</v>
      </c>
      <c r="N96" s="13">
        <f>наценкад5[[#This Row],[Цена м2 базовая]]*наценкад5[[#This Row],[Базовой K]]</f>
        <v>77219.100000000006</v>
      </c>
      <c r="O96" s="74">
        <f>коэффициенты!$F$4</f>
        <v>1.4999999999999999E-2</v>
      </c>
      <c r="P96" s="74"/>
      <c r="Q96" s="76">
        <f>коэффициенты!$F$6</f>
        <v>0.02</v>
      </c>
      <c r="R96" s="76"/>
      <c r="S96" s="76">
        <f>коэффициенты!$F$9</f>
        <v>0</v>
      </c>
      <c r="T96" s="74"/>
      <c r="U96" s="74"/>
      <c r="V96" s="74"/>
      <c r="W96" s="74"/>
      <c r="X96" s="74"/>
      <c r="Y96" s="75"/>
      <c r="Z96" s="74"/>
      <c r="AA96" s="74"/>
      <c r="AB96" s="74"/>
      <c r="AC96" s="74"/>
      <c r="AD96" s="76">
        <f>коэффициенты!$F$19</f>
        <v>5.0000000000000001E-3</v>
      </c>
      <c r="AE96" s="76"/>
      <c r="AF96" s="76"/>
      <c r="AG96" s="74"/>
      <c r="AH96" s="74"/>
      <c r="AI96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96" s="72">
        <f>VLOOKUP(наценкад5[[#This Row],[№]],ППД5[],COLUMN(ППД5[[#This Row],[утв цена м2]]),0)</f>
        <v>122412.25</v>
      </c>
      <c r="AK96" s="3">
        <f>наценкад5[[#This Row],[утв цена м2]]*наценкад5[[#This Row],[Расчетная проектная площадь]]</f>
        <v>7233339.8525</v>
      </c>
      <c r="AL96" s="22" t="str">
        <f>VLOOKUP(наценкад5[[#This Row],[№]],ППД5[],COLUMN('Реестр ОН'!$DF$1),0)</f>
        <v>Продажа</v>
      </c>
    </row>
    <row r="97" spans="1:38" hidden="1" x14ac:dyDescent="0.25">
      <c r="A97" s="101">
        <v>95</v>
      </c>
      <c r="B97" s="2" t="str">
        <f>_xlfn.XLOOKUP(наценкад5[[#This Row],[№]],ППД5[№],ППД5[Секция],"-",0)</f>
        <v>А</v>
      </c>
      <c r="C97" s="2">
        <f>_xlfn.XLOOKUP(наценкад5[[#This Row],[№]],ППД5[№],ППД5[Этаж],"-",0)</f>
        <v>14</v>
      </c>
      <c r="D97" s="2">
        <f>_xlfn.XLOOKUP(наценкад5[[#This Row],[№]],ППД5[№],ППД5[№ на этаже],"-",0)</f>
        <v>5</v>
      </c>
      <c r="E97" s="2">
        <f>_xlfn.XLOOKUP(наценкад5[[#This Row],[№]],ППД5[№],ППД5[Тип кв],"-",0)</f>
        <v>2</v>
      </c>
      <c r="F97" s="72">
        <f>_xlfn.XLOOKUP(наценкад5[[#This Row],[№]],ППД5[№],ППД5[Кухня],"-",0)</f>
        <v>18</v>
      </c>
      <c r="G97" s="72">
        <f>_xlfn.XLOOKUP(наценкад5[[#This Row],[№]],ППД5[№],ППД5[Ванная],"-",0)</f>
        <v>4.3499999999999996</v>
      </c>
      <c r="H97" s="72">
        <f>_xlfn.XLOOKUP(наценкад5[[#This Row],[№]],ППД5[№],ППД5[Гардеробная],"-",0)</f>
        <v>0</v>
      </c>
      <c r="I97" s="72">
        <f>_xlfn.XLOOKUP(наценкад5[[#This Row],[№]],ППД5[№],ППД5[Лоджия 2],"-",0)</f>
        <v>0</v>
      </c>
      <c r="J97" s="72">
        <f>_xlfn.XLOOKUP(наценкад5[[#This Row],[№]],ППД5[№],ППД5[С\У],"-",0)</f>
        <v>1.55</v>
      </c>
      <c r="K97" s="72">
        <f>_xlfn.XLOOKUP(наценкад5[[#This Row],[№]],ППД5[№],ППД5[Расчетная проектная площадь],"-",0)</f>
        <v>62.17</v>
      </c>
      <c r="L97" s="12">
        <f t="shared" si="1"/>
        <v>63000</v>
      </c>
      <c r="M97" s="102">
        <f>коэффициенты!$F$2</f>
        <v>1.2257</v>
      </c>
      <c r="N97" s="13">
        <f>наценкад5[[#This Row],[Цена м2 базовая]]*наценкад5[[#This Row],[Базовой K]]</f>
        <v>77219.100000000006</v>
      </c>
      <c r="O97" s="74">
        <f>коэффициенты!$F$4</f>
        <v>1.4999999999999999E-2</v>
      </c>
      <c r="P97" s="74"/>
      <c r="Q97" s="76">
        <f>коэффициенты!$F$6</f>
        <v>0.02</v>
      </c>
      <c r="R97" s="76"/>
      <c r="S97" s="76">
        <f>коэффициенты!$F$9</f>
        <v>0</v>
      </c>
      <c r="T97" s="74"/>
      <c r="U97" s="74"/>
      <c r="V97" s="76"/>
      <c r="W97" s="75"/>
      <c r="X97" s="76"/>
      <c r="Y97" s="75"/>
      <c r="Z97" s="74"/>
      <c r="AA97" s="74"/>
      <c r="AB97" s="74"/>
      <c r="AC97" s="74"/>
      <c r="AD97" s="76">
        <f>коэффициенты!$F$19</f>
        <v>5.0000000000000001E-3</v>
      </c>
      <c r="AE97" s="76"/>
      <c r="AF97" s="76"/>
      <c r="AG97" s="74"/>
      <c r="AH97" s="74"/>
      <c r="AI97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97" s="72">
        <f>VLOOKUP(наценкад5[[#This Row],[№]],ППД5[],COLUMN(ППД5[[#This Row],[утв цена м2]]),0)</f>
        <v>86852.95</v>
      </c>
      <c r="AK97" s="3">
        <f>наценкад5[[#This Row],[утв цена м2]]*наценкад5[[#This Row],[Расчетная проектная площадь]]</f>
        <v>5399647.9014999997</v>
      </c>
      <c r="AL97" s="22" t="str">
        <f>VLOOKUP(наценкад5[[#This Row],[№]],ППД5[],COLUMN('Реестр ОН'!$DF$1),0)</f>
        <v>Продажа</v>
      </c>
    </row>
    <row r="98" spans="1:38" hidden="1" x14ac:dyDescent="0.25">
      <c r="A98" s="101">
        <v>96</v>
      </c>
      <c r="B98" s="2" t="str">
        <f>_xlfn.XLOOKUP(наценкад5[[#This Row],[№]],ППД5[№],ППД5[Секция],"-",0)</f>
        <v>А</v>
      </c>
      <c r="C98" s="2">
        <f>_xlfn.XLOOKUP(наценкад5[[#This Row],[№]],ППД5[№],ППД5[Этаж],"-",0)</f>
        <v>14</v>
      </c>
      <c r="D98" s="2">
        <f>_xlfn.XLOOKUP(наценкад5[[#This Row],[№]],ППД5[№],ППД5[№ на этаже],"-",0)</f>
        <v>6</v>
      </c>
      <c r="E98" s="2">
        <f>_xlfn.XLOOKUP(наценкад5[[#This Row],[№]],ППД5[№],ППД5[Тип кв],"-",0)</f>
        <v>2</v>
      </c>
      <c r="F98" s="72">
        <f>_xlfn.XLOOKUP(наценкад5[[#This Row],[№]],ППД5[№],ППД5[Кухня],"-",0)</f>
        <v>14.35</v>
      </c>
      <c r="G98" s="72">
        <f>_xlfn.XLOOKUP(наценкад5[[#This Row],[№]],ППД5[№],ППД5[Ванная],"-",0)</f>
        <v>4.16</v>
      </c>
      <c r="H98" s="72">
        <f>_xlfn.XLOOKUP(наценкад5[[#This Row],[№]],ППД5[№],ППД5[Гардеробная],"-",0)</f>
        <v>0</v>
      </c>
      <c r="I98" s="72">
        <f>_xlfn.XLOOKUP(наценкад5[[#This Row],[№]],ППД5[№],ППД5[Лоджия 2],"-",0)</f>
        <v>0</v>
      </c>
      <c r="J98" s="72">
        <f>_xlfn.XLOOKUP(наценкад5[[#This Row],[№]],ППД5[№],ППД5[С\У],"-",0)</f>
        <v>1.93</v>
      </c>
      <c r="K98" s="72">
        <f>_xlfn.XLOOKUP(наценкад5[[#This Row],[№]],ППД5[№],ППД5[Расчетная проектная площадь],"-",0)</f>
        <v>58.16</v>
      </c>
      <c r="L98" s="12">
        <f t="shared" si="1"/>
        <v>63000</v>
      </c>
      <c r="M98" s="102">
        <f>коэффициенты!$F$2</f>
        <v>1.2257</v>
      </c>
      <c r="N98" s="13">
        <f>наценкад5[[#This Row],[Цена м2 базовая]]*наценкад5[[#This Row],[Базовой K]]</f>
        <v>77219.100000000006</v>
      </c>
      <c r="O98" s="74">
        <f>коэффициенты!$F$4</f>
        <v>1.4999999999999999E-2</v>
      </c>
      <c r="P98" s="74"/>
      <c r="Q98" s="74">
        <f>коэффициенты!$E$6</f>
        <v>0.01</v>
      </c>
      <c r="R98" s="76"/>
      <c r="S98" s="76">
        <f>коэффициенты!$F$9</f>
        <v>0</v>
      </c>
      <c r="T98" s="74"/>
      <c r="U98" s="74"/>
      <c r="V98" s="74">
        <f>коэффициенты!$F$11</f>
        <v>5.0000000000000001E-3</v>
      </c>
      <c r="W98" s="74"/>
      <c r="X98" s="74">
        <f>коэффициенты!$F$13</f>
        <v>0.02</v>
      </c>
      <c r="Y98" s="75"/>
      <c r="Z98" s="74"/>
      <c r="AA98" s="74"/>
      <c r="AB98" s="74"/>
      <c r="AC98" s="74"/>
      <c r="AD98" s="76">
        <f>коэффициенты!$F$19</f>
        <v>5.0000000000000001E-3</v>
      </c>
      <c r="AE98" s="76"/>
      <c r="AF98" s="76"/>
      <c r="AG98" s="74"/>
      <c r="AH98" s="74"/>
      <c r="AI98" s="73">
        <f>SUM(наценкад5[[#This Row],[еврокухня]:[большая площадь]])*наценкад5[[#This Row],[Цена м2 с базовым K]]+наценкад5[[#This Row],[Цена м2 с базовым K]]</f>
        <v>81466.150500000003</v>
      </c>
      <c r="AJ98" s="72">
        <f>VLOOKUP(наценкад5[[#This Row],[№]],ППД5[],COLUMN(ППД5[[#This Row],[утв цена м2]]),0)</f>
        <v>104161.93</v>
      </c>
      <c r="AK98" s="3">
        <f>наценкад5[[#This Row],[утв цена м2]]*наценкад5[[#This Row],[Расчетная проектная площадь]]</f>
        <v>6058057.8487999989</v>
      </c>
      <c r="AL98" s="22" t="str">
        <f>VLOOKUP(наценкад5[[#This Row],[№]],ППД5[],COLUMN('Реестр ОН'!$DF$1),0)</f>
        <v>Продажа</v>
      </c>
    </row>
    <row r="99" spans="1:38" hidden="1" x14ac:dyDescent="0.25">
      <c r="A99" s="101">
        <v>97</v>
      </c>
      <c r="B99" s="2" t="str">
        <f>_xlfn.XLOOKUP(наценкад5[[#This Row],[№]],ППД5[№],ППД5[Секция],"-",0)</f>
        <v>А</v>
      </c>
      <c r="C99" s="2">
        <f>_xlfn.XLOOKUP(наценкад5[[#This Row],[№]],ППД5[№],ППД5[Этаж],"-",0)</f>
        <v>14</v>
      </c>
      <c r="D99" s="2">
        <f>_xlfn.XLOOKUP(наценкад5[[#This Row],[№]],ППД5[№],ППД5[№ на этаже],"-",0)</f>
        <v>7</v>
      </c>
      <c r="E99" s="2">
        <f>_xlfn.XLOOKUP(наценкад5[[#This Row],[№]],ППД5[№],ППД5[Тип кв],"-",0)</f>
        <v>1</v>
      </c>
      <c r="F99" s="72">
        <f>_xlfn.XLOOKUP(наценкад5[[#This Row],[№]],ППД5[№],ППД5[Кухня],"-",0)</f>
        <v>13.04</v>
      </c>
      <c r="G99" s="72">
        <f>_xlfn.XLOOKUP(наценкад5[[#This Row],[№]],ППД5[№],ППД5[Ванная],"-",0)</f>
        <v>3.9</v>
      </c>
      <c r="H99" s="72">
        <f>_xlfn.XLOOKUP(наценкад5[[#This Row],[№]],ППД5[№],ППД5[Гардеробная],"-",0)</f>
        <v>0</v>
      </c>
      <c r="I99" s="72">
        <f>_xlfn.XLOOKUP(наценкад5[[#This Row],[№]],ППД5[№],ППД5[Лоджия 2],"-",0)</f>
        <v>0</v>
      </c>
      <c r="J99" s="72">
        <f>_xlfn.XLOOKUP(наценкад5[[#This Row],[№]],ППД5[№],ППД5[С\У],"-",0)</f>
        <v>0</v>
      </c>
      <c r="K99" s="72">
        <f>_xlfn.XLOOKUP(наценкад5[[#This Row],[№]],ППД5[№],ППД5[Расчетная проектная площадь],"-",0)</f>
        <v>42.75</v>
      </c>
      <c r="L99" s="12">
        <f t="shared" si="1"/>
        <v>63000</v>
      </c>
      <c r="M99" s="102">
        <f>коэффициенты!$G$2</f>
        <v>1.2875000000000001</v>
      </c>
      <c r="N99" s="13">
        <f>наценкад5[[#This Row],[Цена м2 базовая]]*наценкад5[[#This Row],[Базовой K]]</f>
        <v>81112.5</v>
      </c>
      <c r="O99" s="74"/>
      <c r="P99" s="76">
        <f>коэффициенты!$G$5</f>
        <v>0.01</v>
      </c>
      <c r="Q99" s="74"/>
      <c r="R99" s="74"/>
      <c r="S99" s="74"/>
      <c r="T99" s="74"/>
      <c r="U99" s="74"/>
      <c r="V99" s="74">
        <f>коэффициенты!$G$11</f>
        <v>0.01</v>
      </c>
      <c r="W99" s="74"/>
      <c r="X99" s="74"/>
      <c r="Y99" s="75"/>
      <c r="Z99" s="74"/>
      <c r="AA99" s="76">
        <f>коэффициенты!$G$14</f>
        <v>0.01</v>
      </c>
      <c r="AB99" s="74"/>
      <c r="AC99" s="74"/>
      <c r="AD99" s="76">
        <f>коэффициенты!$G$19</f>
        <v>0.01</v>
      </c>
      <c r="AE99" s="76"/>
      <c r="AF99" s="76"/>
      <c r="AG99" s="74">
        <f>коэффициенты!$A$24</f>
        <v>-5.0000000000000001E-3</v>
      </c>
      <c r="AH99" s="74"/>
      <c r="AI99" s="73">
        <f>SUM(наценкад5[[#This Row],[еврокухня]:[большая площадь]])*наценкад5[[#This Row],[Цена м2 с базовым K]]+наценкад5[[#This Row],[Цена м2 с базовым K]]</f>
        <v>83951.4375</v>
      </c>
      <c r="AJ99" s="72">
        <f>VLOOKUP(наценкад5[[#This Row],[№]],ППД5[],COLUMN(ППД5[[#This Row],[утв цена м2]]),0)</f>
        <v>134856.60999999999</v>
      </c>
      <c r="AK99" s="3">
        <f>наценкад5[[#This Row],[утв цена м2]]*наценкад5[[#This Row],[Расчетная проектная площадь]]</f>
        <v>5765120.0774999997</v>
      </c>
      <c r="AL99" s="22" t="str">
        <f>VLOOKUP(наценкад5[[#This Row],[№]],ППД5[],COLUMN('Реестр ОН'!$DF$1),0)</f>
        <v>Продажа</v>
      </c>
    </row>
    <row r="100" spans="1:38" hidden="1" x14ac:dyDescent="0.25">
      <c r="A100" s="101">
        <v>98</v>
      </c>
      <c r="B100" s="2" t="str">
        <f>_xlfn.XLOOKUP(наценкад5[[#This Row],[№]],ППД5[№],ППД5[Секция],"-",0)</f>
        <v>А</v>
      </c>
      <c r="C100" s="2">
        <f>_xlfn.XLOOKUP(наценкад5[[#This Row],[№]],ППД5[№],ППД5[Этаж],"-",0)</f>
        <v>15</v>
      </c>
      <c r="D100" s="2">
        <f>_xlfn.XLOOKUP(наценкад5[[#This Row],[№]],ППД5[№],ППД5[№ на этаже],"-",0)</f>
        <v>1</v>
      </c>
      <c r="E100" s="2">
        <f>_xlfn.XLOOKUP(наценкад5[[#This Row],[№]],ППД5[№],ППД5[Тип кв],"-",0)</f>
        <v>1</v>
      </c>
      <c r="F100" s="72">
        <f>_xlfn.XLOOKUP(наценкад5[[#This Row],[№]],ППД5[№],ППД5[Кухня],"-",0)</f>
        <v>9.84</v>
      </c>
      <c r="G100" s="72">
        <f>_xlfn.XLOOKUP(наценкад5[[#This Row],[№]],ППД5[№],ППД5[Ванная],"-",0)</f>
        <v>3.63</v>
      </c>
      <c r="H100" s="72">
        <f>_xlfn.XLOOKUP(наценкад5[[#This Row],[№]],ППД5[№],ППД5[Гардеробная],"-",0)</f>
        <v>0</v>
      </c>
      <c r="I100" s="72">
        <f>_xlfn.XLOOKUP(наценкад5[[#This Row],[№]],ППД5[№],ППД5[Лоджия 2],"-",0)</f>
        <v>0</v>
      </c>
      <c r="J100" s="72">
        <f>_xlfn.XLOOKUP(наценкад5[[#This Row],[№]],ППД5[№],ППД5[С\У],"-",0)</f>
        <v>0</v>
      </c>
      <c r="K100" s="72">
        <f>_xlfn.XLOOKUP(наценкад5[[#This Row],[№]],ППД5[№],ППД5[Расчетная проектная площадь],"-",0)</f>
        <v>34.39</v>
      </c>
      <c r="L100" s="12">
        <f t="shared" si="1"/>
        <v>63000</v>
      </c>
      <c r="M100" s="102">
        <f>коэффициенты!$G$2</f>
        <v>1.2875000000000001</v>
      </c>
      <c r="N100" s="13">
        <f>наценкад5[[#This Row],[Цена м2 базовая]]*наценкад5[[#This Row],[Базовой K]]</f>
        <v>81112.5</v>
      </c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5"/>
      <c r="Z100" s="74"/>
      <c r="AA100" s="76">
        <f>коэффициенты!$G$14</f>
        <v>0.01</v>
      </c>
      <c r="AB100" s="74"/>
      <c r="AC100" s="74"/>
      <c r="AD100" s="76">
        <f>коэффициенты!$G$19</f>
        <v>0.01</v>
      </c>
      <c r="AE100" s="76"/>
      <c r="AF100" s="76"/>
      <c r="AG100" s="74"/>
      <c r="AH100" s="74"/>
      <c r="AI100" s="73">
        <f>SUM(наценкад5[[#This Row],[еврокухня]:[большая площадь]])*наценкад5[[#This Row],[Цена м2 с базовым K]]+наценкад5[[#This Row],[Цена м2 с базовым K]]</f>
        <v>82734.75</v>
      </c>
      <c r="AJ100" s="72">
        <f>VLOOKUP(наценкад5[[#This Row],[№]],ППД5[],COLUMN(ППД5[[#This Row],[утв цена м2]]),0)</f>
        <v>119331.94</v>
      </c>
      <c r="AK100" s="3">
        <f>наценкад5[[#This Row],[утв цена м2]]*наценкад5[[#This Row],[Расчетная проектная площадь]]</f>
        <v>4103825.4166000001</v>
      </c>
      <c r="AL100" s="22" t="str">
        <f>VLOOKUP(наценкад5[[#This Row],[№]],ППД5[],COLUMN('Реестр ОН'!$DF$1),0)</f>
        <v>Продажа</v>
      </c>
    </row>
    <row r="101" spans="1:38" hidden="1" x14ac:dyDescent="0.25">
      <c r="A101" s="101">
        <v>99</v>
      </c>
      <c r="B101" s="2" t="str">
        <f>_xlfn.XLOOKUP(наценкад5[[#This Row],[№]],ППД5[№],ППД5[Секция],"-",0)</f>
        <v>А</v>
      </c>
      <c r="C101" s="2">
        <f>_xlfn.XLOOKUP(наценкад5[[#This Row],[№]],ППД5[№],ППД5[Этаж],"-",0)</f>
        <v>15</v>
      </c>
      <c r="D101" s="2">
        <f>_xlfn.XLOOKUP(наценкад5[[#This Row],[№]],ППД5[№],ППД5[№ на этаже],"-",0)</f>
        <v>2</v>
      </c>
      <c r="E101" s="2">
        <f>_xlfn.XLOOKUP(наценкад5[[#This Row],[№]],ППД5[№],ППД5[Тип кв],"-",0)</f>
        <v>2</v>
      </c>
      <c r="F101" s="72">
        <f>_xlfn.XLOOKUP(наценкад5[[#This Row],[№]],ППД5[№],ППД5[Кухня],"-",0)</f>
        <v>19.440000000000001</v>
      </c>
      <c r="G101" s="72">
        <f>_xlfn.XLOOKUP(наценкад5[[#This Row],[№]],ППД5[№],ППД5[Ванная],"-",0)</f>
        <v>4.42</v>
      </c>
      <c r="H101" s="72">
        <f>_xlfn.XLOOKUP(наценкад5[[#This Row],[№]],ППД5[№],ППД5[Гардеробная],"-",0)</f>
        <v>3.25</v>
      </c>
      <c r="I101" s="72">
        <f>_xlfn.XLOOKUP(наценкад5[[#This Row],[№]],ППД5[№],ППД5[Лоджия 2],"-",0)</f>
        <v>0</v>
      </c>
      <c r="J101" s="72">
        <f>_xlfn.XLOOKUP(наценкад5[[#This Row],[№]],ППД5[№],ППД5[С\У],"-",0)</f>
        <v>0</v>
      </c>
      <c r="K101" s="72">
        <f>_xlfn.XLOOKUP(наценкад5[[#This Row],[№]],ППД5[№],ППД5[Расчетная проектная площадь],"-",0)</f>
        <v>68.5</v>
      </c>
      <c r="L101" s="12">
        <f t="shared" si="1"/>
        <v>63000</v>
      </c>
      <c r="M101" s="102">
        <f>коэффициенты!$F$2</f>
        <v>1.2257</v>
      </c>
      <c r="N101" s="13">
        <f>наценкад5[[#This Row],[Цена м2 базовая]]*наценкад5[[#This Row],[Базовой K]]</f>
        <v>77219.100000000006</v>
      </c>
      <c r="O101" s="74">
        <f>коэффициенты!$F$4</f>
        <v>1.4999999999999999E-2</v>
      </c>
      <c r="P101" s="74"/>
      <c r="Q101" s="76">
        <f>коэффициенты!$F$6</f>
        <v>0.02</v>
      </c>
      <c r="R101" s="76"/>
      <c r="S101" s="76"/>
      <c r="T101" s="74"/>
      <c r="U101" s="74"/>
      <c r="V101" s="74">
        <f>коэффициенты!$F$11</f>
        <v>5.0000000000000001E-3</v>
      </c>
      <c r="W101" s="75"/>
      <c r="X101" s="74"/>
      <c r="Y101" s="75"/>
      <c r="Z101" s="74"/>
      <c r="AA101" s="74"/>
      <c r="AB101" s="76">
        <f>коэффициенты!$F$17</f>
        <v>0.05</v>
      </c>
      <c r="AC101" s="74"/>
      <c r="AD101" s="76"/>
      <c r="AE101" s="76"/>
      <c r="AF101" s="76"/>
      <c r="AG101" s="74"/>
      <c r="AH101" s="76"/>
      <c r="AI101" s="73">
        <f>SUM(наценкад5[[#This Row],[еврокухня]:[большая площадь]])*наценкад5[[#This Row],[Цена м2 с базовым K]]+наценкад5[[#This Row],[Цена м2 с базовым K]]</f>
        <v>84168.819000000003</v>
      </c>
      <c r="AJ101" s="72">
        <f>VLOOKUP(наценкад5[[#This Row],[№]],ППД5[],COLUMN(ППД5[[#This Row],[утв цена м2]]),0)</f>
        <v>99518.97</v>
      </c>
      <c r="AK101" s="3">
        <f>наценкад5[[#This Row],[утв цена м2]]*наценкад5[[#This Row],[Расчетная проектная площадь]]</f>
        <v>6817049.4450000003</v>
      </c>
      <c r="AL101" s="22" t="str">
        <f>VLOOKUP(наценкад5[[#This Row],[№]],ППД5[],COLUMN('Реестр ОН'!$DF$1),0)</f>
        <v>Продажа</v>
      </c>
    </row>
    <row r="102" spans="1:38" hidden="1" x14ac:dyDescent="0.25">
      <c r="A102" s="101">
        <v>100</v>
      </c>
      <c r="B102" s="2" t="str">
        <f>_xlfn.XLOOKUP(наценкад5[[#This Row],[№]],ППД5[№],ППД5[Секция],"-",0)</f>
        <v>А</v>
      </c>
      <c r="C102" s="2">
        <f>_xlfn.XLOOKUP(наценкад5[[#This Row],[№]],ППД5[№],ППД5[Этаж],"-",0)</f>
        <v>15</v>
      </c>
      <c r="D102" s="2">
        <f>_xlfn.XLOOKUP(наценкад5[[#This Row],[№]],ППД5[№],ППД5[№ на этаже],"-",0)</f>
        <v>3</v>
      </c>
      <c r="E102" s="2">
        <f>_xlfn.XLOOKUP(наценкад5[[#This Row],[№]],ППД5[№],ППД5[Тип кв],"-",0)</f>
        <v>1</v>
      </c>
      <c r="F102" s="72">
        <f>_xlfn.XLOOKUP(наценкад5[[#This Row],[№]],ППД5[№],ППД5[Кухня],"-",0)</f>
        <v>14.97</v>
      </c>
      <c r="G102" s="72">
        <f>_xlfn.XLOOKUP(наценкад5[[#This Row],[№]],ППД5[№],ППД5[Ванная],"-",0)</f>
        <v>4.1100000000000003</v>
      </c>
      <c r="H102" s="72">
        <f>_xlfn.XLOOKUP(наценкад5[[#This Row],[№]],ППД5[№],ППД5[Гардеробная],"-",0)</f>
        <v>0</v>
      </c>
      <c r="I102" s="72">
        <f>_xlfn.XLOOKUP(наценкад5[[#This Row],[№]],ППД5[№],ППД5[Лоджия 2],"-",0)</f>
        <v>0</v>
      </c>
      <c r="J102" s="72">
        <f>_xlfn.XLOOKUP(наценкад5[[#This Row],[№]],ППД5[№],ППД5[С\У],"-",0)</f>
        <v>0</v>
      </c>
      <c r="K102" s="72">
        <f>_xlfn.XLOOKUP(наценкад5[[#This Row],[№]],ППД5[№],ППД5[Расчетная проектная площадь],"-",0)</f>
        <v>37.729999999999997</v>
      </c>
      <c r="L102" s="12">
        <f t="shared" si="1"/>
        <v>63000</v>
      </c>
      <c r="M102" s="102">
        <f>коэффициенты!$G$2</f>
        <v>1.2875000000000001</v>
      </c>
      <c r="N102" s="13">
        <f>наценкад5[[#This Row],[Цена м2 базовая]]*наценкад5[[#This Row],[Базовой K]]</f>
        <v>81112.5</v>
      </c>
      <c r="O102" s="76">
        <f>коэффициенты!$G$4</f>
        <v>0.02</v>
      </c>
      <c r="P102" s="74"/>
      <c r="Q102" s="76">
        <f>коэффициенты!$G$6</f>
        <v>0.03</v>
      </c>
      <c r="R102" s="74"/>
      <c r="S102" s="74"/>
      <c r="T102" s="74"/>
      <c r="U102" s="74"/>
      <c r="V102" s="74"/>
      <c r="W102" s="74"/>
      <c r="X102" s="74">
        <f>коэффициенты!$G$13</f>
        <v>0.01</v>
      </c>
      <c r="Y102" s="75"/>
      <c r="Z102" s="74"/>
      <c r="AA102" s="76">
        <f>коэффициенты!$G$14</f>
        <v>0.01</v>
      </c>
      <c r="AB102" s="74"/>
      <c r="AC102" s="74"/>
      <c r="AD102" s="76">
        <f>коэффициенты!$G$19</f>
        <v>0.01</v>
      </c>
      <c r="AE102" s="76"/>
      <c r="AF102" s="76"/>
      <c r="AG102" s="74"/>
      <c r="AH102" s="74"/>
      <c r="AI102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102" s="72">
        <f>VLOOKUP(наценкад5[[#This Row],[№]],ППД5[],COLUMN(ППД5[[#This Row],[утв цена м2]]),0)</f>
        <v>116267.69</v>
      </c>
      <c r="AK102" s="3">
        <f>наценкад5[[#This Row],[утв цена м2]]*наценкад5[[#This Row],[Расчетная проектная площадь]]</f>
        <v>4386779.9436999997</v>
      </c>
      <c r="AL102" s="22" t="str">
        <f>VLOOKUP(наценкад5[[#This Row],[№]],ППД5[],COLUMN('Реестр ОН'!$DF$1),0)</f>
        <v>Продажа</v>
      </c>
    </row>
    <row r="103" spans="1:38" hidden="1" x14ac:dyDescent="0.25">
      <c r="A103" s="101">
        <v>101</v>
      </c>
      <c r="B103" s="2" t="str">
        <f>_xlfn.XLOOKUP(наценкад5[[#This Row],[№]],ППД5[№],ППД5[Секция],"-",0)</f>
        <v>А</v>
      </c>
      <c r="C103" s="2">
        <f>_xlfn.XLOOKUP(наценкад5[[#This Row],[№]],ППД5[№],ППД5[Этаж],"-",0)</f>
        <v>15</v>
      </c>
      <c r="D103" s="2">
        <f>_xlfn.XLOOKUP(наценкад5[[#This Row],[№]],ППД5[№],ППД5[№ на этаже],"-",0)</f>
        <v>4</v>
      </c>
      <c r="E103" s="2">
        <f>_xlfn.XLOOKUP(наценкад5[[#This Row],[№]],ППД5[№],ППД5[Тип кв],"-",0)</f>
        <v>2</v>
      </c>
      <c r="F103" s="72">
        <f>_xlfn.XLOOKUP(наценкад5[[#This Row],[№]],ППД5[№],ППД5[Кухня],"-",0)</f>
        <v>14.58</v>
      </c>
      <c r="G103" s="72">
        <f>_xlfn.XLOOKUP(наценкад5[[#This Row],[№]],ППД5[№],ППД5[Ванная],"-",0)</f>
        <v>4.34</v>
      </c>
      <c r="H103" s="72">
        <f>_xlfn.XLOOKUP(наценкад5[[#This Row],[№]],ППД5[№],ППД5[Гардеробная],"-",0)</f>
        <v>0</v>
      </c>
      <c r="I103" s="72">
        <f>_xlfn.XLOOKUP(наценкад5[[#This Row],[№]],ППД5[№],ППД5[Лоджия 2],"-",0)</f>
        <v>0</v>
      </c>
      <c r="J103" s="72">
        <f>_xlfn.XLOOKUP(наценкад5[[#This Row],[№]],ППД5[№],ППД5[С\У],"-",0)</f>
        <v>2.08</v>
      </c>
      <c r="K103" s="72">
        <f>_xlfn.XLOOKUP(наценкад5[[#This Row],[№]],ППД5[№],ППД5[Расчетная проектная площадь],"-",0)</f>
        <v>59.09</v>
      </c>
      <c r="L103" s="12">
        <f t="shared" si="1"/>
        <v>63000</v>
      </c>
      <c r="M103" s="102">
        <f>коэффициенты!$F$2</f>
        <v>1.2257</v>
      </c>
      <c r="N103" s="13">
        <f>наценкад5[[#This Row],[Цена м2 базовая]]*наценкад5[[#This Row],[Базовой K]]</f>
        <v>77219.100000000006</v>
      </c>
      <c r="O103" s="74">
        <f>коэффициенты!$F$4</f>
        <v>1.4999999999999999E-2</v>
      </c>
      <c r="P103" s="74"/>
      <c r="Q103" s="76">
        <f>коэффициенты!$F$6</f>
        <v>0.02</v>
      </c>
      <c r="R103" s="76"/>
      <c r="S103" s="76">
        <f>коэффициенты!$F$9</f>
        <v>0</v>
      </c>
      <c r="T103" s="74"/>
      <c r="U103" s="74"/>
      <c r="V103" s="74"/>
      <c r="W103" s="74"/>
      <c r="X103" s="74"/>
      <c r="Y103" s="75"/>
      <c r="Z103" s="74"/>
      <c r="AA103" s="74"/>
      <c r="AB103" s="74"/>
      <c r="AC103" s="74"/>
      <c r="AD103" s="76">
        <f>коэффициенты!$F$19</f>
        <v>5.0000000000000001E-3</v>
      </c>
      <c r="AE103" s="76"/>
      <c r="AF103" s="76"/>
      <c r="AG103" s="74"/>
      <c r="AH103" s="74"/>
      <c r="AI103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103" s="72">
        <f>VLOOKUP(наценкад5[[#This Row],[№]],ППД5[],COLUMN(ППД5[[#This Row],[утв цена м2]]),0)</f>
        <v>122412.25</v>
      </c>
      <c r="AK103" s="3">
        <f>наценкад5[[#This Row],[утв цена м2]]*наценкад5[[#This Row],[Расчетная проектная площадь]]</f>
        <v>7233339.8525</v>
      </c>
      <c r="AL103" s="22" t="str">
        <f>VLOOKUP(наценкад5[[#This Row],[№]],ППД5[],COLUMN('Реестр ОН'!$DF$1),0)</f>
        <v>Продажа</v>
      </c>
    </row>
    <row r="104" spans="1:38" hidden="1" x14ac:dyDescent="0.25">
      <c r="A104" s="101">
        <v>102</v>
      </c>
      <c r="B104" s="2" t="str">
        <f>_xlfn.XLOOKUP(наценкад5[[#This Row],[№]],ППД5[№],ППД5[Секция],"-",0)</f>
        <v>А</v>
      </c>
      <c r="C104" s="2">
        <f>_xlfn.XLOOKUP(наценкад5[[#This Row],[№]],ППД5[№],ППД5[Этаж],"-",0)</f>
        <v>15</v>
      </c>
      <c r="D104" s="2">
        <f>_xlfn.XLOOKUP(наценкад5[[#This Row],[№]],ППД5[№],ППД5[№ на этаже],"-",0)</f>
        <v>5</v>
      </c>
      <c r="E104" s="2">
        <f>_xlfn.XLOOKUP(наценкад5[[#This Row],[№]],ППД5[№],ППД5[Тип кв],"-",0)</f>
        <v>2</v>
      </c>
      <c r="F104" s="72">
        <f>_xlfn.XLOOKUP(наценкад5[[#This Row],[№]],ППД5[№],ППД5[Кухня],"-",0)</f>
        <v>18</v>
      </c>
      <c r="G104" s="72">
        <f>_xlfn.XLOOKUP(наценкад5[[#This Row],[№]],ППД5[№],ППД5[Ванная],"-",0)</f>
        <v>4.3499999999999996</v>
      </c>
      <c r="H104" s="72">
        <f>_xlfn.XLOOKUP(наценкад5[[#This Row],[№]],ППД5[№],ППД5[Гардеробная],"-",0)</f>
        <v>0</v>
      </c>
      <c r="I104" s="72">
        <f>_xlfn.XLOOKUP(наценкад5[[#This Row],[№]],ППД5[№],ППД5[Лоджия 2],"-",0)</f>
        <v>0</v>
      </c>
      <c r="J104" s="72">
        <f>_xlfn.XLOOKUP(наценкад5[[#This Row],[№]],ППД5[№],ППД5[С\У],"-",0)</f>
        <v>1.55</v>
      </c>
      <c r="K104" s="72">
        <f>_xlfn.XLOOKUP(наценкад5[[#This Row],[№]],ППД5[№],ППД5[Расчетная проектная площадь],"-",0)</f>
        <v>62.17</v>
      </c>
      <c r="L104" s="12">
        <f t="shared" si="1"/>
        <v>63000</v>
      </c>
      <c r="M104" s="102">
        <f>коэффициенты!$F$2</f>
        <v>1.2257</v>
      </c>
      <c r="N104" s="13">
        <f>наценкад5[[#This Row],[Цена м2 базовая]]*наценкад5[[#This Row],[Базовой K]]</f>
        <v>77219.100000000006</v>
      </c>
      <c r="O104" s="74">
        <f>коэффициенты!$F$4</f>
        <v>1.4999999999999999E-2</v>
      </c>
      <c r="P104" s="74"/>
      <c r="Q104" s="76">
        <f>коэффициенты!$F$6</f>
        <v>0.02</v>
      </c>
      <c r="R104" s="76"/>
      <c r="S104" s="76">
        <f>коэффициенты!$F$9</f>
        <v>0</v>
      </c>
      <c r="T104" s="74"/>
      <c r="U104" s="74"/>
      <c r="V104" s="76"/>
      <c r="W104" s="74"/>
      <c r="X104" s="76"/>
      <c r="Y104" s="75"/>
      <c r="Z104" s="74"/>
      <c r="AA104" s="74"/>
      <c r="AB104" s="74"/>
      <c r="AC104" s="74"/>
      <c r="AD104" s="76">
        <f>коэффициенты!$F$19</f>
        <v>5.0000000000000001E-3</v>
      </c>
      <c r="AE104" s="76"/>
      <c r="AF104" s="76"/>
      <c r="AG104" s="74"/>
      <c r="AH104" s="74"/>
      <c r="AI104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104" s="72">
        <f>VLOOKUP(наценкад5[[#This Row],[№]],ППД5[],COLUMN(ППД5[[#This Row],[утв цена м2]]),0)</f>
        <v>103695.82</v>
      </c>
      <c r="AK104" s="3">
        <f>наценкад5[[#This Row],[утв цена м2]]*наценкад5[[#This Row],[Расчетная проектная площадь]]</f>
        <v>6446769.1294000009</v>
      </c>
      <c r="AL104" s="22" t="str">
        <f>VLOOKUP(наценкад5[[#This Row],[№]],ППД5[],COLUMN('Реестр ОН'!$DF$1),0)</f>
        <v>Продажа</v>
      </c>
    </row>
    <row r="105" spans="1:38" hidden="1" x14ac:dyDescent="0.25">
      <c r="A105" s="101">
        <v>103</v>
      </c>
      <c r="B105" s="2" t="str">
        <f>_xlfn.XLOOKUP(наценкад5[[#This Row],[№]],ППД5[№],ППД5[Секция],"-",0)</f>
        <v>А</v>
      </c>
      <c r="C105" s="2">
        <f>_xlfn.XLOOKUP(наценкад5[[#This Row],[№]],ППД5[№],ППД5[Этаж],"-",0)</f>
        <v>15</v>
      </c>
      <c r="D105" s="2">
        <f>_xlfn.XLOOKUP(наценкад5[[#This Row],[№]],ППД5[№],ППД5[№ на этаже],"-",0)</f>
        <v>6</v>
      </c>
      <c r="E105" s="2">
        <f>_xlfn.XLOOKUP(наценкад5[[#This Row],[№]],ППД5[№],ППД5[Тип кв],"-",0)</f>
        <v>2</v>
      </c>
      <c r="F105" s="72">
        <f>_xlfn.XLOOKUP(наценкад5[[#This Row],[№]],ППД5[№],ППД5[Кухня],"-",0)</f>
        <v>14.35</v>
      </c>
      <c r="G105" s="72">
        <f>_xlfn.XLOOKUP(наценкад5[[#This Row],[№]],ППД5[№],ППД5[Ванная],"-",0)</f>
        <v>4.16</v>
      </c>
      <c r="H105" s="72">
        <f>_xlfn.XLOOKUP(наценкад5[[#This Row],[№]],ППД5[№],ППД5[Гардеробная],"-",0)</f>
        <v>0</v>
      </c>
      <c r="I105" s="72">
        <f>_xlfn.XLOOKUP(наценкад5[[#This Row],[№]],ППД5[№],ППД5[Лоджия 2],"-",0)</f>
        <v>0</v>
      </c>
      <c r="J105" s="72">
        <f>_xlfn.XLOOKUP(наценкад5[[#This Row],[№]],ППД5[№],ППД5[С\У],"-",0)</f>
        <v>1.93</v>
      </c>
      <c r="K105" s="72">
        <f>_xlfn.XLOOKUP(наценкад5[[#This Row],[№]],ППД5[№],ППД5[Расчетная проектная площадь],"-",0)</f>
        <v>58.16</v>
      </c>
      <c r="L105" s="12">
        <f t="shared" si="1"/>
        <v>63000</v>
      </c>
      <c r="M105" s="102">
        <f>коэффициенты!$F$2</f>
        <v>1.2257</v>
      </c>
      <c r="N105" s="13">
        <f>наценкад5[[#This Row],[Цена м2 базовая]]*наценкад5[[#This Row],[Базовой K]]</f>
        <v>77219.100000000006</v>
      </c>
      <c r="O105" s="74">
        <f>коэффициенты!$F$4</f>
        <v>1.4999999999999999E-2</v>
      </c>
      <c r="P105" s="74"/>
      <c r="Q105" s="74">
        <f>коэффициенты!$E$6</f>
        <v>0.01</v>
      </c>
      <c r="R105" s="76"/>
      <c r="S105" s="76">
        <f>коэффициенты!$F$9</f>
        <v>0</v>
      </c>
      <c r="T105" s="74"/>
      <c r="U105" s="74"/>
      <c r="V105" s="74">
        <f>коэффициенты!$F$11</f>
        <v>5.0000000000000001E-3</v>
      </c>
      <c r="W105" s="75"/>
      <c r="X105" s="74">
        <f>коэффициенты!$F$13</f>
        <v>0.02</v>
      </c>
      <c r="Y105" s="75"/>
      <c r="Z105" s="74"/>
      <c r="AA105" s="74"/>
      <c r="AB105" s="74"/>
      <c r="AC105" s="74"/>
      <c r="AD105" s="76">
        <f>коэффициенты!$F$19</f>
        <v>5.0000000000000001E-3</v>
      </c>
      <c r="AE105" s="76"/>
      <c r="AF105" s="76"/>
      <c r="AG105" s="74"/>
      <c r="AH105" s="74"/>
      <c r="AI105" s="73">
        <f>SUM(наценкад5[[#This Row],[еврокухня]:[большая площадь]])*наценкад5[[#This Row],[Цена м2 с базовым K]]+наценкад5[[#This Row],[Цена м2 с базовым K]]</f>
        <v>81466.150500000003</v>
      </c>
      <c r="AJ105" s="72">
        <f>VLOOKUP(наценкад5[[#This Row],[№]],ППД5[],COLUMN(ППД5[[#This Row],[утв цена м2]]),0)</f>
        <v>88105.64</v>
      </c>
      <c r="AK105" s="3">
        <f>наценкад5[[#This Row],[утв цена м2]]*наценкад5[[#This Row],[Расчетная проектная площадь]]</f>
        <v>5124224.0223999992</v>
      </c>
      <c r="AL105" s="22" t="str">
        <f>VLOOKUP(наценкад5[[#This Row],[№]],ППД5[],COLUMN('Реестр ОН'!$DF$1),0)</f>
        <v>Продажа</v>
      </c>
    </row>
    <row r="106" spans="1:38" hidden="1" x14ac:dyDescent="0.25">
      <c r="A106" s="101">
        <v>104</v>
      </c>
      <c r="B106" s="2" t="str">
        <f>_xlfn.XLOOKUP(наценкад5[[#This Row],[№]],ППД5[№],ППД5[Секция],"-",0)</f>
        <v>А</v>
      </c>
      <c r="C106" s="2">
        <f>_xlfn.XLOOKUP(наценкад5[[#This Row],[№]],ППД5[№],ППД5[Этаж],"-",0)</f>
        <v>15</v>
      </c>
      <c r="D106" s="2">
        <f>_xlfn.XLOOKUP(наценкад5[[#This Row],[№]],ППД5[№],ППД5[№ на этаже],"-",0)</f>
        <v>7</v>
      </c>
      <c r="E106" s="2">
        <f>_xlfn.XLOOKUP(наценкад5[[#This Row],[№]],ППД5[№],ППД5[Тип кв],"-",0)</f>
        <v>1</v>
      </c>
      <c r="F106" s="72">
        <f>_xlfn.XLOOKUP(наценкад5[[#This Row],[№]],ППД5[№],ППД5[Кухня],"-",0)</f>
        <v>13.04</v>
      </c>
      <c r="G106" s="72">
        <f>_xlfn.XLOOKUP(наценкад5[[#This Row],[№]],ППД5[№],ППД5[Ванная],"-",0)</f>
        <v>3.9</v>
      </c>
      <c r="H106" s="72">
        <f>_xlfn.XLOOKUP(наценкад5[[#This Row],[№]],ППД5[№],ППД5[Гардеробная],"-",0)</f>
        <v>0</v>
      </c>
      <c r="I106" s="72">
        <f>_xlfn.XLOOKUP(наценкад5[[#This Row],[№]],ППД5[№],ППД5[Лоджия 2],"-",0)</f>
        <v>0</v>
      </c>
      <c r="J106" s="72">
        <f>_xlfn.XLOOKUP(наценкад5[[#This Row],[№]],ППД5[№],ППД5[С\У],"-",0)</f>
        <v>0</v>
      </c>
      <c r="K106" s="72">
        <f>_xlfn.XLOOKUP(наценкад5[[#This Row],[№]],ППД5[№],ППД5[Расчетная проектная площадь],"-",0)</f>
        <v>42.75</v>
      </c>
      <c r="L106" s="12">
        <f t="shared" si="1"/>
        <v>63000</v>
      </c>
      <c r="M106" s="102">
        <f>коэффициенты!$G$2</f>
        <v>1.2875000000000001</v>
      </c>
      <c r="N106" s="13">
        <f>наценкад5[[#This Row],[Цена м2 базовая]]*наценкад5[[#This Row],[Базовой K]]</f>
        <v>81112.5</v>
      </c>
      <c r="O106" s="74"/>
      <c r="P106" s="76">
        <f>коэффициенты!$G$5</f>
        <v>0.01</v>
      </c>
      <c r="Q106" s="74"/>
      <c r="R106" s="74"/>
      <c r="S106" s="74"/>
      <c r="T106" s="74"/>
      <c r="U106" s="74"/>
      <c r="V106" s="74">
        <f>коэффициенты!$G$11</f>
        <v>0.01</v>
      </c>
      <c r="W106" s="74"/>
      <c r="X106" s="74"/>
      <c r="Y106" s="75"/>
      <c r="Z106" s="74"/>
      <c r="AA106" s="76">
        <f>коэффициенты!$G$14</f>
        <v>0.01</v>
      </c>
      <c r="AB106" s="74"/>
      <c r="AC106" s="74"/>
      <c r="AD106" s="76">
        <f>коэффициенты!$G$19</f>
        <v>0.01</v>
      </c>
      <c r="AE106" s="76"/>
      <c r="AF106" s="76"/>
      <c r="AG106" s="74">
        <f>коэффициенты!$A$24</f>
        <v>-5.0000000000000001E-3</v>
      </c>
      <c r="AH106" s="74"/>
      <c r="AI106" s="73">
        <f>SUM(наценкад5[[#This Row],[еврокухня]:[большая площадь]])*наценкад5[[#This Row],[Цена м2 с базовым K]]+наценкад5[[#This Row],[Цена м2 с базовым K]]</f>
        <v>83951.4375</v>
      </c>
      <c r="AJ106" s="72">
        <f>VLOOKUP(наценкад5[[#This Row],[№]],ППД5[],COLUMN(ППД5[[#This Row],[утв цена м2]]),0)</f>
        <v>94425.22</v>
      </c>
      <c r="AK106" s="3">
        <f>наценкад5[[#This Row],[утв цена м2]]*наценкад5[[#This Row],[Расчетная проектная площадь]]</f>
        <v>4036678.1550000003</v>
      </c>
      <c r="AL106" s="22" t="str">
        <f>VLOOKUP(наценкад5[[#This Row],[№]],ППД5[],COLUMN('Реестр ОН'!$DF$1),0)</f>
        <v>Продажа</v>
      </c>
    </row>
    <row r="107" spans="1:38" hidden="1" x14ac:dyDescent="0.25">
      <c r="A107" s="101">
        <v>105</v>
      </c>
      <c r="B107" s="2" t="str">
        <f>_xlfn.XLOOKUP(наценкад5[[#This Row],[№]],ППД5[№],ППД5[Секция],"-",0)</f>
        <v>А</v>
      </c>
      <c r="C107" s="2">
        <f>_xlfn.XLOOKUP(наценкад5[[#This Row],[№]],ППД5[№],ППД5[Этаж],"-",0)</f>
        <v>16</v>
      </c>
      <c r="D107" s="2">
        <f>_xlfn.XLOOKUP(наценкад5[[#This Row],[№]],ППД5[№],ППД5[№ на этаже],"-",0)</f>
        <v>1</v>
      </c>
      <c r="E107" s="2">
        <f>_xlfn.XLOOKUP(наценкад5[[#This Row],[№]],ППД5[№],ППД5[Тип кв],"-",0)</f>
        <v>1</v>
      </c>
      <c r="F107" s="72">
        <f>_xlfn.XLOOKUP(наценкад5[[#This Row],[№]],ППД5[№],ППД5[Кухня],"-",0)</f>
        <v>9.84</v>
      </c>
      <c r="G107" s="72">
        <f>_xlfn.XLOOKUP(наценкад5[[#This Row],[№]],ППД5[№],ППД5[Ванная],"-",0)</f>
        <v>3.63</v>
      </c>
      <c r="H107" s="72">
        <f>_xlfn.XLOOKUP(наценкад5[[#This Row],[№]],ППД5[№],ППД5[Гардеробная],"-",0)</f>
        <v>0</v>
      </c>
      <c r="I107" s="72">
        <f>_xlfn.XLOOKUP(наценкад5[[#This Row],[№]],ППД5[№],ППД5[Лоджия 2],"-",0)</f>
        <v>0</v>
      </c>
      <c r="J107" s="72">
        <f>_xlfn.XLOOKUP(наценкад5[[#This Row],[№]],ППД5[№],ППД5[С\У],"-",0)</f>
        <v>0</v>
      </c>
      <c r="K107" s="72">
        <f>_xlfn.XLOOKUP(наценкад5[[#This Row],[№]],ППД5[№],ППД5[Расчетная проектная площадь],"-",0)</f>
        <v>34.39</v>
      </c>
      <c r="L107" s="12">
        <f t="shared" si="1"/>
        <v>63000</v>
      </c>
      <c r="M107" s="102">
        <f>коэффициенты!$G$2</f>
        <v>1.2875000000000001</v>
      </c>
      <c r="N107" s="13">
        <f>наценкад5[[#This Row],[Цена м2 базовая]]*наценкад5[[#This Row],[Базовой K]]</f>
        <v>81112.5</v>
      </c>
      <c r="O107" s="74"/>
      <c r="P107" s="74"/>
      <c r="Q107" s="74"/>
      <c r="R107" s="74"/>
      <c r="S107" s="74"/>
      <c r="T107" s="74"/>
      <c r="U107" s="74"/>
      <c r="V107" s="74"/>
      <c r="W107" s="75"/>
      <c r="X107" s="74"/>
      <c r="Y107" s="75"/>
      <c r="Z107" s="74"/>
      <c r="AA107" s="76">
        <f>коэффициенты!$G$14</f>
        <v>0.01</v>
      </c>
      <c r="AB107" s="74"/>
      <c r="AC107" s="74"/>
      <c r="AD107" s="76">
        <f>коэффициенты!$G$19</f>
        <v>0.01</v>
      </c>
      <c r="AE107" s="76"/>
      <c r="AF107" s="76"/>
      <c r="AG107" s="74"/>
      <c r="AH107" s="74"/>
      <c r="AI107" s="73">
        <f>SUM(наценкад5[[#This Row],[еврокухня]:[большая площадь]])*наценкад5[[#This Row],[Цена м2 с базовым K]]+наценкад5[[#This Row],[Цена м2 с базовым K]]</f>
        <v>82734.75</v>
      </c>
      <c r="AJ107" s="72">
        <f>VLOOKUP(наценкад5[[#This Row],[№]],ППД5[],COLUMN(ППД5[[#This Row],[утв цена м2]]),0)</f>
        <v>148064.57</v>
      </c>
      <c r="AK107" s="3">
        <f>наценкад5[[#This Row],[утв цена м2]]*наценкад5[[#This Row],[Расчетная проектная площадь]]</f>
        <v>5091940.5623000003</v>
      </c>
      <c r="AL107" s="22" t="str">
        <f>VLOOKUP(наценкад5[[#This Row],[№]],ППД5[],COLUMN('Реестр ОН'!$DF$1),0)</f>
        <v>Продажа</v>
      </c>
    </row>
    <row r="108" spans="1:38" hidden="1" x14ac:dyDescent="0.25">
      <c r="A108" s="101">
        <v>106</v>
      </c>
      <c r="B108" s="2" t="str">
        <f>_xlfn.XLOOKUP(наценкад5[[#This Row],[№]],ППД5[№],ППД5[Секция],"-",0)</f>
        <v>А</v>
      </c>
      <c r="C108" s="2">
        <f>_xlfn.XLOOKUP(наценкад5[[#This Row],[№]],ППД5[№],ППД5[Этаж],"-",0)</f>
        <v>16</v>
      </c>
      <c r="D108" s="2">
        <f>_xlfn.XLOOKUP(наценкад5[[#This Row],[№]],ППД5[№],ППД5[№ на этаже],"-",0)</f>
        <v>2</v>
      </c>
      <c r="E108" s="2">
        <f>_xlfn.XLOOKUP(наценкад5[[#This Row],[№]],ППД5[№],ППД5[Тип кв],"-",0)</f>
        <v>2</v>
      </c>
      <c r="F108" s="72">
        <f>_xlfn.XLOOKUP(наценкад5[[#This Row],[№]],ППД5[№],ППД5[Кухня],"-",0)</f>
        <v>19.440000000000001</v>
      </c>
      <c r="G108" s="72">
        <f>_xlfn.XLOOKUP(наценкад5[[#This Row],[№]],ППД5[№],ППД5[Ванная],"-",0)</f>
        <v>4.42</v>
      </c>
      <c r="H108" s="72">
        <f>_xlfn.XLOOKUP(наценкад5[[#This Row],[№]],ППД5[№],ППД5[Гардеробная],"-",0)</f>
        <v>3.25</v>
      </c>
      <c r="I108" s="72">
        <f>_xlfn.XLOOKUP(наценкад5[[#This Row],[№]],ППД5[№],ППД5[Лоджия 2],"-",0)</f>
        <v>0</v>
      </c>
      <c r="J108" s="72">
        <f>_xlfn.XLOOKUP(наценкад5[[#This Row],[№]],ППД5[№],ППД5[С\У],"-",0)</f>
        <v>0</v>
      </c>
      <c r="K108" s="72">
        <f>_xlfn.XLOOKUP(наценкад5[[#This Row],[№]],ППД5[№],ППД5[Расчетная проектная площадь],"-",0)</f>
        <v>68.5</v>
      </c>
      <c r="L108" s="12">
        <f t="shared" si="1"/>
        <v>63000</v>
      </c>
      <c r="M108" s="102">
        <f>коэффициенты!$F$2</f>
        <v>1.2257</v>
      </c>
      <c r="N108" s="13">
        <f>наценкад5[[#This Row],[Цена м2 базовая]]*наценкад5[[#This Row],[Базовой K]]</f>
        <v>77219.100000000006</v>
      </c>
      <c r="O108" s="74">
        <f>коэффициенты!$F$4</f>
        <v>1.4999999999999999E-2</v>
      </c>
      <c r="P108" s="74"/>
      <c r="Q108" s="76">
        <f>коэффициенты!$F$6</f>
        <v>0.02</v>
      </c>
      <c r="R108" s="76"/>
      <c r="S108" s="76"/>
      <c r="T108" s="74"/>
      <c r="U108" s="74"/>
      <c r="V108" s="74">
        <f>коэффициенты!$F$11</f>
        <v>5.0000000000000001E-3</v>
      </c>
      <c r="W108" s="75"/>
      <c r="X108" s="74"/>
      <c r="Y108" s="75"/>
      <c r="Z108" s="74"/>
      <c r="AA108" s="74"/>
      <c r="AB108" s="76">
        <f>коэффициенты!$F$17</f>
        <v>0.05</v>
      </c>
      <c r="AC108" s="74"/>
      <c r="AD108" s="76"/>
      <c r="AE108" s="76"/>
      <c r="AF108" s="76"/>
      <c r="AG108" s="74"/>
      <c r="AH108" s="76"/>
      <c r="AI108" s="73">
        <f>SUM(наценкад5[[#This Row],[еврокухня]:[большая площадь]])*наценкад5[[#This Row],[Цена м2 с базовым K]]+наценкад5[[#This Row],[Цена м2 с базовым K]]</f>
        <v>84168.819000000003</v>
      </c>
      <c r="AJ108" s="72">
        <f>VLOOKUP(наценкад5[[#This Row],[№]],ППД5[],COLUMN(ППД5[[#This Row],[утв цена м2]]),0)</f>
        <v>100016.57</v>
      </c>
      <c r="AK108" s="3">
        <f>наценкад5[[#This Row],[утв цена м2]]*наценкад5[[#This Row],[Расчетная проектная площадь]]</f>
        <v>6851135.0450000009</v>
      </c>
      <c r="AL108" s="22" t="str">
        <f>VLOOKUP(наценкад5[[#This Row],[№]],ППД5[],COLUMN('Реестр ОН'!$DF$1),0)</f>
        <v>Продажа</v>
      </c>
    </row>
    <row r="109" spans="1:38" hidden="1" x14ac:dyDescent="0.25">
      <c r="A109" s="101">
        <v>107</v>
      </c>
      <c r="B109" s="2" t="str">
        <f>_xlfn.XLOOKUP(наценкад5[[#This Row],[№]],ППД5[№],ППД5[Секция],"-",0)</f>
        <v>А</v>
      </c>
      <c r="C109" s="2">
        <f>_xlfn.XLOOKUP(наценкад5[[#This Row],[№]],ППД5[№],ППД5[Этаж],"-",0)</f>
        <v>16</v>
      </c>
      <c r="D109" s="2">
        <f>_xlfn.XLOOKUP(наценкад5[[#This Row],[№]],ППД5[№],ППД5[№ на этаже],"-",0)</f>
        <v>3</v>
      </c>
      <c r="E109" s="2">
        <f>_xlfn.XLOOKUP(наценкад5[[#This Row],[№]],ППД5[№],ППД5[Тип кв],"-",0)</f>
        <v>1</v>
      </c>
      <c r="F109" s="72">
        <f>_xlfn.XLOOKUP(наценкад5[[#This Row],[№]],ППД5[№],ППД5[Кухня],"-",0)</f>
        <v>14.97</v>
      </c>
      <c r="G109" s="72">
        <f>_xlfn.XLOOKUP(наценкад5[[#This Row],[№]],ППД5[№],ППД5[Ванная],"-",0)</f>
        <v>4.1100000000000003</v>
      </c>
      <c r="H109" s="72">
        <f>_xlfn.XLOOKUP(наценкад5[[#This Row],[№]],ППД5[№],ППД5[Гардеробная],"-",0)</f>
        <v>0</v>
      </c>
      <c r="I109" s="72">
        <f>_xlfn.XLOOKUP(наценкад5[[#This Row],[№]],ППД5[№],ППД5[Лоджия 2],"-",0)</f>
        <v>0</v>
      </c>
      <c r="J109" s="72">
        <f>_xlfn.XLOOKUP(наценкад5[[#This Row],[№]],ППД5[№],ППД5[С\У],"-",0)</f>
        <v>0</v>
      </c>
      <c r="K109" s="72">
        <f>_xlfn.XLOOKUP(наценкад5[[#This Row],[№]],ППД5[№],ППД5[Расчетная проектная площадь],"-",0)</f>
        <v>37.729999999999997</v>
      </c>
      <c r="L109" s="12">
        <f t="shared" si="1"/>
        <v>63000</v>
      </c>
      <c r="M109" s="102">
        <f>коэффициенты!$G$2</f>
        <v>1.2875000000000001</v>
      </c>
      <c r="N109" s="13">
        <f>наценкад5[[#This Row],[Цена м2 базовая]]*наценкад5[[#This Row],[Базовой K]]</f>
        <v>81112.5</v>
      </c>
      <c r="O109" s="76">
        <f>коэффициенты!$G$4</f>
        <v>0.02</v>
      </c>
      <c r="P109" s="74"/>
      <c r="Q109" s="76">
        <f>коэффициенты!$G$6</f>
        <v>0.03</v>
      </c>
      <c r="R109" s="74"/>
      <c r="S109" s="74"/>
      <c r="T109" s="74"/>
      <c r="U109" s="74"/>
      <c r="V109" s="74"/>
      <c r="W109" s="75"/>
      <c r="X109" s="74">
        <f>коэффициенты!$G$13</f>
        <v>0.01</v>
      </c>
      <c r="Y109" s="75"/>
      <c r="Z109" s="74"/>
      <c r="AA109" s="76">
        <f>коэффициенты!$G$14</f>
        <v>0.01</v>
      </c>
      <c r="AB109" s="74"/>
      <c r="AC109" s="74"/>
      <c r="AD109" s="76">
        <f>коэффициенты!$G$19</f>
        <v>0.01</v>
      </c>
      <c r="AE109" s="76"/>
      <c r="AF109" s="76"/>
      <c r="AG109" s="74"/>
      <c r="AH109" s="74"/>
      <c r="AI109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109" s="72">
        <f>VLOOKUP(наценкад5[[#This Row],[№]],ППД5[],COLUMN(ППД5[[#This Row],[утв цена м2]]),0)</f>
        <v>87601.5</v>
      </c>
      <c r="AK109" s="3">
        <f>наценкад5[[#This Row],[утв цена м2]]*наценкад5[[#This Row],[Расчетная проектная площадь]]</f>
        <v>3305204.5949999997</v>
      </c>
      <c r="AL109" s="22" t="str">
        <f>VLOOKUP(наценкад5[[#This Row],[№]],ППД5[],COLUMN('Реестр ОН'!$DF$1),0)</f>
        <v>Продажа</v>
      </c>
    </row>
    <row r="110" spans="1:38" hidden="1" x14ac:dyDescent="0.25">
      <c r="A110" s="101">
        <v>108</v>
      </c>
      <c r="B110" s="2" t="str">
        <f>_xlfn.XLOOKUP(наценкад5[[#This Row],[№]],ППД5[№],ППД5[Секция],"-",0)</f>
        <v>А</v>
      </c>
      <c r="C110" s="2">
        <f>_xlfn.XLOOKUP(наценкад5[[#This Row],[№]],ППД5[№],ППД5[Этаж],"-",0)</f>
        <v>16</v>
      </c>
      <c r="D110" s="2">
        <f>_xlfn.XLOOKUP(наценкад5[[#This Row],[№]],ППД5[№],ППД5[№ на этаже],"-",0)</f>
        <v>4</v>
      </c>
      <c r="E110" s="2">
        <f>_xlfn.XLOOKUP(наценкад5[[#This Row],[№]],ППД5[№],ППД5[Тип кв],"-",0)</f>
        <v>2</v>
      </c>
      <c r="F110" s="72">
        <f>_xlfn.XLOOKUP(наценкад5[[#This Row],[№]],ППД5[№],ППД5[Кухня],"-",0)</f>
        <v>14.58</v>
      </c>
      <c r="G110" s="72">
        <f>_xlfn.XLOOKUP(наценкад5[[#This Row],[№]],ППД5[№],ППД5[Ванная],"-",0)</f>
        <v>4.34</v>
      </c>
      <c r="H110" s="72">
        <f>_xlfn.XLOOKUP(наценкад5[[#This Row],[№]],ППД5[№],ППД5[Гардеробная],"-",0)</f>
        <v>0</v>
      </c>
      <c r="I110" s="72">
        <f>_xlfn.XLOOKUP(наценкад5[[#This Row],[№]],ППД5[№],ППД5[Лоджия 2],"-",0)</f>
        <v>0</v>
      </c>
      <c r="J110" s="72">
        <f>_xlfn.XLOOKUP(наценкад5[[#This Row],[№]],ППД5[№],ППД5[С\У],"-",0)</f>
        <v>2.08</v>
      </c>
      <c r="K110" s="72">
        <f>_xlfn.XLOOKUP(наценкад5[[#This Row],[№]],ППД5[№],ППД5[Расчетная проектная площадь],"-",0)</f>
        <v>59.09</v>
      </c>
      <c r="L110" s="12">
        <f t="shared" si="1"/>
        <v>63000</v>
      </c>
      <c r="M110" s="102">
        <f>коэффициенты!$F$2</f>
        <v>1.2257</v>
      </c>
      <c r="N110" s="13">
        <f>наценкад5[[#This Row],[Цена м2 базовая]]*наценкад5[[#This Row],[Базовой K]]</f>
        <v>77219.100000000006</v>
      </c>
      <c r="O110" s="74">
        <f>коэффициенты!$F$4</f>
        <v>1.4999999999999999E-2</v>
      </c>
      <c r="P110" s="74"/>
      <c r="Q110" s="76">
        <f>коэффициенты!$F$6</f>
        <v>0.02</v>
      </c>
      <c r="R110" s="76"/>
      <c r="S110" s="76">
        <f>коэффициенты!$F$9</f>
        <v>0</v>
      </c>
      <c r="T110" s="74"/>
      <c r="U110" s="74"/>
      <c r="V110" s="74"/>
      <c r="W110" s="75"/>
      <c r="X110" s="74"/>
      <c r="Y110" s="75"/>
      <c r="Z110" s="74"/>
      <c r="AA110" s="74"/>
      <c r="AB110" s="74"/>
      <c r="AC110" s="74"/>
      <c r="AD110" s="76">
        <f>коэффициенты!$F$19</f>
        <v>5.0000000000000001E-3</v>
      </c>
      <c r="AE110" s="76"/>
      <c r="AF110" s="76"/>
      <c r="AG110" s="74"/>
      <c r="AH110" s="74"/>
      <c r="AI110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110" s="72">
        <f>VLOOKUP(наценкад5[[#This Row],[№]],ППД5[],COLUMN(ППД5[[#This Row],[утв цена м2]]),0)</f>
        <v>122412.25</v>
      </c>
      <c r="AK110" s="3">
        <f>наценкад5[[#This Row],[утв цена м2]]*наценкад5[[#This Row],[Расчетная проектная площадь]]</f>
        <v>7233339.8525</v>
      </c>
      <c r="AL110" s="22" t="str">
        <f>VLOOKUP(наценкад5[[#This Row],[№]],ППД5[],COLUMN('Реестр ОН'!$DF$1),0)</f>
        <v>Продажа</v>
      </c>
    </row>
    <row r="111" spans="1:38" hidden="1" x14ac:dyDescent="0.25">
      <c r="A111" s="101">
        <v>109</v>
      </c>
      <c r="B111" s="2" t="str">
        <f>_xlfn.XLOOKUP(наценкад5[[#This Row],[№]],ППД5[№],ППД5[Секция],"-",0)</f>
        <v>А</v>
      </c>
      <c r="C111" s="2">
        <f>_xlfn.XLOOKUP(наценкад5[[#This Row],[№]],ППД5[№],ППД5[Этаж],"-",0)</f>
        <v>16</v>
      </c>
      <c r="D111" s="2">
        <f>_xlfn.XLOOKUP(наценкад5[[#This Row],[№]],ППД5[№],ППД5[№ на этаже],"-",0)</f>
        <v>5</v>
      </c>
      <c r="E111" s="2">
        <f>_xlfn.XLOOKUP(наценкад5[[#This Row],[№]],ППД5[№],ППД5[Тип кв],"-",0)</f>
        <v>2</v>
      </c>
      <c r="F111" s="72">
        <f>_xlfn.XLOOKUP(наценкад5[[#This Row],[№]],ППД5[№],ППД5[Кухня],"-",0)</f>
        <v>18</v>
      </c>
      <c r="G111" s="72">
        <f>_xlfn.XLOOKUP(наценкад5[[#This Row],[№]],ППД5[№],ППД5[Ванная],"-",0)</f>
        <v>4.3499999999999996</v>
      </c>
      <c r="H111" s="72">
        <f>_xlfn.XLOOKUP(наценкад5[[#This Row],[№]],ППД5[№],ППД5[Гардеробная],"-",0)</f>
        <v>0</v>
      </c>
      <c r="I111" s="72">
        <f>_xlfn.XLOOKUP(наценкад5[[#This Row],[№]],ППД5[№],ППД5[Лоджия 2],"-",0)</f>
        <v>0</v>
      </c>
      <c r="J111" s="72">
        <f>_xlfn.XLOOKUP(наценкад5[[#This Row],[№]],ППД5[№],ППД5[С\У],"-",0)</f>
        <v>1.55</v>
      </c>
      <c r="K111" s="72">
        <f>_xlfn.XLOOKUP(наценкад5[[#This Row],[№]],ППД5[№],ППД5[Расчетная проектная площадь],"-",0)</f>
        <v>62.17</v>
      </c>
      <c r="L111" s="12">
        <f t="shared" si="1"/>
        <v>63000</v>
      </c>
      <c r="M111" s="102">
        <f>коэффициенты!$F$2</f>
        <v>1.2257</v>
      </c>
      <c r="N111" s="13">
        <f>наценкад5[[#This Row],[Цена м2 базовая]]*наценкад5[[#This Row],[Базовой K]]</f>
        <v>77219.100000000006</v>
      </c>
      <c r="O111" s="74">
        <f>коэффициенты!$F$4</f>
        <v>1.4999999999999999E-2</v>
      </c>
      <c r="P111" s="74"/>
      <c r="Q111" s="76">
        <f>коэффициенты!$F$6</f>
        <v>0.02</v>
      </c>
      <c r="R111" s="76"/>
      <c r="S111" s="76">
        <f>коэффициенты!$F$9</f>
        <v>0</v>
      </c>
      <c r="T111" s="74"/>
      <c r="U111" s="74"/>
      <c r="V111" s="76"/>
      <c r="W111" s="75"/>
      <c r="X111" s="76"/>
      <c r="Y111" s="75"/>
      <c r="Z111" s="74"/>
      <c r="AA111" s="74"/>
      <c r="AB111" s="74"/>
      <c r="AC111" s="74"/>
      <c r="AD111" s="76">
        <f>коэффициенты!$F$19</f>
        <v>5.0000000000000001E-3</v>
      </c>
      <c r="AE111" s="76"/>
      <c r="AF111" s="76"/>
      <c r="AG111" s="74"/>
      <c r="AH111" s="74"/>
      <c r="AI111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111" s="72">
        <f>VLOOKUP(наценкад5[[#This Row],[№]],ППД5[],COLUMN(ППД5[[#This Row],[утв цена м2]]),0)</f>
        <v>97745.279999999999</v>
      </c>
      <c r="AK111" s="3">
        <f>наценкад5[[#This Row],[утв цена м2]]*наценкад5[[#This Row],[Расчетная проектная площадь]]</f>
        <v>6076824.0575999999</v>
      </c>
      <c r="AL111" s="22" t="str">
        <f>VLOOKUP(наценкад5[[#This Row],[№]],ППД5[],COLUMN('Реестр ОН'!$DF$1),0)</f>
        <v>Продажа</v>
      </c>
    </row>
    <row r="112" spans="1:38" hidden="1" x14ac:dyDescent="0.25">
      <c r="A112" s="101">
        <v>110</v>
      </c>
      <c r="B112" s="2" t="str">
        <f>_xlfn.XLOOKUP(наценкад5[[#This Row],[№]],ППД5[№],ППД5[Секция],"-",0)</f>
        <v>А</v>
      </c>
      <c r="C112" s="2">
        <f>_xlfn.XLOOKUP(наценкад5[[#This Row],[№]],ППД5[№],ППД5[Этаж],"-",0)</f>
        <v>16</v>
      </c>
      <c r="D112" s="2">
        <f>_xlfn.XLOOKUP(наценкад5[[#This Row],[№]],ППД5[№],ППД5[№ на этаже],"-",0)</f>
        <v>6</v>
      </c>
      <c r="E112" s="2">
        <f>_xlfn.XLOOKUP(наценкад5[[#This Row],[№]],ППД5[№],ППД5[Тип кв],"-",0)</f>
        <v>2</v>
      </c>
      <c r="F112" s="72">
        <f>_xlfn.XLOOKUP(наценкад5[[#This Row],[№]],ППД5[№],ППД5[Кухня],"-",0)</f>
        <v>14.35</v>
      </c>
      <c r="G112" s="72">
        <f>_xlfn.XLOOKUP(наценкад5[[#This Row],[№]],ППД5[№],ППД5[Ванная],"-",0)</f>
        <v>4.16</v>
      </c>
      <c r="H112" s="72">
        <f>_xlfn.XLOOKUP(наценкад5[[#This Row],[№]],ППД5[№],ППД5[Гардеробная],"-",0)</f>
        <v>0</v>
      </c>
      <c r="I112" s="72">
        <f>_xlfn.XLOOKUP(наценкад5[[#This Row],[№]],ППД5[№],ППД5[Лоджия 2],"-",0)</f>
        <v>0</v>
      </c>
      <c r="J112" s="72">
        <f>_xlfn.XLOOKUP(наценкад5[[#This Row],[№]],ППД5[№],ППД5[С\У],"-",0)</f>
        <v>1.93</v>
      </c>
      <c r="K112" s="72">
        <f>_xlfn.XLOOKUP(наценкад5[[#This Row],[№]],ППД5[№],ППД5[Расчетная проектная площадь],"-",0)</f>
        <v>58.16</v>
      </c>
      <c r="L112" s="12">
        <f t="shared" si="1"/>
        <v>63000</v>
      </c>
      <c r="M112" s="102">
        <f>коэффициенты!$F$2</f>
        <v>1.2257</v>
      </c>
      <c r="N112" s="13">
        <f>наценкад5[[#This Row],[Цена м2 базовая]]*наценкад5[[#This Row],[Базовой K]]</f>
        <v>77219.100000000006</v>
      </c>
      <c r="O112" s="74">
        <f>коэффициенты!$F$4</f>
        <v>1.4999999999999999E-2</v>
      </c>
      <c r="P112" s="74"/>
      <c r="Q112" s="74">
        <f>коэффициенты!$E$6</f>
        <v>0.01</v>
      </c>
      <c r="R112" s="76"/>
      <c r="S112" s="76">
        <f>коэффициенты!$F$9</f>
        <v>0</v>
      </c>
      <c r="T112" s="74"/>
      <c r="U112" s="74"/>
      <c r="V112" s="74">
        <f>коэффициенты!$F$11</f>
        <v>5.0000000000000001E-3</v>
      </c>
      <c r="W112" s="75"/>
      <c r="X112" s="74">
        <f>коэффициенты!$F$13</f>
        <v>0.02</v>
      </c>
      <c r="Y112" s="75"/>
      <c r="Z112" s="74"/>
      <c r="AA112" s="74"/>
      <c r="AB112" s="74"/>
      <c r="AC112" s="74"/>
      <c r="AD112" s="76">
        <f>коэффициенты!$F$19</f>
        <v>5.0000000000000001E-3</v>
      </c>
      <c r="AE112" s="76"/>
      <c r="AF112" s="76"/>
      <c r="AG112" s="74"/>
      <c r="AH112" s="74"/>
      <c r="AI112" s="73">
        <f>SUM(наценкад5[[#This Row],[еврокухня]:[большая площадь]])*наценкад5[[#This Row],[Цена м2 с базовым K]]+наценкад5[[#This Row],[Цена м2 с базовым K]]</f>
        <v>81466.150500000003</v>
      </c>
      <c r="AJ112" s="72">
        <f>VLOOKUP(наценкад5[[#This Row],[№]],ППД5[],COLUMN(ППД5[[#This Row],[утв цена м2]]),0)</f>
        <v>124800.16</v>
      </c>
      <c r="AK112" s="3">
        <f>наценкад5[[#This Row],[утв цена м2]]*наценкад5[[#This Row],[Расчетная проектная площадь]]</f>
        <v>7258377.3055999996</v>
      </c>
      <c r="AL112" s="22" t="str">
        <f>VLOOKUP(наценкад5[[#This Row],[№]],ППД5[],COLUMN('Реестр ОН'!$DF$1),0)</f>
        <v>Свободно</v>
      </c>
    </row>
    <row r="113" spans="1:38" hidden="1" x14ac:dyDescent="0.25">
      <c r="A113" s="101">
        <v>111</v>
      </c>
      <c r="B113" s="2" t="str">
        <f>_xlfn.XLOOKUP(наценкад5[[#This Row],[№]],ППД5[№],ППД5[Секция],"-",0)</f>
        <v>А</v>
      </c>
      <c r="C113" s="2">
        <f>_xlfn.XLOOKUP(наценкад5[[#This Row],[№]],ППД5[№],ППД5[Этаж],"-",0)</f>
        <v>16</v>
      </c>
      <c r="D113" s="2">
        <f>_xlfn.XLOOKUP(наценкад5[[#This Row],[№]],ППД5[№],ППД5[№ на этаже],"-",0)</f>
        <v>7</v>
      </c>
      <c r="E113" s="2">
        <f>_xlfn.XLOOKUP(наценкад5[[#This Row],[№]],ППД5[№],ППД5[Тип кв],"-",0)</f>
        <v>1</v>
      </c>
      <c r="F113" s="72">
        <f>_xlfn.XLOOKUP(наценкад5[[#This Row],[№]],ППД5[№],ППД5[Кухня],"-",0)</f>
        <v>13.04</v>
      </c>
      <c r="G113" s="72">
        <f>_xlfn.XLOOKUP(наценкад5[[#This Row],[№]],ППД5[№],ППД5[Ванная],"-",0)</f>
        <v>3.9</v>
      </c>
      <c r="H113" s="72">
        <f>_xlfn.XLOOKUP(наценкад5[[#This Row],[№]],ППД5[№],ППД5[Гардеробная],"-",0)</f>
        <v>0</v>
      </c>
      <c r="I113" s="72">
        <f>_xlfn.XLOOKUP(наценкад5[[#This Row],[№]],ППД5[№],ППД5[Лоджия 2],"-",0)</f>
        <v>0</v>
      </c>
      <c r="J113" s="72">
        <f>_xlfn.XLOOKUP(наценкад5[[#This Row],[№]],ППД5[№],ППД5[С\У],"-",0)</f>
        <v>0</v>
      </c>
      <c r="K113" s="72">
        <f>_xlfn.XLOOKUP(наценкад5[[#This Row],[№]],ППД5[№],ППД5[Расчетная проектная площадь],"-",0)</f>
        <v>42.75</v>
      </c>
      <c r="L113" s="12">
        <f t="shared" si="1"/>
        <v>63000</v>
      </c>
      <c r="M113" s="102">
        <f>коэффициенты!$G$2</f>
        <v>1.2875000000000001</v>
      </c>
      <c r="N113" s="13">
        <f>наценкад5[[#This Row],[Цена м2 базовая]]*наценкад5[[#This Row],[Базовой K]]</f>
        <v>81112.5</v>
      </c>
      <c r="O113" s="74"/>
      <c r="P113" s="76">
        <f>коэффициенты!$G$5</f>
        <v>0.01</v>
      </c>
      <c r="Q113" s="74"/>
      <c r="R113" s="74"/>
      <c r="S113" s="74"/>
      <c r="T113" s="74"/>
      <c r="U113" s="74"/>
      <c r="V113" s="74">
        <f>коэффициенты!$G$11</f>
        <v>0.01</v>
      </c>
      <c r="W113" s="75"/>
      <c r="X113" s="74"/>
      <c r="Y113" s="75"/>
      <c r="Z113" s="74"/>
      <c r="AA113" s="76">
        <f>коэффициенты!$G$14</f>
        <v>0.01</v>
      </c>
      <c r="AB113" s="74"/>
      <c r="AC113" s="74"/>
      <c r="AD113" s="76">
        <f>коэффициенты!$G$19</f>
        <v>0.01</v>
      </c>
      <c r="AE113" s="76"/>
      <c r="AF113" s="76"/>
      <c r="AG113" s="74">
        <f>коэффициенты!$A$24</f>
        <v>-5.0000000000000001E-3</v>
      </c>
      <c r="AH113" s="74"/>
      <c r="AI113" s="73">
        <f>SUM(наценкад5[[#This Row],[еврокухня]:[большая площадь]])*наценкад5[[#This Row],[Цена м2 с базовым K]]+наценкад5[[#This Row],[Цена м2 с базовым K]]</f>
        <v>83951.4375</v>
      </c>
      <c r="AJ113" s="72">
        <f>VLOOKUP(наценкад5[[#This Row],[№]],ППД5[],COLUMN(ППД5[[#This Row],[утв цена м2]]),0)</f>
        <v>110473.29</v>
      </c>
      <c r="AK113" s="3">
        <f>наценкад5[[#This Row],[утв цена м2]]*наценкад5[[#This Row],[Расчетная проектная площадь]]</f>
        <v>4722733.1475</v>
      </c>
      <c r="AL113" s="22" t="str">
        <f>VLOOKUP(наценкад5[[#This Row],[№]],ППД5[],COLUMN('Реестр ОН'!$DF$1),0)</f>
        <v>Продажа</v>
      </c>
    </row>
    <row r="114" spans="1:38" hidden="1" x14ac:dyDescent="0.25">
      <c r="A114" s="101">
        <v>112</v>
      </c>
      <c r="B114" s="2" t="str">
        <f>_xlfn.XLOOKUP(наценкад5[[#This Row],[№]],ППД5[№],ППД5[Секция],"-",0)</f>
        <v>Б</v>
      </c>
      <c r="C114" s="2">
        <f>_xlfn.XLOOKUP(наценкад5[[#This Row],[№]],ППД5[№],ППД5[Этаж],"-",0)</f>
        <v>1</v>
      </c>
      <c r="D114" s="2">
        <f>_xlfn.XLOOKUP(наценкад5[[#This Row],[№]],ППД5[№],ППД5[№ на этаже],"-",0)</f>
        <v>1</v>
      </c>
      <c r="E114" s="2">
        <f>_xlfn.XLOOKUP(наценкад5[[#This Row],[№]],ППД5[№],ППД5[Тип кв],"-",0)</f>
        <v>2</v>
      </c>
      <c r="F114" s="118">
        <f>_xlfn.XLOOKUP(наценкад5[[#This Row],[№]],ППД5[№],ППД5[Кухня],"-",0)</f>
        <v>15.31</v>
      </c>
      <c r="G114" s="118">
        <f>_xlfn.XLOOKUP(наценкад5[[#This Row],[№]],ППД5[№],ППД5[Ванная],"-",0)</f>
        <v>3.85</v>
      </c>
      <c r="H114" s="118">
        <f>_xlfn.XLOOKUP(наценкад5[[#This Row],[№]],ППД5[№],ППД5[Гардеробная],"-",0)</f>
        <v>0</v>
      </c>
      <c r="I114" s="118">
        <f>_xlfn.XLOOKUP(наценкад5[[#This Row],[№]],ППД5[№],ППД5[Лоджия 2],"-",0)</f>
        <v>0</v>
      </c>
      <c r="J114" s="118">
        <f>_xlfn.XLOOKUP(наценкад5[[#This Row],[№]],ППД5[№],ППД5[С\У],"-",0)</f>
        <v>2.2999999999999998</v>
      </c>
      <c r="K114" s="118">
        <f>_xlfn.XLOOKUP(наценкад5[[#This Row],[№]],ППД5[№],ППД5[Расчетная проектная площадь],"-",0)</f>
        <v>60.22</v>
      </c>
      <c r="L114" s="12">
        <f t="shared" si="1"/>
        <v>63000</v>
      </c>
      <c r="M114" s="102">
        <f>коэффициенты!$F$2</f>
        <v>1.2257</v>
      </c>
      <c r="N114" s="103">
        <f>наценкад5[[#This Row],[Цена м2 базовая]]*наценкад5[[#This Row],[Базовой K]]</f>
        <v>77219.100000000006</v>
      </c>
      <c r="O114" s="76">
        <f>коэффициенты!$F$4</f>
        <v>1.4999999999999999E-2</v>
      </c>
      <c r="P114" s="74"/>
      <c r="Q114" s="76"/>
      <c r="R114" s="76"/>
      <c r="S114" s="76">
        <f>коэффициенты!$F$9</f>
        <v>0</v>
      </c>
      <c r="T114" s="74"/>
      <c r="U114" s="74"/>
      <c r="V114" s="74"/>
      <c r="W114" s="74"/>
      <c r="X114" s="74">
        <f>коэффициенты!$F$13</f>
        <v>0.02</v>
      </c>
      <c r="Y114" s="78"/>
      <c r="Z114" s="76"/>
      <c r="AA114" s="74"/>
      <c r="AB114" s="74"/>
      <c r="AC114" s="74"/>
      <c r="AD114" s="74">
        <f>коэффициенты!$F$19</f>
        <v>5.0000000000000001E-3</v>
      </c>
      <c r="AE114" s="76">
        <f>коэффициенты!$F$20</f>
        <v>0.03</v>
      </c>
      <c r="AF114" s="74"/>
      <c r="AG114" s="74"/>
      <c r="AH114" s="74">
        <f>'отрицательный кф'!O23</f>
        <v>-1.4999999999999999E-2</v>
      </c>
      <c r="AI114" s="73">
        <f>SUM(наценкад5[[#This Row],[еврокухня]:[большая площадь]])*наценкад5[[#This Row],[Цена м2 с базовым K]]+наценкад5[[#This Row],[Цена м2 с базовым K]]</f>
        <v>81466.150500000003</v>
      </c>
      <c r="AJ114" s="72">
        <f>VLOOKUP(наценкад5[[#This Row],[№]],ППД5[],COLUMN(ППД5[[#This Row],[утв цена м2]]),0)</f>
        <v>131582.93</v>
      </c>
      <c r="AK114" s="3">
        <f>наценкад5[[#This Row],[утв цена м2]]*наценкад5[[#This Row],[Расчетная проектная площадь]]</f>
        <v>7923924.0445999997</v>
      </c>
      <c r="AL114" s="22" t="str">
        <f>VLOOKUP(наценкад5[[#This Row],[№]],ППД5[],COLUMN('Реестр ОН'!$DF$1),0)</f>
        <v>Свободно</v>
      </c>
    </row>
    <row r="115" spans="1:38" hidden="1" x14ac:dyDescent="0.25">
      <c r="A115" s="101">
        <v>113</v>
      </c>
      <c r="B115" s="2" t="str">
        <f>_xlfn.XLOOKUP(наценкад5[[#This Row],[№]],ППД5[№],ППД5[Секция],"-",0)</f>
        <v>Б</v>
      </c>
      <c r="C115" s="2">
        <f>_xlfn.XLOOKUP(наценкад5[[#This Row],[№]],ППД5[№],ППД5[Этаж],"-",0)</f>
        <v>1</v>
      </c>
      <c r="D115" s="2">
        <f>_xlfn.XLOOKUP(наценкад5[[#This Row],[№]],ППД5[№],ППД5[№ на этаже],"-",0)</f>
        <v>2</v>
      </c>
      <c r="E115" s="2">
        <f>_xlfn.XLOOKUP(наценкад5[[#This Row],[№]],ППД5[№],ППД5[Тип кв],"-",0)</f>
        <v>0</v>
      </c>
      <c r="F115" s="118">
        <f>_xlfn.XLOOKUP(наценкад5[[#This Row],[№]],ППД5[№],ППД5[Кухня],"-",0)</f>
        <v>5.12</v>
      </c>
      <c r="G115" s="118">
        <f>_xlfn.XLOOKUP(наценкад5[[#This Row],[№]],ППД5[№],ППД5[Ванная],"-",0)</f>
        <v>3.65</v>
      </c>
      <c r="H115" s="118">
        <f>_xlfn.XLOOKUP(наценкад5[[#This Row],[№]],ППД5[№],ППД5[Гардеробная],"-",0)</f>
        <v>0</v>
      </c>
      <c r="I115" s="118">
        <f>_xlfn.XLOOKUP(наценкад5[[#This Row],[№]],ППД5[№],ППД5[Лоджия 2],"-",0)</f>
        <v>0</v>
      </c>
      <c r="J115" s="118">
        <f>_xlfn.XLOOKUP(наценкад5[[#This Row],[№]],ППД5[№],ППД5[С\У],"-",0)</f>
        <v>0</v>
      </c>
      <c r="K115" s="118">
        <f>_xlfn.XLOOKUP(наценкад5[[#This Row],[№]],ППД5[№],ППД5[Расчетная проектная площадь],"-",0)</f>
        <v>24.28</v>
      </c>
      <c r="L115" s="12">
        <f t="shared" si="1"/>
        <v>63000</v>
      </c>
      <c r="M115" s="116">
        <f>коэффициенты!$H$2</f>
        <v>1.3905000000000001</v>
      </c>
      <c r="N115" s="103">
        <f>наценкад5[[#This Row],[Цена м2 базовая]]*наценкад5[[#This Row],[Базовой K]]</f>
        <v>87601.5</v>
      </c>
      <c r="O115" s="74"/>
      <c r="P115" s="74"/>
      <c r="Q115" s="74"/>
      <c r="R115" s="74"/>
      <c r="S115" s="74"/>
      <c r="T115" s="74"/>
      <c r="U115" s="74"/>
      <c r="V115" s="74">
        <f>коэффициенты!$H$11</f>
        <v>0.01</v>
      </c>
      <c r="W115" s="74"/>
      <c r="X115" s="74">
        <f>коэффициенты!$H$13</f>
        <v>0.01</v>
      </c>
      <c r="Y115" s="78"/>
      <c r="Z115" s="76"/>
      <c r="AA115" s="74"/>
      <c r="AB115" s="74"/>
      <c r="AC115" s="74"/>
      <c r="AD115" s="74">
        <f>коэффициенты!$H$19</f>
        <v>0.01</v>
      </c>
      <c r="AE115" s="74">
        <f>коэффициенты!$H$20</f>
        <v>0.1</v>
      </c>
      <c r="AF115" s="74"/>
      <c r="AG115" s="74"/>
      <c r="AH115" s="74"/>
      <c r="AI115" s="73">
        <f>SUM(наценкад5[[#This Row],[еврокухня]:[большая площадь]])*наценкад5[[#This Row],[Цена м2 с базовым K]]+наценкад5[[#This Row],[Цена м2 с базовым K]]</f>
        <v>98989.695000000007</v>
      </c>
      <c r="AJ115" s="72">
        <f>VLOOKUP(наценкад5[[#This Row],[№]],ППД5[],COLUMN(ППД5[[#This Row],[утв цена м2]]),0)</f>
        <v>103939.18</v>
      </c>
      <c r="AK115" s="3">
        <f>наценкад5[[#This Row],[утв цена м2]]*наценкад5[[#This Row],[Расчетная проектная площадь]]</f>
        <v>2523643.2903999998</v>
      </c>
      <c r="AL115" s="22" t="str">
        <f>VLOOKUP(наценкад5[[#This Row],[№]],ППД5[],COLUMN('Реестр ОН'!$DF$1),0)</f>
        <v>Продажа</v>
      </c>
    </row>
    <row r="116" spans="1:38" hidden="1" x14ac:dyDescent="0.25">
      <c r="A116" s="101">
        <v>114</v>
      </c>
      <c r="B116" s="2" t="str">
        <f>_xlfn.XLOOKUP(наценкад5[[#This Row],[№]],ППД5[№],ППД5[Секция],"-",0)</f>
        <v>Б</v>
      </c>
      <c r="C116" s="2">
        <f>_xlfn.XLOOKUP(наценкад5[[#This Row],[№]],ППД5[№],ППД5[Этаж],"-",0)</f>
        <v>1</v>
      </c>
      <c r="D116" s="2">
        <f>_xlfn.XLOOKUP(наценкад5[[#This Row],[№]],ППД5[№],ППД5[№ на этаже],"-",0)</f>
        <v>3</v>
      </c>
      <c r="E116" s="2">
        <f>_xlfn.XLOOKUP(наценкад5[[#This Row],[№]],ППД5[№],ППД5[Тип кв],"-",0)</f>
        <v>2</v>
      </c>
      <c r="F116" s="118">
        <f>_xlfn.XLOOKUP(наценкад5[[#This Row],[№]],ППД5[№],ППД5[Кухня],"-",0)</f>
        <v>14.35</v>
      </c>
      <c r="G116" s="118">
        <f>_xlfn.XLOOKUP(наценкад5[[#This Row],[№]],ППД5[№],ППД5[Ванная],"-",0)</f>
        <v>3.68</v>
      </c>
      <c r="H116" s="118">
        <f>_xlfn.XLOOKUP(наценкад5[[#This Row],[№]],ППД5[№],ППД5[Гардеробная],"-",0)</f>
        <v>0</v>
      </c>
      <c r="I116" s="118">
        <f>_xlfn.XLOOKUP(наценкад5[[#This Row],[№]],ППД5[№],ППД5[Лоджия 2],"-",0)</f>
        <v>0</v>
      </c>
      <c r="J116" s="118">
        <f>_xlfn.XLOOKUP(наценкад5[[#This Row],[№]],ППД5[№],ППД5[С\У],"-",0)</f>
        <v>2.57</v>
      </c>
      <c r="K116" s="118">
        <f>_xlfn.XLOOKUP(наценкад5[[#This Row],[№]],ППД5[№],ППД5[Расчетная проектная площадь],"-",0)</f>
        <v>57.6</v>
      </c>
      <c r="L116" s="12">
        <f t="shared" si="1"/>
        <v>63000</v>
      </c>
      <c r="M116" s="102">
        <f>коэффициенты!$F$2</f>
        <v>1.2257</v>
      </c>
      <c r="N116" s="103">
        <f>наценкад5[[#This Row],[Цена м2 базовая]]*наценкад5[[#This Row],[Базовой K]]</f>
        <v>77219.100000000006</v>
      </c>
      <c r="O116" s="76">
        <f>коэффициенты!$F$4</f>
        <v>1.4999999999999999E-2</v>
      </c>
      <c r="P116" s="74"/>
      <c r="Q116" s="76"/>
      <c r="R116" s="76"/>
      <c r="S116" s="76">
        <f>коэффициенты!$F$9</f>
        <v>0</v>
      </c>
      <c r="T116" s="74"/>
      <c r="U116" s="74"/>
      <c r="V116" s="74"/>
      <c r="W116" s="74"/>
      <c r="X116" s="74"/>
      <c r="Y116" s="78"/>
      <c r="Z116" s="76"/>
      <c r="AA116" s="74"/>
      <c r="AB116" s="74"/>
      <c r="AC116" s="74"/>
      <c r="AD116" s="74">
        <f>коэффициенты!$F$19</f>
        <v>5.0000000000000001E-3</v>
      </c>
      <c r="AE116" s="76">
        <f>коэффициенты!$F$20</f>
        <v>0.03</v>
      </c>
      <c r="AF116" s="74"/>
      <c r="AG116" s="74"/>
      <c r="AH116" s="74">
        <f>'отрицательный кф'!$O$24</f>
        <v>-1.4999999999999999E-2</v>
      </c>
      <c r="AI116" s="73">
        <f>SUM(наценкад5[[#This Row],[еврокухня]:[большая площадь]])*наценкад5[[#This Row],[Цена м2 с базовым K]]+наценкад5[[#This Row],[Цена м2 с базовым K]]</f>
        <v>79921.768500000006</v>
      </c>
      <c r="AJ116" s="72">
        <f>VLOOKUP(наценкад5[[#This Row],[№]],ППД5[],COLUMN(ППД5[[#This Row],[утв цена м2]]),0)</f>
        <v>135549.49</v>
      </c>
      <c r="AK116" s="3">
        <f>наценкад5[[#This Row],[утв цена м2]]*наценкад5[[#This Row],[Расчетная проектная площадь]]</f>
        <v>7807650.6239999998</v>
      </c>
      <c r="AL116" s="22" t="str">
        <f>VLOOKUP(наценкад5[[#This Row],[№]],ППД5[],COLUMN('Реестр ОН'!$DF$1),0)</f>
        <v>Свободно</v>
      </c>
    </row>
    <row r="117" spans="1:38" hidden="1" x14ac:dyDescent="0.25">
      <c r="A117" s="101">
        <v>115</v>
      </c>
      <c r="B117" s="2" t="str">
        <f>_xlfn.XLOOKUP(наценкад5[[#This Row],[№]],ППД5[№],ППД5[Секция],"-",0)</f>
        <v>Б</v>
      </c>
      <c r="C117" s="2">
        <f>_xlfn.XLOOKUP(наценкад5[[#This Row],[№]],ППД5[№],ППД5[Этаж],"-",0)</f>
        <v>1</v>
      </c>
      <c r="D117" s="2">
        <f>_xlfn.XLOOKUP(наценкад5[[#This Row],[№]],ППД5[№],ППД5[№ на этаже],"-",0)</f>
        <v>4</v>
      </c>
      <c r="E117" s="2">
        <f>_xlfn.XLOOKUP(наценкад5[[#This Row],[№]],ППД5[№],ППД5[Тип кв],"-",0)</f>
        <v>1</v>
      </c>
      <c r="F117" s="118">
        <f>_xlfn.XLOOKUP(наценкад5[[#This Row],[№]],ППД5[№],ППД5[Кухня],"-",0)</f>
        <v>13.18</v>
      </c>
      <c r="G117" s="118">
        <f>_xlfn.XLOOKUP(наценкад5[[#This Row],[№]],ППД5[№],ППД5[Ванная],"-",0)</f>
        <v>4.1100000000000003</v>
      </c>
      <c r="H117" s="118">
        <f>_xlfn.XLOOKUP(наценкад5[[#This Row],[№]],ППД5[№],ППД5[Гардеробная],"-",0)</f>
        <v>0</v>
      </c>
      <c r="I117" s="118">
        <f>_xlfn.XLOOKUP(наценкад5[[#This Row],[№]],ППД5[№],ППД5[Лоджия 2],"-",0)</f>
        <v>0</v>
      </c>
      <c r="J117" s="118">
        <f>_xlfn.XLOOKUP(наценкад5[[#This Row],[№]],ППД5[№],ППД5[С\У],"-",0)</f>
        <v>0</v>
      </c>
      <c r="K117" s="118">
        <f>_xlfn.XLOOKUP(наценкад5[[#This Row],[№]],ППД5[№],ППД5[Расчетная проектная площадь],"-",0)</f>
        <v>37.86</v>
      </c>
      <c r="L117" s="12">
        <f t="shared" si="1"/>
        <v>63000</v>
      </c>
      <c r="M117" s="102">
        <f>коэффициенты!$G$2</f>
        <v>1.2875000000000001</v>
      </c>
      <c r="N117" s="103">
        <f>наценкад5[[#This Row],[Цена м2 базовая]]*наценкад5[[#This Row],[Базовой K]]</f>
        <v>81112.5</v>
      </c>
      <c r="O117" s="76"/>
      <c r="P117" s="76">
        <f>коэффициенты!$G$5</f>
        <v>0.01</v>
      </c>
      <c r="Q117" s="195">
        <f>коэффициенты!$G$6</f>
        <v>0.03</v>
      </c>
      <c r="R117" s="74"/>
      <c r="S117" s="74"/>
      <c r="T117" s="74"/>
      <c r="U117" s="74"/>
      <c r="V117" s="74">
        <f>коэффициенты!$G$11</f>
        <v>0.01</v>
      </c>
      <c r="W117" s="74"/>
      <c r="X117" s="74">
        <f>коэффициенты!$G$13</f>
        <v>0.01</v>
      </c>
      <c r="Y117" s="78"/>
      <c r="Z117" s="76"/>
      <c r="AA117" s="74">
        <f>коэффициенты!$G$14</f>
        <v>0.01</v>
      </c>
      <c r="AB117" s="74"/>
      <c r="AC117" s="74"/>
      <c r="AD117" s="74">
        <f>коэффициенты!$G$19</f>
        <v>0.01</v>
      </c>
      <c r="AE117" s="76">
        <f>коэффициенты!$G$20</f>
        <v>0.05</v>
      </c>
      <c r="AF117" s="74"/>
      <c r="AG117" s="74"/>
      <c r="AH117" s="74"/>
      <c r="AI117" s="73">
        <f>SUM(наценкад5[[#This Row],[еврокухня]:[большая площадь]])*наценкад5[[#This Row],[Цена м2 с базовым K]]+наценкад5[[#This Row],[Цена м2 с базовым K]]</f>
        <v>91657.125</v>
      </c>
      <c r="AJ117" s="72">
        <f>VLOOKUP(наценкад5[[#This Row],[№]],ППД5[],COLUMN(ППД5[[#This Row],[утв цена м2]]),0)</f>
        <v>151126.38</v>
      </c>
      <c r="AK117" s="3">
        <f>наценкад5[[#This Row],[утв цена м2]]*наценкад5[[#This Row],[Расчетная проектная площадь]]</f>
        <v>5721644.7467999998</v>
      </c>
      <c r="AL117" s="22" t="str">
        <f>VLOOKUP(наценкад5[[#This Row],[№]],ППД5[],COLUMN('Реестр ОН'!$DF$1),0)</f>
        <v>Свободно</v>
      </c>
    </row>
    <row r="118" spans="1:38" hidden="1" x14ac:dyDescent="0.25">
      <c r="A118" s="101">
        <v>116</v>
      </c>
      <c r="B118" s="2" t="str">
        <f>_xlfn.XLOOKUP(наценкад5[[#This Row],[№]],ППД5[№],ППД5[Секция],"-",0)</f>
        <v>Б</v>
      </c>
      <c r="C118" s="2">
        <f>_xlfn.XLOOKUP(наценкад5[[#This Row],[№]],ППД5[№],ППД5[Этаж],"-",0)</f>
        <v>1</v>
      </c>
      <c r="D118" s="2">
        <f>_xlfn.XLOOKUP(наценкад5[[#This Row],[№]],ППД5[№],ППД5[№ на этаже],"-",0)</f>
        <v>5</v>
      </c>
      <c r="E118" s="2">
        <f>_xlfn.XLOOKUP(наценкад5[[#This Row],[№]],ППД5[№],ППД5[Тип кв],"-",0)</f>
        <v>2</v>
      </c>
      <c r="F118" s="118">
        <f>_xlfn.XLOOKUP(наценкад5[[#This Row],[№]],ППД5[№],ППД5[Кухня],"-",0)</f>
        <v>13.39</v>
      </c>
      <c r="G118" s="118">
        <f>_xlfn.XLOOKUP(наценкад5[[#This Row],[№]],ППД5[№],ППД5[Ванная],"-",0)</f>
        <v>4.2</v>
      </c>
      <c r="H118" s="118">
        <f>_xlfn.XLOOKUP(наценкад5[[#This Row],[№]],ППД5[№],ППД5[Гардеробная],"-",0)</f>
        <v>0</v>
      </c>
      <c r="I118" s="118">
        <f>_xlfn.XLOOKUP(наценкад5[[#This Row],[№]],ППД5[№],ППД5[Лоджия 2],"-",0)</f>
        <v>2.68</v>
      </c>
      <c r="J118" s="118">
        <f>_xlfn.XLOOKUP(наценкад5[[#This Row],[№]],ППД5[№],ППД5[С\У],"-",0)</f>
        <v>0</v>
      </c>
      <c r="K118" s="118">
        <f>_xlfn.XLOOKUP(наценкад5[[#This Row],[№]],ППД5[№],ППД5[Расчетная проектная площадь],"-",0)</f>
        <v>65.05</v>
      </c>
      <c r="L118" s="12">
        <f t="shared" si="1"/>
        <v>63000</v>
      </c>
      <c r="M118" s="102">
        <f>коэффициенты!$F$2</f>
        <v>1.2257</v>
      </c>
      <c r="N118" s="103">
        <f>наценкад5[[#This Row],[Цена м2 базовая]]*наценкад5[[#This Row],[Базовой K]]</f>
        <v>77219.100000000006</v>
      </c>
      <c r="O118" s="74"/>
      <c r="P118" s="74">
        <f>коэффициенты!$F$5</f>
        <v>0.01</v>
      </c>
      <c r="Q118" s="76">
        <f>коэффициенты!$F$6</f>
        <v>0.02</v>
      </c>
      <c r="R118" s="76"/>
      <c r="S118" s="76"/>
      <c r="T118" s="74">
        <f>коэффициенты!$F$7</f>
        <v>0.03</v>
      </c>
      <c r="U118" s="74"/>
      <c r="V118" s="74"/>
      <c r="W118" s="74"/>
      <c r="X118" s="74"/>
      <c r="Y118" s="78"/>
      <c r="Z118" s="76"/>
      <c r="AA118" s="74">
        <f>коэффициенты!$F$14</f>
        <v>0.02</v>
      </c>
      <c r="AB118" s="74">
        <f>коэффициенты!$F$17</f>
        <v>0.05</v>
      </c>
      <c r="AC118" s="74"/>
      <c r="AD118" s="74">
        <f>коэффициенты!$F$19</f>
        <v>5.0000000000000001E-3</v>
      </c>
      <c r="AE118" s="76">
        <f>коэффициенты!$F$20</f>
        <v>0.03</v>
      </c>
      <c r="AF118" s="74"/>
      <c r="AG118" s="74"/>
      <c r="AH118" s="74">
        <f>'отрицательный кф'!$O$25</f>
        <v>-0.15</v>
      </c>
      <c r="AI118" s="73">
        <f>SUM(наценкад5[[#This Row],[еврокухня]:[большая площадь]])*наценкад5[[#This Row],[Цена м2 с базовым K]]+наценкад5[[#This Row],[Цена м2 с базовым K]]</f>
        <v>78377.386500000008</v>
      </c>
      <c r="AJ118" s="72">
        <f>VLOOKUP(наценкад5[[#This Row],[№]],ППД5[],COLUMN(ППД5[[#This Row],[утв цена м2]]),0)</f>
        <v>84765.14</v>
      </c>
      <c r="AK118" s="3">
        <f>наценкад5[[#This Row],[утв цена м2]]*наценкад5[[#This Row],[Расчетная проектная площадь]]</f>
        <v>5513972.3569999998</v>
      </c>
      <c r="AL118" s="22" t="str">
        <f>VLOOKUP(наценкад5[[#This Row],[№]],ППД5[],COLUMN('Реестр ОН'!$DF$1),0)</f>
        <v>Продажа</v>
      </c>
    </row>
    <row r="119" spans="1:38" hidden="1" x14ac:dyDescent="0.25">
      <c r="A119" s="101">
        <v>117</v>
      </c>
      <c r="B119" s="2" t="str">
        <f>_xlfn.XLOOKUP(наценкад5[[#This Row],[№]],ППД5[№],ППД5[Секция],"-",0)</f>
        <v>Б</v>
      </c>
      <c r="C119" s="2">
        <f>_xlfn.XLOOKUP(наценкад5[[#This Row],[№]],ППД5[№],ППД5[Этаж],"-",0)</f>
        <v>1</v>
      </c>
      <c r="D119" s="2">
        <f>_xlfn.XLOOKUP(наценкад5[[#This Row],[№]],ППД5[№],ППД5[№ на этаже],"-",0)</f>
        <v>6</v>
      </c>
      <c r="E119" s="2">
        <f>_xlfn.XLOOKUP(наценкад5[[#This Row],[№]],ППД5[№],ППД5[Тип кв],"-",0)</f>
        <v>2</v>
      </c>
      <c r="F119" s="118">
        <f>_xlfn.XLOOKUP(наценкад5[[#This Row],[№]],ППД5[№],ППД5[Кухня],"-",0)</f>
        <v>13.04</v>
      </c>
      <c r="G119" s="118">
        <f>_xlfn.XLOOKUP(наценкад5[[#This Row],[№]],ППД5[№],ППД5[Ванная],"-",0)</f>
        <v>3.9</v>
      </c>
      <c r="H119" s="118">
        <f>_xlfn.XLOOKUP(наценкад5[[#This Row],[№]],ППД5[№],ППД5[Гардеробная],"-",0)</f>
        <v>0</v>
      </c>
      <c r="I119" s="118">
        <f>_xlfn.XLOOKUP(наценкад5[[#This Row],[№]],ППД5[№],ППД5[Лоджия 2],"-",0)</f>
        <v>0</v>
      </c>
      <c r="J119" s="118">
        <f>_xlfn.XLOOKUP(наценкад5[[#This Row],[№]],ППД5[№],ППД5[С\У],"-",0)</f>
        <v>0</v>
      </c>
      <c r="K119" s="118">
        <f>_xlfn.XLOOKUP(наценкад5[[#This Row],[№]],ППД5[№],ППД5[Расчетная проектная площадь],"-",0)</f>
        <v>62.17</v>
      </c>
      <c r="L119" s="12">
        <f t="shared" si="1"/>
        <v>63000</v>
      </c>
      <c r="M119" s="102">
        <f>коэффициенты!$F$2</f>
        <v>1.2257</v>
      </c>
      <c r="N119" s="103">
        <f>наценкад5[[#This Row],[Цена м2 базовая]]*наценкад5[[#This Row],[Базовой K]]</f>
        <v>77219.100000000006</v>
      </c>
      <c r="O119" s="74"/>
      <c r="P119" s="74">
        <f>коэффициенты!$F$5</f>
        <v>0.01</v>
      </c>
      <c r="Q119" s="76"/>
      <c r="R119" s="76"/>
      <c r="S119" s="76"/>
      <c r="T119" s="74"/>
      <c r="U119" s="74"/>
      <c r="V119" s="74">
        <f>коэффициенты!$F$11</f>
        <v>5.0000000000000001E-3</v>
      </c>
      <c r="W119" s="74"/>
      <c r="X119" s="74">
        <f>коэффициенты!$F$13</f>
        <v>0.02</v>
      </c>
      <c r="Y119" s="78"/>
      <c r="Z119" s="76"/>
      <c r="AA119" s="74">
        <f>коэффициенты!$F$14</f>
        <v>0.02</v>
      </c>
      <c r="AB119" s="74"/>
      <c r="AC119" s="74"/>
      <c r="AD119" s="74">
        <f>коэффициенты!$F$19</f>
        <v>5.0000000000000001E-3</v>
      </c>
      <c r="AE119" s="76">
        <f>коэффициенты!$F$20</f>
        <v>0.03</v>
      </c>
      <c r="AF119" s="74"/>
      <c r="AG119" s="74">
        <f>коэффициенты!$F$24</f>
        <v>-5.0000000000000001E-3</v>
      </c>
      <c r="AH119" s="74">
        <f>'отрицательный кф'!$O$26</f>
        <v>-0.05</v>
      </c>
      <c r="AI119" s="73">
        <f>SUM(наценкад5[[#This Row],[еврокухня]:[большая площадь]])*наценкад5[[#This Row],[Цена м2 с базовым K]]+наценкад5[[#This Row],[Цена м2 с базовым K]]</f>
        <v>79921.768500000006</v>
      </c>
      <c r="AJ119" s="72">
        <f>VLOOKUP(наценкад5[[#This Row],[№]],ППД5[],COLUMN(ППД5[[#This Row],[утв цена м2]]),0)</f>
        <v>132898.41</v>
      </c>
      <c r="AK119" s="3">
        <f>наценкад5[[#This Row],[утв цена м2]]*наценкад5[[#This Row],[Расчетная проектная площадь]]</f>
        <v>8262294.1497000009</v>
      </c>
      <c r="AL119" s="22" t="str">
        <f>VLOOKUP(наценкад5[[#This Row],[№]],ППД5[],COLUMN('Реестр ОН'!$DF$1),0)</f>
        <v>Свободно</v>
      </c>
    </row>
    <row r="120" spans="1:38" hidden="1" x14ac:dyDescent="0.25">
      <c r="A120" s="101">
        <v>118</v>
      </c>
      <c r="B120" s="2" t="str">
        <f>_xlfn.XLOOKUP(наценкад5[[#This Row],[№]],ППД5[№],ППД5[Секция],"-",0)</f>
        <v>Б</v>
      </c>
      <c r="C120" s="2">
        <f>_xlfn.XLOOKUP(наценкад5[[#This Row],[№]],ППД5[№],ППД5[Этаж],"-",0)</f>
        <v>2</v>
      </c>
      <c r="D120" s="2">
        <f>_xlfn.XLOOKUP(наценкад5[[#This Row],[№]],ППД5[№],ППД5[№ на этаже],"-",0)</f>
        <v>1</v>
      </c>
      <c r="E120" s="2">
        <f>_xlfn.XLOOKUP(наценкад5[[#This Row],[№]],ППД5[№],ППД5[Тип кв],"-",0)</f>
        <v>2</v>
      </c>
      <c r="F120" s="72">
        <f>_xlfn.XLOOKUP(наценкад5[[#This Row],[№]],ППД5[№],ППД5[Кухня],"-",0)</f>
        <v>15.31</v>
      </c>
      <c r="G120" s="72">
        <f>_xlfn.XLOOKUP(наценкад5[[#This Row],[№]],ППД5[№],ППД5[Ванная],"-",0)</f>
        <v>3.85</v>
      </c>
      <c r="H120" s="72">
        <f>_xlfn.XLOOKUP(наценкад5[[#This Row],[№]],ППД5[№],ППД5[Гардеробная],"-",0)</f>
        <v>0</v>
      </c>
      <c r="I120" s="72">
        <f>_xlfn.XLOOKUP(наценкад5[[#This Row],[№]],ППД5[№],ППД5[Лоджия 2],"-",0)</f>
        <v>0</v>
      </c>
      <c r="J120" s="72">
        <f>_xlfn.XLOOKUP(наценкад5[[#This Row],[№]],ППД5[№],ППД5[С\У],"-",0)</f>
        <v>2.2999999999999998</v>
      </c>
      <c r="K120" s="72">
        <f>_xlfn.XLOOKUP(наценкад5[[#This Row],[№]],ППД5[№],ППД5[Расчетная проектная площадь],"-",0)</f>
        <v>60.22</v>
      </c>
      <c r="L120" s="12">
        <f t="shared" si="1"/>
        <v>63000</v>
      </c>
      <c r="M120" s="102">
        <f>коэффициенты!$F$2</f>
        <v>1.2257</v>
      </c>
      <c r="N120" s="13">
        <f>наценкад5[[#This Row],[Цена м2 базовая]]*наценкад5[[#This Row],[Базовой K]]</f>
        <v>77219.100000000006</v>
      </c>
      <c r="O120" s="76">
        <f>коэффициенты!$F$4</f>
        <v>1.4999999999999999E-2</v>
      </c>
      <c r="P120" s="74"/>
      <c r="Q120" s="76"/>
      <c r="R120" s="76"/>
      <c r="S120" s="76">
        <f>коэффициенты!$F$9</f>
        <v>0</v>
      </c>
      <c r="T120" s="74"/>
      <c r="U120" s="74"/>
      <c r="V120" s="74"/>
      <c r="W120" s="74"/>
      <c r="X120" s="74">
        <f>коэффициенты!$F$13</f>
        <v>0.02</v>
      </c>
      <c r="Y120" s="78">
        <f>коэффициенты!$F$15</f>
        <v>0.01</v>
      </c>
      <c r="Z120" s="74"/>
      <c r="AA120" s="74"/>
      <c r="AB120" s="74"/>
      <c r="AC120" s="74"/>
      <c r="AD120" s="74">
        <f>коэффициенты!$F$19</f>
        <v>5.0000000000000001E-3</v>
      </c>
      <c r="AE120" s="74"/>
      <c r="AF120" s="74"/>
      <c r="AG120" s="74"/>
      <c r="AH120" s="74"/>
      <c r="AI120" s="73">
        <f>SUM(наценкад5[[#This Row],[еврокухня]:[большая площадь]])*наценкад5[[#This Row],[Цена м2 с базовым K]]+наценкад5[[#This Row],[Цена м2 с базовым K]]</f>
        <v>81080.055000000008</v>
      </c>
      <c r="AJ120" s="72">
        <f>VLOOKUP(наценкад5[[#This Row],[№]],ППД5[],COLUMN(ППД5[[#This Row],[утв цена м2]]),0)</f>
        <v>122365.64</v>
      </c>
      <c r="AK120" s="3">
        <f>наценкад5[[#This Row],[утв цена м2]]*наценкад5[[#This Row],[Расчетная проектная площадь]]</f>
        <v>7368858.8407999994</v>
      </c>
      <c r="AL120" s="22" t="str">
        <f>VLOOKUP(наценкад5[[#This Row],[№]],ППД5[],COLUMN('Реестр ОН'!$DF$1),0)</f>
        <v>Свободно</v>
      </c>
    </row>
    <row r="121" spans="1:38" hidden="1" x14ac:dyDescent="0.25">
      <c r="A121" s="101">
        <v>119</v>
      </c>
      <c r="B121" s="2" t="str">
        <f>_xlfn.XLOOKUP(наценкад5[[#This Row],[№]],ППД5[№],ППД5[Секция],"-",0)</f>
        <v>Б</v>
      </c>
      <c r="C121" s="2">
        <f>_xlfn.XLOOKUP(наценкад5[[#This Row],[№]],ППД5[№],ППД5[Этаж],"-",0)</f>
        <v>2</v>
      </c>
      <c r="D121" s="2">
        <f>_xlfn.XLOOKUP(наценкад5[[#This Row],[№]],ППД5[№],ППД5[№ на этаже],"-",0)</f>
        <v>2</v>
      </c>
      <c r="E121" s="2">
        <f>_xlfn.XLOOKUP(наценкад5[[#This Row],[№]],ППД5[№],ППД5[Тип кв],"-",0)</f>
        <v>0</v>
      </c>
      <c r="F121" s="72">
        <f>_xlfn.XLOOKUP(наценкад5[[#This Row],[№]],ППД5[№],ППД5[Кухня],"-",0)</f>
        <v>5.12</v>
      </c>
      <c r="G121" s="72">
        <f>_xlfn.XLOOKUP(наценкад5[[#This Row],[№]],ППД5[№],ППД5[Ванная],"-",0)</f>
        <v>3.65</v>
      </c>
      <c r="H121" s="72">
        <f>_xlfn.XLOOKUP(наценкад5[[#This Row],[№]],ППД5[№],ППД5[Гардеробная],"-",0)</f>
        <v>0</v>
      </c>
      <c r="I121" s="72">
        <f>_xlfn.XLOOKUP(наценкад5[[#This Row],[№]],ППД5[№],ППД5[Лоджия 2],"-",0)</f>
        <v>0</v>
      </c>
      <c r="J121" s="72">
        <f>_xlfn.XLOOKUP(наценкад5[[#This Row],[№]],ППД5[№],ППД5[С\У],"-",0)</f>
        <v>0</v>
      </c>
      <c r="K121" s="72">
        <f>_xlfn.XLOOKUP(наценкад5[[#This Row],[№]],ППД5[№],ППД5[Расчетная проектная площадь],"-",0)</f>
        <v>24.28</v>
      </c>
      <c r="L121" s="12">
        <f t="shared" si="1"/>
        <v>63000</v>
      </c>
      <c r="M121" s="116">
        <f>коэффициенты!$H$2</f>
        <v>1.3905000000000001</v>
      </c>
      <c r="N121" s="13">
        <f>наценкад5[[#This Row],[Цена м2 базовая]]*наценкад5[[#This Row],[Базовой K]]</f>
        <v>87601.5</v>
      </c>
      <c r="O121" s="74"/>
      <c r="P121" s="74"/>
      <c r="Q121" s="74"/>
      <c r="R121" s="74"/>
      <c r="S121" s="74"/>
      <c r="T121" s="74"/>
      <c r="U121" s="74"/>
      <c r="V121" s="74">
        <f>коэффициенты!$H$11</f>
        <v>0.01</v>
      </c>
      <c r="W121" s="74"/>
      <c r="X121" s="74">
        <f>коэффициенты!$H$13</f>
        <v>0.01</v>
      </c>
      <c r="Y121" s="78">
        <f>коэффициенты!$H$15</f>
        <v>0.01</v>
      </c>
      <c r="Z121" s="74"/>
      <c r="AA121" s="74"/>
      <c r="AB121" s="74"/>
      <c r="AC121" s="74"/>
      <c r="AD121" s="74">
        <f>коэффициенты!$H$19</f>
        <v>0.01</v>
      </c>
      <c r="AE121" s="74"/>
      <c r="AF121" s="74"/>
      <c r="AG121" s="74"/>
      <c r="AH121" s="74"/>
      <c r="AI121" s="73">
        <f>SUM(наценкад5[[#This Row],[еврокухня]:[большая площадь]])*наценкад5[[#This Row],[Цена м2 с базовым K]]+наценкад5[[#This Row],[Цена м2 с базовым K]]</f>
        <v>91105.56</v>
      </c>
      <c r="AJ121" s="72">
        <f>VLOOKUP(наценкад5[[#This Row],[№]],ППД5[],COLUMN(ППД5[[#This Row],[утв цена м2]]),0)</f>
        <v>91105.56</v>
      </c>
      <c r="AK121" s="3">
        <f>наценкад5[[#This Row],[утв цена м2]]*наценкад5[[#This Row],[Расчетная проектная площадь]]</f>
        <v>2212042.9967999998</v>
      </c>
      <c r="AL121" s="22" t="str">
        <f>VLOOKUP(наценкад5[[#This Row],[№]],ППД5[],COLUMN('Реестр ОН'!$DF$1),0)</f>
        <v>Продажа</v>
      </c>
    </row>
    <row r="122" spans="1:38" hidden="1" x14ac:dyDescent="0.25">
      <c r="A122" s="101">
        <v>120</v>
      </c>
      <c r="B122" s="2" t="str">
        <f>_xlfn.XLOOKUP(наценкад5[[#This Row],[№]],ППД5[№],ППД5[Секция],"-",0)</f>
        <v>Б</v>
      </c>
      <c r="C122" s="2">
        <f>_xlfn.XLOOKUP(наценкад5[[#This Row],[№]],ППД5[№],ППД5[Этаж],"-",0)</f>
        <v>2</v>
      </c>
      <c r="D122" s="2">
        <f>_xlfn.XLOOKUP(наценкад5[[#This Row],[№]],ППД5[№],ППД5[№ на этаже],"-",0)</f>
        <v>3</v>
      </c>
      <c r="E122" s="2">
        <f>_xlfn.XLOOKUP(наценкад5[[#This Row],[№]],ППД5[№],ППД5[Тип кв],"-",0)</f>
        <v>2</v>
      </c>
      <c r="F122" s="72">
        <f>_xlfn.XLOOKUP(наценкад5[[#This Row],[№]],ППД5[№],ППД5[Кухня],"-",0)</f>
        <v>14.35</v>
      </c>
      <c r="G122" s="72">
        <f>_xlfn.XLOOKUP(наценкад5[[#This Row],[№]],ППД5[№],ППД5[Ванная],"-",0)</f>
        <v>3.68</v>
      </c>
      <c r="H122" s="72">
        <f>_xlfn.XLOOKUP(наценкад5[[#This Row],[№]],ППД5[№],ППД5[Гардеробная],"-",0)</f>
        <v>0</v>
      </c>
      <c r="I122" s="72">
        <f>_xlfn.XLOOKUP(наценкад5[[#This Row],[№]],ППД5[№],ППД5[Лоджия 2],"-",0)</f>
        <v>0</v>
      </c>
      <c r="J122" s="72">
        <f>_xlfn.XLOOKUP(наценкад5[[#This Row],[№]],ППД5[№],ППД5[С\У],"-",0)</f>
        <v>2.57</v>
      </c>
      <c r="K122" s="72">
        <f>_xlfn.XLOOKUP(наценкад5[[#This Row],[№]],ППД5[№],ППД5[Расчетная проектная площадь],"-",0)</f>
        <v>57.6</v>
      </c>
      <c r="L122" s="12">
        <f t="shared" si="1"/>
        <v>63000</v>
      </c>
      <c r="M122" s="102">
        <f>коэффициенты!$F$2</f>
        <v>1.2257</v>
      </c>
      <c r="N122" s="13">
        <f>наценкад5[[#This Row],[Цена м2 базовая]]*наценкад5[[#This Row],[Базовой K]]</f>
        <v>77219.100000000006</v>
      </c>
      <c r="O122" s="76">
        <f>коэффициенты!$F$4</f>
        <v>1.4999999999999999E-2</v>
      </c>
      <c r="P122" s="74"/>
      <c r="Q122" s="76"/>
      <c r="R122" s="76"/>
      <c r="S122" s="76">
        <f>коэффициенты!$F$9</f>
        <v>0</v>
      </c>
      <c r="T122" s="74"/>
      <c r="U122" s="74"/>
      <c r="V122" s="74"/>
      <c r="W122" s="75"/>
      <c r="X122" s="74"/>
      <c r="Y122" s="78">
        <f>коэффициенты!$F$15</f>
        <v>0.01</v>
      </c>
      <c r="Z122" s="74"/>
      <c r="AA122" s="74"/>
      <c r="AB122" s="74"/>
      <c r="AC122" s="74"/>
      <c r="AD122" s="74">
        <f>коэффициенты!$F$19</f>
        <v>5.0000000000000001E-3</v>
      </c>
      <c r="AE122" s="74"/>
      <c r="AF122" s="74"/>
      <c r="AG122" s="74"/>
      <c r="AH122" s="74"/>
      <c r="AI122" s="73">
        <f>SUM(наценкад5[[#This Row],[еврокухня]:[большая площадь]])*наценкад5[[#This Row],[Цена м2 с базовым K]]+наценкад5[[#This Row],[Цена м2 с базовым K]]</f>
        <v>79535.67300000001</v>
      </c>
      <c r="AJ122" s="72">
        <f>VLOOKUP(наценкад5[[#This Row],[№]],ППД5[],COLUMN(ППД5[[#This Row],[утв цена м2]]),0)</f>
        <v>122394.64</v>
      </c>
      <c r="AK122" s="3">
        <f>наценкад5[[#This Row],[утв цена м2]]*наценкад5[[#This Row],[Расчетная проектная площадь]]</f>
        <v>7049931.2640000004</v>
      </c>
      <c r="AL122" s="22" t="str">
        <f>VLOOKUP(наценкад5[[#This Row],[№]],ППД5[],COLUMN('Реестр ОН'!$DF$1),0)</f>
        <v>Продажа</v>
      </c>
    </row>
    <row r="123" spans="1:38" hidden="1" x14ac:dyDescent="0.25">
      <c r="A123" s="101">
        <v>121</v>
      </c>
      <c r="B123" s="2" t="str">
        <f>_xlfn.XLOOKUP(наценкад5[[#This Row],[№]],ППД5[№],ППД5[Секция],"-",0)</f>
        <v>Б</v>
      </c>
      <c r="C123" s="2">
        <f>_xlfn.XLOOKUP(наценкад5[[#This Row],[№]],ППД5[№],ППД5[Этаж],"-",0)</f>
        <v>2</v>
      </c>
      <c r="D123" s="2">
        <f>_xlfn.XLOOKUP(наценкад5[[#This Row],[№]],ППД5[№],ППД5[№ на этаже],"-",0)</f>
        <v>4</v>
      </c>
      <c r="E123" s="2">
        <f>_xlfn.XLOOKUP(наценкад5[[#This Row],[№]],ППД5[№],ППД5[Тип кв],"-",0)</f>
        <v>2</v>
      </c>
      <c r="F123" s="72">
        <f>_xlfn.XLOOKUP(наценкад5[[#This Row],[№]],ППД5[№],ППД5[Кухня],"-",0)</f>
        <v>11.95</v>
      </c>
      <c r="G123" s="72">
        <f>_xlfn.XLOOKUP(наценкад5[[#This Row],[№]],ППД5[№],ППД5[Ванная],"-",0)</f>
        <v>3.86</v>
      </c>
      <c r="H123" s="72">
        <f>_xlfn.XLOOKUP(наценкад5[[#This Row],[№]],ППД5[№],ППД5[Гардеробная],"-",0)</f>
        <v>0</v>
      </c>
      <c r="I123" s="72">
        <f>_xlfn.XLOOKUP(наценкад5[[#This Row],[№]],ППД5[№],ППД5[Лоджия 2],"-",0)</f>
        <v>0</v>
      </c>
      <c r="J123" s="72">
        <f>_xlfn.XLOOKUP(наценкад5[[#This Row],[№]],ППД5[№],ППД5[С\У],"-",0)</f>
        <v>2.37</v>
      </c>
      <c r="K123" s="72">
        <f>_xlfn.XLOOKUP(наценкад5[[#This Row],[№]],ППД5[№],ППД5[Расчетная проектная площадь],"-",0)</f>
        <v>58.31</v>
      </c>
      <c r="L123" s="12">
        <f t="shared" si="1"/>
        <v>63000</v>
      </c>
      <c r="M123" s="102">
        <f>коэффициенты!$F$2</f>
        <v>1.2257</v>
      </c>
      <c r="N123" s="13">
        <f>наценкад5[[#This Row],[Цена м2 базовая]]*наценкад5[[#This Row],[Базовой K]]</f>
        <v>77219.100000000006</v>
      </c>
      <c r="O123" s="74"/>
      <c r="P123" s="74">
        <f>коэффициенты!$F$5</f>
        <v>0.01</v>
      </c>
      <c r="Q123" s="76"/>
      <c r="R123" s="76"/>
      <c r="S123" s="76">
        <f>коэффициенты!$F$9</f>
        <v>0</v>
      </c>
      <c r="T123" s="76"/>
      <c r="U123" s="76"/>
      <c r="V123" s="76"/>
      <c r="W123" s="75"/>
      <c r="X123" s="76"/>
      <c r="Y123" s="78">
        <f>коэффициенты!$F$15</f>
        <v>0.01</v>
      </c>
      <c r="Z123" s="76"/>
      <c r="AA123" s="74">
        <f>коэффициенты!$F$14</f>
        <v>0.02</v>
      </c>
      <c r="AB123" s="76"/>
      <c r="AC123" s="76"/>
      <c r="AD123" s="74">
        <f>коэффициенты!$F$19</f>
        <v>5.0000000000000001E-3</v>
      </c>
      <c r="AE123" s="74"/>
      <c r="AF123" s="74"/>
      <c r="AG123" s="76"/>
      <c r="AH123" s="76"/>
      <c r="AI123" s="73">
        <f>SUM(наценкад5[[#This Row],[еврокухня]:[большая площадь]])*наценкад5[[#This Row],[Цена м2 с базовым K]]+наценкад5[[#This Row],[Цена м2 с базовым K]]</f>
        <v>80693.959500000012</v>
      </c>
      <c r="AJ123" s="72">
        <f>VLOOKUP(наценкад5[[#This Row],[№]],ППД5[],COLUMN(ППД5[[#This Row],[утв цена м2]]),0)</f>
        <v>124834.94</v>
      </c>
      <c r="AK123" s="3">
        <f>наценкад5[[#This Row],[утв цена м2]]*наценкад5[[#This Row],[Расчетная проектная площадь]]</f>
        <v>7279125.3514</v>
      </c>
      <c r="AL123" s="22" t="str">
        <f>VLOOKUP(наценкад5[[#This Row],[№]],ППД5[],COLUMN('Реестр ОН'!$DF$1),0)</f>
        <v>Свободно</v>
      </c>
    </row>
    <row r="124" spans="1:38" hidden="1" x14ac:dyDescent="0.25">
      <c r="A124" s="101">
        <v>122</v>
      </c>
      <c r="B124" s="2" t="str">
        <f>_xlfn.XLOOKUP(наценкад5[[#This Row],[№]],ППД5[№],ППД5[Секция],"-",0)</f>
        <v>Б</v>
      </c>
      <c r="C124" s="2">
        <f>_xlfn.XLOOKUP(наценкад5[[#This Row],[№]],ППД5[№],ППД5[Этаж],"-",0)</f>
        <v>2</v>
      </c>
      <c r="D124" s="2">
        <f>_xlfn.XLOOKUP(наценкад5[[#This Row],[№]],ППД5[№],ППД5[№ на этаже],"-",0)</f>
        <v>5</v>
      </c>
      <c r="E124" s="2">
        <f>_xlfn.XLOOKUP(наценкад5[[#This Row],[№]],ППД5[№],ППД5[Тип кв],"-",0)</f>
        <v>1</v>
      </c>
      <c r="F124" s="72">
        <f>_xlfn.XLOOKUP(наценкад5[[#This Row],[№]],ППД5[№],ППД5[Кухня],"-",0)</f>
        <v>13.18</v>
      </c>
      <c r="G124" s="72">
        <f>_xlfn.XLOOKUP(наценкад5[[#This Row],[№]],ППД5[№],ППД5[Ванная],"-",0)</f>
        <v>4.1100000000000003</v>
      </c>
      <c r="H124" s="72">
        <f>_xlfn.XLOOKUP(наценкад5[[#This Row],[№]],ППД5[№],ППД5[Гардеробная],"-",0)</f>
        <v>0</v>
      </c>
      <c r="I124" s="72">
        <f>_xlfn.XLOOKUP(наценкад5[[#This Row],[№]],ППД5[№],ППД5[Лоджия 2],"-",0)</f>
        <v>0</v>
      </c>
      <c r="J124" s="72">
        <f>_xlfn.XLOOKUP(наценкад5[[#This Row],[№]],ППД5[№],ППД5[С\У],"-",0)</f>
        <v>0</v>
      </c>
      <c r="K124" s="72">
        <f>_xlfn.XLOOKUP(наценкад5[[#This Row],[№]],ППД5[№],ППД5[Расчетная проектная площадь],"-",0)</f>
        <v>37.86</v>
      </c>
      <c r="L124" s="12">
        <f t="shared" si="1"/>
        <v>63000</v>
      </c>
      <c r="M124" s="102">
        <f>коэффициенты!$G$2</f>
        <v>1.2875000000000001</v>
      </c>
      <c r="N124" s="13">
        <f>наценкад5[[#This Row],[Цена м2 базовая]]*наценкад5[[#This Row],[Базовой K]]</f>
        <v>81112.5</v>
      </c>
      <c r="O124" s="74"/>
      <c r="P124" s="76">
        <f>коэффициенты!$G$5</f>
        <v>0.01</v>
      </c>
      <c r="Q124" s="74">
        <f>коэффициенты!$G$6</f>
        <v>0.03</v>
      </c>
      <c r="R124" s="74"/>
      <c r="S124" s="74"/>
      <c r="T124" s="74"/>
      <c r="U124" s="74"/>
      <c r="V124" s="74">
        <f>коэффициенты!$G$11</f>
        <v>0.01</v>
      </c>
      <c r="W124" s="74"/>
      <c r="X124" s="74">
        <f>коэффициенты!$G$13</f>
        <v>0.01</v>
      </c>
      <c r="Y124" s="78">
        <f>коэффициенты!$G$15</f>
        <v>0.01</v>
      </c>
      <c r="Z124" s="74"/>
      <c r="AA124" s="74">
        <f>коэффициенты!$G$14</f>
        <v>0.01</v>
      </c>
      <c r="AB124" s="74"/>
      <c r="AC124" s="74"/>
      <c r="AD124" s="74">
        <f>коэффициенты!$G$19</f>
        <v>0.01</v>
      </c>
      <c r="AE124" s="74"/>
      <c r="AF124" s="74"/>
      <c r="AG124" s="74"/>
      <c r="AH124" s="74"/>
      <c r="AI124" s="73">
        <f>SUM(наценкад5[[#This Row],[еврокухня]:[большая площадь]])*наценкад5[[#This Row],[Цена м2 с базовым K]]+наценкад5[[#This Row],[Цена м2 с базовым K]]</f>
        <v>88412.625</v>
      </c>
      <c r="AJ124" s="72">
        <f>VLOOKUP(наценкад5[[#This Row],[№]],ППД5[],COLUMN(ППД5[[#This Row],[утв цена м2]]),0)</f>
        <v>119235.51</v>
      </c>
      <c r="AK124" s="3">
        <f>наценкад5[[#This Row],[утв цена м2]]*наценкад5[[#This Row],[Расчетная проектная площадь]]</f>
        <v>4514256.4085999997</v>
      </c>
      <c r="AL124" s="22" t="str">
        <f>VLOOKUP(наценкад5[[#This Row],[№]],ППД5[],COLUMN('Реестр ОН'!$DF$1),0)</f>
        <v>Продажа</v>
      </c>
    </row>
    <row r="125" spans="1:38" hidden="1" x14ac:dyDescent="0.25">
      <c r="A125" s="101">
        <v>123</v>
      </c>
      <c r="B125" s="2" t="str">
        <f>_xlfn.XLOOKUP(наценкад5[[#This Row],[№]],ППД5[№],ППД5[Секция],"-",0)</f>
        <v>Б</v>
      </c>
      <c r="C125" s="2">
        <f>_xlfn.XLOOKUP(наценкад5[[#This Row],[№]],ППД5[№],ППД5[Этаж],"-",0)</f>
        <v>2</v>
      </c>
      <c r="D125" s="2">
        <f>_xlfn.XLOOKUP(наценкад5[[#This Row],[№]],ППД5[№],ППД5[№ на этаже],"-",0)</f>
        <v>6</v>
      </c>
      <c r="E125" s="2">
        <f>_xlfn.XLOOKUP(наценкад5[[#This Row],[№]],ППД5[№],ППД5[Тип кв],"-",0)</f>
        <v>3</v>
      </c>
      <c r="F125" s="3">
        <f>_xlfn.XLOOKUP(наценкад5[[#This Row],[№]],ППД5[№],ППД5[Кухня],"-",0)</f>
        <v>13.39</v>
      </c>
      <c r="G125" s="72">
        <f>_xlfn.XLOOKUP(наценкад5[[#This Row],[№]],ППД5[№],ППД5[Ванная],"-",0)</f>
        <v>4.2</v>
      </c>
      <c r="H125" s="72">
        <f>_xlfn.XLOOKUP(наценкад5[[#This Row],[№]],ППД5[№],ППД5[Гардеробная],"-",0)</f>
        <v>0</v>
      </c>
      <c r="I125" s="72">
        <f>_xlfn.XLOOKUP(наценкад5[[#This Row],[№]],ППД5[№],ППД5[Лоджия 2],"-",0)</f>
        <v>2.68</v>
      </c>
      <c r="J125" s="72">
        <f>_xlfn.XLOOKUP(наценкад5[[#This Row],[№]],ППД5[№],ППД5[С\У],"-",0)</f>
        <v>2.0499999999999998</v>
      </c>
      <c r="K125" s="72">
        <f>_xlfn.XLOOKUP(наценкад5[[#This Row],[№]],ППД5[№],ППД5[Расчетная проектная площадь],"-",0)</f>
        <v>84.99</v>
      </c>
      <c r="L125" s="12">
        <f t="shared" si="1"/>
        <v>63000</v>
      </c>
      <c r="M125" s="27">
        <f>коэффициенты!$E$2</f>
        <v>1.1330000000000002</v>
      </c>
      <c r="N125" s="13">
        <f>наценкад5[[#This Row],[Цена м2 базовая]]*наценкад5[[#This Row],[Базовой K]]</f>
        <v>71379.000000000015</v>
      </c>
      <c r="O125" s="74"/>
      <c r="P125" s="74">
        <f>коэффициенты!$E$5</f>
        <v>0</v>
      </c>
      <c r="Q125" s="74">
        <f>коэффициенты!$E$6</f>
        <v>0.01</v>
      </c>
      <c r="R125" s="74"/>
      <c r="S125" s="74">
        <f>коэффициенты!$E$9</f>
        <v>0</v>
      </c>
      <c r="T125" s="74">
        <f>коэффициенты!$E$7</f>
        <v>0</v>
      </c>
      <c r="U125" s="74"/>
      <c r="V125" s="74"/>
      <c r="W125" s="74"/>
      <c r="X125" s="74"/>
      <c r="Y125" s="78">
        <f>коэффициенты!$A$15</f>
        <v>0.01</v>
      </c>
      <c r="Z125" s="74"/>
      <c r="AA125" s="74">
        <f>коэффициенты!$E$14</f>
        <v>0</v>
      </c>
      <c r="AB125" s="74">
        <f>коэффициенты!$E$17</f>
        <v>0</v>
      </c>
      <c r="AC125" s="74"/>
      <c r="AD125" s="76"/>
      <c r="AE125" s="76"/>
      <c r="AF125" s="76"/>
      <c r="AG125" s="74"/>
      <c r="AH125" s="74">
        <f>'отрицательный кф'!$O$33</f>
        <v>0</v>
      </c>
      <c r="AI125" s="73">
        <f>SUM(наценкад5[[#This Row],[еврокухня]:[большая площадь]])*наценкад5[[#This Row],[Цена м2 с базовым K]]+наценкад5[[#This Row],[Цена м2 с базовым K]]</f>
        <v>72806.580000000016</v>
      </c>
      <c r="AJ125" s="72">
        <f>VLOOKUP(наценкад5[[#This Row],[№]],ППД5[],COLUMN(ППД5[[#This Row],[утв цена м2]]),0)</f>
        <v>112132.74</v>
      </c>
      <c r="AK125" s="3">
        <f>наценкад5[[#This Row],[утв цена м2]]*наценкад5[[#This Row],[Расчетная проектная площадь]]</f>
        <v>9530161.5725999996</v>
      </c>
      <c r="AL125" s="22" t="str">
        <f>VLOOKUP(наценкад5[[#This Row],[№]],ППД5[],COLUMN('Реестр ОН'!$DF$1),0)</f>
        <v>Продажа</v>
      </c>
    </row>
    <row r="126" spans="1:38" hidden="1" x14ac:dyDescent="0.25">
      <c r="A126" s="101">
        <v>124</v>
      </c>
      <c r="B126" s="2" t="str">
        <f>_xlfn.XLOOKUP(наценкад5[[#This Row],[№]],ППД5[№],ППД5[Секция],"-",0)</f>
        <v>Б</v>
      </c>
      <c r="C126" s="2">
        <f>_xlfn.XLOOKUP(наценкад5[[#This Row],[№]],ППД5[№],ППД5[Этаж],"-",0)</f>
        <v>2</v>
      </c>
      <c r="D126" s="2">
        <f>_xlfn.XLOOKUP(наценкад5[[#This Row],[№]],ППД5[№],ППД5[№ на этаже],"-",0)</f>
        <v>7</v>
      </c>
      <c r="E126" s="2">
        <f>_xlfn.XLOOKUP(наценкад5[[#This Row],[№]],ППД5[№],ППД5[Тип кв],"-",0)</f>
        <v>1</v>
      </c>
      <c r="F126" s="72">
        <f>_xlfn.XLOOKUP(наценкад5[[#This Row],[№]],ППД5[№],ППД5[Кухня],"-",0)</f>
        <v>13.04</v>
      </c>
      <c r="G126" s="72">
        <f>_xlfn.XLOOKUP(наценкад5[[#This Row],[№]],ППД5[№],ППД5[Ванная],"-",0)</f>
        <v>3.9</v>
      </c>
      <c r="H126" s="72">
        <f>_xlfn.XLOOKUP(наценкад5[[#This Row],[№]],ППД5[№],ППД5[Гардеробная],"-",0)</f>
        <v>0</v>
      </c>
      <c r="I126" s="72">
        <f>_xlfn.XLOOKUP(наценкад5[[#This Row],[№]],ППД5[№],ППД5[Лоджия 2],"-",0)</f>
        <v>0</v>
      </c>
      <c r="J126" s="72">
        <f>_xlfn.XLOOKUP(наценкад5[[#This Row],[№]],ППД5[№],ППД5[С\У],"-",0)</f>
        <v>0</v>
      </c>
      <c r="K126" s="72">
        <f>_xlfn.XLOOKUP(наценкад5[[#This Row],[№]],ППД5[№],ППД5[Расчетная проектная площадь],"-",0)</f>
        <v>42.28</v>
      </c>
      <c r="L126" s="12">
        <f t="shared" si="1"/>
        <v>63000</v>
      </c>
      <c r="M126" s="102">
        <f>коэффициенты!$G$2</f>
        <v>1.2875000000000001</v>
      </c>
      <c r="N126" s="13">
        <f>наценкад5[[#This Row],[Цена м2 базовая]]*наценкад5[[#This Row],[Базовой K]]</f>
        <v>81112.5</v>
      </c>
      <c r="O126" s="74"/>
      <c r="P126" s="76">
        <f>коэффициенты!$G$5</f>
        <v>0.01</v>
      </c>
      <c r="Q126" s="74"/>
      <c r="R126" s="74"/>
      <c r="S126" s="74"/>
      <c r="T126" s="74"/>
      <c r="U126" s="74"/>
      <c r="V126" s="74">
        <f>коэффициенты!$G$11</f>
        <v>0.01</v>
      </c>
      <c r="W126" s="74"/>
      <c r="X126" s="74"/>
      <c r="Y126" s="78">
        <f>коэффициенты!$G$15</f>
        <v>0.01</v>
      </c>
      <c r="Z126" s="74"/>
      <c r="AA126" s="74">
        <f>коэффициенты!$G$14</f>
        <v>0.01</v>
      </c>
      <c r="AB126" s="74"/>
      <c r="AC126" s="74"/>
      <c r="AD126" s="74">
        <f>коэффициенты!$G$19</f>
        <v>0.01</v>
      </c>
      <c r="AE126" s="74"/>
      <c r="AF126" s="74"/>
      <c r="AG126" s="74">
        <f>коэффициенты!$A$24</f>
        <v>-5.0000000000000001E-3</v>
      </c>
      <c r="AH126" s="74"/>
      <c r="AI126" s="73">
        <f>SUM(наценкад5[[#This Row],[еврокухня]:[большая площадь]])*наценкад5[[#This Row],[Цена м2 с базовым K]]+наценкад5[[#This Row],[Цена м2 с базовым K]]</f>
        <v>84762.5625</v>
      </c>
      <c r="AJ126" s="72">
        <f>VLOOKUP(наценкад5[[#This Row],[№]],ППД5[],COLUMN(ППД5[[#This Row],[утв цена м2]]),0)</f>
        <v>84762.559999999998</v>
      </c>
      <c r="AK126" s="3">
        <f>наценкад5[[#This Row],[утв цена м2]]*наценкад5[[#This Row],[Расчетная проектная площадь]]</f>
        <v>3583761.0367999999</v>
      </c>
      <c r="AL126" s="22" t="str">
        <f>VLOOKUP(наценкад5[[#This Row],[№]],ППД5[],COLUMN('Реестр ОН'!$DF$1),0)</f>
        <v>Продажа</v>
      </c>
    </row>
    <row r="127" spans="1:38" hidden="1" x14ac:dyDescent="0.25">
      <c r="A127" s="101">
        <v>125</v>
      </c>
      <c r="B127" s="2" t="str">
        <f>_xlfn.XLOOKUP(наценкад5[[#This Row],[№]],ППД5[№],ППД5[Секция],"-",0)</f>
        <v>Б</v>
      </c>
      <c r="C127" s="2">
        <f>_xlfn.XLOOKUP(наценкад5[[#This Row],[№]],ППД5[№],ППД5[Этаж],"-",0)</f>
        <v>3</v>
      </c>
      <c r="D127" s="2">
        <f>_xlfn.XLOOKUP(наценкад5[[#This Row],[№]],ППД5[№],ППД5[№ на этаже],"-",0)</f>
        <v>1</v>
      </c>
      <c r="E127" s="2">
        <f>_xlfn.XLOOKUP(наценкад5[[#This Row],[№]],ППД5[№],ППД5[Тип кв],"-",0)</f>
        <v>2</v>
      </c>
      <c r="F127" s="72">
        <f>_xlfn.XLOOKUP(наценкад5[[#This Row],[№]],ППД5[№],ППД5[Кухня],"-",0)</f>
        <v>15.31</v>
      </c>
      <c r="G127" s="72">
        <f>_xlfn.XLOOKUP(наценкад5[[#This Row],[№]],ППД5[№],ППД5[Ванная],"-",0)</f>
        <v>3.85</v>
      </c>
      <c r="H127" s="72">
        <f>_xlfn.XLOOKUP(наценкад5[[#This Row],[№]],ППД5[№],ППД5[Гардеробная],"-",0)</f>
        <v>0</v>
      </c>
      <c r="I127" s="72">
        <f>_xlfn.XLOOKUP(наценкад5[[#This Row],[№]],ППД5[№],ППД5[Лоджия 2],"-",0)</f>
        <v>0</v>
      </c>
      <c r="J127" s="72">
        <f>_xlfn.XLOOKUP(наценкад5[[#This Row],[№]],ППД5[№],ППД5[С\У],"-",0)</f>
        <v>2.2999999999999998</v>
      </c>
      <c r="K127" s="72">
        <f>_xlfn.XLOOKUP(наценкад5[[#This Row],[№]],ППД5[№],ППД5[Расчетная проектная площадь],"-",0)</f>
        <v>60.22</v>
      </c>
      <c r="L127" s="12">
        <f t="shared" si="1"/>
        <v>63000</v>
      </c>
      <c r="M127" s="102">
        <f>коэффициенты!$F$2</f>
        <v>1.2257</v>
      </c>
      <c r="N127" s="13">
        <f>наценкад5[[#This Row],[Цена м2 базовая]]*наценкад5[[#This Row],[Базовой K]]</f>
        <v>77219.100000000006</v>
      </c>
      <c r="O127" s="76">
        <f>коэффициенты!$F$4</f>
        <v>1.4999999999999999E-2</v>
      </c>
      <c r="P127" s="74"/>
      <c r="Q127" s="76"/>
      <c r="R127" s="76"/>
      <c r="S127" s="76">
        <f>коэффициенты!$F$9</f>
        <v>0</v>
      </c>
      <c r="T127" s="74"/>
      <c r="U127" s="74"/>
      <c r="V127" s="74"/>
      <c r="W127" s="74"/>
      <c r="X127" s="74">
        <f>коэффициенты!$F$13</f>
        <v>0.02</v>
      </c>
      <c r="Y127" s="78">
        <f>коэффициенты!$F$15</f>
        <v>0.01</v>
      </c>
      <c r="Z127" s="74"/>
      <c r="AA127" s="74"/>
      <c r="AB127" s="74"/>
      <c r="AC127" s="74"/>
      <c r="AD127" s="74">
        <f>коэффициенты!$F$19</f>
        <v>5.0000000000000001E-3</v>
      </c>
      <c r="AE127" s="74"/>
      <c r="AF127" s="74"/>
      <c r="AG127" s="74"/>
      <c r="AH127" s="74"/>
      <c r="AI127" s="73">
        <f>SUM(наценкад5[[#This Row],[еврокухня]:[большая площадь]])*наценкад5[[#This Row],[Цена м2 с базовым K]]+наценкад5[[#This Row],[Цена м2 с базовым K]]</f>
        <v>81080.055000000008</v>
      </c>
      <c r="AJ127" s="72">
        <f>VLOOKUP(наценкад5[[#This Row],[№]],ППД5[],COLUMN(ППД5[[#This Row],[утв цена м2]]),0)</f>
        <v>122365.64</v>
      </c>
      <c r="AK127" s="3">
        <f>наценкад5[[#This Row],[утв цена м2]]*наценкад5[[#This Row],[Расчетная проектная площадь]]</f>
        <v>7368858.8407999994</v>
      </c>
      <c r="AL127" s="22" t="str">
        <f>VLOOKUP(наценкад5[[#This Row],[№]],ППД5[],COLUMN('Реестр ОН'!$DF$1),0)</f>
        <v>Продажа</v>
      </c>
    </row>
    <row r="128" spans="1:38" hidden="1" x14ac:dyDescent="0.25">
      <c r="A128" s="101">
        <v>126</v>
      </c>
      <c r="B128" s="2" t="str">
        <f>_xlfn.XLOOKUP(наценкад5[[#This Row],[№]],ППД5[№],ППД5[Секция],"-",0)</f>
        <v>Б</v>
      </c>
      <c r="C128" s="2">
        <f>_xlfn.XLOOKUP(наценкад5[[#This Row],[№]],ППД5[№],ППД5[Этаж],"-",0)</f>
        <v>3</v>
      </c>
      <c r="D128" s="2">
        <f>_xlfn.XLOOKUP(наценкад5[[#This Row],[№]],ППД5[№],ППД5[№ на этаже],"-",0)</f>
        <v>2</v>
      </c>
      <c r="E128" s="2">
        <f>_xlfn.XLOOKUP(наценкад5[[#This Row],[№]],ППД5[№],ППД5[Тип кв],"-",0)</f>
        <v>0</v>
      </c>
      <c r="F128" s="72">
        <f>_xlfn.XLOOKUP(наценкад5[[#This Row],[№]],ППД5[№],ППД5[Кухня],"-",0)</f>
        <v>5.12</v>
      </c>
      <c r="G128" s="72">
        <f>_xlfn.XLOOKUP(наценкад5[[#This Row],[№]],ППД5[№],ППД5[Ванная],"-",0)</f>
        <v>3.65</v>
      </c>
      <c r="H128" s="72">
        <f>_xlfn.XLOOKUP(наценкад5[[#This Row],[№]],ППД5[№],ППД5[Гардеробная],"-",0)</f>
        <v>0</v>
      </c>
      <c r="I128" s="72">
        <f>_xlfn.XLOOKUP(наценкад5[[#This Row],[№]],ППД5[№],ППД5[Лоджия 2],"-",0)</f>
        <v>0</v>
      </c>
      <c r="J128" s="72">
        <f>_xlfn.XLOOKUP(наценкад5[[#This Row],[№]],ППД5[№],ППД5[С\У],"-",0)</f>
        <v>0</v>
      </c>
      <c r="K128" s="72">
        <f>_xlfn.XLOOKUP(наценкад5[[#This Row],[№]],ППД5[№],ППД5[Расчетная проектная площадь],"-",0)</f>
        <v>24.28</v>
      </c>
      <c r="L128" s="12">
        <f t="shared" si="1"/>
        <v>63000</v>
      </c>
      <c r="M128" s="116">
        <f>коэффициенты!$H$2</f>
        <v>1.3905000000000001</v>
      </c>
      <c r="N128" s="13">
        <f>наценкад5[[#This Row],[Цена м2 базовая]]*наценкад5[[#This Row],[Базовой K]]</f>
        <v>87601.5</v>
      </c>
      <c r="O128" s="74"/>
      <c r="P128" s="74"/>
      <c r="Q128" s="74"/>
      <c r="R128" s="74"/>
      <c r="S128" s="74"/>
      <c r="T128" s="74"/>
      <c r="U128" s="74"/>
      <c r="V128" s="74">
        <f>коэффициенты!$H$11</f>
        <v>0.01</v>
      </c>
      <c r="W128" s="74"/>
      <c r="X128" s="74">
        <f>коэффициенты!$H$13</f>
        <v>0.01</v>
      </c>
      <c r="Y128" s="78">
        <f>коэффициенты!$H$15</f>
        <v>0.01</v>
      </c>
      <c r="Z128" s="74"/>
      <c r="AA128" s="74"/>
      <c r="AB128" s="74"/>
      <c r="AC128" s="74"/>
      <c r="AD128" s="74">
        <f>коэффициенты!$H$19</f>
        <v>0.01</v>
      </c>
      <c r="AE128" s="74"/>
      <c r="AF128" s="74"/>
      <c r="AG128" s="74"/>
      <c r="AH128" s="74"/>
      <c r="AI128" s="73">
        <f>SUM(наценкад5[[#This Row],[еврокухня]:[большая площадь]])*наценкад5[[#This Row],[Цена м2 с базовым K]]+наценкад5[[#This Row],[Цена м2 с базовым K]]</f>
        <v>91105.56</v>
      </c>
      <c r="AJ128" s="72">
        <f>VLOOKUP(наценкад5[[#This Row],[№]],ППД5[],COLUMN(ППД5[[#This Row],[утв цена м2]]),0)</f>
        <v>128639.6</v>
      </c>
      <c r="AK128" s="3">
        <f>наценкад5[[#This Row],[утв цена м2]]*наценкад5[[#This Row],[Расчетная проектная площадь]]</f>
        <v>3123369.4880000004</v>
      </c>
      <c r="AL128" s="22" t="str">
        <f>VLOOKUP(наценкад5[[#This Row],[№]],ППД5[],COLUMN('Реестр ОН'!$DF$1),0)</f>
        <v>Продажа</v>
      </c>
    </row>
    <row r="129" spans="1:38" hidden="1" x14ac:dyDescent="0.25">
      <c r="A129" s="101">
        <v>127</v>
      </c>
      <c r="B129" s="2" t="str">
        <f>_xlfn.XLOOKUP(наценкад5[[#This Row],[№]],ППД5[№],ППД5[Секция],"-",0)</f>
        <v>Б</v>
      </c>
      <c r="C129" s="2">
        <f>_xlfn.XLOOKUP(наценкад5[[#This Row],[№]],ППД5[№],ППД5[Этаж],"-",0)</f>
        <v>3</v>
      </c>
      <c r="D129" s="2">
        <f>_xlfn.XLOOKUP(наценкад5[[#This Row],[№]],ППД5[№],ППД5[№ на этаже],"-",0)</f>
        <v>3</v>
      </c>
      <c r="E129" s="2">
        <f>_xlfn.XLOOKUP(наценкад5[[#This Row],[№]],ППД5[№],ППД5[Тип кв],"-",0)</f>
        <v>2</v>
      </c>
      <c r="F129" s="72">
        <f>_xlfn.XLOOKUP(наценкад5[[#This Row],[№]],ППД5[№],ППД5[Кухня],"-",0)</f>
        <v>14.35</v>
      </c>
      <c r="G129" s="72">
        <f>_xlfn.XLOOKUP(наценкад5[[#This Row],[№]],ППД5[№],ППД5[Ванная],"-",0)</f>
        <v>3.68</v>
      </c>
      <c r="H129" s="72">
        <f>_xlfn.XLOOKUP(наценкад5[[#This Row],[№]],ППД5[№],ППД5[Гардеробная],"-",0)</f>
        <v>0</v>
      </c>
      <c r="I129" s="72">
        <f>_xlfn.XLOOKUP(наценкад5[[#This Row],[№]],ППД5[№],ППД5[Лоджия 2],"-",0)</f>
        <v>0</v>
      </c>
      <c r="J129" s="72">
        <f>_xlfn.XLOOKUP(наценкад5[[#This Row],[№]],ППД5[№],ППД5[С\У],"-",0)</f>
        <v>2.57</v>
      </c>
      <c r="K129" s="72">
        <f>_xlfn.XLOOKUP(наценкад5[[#This Row],[№]],ППД5[№],ППД5[Расчетная проектная площадь],"-",0)</f>
        <v>57.6</v>
      </c>
      <c r="L129" s="12">
        <f t="shared" si="1"/>
        <v>63000</v>
      </c>
      <c r="M129" s="102">
        <f>коэффициенты!$F$2</f>
        <v>1.2257</v>
      </c>
      <c r="N129" s="13">
        <f>наценкад5[[#This Row],[Цена м2 базовая]]*наценкад5[[#This Row],[Базовой K]]</f>
        <v>77219.100000000006</v>
      </c>
      <c r="O129" s="76">
        <f>коэффициенты!$F$4</f>
        <v>1.4999999999999999E-2</v>
      </c>
      <c r="P129" s="74"/>
      <c r="Q129" s="76"/>
      <c r="R129" s="76"/>
      <c r="S129" s="76">
        <f>коэффициенты!$F$9</f>
        <v>0</v>
      </c>
      <c r="T129" s="74"/>
      <c r="U129" s="74"/>
      <c r="V129" s="74"/>
      <c r="W129" s="75"/>
      <c r="X129" s="74"/>
      <c r="Y129" s="78">
        <f>коэффициенты!$F$15</f>
        <v>0.01</v>
      </c>
      <c r="Z129" s="74"/>
      <c r="AA129" s="74"/>
      <c r="AB129" s="74"/>
      <c r="AC129" s="74"/>
      <c r="AD129" s="74">
        <f>коэффициенты!$F$19</f>
        <v>5.0000000000000001E-3</v>
      </c>
      <c r="AE129" s="74"/>
      <c r="AF129" s="74"/>
      <c r="AG129" s="74"/>
      <c r="AH129" s="74"/>
      <c r="AI129" s="73">
        <f>SUM(наценкад5[[#This Row],[еврокухня]:[большая площадь]])*наценкад5[[#This Row],[Цена м2 с базовым K]]+наценкад5[[#This Row],[Цена м2 с базовым K]]</f>
        <v>79535.67300000001</v>
      </c>
      <c r="AJ129" s="72">
        <f>VLOOKUP(наценкад5[[#This Row],[№]],ППД5[],COLUMN(ППД5[[#This Row],[утв цена м2]]),0)</f>
        <v>95856.35</v>
      </c>
      <c r="AK129" s="3">
        <f>наценкад5[[#This Row],[утв цена м2]]*наценкад5[[#This Row],[Расчетная проектная площадь]]</f>
        <v>5521325.7600000007</v>
      </c>
      <c r="AL129" s="22" t="str">
        <f>VLOOKUP(наценкад5[[#This Row],[№]],ППД5[],COLUMN('Реестр ОН'!$DF$1),0)</f>
        <v>Продажа</v>
      </c>
    </row>
    <row r="130" spans="1:38" hidden="1" x14ac:dyDescent="0.25">
      <c r="A130" s="101">
        <v>128</v>
      </c>
      <c r="B130" s="2" t="str">
        <f>_xlfn.XLOOKUP(наценкад5[[#This Row],[№]],ППД5[№],ППД5[Секция],"-",0)</f>
        <v>Б</v>
      </c>
      <c r="C130" s="2">
        <f>_xlfn.XLOOKUP(наценкад5[[#This Row],[№]],ППД5[№],ППД5[Этаж],"-",0)</f>
        <v>3</v>
      </c>
      <c r="D130" s="2">
        <f>_xlfn.XLOOKUP(наценкад5[[#This Row],[№]],ППД5[№],ППД5[№ на этаже],"-",0)</f>
        <v>4</v>
      </c>
      <c r="E130" s="2">
        <f>_xlfn.XLOOKUP(наценкад5[[#This Row],[№]],ППД5[№],ППД5[Тип кв],"-",0)</f>
        <v>2</v>
      </c>
      <c r="F130" s="72">
        <f>_xlfn.XLOOKUP(наценкад5[[#This Row],[№]],ППД5[№],ППД5[Кухня],"-",0)</f>
        <v>11.95</v>
      </c>
      <c r="G130" s="72">
        <f>_xlfn.XLOOKUP(наценкад5[[#This Row],[№]],ППД5[№],ППД5[Ванная],"-",0)</f>
        <v>3.86</v>
      </c>
      <c r="H130" s="72">
        <f>_xlfn.XLOOKUP(наценкад5[[#This Row],[№]],ППД5[№],ППД5[Гардеробная],"-",0)</f>
        <v>0</v>
      </c>
      <c r="I130" s="72">
        <f>_xlfn.XLOOKUP(наценкад5[[#This Row],[№]],ППД5[№],ППД5[Лоджия 2],"-",0)</f>
        <v>0</v>
      </c>
      <c r="J130" s="72">
        <f>_xlfn.XLOOKUP(наценкад5[[#This Row],[№]],ППД5[№],ППД5[С\У],"-",0)</f>
        <v>2.37</v>
      </c>
      <c r="K130" s="72">
        <f>_xlfn.XLOOKUP(наценкад5[[#This Row],[№]],ППД5[№],ППД5[Расчетная проектная площадь],"-",0)</f>
        <v>58.31</v>
      </c>
      <c r="L130" s="12">
        <f t="shared" si="1"/>
        <v>63000</v>
      </c>
      <c r="M130" s="102">
        <f>коэффициенты!$F$2</f>
        <v>1.2257</v>
      </c>
      <c r="N130" s="13">
        <f>наценкад5[[#This Row],[Цена м2 базовая]]*наценкад5[[#This Row],[Базовой K]]</f>
        <v>77219.100000000006</v>
      </c>
      <c r="O130" s="74"/>
      <c r="P130" s="74">
        <f>коэффициенты!$F$5</f>
        <v>0.01</v>
      </c>
      <c r="Q130" s="76"/>
      <c r="R130" s="76"/>
      <c r="S130" s="76">
        <f>коэффициенты!$F$9</f>
        <v>0</v>
      </c>
      <c r="T130" s="74"/>
      <c r="U130" s="74"/>
      <c r="V130" s="74"/>
      <c r="W130" s="75"/>
      <c r="X130" s="76"/>
      <c r="Y130" s="78">
        <f>коэффициенты!$F$15</f>
        <v>0.01</v>
      </c>
      <c r="Z130" s="74"/>
      <c r="AA130" s="74">
        <f>коэффициенты!$F$14</f>
        <v>0.02</v>
      </c>
      <c r="AB130" s="74"/>
      <c r="AC130" s="74"/>
      <c r="AD130" s="74">
        <f>коэффициенты!$F$19</f>
        <v>5.0000000000000001E-3</v>
      </c>
      <c r="AE130" s="74"/>
      <c r="AF130" s="74"/>
      <c r="AG130" s="74"/>
      <c r="AH130" s="74"/>
      <c r="AI130" s="73">
        <f>SUM(наценкад5[[#This Row],[еврокухня]:[большая площадь]])*наценкад5[[#This Row],[Цена м2 с базовым K]]+наценкад5[[#This Row],[Цена м2 с базовым K]]</f>
        <v>80693.959500000012</v>
      </c>
      <c r="AJ130" s="72">
        <f>VLOOKUP(наценкад5[[#This Row],[№]],ППД5[],COLUMN(ППД5[[#This Row],[утв цена м2]]),0)</f>
        <v>94401.39</v>
      </c>
      <c r="AK130" s="3">
        <f>наценкад5[[#This Row],[утв цена м2]]*наценкад5[[#This Row],[Расчетная проектная площадь]]</f>
        <v>5504545.0509000001</v>
      </c>
      <c r="AL130" s="22" t="str">
        <f>VLOOKUP(наценкад5[[#This Row],[№]],ППД5[],COLUMN('Реестр ОН'!$DF$1),0)</f>
        <v>Продажа</v>
      </c>
    </row>
    <row r="131" spans="1:38" hidden="1" x14ac:dyDescent="0.25">
      <c r="A131" s="101">
        <v>129</v>
      </c>
      <c r="B131" s="2" t="str">
        <f>_xlfn.XLOOKUP(наценкад5[[#This Row],[№]],ППД5[№],ППД5[Секция],"-",0)</f>
        <v>Б</v>
      </c>
      <c r="C131" s="2">
        <f>_xlfn.XLOOKUP(наценкад5[[#This Row],[№]],ППД5[№],ППД5[Этаж],"-",0)</f>
        <v>3</v>
      </c>
      <c r="D131" s="2">
        <f>_xlfn.XLOOKUP(наценкад5[[#This Row],[№]],ППД5[№],ППД5[№ на этаже],"-",0)</f>
        <v>5</v>
      </c>
      <c r="E131" s="2">
        <f>_xlfn.XLOOKUP(наценкад5[[#This Row],[№]],ППД5[№],ППД5[Тип кв],"-",0)</f>
        <v>1</v>
      </c>
      <c r="F131" s="72">
        <f>_xlfn.XLOOKUP(наценкад5[[#This Row],[№]],ППД5[№],ППД5[Кухня],"-",0)</f>
        <v>13.18</v>
      </c>
      <c r="G131" s="72">
        <f>_xlfn.XLOOKUP(наценкад5[[#This Row],[№]],ППД5[№],ППД5[Ванная],"-",0)</f>
        <v>4.1100000000000003</v>
      </c>
      <c r="H131" s="72">
        <f>_xlfn.XLOOKUP(наценкад5[[#This Row],[№]],ППД5[№],ППД5[Гардеробная],"-",0)</f>
        <v>0</v>
      </c>
      <c r="I131" s="72">
        <f>_xlfn.XLOOKUP(наценкад5[[#This Row],[№]],ППД5[№],ППД5[Лоджия 2],"-",0)</f>
        <v>0</v>
      </c>
      <c r="J131" s="72">
        <f>_xlfn.XLOOKUP(наценкад5[[#This Row],[№]],ППД5[№],ППД5[С\У],"-",0)</f>
        <v>0</v>
      </c>
      <c r="K131" s="72">
        <f>_xlfn.XLOOKUP(наценкад5[[#This Row],[№]],ППД5[№],ППД5[Расчетная проектная площадь],"-",0)</f>
        <v>37.86</v>
      </c>
      <c r="L131" s="12">
        <f t="shared" ref="L131:L194" si="2">$L$1</f>
        <v>63000</v>
      </c>
      <c r="M131" s="102">
        <f>коэффициенты!$G$2</f>
        <v>1.2875000000000001</v>
      </c>
      <c r="N131" s="13">
        <f>наценкад5[[#This Row],[Цена м2 базовая]]*наценкад5[[#This Row],[Базовой K]]</f>
        <v>81112.5</v>
      </c>
      <c r="O131" s="74"/>
      <c r="P131" s="76">
        <f>коэффициенты!$G$5</f>
        <v>0.01</v>
      </c>
      <c r="Q131" s="74">
        <f>коэффициенты!$G$6</f>
        <v>0.03</v>
      </c>
      <c r="R131" s="74"/>
      <c r="S131" s="74"/>
      <c r="T131" s="74"/>
      <c r="U131" s="74"/>
      <c r="V131" s="74">
        <f>коэффициенты!$G$11</f>
        <v>0.01</v>
      </c>
      <c r="W131" s="75"/>
      <c r="X131" s="74">
        <f>коэффициенты!$G$13</f>
        <v>0.01</v>
      </c>
      <c r="Y131" s="78">
        <f>коэффициенты!$G$15</f>
        <v>0.01</v>
      </c>
      <c r="Z131" s="74"/>
      <c r="AA131" s="74">
        <f>коэффициенты!$G$14</f>
        <v>0.01</v>
      </c>
      <c r="AB131" s="74"/>
      <c r="AC131" s="74"/>
      <c r="AD131" s="74">
        <f>коэффициенты!$G$19</f>
        <v>0.01</v>
      </c>
      <c r="AE131" s="74"/>
      <c r="AF131" s="74"/>
      <c r="AG131" s="74"/>
      <c r="AH131" s="74"/>
      <c r="AI131" s="73">
        <f>SUM(наценкад5[[#This Row],[еврокухня]:[большая площадь]])*наценкад5[[#This Row],[Цена м2 с базовым K]]+наценкад5[[#This Row],[Цена м2 с базовым K]]</f>
        <v>88412.625</v>
      </c>
      <c r="AJ131" s="72">
        <f>VLOOKUP(наценкад5[[#This Row],[№]],ППД5[],COLUMN(ППД5[[#This Row],[утв цена м2]]),0)</f>
        <v>88412.63</v>
      </c>
      <c r="AK131" s="3">
        <f>наценкад5[[#This Row],[утв цена м2]]*наценкад5[[#This Row],[Расчетная проектная площадь]]</f>
        <v>3347302.1718000001</v>
      </c>
      <c r="AL131" s="22" t="str">
        <f>VLOOKUP(наценкад5[[#This Row],[№]],ППД5[],COLUMN('Реестр ОН'!$DF$1),0)</f>
        <v>Продажа</v>
      </c>
    </row>
    <row r="132" spans="1:38" hidden="1" x14ac:dyDescent="0.25">
      <c r="A132" s="101">
        <v>130</v>
      </c>
      <c r="B132" s="2" t="str">
        <f>_xlfn.XLOOKUP(наценкад5[[#This Row],[№]],ППД5[№],ППД5[Секция],"-",0)</f>
        <v>Б</v>
      </c>
      <c r="C132" s="2">
        <f>_xlfn.XLOOKUP(наценкад5[[#This Row],[№]],ППД5[№],ППД5[Этаж],"-",0)</f>
        <v>3</v>
      </c>
      <c r="D132" s="2">
        <f>_xlfn.XLOOKUP(наценкад5[[#This Row],[№]],ППД5[№],ППД5[№ на этаже],"-",0)</f>
        <v>6</v>
      </c>
      <c r="E132" s="2">
        <f>_xlfn.XLOOKUP(наценкад5[[#This Row],[№]],ППД5[№],ППД5[Тип кв],"-",0)</f>
        <v>3</v>
      </c>
      <c r="F132" s="72">
        <f>_xlfn.XLOOKUP(наценкад5[[#This Row],[№]],ППД5[№],ППД5[Кухня],"-",0)</f>
        <v>13.39</v>
      </c>
      <c r="G132" s="72">
        <f>_xlfn.XLOOKUP(наценкад5[[#This Row],[№]],ППД5[№],ППД5[Ванная],"-",0)</f>
        <v>4.2</v>
      </c>
      <c r="H132" s="72">
        <f>_xlfn.XLOOKUP(наценкад5[[#This Row],[№]],ППД5[№],ППД5[Гардеробная],"-",0)</f>
        <v>0</v>
      </c>
      <c r="I132" s="72">
        <f>_xlfn.XLOOKUP(наценкад5[[#This Row],[№]],ППД5[№],ППД5[Лоджия 2],"-",0)</f>
        <v>2.68</v>
      </c>
      <c r="J132" s="72">
        <f>_xlfn.XLOOKUP(наценкад5[[#This Row],[№]],ППД5[№],ППД5[С\У],"-",0)</f>
        <v>2.0499999999999998</v>
      </c>
      <c r="K132" s="72">
        <f>_xlfn.XLOOKUP(наценкад5[[#This Row],[№]],ППД5[№],ППД5[Расчетная проектная площадь],"-",0)</f>
        <v>84.99</v>
      </c>
      <c r="L132" s="12">
        <f t="shared" si="2"/>
        <v>63000</v>
      </c>
      <c r="M132" s="27">
        <f>коэффициенты!$E$2</f>
        <v>1.1330000000000002</v>
      </c>
      <c r="N132" s="13">
        <f>наценкад5[[#This Row],[Цена м2 базовая]]*наценкад5[[#This Row],[Базовой K]]</f>
        <v>71379.000000000015</v>
      </c>
      <c r="O132" s="74"/>
      <c r="P132" s="74">
        <f>коэффициенты!$E$5</f>
        <v>0</v>
      </c>
      <c r="Q132" s="74">
        <f>коэффициенты!$E$6</f>
        <v>0.01</v>
      </c>
      <c r="R132" s="74"/>
      <c r="S132" s="74">
        <f>коэффициенты!$E$9</f>
        <v>0</v>
      </c>
      <c r="T132" s="74">
        <f>коэффициенты!$E$7</f>
        <v>0</v>
      </c>
      <c r="U132" s="74"/>
      <c r="V132" s="74"/>
      <c r="W132" s="75"/>
      <c r="X132" s="74"/>
      <c r="Y132" s="78">
        <f>коэффициенты!$A$15</f>
        <v>0.01</v>
      </c>
      <c r="Z132" s="74"/>
      <c r="AA132" s="74">
        <f>коэффициенты!$E$14</f>
        <v>0</v>
      </c>
      <c r="AB132" s="74">
        <f>коэффициенты!$E$17</f>
        <v>0</v>
      </c>
      <c r="AC132" s="74"/>
      <c r="AD132" s="76"/>
      <c r="AE132" s="76"/>
      <c r="AF132" s="76"/>
      <c r="AG132" s="74"/>
      <c r="AH132" s="74">
        <f>'отрицательный кф'!$O$33</f>
        <v>0</v>
      </c>
      <c r="AI132" s="73">
        <f>SUM(наценкад5[[#This Row],[еврокухня]:[большая площадь]])*наценкад5[[#This Row],[Цена м2 с базовым K]]+наценкад5[[#This Row],[Цена м2 с базовым K]]</f>
        <v>72806.580000000016</v>
      </c>
      <c r="AJ132" s="72">
        <f>VLOOKUP(наценкад5[[#This Row],[№]],ППД5[],COLUMN(ППД5[[#This Row],[утв цена м2]]),0)</f>
        <v>112132.74</v>
      </c>
      <c r="AK132" s="3">
        <f>наценкад5[[#This Row],[утв цена м2]]*наценкад5[[#This Row],[Расчетная проектная площадь]]</f>
        <v>9530161.5725999996</v>
      </c>
      <c r="AL132" s="22" t="str">
        <f>VLOOKUP(наценкад5[[#This Row],[№]],ППД5[],COLUMN('Реестр ОН'!$DF$1),0)</f>
        <v>Свободно</v>
      </c>
    </row>
    <row r="133" spans="1:38" hidden="1" x14ac:dyDescent="0.25">
      <c r="A133" s="101">
        <v>131</v>
      </c>
      <c r="B133" s="2" t="str">
        <f>_xlfn.XLOOKUP(наценкад5[[#This Row],[№]],ППД5[№],ППД5[Секция],"-",0)</f>
        <v>Б</v>
      </c>
      <c r="C133" s="2">
        <f>_xlfn.XLOOKUP(наценкад5[[#This Row],[№]],ППД5[№],ППД5[Этаж],"-",0)</f>
        <v>3</v>
      </c>
      <c r="D133" s="2">
        <f>_xlfn.XLOOKUP(наценкад5[[#This Row],[№]],ППД5[№],ППД5[№ на этаже],"-",0)</f>
        <v>7</v>
      </c>
      <c r="E133" s="2">
        <f>_xlfn.XLOOKUP(наценкад5[[#This Row],[№]],ППД5[№],ППД5[Тип кв],"-",0)</f>
        <v>1</v>
      </c>
      <c r="F133" s="72">
        <f>_xlfn.XLOOKUP(наценкад5[[#This Row],[№]],ППД5[№],ППД5[Кухня],"-",0)</f>
        <v>13.04</v>
      </c>
      <c r="G133" s="72">
        <f>_xlfn.XLOOKUP(наценкад5[[#This Row],[№]],ППД5[№],ППД5[Ванная],"-",0)</f>
        <v>3.9</v>
      </c>
      <c r="H133" s="72">
        <f>_xlfn.XLOOKUP(наценкад5[[#This Row],[№]],ППД5[№],ППД5[Гардеробная],"-",0)</f>
        <v>0</v>
      </c>
      <c r="I133" s="72">
        <f>_xlfn.XLOOKUP(наценкад5[[#This Row],[№]],ППД5[№],ППД5[Лоджия 2],"-",0)</f>
        <v>0</v>
      </c>
      <c r="J133" s="72">
        <f>_xlfn.XLOOKUP(наценкад5[[#This Row],[№]],ППД5[№],ППД5[С\У],"-",0)</f>
        <v>0</v>
      </c>
      <c r="K133" s="72">
        <f>_xlfn.XLOOKUP(наценкад5[[#This Row],[№]],ППД5[№],ППД5[Расчетная проектная площадь],"-",0)</f>
        <v>42.28</v>
      </c>
      <c r="L133" s="12">
        <f t="shared" si="2"/>
        <v>63000</v>
      </c>
      <c r="M133" s="102">
        <f>коэффициенты!$G$2</f>
        <v>1.2875000000000001</v>
      </c>
      <c r="N133" s="13">
        <f>наценкад5[[#This Row],[Цена м2 базовая]]*наценкад5[[#This Row],[Базовой K]]</f>
        <v>81112.5</v>
      </c>
      <c r="O133" s="74"/>
      <c r="P133" s="76">
        <f>коэффициенты!$G$5</f>
        <v>0.01</v>
      </c>
      <c r="Q133" s="74"/>
      <c r="R133" s="74"/>
      <c r="S133" s="74"/>
      <c r="T133" s="74"/>
      <c r="U133" s="74"/>
      <c r="V133" s="74">
        <f>коэффициенты!$G$11</f>
        <v>0.01</v>
      </c>
      <c r="W133" s="74"/>
      <c r="X133" s="74"/>
      <c r="Y133" s="78">
        <f>коэффициенты!$G$15</f>
        <v>0.01</v>
      </c>
      <c r="Z133" s="74"/>
      <c r="AA133" s="74">
        <f>коэффициенты!$G$14</f>
        <v>0.01</v>
      </c>
      <c r="AB133" s="74"/>
      <c r="AC133" s="74"/>
      <c r="AD133" s="74">
        <f>коэффициенты!$G$19</f>
        <v>0.01</v>
      </c>
      <c r="AE133" s="74"/>
      <c r="AF133" s="74"/>
      <c r="AG133" s="74">
        <f>коэффициенты!$A$24</f>
        <v>-5.0000000000000001E-3</v>
      </c>
      <c r="AH133" s="74"/>
      <c r="AI133" s="73">
        <f>SUM(наценкад5[[#This Row],[еврокухня]:[большая площадь]])*наценкад5[[#This Row],[Цена м2 с базовым K]]+наценкад5[[#This Row],[Цена м2 с базовым K]]</f>
        <v>84762.5625</v>
      </c>
      <c r="AJ133" s="72">
        <f>VLOOKUP(наценкад5[[#This Row],[№]],ППД5[],COLUMN(ППД5[[#This Row],[утв цена м2]]),0)</f>
        <v>84762.559999999998</v>
      </c>
      <c r="AK133" s="3">
        <f>наценкад5[[#This Row],[утв цена м2]]*наценкад5[[#This Row],[Расчетная проектная площадь]]</f>
        <v>3583761.0367999999</v>
      </c>
      <c r="AL133" s="22" t="str">
        <f>VLOOKUP(наценкад5[[#This Row],[№]],ППД5[],COLUMN('Реестр ОН'!$DF$1),0)</f>
        <v>Продажа</v>
      </c>
    </row>
    <row r="134" spans="1:38" hidden="1" x14ac:dyDescent="0.25">
      <c r="A134" s="101">
        <v>132</v>
      </c>
      <c r="B134" s="2" t="str">
        <f>_xlfn.XLOOKUP(наценкад5[[#This Row],[№]],ППД5[№],ППД5[Секция],"-",0)</f>
        <v>Б</v>
      </c>
      <c r="C134" s="2">
        <f>_xlfn.XLOOKUP(наценкад5[[#This Row],[№]],ППД5[№],ППД5[Этаж],"-",0)</f>
        <v>4</v>
      </c>
      <c r="D134" s="2">
        <f>_xlfn.XLOOKUP(наценкад5[[#This Row],[№]],ППД5[№],ППД5[№ на этаже],"-",0)</f>
        <v>1</v>
      </c>
      <c r="E134" s="2">
        <f>_xlfn.XLOOKUP(наценкад5[[#This Row],[№]],ППД5[№],ППД5[Тип кв],"-",0)</f>
        <v>2</v>
      </c>
      <c r="F134" s="72">
        <f>_xlfn.XLOOKUP(наценкад5[[#This Row],[№]],ППД5[№],ППД5[Кухня],"-",0)</f>
        <v>15.31</v>
      </c>
      <c r="G134" s="72">
        <f>_xlfn.XLOOKUP(наценкад5[[#This Row],[№]],ППД5[№],ППД5[Ванная],"-",0)</f>
        <v>3.85</v>
      </c>
      <c r="H134" s="72">
        <f>_xlfn.XLOOKUP(наценкад5[[#This Row],[№]],ППД5[№],ППД5[Гардеробная],"-",0)</f>
        <v>0</v>
      </c>
      <c r="I134" s="72">
        <f>_xlfn.XLOOKUP(наценкад5[[#This Row],[№]],ППД5[№],ППД5[Лоджия 2],"-",0)</f>
        <v>0</v>
      </c>
      <c r="J134" s="72">
        <f>_xlfn.XLOOKUP(наценкад5[[#This Row],[№]],ППД5[№],ППД5[С\У],"-",0)</f>
        <v>2.2999999999999998</v>
      </c>
      <c r="K134" s="72">
        <f>_xlfn.XLOOKUP(наценкад5[[#This Row],[№]],ППД5[№],ППД5[Расчетная проектная площадь],"-",0)</f>
        <v>60.22</v>
      </c>
      <c r="L134" s="12">
        <f t="shared" si="2"/>
        <v>63000</v>
      </c>
      <c r="M134" s="102">
        <f>коэффициенты!$F$2</f>
        <v>1.2257</v>
      </c>
      <c r="N134" s="13">
        <f>наценкад5[[#This Row],[Цена м2 базовая]]*наценкад5[[#This Row],[Базовой K]]</f>
        <v>77219.100000000006</v>
      </c>
      <c r="O134" s="76">
        <f>коэффициенты!$F$4</f>
        <v>1.4999999999999999E-2</v>
      </c>
      <c r="P134" s="74"/>
      <c r="Q134" s="76"/>
      <c r="R134" s="76"/>
      <c r="S134" s="76">
        <f>коэффициенты!$F$9</f>
        <v>0</v>
      </c>
      <c r="T134" s="74"/>
      <c r="U134" s="74"/>
      <c r="V134" s="74"/>
      <c r="W134" s="74">
        <f>коэффициенты!$F$12</f>
        <v>0.02</v>
      </c>
      <c r="X134" s="74">
        <f>коэффициенты!$F$13</f>
        <v>0.02</v>
      </c>
      <c r="Y134" s="78">
        <f>коэффициенты!$F$15</f>
        <v>0.01</v>
      </c>
      <c r="Z134" s="74"/>
      <c r="AA134" s="74"/>
      <c r="AB134" s="74"/>
      <c r="AC134" s="74"/>
      <c r="AD134" s="74">
        <f>коэффициенты!$F$19</f>
        <v>5.0000000000000001E-3</v>
      </c>
      <c r="AE134" s="74"/>
      <c r="AF134" s="74"/>
      <c r="AG134" s="74"/>
      <c r="AH134" s="74"/>
      <c r="AI134" s="73">
        <f>SUM(наценкад5[[#This Row],[еврокухня]:[большая площадь]])*наценкад5[[#This Row],[Цена м2 с базовым K]]+наценкад5[[#This Row],[Цена м2 с базовым K]]</f>
        <v>82624.437000000005</v>
      </c>
      <c r="AJ134" s="72">
        <f>VLOOKUP(наценкад5[[#This Row],[№]],ППД5[],COLUMN(ППД5[[#This Row],[утв цена м2]]),0)</f>
        <v>94764.51</v>
      </c>
      <c r="AK134" s="3">
        <f>наценкад5[[#This Row],[утв цена м2]]*наценкад5[[#This Row],[Расчетная проектная площадь]]</f>
        <v>5706718.7922</v>
      </c>
      <c r="AL134" s="22" t="str">
        <f>VLOOKUP(наценкад5[[#This Row],[№]],ППД5[],COLUMN('Реестр ОН'!$DF$1),0)</f>
        <v>Продажа</v>
      </c>
    </row>
    <row r="135" spans="1:38" hidden="1" x14ac:dyDescent="0.25">
      <c r="A135" s="101">
        <v>133</v>
      </c>
      <c r="B135" s="2" t="str">
        <f>_xlfn.XLOOKUP(наценкад5[[#This Row],[№]],ППД5[№],ППД5[Секция],"-",0)</f>
        <v>Б</v>
      </c>
      <c r="C135" s="2">
        <f>_xlfn.XLOOKUP(наценкад5[[#This Row],[№]],ППД5[№],ППД5[Этаж],"-",0)</f>
        <v>4</v>
      </c>
      <c r="D135" s="2">
        <f>_xlfn.XLOOKUP(наценкад5[[#This Row],[№]],ППД5[№],ППД5[№ на этаже],"-",0)</f>
        <v>2</v>
      </c>
      <c r="E135" s="2">
        <f>_xlfn.XLOOKUP(наценкад5[[#This Row],[№]],ППД5[№],ППД5[Тип кв],"-",0)</f>
        <v>0</v>
      </c>
      <c r="F135" s="72">
        <f>_xlfn.XLOOKUP(наценкад5[[#This Row],[№]],ППД5[№],ППД5[Кухня],"-",0)</f>
        <v>5.12</v>
      </c>
      <c r="G135" s="72">
        <f>_xlfn.XLOOKUP(наценкад5[[#This Row],[№]],ППД5[№],ППД5[Ванная],"-",0)</f>
        <v>3.65</v>
      </c>
      <c r="H135" s="72">
        <f>_xlfn.XLOOKUP(наценкад5[[#This Row],[№]],ППД5[№],ППД5[Гардеробная],"-",0)</f>
        <v>0</v>
      </c>
      <c r="I135" s="72">
        <f>_xlfn.XLOOKUP(наценкад5[[#This Row],[№]],ППД5[№],ППД5[Лоджия 2],"-",0)</f>
        <v>0</v>
      </c>
      <c r="J135" s="72">
        <f>_xlfn.XLOOKUP(наценкад5[[#This Row],[№]],ППД5[№],ППД5[С\У],"-",0)</f>
        <v>0</v>
      </c>
      <c r="K135" s="72">
        <f>_xlfn.XLOOKUP(наценкад5[[#This Row],[№]],ППД5[№],ППД5[Расчетная проектная площадь],"-",0)</f>
        <v>24.28</v>
      </c>
      <c r="L135" s="12">
        <f t="shared" si="2"/>
        <v>63000</v>
      </c>
      <c r="M135" s="116">
        <f>коэффициенты!$H$2</f>
        <v>1.3905000000000001</v>
      </c>
      <c r="N135" s="13">
        <f>наценкад5[[#This Row],[Цена м2 базовая]]*наценкад5[[#This Row],[Базовой K]]</f>
        <v>87601.5</v>
      </c>
      <c r="O135" s="74"/>
      <c r="P135" s="74"/>
      <c r="Q135" s="74"/>
      <c r="R135" s="74"/>
      <c r="S135" s="74"/>
      <c r="T135" s="74"/>
      <c r="U135" s="74"/>
      <c r="V135" s="74">
        <f>коэффициенты!$H$11</f>
        <v>0.01</v>
      </c>
      <c r="W135" s="74">
        <f>коэффициенты!$H$12</f>
        <v>0.02</v>
      </c>
      <c r="X135" s="74">
        <f>коэффициенты!$H$13</f>
        <v>0.01</v>
      </c>
      <c r="Y135" s="78">
        <f>коэффициенты!$H$15</f>
        <v>0.01</v>
      </c>
      <c r="Z135" s="74"/>
      <c r="AA135" s="74"/>
      <c r="AB135" s="74"/>
      <c r="AC135" s="74"/>
      <c r="AD135" s="74">
        <f>коэффициенты!$H$19</f>
        <v>0.01</v>
      </c>
      <c r="AE135" s="74"/>
      <c r="AF135" s="74"/>
      <c r="AG135" s="74"/>
      <c r="AH135" s="74"/>
      <c r="AI135" s="73">
        <f>SUM(наценкад5[[#This Row],[еврокухня]:[большая площадь]])*наценкад5[[#This Row],[Цена м2 с базовым K]]+наценкад5[[#This Row],[Цена м2 с базовым K]]</f>
        <v>92857.59</v>
      </c>
      <c r="AJ135" s="72">
        <f>VLOOKUP(наценкад5[[#This Row],[№]],ППД5[],COLUMN(ППД5[[#This Row],[утв цена м2]]),0)</f>
        <v>92857.59</v>
      </c>
      <c r="AK135" s="3">
        <f>наценкад5[[#This Row],[утв цена м2]]*наценкад5[[#This Row],[Расчетная проектная площадь]]</f>
        <v>2254582.2851999998</v>
      </c>
      <c r="AL135" s="22" t="str">
        <f>VLOOKUP(наценкад5[[#This Row],[№]],ППД5[],COLUMN('Реестр ОН'!$DF$1),0)</f>
        <v>Продажа</v>
      </c>
    </row>
    <row r="136" spans="1:38" hidden="1" x14ac:dyDescent="0.25">
      <c r="A136" s="101">
        <v>134</v>
      </c>
      <c r="B136" s="2" t="str">
        <f>_xlfn.XLOOKUP(наценкад5[[#This Row],[№]],ППД5[№],ППД5[Секция],"-",0)</f>
        <v>Б</v>
      </c>
      <c r="C136" s="2">
        <f>_xlfn.XLOOKUP(наценкад5[[#This Row],[№]],ППД5[№],ППД5[Этаж],"-",0)</f>
        <v>4</v>
      </c>
      <c r="D136" s="2">
        <f>_xlfn.XLOOKUP(наценкад5[[#This Row],[№]],ППД5[№],ППД5[№ на этаже],"-",0)</f>
        <v>3</v>
      </c>
      <c r="E136" s="2">
        <f>_xlfn.XLOOKUP(наценкад5[[#This Row],[№]],ППД5[№],ППД5[Тип кв],"-",0)</f>
        <v>2</v>
      </c>
      <c r="F136" s="72">
        <f>_xlfn.XLOOKUP(наценкад5[[#This Row],[№]],ППД5[№],ППД5[Кухня],"-",0)</f>
        <v>14.35</v>
      </c>
      <c r="G136" s="72">
        <f>_xlfn.XLOOKUP(наценкад5[[#This Row],[№]],ППД5[№],ППД5[Ванная],"-",0)</f>
        <v>3.68</v>
      </c>
      <c r="H136" s="72">
        <f>_xlfn.XLOOKUP(наценкад5[[#This Row],[№]],ППД5[№],ППД5[Гардеробная],"-",0)</f>
        <v>0</v>
      </c>
      <c r="I136" s="72">
        <f>_xlfn.XLOOKUP(наценкад5[[#This Row],[№]],ППД5[№],ППД5[Лоджия 2],"-",0)</f>
        <v>0</v>
      </c>
      <c r="J136" s="72">
        <f>_xlfn.XLOOKUP(наценкад5[[#This Row],[№]],ППД5[№],ППД5[С\У],"-",0)</f>
        <v>2.57</v>
      </c>
      <c r="K136" s="72">
        <f>_xlfn.XLOOKUP(наценкад5[[#This Row],[№]],ППД5[№],ППД5[Расчетная проектная площадь],"-",0)</f>
        <v>57.6</v>
      </c>
      <c r="L136" s="12">
        <f t="shared" si="2"/>
        <v>63000</v>
      </c>
      <c r="M136" s="102">
        <f>коэффициенты!$F$2</f>
        <v>1.2257</v>
      </c>
      <c r="N136" s="13">
        <f>наценкад5[[#This Row],[Цена м2 базовая]]*наценкад5[[#This Row],[Базовой K]]</f>
        <v>77219.100000000006</v>
      </c>
      <c r="O136" s="76">
        <f>коэффициенты!$F$4</f>
        <v>1.4999999999999999E-2</v>
      </c>
      <c r="P136" s="74"/>
      <c r="Q136" s="76"/>
      <c r="R136" s="76"/>
      <c r="S136" s="76">
        <f>коэффициенты!$F$9</f>
        <v>0</v>
      </c>
      <c r="T136" s="74"/>
      <c r="U136" s="74"/>
      <c r="V136" s="74"/>
      <c r="W136" s="75">
        <f>коэффициенты!$F$12</f>
        <v>0.02</v>
      </c>
      <c r="X136" s="74"/>
      <c r="Y136" s="78">
        <f>коэффициенты!$F$15</f>
        <v>0.01</v>
      </c>
      <c r="Z136" s="74"/>
      <c r="AA136" s="74"/>
      <c r="AB136" s="74"/>
      <c r="AC136" s="74"/>
      <c r="AD136" s="74">
        <f>коэффициенты!$F$19</f>
        <v>5.0000000000000001E-3</v>
      </c>
      <c r="AE136" s="74"/>
      <c r="AF136" s="74"/>
      <c r="AG136" s="74"/>
      <c r="AH136" s="74"/>
      <c r="AI136" s="73">
        <f>SUM(наценкад5[[#This Row],[еврокухня]:[большая площадь]])*наценкад5[[#This Row],[Цена м2 с базовым K]]+наценкад5[[#This Row],[Цена м2 с базовым K]]</f>
        <v>81080.055000000008</v>
      </c>
      <c r="AJ136" s="72">
        <f>VLOOKUP(наценкад5[[#This Row],[№]],ППД5[],COLUMN(ППД5[[#This Row],[утв цена м2]]),0)</f>
        <v>97717.64</v>
      </c>
      <c r="AK136" s="3">
        <f>наценкад5[[#This Row],[утв цена м2]]*наценкад5[[#This Row],[Расчетная проектная площадь]]</f>
        <v>5628536.0640000002</v>
      </c>
      <c r="AL136" s="22" t="str">
        <f>VLOOKUP(наценкад5[[#This Row],[№]],ППД5[],COLUMN('Реестр ОН'!$DF$1),0)</f>
        <v>Продажа</v>
      </c>
    </row>
    <row r="137" spans="1:38" hidden="1" x14ac:dyDescent="0.25">
      <c r="A137" s="101">
        <v>135</v>
      </c>
      <c r="B137" s="2" t="str">
        <f>_xlfn.XLOOKUP(наценкад5[[#This Row],[№]],ППД5[№],ППД5[Секция],"-",0)</f>
        <v>Б</v>
      </c>
      <c r="C137" s="2">
        <f>_xlfn.XLOOKUP(наценкад5[[#This Row],[№]],ППД5[№],ППД5[Этаж],"-",0)</f>
        <v>4</v>
      </c>
      <c r="D137" s="2">
        <f>_xlfn.XLOOKUP(наценкад5[[#This Row],[№]],ППД5[№],ППД5[№ на этаже],"-",0)</f>
        <v>4</v>
      </c>
      <c r="E137" s="2">
        <f>_xlfn.XLOOKUP(наценкад5[[#This Row],[№]],ППД5[№],ППД5[Тип кв],"-",0)</f>
        <v>2</v>
      </c>
      <c r="F137" s="72">
        <f>_xlfn.XLOOKUP(наценкад5[[#This Row],[№]],ППД5[№],ППД5[Кухня],"-",0)</f>
        <v>11.95</v>
      </c>
      <c r="G137" s="72">
        <f>_xlfn.XLOOKUP(наценкад5[[#This Row],[№]],ППД5[№],ППД5[Ванная],"-",0)</f>
        <v>3.86</v>
      </c>
      <c r="H137" s="72">
        <f>_xlfn.XLOOKUP(наценкад5[[#This Row],[№]],ППД5[№],ППД5[Гардеробная],"-",0)</f>
        <v>0</v>
      </c>
      <c r="I137" s="72">
        <f>_xlfn.XLOOKUP(наценкад5[[#This Row],[№]],ППД5[№],ППД5[Лоджия 2],"-",0)</f>
        <v>0</v>
      </c>
      <c r="J137" s="72">
        <f>_xlfn.XLOOKUP(наценкад5[[#This Row],[№]],ППД5[№],ППД5[С\У],"-",0)</f>
        <v>2.37</v>
      </c>
      <c r="K137" s="72">
        <f>_xlfn.XLOOKUP(наценкад5[[#This Row],[№]],ППД5[№],ППД5[Расчетная проектная площадь],"-",0)</f>
        <v>58.31</v>
      </c>
      <c r="L137" s="12">
        <f t="shared" si="2"/>
        <v>63000</v>
      </c>
      <c r="M137" s="102">
        <f>коэффициенты!$F$2</f>
        <v>1.2257</v>
      </c>
      <c r="N137" s="13">
        <f>наценкад5[[#This Row],[Цена м2 базовая]]*наценкад5[[#This Row],[Базовой K]]</f>
        <v>77219.100000000006</v>
      </c>
      <c r="O137" s="74"/>
      <c r="P137" s="74">
        <f>коэффициенты!$F$5</f>
        <v>0.01</v>
      </c>
      <c r="Q137" s="76"/>
      <c r="R137" s="76"/>
      <c r="S137" s="76">
        <f>коэффициенты!$F$9</f>
        <v>0</v>
      </c>
      <c r="T137" s="74"/>
      <c r="U137" s="74"/>
      <c r="V137" s="74"/>
      <c r="W137" s="75">
        <f>коэффициенты!$F$12</f>
        <v>0.02</v>
      </c>
      <c r="X137" s="76"/>
      <c r="Y137" s="78">
        <f>коэффициенты!$F$15</f>
        <v>0.01</v>
      </c>
      <c r="Z137" s="74"/>
      <c r="AA137" s="74">
        <f>коэффициенты!$F$14</f>
        <v>0.02</v>
      </c>
      <c r="AB137" s="74"/>
      <c r="AC137" s="74"/>
      <c r="AD137" s="74">
        <f>коэффициенты!$F$19</f>
        <v>5.0000000000000001E-3</v>
      </c>
      <c r="AE137" s="74"/>
      <c r="AF137" s="74"/>
      <c r="AG137" s="74"/>
      <c r="AH137" s="74"/>
      <c r="AI137" s="73">
        <f>SUM(наценкад5[[#This Row],[еврокухня]:[большая площадь]])*наценкад5[[#This Row],[Цена м2 с базовым K]]+наценкад5[[#This Row],[Цена м2 с базовым K]]</f>
        <v>82238.34150000001</v>
      </c>
      <c r="AJ137" s="72">
        <f>VLOOKUP(наценкад5[[#This Row],[№]],ППД5[],COLUMN(ППД5[[#This Row],[утв цена м2]]),0)</f>
        <v>88940.77</v>
      </c>
      <c r="AK137" s="3">
        <f>наценкад5[[#This Row],[утв цена м2]]*наценкад5[[#This Row],[Расчетная проектная площадь]]</f>
        <v>5186136.2987000002</v>
      </c>
      <c r="AL137" s="22" t="str">
        <f>VLOOKUP(наценкад5[[#This Row],[№]],ППД5[],COLUMN('Реестр ОН'!$DF$1),0)</f>
        <v>Продажа</v>
      </c>
    </row>
    <row r="138" spans="1:38" hidden="1" x14ac:dyDescent="0.25">
      <c r="A138" s="101">
        <v>136</v>
      </c>
      <c r="B138" s="2" t="str">
        <f>_xlfn.XLOOKUP(наценкад5[[#This Row],[№]],ППД5[№],ППД5[Секция],"-",0)</f>
        <v>Б</v>
      </c>
      <c r="C138" s="2">
        <f>_xlfn.XLOOKUP(наценкад5[[#This Row],[№]],ППД5[№],ППД5[Этаж],"-",0)</f>
        <v>4</v>
      </c>
      <c r="D138" s="2">
        <f>_xlfn.XLOOKUP(наценкад5[[#This Row],[№]],ППД5[№],ППД5[№ на этаже],"-",0)</f>
        <v>5</v>
      </c>
      <c r="E138" s="2">
        <f>_xlfn.XLOOKUP(наценкад5[[#This Row],[№]],ППД5[№],ППД5[Тип кв],"-",0)</f>
        <v>1</v>
      </c>
      <c r="F138" s="72">
        <f>_xlfn.XLOOKUP(наценкад5[[#This Row],[№]],ППД5[№],ППД5[Кухня],"-",0)</f>
        <v>13.18</v>
      </c>
      <c r="G138" s="72">
        <f>_xlfn.XLOOKUP(наценкад5[[#This Row],[№]],ППД5[№],ППД5[Ванная],"-",0)</f>
        <v>4.1100000000000003</v>
      </c>
      <c r="H138" s="72">
        <f>_xlfn.XLOOKUP(наценкад5[[#This Row],[№]],ППД5[№],ППД5[Гардеробная],"-",0)</f>
        <v>0</v>
      </c>
      <c r="I138" s="72">
        <f>_xlfn.XLOOKUP(наценкад5[[#This Row],[№]],ППД5[№],ППД5[Лоджия 2],"-",0)</f>
        <v>0</v>
      </c>
      <c r="J138" s="72">
        <f>_xlfn.XLOOKUP(наценкад5[[#This Row],[№]],ППД5[№],ППД5[С\У],"-",0)</f>
        <v>0</v>
      </c>
      <c r="K138" s="72">
        <f>_xlfn.XLOOKUP(наценкад5[[#This Row],[№]],ППД5[№],ППД5[Расчетная проектная площадь],"-",0)</f>
        <v>37.86</v>
      </c>
      <c r="L138" s="12">
        <f t="shared" si="2"/>
        <v>63000</v>
      </c>
      <c r="M138" s="102">
        <f>коэффициенты!$G$2</f>
        <v>1.2875000000000001</v>
      </c>
      <c r="N138" s="13">
        <f>наценкад5[[#This Row],[Цена м2 базовая]]*наценкад5[[#This Row],[Базовой K]]</f>
        <v>81112.5</v>
      </c>
      <c r="O138" s="74"/>
      <c r="P138" s="76">
        <f>коэффициенты!$G$5</f>
        <v>0.01</v>
      </c>
      <c r="Q138" s="74">
        <f>коэффициенты!$G$6</f>
        <v>0.03</v>
      </c>
      <c r="R138" s="74"/>
      <c r="S138" s="74"/>
      <c r="T138" s="74"/>
      <c r="U138" s="74"/>
      <c r="V138" s="74">
        <f>коэффициенты!$G$11</f>
        <v>0.01</v>
      </c>
      <c r="W138" s="75">
        <f>коэффициенты!$G$12</f>
        <v>0.02</v>
      </c>
      <c r="X138" s="74">
        <f>коэффициенты!$G$13</f>
        <v>0.01</v>
      </c>
      <c r="Y138" s="78">
        <f>коэффициенты!$G$15</f>
        <v>0.01</v>
      </c>
      <c r="Z138" s="74"/>
      <c r="AA138" s="74">
        <f>коэффициенты!$G$14</f>
        <v>0.01</v>
      </c>
      <c r="AB138" s="74"/>
      <c r="AC138" s="74"/>
      <c r="AD138" s="74">
        <f>коэффициенты!$G$19</f>
        <v>0.01</v>
      </c>
      <c r="AE138" s="74"/>
      <c r="AF138" s="74"/>
      <c r="AG138" s="74"/>
      <c r="AH138" s="74"/>
      <c r="AI138" s="73">
        <f>SUM(наценкад5[[#This Row],[еврокухня]:[большая площадь]])*наценкад5[[#This Row],[Цена м2 с базовым K]]+наценкад5[[#This Row],[Цена м2 с базовым K]]</f>
        <v>90034.875</v>
      </c>
      <c r="AJ138" s="72">
        <f>VLOOKUP(наценкад5[[#This Row],[№]],ППД5[],COLUMN(ППД5[[#This Row],[утв цена м2]]),0)</f>
        <v>94536.62</v>
      </c>
      <c r="AK138" s="3">
        <f>наценкад5[[#This Row],[утв цена м2]]*наценкад5[[#This Row],[Расчетная проектная площадь]]</f>
        <v>3579156.4331999999</v>
      </c>
      <c r="AL138" s="22" t="str">
        <f>VLOOKUP(наценкад5[[#This Row],[№]],ППД5[],COLUMN('Реестр ОН'!$DF$1),0)</f>
        <v>Продажа</v>
      </c>
    </row>
    <row r="139" spans="1:38" hidden="1" x14ac:dyDescent="0.25">
      <c r="A139" s="101">
        <v>137</v>
      </c>
      <c r="B139" s="2" t="str">
        <f>_xlfn.XLOOKUP(наценкад5[[#This Row],[№]],ППД5[№],ППД5[Секция],"-",0)</f>
        <v>Б</v>
      </c>
      <c r="C139" s="2">
        <f>_xlfn.XLOOKUP(наценкад5[[#This Row],[№]],ППД5[№],ППД5[Этаж],"-",0)</f>
        <v>4</v>
      </c>
      <c r="D139" s="2">
        <f>_xlfn.XLOOKUP(наценкад5[[#This Row],[№]],ППД5[№],ППД5[№ на этаже],"-",0)</f>
        <v>6</v>
      </c>
      <c r="E139" s="2">
        <f>_xlfn.XLOOKUP(наценкад5[[#This Row],[№]],ППД5[№],ППД5[Тип кв],"-",0)</f>
        <v>3</v>
      </c>
      <c r="F139" s="72">
        <f>_xlfn.XLOOKUP(наценкад5[[#This Row],[№]],ППД5[№],ППД5[Кухня],"-",0)</f>
        <v>13.39</v>
      </c>
      <c r="G139" s="72">
        <f>_xlfn.XLOOKUP(наценкад5[[#This Row],[№]],ППД5[№],ППД5[Ванная],"-",0)</f>
        <v>4.2</v>
      </c>
      <c r="H139" s="72">
        <f>_xlfn.XLOOKUP(наценкад5[[#This Row],[№]],ППД5[№],ППД5[Гардеробная],"-",0)</f>
        <v>0</v>
      </c>
      <c r="I139" s="72">
        <f>_xlfn.XLOOKUP(наценкад5[[#This Row],[№]],ППД5[№],ППД5[Лоджия 2],"-",0)</f>
        <v>2.68</v>
      </c>
      <c r="J139" s="72">
        <f>_xlfn.XLOOKUP(наценкад5[[#This Row],[№]],ППД5[№],ППД5[С\У],"-",0)</f>
        <v>2.0499999999999998</v>
      </c>
      <c r="K139" s="72">
        <f>_xlfn.XLOOKUP(наценкад5[[#This Row],[№]],ППД5[№],ППД5[Расчетная проектная площадь],"-",0)</f>
        <v>84.99</v>
      </c>
      <c r="L139" s="12">
        <f t="shared" si="2"/>
        <v>63000</v>
      </c>
      <c r="M139" s="27">
        <f>коэффициенты!$E$2</f>
        <v>1.1330000000000002</v>
      </c>
      <c r="N139" s="13">
        <f>наценкад5[[#This Row],[Цена м2 базовая]]*наценкад5[[#This Row],[Базовой K]]</f>
        <v>71379.000000000015</v>
      </c>
      <c r="O139" s="74"/>
      <c r="P139" s="74">
        <f>коэффициенты!$E$5</f>
        <v>0</v>
      </c>
      <c r="Q139" s="74">
        <f>коэффициенты!$E$6</f>
        <v>0.01</v>
      </c>
      <c r="R139" s="74"/>
      <c r="S139" s="74">
        <f>коэффициенты!$E$9</f>
        <v>0</v>
      </c>
      <c r="T139" s="74">
        <f>коэффициенты!$E$7</f>
        <v>0</v>
      </c>
      <c r="U139" s="74"/>
      <c r="V139" s="74"/>
      <c r="W139" s="75">
        <f>коэффициенты!$E$12</f>
        <v>0.02</v>
      </c>
      <c r="X139" s="74"/>
      <c r="Y139" s="78">
        <f>коэффициенты!$A$15</f>
        <v>0.01</v>
      </c>
      <c r="Z139" s="74"/>
      <c r="AA139" s="74">
        <f>коэффициенты!$E$14</f>
        <v>0</v>
      </c>
      <c r="AB139" s="74">
        <f>коэффициенты!$E$17</f>
        <v>0</v>
      </c>
      <c r="AC139" s="74"/>
      <c r="AD139" s="76"/>
      <c r="AE139" s="76"/>
      <c r="AF139" s="76"/>
      <c r="AG139" s="74"/>
      <c r="AH139" s="74">
        <f>'отрицательный кф'!$O$33</f>
        <v>0</v>
      </c>
      <c r="AI139" s="73">
        <f>SUM(наценкад5[[#This Row],[еврокухня]:[большая площадь]])*наценкад5[[#This Row],[Цена м2 с базовым K]]+наценкад5[[#This Row],[Цена м2 с базовым K]]</f>
        <v>74234.160000000018</v>
      </c>
      <c r="AJ139" s="72">
        <f>VLOOKUP(наценкад5[[#This Row],[№]],ППД5[],COLUMN(ППД5[[#This Row],[утв цена м2]]),0)</f>
        <v>80284.240000000005</v>
      </c>
      <c r="AK139" s="3">
        <f>наценкад5[[#This Row],[утв цена м2]]*наценкад5[[#This Row],[Расчетная проектная площадь]]</f>
        <v>6823357.5575999999</v>
      </c>
      <c r="AL139" s="22" t="str">
        <f>VLOOKUP(наценкад5[[#This Row],[№]],ППД5[],COLUMN('Реестр ОН'!$DF$1),0)</f>
        <v>Продажа</v>
      </c>
    </row>
    <row r="140" spans="1:38" hidden="1" x14ac:dyDescent="0.25">
      <c r="A140" s="101">
        <v>138</v>
      </c>
      <c r="B140" s="2" t="str">
        <f>_xlfn.XLOOKUP(наценкад5[[#This Row],[№]],ППД5[№],ППД5[Секция],"-",0)</f>
        <v>Б</v>
      </c>
      <c r="C140" s="2">
        <f>_xlfn.XLOOKUP(наценкад5[[#This Row],[№]],ППД5[№],ППД5[Этаж],"-",0)</f>
        <v>4</v>
      </c>
      <c r="D140" s="2">
        <f>_xlfn.XLOOKUP(наценкад5[[#This Row],[№]],ППД5[№],ППД5[№ на этаже],"-",0)</f>
        <v>7</v>
      </c>
      <c r="E140" s="2">
        <f>_xlfn.XLOOKUP(наценкад5[[#This Row],[№]],ППД5[№],ППД5[Тип кв],"-",0)</f>
        <v>1</v>
      </c>
      <c r="F140" s="72">
        <f>_xlfn.XLOOKUP(наценкад5[[#This Row],[№]],ППД5[№],ППД5[Кухня],"-",0)</f>
        <v>13.04</v>
      </c>
      <c r="G140" s="72">
        <f>_xlfn.XLOOKUP(наценкад5[[#This Row],[№]],ППД5[№],ППД5[Ванная],"-",0)</f>
        <v>3.9</v>
      </c>
      <c r="H140" s="72">
        <f>_xlfn.XLOOKUP(наценкад5[[#This Row],[№]],ППД5[№],ППД5[Гардеробная],"-",0)</f>
        <v>0</v>
      </c>
      <c r="I140" s="72">
        <f>_xlfn.XLOOKUP(наценкад5[[#This Row],[№]],ППД5[№],ППД5[Лоджия 2],"-",0)</f>
        <v>0</v>
      </c>
      <c r="J140" s="72">
        <f>_xlfn.XLOOKUP(наценкад5[[#This Row],[№]],ППД5[№],ППД5[С\У],"-",0)</f>
        <v>0</v>
      </c>
      <c r="K140" s="72">
        <f>_xlfn.XLOOKUP(наценкад5[[#This Row],[№]],ППД5[№],ППД5[Расчетная проектная площадь],"-",0)</f>
        <v>42.28</v>
      </c>
      <c r="L140" s="12">
        <f t="shared" si="2"/>
        <v>63000</v>
      </c>
      <c r="M140" s="102">
        <f>коэффициенты!$G$2</f>
        <v>1.2875000000000001</v>
      </c>
      <c r="N140" s="13">
        <f>наценкад5[[#This Row],[Цена м2 базовая]]*наценкад5[[#This Row],[Базовой K]]</f>
        <v>81112.5</v>
      </c>
      <c r="O140" s="74"/>
      <c r="P140" s="76">
        <f>коэффициенты!$G$5</f>
        <v>0.01</v>
      </c>
      <c r="Q140" s="74"/>
      <c r="R140" s="74"/>
      <c r="S140" s="74"/>
      <c r="T140" s="74"/>
      <c r="U140" s="74"/>
      <c r="V140" s="74">
        <f>коэффициенты!$G$11</f>
        <v>0.01</v>
      </c>
      <c r="W140" s="74">
        <f>коэффициенты!$G$12</f>
        <v>0.02</v>
      </c>
      <c r="X140" s="74"/>
      <c r="Y140" s="78">
        <f>коэффициенты!$G$15</f>
        <v>0.01</v>
      </c>
      <c r="Z140" s="74"/>
      <c r="AA140" s="74">
        <f>коэффициенты!$G$14</f>
        <v>0.01</v>
      </c>
      <c r="AB140" s="74"/>
      <c r="AC140" s="74"/>
      <c r="AD140" s="74">
        <f>коэффициенты!$G$19</f>
        <v>0.01</v>
      </c>
      <c r="AE140" s="74"/>
      <c r="AF140" s="74"/>
      <c r="AG140" s="74">
        <f>коэффициенты!$A$24</f>
        <v>-5.0000000000000001E-3</v>
      </c>
      <c r="AH140" s="74"/>
      <c r="AI140" s="73">
        <f>SUM(наценкад5[[#This Row],[еврокухня]:[большая площадь]])*наценкад5[[#This Row],[Цена м2 с базовым K]]+наценкад5[[#This Row],[Цена м2 с базовым K]]</f>
        <v>86384.8125</v>
      </c>
      <c r="AJ140" s="72">
        <f>VLOOKUP(наценкад5[[#This Row],[№]],ППД5[],COLUMN(ППД5[[#This Row],[утв цена м2]]),0)</f>
        <v>111470.44</v>
      </c>
      <c r="AK140" s="3">
        <f>наценкад5[[#This Row],[утв цена м2]]*наценкад5[[#This Row],[Расчетная проектная площадь]]</f>
        <v>4712970.2032000003</v>
      </c>
      <c r="AL140" s="22" t="str">
        <f>VLOOKUP(наценкад5[[#This Row],[№]],ППД5[],COLUMN('Реестр ОН'!$DF$1),0)</f>
        <v>Продажа</v>
      </c>
    </row>
    <row r="141" spans="1:38" hidden="1" x14ac:dyDescent="0.25">
      <c r="A141" s="101">
        <v>139</v>
      </c>
      <c r="B141" s="2" t="str">
        <f>_xlfn.XLOOKUP(наценкад5[[#This Row],[№]],ППД5[№],ППД5[Секция],"-",0)</f>
        <v>Б</v>
      </c>
      <c r="C141" s="2">
        <f>_xlfn.XLOOKUP(наценкад5[[#This Row],[№]],ППД5[№],ППД5[Этаж],"-",0)</f>
        <v>5</v>
      </c>
      <c r="D141" s="2">
        <f>_xlfn.XLOOKUP(наценкад5[[#This Row],[№]],ППД5[№],ППД5[№ на этаже],"-",0)</f>
        <v>1</v>
      </c>
      <c r="E141" s="2">
        <f>_xlfn.XLOOKUP(наценкад5[[#This Row],[№]],ППД5[№],ППД5[Тип кв],"-",0)</f>
        <v>2</v>
      </c>
      <c r="F141" s="72">
        <f>_xlfn.XLOOKUP(наценкад5[[#This Row],[№]],ППД5[№],ППД5[Кухня],"-",0)</f>
        <v>15.31</v>
      </c>
      <c r="G141" s="72">
        <f>_xlfn.XLOOKUP(наценкад5[[#This Row],[№]],ППД5[№],ППД5[Ванная],"-",0)</f>
        <v>3.85</v>
      </c>
      <c r="H141" s="72">
        <f>_xlfn.XLOOKUP(наценкад5[[#This Row],[№]],ППД5[№],ППД5[Гардеробная],"-",0)</f>
        <v>0</v>
      </c>
      <c r="I141" s="72">
        <f>_xlfn.XLOOKUP(наценкад5[[#This Row],[№]],ППД5[№],ППД5[Лоджия 2],"-",0)</f>
        <v>0</v>
      </c>
      <c r="J141" s="72">
        <f>_xlfn.XLOOKUP(наценкад5[[#This Row],[№]],ППД5[№],ППД5[С\У],"-",0)</f>
        <v>2.2999999999999998</v>
      </c>
      <c r="K141" s="72">
        <f>_xlfn.XLOOKUP(наценкад5[[#This Row],[№]],ППД5[№],ППД5[Расчетная проектная площадь],"-",0)</f>
        <v>60.22</v>
      </c>
      <c r="L141" s="12">
        <f t="shared" si="2"/>
        <v>63000</v>
      </c>
      <c r="M141" s="102">
        <f>коэффициенты!$F$2</f>
        <v>1.2257</v>
      </c>
      <c r="N141" s="13">
        <f>наценкад5[[#This Row],[Цена м2 базовая]]*наценкад5[[#This Row],[Базовой K]]</f>
        <v>77219.100000000006</v>
      </c>
      <c r="O141" s="76">
        <f>коэффициенты!$F$4</f>
        <v>1.4999999999999999E-2</v>
      </c>
      <c r="P141" s="74"/>
      <c r="Q141" s="76"/>
      <c r="R141" s="76"/>
      <c r="S141" s="76">
        <f>коэффициенты!$F$9</f>
        <v>0</v>
      </c>
      <c r="T141" s="74"/>
      <c r="U141" s="74"/>
      <c r="V141" s="74"/>
      <c r="W141" s="74"/>
      <c r="X141" s="74">
        <f>коэффициенты!$F$13</f>
        <v>0.02</v>
      </c>
      <c r="Y141" s="75"/>
      <c r="Z141" s="74"/>
      <c r="AA141" s="74"/>
      <c r="AB141" s="74"/>
      <c r="AC141" s="74"/>
      <c r="AD141" s="74">
        <f>коэффициенты!$F$19</f>
        <v>5.0000000000000001E-3</v>
      </c>
      <c r="AE141" s="74"/>
      <c r="AF141" s="74"/>
      <c r="AG141" s="74"/>
      <c r="AH141" s="74"/>
      <c r="AI141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141" s="72">
        <f>VLOOKUP(наценкад5[[#This Row],[№]],ППД5[],COLUMN(ППД5[[#This Row],[утв цена м2]]),0)</f>
        <v>97266.13</v>
      </c>
      <c r="AK141" s="3">
        <f>наценкад5[[#This Row],[утв цена м2]]*наценкад5[[#This Row],[Расчетная проектная площадь]]</f>
        <v>5857366.3486000001</v>
      </c>
      <c r="AL141" s="22" t="str">
        <f>VLOOKUP(наценкад5[[#This Row],[№]],ППД5[],COLUMN('Реестр ОН'!$DF$1),0)</f>
        <v>Продажа</v>
      </c>
    </row>
    <row r="142" spans="1:38" hidden="1" x14ac:dyDescent="0.25">
      <c r="A142" s="101">
        <v>140</v>
      </c>
      <c r="B142" s="2" t="str">
        <f>_xlfn.XLOOKUP(наценкад5[[#This Row],[№]],ППД5[№],ППД5[Секция],"-",0)</f>
        <v>Б</v>
      </c>
      <c r="C142" s="2">
        <f>_xlfn.XLOOKUP(наценкад5[[#This Row],[№]],ППД5[№],ППД5[Этаж],"-",0)</f>
        <v>5</v>
      </c>
      <c r="D142" s="2">
        <f>_xlfn.XLOOKUP(наценкад5[[#This Row],[№]],ППД5[№],ППД5[№ на этаже],"-",0)</f>
        <v>2</v>
      </c>
      <c r="E142" s="2">
        <f>_xlfn.XLOOKUP(наценкад5[[#This Row],[№]],ППД5[№],ППД5[Тип кв],"-",0)</f>
        <v>0</v>
      </c>
      <c r="F142" s="72">
        <f>_xlfn.XLOOKUP(наценкад5[[#This Row],[№]],ППД5[№],ППД5[Кухня],"-",0)</f>
        <v>5.12</v>
      </c>
      <c r="G142" s="72">
        <f>_xlfn.XLOOKUP(наценкад5[[#This Row],[№]],ППД5[№],ППД5[Ванная],"-",0)</f>
        <v>3.65</v>
      </c>
      <c r="H142" s="72">
        <f>_xlfn.XLOOKUP(наценкад5[[#This Row],[№]],ППД5[№],ППД5[Гардеробная],"-",0)</f>
        <v>0</v>
      </c>
      <c r="I142" s="72">
        <f>_xlfn.XLOOKUP(наценкад5[[#This Row],[№]],ППД5[№],ППД5[Лоджия 2],"-",0)</f>
        <v>0</v>
      </c>
      <c r="J142" s="72">
        <f>_xlfn.XLOOKUP(наценкад5[[#This Row],[№]],ППД5[№],ППД5[С\У],"-",0)</f>
        <v>0</v>
      </c>
      <c r="K142" s="72">
        <f>_xlfn.XLOOKUP(наценкад5[[#This Row],[№]],ППД5[№],ППД5[Расчетная проектная площадь],"-",0)</f>
        <v>24.28</v>
      </c>
      <c r="L142" s="12">
        <f t="shared" si="2"/>
        <v>63000</v>
      </c>
      <c r="M142" s="116">
        <f>коэффициенты!$H$2</f>
        <v>1.3905000000000001</v>
      </c>
      <c r="N142" s="13">
        <f>наценкад5[[#This Row],[Цена м2 базовая]]*наценкад5[[#This Row],[Базовой K]]</f>
        <v>87601.5</v>
      </c>
      <c r="O142" s="74"/>
      <c r="P142" s="74"/>
      <c r="Q142" s="74"/>
      <c r="R142" s="74"/>
      <c r="S142" s="74"/>
      <c r="T142" s="74"/>
      <c r="U142" s="74"/>
      <c r="V142" s="74">
        <f>коэффициенты!$H$11</f>
        <v>0.01</v>
      </c>
      <c r="W142" s="75"/>
      <c r="X142" s="74">
        <f>коэффициенты!$H$13</f>
        <v>0.01</v>
      </c>
      <c r="Y142" s="75"/>
      <c r="Z142" s="74"/>
      <c r="AA142" s="74"/>
      <c r="AB142" s="74"/>
      <c r="AC142" s="74"/>
      <c r="AD142" s="74">
        <f>коэффициенты!$H$19</f>
        <v>0.01</v>
      </c>
      <c r="AE142" s="74"/>
      <c r="AF142" s="74"/>
      <c r="AG142" s="74"/>
      <c r="AH142" s="74"/>
      <c r="AI142" s="73">
        <f>SUM(наценкад5[[#This Row],[еврокухня]:[большая площадь]])*наценкад5[[#This Row],[Цена м2 с базовым K]]+наценкад5[[#This Row],[Цена м2 с базовым K]]</f>
        <v>90229.544999999998</v>
      </c>
      <c r="AJ142" s="72">
        <f>VLOOKUP(наценкад5[[#This Row],[№]],ППД5[],COLUMN(ППД5[[#This Row],[утв цена м2]]),0)</f>
        <v>149764.28</v>
      </c>
      <c r="AK142" s="3">
        <f>наценкад5[[#This Row],[утв цена м2]]*наценкад5[[#This Row],[Расчетная проектная площадь]]</f>
        <v>3636276.7184000001</v>
      </c>
      <c r="AL142" s="22" t="str">
        <f>VLOOKUP(наценкад5[[#This Row],[№]],ППД5[],COLUMN('Реестр ОН'!$DF$1),0)</f>
        <v>Продажа</v>
      </c>
    </row>
    <row r="143" spans="1:38" hidden="1" x14ac:dyDescent="0.25">
      <c r="A143" s="101">
        <v>141</v>
      </c>
      <c r="B143" s="2" t="str">
        <f>_xlfn.XLOOKUP(наценкад5[[#This Row],[№]],ППД5[№],ППД5[Секция],"-",0)</f>
        <v>Б</v>
      </c>
      <c r="C143" s="2">
        <f>_xlfn.XLOOKUP(наценкад5[[#This Row],[№]],ППД5[№],ППД5[Этаж],"-",0)</f>
        <v>5</v>
      </c>
      <c r="D143" s="2">
        <f>_xlfn.XLOOKUP(наценкад5[[#This Row],[№]],ППД5[№],ППД5[№ на этаже],"-",0)</f>
        <v>3</v>
      </c>
      <c r="E143" s="2">
        <f>_xlfn.XLOOKUP(наценкад5[[#This Row],[№]],ППД5[№],ППД5[Тип кв],"-",0)</f>
        <v>2</v>
      </c>
      <c r="F143" s="72">
        <f>_xlfn.XLOOKUP(наценкад5[[#This Row],[№]],ППД5[№],ППД5[Кухня],"-",0)</f>
        <v>14.35</v>
      </c>
      <c r="G143" s="72">
        <f>_xlfn.XLOOKUP(наценкад5[[#This Row],[№]],ППД5[№],ППД5[Ванная],"-",0)</f>
        <v>3.68</v>
      </c>
      <c r="H143" s="72">
        <f>_xlfn.XLOOKUP(наценкад5[[#This Row],[№]],ППД5[№],ППД5[Гардеробная],"-",0)</f>
        <v>0</v>
      </c>
      <c r="I143" s="72">
        <f>_xlfn.XLOOKUP(наценкад5[[#This Row],[№]],ППД5[№],ППД5[Лоджия 2],"-",0)</f>
        <v>0</v>
      </c>
      <c r="J143" s="72">
        <f>_xlfn.XLOOKUP(наценкад5[[#This Row],[№]],ППД5[№],ППД5[С\У],"-",0)</f>
        <v>2.57</v>
      </c>
      <c r="K143" s="72">
        <f>_xlfn.XLOOKUP(наценкад5[[#This Row],[№]],ППД5[№],ППД5[Расчетная проектная площадь],"-",0)</f>
        <v>57.6</v>
      </c>
      <c r="L143" s="12">
        <f t="shared" si="2"/>
        <v>63000</v>
      </c>
      <c r="M143" s="102">
        <f>коэффициенты!$F$2</f>
        <v>1.2257</v>
      </c>
      <c r="N143" s="13">
        <f>наценкад5[[#This Row],[Цена м2 базовая]]*наценкад5[[#This Row],[Базовой K]]</f>
        <v>77219.100000000006</v>
      </c>
      <c r="O143" s="76">
        <f>коэффициенты!$F$4</f>
        <v>1.4999999999999999E-2</v>
      </c>
      <c r="P143" s="74"/>
      <c r="Q143" s="76"/>
      <c r="R143" s="76"/>
      <c r="S143" s="76">
        <f>коэффициенты!$F$9</f>
        <v>0</v>
      </c>
      <c r="T143" s="74"/>
      <c r="U143" s="74"/>
      <c r="V143" s="74"/>
      <c r="W143" s="75"/>
      <c r="X143" s="74"/>
      <c r="Y143" s="75"/>
      <c r="Z143" s="74"/>
      <c r="AA143" s="74"/>
      <c r="AB143" s="74"/>
      <c r="AC143" s="74"/>
      <c r="AD143" s="74">
        <f>коэффициенты!$F$19</f>
        <v>5.0000000000000001E-3</v>
      </c>
      <c r="AE143" s="74"/>
      <c r="AF143" s="74"/>
      <c r="AG143" s="74"/>
      <c r="AH143" s="74"/>
      <c r="AI143" s="73">
        <f>SUM(наценкад5[[#This Row],[еврокухня]:[большая площадь]])*наценкад5[[#This Row],[Цена м2 с базовым K]]+наценкад5[[#This Row],[Цена м2 с базовым K]]</f>
        <v>78763.482000000004</v>
      </c>
      <c r="AJ143" s="72">
        <f>VLOOKUP(наценкад5[[#This Row],[№]],ППД5[],COLUMN(ППД5[[#This Row],[утв цена м2]]),0)</f>
        <v>85182.71</v>
      </c>
      <c r="AK143" s="3">
        <f>наценкад5[[#This Row],[утв цена м2]]*наценкад5[[#This Row],[Расчетная проектная площадь]]</f>
        <v>4906524.0960000008</v>
      </c>
      <c r="AL143" s="22" t="str">
        <f>VLOOKUP(наценкад5[[#This Row],[№]],ППД5[],COLUMN('Реестр ОН'!$DF$1),0)</f>
        <v>Продажа</v>
      </c>
    </row>
    <row r="144" spans="1:38" hidden="1" x14ac:dyDescent="0.25">
      <c r="A144" s="101">
        <v>142</v>
      </c>
      <c r="B144" s="2" t="str">
        <f>_xlfn.XLOOKUP(наценкад5[[#This Row],[№]],ППД5[№],ППД5[Секция],"-",0)</f>
        <v>Б</v>
      </c>
      <c r="C144" s="2">
        <f>_xlfn.XLOOKUP(наценкад5[[#This Row],[№]],ППД5[№],ППД5[Этаж],"-",0)</f>
        <v>5</v>
      </c>
      <c r="D144" s="2">
        <f>_xlfn.XLOOKUP(наценкад5[[#This Row],[№]],ППД5[№],ППД5[№ на этаже],"-",0)</f>
        <v>4</v>
      </c>
      <c r="E144" s="2">
        <f>_xlfn.XLOOKUP(наценкад5[[#This Row],[№]],ППД5[№],ППД5[Тип кв],"-",0)</f>
        <v>2</v>
      </c>
      <c r="F144" s="72">
        <f>_xlfn.XLOOKUP(наценкад5[[#This Row],[№]],ППД5[№],ППД5[Кухня],"-",0)</f>
        <v>11.95</v>
      </c>
      <c r="G144" s="72">
        <f>_xlfn.XLOOKUP(наценкад5[[#This Row],[№]],ППД5[№],ППД5[Ванная],"-",0)</f>
        <v>3.86</v>
      </c>
      <c r="H144" s="72">
        <f>_xlfn.XLOOKUP(наценкад5[[#This Row],[№]],ППД5[№],ППД5[Гардеробная],"-",0)</f>
        <v>0</v>
      </c>
      <c r="I144" s="72">
        <f>_xlfn.XLOOKUP(наценкад5[[#This Row],[№]],ППД5[№],ППД5[Лоджия 2],"-",0)</f>
        <v>0</v>
      </c>
      <c r="J144" s="72">
        <f>_xlfn.XLOOKUP(наценкад5[[#This Row],[№]],ППД5[№],ППД5[С\У],"-",0)</f>
        <v>2.37</v>
      </c>
      <c r="K144" s="72">
        <f>_xlfn.XLOOKUP(наценкад5[[#This Row],[№]],ППД5[№],ППД5[Расчетная проектная площадь],"-",0)</f>
        <v>58.31</v>
      </c>
      <c r="L144" s="12">
        <f t="shared" si="2"/>
        <v>63000</v>
      </c>
      <c r="M144" s="102">
        <f>коэффициенты!$F$2</f>
        <v>1.2257</v>
      </c>
      <c r="N144" s="13">
        <f>наценкад5[[#This Row],[Цена м2 базовая]]*наценкад5[[#This Row],[Базовой K]]</f>
        <v>77219.100000000006</v>
      </c>
      <c r="O144" s="74"/>
      <c r="P144" s="74">
        <f>коэффициенты!$F$5</f>
        <v>0.01</v>
      </c>
      <c r="Q144" s="76"/>
      <c r="R144" s="76"/>
      <c r="S144" s="76">
        <f>коэффициенты!$F$9</f>
        <v>0</v>
      </c>
      <c r="T144" s="74"/>
      <c r="U144" s="74"/>
      <c r="V144" s="74"/>
      <c r="W144" s="74"/>
      <c r="X144" s="76"/>
      <c r="Y144" s="75"/>
      <c r="Z144" s="74"/>
      <c r="AA144" s="74">
        <f>коэффициенты!$F$14</f>
        <v>0.02</v>
      </c>
      <c r="AB144" s="74"/>
      <c r="AC144" s="74"/>
      <c r="AD144" s="74">
        <f>коэффициенты!$F$19</f>
        <v>5.0000000000000001E-3</v>
      </c>
      <c r="AE144" s="74"/>
      <c r="AF144" s="74"/>
      <c r="AG144" s="74"/>
      <c r="AH144" s="74"/>
      <c r="AI144" s="73">
        <f>SUM(наценкад5[[#This Row],[еврокухня]:[большая площадь]])*наценкад5[[#This Row],[Цена м2 с базовым K]]+наценкад5[[#This Row],[Цена м2 с базовым K]]</f>
        <v>79921.768500000006</v>
      </c>
      <c r="AJ144" s="72">
        <f>VLOOKUP(наценкад5[[#This Row],[№]],ППД5[],COLUMN(ППД5[[#This Row],[утв цена м2]]),0)</f>
        <v>103198.9</v>
      </c>
      <c r="AK144" s="3">
        <f>наценкад5[[#This Row],[утв цена м2]]*наценкад5[[#This Row],[Расчетная проектная площадь]]</f>
        <v>6017527.8590000002</v>
      </c>
      <c r="AL144" s="22" t="str">
        <f>VLOOKUP(наценкад5[[#This Row],[№]],ППД5[],COLUMN('Реестр ОН'!$DF$1),0)</f>
        <v>Продажа</v>
      </c>
    </row>
    <row r="145" spans="1:38" hidden="1" x14ac:dyDescent="0.25">
      <c r="A145" s="101">
        <v>143</v>
      </c>
      <c r="B145" s="2" t="str">
        <f>_xlfn.XLOOKUP(наценкад5[[#This Row],[№]],ППД5[№],ППД5[Секция],"-",0)</f>
        <v>Б</v>
      </c>
      <c r="C145" s="2">
        <f>_xlfn.XLOOKUP(наценкад5[[#This Row],[№]],ППД5[№],ППД5[Этаж],"-",0)</f>
        <v>5</v>
      </c>
      <c r="D145" s="2">
        <f>_xlfn.XLOOKUP(наценкад5[[#This Row],[№]],ППД5[№],ППД5[№ на этаже],"-",0)</f>
        <v>5</v>
      </c>
      <c r="E145" s="2">
        <f>_xlfn.XLOOKUP(наценкад5[[#This Row],[№]],ППД5[№],ППД5[Тип кв],"-",0)</f>
        <v>1</v>
      </c>
      <c r="F145" s="72">
        <f>_xlfn.XLOOKUP(наценкад5[[#This Row],[№]],ППД5[№],ППД5[Кухня],"-",0)</f>
        <v>13.18</v>
      </c>
      <c r="G145" s="72">
        <f>_xlfn.XLOOKUP(наценкад5[[#This Row],[№]],ППД5[№],ППД5[Ванная],"-",0)</f>
        <v>4.1100000000000003</v>
      </c>
      <c r="H145" s="72">
        <f>_xlfn.XLOOKUP(наценкад5[[#This Row],[№]],ППД5[№],ППД5[Гардеробная],"-",0)</f>
        <v>0</v>
      </c>
      <c r="I145" s="72">
        <f>_xlfn.XLOOKUP(наценкад5[[#This Row],[№]],ППД5[№],ППД5[Лоджия 2],"-",0)</f>
        <v>0</v>
      </c>
      <c r="J145" s="72">
        <f>_xlfn.XLOOKUP(наценкад5[[#This Row],[№]],ППД5[№],ППД5[С\У],"-",0)</f>
        <v>0</v>
      </c>
      <c r="K145" s="72">
        <f>_xlfn.XLOOKUP(наценкад5[[#This Row],[№]],ППД5[№],ППД5[Расчетная проектная площадь],"-",0)</f>
        <v>37.86</v>
      </c>
      <c r="L145" s="12">
        <f t="shared" si="2"/>
        <v>63000</v>
      </c>
      <c r="M145" s="102">
        <f>коэффициенты!$G$2</f>
        <v>1.2875000000000001</v>
      </c>
      <c r="N145" s="13">
        <f>наценкад5[[#This Row],[Цена м2 базовая]]*наценкад5[[#This Row],[Базовой K]]</f>
        <v>81112.5</v>
      </c>
      <c r="O145" s="74"/>
      <c r="P145" s="76">
        <f>коэффициенты!$G$5</f>
        <v>0.01</v>
      </c>
      <c r="Q145" s="74">
        <f>коэффициенты!$G$6</f>
        <v>0.03</v>
      </c>
      <c r="R145" s="74"/>
      <c r="S145" s="74"/>
      <c r="T145" s="74"/>
      <c r="U145" s="74"/>
      <c r="V145" s="74">
        <f>коэффициенты!$G$11</f>
        <v>0.01</v>
      </c>
      <c r="W145" s="74"/>
      <c r="X145" s="74">
        <f>коэффициенты!$G$13</f>
        <v>0.01</v>
      </c>
      <c r="Y145" s="75"/>
      <c r="Z145" s="74"/>
      <c r="AA145" s="74">
        <f>коэффициенты!$G$14</f>
        <v>0.01</v>
      </c>
      <c r="AB145" s="74"/>
      <c r="AC145" s="74"/>
      <c r="AD145" s="74">
        <f>коэффициенты!$G$19</f>
        <v>0.01</v>
      </c>
      <c r="AE145" s="74"/>
      <c r="AF145" s="74"/>
      <c r="AG145" s="74"/>
      <c r="AH145" s="74"/>
      <c r="AI145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145" s="72">
        <f>VLOOKUP(наценкад5[[#This Row],[№]],ППД5[],COLUMN(ППД5[[#This Row],[утв цена м2]]),0)</f>
        <v>140210.01</v>
      </c>
      <c r="AK145" s="3">
        <f>наценкад5[[#This Row],[утв цена м2]]*наценкад5[[#This Row],[Расчетная проектная площадь]]</f>
        <v>5308350.9786</v>
      </c>
      <c r="AL145" s="22" t="str">
        <f>VLOOKUP(наценкад5[[#This Row],[№]],ППД5[],COLUMN('Реестр ОН'!$DF$1),0)</f>
        <v>Свободно</v>
      </c>
    </row>
    <row r="146" spans="1:38" hidden="1" x14ac:dyDescent="0.25">
      <c r="A146" s="101">
        <v>144</v>
      </c>
      <c r="B146" s="2" t="str">
        <f>_xlfn.XLOOKUP(наценкад5[[#This Row],[№]],ППД5[№],ППД5[Секция],"-",0)</f>
        <v>Б</v>
      </c>
      <c r="C146" s="2">
        <f>_xlfn.XLOOKUP(наценкад5[[#This Row],[№]],ППД5[№],ППД5[Этаж],"-",0)</f>
        <v>5</v>
      </c>
      <c r="D146" s="2">
        <f>_xlfn.XLOOKUP(наценкад5[[#This Row],[№]],ППД5[№],ППД5[№ на этаже],"-",0)</f>
        <v>6</v>
      </c>
      <c r="E146" s="2">
        <f>_xlfn.XLOOKUP(наценкад5[[#This Row],[№]],ППД5[№],ППД5[Тип кв],"-",0)</f>
        <v>3</v>
      </c>
      <c r="F146" s="72">
        <f>_xlfn.XLOOKUP(наценкад5[[#This Row],[№]],ППД5[№],ППД5[Кухня],"-",0)</f>
        <v>13.39</v>
      </c>
      <c r="G146" s="72">
        <f>_xlfn.XLOOKUP(наценкад5[[#This Row],[№]],ППД5[№],ППД5[Ванная],"-",0)</f>
        <v>4.2</v>
      </c>
      <c r="H146" s="72">
        <f>_xlfn.XLOOKUP(наценкад5[[#This Row],[№]],ППД5[№],ППД5[Гардеробная],"-",0)</f>
        <v>0</v>
      </c>
      <c r="I146" s="72">
        <f>_xlfn.XLOOKUP(наценкад5[[#This Row],[№]],ППД5[№],ППД5[Лоджия 2],"-",0)</f>
        <v>2.68</v>
      </c>
      <c r="J146" s="72">
        <f>_xlfn.XLOOKUP(наценкад5[[#This Row],[№]],ППД5[№],ППД5[С\У],"-",0)</f>
        <v>2.0499999999999998</v>
      </c>
      <c r="K146" s="72">
        <f>_xlfn.XLOOKUP(наценкад5[[#This Row],[№]],ППД5[№],ППД5[Расчетная проектная площадь],"-",0)</f>
        <v>84.99</v>
      </c>
      <c r="L146" s="12">
        <f t="shared" si="2"/>
        <v>63000</v>
      </c>
      <c r="M146" s="27">
        <f>коэффициенты!$E$2</f>
        <v>1.1330000000000002</v>
      </c>
      <c r="N146" s="13">
        <f>наценкад5[[#This Row],[Цена м2 базовая]]*наценкад5[[#This Row],[Базовой K]]</f>
        <v>71379.000000000015</v>
      </c>
      <c r="O146" s="74"/>
      <c r="P146" s="74">
        <f>коэффициенты!$E$5</f>
        <v>0</v>
      </c>
      <c r="Q146" s="74">
        <f>коэффициенты!$E$6</f>
        <v>0.01</v>
      </c>
      <c r="R146" s="74"/>
      <c r="S146" s="74">
        <f>коэффициенты!$E$9</f>
        <v>0</v>
      </c>
      <c r="T146" s="74">
        <f>коэффициенты!$E$7</f>
        <v>0</v>
      </c>
      <c r="U146" s="74"/>
      <c r="V146" s="74"/>
      <c r="W146" s="75"/>
      <c r="X146" s="74"/>
      <c r="Y146" s="75"/>
      <c r="Z146" s="74"/>
      <c r="AA146" s="74">
        <f>коэффициенты!$E$14</f>
        <v>0</v>
      </c>
      <c r="AB146" s="74">
        <f>коэффициенты!$E$17</f>
        <v>0</v>
      </c>
      <c r="AC146" s="74"/>
      <c r="AD146" s="76"/>
      <c r="AE146" s="76"/>
      <c r="AF146" s="76"/>
      <c r="AG146" s="74"/>
      <c r="AH146" s="74">
        <f>'отрицательный кф'!$O$33</f>
        <v>0</v>
      </c>
      <c r="AI146" s="73">
        <f>SUM(наценкад5[[#This Row],[еврокухня]:[большая площадь]])*наценкад5[[#This Row],[Цена м2 с базовым K]]+наценкад5[[#This Row],[Цена м2 с базовым K]]</f>
        <v>72092.790000000008</v>
      </c>
      <c r="AJ146" s="72">
        <f>VLOOKUP(наценкад5[[#This Row],[№]],ППД5[],COLUMN(ППД5[[#This Row],[утв цена м2]]),0)</f>
        <v>111033.74</v>
      </c>
      <c r="AK146" s="3">
        <f>наценкад5[[#This Row],[утв цена м2]]*наценкад5[[#This Row],[Расчетная проектная площадь]]</f>
        <v>9436757.5625999998</v>
      </c>
      <c r="AL146" s="22" t="str">
        <f>VLOOKUP(наценкад5[[#This Row],[№]],ППД5[],COLUMN('Реестр ОН'!$DF$1),0)</f>
        <v>Свободно</v>
      </c>
    </row>
    <row r="147" spans="1:38" hidden="1" x14ac:dyDescent="0.25">
      <c r="A147" s="101">
        <v>145</v>
      </c>
      <c r="B147" s="2" t="str">
        <f>_xlfn.XLOOKUP(наценкад5[[#This Row],[№]],ППД5[№],ППД5[Секция],"-",0)</f>
        <v>Б</v>
      </c>
      <c r="C147" s="2">
        <f>_xlfn.XLOOKUP(наценкад5[[#This Row],[№]],ППД5[№],ППД5[Этаж],"-",0)</f>
        <v>5</v>
      </c>
      <c r="D147" s="2">
        <f>_xlfn.XLOOKUP(наценкад5[[#This Row],[№]],ППД5[№],ППД5[№ на этаже],"-",0)</f>
        <v>7</v>
      </c>
      <c r="E147" s="2">
        <f>_xlfn.XLOOKUP(наценкад5[[#This Row],[№]],ППД5[№],ППД5[Тип кв],"-",0)</f>
        <v>1</v>
      </c>
      <c r="F147" s="72">
        <f>_xlfn.XLOOKUP(наценкад5[[#This Row],[№]],ППД5[№],ППД5[Кухня],"-",0)</f>
        <v>13.04</v>
      </c>
      <c r="G147" s="72">
        <f>_xlfn.XLOOKUP(наценкад5[[#This Row],[№]],ППД5[№],ППД5[Ванная],"-",0)</f>
        <v>3.9</v>
      </c>
      <c r="H147" s="72">
        <f>_xlfn.XLOOKUP(наценкад5[[#This Row],[№]],ППД5[№],ППД5[Гардеробная],"-",0)</f>
        <v>0</v>
      </c>
      <c r="I147" s="72">
        <f>_xlfn.XLOOKUP(наценкад5[[#This Row],[№]],ППД5[№],ППД5[Лоджия 2],"-",0)</f>
        <v>0</v>
      </c>
      <c r="J147" s="72">
        <f>_xlfn.XLOOKUP(наценкад5[[#This Row],[№]],ППД5[№],ППД5[С\У],"-",0)</f>
        <v>0</v>
      </c>
      <c r="K147" s="72">
        <f>_xlfn.XLOOKUP(наценкад5[[#This Row],[№]],ППД5[№],ППД5[Расчетная проектная площадь],"-",0)</f>
        <v>42.28</v>
      </c>
      <c r="L147" s="12">
        <f t="shared" si="2"/>
        <v>63000</v>
      </c>
      <c r="M147" s="102">
        <f>коэффициенты!$G$2</f>
        <v>1.2875000000000001</v>
      </c>
      <c r="N147" s="13">
        <f>наценкад5[[#This Row],[Цена м2 базовая]]*наценкад5[[#This Row],[Базовой K]]</f>
        <v>81112.5</v>
      </c>
      <c r="O147" s="74"/>
      <c r="P147" s="76">
        <f>коэффициенты!$G$5</f>
        <v>0.01</v>
      </c>
      <c r="Q147" s="74"/>
      <c r="R147" s="74"/>
      <c r="S147" s="74"/>
      <c r="T147" s="74"/>
      <c r="U147" s="74"/>
      <c r="V147" s="74">
        <f>коэффициенты!$G$11</f>
        <v>0.01</v>
      </c>
      <c r="W147" s="74"/>
      <c r="X147" s="74"/>
      <c r="Y147" s="75"/>
      <c r="Z147" s="74"/>
      <c r="AA147" s="74">
        <f>коэффициенты!$G$14</f>
        <v>0.01</v>
      </c>
      <c r="AB147" s="74"/>
      <c r="AC147" s="74"/>
      <c r="AD147" s="74">
        <f>коэффициенты!$G$19</f>
        <v>0.01</v>
      </c>
      <c r="AE147" s="74"/>
      <c r="AF147" s="74"/>
      <c r="AG147" s="74">
        <f>коэффициенты!$A$24</f>
        <v>-5.0000000000000001E-3</v>
      </c>
      <c r="AH147" s="74"/>
      <c r="AI147" s="73">
        <f>SUM(наценкад5[[#This Row],[еврокухня]:[большая площадь]])*наценкад5[[#This Row],[Цена м2 с базовым K]]+наценкад5[[#This Row],[Цена м2 с базовым K]]</f>
        <v>83951.4375</v>
      </c>
      <c r="AJ147" s="72">
        <f>VLOOKUP(наценкад5[[#This Row],[№]],ППД5[],COLUMN(ППД5[[#This Row],[утв цена м2]]),0)</f>
        <v>111038.69</v>
      </c>
      <c r="AK147" s="3">
        <f>наценкад5[[#This Row],[утв цена м2]]*наценкад5[[#This Row],[Расчетная проектная площадь]]</f>
        <v>4694715.8132000007</v>
      </c>
      <c r="AL147" s="22" t="str">
        <f>VLOOKUP(наценкад5[[#This Row],[№]],ППД5[],COLUMN('Реестр ОН'!$DF$1),0)</f>
        <v>Продажа</v>
      </c>
    </row>
    <row r="148" spans="1:38" hidden="1" x14ac:dyDescent="0.25">
      <c r="A148" s="101">
        <v>146</v>
      </c>
      <c r="B148" s="2" t="str">
        <f>_xlfn.XLOOKUP(наценкад5[[#This Row],[№]],ППД5[№],ППД5[Секция],"-",0)</f>
        <v>Б</v>
      </c>
      <c r="C148" s="2">
        <f>_xlfn.XLOOKUP(наценкад5[[#This Row],[№]],ППД5[№],ППД5[Этаж],"-",0)</f>
        <v>6</v>
      </c>
      <c r="D148" s="2">
        <f>_xlfn.XLOOKUP(наценкад5[[#This Row],[№]],ППД5[№],ППД5[№ на этаже],"-",0)</f>
        <v>1</v>
      </c>
      <c r="E148" s="2">
        <f>_xlfn.XLOOKUP(наценкад5[[#This Row],[№]],ППД5[№],ППД5[Тип кв],"-",0)</f>
        <v>2</v>
      </c>
      <c r="F148" s="72">
        <f>_xlfn.XLOOKUP(наценкад5[[#This Row],[№]],ППД5[№],ППД5[Кухня],"-",0)</f>
        <v>15.31</v>
      </c>
      <c r="G148" s="72">
        <f>_xlfn.XLOOKUP(наценкад5[[#This Row],[№]],ППД5[№],ППД5[Ванная],"-",0)</f>
        <v>3.85</v>
      </c>
      <c r="H148" s="72">
        <f>_xlfn.XLOOKUP(наценкад5[[#This Row],[№]],ППД5[№],ППД5[Гардеробная],"-",0)</f>
        <v>0</v>
      </c>
      <c r="I148" s="72">
        <f>_xlfn.XLOOKUP(наценкад5[[#This Row],[№]],ППД5[№],ППД5[Лоджия 2],"-",0)</f>
        <v>0</v>
      </c>
      <c r="J148" s="72">
        <f>_xlfn.XLOOKUP(наценкад5[[#This Row],[№]],ППД5[№],ППД5[С\У],"-",0)</f>
        <v>2.2999999999999998</v>
      </c>
      <c r="K148" s="72">
        <f>_xlfn.XLOOKUP(наценкад5[[#This Row],[№]],ППД5[№],ППД5[Расчетная проектная площадь],"-",0)</f>
        <v>60.22</v>
      </c>
      <c r="L148" s="12">
        <f t="shared" si="2"/>
        <v>63000</v>
      </c>
      <c r="M148" s="102">
        <f>коэффициенты!$F$2</f>
        <v>1.2257</v>
      </c>
      <c r="N148" s="13">
        <f>наценкад5[[#This Row],[Цена м2 базовая]]*наценкад5[[#This Row],[Базовой K]]</f>
        <v>77219.100000000006</v>
      </c>
      <c r="O148" s="76">
        <f>коэффициенты!$F$4</f>
        <v>1.4999999999999999E-2</v>
      </c>
      <c r="P148" s="74"/>
      <c r="Q148" s="76"/>
      <c r="R148" s="76"/>
      <c r="S148" s="76">
        <f>коэффициенты!$F$9</f>
        <v>0</v>
      </c>
      <c r="T148" s="74"/>
      <c r="U148" s="74"/>
      <c r="V148" s="74"/>
      <c r="W148" s="74">
        <f>коэффициенты!$F$12</f>
        <v>0.02</v>
      </c>
      <c r="X148" s="74">
        <f>коэффициенты!$F$13</f>
        <v>0.02</v>
      </c>
      <c r="Y148" s="75"/>
      <c r="Z148" s="74"/>
      <c r="AA148" s="74"/>
      <c r="AB148" s="74"/>
      <c r="AC148" s="74"/>
      <c r="AD148" s="74">
        <f>коэффициенты!$F$19</f>
        <v>5.0000000000000001E-3</v>
      </c>
      <c r="AE148" s="74"/>
      <c r="AF148" s="74"/>
      <c r="AG148" s="74"/>
      <c r="AH148" s="74"/>
      <c r="AI148" s="73">
        <f>SUM(наценкад5[[#This Row],[еврокухня]:[большая площадь]])*наценкад5[[#This Row],[Цена м2 с базовым K]]+наценкад5[[#This Row],[Цена м2 с базовым K]]</f>
        <v>81852.246000000014</v>
      </c>
      <c r="AJ148" s="72">
        <f>VLOOKUP(наценкад5[[#This Row],[№]],ППД5[],COLUMN(ППД5[[#This Row],[утв цена м2]]),0)</f>
        <v>123530.7</v>
      </c>
      <c r="AK148" s="3">
        <f>наценкад5[[#This Row],[утв цена м2]]*наценкад5[[#This Row],[Расчетная проектная площадь]]</f>
        <v>7439018.7539999997</v>
      </c>
      <c r="AL148" s="22" t="str">
        <f>VLOOKUP(наценкад5[[#This Row],[№]],ППД5[],COLUMN('Реестр ОН'!$DF$1),0)</f>
        <v>Ус. Бронь</v>
      </c>
    </row>
    <row r="149" spans="1:38" hidden="1" x14ac:dyDescent="0.25">
      <c r="A149" s="101">
        <v>147</v>
      </c>
      <c r="B149" s="2" t="str">
        <f>_xlfn.XLOOKUP(наценкад5[[#This Row],[№]],ППД5[№],ППД5[Секция],"-",0)</f>
        <v>Б</v>
      </c>
      <c r="C149" s="2">
        <f>_xlfn.XLOOKUP(наценкад5[[#This Row],[№]],ППД5[№],ППД5[Этаж],"-",0)</f>
        <v>6</v>
      </c>
      <c r="D149" s="2">
        <f>_xlfn.XLOOKUP(наценкад5[[#This Row],[№]],ППД5[№],ППД5[№ на этаже],"-",0)</f>
        <v>2</v>
      </c>
      <c r="E149" s="2">
        <f>_xlfn.XLOOKUP(наценкад5[[#This Row],[№]],ППД5[№],ППД5[Тип кв],"-",0)</f>
        <v>0</v>
      </c>
      <c r="F149" s="72">
        <f>_xlfn.XLOOKUP(наценкад5[[#This Row],[№]],ППД5[№],ППД5[Кухня],"-",0)</f>
        <v>5.12</v>
      </c>
      <c r="G149" s="72">
        <f>_xlfn.XLOOKUP(наценкад5[[#This Row],[№]],ППД5[№],ППД5[Ванная],"-",0)</f>
        <v>3.65</v>
      </c>
      <c r="H149" s="72">
        <f>_xlfn.XLOOKUP(наценкад5[[#This Row],[№]],ППД5[№],ППД5[Гардеробная],"-",0)</f>
        <v>0</v>
      </c>
      <c r="I149" s="72">
        <f>_xlfn.XLOOKUP(наценкад5[[#This Row],[№]],ППД5[№],ППД5[Лоджия 2],"-",0)</f>
        <v>0</v>
      </c>
      <c r="J149" s="72">
        <f>_xlfn.XLOOKUP(наценкад5[[#This Row],[№]],ППД5[№],ППД5[С\У],"-",0)</f>
        <v>0</v>
      </c>
      <c r="K149" s="72">
        <f>_xlfn.XLOOKUP(наценкад5[[#This Row],[№]],ППД5[№],ППД5[Расчетная проектная площадь],"-",0)</f>
        <v>24.28</v>
      </c>
      <c r="L149" s="12">
        <f t="shared" si="2"/>
        <v>63000</v>
      </c>
      <c r="M149" s="116">
        <f>коэффициенты!$H$2</f>
        <v>1.3905000000000001</v>
      </c>
      <c r="N149" s="13">
        <f>наценкад5[[#This Row],[Цена м2 базовая]]*наценкад5[[#This Row],[Базовой K]]</f>
        <v>87601.5</v>
      </c>
      <c r="O149" s="74"/>
      <c r="P149" s="74"/>
      <c r="Q149" s="74"/>
      <c r="R149" s="74"/>
      <c r="S149" s="74"/>
      <c r="T149" s="74"/>
      <c r="U149" s="74"/>
      <c r="V149" s="74">
        <f>коэффициенты!$H$11</f>
        <v>0.01</v>
      </c>
      <c r="W149" s="74">
        <f>коэффициенты!$H$12</f>
        <v>0.02</v>
      </c>
      <c r="X149" s="74">
        <f>коэффициенты!$H$13</f>
        <v>0.01</v>
      </c>
      <c r="Y149" s="75"/>
      <c r="Z149" s="74"/>
      <c r="AA149" s="74"/>
      <c r="AB149" s="74"/>
      <c r="AC149" s="74"/>
      <c r="AD149" s="74">
        <f>коэффициенты!$H$19</f>
        <v>0.01</v>
      </c>
      <c r="AE149" s="74"/>
      <c r="AF149" s="74"/>
      <c r="AG149" s="74"/>
      <c r="AH149" s="74"/>
      <c r="AI149" s="73">
        <f>SUM(наценкад5[[#This Row],[еврокухня]:[большая площадь]])*наценкад5[[#This Row],[Цена м2 с базовым K]]+наценкад5[[#This Row],[Цена м2 с базовым K]]</f>
        <v>91981.574999999997</v>
      </c>
      <c r="AJ149" s="72">
        <f>VLOOKUP(наценкад5[[#This Row],[№]],ППД5[],COLUMN(ППД5[[#This Row],[утв цена м2]]),0)</f>
        <v>91981.58</v>
      </c>
      <c r="AK149" s="3">
        <f>наценкад5[[#This Row],[утв цена м2]]*наценкад5[[#This Row],[Расчетная проектная площадь]]</f>
        <v>2233312.7624000004</v>
      </c>
      <c r="AL149" s="22" t="str">
        <f>VLOOKUP(наценкад5[[#This Row],[№]],ППД5[],COLUMN('Реестр ОН'!$DF$1),0)</f>
        <v>Продажа</v>
      </c>
    </row>
    <row r="150" spans="1:38" hidden="1" x14ac:dyDescent="0.25">
      <c r="A150" s="101">
        <v>148</v>
      </c>
      <c r="B150" s="2" t="str">
        <f>_xlfn.XLOOKUP(наценкад5[[#This Row],[№]],ППД5[№],ППД5[Секция],"-",0)</f>
        <v>Б</v>
      </c>
      <c r="C150" s="2">
        <f>_xlfn.XLOOKUP(наценкад5[[#This Row],[№]],ППД5[№],ППД5[Этаж],"-",0)</f>
        <v>6</v>
      </c>
      <c r="D150" s="2">
        <f>_xlfn.XLOOKUP(наценкад5[[#This Row],[№]],ППД5[№],ППД5[№ на этаже],"-",0)</f>
        <v>3</v>
      </c>
      <c r="E150" s="2">
        <f>_xlfn.XLOOKUP(наценкад5[[#This Row],[№]],ППД5[№],ППД5[Тип кв],"-",0)</f>
        <v>2</v>
      </c>
      <c r="F150" s="72">
        <f>_xlfn.XLOOKUP(наценкад5[[#This Row],[№]],ППД5[№],ППД5[Кухня],"-",0)</f>
        <v>14.35</v>
      </c>
      <c r="G150" s="72">
        <f>_xlfn.XLOOKUP(наценкад5[[#This Row],[№]],ППД5[№],ППД5[Ванная],"-",0)</f>
        <v>3.68</v>
      </c>
      <c r="H150" s="72">
        <f>_xlfn.XLOOKUP(наценкад5[[#This Row],[№]],ППД5[№],ППД5[Гардеробная],"-",0)</f>
        <v>0</v>
      </c>
      <c r="I150" s="72">
        <f>_xlfn.XLOOKUP(наценкад5[[#This Row],[№]],ППД5[№],ППД5[Лоджия 2],"-",0)</f>
        <v>0</v>
      </c>
      <c r="J150" s="72">
        <f>_xlfn.XLOOKUP(наценкад5[[#This Row],[№]],ППД5[№],ППД5[С\У],"-",0)</f>
        <v>2.57</v>
      </c>
      <c r="K150" s="72">
        <f>_xlfn.XLOOKUP(наценкад5[[#This Row],[№]],ППД5[№],ППД5[Расчетная проектная площадь],"-",0)</f>
        <v>57.6</v>
      </c>
      <c r="L150" s="12">
        <f t="shared" si="2"/>
        <v>63000</v>
      </c>
      <c r="M150" s="102">
        <f>коэффициенты!$F$2</f>
        <v>1.2257</v>
      </c>
      <c r="N150" s="13">
        <f>наценкад5[[#This Row],[Цена м2 базовая]]*наценкад5[[#This Row],[Базовой K]]</f>
        <v>77219.100000000006</v>
      </c>
      <c r="O150" s="76">
        <f>коэффициенты!$F$4</f>
        <v>1.4999999999999999E-2</v>
      </c>
      <c r="P150" s="74"/>
      <c r="Q150" s="76"/>
      <c r="R150" s="76"/>
      <c r="S150" s="76">
        <f>коэффициенты!$F$9</f>
        <v>0</v>
      </c>
      <c r="T150" s="74"/>
      <c r="U150" s="74"/>
      <c r="V150" s="74"/>
      <c r="W150" s="75">
        <f>коэффициенты!$F$12</f>
        <v>0.02</v>
      </c>
      <c r="X150" s="74"/>
      <c r="Y150" s="75"/>
      <c r="Z150" s="74"/>
      <c r="AA150" s="74"/>
      <c r="AB150" s="74"/>
      <c r="AC150" s="74"/>
      <c r="AD150" s="74">
        <f>коэффициенты!$F$19</f>
        <v>5.0000000000000001E-3</v>
      </c>
      <c r="AE150" s="74"/>
      <c r="AF150" s="74"/>
      <c r="AG150" s="74"/>
      <c r="AH150" s="74"/>
      <c r="AI150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150" s="72">
        <f>VLOOKUP(наценкад5[[#This Row],[№]],ППД5[],COLUMN(ППД5[[#This Row],[утв цена м2]]),0)</f>
        <v>99206.67</v>
      </c>
      <c r="AK150" s="3">
        <f>наценкад5[[#This Row],[утв цена м2]]*наценкад5[[#This Row],[Расчетная проектная площадь]]</f>
        <v>5714304.1919999998</v>
      </c>
      <c r="AL150" s="22" t="str">
        <f>VLOOKUP(наценкад5[[#This Row],[№]],ППД5[],COLUMN('Реестр ОН'!$DF$1),0)</f>
        <v>Продажа</v>
      </c>
    </row>
    <row r="151" spans="1:38" hidden="1" x14ac:dyDescent="0.25">
      <c r="A151" s="101">
        <v>149</v>
      </c>
      <c r="B151" s="2" t="str">
        <f>_xlfn.XLOOKUP(наценкад5[[#This Row],[№]],ППД5[№],ППД5[Секция],"-",0)</f>
        <v>Б</v>
      </c>
      <c r="C151" s="2">
        <f>_xlfn.XLOOKUP(наценкад5[[#This Row],[№]],ППД5[№],ППД5[Этаж],"-",0)</f>
        <v>6</v>
      </c>
      <c r="D151" s="2">
        <f>_xlfn.XLOOKUP(наценкад5[[#This Row],[№]],ППД5[№],ППД5[№ на этаже],"-",0)</f>
        <v>4</v>
      </c>
      <c r="E151" s="2">
        <f>_xlfn.XLOOKUP(наценкад5[[#This Row],[№]],ППД5[№],ППД5[Тип кв],"-",0)</f>
        <v>2</v>
      </c>
      <c r="F151" s="72">
        <f>_xlfn.XLOOKUP(наценкад5[[#This Row],[№]],ППД5[№],ППД5[Кухня],"-",0)</f>
        <v>11.95</v>
      </c>
      <c r="G151" s="72">
        <f>_xlfn.XLOOKUP(наценкад5[[#This Row],[№]],ППД5[№],ППД5[Ванная],"-",0)</f>
        <v>3.86</v>
      </c>
      <c r="H151" s="72">
        <f>_xlfn.XLOOKUP(наценкад5[[#This Row],[№]],ППД5[№],ППД5[Гардеробная],"-",0)</f>
        <v>0</v>
      </c>
      <c r="I151" s="72">
        <f>_xlfn.XLOOKUP(наценкад5[[#This Row],[№]],ППД5[№],ППД5[Лоджия 2],"-",0)</f>
        <v>0</v>
      </c>
      <c r="J151" s="72">
        <f>_xlfn.XLOOKUP(наценкад5[[#This Row],[№]],ППД5[№],ППД5[С\У],"-",0)</f>
        <v>2.37</v>
      </c>
      <c r="K151" s="72">
        <f>_xlfn.XLOOKUP(наценкад5[[#This Row],[№]],ППД5[№],ППД5[Расчетная проектная площадь],"-",0)</f>
        <v>58.31</v>
      </c>
      <c r="L151" s="12">
        <f t="shared" si="2"/>
        <v>63000</v>
      </c>
      <c r="M151" s="102">
        <f>коэффициенты!$F$2</f>
        <v>1.2257</v>
      </c>
      <c r="N151" s="13">
        <f>наценкад5[[#This Row],[Цена м2 базовая]]*наценкад5[[#This Row],[Базовой K]]</f>
        <v>77219.100000000006</v>
      </c>
      <c r="O151" s="74"/>
      <c r="P151" s="74">
        <f>коэффициенты!$F$5</f>
        <v>0.01</v>
      </c>
      <c r="Q151" s="76"/>
      <c r="R151" s="76"/>
      <c r="S151" s="76">
        <f>коэффициенты!$F$9</f>
        <v>0</v>
      </c>
      <c r="T151" s="74"/>
      <c r="U151" s="74"/>
      <c r="V151" s="74"/>
      <c r="W151" s="75">
        <f>коэффициенты!$F$12</f>
        <v>0.02</v>
      </c>
      <c r="X151" s="76"/>
      <c r="Y151" s="75"/>
      <c r="Z151" s="74"/>
      <c r="AA151" s="74">
        <f>коэффициенты!$F$14</f>
        <v>0.02</v>
      </c>
      <c r="AB151" s="74"/>
      <c r="AC151" s="74"/>
      <c r="AD151" s="74">
        <f>коэффициенты!$F$19</f>
        <v>5.0000000000000001E-3</v>
      </c>
      <c r="AE151" s="74"/>
      <c r="AF151" s="74"/>
      <c r="AG151" s="74"/>
      <c r="AH151" s="74"/>
      <c r="AI151" s="73">
        <f>SUM(наценкад5[[#This Row],[еврокухня]:[большая площадь]])*наценкад5[[#This Row],[Цена м2 с базовым K]]+наценкад5[[#This Row],[Цена м2 с базовым K]]</f>
        <v>81466.150500000003</v>
      </c>
      <c r="AJ151" s="72">
        <f>VLOOKUP(наценкад5[[#This Row],[№]],ППД5[],COLUMN(ППД5[[#This Row],[утв цена м2]]),0)</f>
        <v>126023.24</v>
      </c>
      <c r="AK151" s="3">
        <f>наценкад5[[#This Row],[утв цена м2]]*наценкад5[[#This Row],[Расчетная проектная площадь]]</f>
        <v>7348415.124400001</v>
      </c>
      <c r="AL151" s="22" t="str">
        <f>VLOOKUP(наценкад5[[#This Row],[№]],ППД5[],COLUMN('Реестр ОН'!$DF$1),0)</f>
        <v>Продажа</v>
      </c>
    </row>
    <row r="152" spans="1:38" hidden="1" x14ac:dyDescent="0.25">
      <c r="A152" s="101">
        <v>150</v>
      </c>
      <c r="B152" s="2" t="str">
        <f>_xlfn.XLOOKUP(наценкад5[[#This Row],[№]],ППД5[№],ППД5[Секция],"-",0)</f>
        <v>Б</v>
      </c>
      <c r="C152" s="2">
        <f>_xlfn.XLOOKUP(наценкад5[[#This Row],[№]],ППД5[№],ППД5[Этаж],"-",0)</f>
        <v>6</v>
      </c>
      <c r="D152" s="2">
        <f>_xlfn.XLOOKUP(наценкад5[[#This Row],[№]],ППД5[№],ППД5[№ на этаже],"-",0)</f>
        <v>5</v>
      </c>
      <c r="E152" s="2">
        <f>_xlfn.XLOOKUP(наценкад5[[#This Row],[№]],ППД5[№],ППД5[Тип кв],"-",0)</f>
        <v>1</v>
      </c>
      <c r="F152" s="72">
        <f>_xlfn.XLOOKUP(наценкад5[[#This Row],[№]],ППД5[№],ППД5[Кухня],"-",0)</f>
        <v>13.18</v>
      </c>
      <c r="G152" s="72">
        <f>_xlfn.XLOOKUP(наценкад5[[#This Row],[№]],ППД5[№],ППД5[Ванная],"-",0)</f>
        <v>4.1100000000000003</v>
      </c>
      <c r="H152" s="72">
        <f>_xlfn.XLOOKUP(наценкад5[[#This Row],[№]],ППД5[№],ППД5[Гардеробная],"-",0)</f>
        <v>0</v>
      </c>
      <c r="I152" s="72">
        <f>_xlfn.XLOOKUP(наценкад5[[#This Row],[№]],ППД5[№],ППД5[Лоджия 2],"-",0)</f>
        <v>0</v>
      </c>
      <c r="J152" s="72">
        <f>_xlfn.XLOOKUP(наценкад5[[#This Row],[№]],ППД5[№],ППД5[С\У],"-",0)</f>
        <v>0</v>
      </c>
      <c r="K152" s="72">
        <f>_xlfn.XLOOKUP(наценкад5[[#This Row],[№]],ППД5[№],ППД5[Расчетная проектная площадь],"-",0)</f>
        <v>37.86</v>
      </c>
      <c r="L152" s="12">
        <f t="shared" si="2"/>
        <v>63000</v>
      </c>
      <c r="M152" s="102">
        <f>коэффициенты!$G$2</f>
        <v>1.2875000000000001</v>
      </c>
      <c r="N152" s="13">
        <f>наценкад5[[#This Row],[Цена м2 базовая]]*наценкад5[[#This Row],[Базовой K]]</f>
        <v>81112.5</v>
      </c>
      <c r="O152" s="74"/>
      <c r="P152" s="76">
        <f>коэффициенты!$G$5</f>
        <v>0.01</v>
      </c>
      <c r="Q152" s="74">
        <f>коэффициенты!$G$6</f>
        <v>0.03</v>
      </c>
      <c r="R152" s="74"/>
      <c r="S152" s="74"/>
      <c r="T152" s="74"/>
      <c r="U152" s="74"/>
      <c r="V152" s="74">
        <f>коэффициенты!$G$11</f>
        <v>0.01</v>
      </c>
      <c r="W152" s="75">
        <f>коэффициенты!$G$12</f>
        <v>0.02</v>
      </c>
      <c r="X152" s="74">
        <f>коэффициенты!$G$13</f>
        <v>0.01</v>
      </c>
      <c r="Y152" s="75"/>
      <c r="Z152" s="74"/>
      <c r="AA152" s="74">
        <f>коэффициенты!$G$14</f>
        <v>0.01</v>
      </c>
      <c r="AB152" s="74"/>
      <c r="AC152" s="74"/>
      <c r="AD152" s="74">
        <f>коэффициенты!$G$19</f>
        <v>0.01</v>
      </c>
      <c r="AE152" s="74"/>
      <c r="AF152" s="74"/>
      <c r="AG152" s="74"/>
      <c r="AH152" s="74"/>
      <c r="AI152" s="73">
        <f>SUM(наценкад5[[#This Row],[еврокухня]:[большая площадь]])*наценкад5[[#This Row],[Цена м2 с базовым K]]+наценкад5[[#This Row],[Цена м2 с базовым K]]</f>
        <v>89223.75</v>
      </c>
      <c r="AJ152" s="72">
        <f>VLOOKUP(наценкад5[[#This Row],[№]],ППД5[],COLUMN(ППД5[[#This Row],[утв цена м2]]),0)</f>
        <v>116810.49</v>
      </c>
      <c r="AK152" s="3">
        <f>наценкад5[[#This Row],[утв цена м2]]*наценкад5[[#This Row],[Расчетная проектная площадь]]</f>
        <v>4422445.1513999999</v>
      </c>
      <c r="AL152" s="22" t="str">
        <f>VLOOKUP(наценкад5[[#This Row],[№]],ППД5[],COLUMN('Реестр ОН'!$DF$1),0)</f>
        <v>Продажа</v>
      </c>
    </row>
    <row r="153" spans="1:38" hidden="1" x14ac:dyDescent="0.25">
      <c r="A153" s="101">
        <v>151</v>
      </c>
      <c r="B153" s="2" t="str">
        <f>_xlfn.XLOOKUP(наценкад5[[#This Row],[№]],ППД5[№],ППД5[Секция],"-",0)</f>
        <v>Б</v>
      </c>
      <c r="C153" s="2">
        <f>_xlfn.XLOOKUP(наценкад5[[#This Row],[№]],ППД5[№],ППД5[Этаж],"-",0)</f>
        <v>6</v>
      </c>
      <c r="D153" s="2">
        <f>_xlfn.XLOOKUP(наценкад5[[#This Row],[№]],ППД5[№],ППД5[№ на этаже],"-",0)</f>
        <v>6</v>
      </c>
      <c r="E153" s="2">
        <f>_xlfn.XLOOKUP(наценкад5[[#This Row],[№]],ППД5[№],ППД5[Тип кв],"-",0)</f>
        <v>3</v>
      </c>
      <c r="F153" s="72">
        <f>_xlfn.XLOOKUP(наценкад5[[#This Row],[№]],ППД5[№],ППД5[Кухня],"-",0)</f>
        <v>13.39</v>
      </c>
      <c r="G153" s="72">
        <f>_xlfn.XLOOKUP(наценкад5[[#This Row],[№]],ППД5[№],ППД5[Ванная],"-",0)</f>
        <v>4.2</v>
      </c>
      <c r="H153" s="72">
        <f>_xlfn.XLOOKUP(наценкад5[[#This Row],[№]],ППД5[№],ППД5[Гардеробная],"-",0)</f>
        <v>0</v>
      </c>
      <c r="I153" s="72">
        <f>_xlfn.XLOOKUP(наценкад5[[#This Row],[№]],ППД5[№],ППД5[Лоджия 2],"-",0)</f>
        <v>2.68</v>
      </c>
      <c r="J153" s="72">
        <f>_xlfn.XLOOKUP(наценкад5[[#This Row],[№]],ППД5[№],ППД5[С\У],"-",0)</f>
        <v>2.0499999999999998</v>
      </c>
      <c r="K153" s="72">
        <f>_xlfn.XLOOKUP(наценкад5[[#This Row],[№]],ППД5[№],ППД5[Расчетная проектная площадь],"-",0)</f>
        <v>84.99</v>
      </c>
      <c r="L153" s="12">
        <f t="shared" si="2"/>
        <v>63000</v>
      </c>
      <c r="M153" s="27">
        <f>коэффициенты!$E$2</f>
        <v>1.1330000000000002</v>
      </c>
      <c r="N153" s="13">
        <f>наценкад5[[#This Row],[Цена м2 базовая]]*наценкад5[[#This Row],[Базовой K]]</f>
        <v>71379.000000000015</v>
      </c>
      <c r="O153" s="74"/>
      <c r="P153" s="74">
        <f>коэффициенты!$E$5</f>
        <v>0</v>
      </c>
      <c r="Q153" s="74">
        <f>коэффициенты!$E$6</f>
        <v>0.01</v>
      </c>
      <c r="R153" s="74"/>
      <c r="S153" s="74">
        <f>коэффициенты!$E$9</f>
        <v>0</v>
      </c>
      <c r="T153" s="74">
        <f>коэффициенты!$E$7</f>
        <v>0</v>
      </c>
      <c r="U153" s="74"/>
      <c r="V153" s="74"/>
      <c r="W153" s="75">
        <f>коэффициенты!$E$12</f>
        <v>0.02</v>
      </c>
      <c r="X153" s="74"/>
      <c r="Y153" s="75"/>
      <c r="Z153" s="74"/>
      <c r="AA153" s="74">
        <f>коэффициенты!$E$14</f>
        <v>0</v>
      </c>
      <c r="AB153" s="74">
        <f>коэффициенты!$E$17</f>
        <v>0</v>
      </c>
      <c r="AC153" s="74"/>
      <c r="AD153" s="76"/>
      <c r="AE153" s="76"/>
      <c r="AF153" s="76"/>
      <c r="AG153" s="74"/>
      <c r="AH153" s="74">
        <f>'отрицательный кф'!$O$33</f>
        <v>0</v>
      </c>
      <c r="AI153" s="73">
        <f>SUM(наценкад5[[#This Row],[еврокухня]:[большая площадь]])*наценкад5[[#This Row],[Цена м2 с базовым K]]+наценкад5[[#This Row],[Цена м2 с базовым K]]</f>
        <v>73520.37000000001</v>
      </c>
      <c r="AJ153" s="72">
        <f>VLOOKUP(наценкад5[[#This Row],[№]],ППД5[],COLUMN(ППД5[[#This Row],[утв цена м2]]),0)</f>
        <v>84322.77</v>
      </c>
      <c r="AK153" s="3">
        <f>наценкад5[[#This Row],[утв цена м2]]*наценкад5[[#This Row],[Расчетная проектная площадь]]</f>
        <v>7166592.2222999996</v>
      </c>
      <c r="AL153" s="22" t="str">
        <f>VLOOKUP(наценкад5[[#This Row],[№]],ППД5[],COLUMN('Реестр ОН'!$DF$1),0)</f>
        <v>Продажа</v>
      </c>
    </row>
    <row r="154" spans="1:38" hidden="1" x14ac:dyDescent="0.25">
      <c r="A154" s="101">
        <v>152</v>
      </c>
      <c r="B154" s="2" t="str">
        <f>_xlfn.XLOOKUP(наценкад5[[#This Row],[№]],ППД5[№],ППД5[Секция],"-",0)</f>
        <v>Б</v>
      </c>
      <c r="C154" s="2">
        <f>_xlfn.XLOOKUP(наценкад5[[#This Row],[№]],ППД5[№],ППД5[Этаж],"-",0)</f>
        <v>6</v>
      </c>
      <c r="D154" s="2">
        <f>_xlfn.XLOOKUP(наценкад5[[#This Row],[№]],ППД5[№],ППД5[№ на этаже],"-",0)</f>
        <v>7</v>
      </c>
      <c r="E154" s="2">
        <f>_xlfn.XLOOKUP(наценкад5[[#This Row],[№]],ППД5[№],ППД5[Тип кв],"-",0)</f>
        <v>1</v>
      </c>
      <c r="F154" s="72">
        <f>_xlfn.XLOOKUP(наценкад5[[#This Row],[№]],ППД5[№],ППД5[Кухня],"-",0)</f>
        <v>13.04</v>
      </c>
      <c r="G154" s="72">
        <f>_xlfn.XLOOKUP(наценкад5[[#This Row],[№]],ППД5[№],ППД5[Ванная],"-",0)</f>
        <v>3.9</v>
      </c>
      <c r="H154" s="72">
        <f>_xlfn.XLOOKUP(наценкад5[[#This Row],[№]],ППД5[№],ППД5[Гардеробная],"-",0)</f>
        <v>0</v>
      </c>
      <c r="I154" s="72">
        <f>_xlfn.XLOOKUP(наценкад5[[#This Row],[№]],ППД5[№],ППД5[Лоджия 2],"-",0)</f>
        <v>0</v>
      </c>
      <c r="J154" s="72">
        <f>_xlfn.XLOOKUP(наценкад5[[#This Row],[№]],ППД5[№],ППД5[С\У],"-",0)</f>
        <v>0</v>
      </c>
      <c r="K154" s="72">
        <f>_xlfn.XLOOKUP(наценкад5[[#This Row],[№]],ППД5[№],ППД5[Расчетная проектная площадь],"-",0)</f>
        <v>42.28</v>
      </c>
      <c r="L154" s="12">
        <f t="shared" si="2"/>
        <v>63000</v>
      </c>
      <c r="M154" s="102">
        <f>коэффициенты!$G$2</f>
        <v>1.2875000000000001</v>
      </c>
      <c r="N154" s="13">
        <f>наценкад5[[#This Row],[Цена м2 базовая]]*наценкад5[[#This Row],[Базовой K]]</f>
        <v>81112.5</v>
      </c>
      <c r="O154" s="74"/>
      <c r="P154" s="76">
        <f>коэффициенты!$G$5</f>
        <v>0.01</v>
      </c>
      <c r="Q154" s="74"/>
      <c r="R154" s="74"/>
      <c r="S154" s="74"/>
      <c r="T154" s="74"/>
      <c r="U154" s="74"/>
      <c r="V154" s="74">
        <f>коэффициенты!$G$11</f>
        <v>0.01</v>
      </c>
      <c r="W154" s="74">
        <f>коэффициенты!$G$12</f>
        <v>0.02</v>
      </c>
      <c r="X154" s="74"/>
      <c r="Y154" s="75"/>
      <c r="Z154" s="74"/>
      <c r="AA154" s="74">
        <f>коэффициенты!$G$14</f>
        <v>0.01</v>
      </c>
      <c r="AB154" s="74"/>
      <c r="AC154" s="74"/>
      <c r="AD154" s="74">
        <f>коэффициенты!$G$19</f>
        <v>0.01</v>
      </c>
      <c r="AE154" s="74"/>
      <c r="AF154" s="74"/>
      <c r="AG154" s="74">
        <f>коэффициенты!$A$24</f>
        <v>-5.0000000000000001E-3</v>
      </c>
      <c r="AH154" s="74"/>
      <c r="AI154" s="73">
        <f>SUM(наценкад5[[#This Row],[еврокухня]:[большая площадь]])*наценкад5[[#This Row],[Цена м2 с базовым K]]+наценкад5[[#This Row],[Цена м2 с базовым K]]</f>
        <v>85573.6875</v>
      </c>
      <c r="AJ154" s="72">
        <f>VLOOKUP(наценкад5[[#This Row],[№]],ППД5[],COLUMN(ППД5[[#This Row],[утв цена м2]]),0)</f>
        <v>95324.38</v>
      </c>
      <c r="AK154" s="3">
        <f>наценкад5[[#This Row],[утв цена м2]]*наценкад5[[#This Row],[Расчетная проектная площадь]]</f>
        <v>4030314.7864000001</v>
      </c>
      <c r="AL154" s="22" t="str">
        <f>VLOOKUP(наценкад5[[#This Row],[№]],ППД5[],COLUMN('Реестр ОН'!$DF$1),0)</f>
        <v>Продажа</v>
      </c>
    </row>
    <row r="155" spans="1:38" hidden="1" x14ac:dyDescent="0.25">
      <c r="A155" s="101">
        <v>153</v>
      </c>
      <c r="B155" s="2" t="str">
        <f>_xlfn.XLOOKUP(наценкад5[[#This Row],[№]],ППД5[№],ППД5[Секция],"-",0)</f>
        <v>Б</v>
      </c>
      <c r="C155" s="2">
        <f>_xlfn.XLOOKUP(наценкад5[[#This Row],[№]],ППД5[№],ППД5[Этаж],"-",0)</f>
        <v>7</v>
      </c>
      <c r="D155" s="2">
        <f>_xlfn.XLOOKUP(наценкад5[[#This Row],[№]],ППД5[№],ППД5[№ на этаже],"-",0)</f>
        <v>1</v>
      </c>
      <c r="E155" s="2">
        <f>_xlfn.XLOOKUP(наценкад5[[#This Row],[№]],ППД5[№],ППД5[Тип кв],"-",0)</f>
        <v>2</v>
      </c>
      <c r="F155" s="72">
        <f>_xlfn.XLOOKUP(наценкад5[[#This Row],[№]],ППД5[№],ППД5[Кухня],"-",0)</f>
        <v>15.31</v>
      </c>
      <c r="G155" s="72">
        <f>_xlfn.XLOOKUP(наценкад5[[#This Row],[№]],ППД5[№],ППД5[Ванная],"-",0)</f>
        <v>3.85</v>
      </c>
      <c r="H155" s="72">
        <f>_xlfn.XLOOKUP(наценкад5[[#This Row],[№]],ППД5[№],ППД5[Гардеробная],"-",0)</f>
        <v>0</v>
      </c>
      <c r="I155" s="72">
        <f>_xlfn.XLOOKUP(наценкад5[[#This Row],[№]],ППД5[№],ППД5[Лоджия 2],"-",0)</f>
        <v>0</v>
      </c>
      <c r="J155" s="72">
        <f>_xlfn.XLOOKUP(наценкад5[[#This Row],[№]],ППД5[№],ППД5[С\У],"-",0)</f>
        <v>2.2999999999999998</v>
      </c>
      <c r="K155" s="72">
        <f>_xlfn.XLOOKUP(наценкад5[[#This Row],[№]],ППД5[№],ППД5[Расчетная проектная площадь],"-",0)</f>
        <v>60.22</v>
      </c>
      <c r="L155" s="12">
        <f t="shared" si="2"/>
        <v>63000</v>
      </c>
      <c r="M155" s="102">
        <f>коэффициенты!$F$2</f>
        <v>1.2257</v>
      </c>
      <c r="N155" s="13">
        <f>наценкад5[[#This Row],[Цена м2 базовая]]*наценкад5[[#This Row],[Базовой K]]</f>
        <v>77219.100000000006</v>
      </c>
      <c r="O155" s="76">
        <f>коэффициенты!$F$4</f>
        <v>1.4999999999999999E-2</v>
      </c>
      <c r="P155" s="74"/>
      <c r="Q155" s="76"/>
      <c r="R155" s="76"/>
      <c r="S155" s="76">
        <f>коэффициенты!$F$9</f>
        <v>0</v>
      </c>
      <c r="T155" s="74"/>
      <c r="U155" s="74"/>
      <c r="V155" s="74"/>
      <c r="W155" s="74"/>
      <c r="X155" s="74">
        <f>коэффициенты!$F$13</f>
        <v>0.02</v>
      </c>
      <c r="Y155" s="75"/>
      <c r="Z155" s="74"/>
      <c r="AA155" s="74"/>
      <c r="AB155" s="74"/>
      <c r="AC155" s="74"/>
      <c r="AD155" s="74">
        <f>коэффициенты!$F$19</f>
        <v>5.0000000000000001E-3</v>
      </c>
      <c r="AE155" s="74"/>
      <c r="AF155" s="74"/>
      <c r="AG155" s="74"/>
      <c r="AH155" s="74"/>
      <c r="AI155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155" s="72">
        <f>VLOOKUP(наценкад5[[#This Row],[№]],ППД5[],COLUMN(ППД5[[#This Row],[утв цена м2]]),0)</f>
        <v>92107.56</v>
      </c>
      <c r="AK155" s="3">
        <f>наценкад5[[#This Row],[утв цена м2]]*наценкад5[[#This Row],[Расчетная проектная площадь]]</f>
        <v>5546717.2631999999</v>
      </c>
      <c r="AL155" s="22" t="str">
        <f>VLOOKUP(наценкад5[[#This Row],[№]],ППД5[],COLUMN('Реестр ОН'!$DF$1),0)</f>
        <v>Продажа</v>
      </c>
    </row>
    <row r="156" spans="1:38" hidden="1" x14ac:dyDescent="0.25">
      <c r="A156" s="101">
        <v>154</v>
      </c>
      <c r="B156" s="2" t="str">
        <f>_xlfn.XLOOKUP(наценкад5[[#This Row],[№]],ППД5[№],ППД5[Секция],"-",0)</f>
        <v>Б</v>
      </c>
      <c r="C156" s="2">
        <f>_xlfn.XLOOKUP(наценкад5[[#This Row],[№]],ППД5[№],ППД5[Этаж],"-",0)</f>
        <v>7</v>
      </c>
      <c r="D156" s="2">
        <f>_xlfn.XLOOKUP(наценкад5[[#This Row],[№]],ППД5[№],ППД5[№ на этаже],"-",0)</f>
        <v>2</v>
      </c>
      <c r="E156" s="2">
        <f>_xlfn.XLOOKUP(наценкад5[[#This Row],[№]],ППД5[№],ППД5[Тип кв],"-",0)</f>
        <v>0</v>
      </c>
      <c r="F156" s="72">
        <f>_xlfn.XLOOKUP(наценкад5[[#This Row],[№]],ППД5[№],ППД5[Кухня],"-",0)</f>
        <v>5.12</v>
      </c>
      <c r="G156" s="72">
        <f>_xlfn.XLOOKUP(наценкад5[[#This Row],[№]],ППД5[№],ППД5[Ванная],"-",0)</f>
        <v>3.65</v>
      </c>
      <c r="H156" s="72">
        <f>_xlfn.XLOOKUP(наценкад5[[#This Row],[№]],ППД5[№],ППД5[Гардеробная],"-",0)</f>
        <v>0</v>
      </c>
      <c r="I156" s="72">
        <f>_xlfn.XLOOKUP(наценкад5[[#This Row],[№]],ППД5[№],ППД5[Лоджия 2],"-",0)</f>
        <v>0</v>
      </c>
      <c r="J156" s="72">
        <f>_xlfn.XLOOKUP(наценкад5[[#This Row],[№]],ППД5[№],ППД5[С\У],"-",0)</f>
        <v>0</v>
      </c>
      <c r="K156" s="72">
        <f>_xlfn.XLOOKUP(наценкад5[[#This Row],[№]],ППД5[№],ППД5[Расчетная проектная площадь],"-",0)</f>
        <v>24.28</v>
      </c>
      <c r="L156" s="12">
        <f t="shared" si="2"/>
        <v>63000</v>
      </c>
      <c r="M156" s="116">
        <f>коэффициенты!$H$2</f>
        <v>1.3905000000000001</v>
      </c>
      <c r="N156" s="13">
        <f>наценкад5[[#This Row],[Цена м2 базовая]]*наценкад5[[#This Row],[Базовой K]]</f>
        <v>87601.5</v>
      </c>
      <c r="O156" s="74"/>
      <c r="P156" s="74"/>
      <c r="Q156" s="74"/>
      <c r="R156" s="74"/>
      <c r="S156" s="74"/>
      <c r="T156" s="74"/>
      <c r="U156" s="74"/>
      <c r="V156" s="74">
        <f>коэффициенты!$H$11</f>
        <v>0.01</v>
      </c>
      <c r="W156" s="75"/>
      <c r="X156" s="74">
        <f>коэффициенты!$H$13</f>
        <v>0.01</v>
      </c>
      <c r="Y156" s="75"/>
      <c r="Z156" s="74"/>
      <c r="AA156" s="74"/>
      <c r="AB156" s="74"/>
      <c r="AC156" s="74"/>
      <c r="AD156" s="74">
        <f>коэффициенты!$H$19</f>
        <v>0.01</v>
      </c>
      <c r="AE156" s="74"/>
      <c r="AF156" s="74"/>
      <c r="AG156" s="74"/>
      <c r="AH156" s="74"/>
      <c r="AI156" s="73">
        <f>SUM(наценкад5[[#This Row],[еврокухня]:[большая площадь]])*наценкад5[[#This Row],[Цена м2 с базовым K]]+наценкад5[[#This Row],[Цена м2 с базовым K]]</f>
        <v>90229.544999999998</v>
      </c>
      <c r="AJ156" s="72">
        <f>VLOOKUP(наценкад5[[#This Row],[№]],ППД5[],COLUMN(ППД5[[#This Row],[утв цена м2]]),0)</f>
        <v>112220.74</v>
      </c>
      <c r="AK156" s="3">
        <f>наценкад5[[#This Row],[утв цена м2]]*наценкад5[[#This Row],[Расчетная проектная площадь]]</f>
        <v>2724719.5672000004</v>
      </c>
      <c r="AL156" s="22" t="str">
        <f>VLOOKUP(наценкад5[[#This Row],[№]],ППД5[],COLUMN('Реестр ОН'!$DF$1),0)</f>
        <v>Продажа</v>
      </c>
    </row>
    <row r="157" spans="1:38" hidden="1" x14ac:dyDescent="0.25">
      <c r="A157" s="101">
        <v>155</v>
      </c>
      <c r="B157" s="2" t="str">
        <f>_xlfn.XLOOKUP(наценкад5[[#This Row],[№]],ППД5[№],ППД5[Секция],"-",0)</f>
        <v>Б</v>
      </c>
      <c r="C157" s="2">
        <f>_xlfn.XLOOKUP(наценкад5[[#This Row],[№]],ППД5[№],ППД5[Этаж],"-",0)</f>
        <v>7</v>
      </c>
      <c r="D157" s="2">
        <f>_xlfn.XLOOKUP(наценкад5[[#This Row],[№]],ППД5[№],ППД5[№ на этаже],"-",0)</f>
        <v>3</v>
      </c>
      <c r="E157" s="2">
        <f>_xlfn.XLOOKUP(наценкад5[[#This Row],[№]],ППД5[№],ППД5[Тип кв],"-",0)</f>
        <v>2</v>
      </c>
      <c r="F157" s="72">
        <f>_xlfn.XLOOKUP(наценкад5[[#This Row],[№]],ППД5[№],ППД5[Кухня],"-",0)</f>
        <v>14.35</v>
      </c>
      <c r="G157" s="72">
        <f>_xlfn.XLOOKUP(наценкад5[[#This Row],[№]],ППД5[№],ППД5[Ванная],"-",0)</f>
        <v>3.68</v>
      </c>
      <c r="H157" s="72">
        <f>_xlfn.XLOOKUP(наценкад5[[#This Row],[№]],ППД5[№],ППД5[Гардеробная],"-",0)</f>
        <v>0</v>
      </c>
      <c r="I157" s="72">
        <f>_xlfn.XLOOKUP(наценкад5[[#This Row],[№]],ППД5[№],ППД5[Лоджия 2],"-",0)</f>
        <v>0</v>
      </c>
      <c r="J157" s="72">
        <f>_xlfn.XLOOKUP(наценкад5[[#This Row],[№]],ППД5[№],ППД5[С\У],"-",0)</f>
        <v>2.57</v>
      </c>
      <c r="K157" s="72">
        <f>_xlfn.XLOOKUP(наценкад5[[#This Row],[№]],ППД5[№],ППД5[Расчетная проектная площадь],"-",0)</f>
        <v>57.6</v>
      </c>
      <c r="L157" s="12">
        <f t="shared" si="2"/>
        <v>63000</v>
      </c>
      <c r="M157" s="102">
        <f>коэффициенты!$F$2</f>
        <v>1.2257</v>
      </c>
      <c r="N157" s="13">
        <f>наценкад5[[#This Row],[Цена м2 базовая]]*наценкад5[[#This Row],[Базовой K]]</f>
        <v>77219.100000000006</v>
      </c>
      <c r="O157" s="76">
        <f>коэффициенты!$F$4</f>
        <v>1.4999999999999999E-2</v>
      </c>
      <c r="P157" s="74"/>
      <c r="Q157" s="76"/>
      <c r="R157" s="76"/>
      <c r="S157" s="76">
        <f>коэффициенты!$F$9</f>
        <v>0</v>
      </c>
      <c r="T157" s="74"/>
      <c r="U157" s="74"/>
      <c r="V157" s="74"/>
      <c r="W157" s="75"/>
      <c r="X157" s="74"/>
      <c r="Y157" s="75"/>
      <c r="Z157" s="74"/>
      <c r="AA157" s="74"/>
      <c r="AB157" s="74"/>
      <c r="AC157" s="74"/>
      <c r="AD157" s="74">
        <f>коэффициенты!$F$19</f>
        <v>5.0000000000000001E-3</v>
      </c>
      <c r="AE157" s="74"/>
      <c r="AF157" s="74"/>
      <c r="AG157" s="74"/>
      <c r="AH157" s="74"/>
      <c r="AI157" s="73">
        <f>SUM(наценкад5[[#This Row],[еврокухня]:[большая площадь]])*наценкад5[[#This Row],[Цена м2 с базовым K]]+наценкад5[[#This Row],[Цена м2 с базовым K]]</f>
        <v>78763.482000000004</v>
      </c>
      <c r="AJ157" s="72">
        <f>VLOOKUP(наценкад5[[#This Row],[№]],ППД5[],COLUMN(ППД5[[#This Row],[утв цена м2]]),0)</f>
        <v>85182.71</v>
      </c>
      <c r="AK157" s="3">
        <f>наценкад5[[#This Row],[утв цена м2]]*наценкад5[[#This Row],[Расчетная проектная площадь]]</f>
        <v>4906524.0960000008</v>
      </c>
      <c r="AL157" s="22" t="str">
        <f>VLOOKUP(наценкад5[[#This Row],[№]],ППД5[],COLUMN('Реестр ОН'!$DF$1),0)</f>
        <v>Продажа</v>
      </c>
    </row>
    <row r="158" spans="1:38" hidden="1" x14ac:dyDescent="0.25">
      <c r="A158" s="101">
        <v>156</v>
      </c>
      <c r="B158" s="2" t="str">
        <f>_xlfn.XLOOKUP(наценкад5[[#This Row],[№]],ППД5[№],ППД5[Секция],"-",0)</f>
        <v>Б</v>
      </c>
      <c r="C158" s="2">
        <f>_xlfn.XLOOKUP(наценкад5[[#This Row],[№]],ППД5[№],ППД5[Этаж],"-",0)</f>
        <v>7</v>
      </c>
      <c r="D158" s="2">
        <f>_xlfn.XLOOKUP(наценкад5[[#This Row],[№]],ППД5[№],ППД5[№ на этаже],"-",0)</f>
        <v>4</v>
      </c>
      <c r="E158" s="2">
        <f>_xlfn.XLOOKUP(наценкад5[[#This Row],[№]],ППД5[№],ППД5[Тип кв],"-",0)</f>
        <v>2</v>
      </c>
      <c r="F158" s="72">
        <f>_xlfn.XLOOKUP(наценкад5[[#This Row],[№]],ППД5[№],ППД5[Кухня],"-",0)</f>
        <v>11.95</v>
      </c>
      <c r="G158" s="72">
        <f>_xlfn.XLOOKUP(наценкад5[[#This Row],[№]],ППД5[№],ППД5[Ванная],"-",0)</f>
        <v>3.86</v>
      </c>
      <c r="H158" s="72">
        <f>_xlfn.XLOOKUP(наценкад5[[#This Row],[№]],ППД5[№],ППД5[Гардеробная],"-",0)</f>
        <v>0</v>
      </c>
      <c r="I158" s="72">
        <f>_xlfn.XLOOKUP(наценкад5[[#This Row],[№]],ППД5[№],ППД5[Лоджия 2],"-",0)</f>
        <v>0</v>
      </c>
      <c r="J158" s="72">
        <f>_xlfn.XLOOKUP(наценкад5[[#This Row],[№]],ППД5[№],ППД5[С\У],"-",0)</f>
        <v>2.37</v>
      </c>
      <c r="K158" s="72">
        <f>_xlfn.XLOOKUP(наценкад5[[#This Row],[№]],ППД5[№],ППД5[Расчетная проектная площадь],"-",0)</f>
        <v>58.31</v>
      </c>
      <c r="L158" s="12">
        <f t="shared" si="2"/>
        <v>63000</v>
      </c>
      <c r="M158" s="102">
        <f>коэффициенты!$F$2</f>
        <v>1.2257</v>
      </c>
      <c r="N158" s="13">
        <f>наценкад5[[#This Row],[Цена м2 базовая]]*наценкад5[[#This Row],[Базовой K]]</f>
        <v>77219.100000000006</v>
      </c>
      <c r="O158" s="74"/>
      <c r="P158" s="74">
        <f>коэффициенты!$F$5</f>
        <v>0.01</v>
      </c>
      <c r="Q158" s="76"/>
      <c r="R158" s="76"/>
      <c r="S158" s="76">
        <f>коэффициенты!$F$9</f>
        <v>0</v>
      </c>
      <c r="T158" s="74"/>
      <c r="U158" s="74"/>
      <c r="V158" s="74"/>
      <c r="W158" s="75"/>
      <c r="X158" s="76"/>
      <c r="Y158" s="75"/>
      <c r="Z158" s="74"/>
      <c r="AA158" s="74">
        <f>коэффициенты!$F$14</f>
        <v>0.02</v>
      </c>
      <c r="AB158" s="74"/>
      <c r="AC158" s="74"/>
      <c r="AD158" s="74">
        <f>коэффициенты!$F$19</f>
        <v>5.0000000000000001E-3</v>
      </c>
      <c r="AE158" s="74"/>
      <c r="AF158" s="74"/>
      <c r="AG158" s="74"/>
      <c r="AH158" s="74"/>
      <c r="AI158" s="73">
        <f>SUM(наценкад5[[#This Row],[еврокухня]:[большая площадь]])*наценкад5[[#This Row],[Цена м2 с базовым K]]+наценкад5[[#This Row],[Цена м2 с базовым K]]</f>
        <v>79921.768500000006</v>
      </c>
      <c r="AJ158" s="72">
        <f>VLOOKUP(наценкад5[[#This Row],[№]],ППД5[],COLUMN(ППД5[[#This Row],[утв цена м2]]),0)</f>
        <v>95367.99</v>
      </c>
      <c r="AK158" s="3">
        <f>наценкад5[[#This Row],[утв цена м2]]*наценкад5[[#This Row],[Расчетная проектная площадь]]</f>
        <v>5560907.4969000006</v>
      </c>
      <c r="AL158" s="22" t="str">
        <f>VLOOKUP(наценкад5[[#This Row],[№]],ППД5[],COLUMN('Реестр ОН'!$DF$1),0)</f>
        <v>Продажа</v>
      </c>
    </row>
    <row r="159" spans="1:38" hidden="1" x14ac:dyDescent="0.25">
      <c r="A159" s="101">
        <v>157</v>
      </c>
      <c r="B159" s="2" t="str">
        <f>_xlfn.XLOOKUP(наценкад5[[#This Row],[№]],ППД5[№],ППД5[Секция],"-",0)</f>
        <v>Б</v>
      </c>
      <c r="C159" s="2">
        <f>_xlfn.XLOOKUP(наценкад5[[#This Row],[№]],ППД5[№],ППД5[Этаж],"-",0)</f>
        <v>7</v>
      </c>
      <c r="D159" s="2">
        <f>_xlfn.XLOOKUP(наценкад5[[#This Row],[№]],ППД5[№],ППД5[№ на этаже],"-",0)</f>
        <v>5</v>
      </c>
      <c r="E159" s="2">
        <f>_xlfn.XLOOKUP(наценкад5[[#This Row],[№]],ППД5[№],ППД5[Тип кв],"-",0)</f>
        <v>1</v>
      </c>
      <c r="F159" s="72">
        <f>_xlfn.XLOOKUP(наценкад5[[#This Row],[№]],ППД5[№],ППД5[Кухня],"-",0)</f>
        <v>13.18</v>
      </c>
      <c r="G159" s="72">
        <f>_xlfn.XLOOKUP(наценкад5[[#This Row],[№]],ППД5[№],ППД5[Ванная],"-",0)</f>
        <v>4.1100000000000003</v>
      </c>
      <c r="H159" s="72">
        <f>_xlfn.XLOOKUP(наценкад5[[#This Row],[№]],ППД5[№],ППД5[Гардеробная],"-",0)</f>
        <v>0</v>
      </c>
      <c r="I159" s="72">
        <f>_xlfn.XLOOKUP(наценкад5[[#This Row],[№]],ППД5[№],ППД5[Лоджия 2],"-",0)</f>
        <v>0</v>
      </c>
      <c r="J159" s="72">
        <f>_xlfn.XLOOKUP(наценкад5[[#This Row],[№]],ППД5[№],ППД5[С\У],"-",0)</f>
        <v>0</v>
      </c>
      <c r="K159" s="72">
        <f>_xlfn.XLOOKUP(наценкад5[[#This Row],[№]],ППД5[№],ППД5[Расчетная проектная площадь],"-",0)</f>
        <v>37.86</v>
      </c>
      <c r="L159" s="12">
        <f t="shared" si="2"/>
        <v>63000</v>
      </c>
      <c r="M159" s="102">
        <f>коэффициенты!$G$2</f>
        <v>1.2875000000000001</v>
      </c>
      <c r="N159" s="13">
        <f>наценкад5[[#This Row],[Цена м2 базовая]]*наценкад5[[#This Row],[Базовой K]]</f>
        <v>81112.5</v>
      </c>
      <c r="O159" s="74"/>
      <c r="P159" s="76">
        <f>коэффициенты!$G$5</f>
        <v>0.01</v>
      </c>
      <c r="Q159" s="74">
        <f>коэффициенты!$G$6</f>
        <v>0.03</v>
      </c>
      <c r="R159" s="74"/>
      <c r="S159" s="74"/>
      <c r="T159" s="74"/>
      <c r="U159" s="74"/>
      <c r="V159" s="74">
        <f>коэффициенты!$G$11</f>
        <v>0.01</v>
      </c>
      <c r="W159" s="75"/>
      <c r="X159" s="74">
        <f>коэффициенты!$G$13</f>
        <v>0.01</v>
      </c>
      <c r="Y159" s="75"/>
      <c r="Z159" s="74"/>
      <c r="AA159" s="74">
        <f>коэффициенты!$G$14</f>
        <v>0.01</v>
      </c>
      <c r="AB159" s="74"/>
      <c r="AC159" s="74"/>
      <c r="AD159" s="74">
        <f>коэффициенты!$G$19</f>
        <v>0.01</v>
      </c>
      <c r="AE159" s="74"/>
      <c r="AF159" s="74"/>
      <c r="AG159" s="74"/>
      <c r="AH159" s="74"/>
      <c r="AI159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159" s="72">
        <f>VLOOKUP(наценкад5[[#This Row],[№]],ППД5[],COLUMN(ППД5[[#This Row],[утв цена м2]]),0)</f>
        <v>87601.5</v>
      </c>
      <c r="AK159" s="3">
        <f>наценкад5[[#This Row],[утв цена м2]]*наценкад5[[#This Row],[Расчетная проектная площадь]]</f>
        <v>3316592.79</v>
      </c>
      <c r="AL159" s="22" t="str">
        <f>VLOOKUP(наценкад5[[#This Row],[№]],ППД5[],COLUMN('Реестр ОН'!$DF$1),0)</f>
        <v>Продажа</v>
      </c>
    </row>
    <row r="160" spans="1:38" hidden="1" x14ac:dyDescent="0.25">
      <c r="A160" s="101">
        <v>158</v>
      </c>
      <c r="B160" s="2" t="str">
        <f>_xlfn.XLOOKUP(наценкад5[[#This Row],[№]],ППД5[№],ППД5[Секция],"-",0)</f>
        <v>Б</v>
      </c>
      <c r="C160" s="2">
        <f>_xlfn.XLOOKUP(наценкад5[[#This Row],[№]],ППД5[№],ППД5[Этаж],"-",0)</f>
        <v>7</v>
      </c>
      <c r="D160" s="2">
        <f>_xlfn.XLOOKUP(наценкад5[[#This Row],[№]],ППД5[№],ППД5[№ на этаже],"-",0)</f>
        <v>6</v>
      </c>
      <c r="E160" s="2">
        <f>_xlfn.XLOOKUP(наценкад5[[#This Row],[№]],ППД5[№],ППД5[Тип кв],"-",0)</f>
        <v>3</v>
      </c>
      <c r="F160" s="72">
        <f>_xlfn.XLOOKUP(наценкад5[[#This Row],[№]],ППД5[№],ППД5[Кухня],"-",0)</f>
        <v>13.39</v>
      </c>
      <c r="G160" s="72">
        <f>_xlfn.XLOOKUP(наценкад5[[#This Row],[№]],ППД5[№],ППД5[Ванная],"-",0)</f>
        <v>4.2</v>
      </c>
      <c r="H160" s="72">
        <f>_xlfn.XLOOKUP(наценкад5[[#This Row],[№]],ППД5[№],ППД5[Гардеробная],"-",0)</f>
        <v>0</v>
      </c>
      <c r="I160" s="72">
        <f>_xlfn.XLOOKUP(наценкад5[[#This Row],[№]],ППД5[№],ППД5[Лоджия 2],"-",0)</f>
        <v>2.68</v>
      </c>
      <c r="J160" s="72">
        <f>_xlfn.XLOOKUP(наценкад5[[#This Row],[№]],ППД5[№],ППД5[С\У],"-",0)</f>
        <v>2.0499999999999998</v>
      </c>
      <c r="K160" s="72">
        <f>_xlfn.XLOOKUP(наценкад5[[#This Row],[№]],ППД5[№],ППД5[Расчетная проектная площадь],"-",0)</f>
        <v>84.99</v>
      </c>
      <c r="L160" s="12">
        <f t="shared" si="2"/>
        <v>63000</v>
      </c>
      <c r="M160" s="27">
        <f>коэффициенты!$E$2</f>
        <v>1.1330000000000002</v>
      </c>
      <c r="N160" s="13">
        <f>наценкад5[[#This Row],[Цена м2 базовая]]*наценкад5[[#This Row],[Базовой K]]</f>
        <v>71379.000000000015</v>
      </c>
      <c r="O160" s="74"/>
      <c r="P160" s="74">
        <f>коэффициенты!$E$5</f>
        <v>0</v>
      </c>
      <c r="Q160" s="74">
        <f>коэффициенты!$E$6</f>
        <v>0.01</v>
      </c>
      <c r="R160" s="74"/>
      <c r="S160" s="74">
        <f>коэффициенты!$E$9</f>
        <v>0</v>
      </c>
      <c r="T160" s="74">
        <f>коэффициенты!$E$7</f>
        <v>0</v>
      </c>
      <c r="U160" s="74"/>
      <c r="V160" s="74"/>
      <c r="W160" s="75"/>
      <c r="X160" s="74"/>
      <c r="Y160" s="75"/>
      <c r="Z160" s="74"/>
      <c r="AA160" s="74">
        <f>коэффициенты!$E$14</f>
        <v>0</v>
      </c>
      <c r="AB160" s="74">
        <f>коэффициенты!$E$17</f>
        <v>0</v>
      </c>
      <c r="AC160" s="74"/>
      <c r="AD160" s="76"/>
      <c r="AE160" s="76"/>
      <c r="AF160" s="76"/>
      <c r="AG160" s="74"/>
      <c r="AH160" s="74">
        <f>'отрицательный кф'!$O$33</f>
        <v>0</v>
      </c>
      <c r="AI160" s="73">
        <f>SUM(наценкад5[[#This Row],[еврокухня]:[большая площадь]])*наценкад5[[#This Row],[Цена м2 с базовым K]]+наценкад5[[#This Row],[Цена м2 с базовым K]]</f>
        <v>72092.790000000008</v>
      </c>
      <c r="AJ160" s="72">
        <f>VLOOKUP(наценкад5[[#This Row],[№]],ППД5[],COLUMN(ППД5[[#This Row],[утв цена м2]]),0)</f>
        <v>111033.74</v>
      </c>
      <c r="AK160" s="3">
        <f>наценкад5[[#This Row],[утв цена м2]]*наценкад5[[#This Row],[Расчетная проектная площадь]]</f>
        <v>9436757.5625999998</v>
      </c>
      <c r="AL160" s="22" t="str">
        <f>VLOOKUP(наценкад5[[#This Row],[№]],ППД5[],COLUMN('Реестр ОН'!$DF$1),0)</f>
        <v>Ус. Бронь</v>
      </c>
    </row>
    <row r="161" spans="1:38" hidden="1" x14ac:dyDescent="0.25">
      <c r="A161" s="101">
        <v>159</v>
      </c>
      <c r="B161" s="2" t="str">
        <f>_xlfn.XLOOKUP(наценкад5[[#This Row],[№]],ППД5[№],ППД5[Секция],"-",0)</f>
        <v>Б</v>
      </c>
      <c r="C161" s="2">
        <f>_xlfn.XLOOKUP(наценкад5[[#This Row],[№]],ППД5[№],ППД5[Этаж],"-",0)</f>
        <v>7</v>
      </c>
      <c r="D161" s="2">
        <f>_xlfn.XLOOKUP(наценкад5[[#This Row],[№]],ППД5[№],ППД5[№ на этаже],"-",0)</f>
        <v>7</v>
      </c>
      <c r="E161" s="2">
        <f>_xlfn.XLOOKUP(наценкад5[[#This Row],[№]],ППД5[№],ППД5[Тип кв],"-",0)</f>
        <v>1</v>
      </c>
      <c r="F161" s="72">
        <f>_xlfn.XLOOKUP(наценкад5[[#This Row],[№]],ППД5[№],ППД5[Кухня],"-",0)</f>
        <v>13.04</v>
      </c>
      <c r="G161" s="72">
        <f>_xlfn.XLOOKUP(наценкад5[[#This Row],[№]],ППД5[№],ППД5[Ванная],"-",0)</f>
        <v>3.9</v>
      </c>
      <c r="H161" s="72">
        <f>_xlfn.XLOOKUP(наценкад5[[#This Row],[№]],ППД5[№],ППД5[Гардеробная],"-",0)</f>
        <v>0</v>
      </c>
      <c r="I161" s="72">
        <f>_xlfn.XLOOKUP(наценкад5[[#This Row],[№]],ППД5[№],ППД5[Лоджия 2],"-",0)</f>
        <v>0</v>
      </c>
      <c r="J161" s="72">
        <f>_xlfn.XLOOKUP(наценкад5[[#This Row],[№]],ППД5[№],ППД5[С\У],"-",0)</f>
        <v>0</v>
      </c>
      <c r="K161" s="72">
        <f>_xlfn.XLOOKUP(наценкад5[[#This Row],[№]],ППД5[№],ППД5[Расчетная проектная площадь],"-",0)</f>
        <v>42.28</v>
      </c>
      <c r="L161" s="12">
        <f t="shared" si="2"/>
        <v>63000</v>
      </c>
      <c r="M161" s="102">
        <f>коэффициенты!$G$2</f>
        <v>1.2875000000000001</v>
      </c>
      <c r="N161" s="13">
        <f>наценкад5[[#This Row],[Цена м2 базовая]]*наценкад5[[#This Row],[Базовой K]]</f>
        <v>81112.5</v>
      </c>
      <c r="O161" s="74"/>
      <c r="P161" s="76">
        <f>коэффициенты!$G$5</f>
        <v>0.01</v>
      </c>
      <c r="Q161" s="74"/>
      <c r="R161" s="74"/>
      <c r="S161" s="74"/>
      <c r="T161" s="74"/>
      <c r="U161" s="74"/>
      <c r="V161" s="74">
        <f>коэффициенты!$G$11</f>
        <v>0.01</v>
      </c>
      <c r="W161" s="74"/>
      <c r="X161" s="74"/>
      <c r="Y161" s="75"/>
      <c r="Z161" s="74"/>
      <c r="AA161" s="74">
        <f>коэффициенты!$G$14</f>
        <v>0.01</v>
      </c>
      <c r="AB161" s="74"/>
      <c r="AC161" s="74"/>
      <c r="AD161" s="74">
        <f>коэффициенты!$G$19</f>
        <v>0.01</v>
      </c>
      <c r="AE161" s="74"/>
      <c r="AF161" s="74"/>
      <c r="AG161" s="74">
        <f>коэффициенты!$A$24</f>
        <v>-5.0000000000000001E-3</v>
      </c>
      <c r="AH161" s="74"/>
      <c r="AI161" s="73">
        <f>SUM(наценкад5[[#This Row],[еврокухня]:[большая площадь]])*наценкад5[[#This Row],[Цена м2 с базовым K]]+наценкад5[[#This Row],[Цена м2 с базовым K]]</f>
        <v>83951.4375</v>
      </c>
      <c r="AJ161" s="72">
        <f>VLOOKUP(наценкад5[[#This Row],[№]],ППД5[],COLUMN(ППД5[[#This Row],[утв цена м2]]),0)</f>
        <v>98193.15</v>
      </c>
      <c r="AK161" s="3">
        <f>наценкад5[[#This Row],[утв цена м2]]*наценкад5[[#This Row],[Расчетная проектная площадь]]</f>
        <v>4151606.3819999998</v>
      </c>
      <c r="AL161" s="22" t="str">
        <f>VLOOKUP(наценкад5[[#This Row],[№]],ППД5[],COLUMN('Реестр ОН'!$DF$1),0)</f>
        <v>Продажа</v>
      </c>
    </row>
    <row r="162" spans="1:38" hidden="1" x14ac:dyDescent="0.25">
      <c r="A162" s="101">
        <v>160</v>
      </c>
      <c r="B162" s="2" t="str">
        <f>_xlfn.XLOOKUP(наценкад5[[#This Row],[№]],ППД5[№],ППД5[Секция],"-",0)</f>
        <v>Б</v>
      </c>
      <c r="C162" s="2">
        <f>_xlfn.XLOOKUP(наценкад5[[#This Row],[№]],ППД5[№],ППД5[Этаж],"-",0)</f>
        <v>8</v>
      </c>
      <c r="D162" s="2">
        <f>_xlfn.XLOOKUP(наценкад5[[#This Row],[№]],ППД5[№],ППД5[№ на этаже],"-",0)</f>
        <v>1</v>
      </c>
      <c r="E162" s="2">
        <f>_xlfn.XLOOKUP(наценкад5[[#This Row],[№]],ППД5[№],ППД5[Тип кв],"-",0)</f>
        <v>2</v>
      </c>
      <c r="F162" s="72">
        <f>_xlfn.XLOOKUP(наценкад5[[#This Row],[№]],ППД5[№],ППД5[Кухня],"-",0)</f>
        <v>15.31</v>
      </c>
      <c r="G162" s="72">
        <f>_xlfn.XLOOKUP(наценкад5[[#This Row],[№]],ППД5[№],ППД5[Ванная],"-",0)</f>
        <v>3.85</v>
      </c>
      <c r="H162" s="72">
        <f>_xlfn.XLOOKUP(наценкад5[[#This Row],[№]],ППД5[№],ППД5[Гардеробная],"-",0)</f>
        <v>0</v>
      </c>
      <c r="I162" s="72">
        <f>_xlfn.XLOOKUP(наценкад5[[#This Row],[№]],ППД5[№],ППД5[Лоджия 2],"-",0)</f>
        <v>0</v>
      </c>
      <c r="J162" s="72">
        <f>_xlfn.XLOOKUP(наценкад5[[#This Row],[№]],ППД5[№],ППД5[С\У],"-",0)</f>
        <v>2.2999999999999998</v>
      </c>
      <c r="K162" s="72">
        <f>_xlfn.XLOOKUP(наценкад5[[#This Row],[№]],ППД5[№],ППД5[Расчетная проектная площадь],"-",0)</f>
        <v>60.22</v>
      </c>
      <c r="L162" s="12">
        <f t="shared" si="2"/>
        <v>63000</v>
      </c>
      <c r="M162" s="102">
        <f>коэффициенты!$F$2</f>
        <v>1.2257</v>
      </c>
      <c r="N162" s="13">
        <f>наценкад5[[#This Row],[Цена м2 базовая]]*наценкад5[[#This Row],[Базовой K]]</f>
        <v>77219.100000000006</v>
      </c>
      <c r="O162" s="76">
        <f>коэффициенты!$F$4</f>
        <v>1.4999999999999999E-2</v>
      </c>
      <c r="P162" s="74"/>
      <c r="Q162" s="76"/>
      <c r="R162" s="76"/>
      <c r="S162" s="76">
        <f>коэффициенты!$F$9</f>
        <v>0</v>
      </c>
      <c r="T162" s="74"/>
      <c r="U162" s="74"/>
      <c r="V162" s="74"/>
      <c r="W162" s="74">
        <f>коэффициенты!$F$12</f>
        <v>0.02</v>
      </c>
      <c r="X162" s="74">
        <f>коэффициенты!$F$13</f>
        <v>0.02</v>
      </c>
      <c r="Y162" s="75"/>
      <c r="Z162" s="74"/>
      <c r="AA162" s="74"/>
      <c r="AB162" s="74"/>
      <c r="AC162" s="74"/>
      <c r="AD162" s="74">
        <f>коэффициенты!$F$19</f>
        <v>5.0000000000000001E-3</v>
      </c>
      <c r="AE162" s="74"/>
      <c r="AF162" s="74"/>
      <c r="AG162" s="74"/>
      <c r="AH162" s="74"/>
      <c r="AI162" s="73">
        <f>SUM(наценкад5[[#This Row],[еврокухня]:[большая площадь]])*наценкад5[[#This Row],[Цена м2 с базовым K]]+наценкад5[[#This Row],[Цена м2 с базовым K]]</f>
        <v>81852.246000000014</v>
      </c>
      <c r="AJ162" s="72">
        <f>VLOOKUP(наценкад5[[#This Row],[№]],ППД5[],COLUMN(ППД5[[#This Row],[утв цена м2]]),0)</f>
        <v>99136.639999999999</v>
      </c>
      <c r="AK162" s="3">
        <f>наценкад5[[#This Row],[утв цена м2]]*наценкад5[[#This Row],[Расчетная проектная площадь]]</f>
        <v>5970008.4607999995</v>
      </c>
      <c r="AL162" s="22" t="str">
        <f>VLOOKUP(наценкад5[[#This Row],[№]],ППД5[],COLUMN('Реестр ОН'!$DF$1),0)</f>
        <v>Продажа</v>
      </c>
    </row>
    <row r="163" spans="1:38" hidden="1" x14ac:dyDescent="0.25">
      <c r="A163" s="101">
        <v>161</v>
      </c>
      <c r="B163" s="2" t="str">
        <f>_xlfn.XLOOKUP(наценкад5[[#This Row],[№]],ППД5[№],ППД5[Секция],"-",0)</f>
        <v>Б</v>
      </c>
      <c r="C163" s="2">
        <f>_xlfn.XLOOKUP(наценкад5[[#This Row],[№]],ППД5[№],ППД5[Этаж],"-",0)</f>
        <v>8</v>
      </c>
      <c r="D163" s="2">
        <f>_xlfn.XLOOKUP(наценкад5[[#This Row],[№]],ППД5[№],ППД5[№ на этаже],"-",0)</f>
        <v>2</v>
      </c>
      <c r="E163" s="2">
        <f>_xlfn.XLOOKUP(наценкад5[[#This Row],[№]],ППД5[№],ППД5[Тип кв],"-",0)</f>
        <v>0</v>
      </c>
      <c r="F163" s="72">
        <f>_xlfn.XLOOKUP(наценкад5[[#This Row],[№]],ППД5[№],ППД5[Кухня],"-",0)</f>
        <v>5.12</v>
      </c>
      <c r="G163" s="72">
        <f>_xlfn.XLOOKUP(наценкад5[[#This Row],[№]],ППД5[№],ППД5[Ванная],"-",0)</f>
        <v>3.65</v>
      </c>
      <c r="H163" s="72">
        <f>_xlfn.XLOOKUP(наценкад5[[#This Row],[№]],ППД5[№],ППД5[Гардеробная],"-",0)</f>
        <v>0</v>
      </c>
      <c r="I163" s="72">
        <f>_xlfn.XLOOKUP(наценкад5[[#This Row],[№]],ППД5[№],ППД5[Лоджия 2],"-",0)</f>
        <v>0</v>
      </c>
      <c r="J163" s="72">
        <f>_xlfn.XLOOKUP(наценкад5[[#This Row],[№]],ППД5[№],ППД5[С\У],"-",0)</f>
        <v>0</v>
      </c>
      <c r="K163" s="72">
        <f>_xlfn.XLOOKUP(наценкад5[[#This Row],[№]],ППД5[№],ППД5[Расчетная проектная площадь],"-",0)</f>
        <v>24.28</v>
      </c>
      <c r="L163" s="12">
        <f t="shared" si="2"/>
        <v>63000</v>
      </c>
      <c r="M163" s="116">
        <f>коэффициенты!$H$2</f>
        <v>1.3905000000000001</v>
      </c>
      <c r="N163" s="13">
        <f>наценкад5[[#This Row],[Цена м2 базовая]]*наценкад5[[#This Row],[Базовой K]]</f>
        <v>87601.5</v>
      </c>
      <c r="O163" s="74"/>
      <c r="P163" s="74"/>
      <c r="Q163" s="74"/>
      <c r="R163" s="74"/>
      <c r="S163" s="74"/>
      <c r="T163" s="74"/>
      <c r="U163" s="74"/>
      <c r="V163" s="74">
        <f>коэффициенты!$H$11</f>
        <v>0.01</v>
      </c>
      <c r="W163" s="74">
        <f>коэффициенты!$H$12</f>
        <v>0.02</v>
      </c>
      <c r="X163" s="74">
        <f>коэффициенты!$H$13</f>
        <v>0.01</v>
      </c>
      <c r="Y163" s="75"/>
      <c r="Z163" s="74"/>
      <c r="AA163" s="74"/>
      <c r="AB163" s="74"/>
      <c r="AC163" s="74"/>
      <c r="AD163" s="74">
        <f>коэффициенты!$H$19</f>
        <v>0.01</v>
      </c>
      <c r="AE163" s="74"/>
      <c r="AF163" s="74"/>
      <c r="AG163" s="74"/>
      <c r="AH163" s="74"/>
      <c r="AI163" s="73">
        <f>SUM(наценкад5[[#This Row],[еврокухня]:[большая площадь]])*наценкад5[[#This Row],[Цена м2 с базовым K]]+наценкад5[[#This Row],[Цена м2 с базовым K]]</f>
        <v>91981.574999999997</v>
      </c>
      <c r="AJ163" s="72">
        <f>VLOOKUP(наценкад5[[#This Row],[№]],ППД5[],COLUMN(ППД5[[#This Row],[утв цена м2]]),0)</f>
        <v>152660.23000000001</v>
      </c>
      <c r="AK163" s="3">
        <f>наценкад5[[#This Row],[утв цена м2]]*наценкад5[[#This Row],[Расчетная проектная площадь]]</f>
        <v>3706590.3844000003</v>
      </c>
      <c r="AL163" s="22" t="str">
        <f>VLOOKUP(наценкад5[[#This Row],[№]],ППД5[],COLUMN('Реестр ОН'!$DF$1),0)</f>
        <v>Ус. Бронь</v>
      </c>
    </row>
    <row r="164" spans="1:38" hidden="1" x14ac:dyDescent="0.25">
      <c r="A164" s="101">
        <v>162</v>
      </c>
      <c r="B164" s="2" t="str">
        <f>_xlfn.XLOOKUP(наценкад5[[#This Row],[№]],ППД5[№],ППД5[Секция],"-",0)</f>
        <v>Б</v>
      </c>
      <c r="C164" s="2">
        <f>_xlfn.XLOOKUP(наценкад5[[#This Row],[№]],ППД5[№],ППД5[Этаж],"-",0)</f>
        <v>8</v>
      </c>
      <c r="D164" s="2">
        <f>_xlfn.XLOOKUP(наценкад5[[#This Row],[№]],ППД5[№],ППД5[№ на этаже],"-",0)</f>
        <v>3</v>
      </c>
      <c r="E164" s="2">
        <f>_xlfn.XLOOKUP(наценкад5[[#This Row],[№]],ППД5[№],ППД5[Тип кв],"-",0)</f>
        <v>2</v>
      </c>
      <c r="F164" s="72">
        <f>_xlfn.XLOOKUP(наценкад5[[#This Row],[№]],ППД5[№],ППД5[Кухня],"-",0)</f>
        <v>14.35</v>
      </c>
      <c r="G164" s="72">
        <f>_xlfn.XLOOKUP(наценкад5[[#This Row],[№]],ППД5[№],ППД5[Ванная],"-",0)</f>
        <v>3.68</v>
      </c>
      <c r="H164" s="72">
        <f>_xlfn.XLOOKUP(наценкад5[[#This Row],[№]],ППД5[№],ППД5[Гардеробная],"-",0)</f>
        <v>0</v>
      </c>
      <c r="I164" s="72">
        <f>_xlfn.XLOOKUP(наценкад5[[#This Row],[№]],ППД5[№],ППД5[Лоджия 2],"-",0)</f>
        <v>0</v>
      </c>
      <c r="J164" s="72">
        <f>_xlfn.XLOOKUP(наценкад5[[#This Row],[№]],ППД5[№],ППД5[С\У],"-",0)</f>
        <v>2.57</v>
      </c>
      <c r="K164" s="72">
        <f>_xlfn.XLOOKUP(наценкад5[[#This Row],[№]],ППД5[№],ППД5[Расчетная проектная площадь],"-",0)</f>
        <v>57.6</v>
      </c>
      <c r="L164" s="12">
        <f t="shared" si="2"/>
        <v>63000</v>
      </c>
      <c r="M164" s="102">
        <f>коэффициенты!$F$2</f>
        <v>1.2257</v>
      </c>
      <c r="N164" s="13">
        <f>наценкад5[[#This Row],[Цена м2 базовая]]*наценкад5[[#This Row],[Базовой K]]</f>
        <v>77219.100000000006</v>
      </c>
      <c r="O164" s="76">
        <f>коэффициенты!$F$4</f>
        <v>1.4999999999999999E-2</v>
      </c>
      <c r="P164" s="74"/>
      <c r="Q164" s="76"/>
      <c r="R164" s="76"/>
      <c r="S164" s="76">
        <f>коэффициенты!$F$9</f>
        <v>0</v>
      </c>
      <c r="T164" s="74"/>
      <c r="U164" s="74"/>
      <c r="V164" s="74"/>
      <c r="W164" s="75">
        <f>коэффициенты!$F$12</f>
        <v>0.02</v>
      </c>
      <c r="X164" s="74"/>
      <c r="Y164" s="75"/>
      <c r="Z164" s="74"/>
      <c r="AA164" s="74"/>
      <c r="AB164" s="74"/>
      <c r="AC164" s="74"/>
      <c r="AD164" s="74">
        <f>коэффициенты!$F$19</f>
        <v>5.0000000000000001E-3</v>
      </c>
      <c r="AE164" s="74"/>
      <c r="AF164" s="74"/>
      <c r="AG164" s="74"/>
      <c r="AH164" s="74"/>
      <c r="AI164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164" s="72">
        <f>VLOOKUP(наценкад5[[#This Row],[№]],ППД5[],COLUMN(ППД5[[#This Row],[утв цена м2]]),0)</f>
        <v>86852.95</v>
      </c>
      <c r="AK164" s="3">
        <f>наценкад5[[#This Row],[утв цена м2]]*наценкад5[[#This Row],[Расчетная проектная площадь]]</f>
        <v>5002729.92</v>
      </c>
      <c r="AL164" s="22" t="str">
        <f>VLOOKUP(наценкад5[[#This Row],[№]],ППД5[],COLUMN('Реестр ОН'!$DF$1),0)</f>
        <v>Продажа</v>
      </c>
    </row>
    <row r="165" spans="1:38" hidden="1" x14ac:dyDescent="0.25">
      <c r="A165" s="101">
        <v>163</v>
      </c>
      <c r="B165" s="2" t="str">
        <f>_xlfn.XLOOKUP(наценкад5[[#This Row],[№]],ППД5[№],ППД5[Секция],"-",0)</f>
        <v>Б</v>
      </c>
      <c r="C165" s="2">
        <f>_xlfn.XLOOKUP(наценкад5[[#This Row],[№]],ППД5[№],ППД5[Этаж],"-",0)</f>
        <v>8</v>
      </c>
      <c r="D165" s="2">
        <f>_xlfn.XLOOKUP(наценкад5[[#This Row],[№]],ППД5[№],ППД5[№ на этаже],"-",0)</f>
        <v>4</v>
      </c>
      <c r="E165" s="2">
        <f>_xlfn.XLOOKUP(наценкад5[[#This Row],[№]],ППД5[№],ППД5[Тип кв],"-",0)</f>
        <v>2</v>
      </c>
      <c r="F165" s="72">
        <f>_xlfn.XLOOKUP(наценкад5[[#This Row],[№]],ППД5[№],ППД5[Кухня],"-",0)</f>
        <v>11.95</v>
      </c>
      <c r="G165" s="72">
        <f>_xlfn.XLOOKUP(наценкад5[[#This Row],[№]],ППД5[№],ППД5[Ванная],"-",0)</f>
        <v>3.86</v>
      </c>
      <c r="H165" s="72">
        <f>_xlfn.XLOOKUP(наценкад5[[#This Row],[№]],ППД5[№],ППД5[Гардеробная],"-",0)</f>
        <v>0</v>
      </c>
      <c r="I165" s="72">
        <f>_xlfn.XLOOKUP(наценкад5[[#This Row],[№]],ППД5[№],ППД5[Лоджия 2],"-",0)</f>
        <v>0</v>
      </c>
      <c r="J165" s="72">
        <f>_xlfn.XLOOKUP(наценкад5[[#This Row],[№]],ППД5[№],ППД5[С\У],"-",0)</f>
        <v>2.37</v>
      </c>
      <c r="K165" s="72">
        <f>_xlfn.XLOOKUP(наценкад5[[#This Row],[№]],ППД5[№],ППД5[Расчетная проектная площадь],"-",0)</f>
        <v>58.31</v>
      </c>
      <c r="L165" s="12">
        <f t="shared" si="2"/>
        <v>63000</v>
      </c>
      <c r="M165" s="102">
        <f>коэффициенты!$F$2</f>
        <v>1.2257</v>
      </c>
      <c r="N165" s="13">
        <f>наценкад5[[#This Row],[Цена м2 базовая]]*наценкад5[[#This Row],[Базовой K]]</f>
        <v>77219.100000000006</v>
      </c>
      <c r="O165" s="74"/>
      <c r="P165" s="74">
        <f>коэффициенты!$F$5</f>
        <v>0.01</v>
      </c>
      <c r="Q165" s="76"/>
      <c r="R165" s="76"/>
      <c r="S165" s="76">
        <f>коэффициенты!$F$9</f>
        <v>0</v>
      </c>
      <c r="T165" s="74"/>
      <c r="U165" s="74"/>
      <c r="V165" s="74"/>
      <c r="W165" s="75">
        <f>коэффициенты!$F$12</f>
        <v>0.02</v>
      </c>
      <c r="X165" s="76"/>
      <c r="Y165" s="75"/>
      <c r="Z165" s="74"/>
      <c r="AA165" s="74">
        <f>коэффициенты!$F$14</f>
        <v>0.02</v>
      </c>
      <c r="AB165" s="74"/>
      <c r="AC165" s="74"/>
      <c r="AD165" s="74">
        <f>коэффициенты!$F$19</f>
        <v>5.0000000000000001E-3</v>
      </c>
      <c r="AE165" s="74"/>
      <c r="AF165" s="74"/>
      <c r="AG165" s="74"/>
      <c r="AH165" s="74"/>
      <c r="AI165" s="73">
        <f>SUM(наценкад5[[#This Row],[еврокухня]:[большая площадь]])*наценкад5[[#This Row],[Цена м2 с базовым K]]+наценкад5[[#This Row],[Цена м2 с базовым K]]</f>
        <v>81466.150500000003</v>
      </c>
      <c r="AJ165" s="72">
        <f>VLOOKUP(наценкад5[[#This Row],[№]],ППД5[],COLUMN(ППД5[[#This Row],[утв цена м2]]),0)</f>
        <v>126023.24</v>
      </c>
      <c r="AK165" s="3">
        <f>наценкад5[[#This Row],[утв цена м2]]*наценкад5[[#This Row],[Расчетная проектная площадь]]</f>
        <v>7348415.124400001</v>
      </c>
      <c r="AL165" s="22" t="str">
        <f>VLOOKUP(наценкад5[[#This Row],[№]],ППД5[],COLUMN('Реестр ОН'!$DF$1),0)</f>
        <v>Свободно</v>
      </c>
    </row>
    <row r="166" spans="1:38" hidden="1" x14ac:dyDescent="0.25">
      <c r="A166" s="101">
        <v>164</v>
      </c>
      <c r="B166" s="2" t="str">
        <f>_xlfn.XLOOKUP(наценкад5[[#This Row],[№]],ППД5[№],ППД5[Секция],"-",0)</f>
        <v>Б</v>
      </c>
      <c r="C166" s="2">
        <f>_xlfn.XLOOKUP(наценкад5[[#This Row],[№]],ППД5[№],ППД5[Этаж],"-",0)</f>
        <v>8</v>
      </c>
      <c r="D166" s="2">
        <f>_xlfn.XLOOKUP(наценкад5[[#This Row],[№]],ППД5[№],ППД5[№ на этаже],"-",0)</f>
        <v>5</v>
      </c>
      <c r="E166" s="2">
        <f>_xlfn.XLOOKUP(наценкад5[[#This Row],[№]],ППД5[№],ППД5[Тип кв],"-",0)</f>
        <v>1</v>
      </c>
      <c r="F166" s="72">
        <f>_xlfn.XLOOKUP(наценкад5[[#This Row],[№]],ППД5[№],ППД5[Кухня],"-",0)</f>
        <v>13.18</v>
      </c>
      <c r="G166" s="72">
        <f>_xlfn.XLOOKUP(наценкад5[[#This Row],[№]],ППД5[№],ППД5[Ванная],"-",0)</f>
        <v>4.1100000000000003</v>
      </c>
      <c r="H166" s="72">
        <f>_xlfn.XLOOKUP(наценкад5[[#This Row],[№]],ППД5[№],ППД5[Гардеробная],"-",0)</f>
        <v>0</v>
      </c>
      <c r="I166" s="72">
        <f>_xlfn.XLOOKUP(наценкад5[[#This Row],[№]],ППД5[№],ППД5[Лоджия 2],"-",0)</f>
        <v>0</v>
      </c>
      <c r="J166" s="72">
        <f>_xlfn.XLOOKUP(наценкад5[[#This Row],[№]],ППД5[№],ППД5[С\У],"-",0)</f>
        <v>0</v>
      </c>
      <c r="K166" s="72">
        <f>_xlfn.XLOOKUP(наценкад5[[#This Row],[№]],ППД5[№],ППД5[Расчетная проектная площадь],"-",0)</f>
        <v>37.86</v>
      </c>
      <c r="L166" s="12">
        <f t="shared" si="2"/>
        <v>63000</v>
      </c>
      <c r="M166" s="102">
        <f>коэффициенты!$G$2</f>
        <v>1.2875000000000001</v>
      </c>
      <c r="N166" s="13">
        <f>наценкад5[[#This Row],[Цена м2 базовая]]*наценкад5[[#This Row],[Базовой K]]</f>
        <v>81112.5</v>
      </c>
      <c r="O166" s="74"/>
      <c r="P166" s="76">
        <f>коэффициенты!$G$5</f>
        <v>0.01</v>
      </c>
      <c r="Q166" s="74">
        <f>коэффициенты!$G$6</f>
        <v>0.03</v>
      </c>
      <c r="R166" s="74"/>
      <c r="S166" s="74"/>
      <c r="T166" s="74"/>
      <c r="U166" s="74"/>
      <c r="V166" s="74">
        <f>коэффициенты!$G$11</f>
        <v>0.01</v>
      </c>
      <c r="W166" s="75">
        <f>коэффициенты!$G$12</f>
        <v>0.02</v>
      </c>
      <c r="X166" s="74">
        <f>коэффициенты!$G$13</f>
        <v>0.01</v>
      </c>
      <c r="Y166" s="75"/>
      <c r="Z166" s="74"/>
      <c r="AA166" s="74">
        <f>коэффициенты!$G$14</f>
        <v>0.01</v>
      </c>
      <c r="AB166" s="74"/>
      <c r="AC166" s="74"/>
      <c r="AD166" s="74">
        <f>коэффициенты!$G$19</f>
        <v>0.01</v>
      </c>
      <c r="AE166" s="74"/>
      <c r="AF166" s="74"/>
      <c r="AG166" s="74"/>
      <c r="AH166" s="74"/>
      <c r="AI166" s="73">
        <f>SUM(наценкад5[[#This Row],[еврокухня]:[большая площадь]])*наценкад5[[#This Row],[Цена м2 с базовым K]]+наценкад5[[#This Row],[Цена м2 с базовым K]]</f>
        <v>89223.75</v>
      </c>
      <c r="AJ166" s="72">
        <f>VLOOKUP(наценкад5[[#This Row],[№]],ППД5[],COLUMN(ППД5[[#This Row],[утв цена м2]]),0)</f>
        <v>115653.95</v>
      </c>
      <c r="AK166" s="3">
        <f>наценкад5[[#This Row],[утв цена м2]]*наценкад5[[#This Row],[Расчетная проектная площадь]]</f>
        <v>4378658.5470000003</v>
      </c>
      <c r="AL166" s="22" t="str">
        <f>VLOOKUP(наценкад5[[#This Row],[№]],ППД5[],COLUMN('Реестр ОН'!$DF$1),0)</f>
        <v>Продажа</v>
      </c>
    </row>
    <row r="167" spans="1:38" hidden="1" x14ac:dyDescent="0.25">
      <c r="A167" s="101">
        <v>165</v>
      </c>
      <c r="B167" s="2" t="str">
        <f>_xlfn.XLOOKUP(наценкад5[[#This Row],[№]],ППД5[№],ППД5[Секция],"-",0)</f>
        <v>Б</v>
      </c>
      <c r="C167" s="2">
        <f>_xlfn.XLOOKUP(наценкад5[[#This Row],[№]],ППД5[№],ППД5[Этаж],"-",0)</f>
        <v>8</v>
      </c>
      <c r="D167" s="2">
        <f>_xlfn.XLOOKUP(наценкад5[[#This Row],[№]],ППД5[№],ППД5[№ на этаже],"-",0)</f>
        <v>6</v>
      </c>
      <c r="E167" s="2">
        <f>_xlfn.XLOOKUP(наценкад5[[#This Row],[№]],ППД5[№],ППД5[Тип кв],"-",0)</f>
        <v>3</v>
      </c>
      <c r="F167" s="72">
        <f>_xlfn.XLOOKUP(наценкад5[[#This Row],[№]],ППД5[№],ППД5[Кухня],"-",0)</f>
        <v>13.39</v>
      </c>
      <c r="G167" s="72">
        <f>_xlfn.XLOOKUP(наценкад5[[#This Row],[№]],ППД5[№],ППД5[Ванная],"-",0)</f>
        <v>4.2</v>
      </c>
      <c r="H167" s="72">
        <f>_xlfn.XLOOKUP(наценкад5[[#This Row],[№]],ППД5[№],ППД5[Гардеробная],"-",0)</f>
        <v>0</v>
      </c>
      <c r="I167" s="72">
        <f>_xlfn.XLOOKUP(наценкад5[[#This Row],[№]],ППД5[№],ППД5[Лоджия 2],"-",0)</f>
        <v>2.68</v>
      </c>
      <c r="J167" s="72">
        <f>_xlfn.XLOOKUP(наценкад5[[#This Row],[№]],ППД5[№],ППД5[С\У],"-",0)</f>
        <v>2.0499999999999998</v>
      </c>
      <c r="K167" s="72">
        <f>_xlfn.XLOOKUP(наценкад5[[#This Row],[№]],ППД5[№],ППД5[Расчетная проектная площадь],"-",0)</f>
        <v>84.99</v>
      </c>
      <c r="L167" s="12">
        <f t="shared" si="2"/>
        <v>63000</v>
      </c>
      <c r="M167" s="27">
        <f>коэффициенты!$E$2</f>
        <v>1.1330000000000002</v>
      </c>
      <c r="N167" s="13">
        <f>наценкад5[[#This Row],[Цена м2 базовая]]*наценкад5[[#This Row],[Базовой K]]</f>
        <v>71379.000000000015</v>
      </c>
      <c r="O167" s="74"/>
      <c r="P167" s="74">
        <f>коэффициенты!$E$5</f>
        <v>0</v>
      </c>
      <c r="Q167" s="74">
        <f>коэффициенты!$E$6</f>
        <v>0.01</v>
      </c>
      <c r="R167" s="74"/>
      <c r="S167" s="74">
        <f>коэффициенты!$E$9</f>
        <v>0</v>
      </c>
      <c r="T167" s="74">
        <f>коэффициенты!$E$7</f>
        <v>0</v>
      </c>
      <c r="U167" s="74"/>
      <c r="V167" s="74"/>
      <c r="W167" s="75">
        <f>коэффициенты!$E$12</f>
        <v>0.02</v>
      </c>
      <c r="X167" s="74"/>
      <c r="Y167" s="75"/>
      <c r="Z167" s="74"/>
      <c r="AA167" s="74">
        <f>коэффициенты!$E$14</f>
        <v>0</v>
      </c>
      <c r="AB167" s="74">
        <f>коэффициенты!$E$17</f>
        <v>0</v>
      </c>
      <c r="AC167" s="74"/>
      <c r="AD167" s="76"/>
      <c r="AE167" s="76"/>
      <c r="AF167" s="76"/>
      <c r="AG167" s="74"/>
      <c r="AH167" s="74">
        <f>'отрицательный кф'!$O$33</f>
        <v>0</v>
      </c>
      <c r="AI167" s="73">
        <f>SUM(наценкад5[[#This Row],[еврокухня]:[большая площадь]])*наценкад5[[#This Row],[Цена м2 с базовым K]]+наценкад5[[#This Row],[Цена м2 с базовым K]]</f>
        <v>73520.37000000001</v>
      </c>
      <c r="AJ167" s="72">
        <f>VLOOKUP(наценкад5[[#This Row],[№]],ППД5[],COLUMN(ППД5[[#This Row],[утв цена м2]]),0)</f>
        <v>79512.28</v>
      </c>
      <c r="AK167" s="3">
        <f>наценкад5[[#This Row],[утв цена м2]]*наценкад5[[#This Row],[Расчетная проектная площадь]]</f>
        <v>6757748.6771999998</v>
      </c>
      <c r="AL167" s="22" t="str">
        <f>VLOOKUP(наценкад5[[#This Row],[№]],ППД5[],COLUMN('Реестр ОН'!$DF$1),0)</f>
        <v>Продажа</v>
      </c>
    </row>
    <row r="168" spans="1:38" hidden="1" x14ac:dyDescent="0.25">
      <c r="A168" s="101">
        <v>166</v>
      </c>
      <c r="B168" s="2" t="str">
        <f>_xlfn.XLOOKUP(наценкад5[[#This Row],[№]],ППД5[№],ППД5[Секция],"-",0)</f>
        <v>Б</v>
      </c>
      <c r="C168" s="2">
        <f>_xlfn.XLOOKUP(наценкад5[[#This Row],[№]],ППД5[№],ППД5[Этаж],"-",0)</f>
        <v>8</v>
      </c>
      <c r="D168" s="2">
        <f>_xlfn.XLOOKUP(наценкад5[[#This Row],[№]],ППД5[№],ППД5[№ на этаже],"-",0)</f>
        <v>7</v>
      </c>
      <c r="E168" s="2">
        <f>_xlfn.XLOOKUP(наценкад5[[#This Row],[№]],ППД5[№],ППД5[Тип кв],"-",0)</f>
        <v>1</v>
      </c>
      <c r="F168" s="72">
        <f>_xlfn.XLOOKUP(наценкад5[[#This Row],[№]],ППД5[№],ППД5[Кухня],"-",0)</f>
        <v>13.04</v>
      </c>
      <c r="G168" s="72">
        <f>_xlfn.XLOOKUP(наценкад5[[#This Row],[№]],ППД5[№],ППД5[Ванная],"-",0)</f>
        <v>3.9</v>
      </c>
      <c r="H168" s="72">
        <f>_xlfn.XLOOKUP(наценкад5[[#This Row],[№]],ППД5[№],ППД5[Гардеробная],"-",0)</f>
        <v>0</v>
      </c>
      <c r="I168" s="72">
        <f>_xlfn.XLOOKUP(наценкад5[[#This Row],[№]],ППД5[№],ППД5[Лоджия 2],"-",0)</f>
        <v>0</v>
      </c>
      <c r="J168" s="72">
        <f>_xlfn.XLOOKUP(наценкад5[[#This Row],[№]],ППД5[№],ППД5[С\У],"-",0)</f>
        <v>0</v>
      </c>
      <c r="K168" s="72">
        <f>_xlfn.XLOOKUP(наценкад5[[#This Row],[№]],ППД5[№],ППД5[Расчетная проектная площадь],"-",0)</f>
        <v>42.28</v>
      </c>
      <c r="L168" s="12">
        <f t="shared" si="2"/>
        <v>63000</v>
      </c>
      <c r="M168" s="102">
        <f>коэффициенты!$G$2</f>
        <v>1.2875000000000001</v>
      </c>
      <c r="N168" s="13">
        <f>наценкад5[[#This Row],[Цена м2 базовая]]*наценкад5[[#This Row],[Базовой K]]</f>
        <v>81112.5</v>
      </c>
      <c r="O168" s="74"/>
      <c r="P168" s="76">
        <f>коэффициенты!$G$5</f>
        <v>0.01</v>
      </c>
      <c r="Q168" s="74"/>
      <c r="R168" s="74"/>
      <c r="S168" s="74"/>
      <c r="T168" s="74"/>
      <c r="U168" s="74"/>
      <c r="V168" s="74">
        <f>коэффициенты!$G$11</f>
        <v>0.01</v>
      </c>
      <c r="W168" s="74">
        <f>коэффициенты!$G$12</f>
        <v>0.02</v>
      </c>
      <c r="X168" s="74"/>
      <c r="Y168" s="75"/>
      <c r="Z168" s="74"/>
      <c r="AA168" s="74">
        <f>коэффициенты!$G$14</f>
        <v>0.01</v>
      </c>
      <c r="AB168" s="74"/>
      <c r="AC168" s="74"/>
      <c r="AD168" s="74">
        <f>коэффициенты!$G$19</f>
        <v>0.01</v>
      </c>
      <c r="AE168" s="74"/>
      <c r="AF168" s="74"/>
      <c r="AG168" s="74">
        <f>коэффициенты!$A$24</f>
        <v>-5.0000000000000001E-3</v>
      </c>
      <c r="AH168" s="74"/>
      <c r="AI168" s="73">
        <f>SUM(наценкад5[[#This Row],[еврокухня]:[большая площадь]])*наценкад5[[#This Row],[Цена м2 с базовым K]]+наценкад5[[#This Row],[Цена м2 с базовым K]]</f>
        <v>85573.6875</v>
      </c>
      <c r="AJ168" s="72">
        <f>VLOOKUP(наценкад5[[#This Row],[№]],ППД5[],COLUMN(ППД5[[#This Row],[утв цена м2]]),0)</f>
        <v>138165.20000000001</v>
      </c>
      <c r="AK168" s="3">
        <f>наценкад5[[#This Row],[утв цена м2]]*наценкад5[[#This Row],[Расчетная проектная площадь]]</f>
        <v>5841624.6560000004</v>
      </c>
      <c r="AL168" s="22" t="str">
        <f>VLOOKUP(наценкад5[[#This Row],[№]],ППД5[],COLUMN('Реестр ОН'!$DF$1),0)</f>
        <v>Продажа</v>
      </c>
    </row>
    <row r="169" spans="1:38" hidden="1" x14ac:dyDescent="0.25">
      <c r="A169" s="101">
        <v>167</v>
      </c>
      <c r="B169" s="2" t="str">
        <f>_xlfn.XLOOKUP(наценкад5[[#This Row],[№]],ППД5[№],ППД5[Секция],"-",0)</f>
        <v>Б</v>
      </c>
      <c r="C169" s="2">
        <f>_xlfn.XLOOKUP(наценкад5[[#This Row],[№]],ППД5[№],ППД5[Этаж],"-",0)</f>
        <v>9</v>
      </c>
      <c r="D169" s="2">
        <f>_xlfn.XLOOKUP(наценкад5[[#This Row],[№]],ППД5[№],ППД5[№ на этаже],"-",0)</f>
        <v>1</v>
      </c>
      <c r="E169" s="2">
        <f>_xlfn.XLOOKUP(наценкад5[[#This Row],[№]],ППД5[№],ППД5[Тип кв],"-",0)</f>
        <v>2</v>
      </c>
      <c r="F169" s="72">
        <f>_xlfn.XLOOKUP(наценкад5[[#This Row],[№]],ППД5[№],ППД5[Кухня],"-",0)</f>
        <v>15.31</v>
      </c>
      <c r="G169" s="72">
        <f>_xlfn.XLOOKUP(наценкад5[[#This Row],[№]],ППД5[№],ППД5[Ванная],"-",0)</f>
        <v>3.85</v>
      </c>
      <c r="H169" s="72">
        <f>_xlfn.XLOOKUP(наценкад5[[#This Row],[№]],ППД5[№],ППД5[Гардеробная],"-",0)</f>
        <v>0</v>
      </c>
      <c r="I169" s="72">
        <f>_xlfn.XLOOKUP(наценкад5[[#This Row],[№]],ППД5[№],ППД5[Лоджия 2],"-",0)</f>
        <v>0</v>
      </c>
      <c r="J169" s="72">
        <f>_xlfn.XLOOKUP(наценкад5[[#This Row],[№]],ППД5[№],ППД5[С\У],"-",0)</f>
        <v>2.2999999999999998</v>
      </c>
      <c r="K169" s="72">
        <f>_xlfn.XLOOKUP(наценкад5[[#This Row],[№]],ППД5[№],ППД5[Расчетная проектная площадь],"-",0)</f>
        <v>60.22</v>
      </c>
      <c r="L169" s="12">
        <f t="shared" si="2"/>
        <v>63000</v>
      </c>
      <c r="M169" s="102">
        <f>коэффициенты!$F$2</f>
        <v>1.2257</v>
      </c>
      <c r="N169" s="13">
        <f>наценкад5[[#This Row],[Цена м2 базовая]]*наценкад5[[#This Row],[Базовой K]]</f>
        <v>77219.100000000006</v>
      </c>
      <c r="O169" s="76">
        <f>коэффициенты!$F$4</f>
        <v>1.4999999999999999E-2</v>
      </c>
      <c r="P169" s="74"/>
      <c r="Q169" s="76"/>
      <c r="R169" s="76"/>
      <c r="S169" s="76">
        <f>коэффициенты!$F$9</f>
        <v>0</v>
      </c>
      <c r="T169" s="74"/>
      <c r="U169" s="74"/>
      <c r="V169" s="74"/>
      <c r="W169" s="74"/>
      <c r="X169" s="74">
        <f>коэффициенты!$F$13</f>
        <v>0.02</v>
      </c>
      <c r="Y169" s="75"/>
      <c r="Z169" s="74"/>
      <c r="AA169" s="74"/>
      <c r="AB169" s="74"/>
      <c r="AC169" s="74"/>
      <c r="AD169" s="74">
        <f>коэффициенты!$F$19</f>
        <v>5.0000000000000001E-3</v>
      </c>
      <c r="AE169" s="74"/>
      <c r="AF169" s="74"/>
      <c r="AG169" s="74"/>
      <c r="AH169" s="74"/>
      <c r="AI169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169" s="72">
        <f>VLOOKUP(наценкад5[[#This Row],[№]],ППД5[],COLUMN(ППД5[[#This Row],[утв цена м2]]),0)</f>
        <v>121200.59</v>
      </c>
      <c r="AK169" s="3">
        <f>наценкад5[[#This Row],[утв цена м2]]*наценкад5[[#This Row],[Расчетная проектная площадь]]</f>
        <v>7298699.5297999997</v>
      </c>
      <c r="AL169" s="22" t="str">
        <f>VLOOKUP(наценкад5[[#This Row],[№]],ППД5[],COLUMN('Реестр ОН'!$DF$1),0)</f>
        <v>Свободно</v>
      </c>
    </row>
    <row r="170" spans="1:38" hidden="1" x14ac:dyDescent="0.25">
      <c r="A170" s="101">
        <v>168</v>
      </c>
      <c r="B170" s="2" t="str">
        <f>_xlfn.XLOOKUP(наценкад5[[#This Row],[№]],ППД5[№],ППД5[Секция],"-",0)</f>
        <v>Б</v>
      </c>
      <c r="C170" s="2">
        <f>_xlfn.XLOOKUP(наценкад5[[#This Row],[№]],ППД5[№],ППД5[Этаж],"-",0)</f>
        <v>9</v>
      </c>
      <c r="D170" s="2">
        <f>_xlfn.XLOOKUP(наценкад5[[#This Row],[№]],ППД5[№],ППД5[№ на этаже],"-",0)</f>
        <v>2</v>
      </c>
      <c r="E170" s="2">
        <f>_xlfn.XLOOKUP(наценкад5[[#This Row],[№]],ППД5[№],ППД5[Тип кв],"-",0)</f>
        <v>0</v>
      </c>
      <c r="F170" s="72">
        <f>_xlfn.XLOOKUP(наценкад5[[#This Row],[№]],ППД5[№],ППД5[Кухня],"-",0)</f>
        <v>5.12</v>
      </c>
      <c r="G170" s="72">
        <f>_xlfn.XLOOKUP(наценкад5[[#This Row],[№]],ППД5[№],ППД5[Ванная],"-",0)</f>
        <v>3.65</v>
      </c>
      <c r="H170" s="72">
        <f>_xlfn.XLOOKUP(наценкад5[[#This Row],[№]],ППД5[№],ППД5[Гардеробная],"-",0)</f>
        <v>0</v>
      </c>
      <c r="I170" s="72">
        <f>_xlfn.XLOOKUP(наценкад5[[#This Row],[№]],ППД5[№],ППД5[Лоджия 2],"-",0)</f>
        <v>0</v>
      </c>
      <c r="J170" s="72">
        <f>_xlfn.XLOOKUP(наценкад5[[#This Row],[№]],ППД5[№],ППД5[С\У],"-",0)</f>
        <v>0</v>
      </c>
      <c r="K170" s="72">
        <f>_xlfn.XLOOKUP(наценкад5[[#This Row],[№]],ППД5[№],ППД5[Расчетная проектная площадь],"-",0)</f>
        <v>24.28</v>
      </c>
      <c r="L170" s="12">
        <f t="shared" si="2"/>
        <v>63000</v>
      </c>
      <c r="M170" s="116">
        <f>коэффициенты!$H$2</f>
        <v>1.3905000000000001</v>
      </c>
      <c r="N170" s="13">
        <f>наценкад5[[#This Row],[Цена м2 базовая]]*наценкад5[[#This Row],[Базовой K]]</f>
        <v>87601.5</v>
      </c>
      <c r="O170" s="74"/>
      <c r="P170" s="74"/>
      <c r="Q170" s="74"/>
      <c r="R170" s="74"/>
      <c r="S170" s="74"/>
      <c r="T170" s="74"/>
      <c r="U170" s="74"/>
      <c r="V170" s="74">
        <f>коэффициенты!$H$11</f>
        <v>0.01</v>
      </c>
      <c r="W170" s="75"/>
      <c r="X170" s="74">
        <f>коэффициенты!$H$13</f>
        <v>0.01</v>
      </c>
      <c r="Y170" s="75"/>
      <c r="Z170" s="74"/>
      <c r="AA170" s="74"/>
      <c r="AB170" s="74"/>
      <c r="AC170" s="74"/>
      <c r="AD170" s="74">
        <f>коэффициенты!$H$19</f>
        <v>0.01</v>
      </c>
      <c r="AE170" s="74"/>
      <c r="AF170" s="74"/>
      <c r="AG170" s="74"/>
      <c r="AH170" s="74"/>
      <c r="AI170" s="73">
        <f>SUM(наценкад5[[#This Row],[еврокухня]:[большая площадь]])*наценкад5[[#This Row],[Цена м2 с базовым K]]+наценкад5[[#This Row],[Цена м2 с базовым K]]</f>
        <v>90229.544999999998</v>
      </c>
      <c r="AJ170" s="72">
        <f>VLOOKUP(наценкад5[[#This Row],[№]],ППД5[],COLUMN(ППД5[[#This Row],[утв цена м2]]),0)</f>
        <v>149764.28</v>
      </c>
      <c r="AK170" s="3">
        <f>наценкад5[[#This Row],[утв цена м2]]*наценкад5[[#This Row],[Расчетная проектная площадь]]</f>
        <v>3636276.7184000001</v>
      </c>
      <c r="AL170" s="22" t="str">
        <f>VLOOKUP(наценкад5[[#This Row],[№]],ППД5[],COLUMN('Реестр ОН'!$DF$1),0)</f>
        <v>Ус. Бронь</v>
      </c>
    </row>
    <row r="171" spans="1:38" hidden="1" x14ac:dyDescent="0.25">
      <c r="A171" s="101">
        <v>169</v>
      </c>
      <c r="B171" s="2" t="str">
        <f>_xlfn.XLOOKUP(наценкад5[[#This Row],[№]],ППД5[№],ППД5[Секция],"-",0)</f>
        <v>Б</v>
      </c>
      <c r="C171" s="2">
        <f>_xlfn.XLOOKUP(наценкад5[[#This Row],[№]],ППД5[№],ППД5[Этаж],"-",0)</f>
        <v>9</v>
      </c>
      <c r="D171" s="2">
        <f>_xlfn.XLOOKUP(наценкад5[[#This Row],[№]],ППД5[№],ППД5[№ на этаже],"-",0)</f>
        <v>3</v>
      </c>
      <c r="E171" s="2">
        <f>_xlfn.XLOOKUP(наценкад5[[#This Row],[№]],ППД5[№],ППД5[Тип кв],"-",0)</f>
        <v>2</v>
      </c>
      <c r="F171" s="72">
        <f>_xlfn.XLOOKUP(наценкад5[[#This Row],[№]],ППД5[№],ППД5[Кухня],"-",0)</f>
        <v>14.35</v>
      </c>
      <c r="G171" s="72">
        <f>_xlfn.XLOOKUP(наценкад5[[#This Row],[№]],ППД5[№],ППД5[Ванная],"-",0)</f>
        <v>3.68</v>
      </c>
      <c r="H171" s="72">
        <f>_xlfn.XLOOKUP(наценкад5[[#This Row],[№]],ППД5[№],ППД5[Гардеробная],"-",0)</f>
        <v>0</v>
      </c>
      <c r="I171" s="72">
        <f>_xlfn.XLOOKUP(наценкад5[[#This Row],[№]],ППД5[№],ППД5[Лоджия 2],"-",0)</f>
        <v>0</v>
      </c>
      <c r="J171" s="72">
        <f>_xlfn.XLOOKUP(наценкад5[[#This Row],[№]],ППД5[№],ППД5[С\У],"-",0)</f>
        <v>2.57</v>
      </c>
      <c r="K171" s="72">
        <f>_xlfn.XLOOKUP(наценкад5[[#This Row],[№]],ППД5[№],ППД5[Расчетная проектная площадь],"-",0)</f>
        <v>57.6</v>
      </c>
      <c r="L171" s="12">
        <f t="shared" si="2"/>
        <v>63000</v>
      </c>
      <c r="M171" s="102">
        <f>коэффициенты!$F$2</f>
        <v>1.2257</v>
      </c>
      <c r="N171" s="13">
        <f>наценкад5[[#This Row],[Цена м2 базовая]]*наценкад5[[#This Row],[Базовой K]]</f>
        <v>77219.100000000006</v>
      </c>
      <c r="O171" s="76">
        <f>коэффициенты!$F$4</f>
        <v>1.4999999999999999E-2</v>
      </c>
      <c r="P171" s="74"/>
      <c r="Q171" s="76"/>
      <c r="R171" s="76"/>
      <c r="S171" s="76">
        <f>коэффициенты!$F$9</f>
        <v>0</v>
      </c>
      <c r="T171" s="74"/>
      <c r="U171" s="74"/>
      <c r="V171" s="74"/>
      <c r="W171" s="75"/>
      <c r="X171" s="74"/>
      <c r="Y171" s="75"/>
      <c r="Z171" s="74"/>
      <c r="AA171" s="74"/>
      <c r="AB171" s="74"/>
      <c r="AC171" s="74"/>
      <c r="AD171" s="74">
        <f>коэффициенты!$F$19</f>
        <v>5.0000000000000001E-3</v>
      </c>
      <c r="AE171" s="74"/>
      <c r="AF171" s="74"/>
      <c r="AG171" s="74"/>
      <c r="AH171" s="74"/>
      <c r="AI171" s="73">
        <f>SUM(наценкад5[[#This Row],[еврокухня]:[большая площадь]])*наценкад5[[#This Row],[Цена м2 с базовым K]]+наценкад5[[#This Row],[Цена м2 с базовым K]]</f>
        <v>78763.482000000004</v>
      </c>
      <c r="AJ171" s="72">
        <f>VLOOKUP(наценкад5[[#This Row],[№]],ППД5[],COLUMN(ППД5[[#This Row],[утв цена м2]]),0)</f>
        <v>90336.26</v>
      </c>
      <c r="AK171" s="3">
        <f>наценкад5[[#This Row],[утв цена м2]]*наценкад5[[#This Row],[Расчетная проектная площадь]]</f>
        <v>5203368.5759999994</v>
      </c>
      <c r="AL171" s="22" t="str">
        <f>VLOOKUP(наценкад5[[#This Row],[№]],ППД5[],COLUMN('Реестр ОН'!$DF$1),0)</f>
        <v>Продажа</v>
      </c>
    </row>
    <row r="172" spans="1:38" hidden="1" x14ac:dyDescent="0.25">
      <c r="A172" s="101">
        <v>170</v>
      </c>
      <c r="B172" s="2" t="str">
        <f>_xlfn.XLOOKUP(наценкад5[[#This Row],[№]],ППД5[№],ППД5[Секция],"-",0)</f>
        <v>Б</v>
      </c>
      <c r="C172" s="2">
        <f>_xlfn.XLOOKUP(наценкад5[[#This Row],[№]],ППД5[№],ППД5[Этаж],"-",0)</f>
        <v>9</v>
      </c>
      <c r="D172" s="2">
        <f>_xlfn.XLOOKUP(наценкад5[[#This Row],[№]],ППД5[№],ППД5[№ на этаже],"-",0)</f>
        <v>4</v>
      </c>
      <c r="E172" s="2">
        <f>_xlfn.XLOOKUP(наценкад5[[#This Row],[№]],ППД5[№],ППД5[Тип кв],"-",0)</f>
        <v>2</v>
      </c>
      <c r="F172" s="72">
        <f>_xlfn.XLOOKUP(наценкад5[[#This Row],[№]],ППД5[№],ППД5[Кухня],"-",0)</f>
        <v>11.95</v>
      </c>
      <c r="G172" s="72">
        <f>_xlfn.XLOOKUP(наценкад5[[#This Row],[№]],ППД5[№],ППД5[Ванная],"-",0)</f>
        <v>3.86</v>
      </c>
      <c r="H172" s="72">
        <f>_xlfn.XLOOKUP(наценкад5[[#This Row],[№]],ППД5[№],ППД5[Гардеробная],"-",0)</f>
        <v>0</v>
      </c>
      <c r="I172" s="72">
        <f>_xlfn.XLOOKUP(наценкад5[[#This Row],[№]],ППД5[№],ППД5[Лоджия 2],"-",0)</f>
        <v>0</v>
      </c>
      <c r="J172" s="72">
        <f>_xlfn.XLOOKUP(наценкад5[[#This Row],[№]],ППД5[№],ППД5[С\У],"-",0)</f>
        <v>2.37</v>
      </c>
      <c r="K172" s="72">
        <f>_xlfn.XLOOKUP(наценкад5[[#This Row],[№]],ППД5[№],ППД5[Расчетная проектная площадь],"-",0)</f>
        <v>58.31</v>
      </c>
      <c r="L172" s="12">
        <f t="shared" si="2"/>
        <v>63000</v>
      </c>
      <c r="M172" s="102">
        <f>коэффициенты!$F$2</f>
        <v>1.2257</v>
      </c>
      <c r="N172" s="13">
        <f>наценкад5[[#This Row],[Цена м2 базовая]]*наценкад5[[#This Row],[Базовой K]]</f>
        <v>77219.100000000006</v>
      </c>
      <c r="O172" s="74"/>
      <c r="P172" s="74">
        <f>коэффициенты!$F$5</f>
        <v>0.01</v>
      </c>
      <c r="Q172" s="76"/>
      <c r="R172" s="76"/>
      <c r="S172" s="76">
        <f>коэффициенты!$F$9</f>
        <v>0</v>
      </c>
      <c r="T172" s="74"/>
      <c r="U172" s="74"/>
      <c r="V172" s="74"/>
      <c r="W172" s="75"/>
      <c r="X172" s="76"/>
      <c r="Y172" s="75"/>
      <c r="Z172" s="74"/>
      <c r="AA172" s="74">
        <f>коэффициенты!$F$14</f>
        <v>0.02</v>
      </c>
      <c r="AB172" s="74"/>
      <c r="AC172" s="74"/>
      <c r="AD172" s="74">
        <f>коэффициенты!$F$19</f>
        <v>5.0000000000000001E-3</v>
      </c>
      <c r="AE172" s="74"/>
      <c r="AF172" s="74"/>
      <c r="AG172" s="74"/>
      <c r="AH172" s="74"/>
      <c r="AI172" s="73">
        <f>SUM(наценкад5[[#This Row],[еврокухня]:[большая площадь]])*наценкад5[[#This Row],[Цена м2 с базовым K]]+наценкад5[[#This Row],[Цена м2 с базовым K]]</f>
        <v>79921.768500000006</v>
      </c>
      <c r="AJ172" s="72">
        <f>VLOOKUP(наценкад5[[#This Row],[№]],ППД5[],COLUMN(ППД5[[#This Row],[утв цена м2]]),0)</f>
        <v>86435.39</v>
      </c>
      <c r="AK172" s="3">
        <f>наценкад5[[#This Row],[утв цена м2]]*наценкад5[[#This Row],[Расчетная проектная площадь]]</f>
        <v>5040047.5909000002</v>
      </c>
      <c r="AL172" s="22" t="str">
        <f>VLOOKUP(наценкад5[[#This Row],[№]],ППД5[],COLUMN('Реестр ОН'!$DF$1),0)</f>
        <v>Продажа</v>
      </c>
    </row>
    <row r="173" spans="1:38" hidden="1" x14ac:dyDescent="0.25">
      <c r="A173" s="101">
        <v>171</v>
      </c>
      <c r="B173" s="2" t="str">
        <f>_xlfn.XLOOKUP(наценкад5[[#This Row],[№]],ППД5[№],ППД5[Секция],"-",0)</f>
        <v>Б</v>
      </c>
      <c r="C173" s="2">
        <f>_xlfn.XLOOKUP(наценкад5[[#This Row],[№]],ППД5[№],ППД5[Этаж],"-",0)</f>
        <v>9</v>
      </c>
      <c r="D173" s="2">
        <f>_xlfn.XLOOKUP(наценкад5[[#This Row],[№]],ППД5[№],ППД5[№ на этаже],"-",0)</f>
        <v>5</v>
      </c>
      <c r="E173" s="2">
        <f>_xlfn.XLOOKUP(наценкад5[[#This Row],[№]],ППД5[№],ППД5[Тип кв],"-",0)</f>
        <v>1</v>
      </c>
      <c r="F173" s="72">
        <f>_xlfn.XLOOKUP(наценкад5[[#This Row],[№]],ППД5[№],ППД5[Кухня],"-",0)</f>
        <v>13.18</v>
      </c>
      <c r="G173" s="72">
        <f>_xlfn.XLOOKUP(наценкад5[[#This Row],[№]],ППД5[№],ППД5[Ванная],"-",0)</f>
        <v>4.1100000000000003</v>
      </c>
      <c r="H173" s="72">
        <f>_xlfn.XLOOKUP(наценкад5[[#This Row],[№]],ППД5[№],ППД5[Гардеробная],"-",0)</f>
        <v>0</v>
      </c>
      <c r="I173" s="72">
        <f>_xlfn.XLOOKUP(наценкад5[[#This Row],[№]],ППД5[№],ППД5[Лоджия 2],"-",0)</f>
        <v>0</v>
      </c>
      <c r="J173" s="72">
        <f>_xlfn.XLOOKUP(наценкад5[[#This Row],[№]],ППД5[№],ППД5[С\У],"-",0)</f>
        <v>0</v>
      </c>
      <c r="K173" s="72">
        <f>_xlfn.XLOOKUP(наценкад5[[#This Row],[№]],ППД5[№],ППД5[Расчетная проектная площадь],"-",0)</f>
        <v>37.86</v>
      </c>
      <c r="L173" s="12">
        <f t="shared" si="2"/>
        <v>63000</v>
      </c>
      <c r="M173" s="102">
        <f>коэффициенты!$G$2</f>
        <v>1.2875000000000001</v>
      </c>
      <c r="N173" s="13">
        <f>наценкад5[[#This Row],[Цена м2 базовая]]*наценкад5[[#This Row],[Базовой K]]</f>
        <v>81112.5</v>
      </c>
      <c r="O173" s="74"/>
      <c r="P173" s="76">
        <f>коэффициенты!$G$5</f>
        <v>0.01</v>
      </c>
      <c r="Q173" s="74">
        <f>коэффициенты!$G$6</f>
        <v>0.03</v>
      </c>
      <c r="R173" s="74"/>
      <c r="S173" s="74"/>
      <c r="T173" s="74"/>
      <c r="U173" s="74"/>
      <c r="V173" s="74">
        <f>коэффициенты!$G$11</f>
        <v>0.01</v>
      </c>
      <c r="W173" s="74"/>
      <c r="X173" s="74">
        <f>коэффициенты!$G$13</f>
        <v>0.01</v>
      </c>
      <c r="Y173" s="75"/>
      <c r="Z173" s="74"/>
      <c r="AA173" s="74">
        <f>коэффициенты!$G$14</f>
        <v>0.01</v>
      </c>
      <c r="AB173" s="74"/>
      <c r="AC173" s="74"/>
      <c r="AD173" s="74">
        <f>коэффициенты!$G$19</f>
        <v>0.01</v>
      </c>
      <c r="AE173" s="74"/>
      <c r="AF173" s="74"/>
      <c r="AG173" s="74"/>
      <c r="AH173" s="74"/>
      <c r="AI173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173" s="72">
        <f>VLOOKUP(наценкад5[[#This Row],[№]],ППД5[],COLUMN(ППД5[[#This Row],[утв цена м2]]),0)</f>
        <v>118141.6</v>
      </c>
      <c r="AK173" s="3">
        <f>наценкад5[[#This Row],[утв цена м2]]*наценкад5[[#This Row],[Расчетная проектная площадь]]</f>
        <v>4472840.9759999998</v>
      </c>
      <c r="AL173" s="22" t="str">
        <f>VLOOKUP(наценкад5[[#This Row],[№]],ППД5[],COLUMN('Реестр ОН'!$DF$1),0)</f>
        <v>Продажа</v>
      </c>
    </row>
    <row r="174" spans="1:38" hidden="1" x14ac:dyDescent="0.25">
      <c r="A174" s="101">
        <v>172</v>
      </c>
      <c r="B174" s="2" t="str">
        <f>_xlfn.XLOOKUP(наценкад5[[#This Row],[№]],ППД5[№],ППД5[Секция],"-",0)</f>
        <v>Б</v>
      </c>
      <c r="C174" s="2">
        <f>_xlfn.XLOOKUP(наценкад5[[#This Row],[№]],ППД5[№],ППД5[Этаж],"-",0)</f>
        <v>9</v>
      </c>
      <c r="D174" s="2">
        <f>_xlfn.XLOOKUP(наценкад5[[#This Row],[№]],ППД5[№],ППД5[№ на этаже],"-",0)</f>
        <v>6</v>
      </c>
      <c r="E174" s="2">
        <f>_xlfn.XLOOKUP(наценкад5[[#This Row],[№]],ППД5[№],ППД5[Тип кв],"-",0)</f>
        <v>3</v>
      </c>
      <c r="F174" s="72">
        <f>_xlfn.XLOOKUP(наценкад5[[#This Row],[№]],ППД5[№],ППД5[Кухня],"-",0)</f>
        <v>13.39</v>
      </c>
      <c r="G174" s="72">
        <f>_xlfn.XLOOKUP(наценкад5[[#This Row],[№]],ППД5[№],ППД5[Ванная],"-",0)</f>
        <v>4.2</v>
      </c>
      <c r="H174" s="72">
        <f>_xlfn.XLOOKUP(наценкад5[[#This Row],[№]],ППД5[№],ППД5[Гардеробная],"-",0)</f>
        <v>0</v>
      </c>
      <c r="I174" s="72">
        <f>_xlfn.XLOOKUP(наценкад5[[#This Row],[№]],ППД5[№],ППД5[Лоджия 2],"-",0)</f>
        <v>2.68</v>
      </c>
      <c r="J174" s="72">
        <f>_xlfn.XLOOKUP(наценкад5[[#This Row],[№]],ППД5[№],ППД5[С\У],"-",0)</f>
        <v>2.0499999999999998</v>
      </c>
      <c r="K174" s="72">
        <f>_xlfn.XLOOKUP(наценкад5[[#This Row],[№]],ППД5[№],ППД5[Расчетная проектная площадь],"-",0)</f>
        <v>84.99</v>
      </c>
      <c r="L174" s="12">
        <f t="shared" si="2"/>
        <v>63000</v>
      </c>
      <c r="M174" s="27">
        <f>коэффициенты!$E$2</f>
        <v>1.1330000000000002</v>
      </c>
      <c r="N174" s="13">
        <f>наценкад5[[#This Row],[Цена м2 базовая]]*наценкад5[[#This Row],[Базовой K]]</f>
        <v>71379.000000000015</v>
      </c>
      <c r="O174" s="74"/>
      <c r="P174" s="74">
        <f>коэффициенты!$E$5</f>
        <v>0</v>
      </c>
      <c r="Q174" s="74">
        <f>коэффициенты!$E$6</f>
        <v>0.01</v>
      </c>
      <c r="R174" s="74"/>
      <c r="S174" s="74">
        <f>коэффициенты!$E$9</f>
        <v>0</v>
      </c>
      <c r="T174" s="74">
        <f>коэффициенты!$E$7</f>
        <v>0</v>
      </c>
      <c r="U174" s="74"/>
      <c r="V174" s="74"/>
      <c r="W174" s="74"/>
      <c r="X174" s="74"/>
      <c r="Y174" s="75"/>
      <c r="Z174" s="74"/>
      <c r="AA174" s="74">
        <f>коэффициенты!$E$14</f>
        <v>0</v>
      </c>
      <c r="AB174" s="74">
        <f>коэффициенты!$E$17</f>
        <v>0</v>
      </c>
      <c r="AC174" s="74"/>
      <c r="AD174" s="76"/>
      <c r="AE174" s="76"/>
      <c r="AF174" s="76"/>
      <c r="AG174" s="74"/>
      <c r="AH174" s="74">
        <f>'отрицательный кф'!$O$33</f>
        <v>0</v>
      </c>
      <c r="AI174" s="73">
        <f>SUM(наценкад5[[#This Row],[еврокухня]:[большая площадь]])*наценкад5[[#This Row],[Цена м2 с базовым K]]+наценкад5[[#This Row],[Цена м2 с базовым K]]</f>
        <v>72092.790000000008</v>
      </c>
      <c r="AJ174" s="72">
        <f>VLOOKUP(наценкад5[[#This Row],[№]],ППД5[],COLUMN(ППД5[[#This Row],[утв цена м2]]),0)</f>
        <v>111033.74</v>
      </c>
      <c r="AK174" s="3">
        <f>наценкад5[[#This Row],[утв цена м2]]*наценкад5[[#This Row],[Расчетная проектная площадь]]</f>
        <v>9436757.5625999998</v>
      </c>
      <c r="AL174" s="22" t="str">
        <f>VLOOKUP(наценкад5[[#This Row],[№]],ППД5[],COLUMN('Реестр ОН'!$DF$1),0)</f>
        <v>Продажа</v>
      </c>
    </row>
    <row r="175" spans="1:38" hidden="1" x14ac:dyDescent="0.25">
      <c r="A175" s="101">
        <v>173</v>
      </c>
      <c r="B175" s="2" t="str">
        <f>_xlfn.XLOOKUP(наценкад5[[#This Row],[№]],ППД5[№],ППД5[Секция],"-",0)</f>
        <v>Б</v>
      </c>
      <c r="C175" s="2">
        <f>_xlfn.XLOOKUP(наценкад5[[#This Row],[№]],ППД5[№],ППД5[Этаж],"-",0)</f>
        <v>9</v>
      </c>
      <c r="D175" s="2">
        <f>_xlfn.XLOOKUP(наценкад5[[#This Row],[№]],ППД5[№],ППД5[№ на этаже],"-",0)</f>
        <v>7</v>
      </c>
      <c r="E175" s="2">
        <f>_xlfn.XLOOKUP(наценкад5[[#This Row],[№]],ППД5[№],ППД5[Тип кв],"-",0)</f>
        <v>1</v>
      </c>
      <c r="F175" s="72">
        <f>_xlfn.XLOOKUP(наценкад5[[#This Row],[№]],ППД5[№],ППД5[Кухня],"-",0)</f>
        <v>13.04</v>
      </c>
      <c r="G175" s="72">
        <f>_xlfn.XLOOKUP(наценкад5[[#This Row],[№]],ППД5[№],ППД5[Ванная],"-",0)</f>
        <v>3.9</v>
      </c>
      <c r="H175" s="72">
        <f>_xlfn.XLOOKUP(наценкад5[[#This Row],[№]],ППД5[№],ППД5[Гардеробная],"-",0)</f>
        <v>0</v>
      </c>
      <c r="I175" s="72">
        <f>_xlfn.XLOOKUP(наценкад5[[#This Row],[№]],ППД5[№],ППД5[Лоджия 2],"-",0)</f>
        <v>0</v>
      </c>
      <c r="J175" s="72">
        <f>_xlfn.XLOOKUP(наценкад5[[#This Row],[№]],ППД5[№],ППД5[С\У],"-",0)</f>
        <v>0</v>
      </c>
      <c r="K175" s="72">
        <f>_xlfn.XLOOKUP(наценкад5[[#This Row],[№]],ППД5[№],ППД5[Расчетная проектная площадь],"-",0)</f>
        <v>42.28</v>
      </c>
      <c r="L175" s="12">
        <f t="shared" si="2"/>
        <v>63000</v>
      </c>
      <c r="M175" s="102">
        <f>коэффициенты!$G$2</f>
        <v>1.2875000000000001</v>
      </c>
      <c r="N175" s="13">
        <f>наценкад5[[#This Row],[Цена м2 базовая]]*наценкад5[[#This Row],[Базовой K]]</f>
        <v>81112.5</v>
      </c>
      <c r="O175" s="74"/>
      <c r="P175" s="76">
        <f>коэффициенты!$G$5</f>
        <v>0.01</v>
      </c>
      <c r="Q175" s="74"/>
      <c r="R175" s="74"/>
      <c r="S175" s="74"/>
      <c r="T175" s="74"/>
      <c r="U175" s="74"/>
      <c r="V175" s="74">
        <f>коэффициенты!$G$11</f>
        <v>0.01</v>
      </c>
      <c r="W175" s="74"/>
      <c r="X175" s="74"/>
      <c r="Y175" s="75"/>
      <c r="Z175" s="74"/>
      <c r="AA175" s="74">
        <f>коэффициенты!$G$14</f>
        <v>0.01</v>
      </c>
      <c r="AB175" s="74"/>
      <c r="AC175" s="74"/>
      <c r="AD175" s="74">
        <f>коэффициенты!$G$19</f>
        <v>0.01</v>
      </c>
      <c r="AE175" s="74"/>
      <c r="AF175" s="74"/>
      <c r="AG175" s="74">
        <f>коэффициенты!$A$24</f>
        <v>-5.0000000000000001E-3</v>
      </c>
      <c r="AH175" s="74"/>
      <c r="AI175" s="73">
        <f>SUM(наценкад5[[#This Row],[еврокухня]:[большая площадь]])*наценкад5[[#This Row],[Цена м2 с базовым K]]+наценкад5[[#This Row],[Цена м2 с базовым K]]</f>
        <v>83951.4375</v>
      </c>
      <c r="AJ175" s="72">
        <f>VLOOKUP(наценкад5[[#This Row],[№]],ППД5[],COLUMN(ППД5[[#This Row],[утв цена м2]]),0)</f>
        <v>108330.43</v>
      </c>
      <c r="AK175" s="3">
        <f>наценкад5[[#This Row],[утв цена м2]]*наценкад5[[#This Row],[Расчетная проектная площадь]]</f>
        <v>4580210.5803999994</v>
      </c>
      <c r="AL175" s="22" t="str">
        <f>VLOOKUP(наценкад5[[#This Row],[№]],ППД5[],COLUMN('Реестр ОН'!$DF$1),0)</f>
        <v>Продажа</v>
      </c>
    </row>
    <row r="176" spans="1:38" hidden="1" x14ac:dyDescent="0.25">
      <c r="A176" s="101">
        <v>174</v>
      </c>
      <c r="B176" s="2" t="str">
        <f>_xlfn.XLOOKUP(наценкад5[[#This Row],[№]],ППД5[№],ППД5[Секция],"-",0)</f>
        <v>Б</v>
      </c>
      <c r="C176" s="2">
        <f>_xlfn.XLOOKUP(наценкад5[[#This Row],[№]],ППД5[№],ППД5[Этаж],"-",0)</f>
        <v>10</v>
      </c>
      <c r="D176" s="2">
        <f>_xlfn.XLOOKUP(наценкад5[[#This Row],[№]],ППД5[№],ППД5[№ на этаже],"-",0)</f>
        <v>1</v>
      </c>
      <c r="E176" s="2">
        <f>_xlfn.XLOOKUP(наценкад5[[#This Row],[№]],ППД5[№],ППД5[Тип кв],"-",0)</f>
        <v>2</v>
      </c>
      <c r="F176" s="72">
        <f>_xlfn.XLOOKUP(наценкад5[[#This Row],[№]],ППД5[№],ППД5[Кухня],"-",0)</f>
        <v>15.31</v>
      </c>
      <c r="G176" s="72">
        <f>_xlfn.XLOOKUP(наценкад5[[#This Row],[№]],ППД5[№],ППД5[Ванная],"-",0)</f>
        <v>3.85</v>
      </c>
      <c r="H176" s="72">
        <f>_xlfn.XLOOKUP(наценкад5[[#This Row],[№]],ППД5[№],ППД5[Гардеробная],"-",0)</f>
        <v>0</v>
      </c>
      <c r="I176" s="72">
        <f>_xlfn.XLOOKUP(наценкад5[[#This Row],[№]],ППД5[№],ППД5[Лоджия 2],"-",0)</f>
        <v>0</v>
      </c>
      <c r="J176" s="72">
        <f>_xlfn.XLOOKUP(наценкад5[[#This Row],[№]],ППД5[№],ППД5[С\У],"-",0)</f>
        <v>2.2999999999999998</v>
      </c>
      <c r="K176" s="72">
        <f>_xlfn.XLOOKUP(наценкад5[[#This Row],[№]],ППД5[№],ППД5[Расчетная проектная площадь],"-",0)</f>
        <v>60.22</v>
      </c>
      <c r="L176" s="12">
        <f t="shared" si="2"/>
        <v>63000</v>
      </c>
      <c r="M176" s="102">
        <f>коэффициенты!$F$2</f>
        <v>1.2257</v>
      </c>
      <c r="N176" s="13">
        <f>наценкад5[[#This Row],[Цена м2 базовая]]*наценкад5[[#This Row],[Базовой K]]</f>
        <v>77219.100000000006</v>
      </c>
      <c r="O176" s="76">
        <f>коэффициенты!$F$4</f>
        <v>1.4999999999999999E-2</v>
      </c>
      <c r="P176" s="74"/>
      <c r="Q176" s="76"/>
      <c r="R176" s="76"/>
      <c r="S176" s="76">
        <f>коэффициенты!$F$9</f>
        <v>0</v>
      </c>
      <c r="T176" s="74"/>
      <c r="U176" s="74"/>
      <c r="V176" s="74"/>
      <c r="W176" s="74">
        <f>коэффициенты!$F$12</f>
        <v>0.02</v>
      </c>
      <c r="X176" s="74">
        <f>коэффициенты!$F$13</f>
        <v>0.02</v>
      </c>
      <c r="Y176" s="75"/>
      <c r="Z176" s="74"/>
      <c r="AA176" s="74"/>
      <c r="AB176" s="74"/>
      <c r="AC176" s="74"/>
      <c r="AD176" s="74">
        <f>коэффициенты!$F$19</f>
        <v>5.0000000000000001E-3</v>
      </c>
      <c r="AE176" s="74"/>
      <c r="AF176" s="74"/>
      <c r="AG176" s="74"/>
      <c r="AH176" s="74"/>
      <c r="AI176" s="73">
        <f>SUM(наценкад5[[#This Row],[еврокухня]:[большая площадь]])*наценкад5[[#This Row],[Цена м2 с базовым K]]+наценкад5[[#This Row],[Цена м2 с базовым K]]</f>
        <v>81852.246000000014</v>
      </c>
      <c r="AJ176" s="72">
        <f>VLOOKUP(наценкад5[[#This Row],[№]],ППД5[],COLUMN(ППД5[[#This Row],[утв цена м2]]),0)</f>
        <v>93878.86</v>
      </c>
      <c r="AK176" s="3">
        <f>наценкад5[[#This Row],[утв цена м2]]*наценкад5[[#This Row],[Расчетная проектная площадь]]</f>
        <v>5653384.9491999997</v>
      </c>
      <c r="AL176" s="22" t="str">
        <f>VLOOKUP(наценкад5[[#This Row],[№]],ППД5[],COLUMN('Реестр ОН'!$DF$1),0)</f>
        <v>Продажа</v>
      </c>
    </row>
    <row r="177" spans="1:38" hidden="1" x14ac:dyDescent="0.25">
      <c r="A177" s="101">
        <v>175</v>
      </c>
      <c r="B177" s="2" t="str">
        <f>_xlfn.XLOOKUP(наценкад5[[#This Row],[№]],ППД5[№],ППД5[Секция],"-",0)</f>
        <v>Б</v>
      </c>
      <c r="C177" s="2">
        <f>_xlfn.XLOOKUP(наценкад5[[#This Row],[№]],ППД5[№],ППД5[Этаж],"-",0)</f>
        <v>10</v>
      </c>
      <c r="D177" s="2">
        <f>_xlfn.XLOOKUP(наценкад5[[#This Row],[№]],ППД5[№],ППД5[№ на этаже],"-",0)</f>
        <v>2</v>
      </c>
      <c r="E177" s="2">
        <f>_xlfn.XLOOKUP(наценкад5[[#This Row],[№]],ППД5[№],ППД5[Тип кв],"-",0)</f>
        <v>0</v>
      </c>
      <c r="F177" s="72">
        <f>_xlfn.XLOOKUP(наценкад5[[#This Row],[№]],ППД5[№],ППД5[Кухня],"-",0)</f>
        <v>5.12</v>
      </c>
      <c r="G177" s="72">
        <f>_xlfn.XLOOKUP(наценкад5[[#This Row],[№]],ППД5[№],ППД5[Ванная],"-",0)</f>
        <v>3.65</v>
      </c>
      <c r="H177" s="72">
        <f>_xlfn.XLOOKUP(наценкад5[[#This Row],[№]],ППД5[№],ППД5[Гардеробная],"-",0)</f>
        <v>0</v>
      </c>
      <c r="I177" s="72">
        <f>_xlfn.XLOOKUP(наценкад5[[#This Row],[№]],ППД5[№],ППД5[Лоджия 2],"-",0)</f>
        <v>0</v>
      </c>
      <c r="J177" s="72">
        <f>_xlfn.XLOOKUP(наценкад5[[#This Row],[№]],ППД5[№],ППД5[С\У],"-",0)</f>
        <v>0</v>
      </c>
      <c r="K177" s="72">
        <f>_xlfn.XLOOKUP(наценкад5[[#This Row],[№]],ППД5[№],ППД5[Расчетная проектная площадь],"-",0)</f>
        <v>24.28</v>
      </c>
      <c r="L177" s="12">
        <f t="shared" si="2"/>
        <v>63000</v>
      </c>
      <c r="M177" s="116">
        <f>коэффициенты!$H$2</f>
        <v>1.3905000000000001</v>
      </c>
      <c r="N177" s="13">
        <f>наценкад5[[#This Row],[Цена м2 базовая]]*наценкад5[[#This Row],[Базовой K]]</f>
        <v>87601.5</v>
      </c>
      <c r="O177" s="74"/>
      <c r="P177" s="74"/>
      <c r="Q177" s="74"/>
      <c r="R177" s="74"/>
      <c r="S177" s="74"/>
      <c r="T177" s="74"/>
      <c r="U177" s="74"/>
      <c r="V177" s="74">
        <f>коэффициенты!$H$11</f>
        <v>0.01</v>
      </c>
      <c r="W177" s="74">
        <f>коэффициенты!$H$12</f>
        <v>0.02</v>
      </c>
      <c r="X177" s="74">
        <f>коэффициенты!$H$13</f>
        <v>0.01</v>
      </c>
      <c r="Y177" s="75"/>
      <c r="Z177" s="74"/>
      <c r="AA177" s="74"/>
      <c r="AB177" s="74"/>
      <c r="AC177" s="74"/>
      <c r="AD177" s="74">
        <f>коэффициенты!$H$19</f>
        <v>0.01</v>
      </c>
      <c r="AE177" s="74"/>
      <c r="AF177" s="74"/>
      <c r="AG177" s="74"/>
      <c r="AH177" s="74"/>
      <c r="AI177" s="73">
        <f>SUM(наценкад5[[#This Row],[еврокухня]:[большая площадь]])*наценкад5[[#This Row],[Цена м2 с базовым K]]+наценкад5[[#This Row],[Цена м2 с базовым K]]</f>
        <v>91981.574999999997</v>
      </c>
      <c r="AJ177" s="72">
        <f>VLOOKUP(наценкад5[[#This Row],[№]],ППД5[],COLUMN(ППД5[[#This Row],[утв цена м2]]),0)</f>
        <v>129871.71</v>
      </c>
      <c r="AK177" s="3">
        <f>наценкад5[[#This Row],[утв цена м2]]*наценкад5[[#This Row],[Расчетная проектная площадь]]</f>
        <v>3153285.1188000003</v>
      </c>
      <c r="AL177" s="22" t="str">
        <f>VLOOKUP(наценкад5[[#This Row],[№]],ППД5[],COLUMN('Реестр ОН'!$DF$1),0)</f>
        <v>Продажа</v>
      </c>
    </row>
    <row r="178" spans="1:38" hidden="1" x14ac:dyDescent="0.25">
      <c r="A178" s="101">
        <v>176</v>
      </c>
      <c r="B178" s="2" t="str">
        <f>_xlfn.XLOOKUP(наценкад5[[#This Row],[№]],ППД5[№],ППД5[Секция],"-",0)</f>
        <v>Б</v>
      </c>
      <c r="C178" s="2">
        <f>_xlfn.XLOOKUP(наценкад5[[#This Row],[№]],ППД5[№],ППД5[Этаж],"-",0)</f>
        <v>10</v>
      </c>
      <c r="D178" s="2">
        <f>_xlfn.XLOOKUP(наценкад5[[#This Row],[№]],ППД5[№],ППД5[№ на этаже],"-",0)</f>
        <v>3</v>
      </c>
      <c r="E178" s="2">
        <f>_xlfn.XLOOKUP(наценкад5[[#This Row],[№]],ППД5[№],ППД5[Тип кв],"-",0)</f>
        <v>2</v>
      </c>
      <c r="F178" s="72">
        <f>_xlfn.XLOOKUP(наценкад5[[#This Row],[№]],ППД5[№],ППД5[Кухня],"-",0)</f>
        <v>14.35</v>
      </c>
      <c r="G178" s="72">
        <f>_xlfn.XLOOKUP(наценкад5[[#This Row],[№]],ППД5[№],ППД5[Ванная],"-",0)</f>
        <v>3.68</v>
      </c>
      <c r="H178" s="72">
        <f>_xlfn.XLOOKUP(наценкад5[[#This Row],[№]],ППД5[№],ППД5[Гардеробная],"-",0)</f>
        <v>0</v>
      </c>
      <c r="I178" s="72">
        <f>_xlfn.XLOOKUP(наценкад5[[#This Row],[№]],ППД5[№],ППД5[Лоджия 2],"-",0)</f>
        <v>0</v>
      </c>
      <c r="J178" s="72">
        <f>_xlfn.XLOOKUP(наценкад5[[#This Row],[№]],ППД5[№],ППД5[С\У],"-",0)</f>
        <v>2.57</v>
      </c>
      <c r="K178" s="72">
        <f>_xlfn.XLOOKUP(наценкад5[[#This Row],[№]],ППД5[№],ППД5[Расчетная проектная площадь],"-",0)</f>
        <v>57.6</v>
      </c>
      <c r="L178" s="12">
        <f t="shared" si="2"/>
        <v>63000</v>
      </c>
      <c r="M178" s="102">
        <f>коэффициенты!$F$2</f>
        <v>1.2257</v>
      </c>
      <c r="N178" s="13">
        <f>наценкад5[[#This Row],[Цена м2 базовая]]*наценкад5[[#This Row],[Базовой K]]</f>
        <v>77219.100000000006</v>
      </c>
      <c r="O178" s="76">
        <f>коэффициенты!$F$4</f>
        <v>1.4999999999999999E-2</v>
      </c>
      <c r="P178" s="74"/>
      <c r="Q178" s="76"/>
      <c r="R178" s="76"/>
      <c r="S178" s="76">
        <f>коэффициенты!$F$9</f>
        <v>0</v>
      </c>
      <c r="T178" s="74"/>
      <c r="U178" s="74"/>
      <c r="V178" s="74"/>
      <c r="W178" s="75">
        <f>коэффициенты!$F$12</f>
        <v>0.02</v>
      </c>
      <c r="X178" s="74"/>
      <c r="Y178" s="75"/>
      <c r="Z178" s="74"/>
      <c r="AA178" s="74"/>
      <c r="AB178" s="74"/>
      <c r="AC178" s="74"/>
      <c r="AD178" s="74">
        <f>коэффициенты!$F$19</f>
        <v>5.0000000000000001E-3</v>
      </c>
      <c r="AE178" s="74"/>
      <c r="AF178" s="74"/>
      <c r="AG178" s="74"/>
      <c r="AH178" s="74"/>
      <c r="AI178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178" s="72">
        <f>VLOOKUP(наценкад5[[#This Row],[№]],ППД5[],COLUMN(ППД5[[#This Row],[утв цена м2]]),0)</f>
        <v>80307.86</v>
      </c>
      <c r="AK178" s="3">
        <f>наценкад5[[#This Row],[утв цена м2]]*наценкад5[[#This Row],[Расчетная проектная площадь]]</f>
        <v>4625732.7360000005</v>
      </c>
      <c r="AL178" s="22" t="str">
        <f>VLOOKUP(наценкад5[[#This Row],[№]],ППД5[],COLUMN('Реестр ОН'!$DF$1),0)</f>
        <v>Продажа</v>
      </c>
    </row>
    <row r="179" spans="1:38" hidden="1" x14ac:dyDescent="0.25">
      <c r="A179" s="101">
        <v>177</v>
      </c>
      <c r="B179" s="2" t="str">
        <f>_xlfn.XLOOKUP(наценкад5[[#This Row],[№]],ППД5[№],ППД5[Секция],"-",0)</f>
        <v>Б</v>
      </c>
      <c r="C179" s="2">
        <f>_xlfn.XLOOKUP(наценкад5[[#This Row],[№]],ППД5[№],ППД5[Этаж],"-",0)</f>
        <v>10</v>
      </c>
      <c r="D179" s="2">
        <f>_xlfn.XLOOKUP(наценкад5[[#This Row],[№]],ППД5[№],ППД5[№ на этаже],"-",0)</f>
        <v>4</v>
      </c>
      <c r="E179" s="2">
        <f>_xlfn.XLOOKUP(наценкад5[[#This Row],[№]],ППД5[№],ППД5[Тип кв],"-",0)</f>
        <v>2</v>
      </c>
      <c r="F179" s="72">
        <f>_xlfn.XLOOKUP(наценкад5[[#This Row],[№]],ППД5[№],ППД5[Кухня],"-",0)</f>
        <v>11.95</v>
      </c>
      <c r="G179" s="72">
        <f>_xlfn.XLOOKUP(наценкад5[[#This Row],[№]],ППД5[№],ППД5[Ванная],"-",0)</f>
        <v>3.86</v>
      </c>
      <c r="H179" s="72">
        <f>_xlfn.XLOOKUP(наценкад5[[#This Row],[№]],ППД5[№],ППД5[Гардеробная],"-",0)</f>
        <v>0</v>
      </c>
      <c r="I179" s="72">
        <f>_xlfn.XLOOKUP(наценкад5[[#This Row],[№]],ППД5[№],ППД5[Лоджия 2],"-",0)</f>
        <v>0</v>
      </c>
      <c r="J179" s="72">
        <f>_xlfn.XLOOKUP(наценкад5[[#This Row],[№]],ППД5[№],ППД5[С\У],"-",0)</f>
        <v>2.37</v>
      </c>
      <c r="K179" s="72">
        <f>_xlfn.XLOOKUP(наценкад5[[#This Row],[№]],ППД5[№],ППД5[Расчетная проектная площадь],"-",0)</f>
        <v>58.31</v>
      </c>
      <c r="L179" s="12">
        <f t="shared" si="2"/>
        <v>63000</v>
      </c>
      <c r="M179" s="102">
        <f>коэффициенты!$F$2</f>
        <v>1.2257</v>
      </c>
      <c r="N179" s="13">
        <f>наценкад5[[#This Row],[Цена м2 базовая]]*наценкад5[[#This Row],[Базовой K]]</f>
        <v>77219.100000000006</v>
      </c>
      <c r="O179" s="74"/>
      <c r="P179" s="74">
        <f>коэффициенты!$F$5</f>
        <v>0.01</v>
      </c>
      <c r="Q179" s="76"/>
      <c r="R179" s="76"/>
      <c r="S179" s="76">
        <f>коэффициенты!$F$9</f>
        <v>0</v>
      </c>
      <c r="T179" s="74"/>
      <c r="U179" s="74"/>
      <c r="V179" s="74"/>
      <c r="W179" s="75">
        <f>коэффициенты!$F$12</f>
        <v>0.02</v>
      </c>
      <c r="X179" s="76"/>
      <c r="Y179" s="75"/>
      <c r="Z179" s="74"/>
      <c r="AA179" s="74">
        <f>коэффициенты!$F$14</f>
        <v>0.02</v>
      </c>
      <c r="AB179" s="74"/>
      <c r="AC179" s="74"/>
      <c r="AD179" s="74">
        <f>коэффициенты!$F$19</f>
        <v>5.0000000000000001E-3</v>
      </c>
      <c r="AE179" s="74"/>
      <c r="AF179" s="74"/>
      <c r="AG179" s="74"/>
      <c r="AH179" s="74"/>
      <c r="AI179" s="73">
        <f>SUM(наценкад5[[#This Row],[еврокухня]:[большая площадь]])*наценкад5[[#This Row],[Цена м2 с базовым K]]+наценкад5[[#This Row],[Цена м2 с базовым K]]</f>
        <v>81466.150500000003</v>
      </c>
      <c r="AJ179" s="72">
        <f>VLOOKUP(наценкад5[[#This Row],[№]],ППД5[],COLUMN(ППД5[[#This Row],[утв цена м2]]),0)</f>
        <v>93436.03</v>
      </c>
      <c r="AK179" s="3">
        <f>наценкад5[[#This Row],[утв цена м2]]*наценкад5[[#This Row],[Расчетная проектная площадь]]</f>
        <v>5448254.9093000004</v>
      </c>
      <c r="AL179" s="22" t="str">
        <f>VLOOKUP(наценкад5[[#This Row],[№]],ППД5[],COLUMN('Реестр ОН'!$DF$1),0)</f>
        <v>Продажа</v>
      </c>
    </row>
    <row r="180" spans="1:38" hidden="1" x14ac:dyDescent="0.25">
      <c r="A180" s="101">
        <v>178</v>
      </c>
      <c r="B180" s="2" t="str">
        <f>_xlfn.XLOOKUP(наценкад5[[#This Row],[№]],ППД5[№],ППД5[Секция],"-",0)</f>
        <v>Б</v>
      </c>
      <c r="C180" s="2">
        <f>_xlfn.XLOOKUP(наценкад5[[#This Row],[№]],ППД5[№],ППД5[Этаж],"-",0)</f>
        <v>10</v>
      </c>
      <c r="D180" s="2">
        <f>_xlfn.XLOOKUP(наценкад5[[#This Row],[№]],ППД5[№],ППД5[№ на этаже],"-",0)</f>
        <v>5</v>
      </c>
      <c r="E180" s="2">
        <f>_xlfn.XLOOKUP(наценкад5[[#This Row],[№]],ППД5[№],ППД5[Тип кв],"-",0)</f>
        <v>1</v>
      </c>
      <c r="F180" s="72">
        <f>_xlfn.XLOOKUP(наценкад5[[#This Row],[№]],ППД5[№],ППД5[Кухня],"-",0)</f>
        <v>13.18</v>
      </c>
      <c r="G180" s="72">
        <f>_xlfn.XLOOKUP(наценкад5[[#This Row],[№]],ППД5[№],ППД5[Ванная],"-",0)</f>
        <v>4.1100000000000003</v>
      </c>
      <c r="H180" s="72">
        <f>_xlfn.XLOOKUP(наценкад5[[#This Row],[№]],ППД5[№],ППД5[Гардеробная],"-",0)</f>
        <v>0</v>
      </c>
      <c r="I180" s="72">
        <f>_xlfn.XLOOKUP(наценкад5[[#This Row],[№]],ППД5[№],ППД5[Лоджия 2],"-",0)</f>
        <v>0</v>
      </c>
      <c r="J180" s="72">
        <f>_xlfn.XLOOKUP(наценкад5[[#This Row],[№]],ППД5[№],ППД5[С\У],"-",0)</f>
        <v>0</v>
      </c>
      <c r="K180" s="72">
        <f>_xlfn.XLOOKUP(наценкад5[[#This Row],[№]],ППД5[№],ППД5[Расчетная проектная площадь],"-",0)</f>
        <v>37.86</v>
      </c>
      <c r="L180" s="12">
        <f t="shared" si="2"/>
        <v>63000</v>
      </c>
      <c r="M180" s="102">
        <f>коэффициенты!$G$2</f>
        <v>1.2875000000000001</v>
      </c>
      <c r="N180" s="13">
        <f>наценкад5[[#This Row],[Цена м2 базовая]]*наценкад5[[#This Row],[Базовой K]]</f>
        <v>81112.5</v>
      </c>
      <c r="O180" s="74"/>
      <c r="P180" s="76">
        <f>коэффициенты!$G$5</f>
        <v>0.01</v>
      </c>
      <c r="Q180" s="74">
        <f>коэффициенты!$G$6</f>
        <v>0.03</v>
      </c>
      <c r="R180" s="74"/>
      <c r="S180" s="74"/>
      <c r="T180" s="74"/>
      <c r="U180" s="74"/>
      <c r="V180" s="74">
        <f>коэффициенты!$G$11</f>
        <v>0.01</v>
      </c>
      <c r="W180" s="75">
        <f>коэффициенты!$G$12</f>
        <v>0.02</v>
      </c>
      <c r="X180" s="74">
        <f>коэффициенты!$G$13</f>
        <v>0.01</v>
      </c>
      <c r="Y180" s="75"/>
      <c r="Z180" s="74"/>
      <c r="AA180" s="74">
        <f>коэффициенты!$G$14</f>
        <v>0.01</v>
      </c>
      <c r="AB180" s="74"/>
      <c r="AC180" s="74"/>
      <c r="AD180" s="74">
        <f>коэффициенты!$G$19</f>
        <v>0.01</v>
      </c>
      <c r="AE180" s="74"/>
      <c r="AF180" s="74"/>
      <c r="AG180" s="74"/>
      <c r="AH180" s="74"/>
      <c r="AI180" s="73">
        <f>SUM(наценкад5[[#This Row],[еврокухня]:[большая площадь]])*наценкад5[[#This Row],[Цена м2 с базовым K]]+наценкад5[[#This Row],[Цена м2 с базовым K]]</f>
        <v>89223.75</v>
      </c>
      <c r="AJ180" s="72">
        <f>VLOOKUP(наценкад5[[#This Row],[№]],ППД5[],COLUMN(ППД5[[#This Row],[утв цена м2]]),0)</f>
        <v>89223.75</v>
      </c>
      <c r="AK180" s="3">
        <f>наценкад5[[#This Row],[утв цена м2]]*наценкад5[[#This Row],[Расчетная проектная площадь]]</f>
        <v>3378011.1749999998</v>
      </c>
      <c r="AL180" s="22" t="str">
        <f>VLOOKUP(наценкад5[[#This Row],[№]],ППД5[],COLUMN('Реестр ОН'!$DF$1),0)</f>
        <v>Продажа</v>
      </c>
    </row>
    <row r="181" spans="1:38" hidden="1" x14ac:dyDescent="0.25">
      <c r="A181" s="101">
        <v>179</v>
      </c>
      <c r="B181" s="2" t="str">
        <f>_xlfn.XLOOKUP(наценкад5[[#This Row],[№]],ППД5[№],ППД5[Секция],"-",0)</f>
        <v>Б</v>
      </c>
      <c r="C181" s="2">
        <f>_xlfn.XLOOKUP(наценкад5[[#This Row],[№]],ППД5[№],ППД5[Этаж],"-",0)</f>
        <v>10</v>
      </c>
      <c r="D181" s="2">
        <f>_xlfn.XLOOKUP(наценкад5[[#This Row],[№]],ППД5[№],ППД5[№ на этаже],"-",0)</f>
        <v>6</v>
      </c>
      <c r="E181" s="2">
        <f>_xlfn.XLOOKUP(наценкад5[[#This Row],[№]],ППД5[№],ППД5[Тип кв],"-",0)</f>
        <v>3</v>
      </c>
      <c r="F181" s="72">
        <f>_xlfn.XLOOKUP(наценкад5[[#This Row],[№]],ППД5[№],ППД5[Кухня],"-",0)</f>
        <v>13.39</v>
      </c>
      <c r="G181" s="72">
        <f>_xlfn.XLOOKUP(наценкад5[[#This Row],[№]],ППД5[№],ППД5[Ванная],"-",0)</f>
        <v>4.2</v>
      </c>
      <c r="H181" s="72">
        <f>_xlfn.XLOOKUP(наценкад5[[#This Row],[№]],ППД5[№],ППД5[Гардеробная],"-",0)</f>
        <v>0</v>
      </c>
      <c r="I181" s="72">
        <f>_xlfn.XLOOKUP(наценкад5[[#This Row],[№]],ППД5[№],ППД5[Лоджия 2],"-",0)</f>
        <v>2.68</v>
      </c>
      <c r="J181" s="72">
        <f>_xlfn.XLOOKUP(наценкад5[[#This Row],[№]],ППД5[№],ППД5[С\У],"-",0)</f>
        <v>2.0499999999999998</v>
      </c>
      <c r="K181" s="72">
        <f>_xlfn.XLOOKUP(наценкад5[[#This Row],[№]],ППД5[№],ППД5[Расчетная проектная площадь],"-",0)</f>
        <v>84.99</v>
      </c>
      <c r="L181" s="12">
        <f t="shared" si="2"/>
        <v>63000</v>
      </c>
      <c r="M181" s="27">
        <f>коэффициенты!$E$2</f>
        <v>1.1330000000000002</v>
      </c>
      <c r="N181" s="13">
        <f>наценкад5[[#This Row],[Цена м2 базовая]]*наценкад5[[#This Row],[Базовой K]]</f>
        <v>71379.000000000015</v>
      </c>
      <c r="O181" s="74"/>
      <c r="P181" s="74">
        <f>коэффициенты!$E$5</f>
        <v>0</v>
      </c>
      <c r="Q181" s="74">
        <f>коэффициенты!$E$6</f>
        <v>0.01</v>
      </c>
      <c r="R181" s="74"/>
      <c r="S181" s="74">
        <f>коэффициенты!$E$9</f>
        <v>0</v>
      </c>
      <c r="T181" s="74">
        <f>коэффициенты!$E$7</f>
        <v>0</v>
      </c>
      <c r="U181" s="74"/>
      <c r="V181" s="74"/>
      <c r="W181" s="75">
        <f>коэффициенты!$E$12</f>
        <v>0.02</v>
      </c>
      <c r="X181" s="74"/>
      <c r="Y181" s="75"/>
      <c r="Z181" s="74"/>
      <c r="AA181" s="74">
        <f>коэффициенты!$E$14</f>
        <v>0</v>
      </c>
      <c r="AB181" s="74">
        <f>коэффициенты!$E$17</f>
        <v>0</v>
      </c>
      <c r="AC181" s="74"/>
      <c r="AD181" s="76"/>
      <c r="AE181" s="76"/>
      <c r="AF181" s="76"/>
      <c r="AG181" s="74"/>
      <c r="AH181" s="74">
        <f>'отрицательный кф'!$O$33</f>
        <v>0</v>
      </c>
      <c r="AI181" s="73">
        <f>SUM(наценкад5[[#This Row],[еврокухня]:[большая площадь]])*наценкад5[[#This Row],[Цена м2 с базовым K]]+наценкад5[[#This Row],[Цена м2 с базовым K]]</f>
        <v>73520.37000000001</v>
      </c>
      <c r="AJ181" s="72">
        <f>VLOOKUP(наценкад5[[#This Row],[№]],ППД5[],COLUMN(ППД5[[#This Row],[утв цена м2]]),0)</f>
        <v>87729.41</v>
      </c>
      <c r="AK181" s="3">
        <f>наценкад5[[#This Row],[утв цена м2]]*наценкад5[[#This Row],[Расчетная проектная площадь]]</f>
        <v>7456122.5559</v>
      </c>
      <c r="AL181" s="22" t="str">
        <f>VLOOKUP(наценкад5[[#This Row],[№]],ППД5[],COLUMN('Реестр ОН'!$DF$1),0)</f>
        <v>Продажа</v>
      </c>
    </row>
    <row r="182" spans="1:38" hidden="1" x14ac:dyDescent="0.25">
      <c r="A182" s="101">
        <v>180</v>
      </c>
      <c r="B182" s="2" t="str">
        <f>_xlfn.XLOOKUP(наценкад5[[#This Row],[№]],ППД5[№],ППД5[Секция],"-",0)</f>
        <v>Б</v>
      </c>
      <c r="C182" s="2">
        <f>_xlfn.XLOOKUP(наценкад5[[#This Row],[№]],ППД5[№],ППД5[Этаж],"-",0)</f>
        <v>10</v>
      </c>
      <c r="D182" s="2">
        <f>_xlfn.XLOOKUP(наценкад5[[#This Row],[№]],ППД5[№],ППД5[№ на этаже],"-",0)</f>
        <v>7</v>
      </c>
      <c r="E182" s="2">
        <f>_xlfn.XLOOKUP(наценкад5[[#This Row],[№]],ППД5[№],ППД5[Тип кв],"-",0)</f>
        <v>1</v>
      </c>
      <c r="F182" s="72">
        <f>_xlfn.XLOOKUP(наценкад5[[#This Row],[№]],ППД5[№],ППД5[Кухня],"-",0)</f>
        <v>13.04</v>
      </c>
      <c r="G182" s="72">
        <f>_xlfn.XLOOKUP(наценкад5[[#This Row],[№]],ППД5[№],ППД5[Ванная],"-",0)</f>
        <v>3.9</v>
      </c>
      <c r="H182" s="72">
        <f>_xlfn.XLOOKUP(наценкад5[[#This Row],[№]],ППД5[№],ППД5[Гардеробная],"-",0)</f>
        <v>0</v>
      </c>
      <c r="I182" s="72">
        <f>_xlfn.XLOOKUP(наценкад5[[#This Row],[№]],ППД5[№],ППД5[Лоджия 2],"-",0)</f>
        <v>0</v>
      </c>
      <c r="J182" s="72">
        <f>_xlfn.XLOOKUP(наценкад5[[#This Row],[№]],ППД5[№],ППД5[С\У],"-",0)</f>
        <v>0</v>
      </c>
      <c r="K182" s="72">
        <f>_xlfn.XLOOKUP(наценкад5[[#This Row],[№]],ППД5[№],ППД5[Расчетная проектная площадь],"-",0)</f>
        <v>42.28</v>
      </c>
      <c r="L182" s="12">
        <f t="shared" si="2"/>
        <v>63000</v>
      </c>
      <c r="M182" s="102">
        <f>коэффициенты!$G$2</f>
        <v>1.2875000000000001</v>
      </c>
      <c r="N182" s="13">
        <f>наценкад5[[#This Row],[Цена м2 базовая]]*наценкад5[[#This Row],[Базовой K]]</f>
        <v>81112.5</v>
      </c>
      <c r="O182" s="74"/>
      <c r="P182" s="76">
        <f>коэффициенты!$G$5</f>
        <v>0.01</v>
      </c>
      <c r="Q182" s="74"/>
      <c r="R182" s="74"/>
      <c r="S182" s="74"/>
      <c r="T182" s="74"/>
      <c r="U182" s="74"/>
      <c r="V182" s="74">
        <f>коэффициенты!$G$11</f>
        <v>0.01</v>
      </c>
      <c r="W182" s="74">
        <f>коэффициенты!$G$12</f>
        <v>0.02</v>
      </c>
      <c r="X182" s="74"/>
      <c r="Y182" s="75"/>
      <c r="Z182" s="74"/>
      <c r="AA182" s="74">
        <f>коэффициенты!$G$14</f>
        <v>0.01</v>
      </c>
      <c r="AB182" s="74"/>
      <c r="AC182" s="74"/>
      <c r="AD182" s="74">
        <f>коэффициенты!$G$19</f>
        <v>0.01</v>
      </c>
      <c r="AE182" s="74"/>
      <c r="AF182" s="74"/>
      <c r="AG182" s="74">
        <f>коэффициенты!$A$24</f>
        <v>-5.0000000000000001E-3</v>
      </c>
      <c r="AH182" s="74"/>
      <c r="AI182" s="73">
        <f>SUM(наценкад5[[#This Row],[еврокухня]:[большая площадь]])*наценкад5[[#This Row],[Цена м2 с базовым K]]+наценкад5[[#This Row],[Цена м2 с базовым K]]</f>
        <v>85573.6875</v>
      </c>
      <c r="AJ182" s="72">
        <f>VLOOKUP(наценкад5[[#This Row],[№]],ППД5[],COLUMN(ППД5[[#This Row],[утв цена м2]]),0)</f>
        <v>138165.20000000001</v>
      </c>
      <c r="AK182" s="3">
        <f>наценкад5[[#This Row],[утв цена м2]]*наценкад5[[#This Row],[Расчетная проектная площадь]]</f>
        <v>5841624.6560000004</v>
      </c>
      <c r="AL182" s="22" t="str">
        <f>VLOOKUP(наценкад5[[#This Row],[№]],ППД5[],COLUMN('Реестр ОН'!$DF$1),0)</f>
        <v>Свободно</v>
      </c>
    </row>
    <row r="183" spans="1:38" hidden="1" x14ac:dyDescent="0.25">
      <c r="A183" s="101">
        <v>181</v>
      </c>
      <c r="B183" s="2" t="str">
        <f>_xlfn.XLOOKUP(наценкад5[[#This Row],[№]],ППД5[№],ППД5[Секция],"-",0)</f>
        <v>Б</v>
      </c>
      <c r="C183" s="2">
        <f>_xlfn.XLOOKUP(наценкад5[[#This Row],[№]],ППД5[№],ППД5[Этаж],"-",0)</f>
        <v>11</v>
      </c>
      <c r="D183" s="2">
        <f>_xlfn.XLOOKUP(наценкад5[[#This Row],[№]],ППД5[№],ППД5[№ на этаже],"-",0)</f>
        <v>1</v>
      </c>
      <c r="E183" s="2">
        <f>_xlfn.XLOOKUP(наценкад5[[#This Row],[№]],ППД5[№],ППД5[Тип кв],"-",0)</f>
        <v>2</v>
      </c>
      <c r="F183" s="72">
        <f>_xlfn.XLOOKUP(наценкад5[[#This Row],[№]],ППД5[№],ППД5[Кухня],"-",0)</f>
        <v>15.31</v>
      </c>
      <c r="G183" s="72">
        <f>_xlfn.XLOOKUP(наценкад5[[#This Row],[№]],ППД5[№],ППД5[Ванная],"-",0)</f>
        <v>3.85</v>
      </c>
      <c r="H183" s="72">
        <f>_xlfn.XLOOKUP(наценкад5[[#This Row],[№]],ППД5[№],ППД5[Гардеробная],"-",0)</f>
        <v>0</v>
      </c>
      <c r="I183" s="72">
        <f>_xlfn.XLOOKUP(наценкад5[[#This Row],[№]],ППД5[№],ППД5[Лоджия 2],"-",0)</f>
        <v>0</v>
      </c>
      <c r="J183" s="72">
        <f>_xlfn.XLOOKUP(наценкад5[[#This Row],[№]],ППД5[№],ППД5[С\У],"-",0)</f>
        <v>2.2999999999999998</v>
      </c>
      <c r="K183" s="72">
        <f>_xlfn.XLOOKUP(наценкад5[[#This Row],[№]],ППД5[№],ППД5[Расчетная проектная площадь],"-",0)</f>
        <v>60.22</v>
      </c>
      <c r="L183" s="12">
        <f t="shared" si="2"/>
        <v>63000</v>
      </c>
      <c r="M183" s="102">
        <f>коэффициенты!$F$2</f>
        <v>1.2257</v>
      </c>
      <c r="N183" s="13">
        <f>наценкад5[[#This Row],[Цена м2 базовая]]*наценкад5[[#This Row],[Базовой K]]</f>
        <v>77219.100000000006</v>
      </c>
      <c r="O183" s="76">
        <f>коэффициенты!$F$4</f>
        <v>1.4999999999999999E-2</v>
      </c>
      <c r="P183" s="74"/>
      <c r="Q183" s="76"/>
      <c r="R183" s="76"/>
      <c r="S183" s="76">
        <f>коэффициенты!$F$9</f>
        <v>0</v>
      </c>
      <c r="T183" s="74"/>
      <c r="U183" s="74"/>
      <c r="V183" s="74"/>
      <c r="W183" s="74"/>
      <c r="X183" s="74">
        <f>коэффициенты!$F$13</f>
        <v>0.02</v>
      </c>
      <c r="Y183" s="75"/>
      <c r="Z183" s="74"/>
      <c r="AA183" s="74"/>
      <c r="AB183" s="74"/>
      <c r="AC183" s="74"/>
      <c r="AD183" s="74">
        <f>коэффициенты!$F$19</f>
        <v>5.0000000000000001E-3</v>
      </c>
      <c r="AE183" s="74"/>
      <c r="AF183" s="74"/>
      <c r="AG183" s="74"/>
      <c r="AH183" s="74"/>
      <c r="AI183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183" s="72">
        <f>VLOOKUP(наценкад5[[#This Row],[№]],ППД5[],COLUMN(ППД5[[#This Row],[утв цена м2]]),0)</f>
        <v>121200.59</v>
      </c>
      <c r="AK183" s="3">
        <f>наценкад5[[#This Row],[утв цена м2]]*наценкад5[[#This Row],[Расчетная проектная площадь]]</f>
        <v>7298699.5297999997</v>
      </c>
      <c r="AL183" s="22" t="str">
        <f>VLOOKUP(наценкад5[[#This Row],[№]],ППД5[],COLUMN('Реестр ОН'!$DF$1),0)</f>
        <v>Свободно</v>
      </c>
    </row>
    <row r="184" spans="1:38" hidden="1" x14ac:dyDescent="0.25">
      <c r="A184" s="101">
        <v>182</v>
      </c>
      <c r="B184" s="2" t="str">
        <f>_xlfn.XLOOKUP(наценкад5[[#This Row],[№]],ППД5[№],ППД5[Секция],"-",0)</f>
        <v>Б</v>
      </c>
      <c r="C184" s="2">
        <f>_xlfn.XLOOKUP(наценкад5[[#This Row],[№]],ППД5[№],ППД5[Этаж],"-",0)</f>
        <v>11</v>
      </c>
      <c r="D184" s="2">
        <f>_xlfn.XLOOKUP(наценкад5[[#This Row],[№]],ППД5[№],ППД5[№ на этаже],"-",0)</f>
        <v>2</v>
      </c>
      <c r="E184" s="2">
        <f>_xlfn.XLOOKUP(наценкад5[[#This Row],[№]],ППД5[№],ППД5[Тип кв],"-",0)</f>
        <v>0</v>
      </c>
      <c r="F184" s="72">
        <f>_xlfn.XLOOKUP(наценкад5[[#This Row],[№]],ППД5[№],ППД5[Кухня],"-",0)</f>
        <v>5.12</v>
      </c>
      <c r="G184" s="72">
        <f>_xlfn.XLOOKUP(наценкад5[[#This Row],[№]],ППД5[№],ППД5[Ванная],"-",0)</f>
        <v>3.65</v>
      </c>
      <c r="H184" s="72">
        <f>_xlfn.XLOOKUP(наценкад5[[#This Row],[№]],ППД5[№],ППД5[Гардеробная],"-",0)</f>
        <v>0</v>
      </c>
      <c r="I184" s="72">
        <f>_xlfn.XLOOKUP(наценкад5[[#This Row],[№]],ППД5[№],ППД5[Лоджия 2],"-",0)</f>
        <v>0</v>
      </c>
      <c r="J184" s="72">
        <f>_xlfn.XLOOKUP(наценкад5[[#This Row],[№]],ППД5[№],ППД5[С\У],"-",0)</f>
        <v>0</v>
      </c>
      <c r="K184" s="72">
        <f>_xlfn.XLOOKUP(наценкад5[[#This Row],[№]],ППД5[№],ППД5[Расчетная проектная площадь],"-",0)</f>
        <v>24.28</v>
      </c>
      <c r="L184" s="12">
        <f t="shared" si="2"/>
        <v>63000</v>
      </c>
      <c r="M184" s="116">
        <f>коэффициенты!$H$2</f>
        <v>1.3905000000000001</v>
      </c>
      <c r="N184" s="13">
        <f>наценкад5[[#This Row],[Цена м2 базовая]]*наценкад5[[#This Row],[Базовой K]]</f>
        <v>87601.5</v>
      </c>
      <c r="O184" s="74"/>
      <c r="P184" s="74"/>
      <c r="Q184" s="74"/>
      <c r="R184" s="74"/>
      <c r="S184" s="74"/>
      <c r="T184" s="74"/>
      <c r="U184" s="74"/>
      <c r="V184" s="74">
        <f>коэффициенты!$H$11</f>
        <v>0.01</v>
      </c>
      <c r="W184" s="75"/>
      <c r="X184" s="74">
        <f>коэффициенты!$H$13</f>
        <v>0.01</v>
      </c>
      <c r="Y184" s="75"/>
      <c r="Z184" s="74"/>
      <c r="AA184" s="74"/>
      <c r="AB184" s="74"/>
      <c r="AC184" s="74"/>
      <c r="AD184" s="74">
        <f>коэффициенты!$H$19</f>
        <v>0.01</v>
      </c>
      <c r="AE184" s="74"/>
      <c r="AF184" s="74"/>
      <c r="AG184" s="74"/>
      <c r="AH184" s="74"/>
      <c r="AI184" s="73">
        <f>SUM(наценкад5[[#This Row],[еврокухня]:[большая площадь]])*наценкад5[[#This Row],[Цена м2 с базовым K]]+наценкад5[[#This Row],[Цена м2 с базовым K]]</f>
        <v>90229.544999999998</v>
      </c>
      <c r="AJ184" s="72">
        <f>VLOOKUP(наценкад5[[#This Row],[№]],ППД5[],COLUMN(ППД5[[#This Row],[утв цена м2]]),0)</f>
        <v>125032.01</v>
      </c>
      <c r="AK184" s="3">
        <f>наценкад5[[#This Row],[утв цена м2]]*наценкад5[[#This Row],[Расчетная проектная площадь]]</f>
        <v>3035777.2028000001</v>
      </c>
      <c r="AL184" s="22" t="str">
        <f>VLOOKUP(наценкад5[[#This Row],[№]],ППД5[],COLUMN('Реестр ОН'!$DF$1),0)</f>
        <v>Продажа</v>
      </c>
    </row>
    <row r="185" spans="1:38" hidden="1" x14ac:dyDescent="0.25">
      <c r="A185" s="101">
        <v>183</v>
      </c>
      <c r="B185" s="2" t="str">
        <f>_xlfn.XLOOKUP(наценкад5[[#This Row],[№]],ППД5[№],ППД5[Секция],"-",0)</f>
        <v>Б</v>
      </c>
      <c r="C185" s="2">
        <f>_xlfn.XLOOKUP(наценкад5[[#This Row],[№]],ППД5[№],ППД5[Этаж],"-",0)</f>
        <v>11</v>
      </c>
      <c r="D185" s="2">
        <f>_xlfn.XLOOKUP(наценкад5[[#This Row],[№]],ППД5[№],ППД5[№ на этаже],"-",0)</f>
        <v>3</v>
      </c>
      <c r="E185" s="2">
        <f>_xlfn.XLOOKUP(наценкад5[[#This Row],[№]],ППД5[№],ППД5[Тип кв],"-",0)</f>
        <v>2</v>
      </c>
      <c r="F185" s="72">
        <f>_xlfn.XLOOKUP(наценкад5[[#This Row],[№]],ППД5[№],ППД5[Кухня],"-",0)</f>
        <v>14.35</v>
      </c>
      <c r="G185" s="72">
        <f>_xlfn.XLOOKUP(наценкад5[[#This Row],[№]],ППД5[№],ППД5[Ванная],"-",0)</f>
        <v>3.68</v>
      </c>
      <c r="H185" s="72">
        <f>_xlfn.XLOOKUP(наценкад5[[#This Row],[№]],ППД5[№],ППД5[Гардеробная],"-",0)</f>
        <v>0</v>
      </c>
      <c r="I185" s="72">
        <f>_xlfn.XLOOKUP(наценкад5[[#This Row],[№]],ППД5[№],ППД5[Лоджия 2],"-",0)</f>
        <v>0</v>
      </c>
      <c r="J185" s="72">
        <f>_xlfn.XLOOKUP(наценкад5[[#This Row],[№]],ППД5[№],ППД5[С\У],"-",0)</f>
        <v>2.57</v>
      </c>
      <c r="K185" s="72">
        <f>_xlfn.XLOOKUP(наценкад5[[#This Row],[№]],ППД5[№],ППД5[Расчетная проектная площадь],"-",0)</f>
        <v>57.6</v>
      </c>
      <c r="L185" s="12">
        <f t="shared" si="2"/>
        <v>63000</v>
      </c>
      <c r="M185" s="102">
        <f>коэффициенты!$F$2</f>
        <v>1.2257</v>
      </c>
      <c r="N185" s="13">
        <f>наценкад5[[#This Row],[Цена м2 базовая]]*наценкад5[[#This Row],[Базовой K]]</f>
        <v>77219.100000000006</v>
      </c>
      <c r="O185" s="76">
        <f>коэффициенты!$F$4</f>
        <v>1.4999999999999999E-2</v>
      </c>
      <c r="P185" s="74"/>
      <c r="Q185" s="76"/>
      <c r="R185" s="76"/>
      <c r="S185" s="76">
        <f>коэффициенты!$F$9</f>
        <v>0</v>
      </c>
      <c r="T185" s="74"/>
      <c r="U185" s="74"/>
      <c r="V185" s="74"/>
      <c r="W185" s="75"/>
      <c r="X185" s="74"/>
      <c r="Y185" s="75"/>
      <c r="Z185" s="74"/>
      <c r="AA185" s="74"/>
      <c r="AB185" s="74"/>
      <c r="AC185" s="74"/>
      <c r="AD185" s="74">
        <f>коэффициенты!$F$19</f>
        <v>5.0000000000000001E-3</v>
      </c>
      <c r="AE185" s="74"/>
      <c r="AF185" s="74"/>
      <c r="AG185" s="74"/>
      <c r="AH185" s="74"/>
      <c r="AI185" s="73">
        <f>SUM(наценкад5[[#This Row],[еврокухня]:[большая площадь]])*наценкад5[[#This Row],[Цена м2 с базовым K]]+наценкад5[[#This Row],[Цена м2 с базовым K]]</f>
        <v>78763.482000000004</v>
      </c>
      <c r="AJ185" s="72">
        <f>VLOOKUP(наценкад5[[#This Row],[№]],ППД5[],COLUMN(ППД5[[#This Row],[утв цена м2]]),0)</f>
        <v>94925.7</v>
      </c>
      <c r="AK185" s="3">
        <f>наценкад5[[#This Row],[утв цена м2]]*наценкад5[[#This Row],[Расчетная проектная площадь]]</f>
        <v>5467720.3200000003</v>
      </c>
      <c r="AL185" s="22" t="str">
        <f>VLOOKUP(наценкад5[[#This Row],[№]],ППД5[],COLUMN('Реестр ОН'!$DF$1),0)</f>
        <v>Продажа</v>
      </c>
    </row>
    <row r="186" spans="1:38" hidden="1" x14ac:dyDescent="0.25">
      <c r="A186" s="101">
        <v>184</v>
      </c>
      <c r="B186" s="2" t="str">
        <f>_xlfn.XLOOKUP(наценкад5[[#This Row],[№]],ППД5[№],ППД5[Секция],"-",0)</f>
        <v>Б</v>
      </c>
      <c r="C186" s="2">
        <f>_xlfn.XLOOKUP(наценкад5[[#This Row],[№]],ППД5[№],ППД5[Этаж],"-",0)</f>
        <v>11</v>
      </c>
      <c r="D186" s="2">
        <f>_xlfn.XLOOKUP(наценкад5[[#This Row],[№]],ППД5[№],ППД5[№ на этаже],"-",0)</f>
        <v>4</v>
      </c>
      <c r="E186" s="2">
        <f>_xlfn.XLOOKUP(наценкад5[[#This Row],[№]],ППД5[№],ППД5[Тип кв],"-",0)</f>
        <v>2</v>
      </c>
      <c r="F186" s="72">
        <f>_xlfn.XLOOKUP(наценкад5[[#This Row],[№]],ППД5[№],ППД5[Кухня],"-",0)</f>
        <v>11.95</v>
      </c>
      <c r="G186" s="72">
        <f>_xlfn.XLOOKUP(наценкад5[[#This Row],[№]],ППД5[№],ППД5[Ванная],"-",0)</f>
        <v>3.86</v>
      </c>
      <c r="H186" s="72">
        <f>_xlfn.XLOOKUP(наценкад5[[#This Row],[№]],ППД5[№],ППД5[Гардеробная],"-",0)</f>
        <v>0</v>
      </c>
      <c r="I186" s="72">
        <f>_xlfn.XLOOKUP(наценкад5[[#This Row],[№]],ППД5[№],ППД5[Лоджия 2],"-",0)</f>
        <v>0</v>
      </c>
      <c r="J186" s="72">
        <f>_xlfn.XLOOKUP(наценкад5[[#This Row],[№]],ППД5[№],ППД5[С\У],"-",0)</f>
        <v>2.37</v>
      </c>
      <c r="K186" s="72">
        <f>_xlfn.XLOOKUP(наценкад5[[#This Row],[№]],ППД5[№],ППД5[Расчетная проектная площадь],"-",0)</f>
        <v>58.31</v>
      </c>
      <c r="L186" s="12">
        <f t="shared" si="2"/>
        <v>63000</v>
      </c>
      <c r="M186" s="102">
        <f>коэффициенты!$F$2</f>
        <v>1.2257</v>
      </c>
      <c r="N186" s="13">
        <f>наценкад5[[#This Row],[Цена м2 базовая]]*наценкад5[[#This Row],[Базовой K]]</f>
        <v>77219.100000000006</v>
      </c>
      <c r="O186" s="74"/>
      <c r="P186" s="74">
        <f>коэффициенты!$F$5</f>
        <v>0.01</v>
      </c>
      <c r="Q186" s="76"/>
      <c r="R186" s="76"/>
      <c r="S186" s="76">
        <f>коэффициенты!$F$9</f>
        <v>0</v>
      </c>
      <c r="T186" s="74"/>
      <c r="U186" s="74"/>
      <c r="V186" s="74"/>
      <c r="W186" s="75"/>
      <c r="X186" s="76"/>
      <c r="Y186" s="75"/>
      <c r="Z186" s="74"/>
      <c r="AA186" s="74">
        <f>коэффициенты!$F$14</f>
        <v>0.02</v>
      </c>
      <c r="AB186" s="74"/>
      <c r="AC186" s="74"/>
      <c r="AD186" s="74">
        <f>коэффициенты!$F$19</f>
        <v>5.0000000000000001E-3</v>
      </c>
      <c r="AE186" s="74"/>
      <c r="AF186" s="74"/>
      <c r="AG186" s="74"/>
      <c r="AH186" s="74"/>
      <c r="AI186" s="73">
        <f>SUM(наценкад5[[#This Row],[еврокухня]:[большая площадь]])*наценкад5[[#This Row],[Цена м2 с базовым K]]+наценкад5[[#This Row],[Цена м2 с базовым K]]</f>
        <v>79921.768500000006</v>
      </c>
      <c r="AJ186" s="72">
        <f>VLOOKUP(наценкад5[[#This Row],[№]],ППД5[],COLUMN(ППД5[[#This Row],[утв цена м2]]),0)</f>
        <v>123611.64</v>
      </c>
      <c r="AK186" s="3">
        <f>наценкад5[[#This Row],[утв цена м2]]*наценкад5[[#This Row],[Расчетная проектная площадь]]</f>
        <v>7207794.7284000004</v>
      </c>
      <c r="AL186" s="22" t="str">
        <f>VLOOKUP(наценкад5[[#This Row],[№]],ППД5[],COLUMN('Реестр ОН'!$DF$1),0)</f>
        <v>Продажа</v>
      </c>
    </row>
    <row r="187" spans="1:38" hidden="1" x14ac:dyDescent="0.25">
      <c r="A187" s="101">
        <v>185</v>
      </c>
      <c r="B187" s="2" t="str">
        <f>_xlfn.XLOOKUP(наценкад5[[#This Row],[№]],ППД5[№],ППД5[Секция],"-",0)</f>
        <v>Б</v>
      </c>
      <c r="C187" s="2">
        <f>_xlfn.XLOOKUP(наценкад5[[#This Row],[№]],ППД5[№],ППД5[Этаж],"-",0)</f>
        <v>11</v>
      </c>
      <c r="D187" s="2">
        <f>_xlfn.XLOOKUP(наценкад5[[#This Row],[№]],ППД5[№],ППД5[№ на этаже],"-",0)</f>
        <v>5</v>
      </c>
      <c r="E187" s="2">
        <f>_xlfn.XLOOKUP(наценкад5[[#This Row],[№]],ППД5[№],ППД5[Тип кв],"-",0)</f>
        <v>1</v>
      </c>
      <c r="F187" s="72">
        <f>_xlfn.XLOOKUP(наценкад5[[#This Row],[№]],ППД5[№],ППД5[Кухня],"-",0)</f>
        <v>13.18</v>
      </c>
      <c r="G187" s="72">
        <f>_xlfn.XLOOKUP(наценкад5[[#This Row],[№]],ППД5[№],ППД5[Ванная],"-",0)</f>
        <v>4.1100000000000003</v>
      </c>
      <c r="H187" s="72">
        <f>_xlfn.XLOOKUP(наценкад5[[#This Row],[№]],ППД5[№],ППД5[Гардеробная],"-",0)</f>
        <v>0</v>
      </c>
      <c r="I187" s="72">
        <f>_xlfn.XLOOKUP(наценкад5[[#This Row],[№]],ППД5[№],ППД5[Лоджия 2],"-",0)</f>
        <v>0</v>
      </c>
      <c r="J187" s="72">
        <f>_xlfn.XLOOKUP(наценкад5[[#This Row],[№]],ППД5[№],ППД5[С\У],"-",0)</f>
        <v>0</v>
      </c>
      <c r="K187" s="72">
        <f>_xlfn.XLOOKUP(наценкад5[[#This Row],[№]],ППД5[№],ППД5[Расчетная проектная площадь],"-",0)</f>
        <v>37.86</v>
      </c>
      <c r="L187" s="12">
        <f t="shared" si="2"/>
        <v>63000</v>
      </c>
      <c r="M187" s="102">
        <f>коэффициенты!$G$2</f>
        <v>1.2875000000000001</v>
      </c>
      <c r="N187" s="13">
        <f>наценкад5[[#This Row],[Цена м2 базовая]]*наценкад5[[#This Row],[Базовой K]]</f>
        <v>81112.5</v>
      </c>
      <c r="O187" s="74"/>
      <c r="P187" s="76">
        <f>коэффициенты!$G$5</f>
        <v>0.01</v>
      </c>
      <c r="Q187" s="74">
        <f>коэффициенты!$G$6</f>
        <v>0.03</v>
      </c>
      <c r="R187" s="74"/>
      <c r="S187" s="74"/>
      <c r="T187" s="74"/>
      <c r="U187" s="74"/>
      <c r="V187" s="74">
        <f>коэффициенты!$G$11</f>
        <v>0.01</v>
      </c>
      <c r="W187" s="75"/>
      <c r="X187" s="74">
        <f>коэффициенты!$G$13</f>
        <v>0.01</v>
      </c>
      <c r="Y187" s="75"/>
      <c r="Z187" s="74"/>
      <c r="AA187" s="74">
        <f>коэффициенты!$G$14</f>
        <v>0.01</v>
      </c>
      <c r="AB187" s="74"/>
      <c r="AC187" s="74"/>
      <c r="AD187" s="74">
        <f>коэффициенты!$G$19</f>
        <v>0.01</v>
      </c>
      <c r="AE187" s="74"/>
      <c r="AF187" s="74"/>
      <c r="AG187" s="74"/>
      <c r="AH187" s="74"/>
      <c r="AI187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187" s="72">
        <f>VLOOKUP(наценкад5[[#This Row],[№]],ППД5[],COLUMN(ППД5[[#This Row],[утв цена м2]]),0)</f>
        <v>103954.59</v>
      </c>
      <c r="AK187" s="3">
        <f>наценкад5[[#This Row],[утв цена м2]]*наценкад5[[#This Row],[Расчетная проектная площадь]]</f>
        <v>3935720.7774</v>
      </c>
      <c r="AL187" s="22" t="str">
        <f>VLOOKUP(наценкад5[[#This Row],[№]],ППД5[],COLUMN('Реестр ОН'!$DF$1),0)</f>
        <v>Продажа</v>
      </c>
    </row>
    <row r="188" spans="1:38" hidden="1" x14ac:dyDescent="0.25">
      <c r="A188" s="101">
        <v>186</v>
      </c>
      <c r="B188" s="2" t="str">
        <f>_xlfn.XLOOKUP(наценкад5[[#This Row],[№]],ППД5[№],ППД5[Секция],"-",0)</f>
        <v>Б</v>
      </c>
      <c r="C188" s="2">
        <f>_xlfn.XLOOKUP(наценкад5[[#This Row],[№]],ППД5[№],ППД5[Этаж],"-",0)</f>
        <v>11</v>
      </c>
      <c r="D188" s="2">
        <f>_xlfn.XLOOKUP(наценкад5[[#This Row],[№]],ППД5[№],ППД5[№ на этаже],"-",0)</f>
        <v>6</v>
      </c>
      <c r="E188" s="2">
        <f>_xlfn.XLOOKUP(наценкад5[[#This Row],[№]],ППД5[№],ППД5[Тип кв],"-",0)</f>
        <v>3</v>
      </c>
      <c r="F188" s="72">
        <f>_xlfn.XLOOKUP(наценкад5[[#This Row],[№]],ППД5[№],ППД5[Кухня],"-",0)</f>
        <v>13.39</v>
      </c>
      <c r="G188" s="72">
        <f>_xlfn.XLOOKUP(наценкад5[[#This Row],[№]],ППД5[№],ППД5[Ванная],"-",0)</f>
        <v>4.2</v>
      </c>
      <c r="H188" s="72">
        <f>_xlfn.XLOOKUP(наценкад5[[#This Row],[№]],ППД5[№],ППД5[Гардеробная],"-",0)</f>
        <v>0</v>
      </c>
      <c r="I188" s="72">
        <f>_xlfn.XLOOKUP(наценкад5[[#This Row],[№]],ППД5[№],ППД5[Лоджия 2],"-",0)</f>
        <v>2.68</v>
      </c>
      <c r="J188" s="72">
        <f>_xlfn.XLOOKUP(наценкад5[[#This Row],[№]],ППД5[№],ППД5[С\У],"-",0)</f>
        <v>2.0499999999999998</v>
      </c>
      <c r="K188" s="72">
        <f>_xlfn.XLOOKUP(наценкад5[[#This Row],[№]],ППД5[№],ППД5[Расчетная проектная площадь],"-",0)</f>
        <v>84.99</v>
      </c>
      <c r="L188" s="12">
        <f t="shared" si="2"/>
        <v>63000</v>
      </c>
      <c r="M188" s="27">
        <f>коэффициенты!$E$2</f>
        <v>1.1330000000000002</v>
      </c>
      <c r="N188" s="13">
        <f>наценкад5[[#This Row],[Цена м2 базовая]]*наценкад5[[#This Row],[Базовой K]]</f>
        <v>71379.000000000015</v>
      </c>
      <c r="O188" s="74"/>
      <c r="P188" s="74">
        <f>коэффициенты!$E$5</f>
        <v>0</v>
      </c>
      <c r="Q188" s="74">
        <f>коэффициенты!$E$6</f>
        <v>0.01</v>
      </c>
      <c r="R188" s="74"/>
      <c r="S188" s="74">
        <f>коэффициенты!$E$9</f>
        <v>0</v>
      </c>
      <c r="T188" s="74">
        <f>коэффициенты!$E$7</f>
        <v>0</v>
      </c>
      <c r="U188" s="74"/>
      <c r="V188" s="74"/>
      <c r="W188" s="74"/>
      <c r="X188" s="74"/>
      <c r="Y188" s="75"/>
      <c r="Z188" s="74"/>
      <c r="AA188" s="74">
        <f>коэффициенты!$E$14</f>
        <v>0</v>
      </c>
      <c r="AB188" s="74">
        <f>коэффициенты!$E$17</f>
        <v>0</v>
      </c>
      <c r="AC188" s="74"/>
      <c r="AD188" s="76"/>
      <c r="AE188" s="76"/>
      <c r="AF188" s="76"/>
      <c r="AG188" s="74"/>
      <c r="AH188" s="74">
        <f>'отрицательный кф'!$O$33</f>
        <v>0</v>
      </c>
      <c r="AI188" s="73">
        <f>SUM(наценкад5[[#This Row],[еврокухня]:[большая площадь]])*наценкад5[[#This Row],[Цена м2 с базовым K]]+наценкад5[[#This Row],[Цена м2 с базовым K]]</f>
        <v>72092.790000000008</v>
      </c>
      <c r="AJ188" s="72">
        <f>VLOOKUP(наценкад5[[#This Row],[№]],ППД5[],COLUMN(ППД5[[#This Row],[утв цена м2]]),0)</f>
        <v>111033.74</v>
      </c>
      <c r="AK188" s="3">
        <f>наценкад5[[#This Row],[утв цена м2]]*наценкад5[[#This Row],[Расчетная проектная площадь]]</f>
        <v>9436757.5625999998</v>
      </c>
      <c r="AL188" s="22" t="str">
        <f>VLOOKUP(наценкад5[[#This Row],[№]],ППД5[],COLUMN('Реестр ОН'!$DF$1),0)</f>
        <v>Продажа</v>
      </c>
    </row>
    <row r="189" spans="1:38" hidden="1" x14ac:dyDescent="0.25">
      <c r="A189" s="101">
        <v>187</v>
      </c>
      <c r="B189" s="2" t="str">
        <f>_xlfn.XLOOKUP(наценкад5[[#This Row],[№]],ППД5[№],ППД5[Секция],"-",0)</f>
        <v>Б</v>
      </c>
      <c r="C189" s="2">
        <f>_xlfn.XLOOKUP(наценкад5[[#This Row],[№]],ППД5[№],ППД5[Этаж],"-",0)</f>
        <v>11</v>
      </c>
      <c r="D189" s="2">
        <f>_xlfn.XLOOKUP(наценкад5[[#This Row],[№]],ППД5[№],ППД5[№ на этаже],"-",0)</f>
        <v>7</v>
      </c>
      <c r="E189" s="2">
        <f>_xlfn.XLOOKUP(наценкад5[[#This Row],[№]],ППД5[№],ППД5[Тип кв],"-",0)</f>
        <v>1</v>
      </c>
      <c r="F189" s="72">
        <f>_xlfn.XLOOKUP(наценкад5[[#This Row],[№]],ППД5[№],ППД5[Кухня],"-",0)</f>
        <v>13.04</v>
      </c>
      <c r="G189" s="72">
        <f>_xlfn.XLOOKUP(наценкад5[[#This Row],[№]],ППД5[№],ППД5[Ванная],"-",0)</f>
        <v>3.9</v>
      </c>
      <c r="H189" s="72">
        <f>_xlfn.XLOOKUP(наценкад5[[#This Row],[№]],ППД5[№],ППД5[Гардеробная],"-",0)</f>
        <v>0</v>
      </c>
      <c r="I189" s="72">
        <f>_xlfn.XLOOKUP(наценкад5[[#This Row],[№]],ППД5[№],ППД5[Лоджия 2],"-",0)</f>
        <v>0</v>
      </c>
      <c r="J189" s="72">
        <f>_xlfn.XLOOKUP(наценкад5[[#This Row],[№]],ППД5[№],ППД5[С\У],"-",0)</f>
        <v>0</v>
      </c>
      <c r="K189" s="72">
        <f>_xlfn.XLOOKUP(наценкад5[[#This Row],[№]],ППД5[№],ППД5[Расчетная проектная площадь],"-",0)</f>
        <v>42.28</v>
      </c>
      <c r="L189" s="12">
        <f t="shared" si="2"/>
        <v>63000</v>
      </c>
      <c r="M189" s="102">
        <f>коэффициенты!$G$2</f>
        <v>1.2875000000000001</v>
      </c>
      <c r="N189" s="13">
        <f>наценкад5[[#This Row],[Цена м2 базовая]]*наценкад5[[#This Row],[Базовой K]]</f>
        <v>81112.5</v>
      </c>
      <c r="O189" s="74"/>
      <c r="P189" s="76">
        <f>коэффициенты!$G$5</f>
        <v>0.01</v>
      </c>
      <c r="Q189" s="74"/>
      <c r="R189" s="74"/>
      <c r="S189" s="74"/>
      <c r="T189" s="74"/>
      <c r="U189" s="74"/>
      <c r="V189" s="74">
        <f>коэффициенты!$G$11</f>
        <v>0.01</v>
      </c>
      <c r="W189" s="74"/>
      <c r="X189" s="74"/>
      <c r="Y189" s="75"/>
      <c r="Z189" s="74"/>
      <c r="AA189" s="74">
        <f>коэффициенты!$G$14</f>
        <v>0.01</v>
      </c>
      <c r="AB189" s="74"/>
      <c r="AC189" s="74"/>
      <c r="AD189" s="74">
        <f>коэффициенты!$G$19</f>
        <v>0.01</v>
      </c>
      <c r="AE189" s="74"/>
      <c r="AF189" s="74"/>
      <c r="AG189" s="74">
        <f>коэффициенты!$A$24</f>
        <v>-5.0000000000000001E-3</v>
      </c>
      <c r="AH189" s="74"/>
      <c r="AI189" s="73">
        <f>SUM(наценкад5[[#This Row],[еврокухня]:[большая площадь]])*наценкад5[[#This Row],[Цена м2 с базовым K]]+наценкад5[[#This Row],[Цена м2 с базовым K]]</f>
        <v>83951.4375</v>
      </c>
      <c r="AJ189" s="72">
        <f>VLOOKUP(наценкад5[[#This Row],[№]],ППД5[],COLUMN(ППД5[[#This Row],[утв цена м2]]),0)</f>
        <v>93517.28</v>
      </c>
      <c r="AK189" s="3">
        <f>наценкад5[[#This Row],[утв цена м2]]*наценкад5[[#This Row],[Расчетная проектная площадь]]</f>
        <v>3953910.5984</v>
      </c>
      <c r="AL189" s="22" t="str">
        <f>VLOOKUP(наценкад5[[#This Row],[№]],ППД5[],COLUMN('Реестр ОН'!$DF$1),0)</f>
        <v>Продажа</v>
      </c>
    </row>
    <row r="190" spans="1:38" hidden="1" x14ac:dyDescent="0.25">
      <c r="A190" s="101">
        <v>188</v>
      </c>
      <c r="B190" s="2" t="str">
        <f>_xlfn.XLOOKUP(наценкад5[[#This Row],[№]],ППД5[№],ППД5[Секция],"-",0)</f>
        <v>Б</v>
      </c>
      <c r="C190" s="2">
        <f>_xlfn.XLOOKUP(наценкад5[[#This Row],[№]],ППД5[№],ППД5[Этаж],"-",0)</f>
        <v>12</v>
      </c>
      <c r="D190" s="2">
        <f>_xlfn.XLOOKUP(наценкад5[[#This Row],[№]],ППД5[№],ППД5[№ на этаже],"-",0)</f>
        <v>1</v>
      </c>
      <c r="E190" s="2">
        <f>_xlfn.XLOOKUP(наценкад5[[#This Row],[№]],ППД5[№],ППД5[Тип кв],"-",0)</f>
        <v>2</v>
      </c>
      <c r="F190" s="72">
        <f>_xlfn.XLOOKUP(наценкад5[[#This Row],[№]],ППД5[№],ППД5[Кухня],"-",0)</f>
        <v>15.31</v>
      </c>
      <c r="G190" s="72">
        <f>_xlfn.XLOOKUP(наценкад5[[#This Row],[№]],ППД5[№],ППД5[Ванная],"-",0)</f>
        <v>3.85</v>
      </c>
      <c r="H190" s="72">
        <f>_xlfn.XLOOKUP(наценкад5[[#This Row],[№]],ППД5[№],ППД5[Гардеробная],"-",0)</f>
        <v>0</v>
      </c>
      <c r="I190" s="72">
        <f>_xlfn.XLOOKUP(наценкад5[[#This Row],[№]],ППД5[№],ППД5[Лоджия 2],"-",0)</f>
        <v>0</v>
      </c>
      <c r="J190" s="72">
        <f>_xlfn.XLOOKUP(наценкад5[[#This Row],[№]],ППД5[№],ППД5[С\У],"-",0)</f>
        <v>2.2999999999999998</v>
      </c>
      <c r="K190" s="72">
        <f>_xlfn.XLOOKUP(наценкад5[[#This Row],[№]],ППД5[№],ППД5[Расчетная проектная площадь],"-",0)</f>
        <v>60.22</v>
      </c>
      <c r="L190" s="12">
        <f t="shared" si="2"/>
        <v>63000</v>
      </c>
      <c r="M190" s="102">
        <f>коэффициенты!$F$2</f>
        <v>1.2257</v>
      </c>
      <c r="N190" s="13">
        <f>наценкад5[[#This Row],[Цена м2 базовая]]*наценкад5[[#This Row],[Базовой K]]</f>
        <v>77219.100000000006</v>
      </c>
      <c r="O190" s="76">
        <f>коэффициенты!$F$4</f>
        <v>1.4999999999999999E-2</v>
      </c>
      <c r="P190" s="74"/>
      <c r="Q190" s="76"/>
      <c r="R190" s="76"/>
      <c r="S190" s="76">
        <f>коэффициенты!$F$9</f>
        <v>0</v>
      </c>
      <c r="T190" s="74"/>
      <c r="U190" s="74"/>
      <c r="V190" s="74"/>
      <c r="W190" s="74">
        <f>коэффициенты!$F$12</f>
        <v>0.02</v>
      </c>
      <c r="X190" s="74">
        <f>коэффициенты!$F$13</f>
        <v>0.02</v>
      </c>
      <c r="Y190" s="75"/>
      <c r="Z190" s="74"/>
      <c r="AA190" s="74"/>
      <c r="AB190" s="74"/>
      <c r="AC190" s="74"/>
      <c r="AD190" s="74">
        <f>коэффициенты!$F$19</f>
        <v>5.0000000000000001E-3</v>
      </c>
      <c r="AE190" s="74"/>
      <c r="AF190" s="74"/>
      <c r="AG190" s="74"/>
      <c r="AH190" s="74"/>
      <c r="AI190" s="73">
        <f>SUM(наценкад5[[#This Row],[еврокухня]:[большая площадь]])*наценкад5[[#This Row],[Цена м2 с базовым K]]+наценкад5[[#This Row],[Цена м2 с базовым K]]</f>
        <v>81852.246000000014</v>
      </c>
      <c r="AJ190" s="72">
        <f>VLOOKUP(наценкад5[[#This Row],[№]],ППД5[],COLUMN(ППД5[[#This Row],[утв цена м2]]),0)</f>
        <v>97671.56</v>
      </c>
      <c r="AK190" s="3">
        <f>наценкад5[[#This Row],[утв цена м2]]*наценкад5[[#This Row],[Расчетная проектная площадь]]</f>
        <v>5881781.3432</v>
      </c>
      <c r="AL190" s="22" t="str">
        <f>VLOOKUP(наценкад5[[#This Row],[№]],ППД5[],COLUMN('Реестр ОН'!$DF$1),0)</f>
        <v>Продажа</v>
      </c>
    </row>
    <row r="191" spans="1:38" hidden="1" x14ac:dyDescent="0.25">
      <c r="A191" s="101">
        <v>189</v>
      </c>
      <c r="B191" s="2" t="str">
        <f>_xlfn.XLOOKUP(наценкад5[[#This Row],[№]],ППД5[№],ППД5[Секция],"-",0)</f>
        <v>Б</v>
      </c>
      <c r="C191" s="2">
        <f>_xlfn.XLOOKUP(наценкад5[[#This Row],[№]],ППД5[№],ППД5[Этаж],"-",0)</f>
        <v>12</v>
      </c>
      <c r="D191" s="2">
        <f>_xlfn.XLOOKUP(наценкад5[[#This Row],[№]],ППД5[№],ППД5[№ на этаже],"-",0)</f>
        <v>2</v>
      </c>
      <c r="E191" s="2">
        <f>_xlfn.XLOOKUP(наценкад5[[#This Row],[№]],ППД5[№],ППД5[Тип кв],"-",0)</f>
        <v>0</v>
      </c>
      <c r="F191" s="72">
        <f>_xlfn.XLOOKUP(наценкад5[[#This Row],[№]],ППД5[№],ППД5[Кухня],"-",0)</f>
        <v>5.12</v>
      </c>
      <c r="G191" s="72">
        <f>_xlfn.XLOOKUP(наценкад5[[#This Row],[№]],ППД5[№],ППД5[Ванная],"-",0)</f>
        <v>3.65</v>
      </c>
      <c r="H191" s="72">
        <f>_xlfn.XLOOKUP(наценкад5[[#This Row],[№]],ППД5[№],ППД5[Гардеробная],"-",0)</f>
        <v>0</v>
      </c>
      <c r="I191" s="72">
        <f>_xlfn.XLOOKUP(наценкад5[[#This Row],[№]],ППД5[№],ППД5[Лоджия 2],"-",0)</f>
        <v>0</v>
      </c>
      <c r="J191" s="72">
        <f>_xlfn.XLOOKUP(наценкад5[[#This Row],[№]],ППД5[№],ППД5[С\У],"-",0)</f>
        <v>0</v>
      </c>
      <c r="K191" s="72">
        <f>_xlfn.XLOOKUP(наценкад5[[#This Row],[№]],ППД5[№],ППД5[Расчетная проектная площадь],"-",0)</f>
        <v>24.28</v>
      </c>
      <c r="L191" s="12">
        <f t="shared" si="2"/>
        <v>63000</v>
      </c>
      <c r="M191" s="116">
        <f>коэффициенты!$H$2</f>
        <v>1.3905000000000001</v>
      </c>
      <c r="N191" s="13">
        <f>наценкад5[[#This Row],[Цена м2 базовая]]*наценкад5[[#This Row],[Базовой K]]</f>
        <v>87601.5</v>
      </c>
      <c r="O191" s="74"/>
      <c r="P191" s="74"/>
      <c r="Q191" s="74"/>
      <c r="R191" s="74"/>
      <c r="S191" s="74"/>
      <c r="T191" s="74"/>
      <c r="U191" s="74"/>
      <c r="V191" s="74">
        <f>коэффициенты!$H$11</f>
        <v>0.01</v>
      </c>
      <c r="W191" s="74">
        <f>коэффициенты!$H$12</f>
        <v>0.02</v>
      </c>
      <c r="X191" s="74">
        <f>коэффициенты!$H$13</f>
        <v>0.01</v>
      </c>
      <c r="Y191" s="75"/>
      <c r="Z191" s="74"/>
      <c r="AA191" s="74"/>
      <c r="AB191" s="74"/>
      <c r="AC191" s="74"/>
      <c r="AD191" s="74">
        <f>коэффициенты!$H$19</f>
        <v>0.01</v>
      </c>
      <c r="AE191" s="74"/>
      <c r="AF191" s="74"/>
      <c r="AG191" s="74"/>
      <c r="AH191" s="74"/>
      <c r="AI191" s="73">
        <f>SUM(наценкад5[[#This Row],[еврокухня]:[большая площадь]])*наценкад5[[#This Row],[Цена м2 с базовым K]]+наценкад5[[#This Row],[Цена м2 с базовым K]]</f>
        <v>91981.574999999997</v>
      </c>
      <c r="AJ191" s="72">
        <f>VLOOKUP(наценкад5[[#This Row],[№]],ППД5[],COLUMN(ППД5[[#This Row],[утв цена м2]]),0)</f>
        <v>91981.58</v>
      </c>
      <c r="AK191" s="3">
        <f>наценкад5[[#This Row],[утв цена м2]]*наценкад5[[#This Row],[Расчетная проектная площадь]]</f>
        <v>2233312.7624000004</v>
      </c>
      <c r="AL191" s="22" t="str">
        <f>VLOOKUP(наценкад5[[#This Row],[№]],ППД5[],COLUMN('Реестр ОН'!$DF$1),0)</f>
        <v>Продажа</v>
      </c>
    </row>
    <row r="192" spans="1:38" hidden="1" x14ac:dyDescent="0.25">
      <c r="A192" s="101">
        <v>190</v>
      </c>
      <c r="B192" s="2" t="str">
        <f>_xlfn.XLOOKUP(наценкад5[[#This Row],[№]],ППД5[№],ППД5[Секция],"-",0)</f>
        <v>Б</v>
      </c>
      <c r="C192" s="2">
        <f>_xlfn.XLOOKUP(наценкад5[[#This Row],[№]],ППД5[№],ППД5[Этаж],"-",0)</f>
        <v>12</v>
      </c>
      <c r="D192" s="2">
        <f>_xlfn.XLOOKUP(наценкад5[[#This Row],[№]],ППД5[№],ППД5[№ на этаже],"-",0)</f>
        <v>3</v>
      </c>
      <c r="E192" s="2">
        <f>_xlfn.XLOOKUP(наценкад5[[#This Row],[№]],ППД5[№],ППД5[Тип кв],"-",0)</f>
        <v>2</v>
      </c>
      <c r="F192" s="72">
        <f>_xlfn.XLOOKUP(наценкад5[[#This Row],[№]],ППД5[№],ППД5[Кухня],"-",0)</f>
        <v>14.35</v>
      </c>
      <c r="G192" s="72">
        <f>_xlfn.XLOOKUP(наценкад5[[#This Row],[№]],ППД5[№],ППД5[Ванная],"-",0)</f>
        <v>3.68</v>
      </c>
      <c r="H192" s="72">
        <f>_xlfn.XLOOKUP(наценкад5[[#This Row],[№]],ППД5[№],ППД5[Гардеробная],"-",0)</f>
        <v>0</v>
      </c>
      <c r="I192" s="72">
        <f>_xlfn.XLOOKUP(наценкад5[[#This Row],[№]],ППД5[№],ППД5[Лоджия 2],"-",0)</f>
        <v>0</v>
      </c>
      <c r="J192" s="72">
        <f>_xlfn.XLOOKUP(наценкад5[[#This Row],[№]],ППД5[№],ППД5[С\У],"-",0)</f>
        <v>2.57</v>
      </c>
      <c r="K192" s="72">
        <f>_xlfn.XLOOKUP(наценкад5[[#This Row],[№]],ППД5[№],ППД5[Расчетная проектная площадь],"-",0)</f>
        <v>57.6</v>
      </c>
      <c r="L192" s="12">
        <f t="shared" si="2"/>
        <v>63000</v>
      </c>
      <c r="M192" s="102">
        <f>коэффициенты!$F$2</f>
        <v>1.2257</v>
      </c>
      <c r="N192" s="13">
        <f>наценкад5[[#This Row],[Цена м2 базовая]]*наценкад5[[#This Row],[Базовой K]]</f>
        <v>77219.100000000006</v>
      </c>
      <c r="O192" s="76">
        <f>коэффициенты!$F$4</f>
        <v>1.4999999999999999E-2</v>
      </c>
      <c r="P192" s="74"/>
      <c r="Q192" s="76"/>
      <c r="R192" s="76"/>
      <c r="S192" s="76">
        <f>коэффициенты!$F$9</f>
        <v>0</v>
      </c>
      <c r="T192" s="74"/>
      <c r="U192" s="74"/>
      <c r="V192" s="74"/>
      <c r="W192" s="75">
        <f>коэффициенты!$F$12</f>
        <v>0.02</v>
      </c>
      <c r="X192" s="74"/>
      <c r="Y192" s="75"/>
      <c r="Z192" s="74"/>
      <c r="AA192" s="74"/>
      <c r="AB192" s="74"/>
      <c r="AC192" s="74"/>
      <c r="AD192" s="74">
        <f>коэффициенты!$F$19</f>
        <v>5.0000000000000001E-3</v>
      </c>
      <c r="AE192" s="74"/>
      <c r="AF192" s="74"/>
      <c r="AG192" s="74"/>
      <c r="AH192" s="74"/>
      <c r="AI192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192" s="72">
        <f>VLOOKUP(наценкад5[[#This Row],[№]],ППД5[],COLUMN(ППД5[[#This Row],[утв цена м2]]),0)</f>
        <v>124854.11</v>
      </c>
      <c r="AK192" s="3">
        <f>наценкад5[[#This Row],[утв цена м2]]*наценкад5[[#This Row],[Расчетная проектная площадь]]</f>
        <v>7191596.7360000005</v>
      </c>
      <c r="AL192" s="22" t="str">
        <f>VLOOKUP(наценкад5[[#This Row],[№]],ППД5[],COLUMN('Реестр ОН'!$DF$1),0)</f>
        <v>Свободно</v>
      </c>
    </row>
    <row r="193" spans="1:38" hidden="1" x14ac:dyDescent="0.25">
      <c r="A193" s="101">
        <v>191</v>
      </c>
      <c r="B193" s="2" t="str">
        <f>_xlfn.XLOOKUP(наценкад5[[#This Row],[№]],ППД5[№],ППД5[Секция],"-",0)</f>
        <v>Б</v>
      </c>
      <c r="C193" s="2">
        <f>_xlfn.XLOOKUP(наценкад5[[#This Row],[№]],ППД5[№],ППД5[Этаж],"-",0)</f>
        <v>12</v>
      </c>
      <c r="D193" s="2">
        <f>_xlfn.XLOOKUP(наценкад5[[#This Row],[№]],ППД5[№],ППД5[№ на этаже],"-",0)</f>
        <v>4</v>
      </c>
      <c r="E193" s="2">
        <f>_xlfn.XLOOKUP(наценкад5[[#This Row],[№]],ППД5[№],ППД5[Тип кв],"-",0)</f>
        <v>2</v>
      </c>
      <c r="F193" s="72">
        <f>_xlfn.XLOOKUP(наценкад5[[#This Row],[№]],ППД5[№],ППД5[Кухня],"-",0)</f>
        <v>11.95</v>
      </c>
      <c r="G193" s="72">
        <f>_xlfn.XLOOKUP(наценкад5[[#This Row],[№]],ППД5[№],ППД5[Ванная],"-",0)</f>
        <v>3.86</v>
      </c>
      <c r="H193" s="72">
        <f>_xlfn.XLOOKUP(наценкад5[[#This Row],[№]],ППД5[№],ППД5[Гардеробная],"-",0)</f>
        <v>0</v>
      </c>
      <c r="I193" s="72">
        <f>_xlfn.XLOOKUP(наценкад5[[#This Row],[№]],ППД5[№],ППД5[Лоджия 2],"-",0)</f>
        <v>0</v>
      </c>
      <c r="J193" s="72">
        <f>_xlfn.XLOOKUP(наценкад5[[#This Row],[№]],ППД5[№],ППД5[С\У],"-",0)</f>
        <v>2.37</v>
      </c>
      <c r="K193" s="72">
        <f>_xlfn.XLOOKUP(наценкад5[[#This Row],[№]],ППД5[№],ППД5[Расчетная проектная площадь],"-",0)</f>
        <v>58.31</v>
      </c>
      <c r="L193" s="12">
        <f t="shared" si="2"/>
        <v>63000</v>
      </c>
      <c r="M193" s="102">
        <f>коэффициенты!$F$2</f>
        <v>1.2257</v>
      </c>
      <c r="N193" s="13">
        <f>наценкад5[[#This Row],[Цена м2 базовая]]*наценкад5[[#This Row],[Базовой K]]</f>
        <v>77219.100000000006</v>
      </c>
      <c r="O193" s="74"/>
      <c r="P193" s="74">
        <f>коэффициенты!$F$5</f>
        <v>0.01</v>
      </c>
      <c r="Q193" s="76"/>
      <c r="R193" s="76"/>
      <c r="S193" s="76">
        <f>коэффициенты!$F$9</f>
        <v>0</v>
      </c>
      <c r="T193" s="74"/>
      <c r="U193" s="74"/>
      <c r="V193" s="74"/>
      <c r="W193" s="75">
        <f>коэффициенты!$F$12</f>
        <v>0.02</v>
      </c>
      <c r="X193" s="76"/>
      <c r="Y193" s="75"/>
      <c r="Z193" s="74"/>
      <c r="AA193" s="74">
        <f>коэффициенты!$F$14</f>
        <v>0.02</v>
      </c>
      <c r="AB193" s="74"/>
      <c r="AC193" s="74"/>
      <c r="AD193" s="74">
        <f>коэффициенты!$F$19</f>
        <v>5.0000000000000001E-3</v>
      </c>
      <c r="AE193" s="74"/>
      <c r="AF193" s="74"/>
      <c r="AG193" s="74"/>
      <c r="AH193" s="74"/>
      <c r="AI193" s="73">
        <f>SUM(наценкад5[[#This Row],[еврокухня]:[большая площадь]])*наценкад5[[#This Row],[Цена м2 с базовым K]]+наценкад5[[#This Row],[Цена м2 с базовым K]]</f>
        <v>81466.150500000003</v>
      </c>
      <c r="AJ193" s="72">
        <f>VLOOKUP(наценкад5[[#This Row],[№]],ППД5[],COLUMN(ППД5[[#This Row],[утв цена м2]]),0)</f>
        <v>126023.24</v>
      </c>
      <c r="AK193" s="3">
        <f>наценкад5[[#This Row],[утв цена м2]]*наценкад5[[#This Row],[Расчетная проектная площадь]]</f>
        <v>7348415.124400001</v>
      </c>
      <c r="AL193" s="22" t="str">
        <f>VLOOKUP(наценкад5[[#This Row],[№]],ППД5[],COLUMN('Реестр ОН'!$DF$1),0)</f>
        <v>Свободно</v>
      </c>
    </row>
    <row r="194" spans="1:38" hidden="1" x14ac:dyDescent="0.25">
      <c r="A194" s="101">
        <v>192</v>
      </c>
      <c r="B194" s="2" t="str">
        <f>_xlfn.XLOOKUP(наценкад5[[#This Row],[№]],ППД5[№],ППД5[Секция],"-",0)</f>
        <v>Б</v>
      </c>
      <c r="C194" s="2">
        <f>_xlfn.XLOOKUP(наценкад5[[#This Row],[№]],ППД5[№],ППД5[Этаж],"-",0)</f>
        <v>12</v>
      </c>
      <c r="D194" s="2">
        <f>_xlfn.XLOOKUP(наценкад5[[#This Row],[№]],ППД5[№],ППД5[№ на этаже],"-",0)</f>
        <v>5</v>
      </c>
      <c r="E194" s="2">
        <f>_xlfn.XLOOKUP(наценкад5[[#This Row],[№]],ППД5[№],ППД5[Тип кв],"-",0)</f>
        <v>1</v>
      </c>
      <c r="F194" s="72">
        <f>_xlfn.XLOOKUP(наценкад5[[#This Row],[№]],ППД5[№],ППД5[Кухня],"-",0)</f>
        <v>13.18</v>
      </c>
      <c r="G194" s="72">
        <f>_xlfn.XLOOKUP(наценкад5[[#This Row],[№]],ППД5[№],ППД5[Ванная],"-",0)</f>
        <v>4.1100000000000003</v>
      </c>
      <c r="H194" s="72">
        <f>_xlfn.XLOOKUP(наценкад5[[#This Row],[№]],ППД5[№],ППД5[Гардеробная],"-",0)</f>
        <v>0</v>
      </c>
      <c r="I194" s="72">
        <f>_xlfn.XLOOKUP(наценкад5[[#This Row],[№]],ППД5[№],ППД5[Лоджия 2],"-",0)</f>
        <v>0</v>
      </c>
      <c r="J194" s="72">
        <f>_xlfn.XLOOKUP(наценкад5[[#This Row],[№]],ППД5[№],ППД5[С\У],"-",0)</f>
        <v>0</v>
      </c>
      <c r="K194" s="72">
        <f>_xlfn.XLOOKUP(наценкад5[[#This Row],[№]],ППД5[№],ППД5[Расчетная проектная площадь],"-",0)</f>
        <v>37.86</v>
      </c>
      <c r="L194" s="12">
        <f t="shared" si="2"/>
        <v>63000</v>
      </c>
      <c r="M194" s="102">
        <f>коэффициенты!$G$2</f>
        <v>1.2875000000000001</v>
      </c>
      <c r="N194" s="13">
        <f>наценкад5[[#This Row],[Цена м2 базовая]]*наценкад5[[#This Row],[Базовой K]]</f>
        <v>81112.5</v>
      </c>
      <c r="O194" s="74"/>
      <c r="P194" s="76">
        <f>коэффициенты!$G$5</f>
        <v>0.01</v>
      </c>
      <c r="Q194" s="74">
        <f>коэффициенты!$G$6</f>
        <v>0.03</v>
      </c>
      <c r="R194" s="74"/>
      <c r="S194" s="74"/>
      <c r="T194" s="74"/>
      <c r="U194" s="74"/>
      <c r="V194" s="74">
        <f>коэффициенты!$G$11</f>
        <v>0.01</v>
      </c>
      <c r="W194" s="75">
        <f>коэффициенты!$G$12</f>
        <v>0.02</v>
      </c>
      <c r="X194" s="74">
        <f>коэффициенты!$G$13</f>
        <v>0.01</v>
      </c>
      <c r="Y194" s="75"/>
      <c r="Z194" s="74"/>
      <c r="AA194" s="74">
        <f>коэффициенты!$G$14</f>
        <v>0.01</v>
      </c>
      <c r="AB194" s="74"/>
      <c r="AC194" s="74"/>
      <c r="AD194" s="74">
        <f>коэффициенты!$G$19</f>
        <v>0.01</v>
      </c>
      <c r="AE194" s="74"/>
      <c r="AF194" s="74"/>
      <c r="AG194" s="74"/>
      <c r="AH194" s="74"/>
      <c r="AI194" s="73">
        <f>SUM(наценкад5[[#This Row],[еврокухня]:[большая площадь]])*наценкад5[[#This Row],[Цена м2 с базовым K]]+наценкад5[[#This Row],[Цена м2 с базовым K]]</f>
        <v>89223.75</v>
      </c>
      <c r="AJ194" s="72">
        <f>VLOOKUP(наценкад5[[#This Row],[№]],ППД5[],COLUMN(ППД5[[#This Row],[утв цена м2]]),0)</f>
        <v>142805.84</v>
      </c>
      <c r="AK194" s="3">
        <f>наценкад5[[#This Row],[утв цена м2]]*наценкад5[[#This Row],[Расчетная проектная площадь]]</f>
        <v>5406629.1024000002</v>
      </c>
      <c r="AL194" s="22" t="str">
        <f>VLOOKUP(наценкад5[[#This Row],[№]],ППД5[],COLUMN('Реестр ОН'!$DF$1),0)</f>
        <v>Свободно</v>
      </c>
    </row>
    <row r="195" spans="1:38" hidden="1" x14ac:dyDescent="0.25">
      <c r="A195" s="101">
        <v>193</v>
      </c>
      <c r="B195" s="2" t="str">
        <f>_xlfn.XLOOKUP(наценкад5[[#This Row],[№]],ППД5[№],ППД5[Секция],"-",0)</f>
        <v>Б</v>
      </c>
      <c r="C195" s="2">
        <f>_xlfn.XLOOKUP(наценкад5[[#This Row],[№]],ППД5[№],ППД5[Этаж],"-",0)</f>
        <v>12</v>
      </c>
      <c r="D195" s="2">
        <f>_xlfn.XLOOKUP(наценкад5[[#This Row],[№]],ППД5[№],ППД5[№ на этаже],"-",0)</f>
        <v>6</v>
      </c>
      <c r="E195" s="2">
        <f>_xlfn.XLOOKUP(наценкад5[[#This Row],[№]],ППД5[№],ППД5[Тип кв],"-",0)</f>
        <v>3</v>
      </c>
      <c r="F195" s="72">
        <f>_xlfn.XLOOKUP(наценкад5[[#This Row],[№]],ППД5[№],ППД5[Кухня],"-",0)</f>
        <v>13.39</v>
      </c>
      <c r="G195" s="72">
        <f>_xlfn.XLOOKUP(наценкад5[[#This Row],[№]],ППД5[№],ППД5[Ванная],"-",0)</f>
        <v>4.2</v>
      </c>
      <c r="H195" s="72">
        <f>_xlfn.XLOOKUP(наценкад5[[#This Row],[№]],ППД5[№],ППД5[Гардеробная],"-",0)</f>
        <v>0</v>
      </c>
      <c r="I195" s="72">
        <f>_xlfn.XLOOKUP(наценкад5[[#This Row],[№]],ППД5[№],ППД5[Лоджия 2],"-",0)</f>
        <v>2.68</v>
      </c>
      <c r="J195" s="72">
        <f>_xlfn.XLOOKUP(наценкад5[[#This Row],[№]],ППД5[№],ППД5[С\У],"-",0)</f>
        <v>2.0499999999999998</v>
      </c>
      <c r="K195" s="72">
        <f>_xlfn.XLOOKUP(наценкад5[[#This Row],[№]],ППД5[№],ППД5[Расчетная проектная площадь],"-",0)</f>
        <v>84.99</v>
      </c>
      <c r="L195" s="12">
        <f t="shared" ref="L195:L258" si="3">$L$1</f>
        <v>63000</v>
      </c>
      <c r="M195" s="27">
        <f>коэффициенты!$E$2</f>
        <v>1.1330000000000002</v>
      </c>
      <c r="N195" s="13">
        <f>наценкад5[[#This Row],[Цена м2 базовая]]*наценкад5[[#This Row],[Базовой K]]</f>
        <v>71379.000000000015</v>
      </c>
      <c r="O195" s="74"/>
      <c r="P195" s="74">
        <f>коэффициенты!$E$5</f>
        <v>0</v>
      </c>
      <c r="Q195" s="74">
        <f>коэффициенты!$E$6</f>
        <v>0.01</v>
      </c>
      <c r="R195" s="74"/>
      <c r="S195" s="74">
        <f>коэффициенты!$E$9</f>
        <v>0</v>
      </c>
      <c r="T195" s="74">
        <f>коэффициенты!$E$7</f>
        <v>0</v>
      </c>
      <c r="U195" s="74"/>
      <c r="V195" s="74"/>
      <c r="W195" s="75">
        <f>коэффициенты!$E$12</f>
        <v>0.02</v>
      </c>
      <c r="X195" s="74"/>
      <c r="Y195" s="75"/>
      <c r="Z195" s="74"/>
      <c r="AA195" s="74">
        <f>коэффициенты!$E$14</f>
        <v>0</v>
      </c>
      <c r="AB195" s="74">
        <f>коэффициенты!$E$17</f>
        <v>0</v>
      </c>
      <c r="AC195" s="74"/>
      <c r="AD195" s="76"/>
      <c r="AE195" s="76"/>
      <c r="AF195" s="76"/>
      <c r="AG195" s="74"/>
      <c r="AH195" s="74">
        <f>'отрицательный кф'!$O$33</f>
        <v>0</v>
      </c>
      <c r="AI195" s="73">
        <f>SUM(наценкад5[[#This Row],[еврокухня]:[большая площадь]])*наценкад5[[#This Row],[Цена м2 с базовым K]]+наценкад5[[#This Row],[Цена м2 с базовым K]]</f>
        <v>73520.37000000001</v>
      </c>
      <c r="AJ195" s="72">
        <f>VLOOKUP(наценкад5[[#This Row],[№]],ППД5[],COLUMN(ППД5[[#This Row],[утв цена м2]]),0)</f>
        <v>79512.28</v>
      </c>
      <c r="AK195" s="3">
        <f>наценкад5[[#This Row],[утв цена м2]]*наценкад5[[#This Row],[Расчетная проектная площадь]]</f>
        <v>6757748.6771999998</v>
      </c>
      <c r="AL195" s="22" t="str">
        <f>VLOOKUP(наценкад5[[#This Row],[№]],ППД5[],COLUMN('Реестр ОН'!$DF$1),0)</f>
        <v>Продажа</v>
      </c>
    </row>
    <row r="196" spans="1:38" hidden="1" x14ac:dyDescent="0.25">
      <c r="A196" s="101">
        <v>194</v>
      </c>
      <c r="B196" s="2" t="str">
        <f>_xlfn.XLOOKUP(наценкад5[[#This Row],[№]],ППД5[№],ППД5[Секция],"-",0)</f>
        <v>Б</v>
      </c>
      <c r="C196" s="2">
        <f>_xlfn.XLOOKUP(наценкад5[[#This Row],[№]],ППД5[№],ППД5[Этаж],"-",0)</f>
        <v>12</v>
      </c>
      <c r="D196" s="2">
        <f>_xlfn.XLOOKUP(наценкад5[[#This Row],[№]],ППД5[№],ППД5[№ на этаже],"-",0)</f>
        <v>7</v>
      </c>
      <c r="E196" s="2">
        <f>_xlfn.XLOOKUP(наценкад5[[#This Row],[№]],ППД5[№],ППД5[Тип кв],"-",0)</f>
        <v>1</v>
      </c>
      <c r="F196" s="72">
        <f>_xlfn.XLOOKUP(наценкад5[[#This Row],[№]],ППД5[№],ППД5[Кухня],"-",0)</f>
        <v>13.04</v>
      </c>
      <c r="G196" s="72">
        <f>_xlfn.XLOOKUP(наценкад5[[#This Row],[№]],ППД5[№],ППД5[Ванная],"-",0)</f>
        <v>3.9</v>
      </c>
      <c r="H196" s="72">
        <f>_xlfn.XLOOKUP(наценкад5[[#This Row],[№]],ППД5[№],ППД5[Гардеробная],"-",0)</f>
        <v>0</v>
      </c>
      <c r="I196" s="72">
        <f>_xlfn.XLOOKUP(наценкад5[[#This Row],[№]],ППД5[№],ППД5[Лоджия 2],"-",0)</f>
        <v>0</v>
      </c>
      <c r="J196" s="72">
        <f>_xlfn.XLOOKUP(наценкад5[[#This Row],[№]],ППД5[№],ППД5[С\У],"-",0)</f>
        <v>0</v>
      </c>
      <c r="K196" s="72">
        <f>_xlfn.XLOOKUP(наценкад5[[#This Row],[№]],ППД5[№],ППД5[Расчетная проектная площадь],"-",0)</f>
        <v>42.28</v>
      </c>
      <c r="L196" s="12">
        <f t="shared" si="3"/>
        <v>63000</v>
      </c>
      <c r="M196" s="102">
        <f>коэффициенты!$G$2</f>
        <v>1.2875000000000001</v>
      </c>
      <c r="N196" s="13">
        <f>наценкад5[[#This Row],[Цена м2 базовая]]*наценкад5[[#This Row],[Базовой K]]</f>
        <v>81112.5</v>
      </c>
      <c r="O196" s="74"/>
      <c r="P196" s="76">
        <f>коэффициенты!$G$5</f>
        <v>0.01</v>
      </c>
      <c r="Q196" s="74"/>
      <c r="R196" s="74"/>
      <c r="S196" s="74"/>
      <c r="T196" s="74"/>
      <c r="U196" s="74"/>
      <c r="V196" s="74">
        <f>коэффициенты!$G$11</f>
        <v>0.01</v>
      </c>
      <c r="W196" s="74">
        <f>коэффициенты!$G$12</f>
        <v>0.02</v>
      </c>
      <c r="X196" s="74"/>
      <c r="Y196" s="75"/>
      <c r="Z196" s="74"/>
      <c r="AA196" s="74">
        <f>коэффициенты!$G$14</f>
        <v>0.01</v>
      </c>
      <c r="AB196" s="74"/>
      <c r="AC196" s="74"/>
      <c r="AD196" s="74">
        <f>коэффициенты!$G$19</f>
        <v>0.01</v>
      </c>
      <c r="AE196" s="74"/>
      <c r="AF196" s="74"/>
      <c r="AG196" s="74">
        <f>коэффициенты!$A$24</f>
        <v>-5.0000000000000001E-3</v>
      </c>
      <c r="AH196" s="74"/>
      <c r="AI196" s="73">
        <f>SUM(наценкад5[[#This Row],[еврокухня]:[большая площадь]])*наценкад5[[#This Row],[Цена м2 с базовым K]]+наценкад5[[#This Row],[Цена м2 с базовым K]]</f>
        <v>85573.6875</v>
      </c>
      <c r="AJ196" s="72">
        <f>VLOOKUP(наценкад5[[#This Row],[№]],ППД5[],COLUMN(ППД5[[#This Row],[утв цена м2]]),0)</f>
        <v>110423.77</v>
      </c>
      <c r="AK196" s="3">
        <f>наценкад5[[#This Row],[утв цена м2]]*наценкад5[[#This Row],[Расчетная проектная площадь]]</f>
        <v>4668716.9956</v>
      </c>
      <c r="AL196" s="22" t="str">
        <f>VLOOKUP(наценкад5[[#This Row],[№]],ППД5[],COLUMN('Реестр ОН'!$DF$1),0)</f>
        <v>Продажа</v>
      </c>
    </row>
    <row r="197" spans="1:38" hidden="1" x14ac:dyDescent="0.25">
      <c r="A197" s="101">
        <v>195</v>
      </c>
      <c r="B197" s="2" t="str">
        <f>_xlfn.XLOOKUP(наценкад5[[#This Row],[№]],ППД5[№],ППД5[Секция],"-",0)</f>
        <v>Б</v>
      </c>
      <c r="C197" s="2">
        <f>_xlfn.XLOOKUP(наценкад5[[#This Row],[№]],ППД5[№],ППД5[Этаж],"-",0)</f>
        <v>13</v>
      </c>
      <c r="D197" s="2">
        <f>_xlfn.XLOOKUP(наценкад5[[#This Row],[№]],ППД5[№],ППД5[№ на этаже],"-",0)</f>
        <v>1</v>
      </c>
      <c r="E197" s="2">
        <f>_xlfn.XLOOKUP(наценкад5[[#This Row],[№]],ППД5[№],ППД5[Тип кв],"-",0)</f>
        <v>2</v>
      </c>
      <c r="F197" s="72">
        <f>_xlfn.XLOOKUP(наценкад5[[#This Row],[№]],ППД5[№],ППД5[Кухня],"-",0)</f>
        <v>15.31</v>
      </c>
      <c r="G197" s="72">
        <f>_xlfn.XLOOKUP(наценкад5[[#This Row],[№]],ППД5[№],ППД5[Ванная],"-",0)</f>
        <v>3.85</v>
      </c>
      <c r="H197" s="72">
        <f>_xlfn.XLOOKUP(наценкад5[[#This Row],[№]],ППД5[№],ППД5[Гардеробная],"-",0)</f>
        <v>0</v>
      </c>
      <c r="I197" s="72">
        <f>_xlfn.XLOOKUP(наценкад5[[#This Row],[№]],ППД5[№],ППД5[Лоджия 2],"-",0)</f>
        <v>0</v>
      </c>
      <c r="J197" s="72">
        <f>_xlfn.XLOOKUP(наценкад5[[#This Row],[№]],ППД5[№],ППД5[С\У],"-",0)</f>
        <v>2.2999999999999998</v>
      </c>
      <c r="K197" s="72">
        <f>_xlfn.XLOOKUP(наценкад5[[#This Row],[№]],ППД5[№],ППД5[Расчетная проектная площадь],"-",0)</f>
        <v>60.22</v>
      </c>
      <c r="L197" s="12">
        <f t="shared" si="3"/>
        <v>63000</v>
      </c>
      <c r="M197" s="102">
        <f>коэффициенты!$F$2</f>
        <v>1.2257</v>
      </c>
      <c r="N197" s="13">
        <f>наценкад5[[#This Row],[Цена м2 базовая]]*наценкад5[[#This Row],[Базовой K]]</f>
        <v>77219.100000000006</v>
      </c>
      <c r="O197" s="76">
        <f>коэффициенты!$F$4</f>
        <v>1.4999999999999999E-2</v>
      </c>
      <c r="P197" s="74"/>
      <c r="Q197" s="76"/>
      <c r="R197" s="76"/>
      <c r="S197" s="76">
        <f>коэффициенты!$F$9</f>
        <v>0</v>
      </c>
      <c r="T197" s="74"/>
      <c r="U197" s="74"/>
      <c r="V197" s="74"/>
      <c r="W197" s="74"/>
      <c r="X197" s="74">
        <f>коэффициенты!$F$13</f>
        <v>0.02</v>
      </c>
      <c r="Y197" s="75"/>
      <c r="Z197" s="74"/>
      <c r="AA197" s="74"/>
      <c r="AB197" s="74"/>
      <c r="AC197" s="74"/>
      <c r="AD197" s="74">
        <f>коэффициенты!$F$19</f>
        <v>5.0000000000000001E-3</v>
      </c>
      <c r="AE197" s="74"/>
      <c r="AF197" s="74"/>
      <c r="AG197" s="74"/>
      <c r="AH197" s="74"/>
      <c r="AI197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197" s="72">
        <f>VLOOKUP(наценкад5[[#This Row],[№]],ППД5[],COLUMN(ППД5[[#This Row],[утв цена м2]]),0)</f>
        <v>92107.56</v>
      </c>
      <c r="AK197" s="3">
        <f>наценкад5[[#This Row],[утв цена м2]]*наценкад5[[#This Row],[Расчетная проектная площадь]]</f>
        <v>5546717.2631999999</v>
      </c>
      <c r="AL197" s="22" t="str">
        <f>VLOOKUP(наценкад5[[#This Row],[№]],ППД5[],COLUMN('Реестр ОН'!$DF$1),0)</f>
        <v>Продажа</v>
      </c>
    </row>
    <row r="198" spans="1:38" hidden="1" x14ac:dyDescent="0.25">
      <c r="A198" s="101">
        <v>196</v>
      </c>
      <c r="B198" s="2" t="str">
        <f>_xlfn.XLOOKUP(наценкад5[[#This Row],[№]],ППД5[№],ППД5[Секция],"-",0)</f>
        <v>Б</v>
      </c>
      <c r="C198" s="2">
        <f>_xlfn.XLOOKUP(наценкад5[[#This Row],[№]],ППД5[№],ППД5[Этаж],"-",0)</f>
        <v>13</v>
      </c>
      <c r="D198" s="2">
        <f>_xlfn.XLOOKUP(наценкад5[[#This Row],[№]],ППД5[№],ППД5[№ на этаже],"-",0)</f>
        <v>2</v>
      </c>
      <c r="E198" s="2">
        <f>_xlfn.XLOOKUP(наценкад5[[#This Row],[№]],ППД5[№],ППД5[Тип кв],"-",0)</f>
        <v>0</v>
      </c>
      <c r="F198" s="72">
        <f>_xlfn.XLOOKUP(наценкад5[[#This Row],[№]],ППД5[№],ППД5[Кухня],"-",0)</f>
        <v>5.12</v>
      </c>
      <c r="G198" s="72">
        <f>_xlfn.XLOOKUP(наценкад5[[#This Row],[№]],ППД5[№],ППД5[Ванная],"-",0)</f>
        <v>3.65</v>
      </c>
      <c r="H198" s="72">
        <f>_xlfn.XLOOKUP(наценкад5[[#This Row],[№]],ППД5[№],ППД5[Гардеробная],"-",0)</f>
        <v>0</v>
      </c>
      <c r="I198" s="72">
        <f>_xlfn.XLOOKUP(наценкад5[[#This Row],[№]],ППД5[№],ППД5[Лоджия 2],"-",0)</f>
        <v>0</v>
      </c>
      <c r="J198" s="72">
        <f>_xlfn.XLOOKUP(наценкад5[[#This Row],[№]],ППД5[№],ППД5[С\У],"-",0)</f>
        <v>0</v>
      </c>
      <c r="K198" s="72">
        <f>_xlfn.XLOOKUP(наценкад5[[#This Row],[№]],ППД5[№],ППД5[Расчетная проектная площадь],"-",0)</f>
        <v>24.28</v>
      </c>
      <c r="L198" s="12">
        <f t="shared" si="3"/>
        <v>63000</v>
      </c>
      <c r="M198" s="116">
        <f>коэффициенты!$H$2</f>
        <v>1.3905000000000001</v>
      </c>
      <c r="N198" s="13">
        <f>наценкад5[[#This Row],[Цена м2 базовая]]*наценкад5[[#This Row],[Базовой K]]</f>
        <v>87601.5</v>
      </c>
      <c r="O198" s="74"/>
      <c r="P198" s="74"/>
      <c r="Q198" s="74"/>
      <c r="R198" s="74"/>
      <c r="S198" s="74"/>
      <c r="T198" s="74"/>
      <c r="U198" s="74"/>
      <c r="V198" s="74">
        <f>коэффициенты!$H$11</f>
        <v>0.01</v>
      </c>
      <c r="W198" s="75"/>
      <c r="X198" s="74">
        <f>коэффициенты!$H$13</f>
        <v>0.01</v>
      </c>
      <c r="Y198" s="75"/>
      <c r="Z198" s="74"/>
      <c r="AA198" s="74"/>
      <c r="AB198" s="74"/>
      <c r="AC198" s="74"/>
      <c r="AD198" s="74">
        <f>коэффициенты!$H$19</f>
        <v>0.01</v>
      </c>
      <c r="AE198" s="74"/>
      <c r="AF198" s="74"/>
      <c r="AG198" s="74"/>
      <c r="AH198" s="74"/>
      <c r="AI198" s="73">
        <f>SUM(наценкад5[[#This Row],[еврокухня]:[большая площадь]])*наценкад5[[#This Row],[Цена м2 с базовым K]]+наценкад5[[#This Row],[Цена м2 с базовым K]]</f>
        <v>90229.544999999998</v>
      </c>
      <c r="AJ198" s="72">
        <f>VLOOKUP(наценкад5[[#This Row],[№]],ППД5[],COLUMN(ППД5[[#This Row],[утв цена м2]]),0)</f>
        <v>149764.28</v>
      </c>
      <c r="AK198" s="3">
        <f>наценкад5[[#This Row],[утв цена м2]]*наценкад5[[#This Row],[Расчетная проектная площадь]]</f>
        <v>3636276.7184000001</v>
      </c>
      <c r="AL198" s="22" t="str">
        <f>VLOOKUP(наценкад5[[#This Row],[№]],ППД5[],COLUMN('Реестр ОН'!$DF$1),0)</f>
        <v>Свободно</v>
      </c>
    </row>
    <row r="199" spans="1:38" hidden="1" x14ac:dyDescent="0.25">
      <c r="A199" s="101">
        <v>197</v>
      </c>
      <c r="B199" s="2" t="str">
        <f>_xlfn.XLOOKUP(наценкад5[[#This Row],[№]],ППД5[№],ППД5[Секция],"-",0)</f>
        <v>Б</v>
      </c>
      <c r="C199" s="2">
        <f>_xlfn.XLOOKUP(наценкад5[[#This Row],[№]],ППД5[№],ППД5[Этаж],"-",0)</f>
        <v>13</v>
      </c>
      <c r="D199" s="2">
        <f>_xlfn.XLOOKUP(наценкад5[[#This Row],[№]],ППД5[№],ППД5[№ на этаже],"-",0)</f>
        <v>3</v>
      </c>
      <c r="E199" s="2">
        <f>_xlfn.XLOOKUP(наценкад5[[#This Row],[№]],ППД5[№],ППД5[Тип кв],"-",0)</f>
        <v>2</v>
      </c>
      <c r="F199" s="72">
        <f>_xlfn.XLOOKUP(наценкад5[[#This Row],[№]],ППД5[№],ППД5[Кухня],"-",0)</f>
        <v>14.35</v>
      </c>
      <c r="G199" s="72">
        <f>_xlfn.XLOOKUP(наценкад5[[#This Row],[№]],ППД5[№],ППД5[Ванная],"-",0)</f>
        <v>3.68</v>
      </c>
      <c r="H199" s="72">
        <f>_xlfn.XLOOKUP(наценкад5[[#This Row],[№]],ППД5[№],ППД5[Гардеробная],"-",0)</f>
        <v>0</v>
      </c>
      <c r="I199" s="72">
        <f>_xlfn.XLOOKUP(наценкад5[[#This Row],[№]],ППД5[№],ППД5[Лоджия 2],"-",0)</f>
        <v>0</v>
      </c>
      <c r="J199" s="72">
        <f>_xlfn.XLOOKUP(наценкад5[[#This Row],[№]],ППД5[№],ППД5[С\У],"-",0)</f>
        <v>2.57</v>
      </c>
      <c r="K199" s="72">
        <f>_xlfn.XLOOKUP(наценкад5[[#This Row],[№]],ППД5[№],ППД5[Расчетная проектная площадь],"-",0)</f>
        <v>57.6</v>
      </c>
      <c r="L199" s="12">
        <f t="shared" si="3"/>
        <v>63000</v>
      </c>
      <c r="M199" s="102">
        <f>коэффициенты!$F$2</f>
        <v>1.2257</v>
      </c>
      <c r="N199" s="13">
        <f>наценкад5[[#This Row],[Цена м2 базовая]]*наценкад5[[#This Row],[Базовой K]]</f>
        <v>77219.100000000006</v>
      </c>
      <c r="O199" s="76">
        <f>коэффициенты!$F$4</f>
        <v>1.4999999999999999E-2</v>
      </c>
      <c r="P199" s="74"/>
      <c r="Q199" s="76"/>
      <c r="R199" s="76"/>
      <c r="S199" s="76">
        <f>коэффициенты!$F$9</f>
        <v>0</v>
      </c>
      <c r="T199" s="74"/>
      <c r="U199" s="74"/>
      <c r="V199" s="74"/>
      <c r="W199" s="75"/>
      <c r="X199" s="74"/>
      <c r="Y199" s="75"/>
      <c r="Z199" s="74"/>
      <c r="AA199" s="74"/>
      <c r="AB199" s="74"/>
      <c r="AC199" s="74"/>
      <c r="AD199" s="74">
        <f>коэффициенты!$F$19</f>
        <v>5.0000000000000001E-3</v>
      </c>
      <c r="AE199" s="74"/>
      <c r="AF199" s="74"/>
      <c r="AG199" s="74"/>
      <c r="AH199" s="74"/>
      <c r="AI199" s="73">
        <f>SUM(наценкад5[[#This Row],[еврокухня]:[большая площадь]])*наценкад5[[#This Row],[Цена м2 с базовым K]]+наценкад5[[#This Row],[Цена м2 с базовым K]]</f>
        <v>78763.482000000004</v>
      </c>
      <c r="AJ199" s="72">
        <f>VLOOKUP(наценкад5[[#This Row],[№]],ППД5[],COLUMN(ППД5[[#This Row],[утв цена м2]]),0)</f>
        <v>122453.75</v>
      </c>
      <c r="AK199" s="3">
        <f>наценкад5[[#This Row],[утв цена м2]]*наценкад5[[#This Row],[Расчетная проектная площадь]]</f>
        <v>7053336</v>
      </c>
      <c r="AL199" s="22" t="str">
        <f>VLOOKUP(наценкад5[[#This Row],[№]],ППД5[],COLUMN('Реестр ОН'!$DF$1),0)</f>
        <v>Продажа</v>
      </c>
    </row>
    <row r="200" spans="1:38" hidden="1" x14ac:dyDescent="0.25">
      <c r="A200" s="101">
        <v>198</v>
      </c>
      <c r="B200" s="2" t="str">
        <f>_xlfn.XLOOKUP(наценкад5[[#This Row],[№]],ППД5[№],ППД5[Секция],"-",0)</f>
        <v>Б</v>
      </c>
      <c r="C200" s="2">
        <f>_xlfn.XLOOKUP(наценкад5[[#This Row],[№]],ППД5[№],ППД5[Этаж],"-",0)</f>
        <v>13</v>
      </c>
      <c r="D200" s="2">
        <f>_xlfn.XLOOKUP(наценкад5[[#This Row],[№]],ППД5[№],ППД5[№ на этаже],"-",0)</f>
        <v>4</v>
      </c>
      <c r="E200" s="2">
        <f>_xlfn.XLOOKUP(наценкад5[[#This Row],[№]],ППД5[№],ППД5[Тип кв],"-",0)</f>
        <v>2</v>
      </c>
      <c r="F200" s="72">
        <f>_xlfn.XLOOKUP(наценкад5[[#This Row],[№]],ППД5[№],ППД5[Кухня],"-",0)</f>
        <v>11.95</v>
      </c>
      <c r="G200" s="72">
        <f>_xlfn.XLOOKUP(наценкад5[[#This Row],[№]],ППД5[№],ППД5[Ванная],"-",0)</f>
        <v>3.86</v>
      </c>
      <c r="H200" s="72">
        <f>_xlfn.XLOOKUP(наценкад5[[#This Row],[№]],ППД5[№],ППД5[Гардеробная],"-",0)</f>
        <v>0</v>
      </c>
      <c r="I200" s="72">
        <f>_xlfn.XLOOKUP(наценкад5[[#This Row],[№]],ППД5[№],ППД5[Лоджия 2],"-",0)</f>
        <v>0</v>
      </c>
      <c r="J200" s="72">
        <f>_xlfn.XLOOKUP(наценкад5[[#This Row],[№]],ППД5[№],ППД5[С\У],"-",0)</f>
        <v>2.37</v>
      </c>
      <c r="K200" s="72">
        <f>_xlfn.XLOOKUP(наценкад5[[#This Row],[№]],ППД5[№],ППД5[Расчетная проектная площадь],"-",0)</f>
        <v>58.31</v>
      </c>
      <c r="L200" s="12">
        <f t="shared" si="3"/>
        <v>63000</v>
      </c>
      <c r="M200" s="102">
        <f>коэффициенты!$F$2</f>
        <v>1.2257</v>
      </c>
      <c r="N200" s="13">
        <f>наценкад5[[#This Row],[Цена м2 базовая]]*наценкад5[[#This Row],[Базовой K]]</f>
        <v>77219.100000000006</v>
      </c>
      <c r="O200" s="74"/>
      <c r="P200" s="74">
        <f>коэффициенты!$F$5</f>
        <v>0.01</v>
      </c>
      <c r="Q200" s="76"/>
      <c r="R200" s="76"/>
      <c r="S200" s="76">
        <f>коэффициенты!$F$9</f>
        <v>0</v>
      </c>
      <c r="T200" s="74"/>
      <c r="U200" s="74"/>
      <c r="V200" s="74"/>
      <c r="W200" s="74"/>
      <c r="X200" s="76"/>
      <c r="Y200" s="75"/>
      <c r="Z200" s="74"/>
      <c r="AA200" s="74">
        <f>коэффициенты!$F$14</f>
        <v>0.02</v>
      </c>
      <c r="AB200" s="74"/>
      <c r="AC200" s="74"/>
      <c r="AD200" s="74">
        <f>коэффициенты!$F$19</f>
        <v>5.0000000000000001E-3</v>
      </c>
      <c r="AE200" s="74"/>
      <c r="AF200" s="74"/>
      <c r="AG200" s="74"/>
      <c r="AH200" s="74"/>
      <c r="AI200" s="73">
        <f>SUM(наценкад5[[#This Row],[еврокухня]:[большая площадь]])*наценкад5[[#This Row],[Цена м2 с базовым K]]+наценкад5[[#This Row],[Цена м2 с базовым K]]</f>
        <v>79921.768500000006</v>
      </c>
      <c r="AJ200" s="72">
        <f>VLOOKUP(наценкад5[[#This Row],[№]],ППД5[],COLUMN(ППД5[[#This Row],[утв цена м2]]),0)</f>
        <v>95367.99</v>
      </c>
      <c r="AK200" s="3">
        <f>наценкад5[[#This Row],[утв цена м2]]*наценкад5[[#This Row],[Расчетная проектная площадь]]</f>
        <v>5560907.4969000006</v>
      </c>
      <c r="AL200" s="22" t="str">
        <f>VLOOKUP(наценкад5[[#This Row],[№]],ППД5[],COLUMN('Реестр ОН'!$DF$1),0)</f>
        <v>Продажа</v>
      </c>
    </row>
    <row r="201" spans="1:38" hidden="1" x14ac:dyDescent="0.25">
      <c r="A201" s="101">
        <v>199</v>
      </c>
      <c r="B201" s="2" t="str">
        <f>_xlfn.XLOOKUP(наценкад5[[#This Row],[№]],ППД5[№],ППД5[Секция],"-",0)</f>
        <v>Б</v>
      </c>
      <c r="C201" s="2">
        <f>_xlfn.XLOOKUP(наценкад5[[#This Row],[№]],ППД5[№],ППД5[Этаж],"-",0)</f>
        <v>13</v>
      </c>
      <c r="D201" s="2">
        <f>_xlfn.XLOOKUP(наценкад5[[#This Row],[№]],ППД5[№],ППД5[№ на этаже],"-",0)</f>
        <v>5</v>
      </c>
      <c r="E201" s="2">
        <f>_xlfn.XLOOKUP(наценкад5[[#This Row],[№]],ППД5[№],ППД5[Тип кв],"-",0)</f>
        <v>1</v>
      </c>
      <c r="F201" s="72">
        <f>_xlfn.XLOOKUP(наценкад5[[#This Row],[№]],ППД5[№],ППД5[Кухня],"-",0)</f>
        <v>13.18</v>
      </c>
      <c r="G201" s="72">
        <f>_xlfn.XLOOKUP(наценкад5[[#This Row],[№]],ППД5[№],ППД5[Ванная],"-",0)</f>
        <v>4.1100000000000003</v>
      </c>
      <c r="H201" s="72">
        <f>_xlfn.XLOOKUP(наценкад5[[#This Row],[№]],ППД5[№],ППД5[Гардеробная],"-",0)</f>
        <v>0</v>
      </c>
      <c r="I201" s="72">
        <f>_xlfn.XLOOKUP(наценкад5[[#This Row],[№]],ППД5[№],ППД5[Лоджия 2],"-",0)</f>
        <v>0</v>
      </c>
      <c r="J201" s="72">
        <f>_xlfn.XLOOKUP(наценкад5[[#This Row],[№]],ППД5[№],ППД5[С\У],"-",0)</f>
        <v>0</v>
      </c>
      <c r="K201" s="72">
        <f>_xlfn.XLOOKUP(наценкад5[[#This Row],[№]],ППД5[№],ППД5[Расчетная проектная площадь],"-",0)</f>
        <v>37.86</v>
      </c>
      <c r="L201" s="12">
        <f t="shared" si="3"/>
        <v>63000</v>
      </c>
      <c r="M201" s="102">
        <f>коэффициенты!$G$2</f>
        <v>1.2875000000000001</v>
      </c>
      <c r="N201" s="13">
        <f>наценкад5[[#This Row],[Цена м2 базовая]]*наценкад5[[#This Row],[Базовой K]]</f>
        <v>81112.5</v>
      </c>
      <c r="O201" s="74"/>
      <c r="P201" s="76">
        <f>коэффициенты!$G$5</f>
        <v>0.01</v>
      </c>
      <c r="Q201" s="74">
        <f>коэффициенты!$G$6</f>
        <v>0.03</v>
      </c>
      <c r="R201" s="74"/>
      <c r="S201" s="74"/>
      <c r="T201" s="74"/>
      <c r="U201" s="74"/>
      <c r="V201" s="74">
        <f>коэффициенты!$G$11</f>
        <v>0.01</v>
      </c>
      <c r="W201" s="74"/>
      <c r="X201" s="74">
        <f>коэффициенты!$G$13</f>
        <v>0.01</v>
      </c>
      <c r="Y201" s="75"/>
      <c r="Z201" s="74"/>
      <c r="AA201" s="74">
        <f>коэффициенты!$G$14</f>
        <v>0.01</v>
      </c>
      <c r="AB201" s="74"/>
      <c r="AC201" s="74"/>
      <c r="AD201" s="74">
        <f>коэффициенты!$G$19</f>
        <v>0.01</v>
      </c>
      <c r="AE201" s="74"/>
      <c r="AF201" s="74"/>
      <c r="AG201" s="74"/>
      <c r="AH201" s="74"/>
      <c r="AI201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201" s="72">
        <f>VLOOKUP(наценкад5[[#This Row],[№]],ППД5[],COLUMN(ППД5[[#This Row],[утв цена м2]]),0)</f>
        <v>140210.01</v>
      </c>
      <c r="AK201" s="3">
        <f>наценкад5[[#This Row],[утв цена м2]]*наценкад5[[#This Row],[Расчетная проектная площадь]]</f>
        <v>5308350.9786</v>
      </c>
      <c r="AL201" s="22" t="str">
        <f>VLOOKUP(наценкад5[[#This Row],[№]],ППД5[],COLUMN('Реестр ОН'!$DF$1),0)</f>
        <v>Продажа</v>
      </c>
    </row>
    <row r="202" spans="1:38" hidden="1" x14ac:dyDescent="0.25">
      <c r="A202" s="101">
        <v>200</v>
      </c>
      <c r="B202" s="2" t="str">
        <f>_xlfn.XLOOKUP(наценкад5[[#This Row],[№]],ППД5[№],ППД5[Секция],"-",0)</f>
        <v>Б</v>
      </c>
      <c r="C202" s="2">
        <f>_xlfn.XLOOKUP(наценкад5[[#This Row],[№]],ППД5[№],ППД5[Этаж],"-",0)</f>
        <v>13</v>
      </c>
      <c r="D202" s="2">
        <f>_xlfn.XLOOKUP(наценкад5[[#This Row],[№]],ППД5[№],ППД5[№ на этаже],"-",0)</f>
        <v>6</v>
      </c>
      <c r="E202" s="2">
        <f>_xlfn.XLOOKUP(наценкад5[[#This Row],[№]],ППД5[№],ППД5[Тип кв],"-",0)</f>
        <v>3</v>
      </c>
      <c r="F202" s="72">
        <f>_xlfn.XLOOKUP(наценкад5[[#This Row],[№]],ППД5[№],ППД5[Кухня],"-",0)</f>
        <v>13.39</v>
      </c>
      <c r="G202" s="72">
        <f>_xlfn.XLOOKUP(наценкад5[[#This Row],[№]],ППД5[№],ППД5[Ванная],"-",0)</f>
        <v>4.2</v>
      </c>
      <c r="H202" s="72">
        <f>_xlfn.XLOOKUP(наценкад5[[#This Row],[№]],ППД5[№],ППД5[Гардеробная],"-",0)</f>
        <v>0</v>
      </c>
      <c r="I202" s="72">
        <f>_xlfn.XLOOKUP(наценкад5[[#This Row],[№]],ППД5[№],ППД5[Лоджия 2],"-",0)</f>
        <v>2.68</v>
      </c>
      <c r="J202" s="72">
        <f>_xlfn.XLOOKUP(наценкад5[[#This Row],[№]],ППД5[№],ППД5[С\У],"-",0)</f>
        <v>2.0499999999999998</v>
      </c>
      <c r="K202" s="72">
        <f>_xlfn.XLOOKUP(наценкад5[[#This Row],[№]],ППД5[№],ППД5[Расчетная проектная площадь],"-",0)</f>
        <v>84.99</v>
      </c>
      <c r="L202" s="12">
        <f t="shared" si="3"/>
        <v>63000</v>
      </c>
      <c r="M202" s="27">
        <f>коэффициенты!$E$2</f>
        <v>1.1330000000000002</v>
      </c>
      <c r="N202" s="13">
        <f>наценкад5[[#This Row],[Цена м2 базовая]]*наценкад5[[#This Row],[Базовой K]]</f>
        <v>71379.000000000015</v>
      </c>
      <c r="O202" s="74"/>
      <c r="P202" s="74">
        <f>коэффициенты!$E$5</f>
        <v>0</v>
      </c>
      <c r="Q202" s="74">
        <f>коэффициенты!$E$6</f>
        <v>0.01</v>
      </c>
      <c r="R202" s="74"/>
      <c r="S202" s="74">
        <f>коэффициенты!$E$9</f>
        <v>0</v>
      </c>
      <c r="T202" s="74">
        <f>коэффициенты!$E$7</f>
        <v>0</v>
      </c>
      <c r="U202" s="74"/>
      <c r="V202" s="74"/>
      <c r="W202" s="74"/>
      <c r="X202" s="74"/>
      <c r="Y202" s="75"/>
      <c r="Z202" s="74"/>
      <c r="AA202" s="74">
        <f>коэффициенты!$E$14</f>
        <v>0</v>
      </c>
      <c r="AB202" s="74">
        <f>коэффициенты!$E$17</f>
        <v>0</v>
      </c>
      <c r="AC202" s="74"/>
      <c r="AD202" s="76"/>
      <c r="AE202" s="76"/>
      <c r="AF202" s="76"/>
      <c r="AG202" s="74"/>
      <c r="AH202" s="74">
        <f>'отрицательный кф'!$O$33</f>
        <v>0</v>
      </c>
      <c r="AI202" s="73">
        <f>SUM(наценкад5[[#This Row],[еврокухня]:[большая площадь]])*наценкад5[[#This Row],[Цена м2 с базовым K]]+наценкад5[[#This Row],[Цена м2 с базовым K]]</f>
        <v>72092.790000000008</v>
      </c>
      <c r="AJ202" s="72">
        <f>VLOOKUP(наценкад5[[#This Row],[№]],ППД5[],COLUMN(ППД5[[#This Row],[утв цена м2]]),0)</f>
        <v>111033.74</v>
      </c>
      <c r="AK202" s="3">
        <f>наценкад5[[#This Row],[утв цена м2]]*наценкад5[[#This Row],[Расчетная проектная площадь]]</f>
        <v>9436757.5625999998</v>
      </c>
      <c r="AL202" s="22" t="str">
        <f>VLOOKUP(наценкад5[[#This Row],[№]],ППД5[],COLUMN('Реестр ОН'!$DF$1),0)</f>
        <v>Продажа</v>
      </c>
    </row>
    <row r="203" spans="1:38" hidden="1" x14ac:dyDescent="0.25">
      <c r="A203" s="101">
        <v>201</v>
      </c>
      <c r="B203" s="2" t="str">
        <f>_xlfn.XLOOKUP(наценкад5[[#This Row],[№]],ППД5[№],ППД5[Секция],"-",0)</f>
        <v>Б</v>
      </c>
      <c r="C203" s="2">
        <f>_xlfn.XLOOKUP(наценкад5[[#This Row],[№]],ППД5[№],ППД5[Этаж],"-",0)</f>
        <v>13</v>
      </c>
      <c r="D203" s="2">
        <f>_xlfn.XLOOKUP(наценкад5[[#This Row],[№]],ППД5[№],ППД5[№ на этаже],"-",0)</f>
        <v>7</v>
      </c>
      <c r="E203" s="2">
        <f>_xlfn.XLOOKUP(наценкад5[[#This Row],[№]],ППД5[№],ППД5[Тип кв],"-",0)</f>
        <v>1</v>
      </c>
      <c r="F203" s="72">
        <f>_xlfn.XLOOKUP(наценкад5[[#This Row],[№]],ППД5[№],ППД5[Кухня],"-",0)</f>
        <v>13.04</v>
      </c>
      <c r="G203" s="72">
        <f>_xlfn.XLOOKUP(наценкад5[[#This Row],[№]],ППД5[№],ППД5[Ванная],"-",0)</f>
        <v>3.9</v>
      </c>
      <c r="H203" s="72">
        <f>_xlfn.XLOOKUP(наценкад5[[#This Row],[№]],ППД5[№],ППД5[Гардеробная],"-",0)</f>
        <v>0</v>
      </c>
      <c r="I203" s="72">
        <f>_xlfn.XLOOKUP(наценкад5[[#This Row],[№]],ППД5[№],ППД5[Лоджия 2],"-",0)</f>
        <v>0</v>
      </c>
      <c r="J203" s="72">
        <f>_xlfn.XLOOKUP(наценкад5[[#This Row],[№]],ППД5[№],ППД5[С\У],"-",0)</f>
        <v>0</v>
      </c>
      <c r="K203" s="72">
        <f>_xlfn.XLOOKUP(наценкад5[[#This Row],[№]],ППД5[№],ППД5[Расчетная проектная площадь],"-",0)</f>
        <v>42.28</v>
      </c>
      <c r="L203" s="12">
        <f t="shared" si="3"/>
        <v>63000</v>
      </c>
      <c r="M203" s="102">
        <f>коэффициенты!$G$2</f>
        <v>1.2875000000000001</v>
      </c>
      <c r="N203" s="13">
        <f>наценкад5[[#This Row],[Цена м2 базовая]]*наценкад5[[#This Row],[Базовой K]]</f>
        <v>81112.5</v>
      </c>
      <c r="O203" s="74"/>
      <c r="P203" s="76">
        <f>коэффициенты!$G$5</f>
        <v>0.01</v>
      </c>
      <c r="Q203" s="74"/>
      <c r="R203" s="74"/>
      <c r="S203" s="74"/>
      <c r="T203" s="74"/>
      <c r="U203" s="74"/>
      <c r="V203" s="74">
        <f>коэффициенты!$G$11</f>
        <v>0.01</v>
      </c>
      <c r="W203" s="74"/>
      <c r="X203" s="74"/>
      <c r="Y203" s="75"/>
      <c r="Z203" s="74"/>
      <c r="AA203" s="74">
        <f>коэффициенты!$G$14</f>
        <v>0.01</v>
      </c>
      <c r="AB203" s="74"/>
      <c r="AC203" s="74"/>
      <c r="AD203" s="74">
        <f>коэффициенты!$G$19</f>
        <v>0.01</v>
      </c>
      <c r="AE203" s="74"/>
      <c r="AF203" s="74"/>
      <c r="AG203" s="74">
        <f>коэффициенты!$A$24</f>
        <v>-5.0000000000000001E-3</v>
      </c>
      <c r="AH203" s="74"/>
      <c r="AI203" s="73">
        <f>SUM(наценкад5[[#This Row],[еврокухня]:[большая площадь]])*наценкад5[[#This Row],[Цена м2 с базовым K]]+наценкад5[[#This Row],[Цена м2 с базовым K]]</f>
        <v>83951.4375</v>
      </c>
      <c r="AJ203" s="72">
        <f>VLOOKUP(наценкад5[[#This Row],[№]],ППД5[],COLUMN(ППД5[[#This Row],[утв цена м2]]),0)</f>
        <v>135546.60999999999</v>
      </c>
      <c r="AK203" s="3">
        <f>наценкад5[[#This Row],[утв цена м2]]*наценкад5[[#This Row],[Расчетная проектная площадь]]</f>
        <v>5730910.6707999995</v>
      </c>
      <c r="AL203" s="22" t="str">
        <f>VLOOKUP(наценкад5[[#This Row],[№]],ППД5[],COLUMN('Реестр ОН'!$DF$1),0)</f>
        <v>Ус. Бронь</v>
      </c>
    </row>
    <row r="204" spans="1:38" hidden="1" x14ac:dyDescent="0.25">
      <c r="A204" s="101">
        <v>202</v>
      </c>
      <c r="B204" s="2" t="str">
        <f>_xlfn.XLOOKUP(наценкад5[[#This Row],[№]],ППД5[№],ППД5[Секция],"-",0)</f>
        <v>Б</v>
      </c>
      <c r="C204" s="2">
        <f>_xlfn.XLOOKUP(наценкад5[[#This Row],[№]],ППД5[№],ППД5[Этаж],"-",0)</f>
        <v>14</v>
      </c>
      <c r="D204" s="2">
        <f>_xlfn.XLOOKUP(наценкад5[[#This Row],[№]],ППД5[№],ППД5[№ на этаже],"-",0)</f>
        <v>1</v>
      </c>
      <c r="E204" s="2">
        <f>_xlfn.XLOOKUP(наценкад5[[#This Row],[№]],ППД5[№],ППД5[Тип кв],"-",0)</f>
        <v>2</v>
      </c>
      <c r="F204" s="72">
        <f>_xlfn.XLOOKUP(наценкад5[[#This Row],[№]],ППД5[№],ППД5[Кухня],"-",0)</f>
        <v>15.31</v>
      </c>
      <c r="G204" s="72">
        <f>_xlfn.XLOOKUP(наценкад5[[#This Row],[№]],ППД5[№],ППД5[Ванная],"-",0)</f>
        <v>3.85</v>
      </c>
      <c r="H204" s="72">
        <f>_xlfn.XLOOKUP(наценкад5[[#This Row],[№]],ППД5[№],ППД5[Гардеробная],"-",0)</f>
        <v>0</v>
      </c>
      <c r="I204" s="72">
        <f>_xlfn.XLOOKUP(наценкад5[[#This Row],[№]],ППД5[№],ППД5[Лоджия 2],"-",0)</f>
        <v>0</v>
      </c>
      <c r="J204" s="72">
        <f>_xlfn.XLOOKUP(наценкад5[[#This Row],[№]],ППД5[№],ППД5[С\У],"-",0)</f>
        <v>2.2999999999999998</v>
      </c>
      <c r="K204" s="72">
        <f>_xlfn.XLOOKUP(наценкад5[[#This Row],[№]],ППД5[№],ППД5[Расчетная проектная площадь],"-",0)</f>
        <v>60.22</v>
      </c>
      <c r="L204" s="12">
        <f t="shared" si="3"/>
        <v>63000</v>
      </c>
      <c r="M204" s="102">
        <f>коэффициенты!$F$2</f>
        <v>1.2257</v>
      </c>
      <c r="N204" s="13">
        <f>наценкад5[[#This Row],[Цена м2 базовая]]*наценкад5[[#This Row],[Базовой K]]</f>
        <v>77219.100000000006</v>
      </c>
      <c r="O204" s="76">
        <f>коэффициенты!$F$4</f>
        <v>1.4999999999999999E-2</v>
      </c>
      <c r="P204" s="74"/>
      <c r="Q204" s="76"/>
      <c r="R204" s="76"/>
      <c r="S204" s="76">
        <f>коэффициенты!$F$9</f>
        <v>0</v>
      </c>
      <c r="T204" s="74"/>
      <c r="U204" s="74"/>
      <c r="V204" s="74"/>
      <c r="W204" s="74">
        <f>коэффициенты!$F$12</f>
        <v>0.02</v>
      </c>
      <c r="X204" s="74">
        <f>коэффициенты!$F$13</f>
        <v>0.02</v>
      </c>
      <c r="Y204" s="75"/>
      <c r="Z204" s="74"/>
      <c r="AA204" s="74"/>
      <c r="AB204" s="74"/>
      <c r="AC204" s="74"/>
      <c r="AD204" s="74">
        <f>коэффициенты!$F$19</f>
        <v>5.0000000000000001E-3</v>
      </c>
      <c r="AE204" s="74"/>
      <c r="AF204" s="74"/>
      <c r="AG204" s="74"/>
      <c r="AH204" s="74"/>
      <c r="AI204" s="73">
        <f>SUM(наценкад5[[#This Row],[еврокухня]:[большая площадь]])*наценкад5[[#This Row],[Цена м2 с базовым K]]+наценкад5[[#This Row],[Цена м2 с базовым K]]</f>
        <v>81852.246000000014</v>
      </c>
      <c r="AJ204" s="72">
        <f>VLOOKUP(наценкад5[[#This Row],[№]],ППД5[],COLUMN(ППД5[[#This Row],[утв цена м2]]),0)</f>
        <v>123495.7</v>
      </c>
      <c r="AK204" s="3">
        <f>наценкад5[[#This Row],[утв цена м2]]*наценкад5[[#This Row],[Расчетная проектная площадь]]</f>
        <v>7436911.0539999995</v>
      </c>
      <c r="AL204" s="22" t="str">
        <f>VLOOKUP(наценкад5[[#This Row],[№]],ППД5[],COLUMN('Реестр ОН'!$DF$1),0)</f>
        <v>Продажа</v>
      </c>
    </row>
    <row r="205" spans="1:38" hidden="1" x14ac:dyDescent="0.25">
      <c r="A205" s="101">
        <v>203</v>
      </c>
      <c r="B205" s="2" t="str">
        <f>_xlfn.XLOOKUP(наценкад5[[#This Row],[№]],ППД5[№],ППД5[Секция],"-",0)</f>
        <v>Б</v>
      </c>
      <c r="C205" s="2">
        <f>_xlfn.XLOOKUP(наценкад5[[#This Row],[№]],ППД5[№],ППД5[Этаж],"-",0)</f>
        <v>14</v>
      </c>
      <c r="D205" s="2">
        <f>_xlfn.XLOOKUP(наценкад5[[#This Row],[№]],ППД5[№],ППД5[№ на этаже],"-",0)</f>
        <v>2</v>
      </c>
      <c r="E205" s="2">
        <f>_xlfn.XLOOKUP(наценкад5[[#This Row],[№]],ППД5[№],ППД5[Тип кв],"-",0)</f>
        <v>0</v>
      </c>
      <c r="F205" s="72">
        <f>_xlfn.XLOOKUP(наценкад5[[#This Row],[№]],ППД5[№],ППД5[Кухня],"-",0)</f>
        <v>5.12</v>
      </c>
      <c r="G205" s="72">
        <f>_xlfn.XLOOKUP(наценкад5[[#This Row],[№]],ППД5[№],ППД5[Ванная],"-",0)</f>
        <v>3.65</v>
      </c>
      <c r="H205" s="72">
        <f>_xlfn.XLOOKUP(наценкад5[[#This Row],[№]],ППД5[№],ППД5[Гардеробная],"-",0)</f>
        <v>0</v>
      </c>
      <c r="I205" s="72">
        <f>_xlfn.XLOOKUP(наценкад5[[#This Row],[№]],ППД5[№],ППД5[Лоджия 2],"-",0)</f>
        <v>0</v>
      </c>
      <c r="J205" s="72">
        <f>_xlfn.XLOOKUP(наценкад5[[#This Row],[№]],ППД5[№],ППД5[С\У],"-",0)</f>
        <v>0</v>
      </c>
      <c r="K205" s="72">
        <f>_xlfn.XLOOKUP(наценкад5[[#This Row],[№]],ППД5[№],ППД5[Расчетная проектная площадь],"-",0)</f>
        <v>24.28</v>
      </c>
      <c r="L205" s="12">
        <f t="shared" si="3"/>
        <v>63000</v>
      </c>
      <c r="M205" s="116">
        <f>коэффициенты!$H$2</f>
        <v>1.3905000000000001</v>
      </c>
      <c r="N205" s="13">
        <f>наценкад5[[#This Row],[Цена м2 базовая]]*наценкад5[[#This Row],[Базовой K]]</f>
        <v>87601.5</v>
      </c>
      <c r="O205" s="74"/>
      <c r="P205" s="74"/>
      <c r="Q205" s="74"/>
      <c r="R205" s="74"/>
      <c r="S205" s="74"/>
      <c r="T205" s="74"/>
      <c r="U205" s="74"/>
      <c r="V205" s="74">
        <f>коэффициенты!$H$11</f>
        <v>0.01</v>
      </c>
      <c r="W205" s="74">
        <f>коэффициенты!$H$12</f>
        <v>0.02</v>
      </c>
      <c r="X205" s="74">
        <f>коэффициенты!$H$13</f>
        <v>0.01</v>
      </c>
      <c r="Y205" s="75"/>
      <c r="Z205" s="74"/>
      <c r="AA205" s="74"/>
      <c r="AB205" s="74"/>
      <c r="AC205" s="74"/>
      <c r="AD205" s="74">
        <f>коэффициенты!$H$19</f>
        <v>0.01</v>
      </c>
      <c r="AE205" s="74"/>
      <c r="AF205" s="74"/>
      <c r="AG205" s="74"/>
      <c r="AH205" s="74"/>
      <c r="AI205" s="73">
        <f>SUM(наценкад5[[#This Row],[еврокухня]:[большая площадь]])*наценкад5[[#This Row],[Цена м2 с базовым K]]+наценкад5[[#This Row],[Цена м2 с базовым K]]</f>
        <v>91981.574999999997</v>
      </c>
      <c r="AJ205" s="72">
        <f>VLOOKUP(наценкад5[[#This Row],[№]],ППД5[],COLUMN(ППД5[[#This Row],[утв цена м2]]),0)</f>
        <v>152660.23000000001</v>
      </c>
      <c r="AK205" s="3">
        <f>наценкад5[[#This Row],[утв цена м2]]*наценкад5[[#This Row],[Расчетная проектная площадь]]</f>
        <v>3706590.3844000003</v>
      </c>
      <c r="AL205" s="22" t="str">
        <f>VLOOKUP(наценкад5[[#This Row],[№]],ППД5[],COLUMN('Реестр ОН'!$DF$1),0)</f>
        <v>Продажа</v>
      </c>
    </row>
    <row r="206" spans="1:38" hidden="1" x14ac:dyDescent="0.25">
      <c r="A206" s="101">
        <v>204</v>
      </c>
      <c r="B206" s="2" t="str">
        <f>_xlfn.XLOOKUP(наценкад5[[#This Row],[№]],ППД5[№],ППД5[Секция],"-",0)</f>
        <v>Б</v>
      </c>
      <c r="C206" s="2">
        <f>_xlfn.XLOOKUP(наценкад5[[#This Row],[№]],ППД5[№],ППД5[Этаж],"-",0)</f>
        <v>14</v>
      </c>
      <c r="D206" s="2">
        <f>_xlfn.XLOOKUP(наценкад5[[#This Row],[№]],ППД5[№],ППД5[№ на этаже],"-",0)</f>
        <v>3</v>
      </c>
      <c r="E206" s="2">
        <f>_xlfn.XLOOKUP(наценкад5[[#This Row],[№]],ППД5[№],ППД5[Тип кв],"-",0)</f>
        <v>2</v>
      </c>
      <c r="F206" s="72">
        <f>_xlfn.XLOOKUP(наценкад5[[#This Row],[№]],ППД5[№],ППД5[Кухня],"-",0)</f>
        <v>14.35</v>
      </c>
      <c r="G206" s="72">
        <f>_xlfn.XLOOKUP(наценкад5[[#This Row],[№]],ППД5[№],ППД5[Ванная],"-",0)</f>
        <v>3.68</v>
      </c>
      <c r="H206" s="72">
        <f>_xlfn.XLOOKUP(наценкад5[[#This Row],[№]],ППД5[№],ППД5[Гардеробная],"-",0)</f>
        <v>0</v>
      </c>
      <c r="I206" s="72">
        <f>_xlfn.XLOOKUP(наценкад5[[#This Row],[№]],ППД5[№],ППД5[Лоджия 2],"-",0)</f>
        <v>0</v>
      </c>
      <c r="J206" s="72">
        <f>_xlfn.XLOOKUP(наценкад5[[#This Row],[№]],ППД5[№],ППД5[С\У],"-",0)</f>
        <v>2.57</v>
      </c>
      <c r="K206" s="72">
        <f>_xlfn.XLOOKUP(наценкад5[[#This Row],[№]],ППД5[№],ППД5[Расчетная проектная площадь],"-",0)</f>
        <v>57.6</v>
      </c>
      <c r="L206" s="12">
        <f t="shared" si="3"/>
        <v>63000</v>
      </c>
      <c r="M206" s="102">
        <f>коэффициенты!$F$2</f>
        <v>1.2257</v>
      </c>
      <c r="N206" s="13">
        <f>наценкад5[[#This Row],[Цена м2 базовая]]*наценкад5[[#This Row],[Базовой K]]</f>
        <v>77219.100000000006</v>
      </c>
      <c r="O206" s="76">
        <f>коэффициенты!$F$4</f>
        <v>1.4999999999999999E-2</v>
      </c>
      <c r="P206" s="74"/>
      <c r="Q206" s="76"/>
      <c r="R206" s="76"/>
      <c r="S206" s="76">
        <f>коэффициенты!$F$9</f>
        <v>0</v>
      </c>
      <c r="T206" s="74"/>
      <c r="U206" s="74"/>
      <c r="V206" s="74"/>
      <c r="W206" s="75">
        <f>коэффициенты!$F$12</f>
        <v>0.02</v>
      </c>
      <c r="X206" s="74"/>
      <c r="Y206" s="75"/>
      <c r="Z206" s="74"/>
      <c r="AA206" s="74"/>
      <c r="AB206" s="74"/>
      <c r="AC206" s="74"/>
      <c r="AD206" s="74">
        <f>коэффициенты!$F$19</f>
        <v>5.0000000000000001E-3</v>
      </c>
      <c r="AE206" s="74"/>
      <c r="AF206" s="74"/>
      <c r="AG206" s="74"/>
      <c r="AH206" s="74"/>
      <c r="AI206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206" s="72">
        <f>VLOOKUP(наценкад5[[#This Row],[№]],ППД5[],COLUMN(ППД5[[#This Row],[утв цена м2]]),0)</f>
        <v>84323.26</v>
      </c>
      <c r="AK206" s="3">
        <f>наценкад5[[#This Row],[утв цена м2]]*наценкад5[[#This Row],[Расчетная проектная площадь]]</f>
        <v>4857019.7759999996</v>
      </c>
      <c r="AL206" s="22" t="str">
        <f>VLOOKUP(наценкад5[[#This Row],[№]],ППД5[],COLUMN('Реестр ОН'!$DF$1),0)</f>
        <v>Продажа</v>
      </c>
    </row>
    <row r="207" spans="1:38" hidden="1" x14ac:dyDescent="0.25">
      <c r="A207" s="101">
        <v>205</v>
      </c>
      <c r="B207" s="2" t="str">
        <f>_xlfn.XLOOKUP(наценкад5[[#This Row],[№]],ППД5[№],ППД5[Секция],"-",0)</f>
        <v>Б</v>
      </c>
      <c r="C207" s="2">
        <f>_xlfn.XLOOKUP(наценкад5[[#This Row],[№]],ППД5[№],ППД5[Этаж],"-",0)</f>
        <v>14</v>
      </c>
      <c r="D207" s="2">
        <f>_xlfn.XLOOKUP(наценкад5[[#This Row],[№]],ППД5[№],ППД5[№ на этаже],"-",0)</f>
        <v>4</v>
      </c>
      <c r="E207" s="2">
        <f>_xlfn.XLOOKUP(наценкад5[[#This Row],[№]],ППД5[№],ППД5[Тип кв],"-",0)</f>
        <v>2</v>
      </c>
      <c r="F207" s="72">
        <f>_xlfn.XLOOKUP(наценкад5[[#This Row],[№]],ППД5[№],ППД5[Кухня],"-",0)</f>
        <v>11.95</v>
      </c>
      <c r="G207" s="72">
        <f>_xlfn.XLOOKUP(наценкад5[[#This Row],[№]],ППД5[№],ППД5[Ванная],"-",0)</f>
        <v>3.86</v>
      </c>
      <c r="H207" s="72">
        <f>_xlfn.XLOOKUP(наценкад5[[#This Row],[№]],ППД5[№],ППД5[Гардеробная],"-",0)</f>
        <v>0</v>
      </c>
      <c r="I207" s="72">
        <f>_xlfn.XLOOKUP(наценкад5[[#This Row],[№]],ППД5[№],ППД5[Лоджия 2],"-",0)</f>
        <v>0</v>
      </c>
      <c r="J207" s="72">
        <f>_xlfn.XLOOKUP(наценкад5[[#This Row],[№]],ППД5[№],ППД5[С\У],"-",0)</f>
        <v>2.37</v>
      </c>
      <c r="K207" s="72">
        <f>_xlfn.XLOOKUP(наценкад5[[#This Row],[№]],ППД5[№],ППД5[Расчетная проектная площадь],"-",0)</f>
        <v>58.31</v>
      </c>
      <c r="L207" s="12">
        <f t="shared" si="3"/>
        <v>63000</v>
      </c>
      <c r="M207" s="102">
        <f>коэффициенты!$F$2</f>
        <v>1.2257</v>
      </c>
      <c r="N207" s="13">
        <f>наценкад5[[#This Row],[Цена м2 базовая]]*наценкад5[[#This Row],[Базовой K]]</f>
        <v>77219.100000000006</v>
      </c>
      <c r="O207" s="74"/>
      <c r="P207" s="74">
        <f>коэффициенты!$F$5</f>
        <v>0.01</v>
      </c>
      <c r="Q207" s="76"/>
      <c r="R207" s="76"/>
      <c r="S207" s="76">
        <f>коэффициенты!$F$9</f>
        <v>0</v>
      </c>
      <c r="T207" s="74"/>
      <c r="U207" s="74"/>
      <c r="V207" s="74"/>
      <c r="W207" s="75">
        <f>коэффициенты!$F$12</f>
        <v>0.02</v>
      </c>
      <c r="X207" s="76"/>
      <c r="Y207" s="75"/>
      <c r="Z207" s="74"/>
      <c r="AA207" s="74">
        <f>коэффициенты!$F$14</f>
        <v>0.02</v>
      </c>
      <c r="AB207" s="74"/>
      <c r="AC207" s="74"/>
      <c r="AD207" s="74">
        <f>коэффициенты!$F$19</f>
        <v>5.0000000000000001E-3</v>
      </c>
      <c r="AE207" s="74"/>
      <c r="AF207" s="74"/>
      <c r="AG207" s="74"/>
      <c r="AH207" s="74"/>
      <c r="AI207" s="73">
        <f>SUM(наценкад5[[#This Row],[еврокухня]:[большая площадь]])*наценкад5[[#This Row],[Цена м2 с базовым K]]+наценкад5[[#This Row],[Цена м2 с базовым K]]</f>
        <v>81466.150500000003</v>
      </c>
      <c r="AJ207" s="72">
        <f>VLOOKUP(наценкад5[[#This Row],[№]],ППД5[],COLUMN(ППД5[[#This Row],[утв цена м2]]),0)</f>
        <v>88105.64</v>
      </c>
      <c r="AK207" s="3">
        <f>наценкад5[[#This Row],[утв цена м2]]*наценкад5[[#This Row],[Расчетная проектная площадь]]</f>
        <v>5137439.8684</v>
      </c>
      <c r="AL207" s="22" t="str">
        <f>VLOOKUP(наценкад5[[#This Row],[№]],ППД5[],COLUMN('Реестр ОН'!$DF$1),0)</f>
        <v>Продажа</v>
      </c>
    </row>
    <row r="208" spans="1:38" hidden="1" x14ac:dyDescent="0.25">
      <c r="A208" s="101">
        <v>206</v>
      </c>
      <c r="B208" s="2" t="str">
        <f>_xlfn.XLOOKUP(наценкад5[[#This Row],[№]],ППД5[№],ППД5[Секция],"-",0)</f>
        <v>Б</v>
      </c>
      <c r="C208" s="2">
        <f>_xlfn.XLOOKUP(наценкад5[[#This Row],[№]],ППД5[№],ППД5[Этаж],"-",0)</f>
        <v>14</v>
      </c>
      <c r="D208" s="2">
        <f>_xlfn.XLOOKUP(наценкад5[[#This Row],[№]],ППД5[№],ППД5[№ на этаже],"-",0)</f>
        <v>5</v>
      </c>
      <c r="E208" s="2">
        <f>_xlfn.XLOOKUP(наценкад5[[#This Row],[№]],ППД5[№],ППД5[Тип кв],"-",0)</f>
        <v>1</v>
      </c>
      <c r="F208" s="72">
        <f>_xlfn.XLOOKUP(наценкад5[[#This Row],[№]],ППД5[№],ППД5[Кухня],"-",0)</f>
        <v>13.18</v>
      </c>
      <c r="G208" s="72">
        <f>_xlfn.XLOOKUP(наценкад5[[#This Row],[№]],ППД5[№],ППД5[Ванная],"-",0)</f>
        <v>4.1100000000000003</v>
      </c>
      <c r="H208" s="72">
        <f>_xlfn.XLOOKUP(наценкад5[[#This Row],[№]],ППД5[№],ППД5[Гардеробная],"-",0)</f>
        <v>0</v>
      </c>
      <c r="I208" s="72">
        <f>_xlfn.XLOOKUP(наценкад5[[#This Row],[№]],ППД5[№],ППД5[Лоджия 2],"-",0)</f>
        <v>0</v>
      </c>
      <c r="J208" s="72">
        <f>_xlfn.XLOOKUP(наценкад5[[#This Row],[№]],ППД5[№],ППД5[С\У],"-",0)</f>
        <v>0</v>
      </c>
      <c r="K208" s="72">
        <f>_xlfn.XLOOKUP(наценкад5[[#This Row],[№]],ППД5[№],ППД5[Расчетная проектная площадь],"-",0)</f>
        <v>37.86</v>
      </c>
      <c r="L208" s="12">
        <f t="shared" si="3"/>
        <v>63000</v>
      </c>
      <c r="M208" s="102">
        <f>коэффициенты!$G$2</f>
        <v>1.2875000000000001</v>
      </c>
      <c r="N208" s="13">
        <f>наценкад5[[#This Row],[Цена м2 базовая]]*наценкад5[[#This Row],[Базовой K]]</f>
        <v>81112.5</v>
      </c>
      <c r="O208" s="74"/>
      <c r="P208" s="76">
        <f>коэффициенты!$G$5</f>
        <v>0.01</v>
      </c>
      <c r="Q208" s="74">
        <f>коэффициенты!$G$6</f>
        <v>0.03</v>
      </c>
      <c r="R208" s="74"/>
      <c r="S208" s="74"/>
      <c r="T208" s="74"/>
      <c r="U208" s="74"/>
      <c r="V208" s="74">
        <f>коэффициенты!$G$11</f>
        <v>0.01</v>
      </c>
      <c r="W208" s="75">
        <f>коэффициенты!$G$12</f>
        <v>0.02</v>
      </c>
      <c r="X208" s="74">
        <f>коэффициенты!$G$13</f>
        <v>0.01</v>
      </c>
      <c r="Y208" s="75"/>
      <c r="Z208" s="74"/>
      <c r="AA208" s="74">
        <f>коэффициенты!$G$14</f>
        <v>0.01</v>
      </c>
      <c r="AB208" s="74"/>
      <c r="AC208" s="74"/>
      <c r="AD208" s="74">
        <f>коэффициенты!$G$19</f>
        <v>0.01</v>
      </c>
      <c r="AE208" s="74"/>
      <c r="AF208" s="74"/>
      <c r="AG208" s="74"/>
      <c r="AH208" s="74"/>
      <c r="AI208" s="73">
        <f>SUM(наценкад5[[#This Row],[еврокухня]:[большая площадь]])*наценкад5[[#This Row],[Цена м2 с базовым K]]+наценкад5[[#This Row],[Цена м2 с базовым K]]</f>
        <v>89223.75</v>
      </c>
      <c r="AJ208" s="72">
        <f>VLOOKUP(наценкад5[[#This Row],[№]],ППД5[],COLUMN(ППД5[[#This Row],[утв цена м2]]),0)</f>
        <v>89223.75</v>
      </c>
      <c r="AK208" s="3">
        <f>наценкад5[[#This Row],[утв цена м2]]*наценкад5[[#This Row],[Расчетная проектная площадь]]</f>
        <v>3378011.1749999998</v>
      </c>
      <c r="AL208" s="22" t="str">
        <f>VLOOKUP(наценкад5[[#This Row],[№]],ППД5[],COLUMN('Реестр ОН'!$DF$1),0)</f>
        <v>Продажа</v>
      </c>
    </row>
    <row r="209" spans="1:38" hidden="1" x14ac:dyDescent="0.25">
      <c r="A209" s="101">
        <v>207</v>
      </c>
      <c r="B209" s="2" t="str">
        <f>_xlfn.XLOOKUP(наценкад5[[#This Row],[№]],ППД5[№],ППД5[Секция],"-",0)</f>
        <v>Б</v>
      </c>
      <c r="C209" s="2">
        <f>_xlfn.XLOOKUP(наценкад5[[#This Row],[№]],ППД5[№],ППД5[Этаж],"-",0)</f>
        <v>14</v>
      </c>
      <c r="D209" s="2">
        <f>_xlfn.XLOOKUP(наценкад5[[#This Row],[№]],ППД5[№],ППД5[№ на этаже],"-",0)</f>
        <v>6</v>
      </c>
      <c r="E209" s="2">
        <f>_xlfn.XLOOKUP(наценкад5[[#This Row],[№]],ППД5[№],ППД5[Тип кв],"-",0)</f>
        <v>3</v>
      </c>
      <c r="F209" s="72">
        <f>_xlfn.XLOOKUP(наценкад5[[#This Row],[№]],ППД5[№],ППД5[Кухня],"-",0)</f>
        <v>13.39</v>
      </c>
      <c r="G209" s="72">
        <f>_xlfn.XLOOKUP(наценкад5[[#This Row],[№]],ППД5[№],ППД5[Ванная],"-",0)</f>
        <v>4.2</v>
      </c>
      <c r="H209" s="72">
        <f>_xlfn.XLOOKUP(наценкад5[[#This Row],[№]],ППД5[№],ППД5[Гардеробная],"-",0)</f>
        <v>0</v>
      </c>
      <c r="I209" s="72">
        <f>_xlfn.XLOOKUP(наценкад5[[#This Row],[№]],ППД5[№],ППД5[Лоджия 2],"-",0)</f>
        <v>2.68</v>
      </c>
      <c r="J209" s="72">
        <f>_xlfn.XLOOKUP(наценкад5[[#This Row],[№]],ППД5[№],ППД5[С\У],"-",0)</f>
        <v>2.0499999999999998</v>
      </c>
      <c r="K209" s="72">
        <f>_xlfn.XLOOKUP(наценкад5[[#This Row],[№]],ППД5[№],ППД5[Расчетная проектная площадь],"-",0)</f>
        <v>84.99</v>
      </c>
      <c r="L209" s="12">
        <f t="shared" si="3"/>
        <v>63000</v>
      </c>
      <c r="M209" s="27">
        <f>коэффициенты!$E$2</f>
        <v>1.1330000000000002</v>
      </c>
      <c r="N209" s="13">
        <f>наценкад5[[#This Row],[Цена м2 базовая]]*наценкад5[[#This Row],[Базовой K]]</f>
        <v>71379.000000000015</v>
      </c>
      <c r="O209" s="74"/>
      <c r="P209" s="74">
        <f>коэффициенты!$E$5</f>
        <v>0</v>
      </c>
      <c r="Q209" s="74">
        <f>коэффициенты!$E$6</f>
        <v>0.01</v>
      </c>
      <c r="R209" s="74"/>
      <c r="S209" s="74">
        <f>коэффициенты!$E$9</f>
        <v>0</v>
      </c>
      <c r="T209" s="74">
        <f>коэффициенты!$E$7</f>
        <v>0</v>
      </c>
      <c r="U209" s="74"/>
      <c r="V209" s="74"/>
      <c r="W209" s="75">
        <f>коэффициенты!$E$12</f>
        <v>0.02</v>
      </c>
      <c r="X209" s="74"/>
      <c r="Y209" s="75"/>
      <c r="Z209" s="74"/>
      <c r="AA209" s="74">
        <f>коэффициенты!$E$14</f>
        <v>0</v>
      </c>
      <c r="AB209" s="74">
        <f>коэффициенты!$E$17</f>
        <v>0</v>
      </c>
      <c r="AC209" s="74"/>
      <c r="AD209" s="76"/>
      <c r="AE209" s="76"/>
      <c r="AF209" s="76"/>
      <c r="AG209" s="74"/>
      <c r="AH209" s="74">
        <f>'отрицательный кф'!$O$33</f>
        <v>0</v>
      </c>
      <c r="AI209" s="73">
        <f>SUM(наценкад5[[#This Row],[еврокухня]:[большая площадь]])*наценкад5[[#This Row],[Цена м2 с базовым K]]+наценкад5[[#This Row],[Цена м2 с базовым K]]</f>
        <v>73520.37000000001</v>
      </c>
      <c r="AJ209" s="72">
        <f>VLOOKUP(наценкад5[[#This Row],[№]],ППД5[],COLUMN(ППД5[[#This Row],[утв цена м2]]),0)</f>
        <v>90378.84</v>
      </c>
      <c r="AK209" s="3">
        <f>наценкад5[[#This Row],[утв цена м2]]*наценкад5[[#This Row],[Расчетная проектная площадь]]</f>
        <v>7681297.6115999995</v>
      </c>
      <c r="AL209" s="22" t="str">
        <f>VLOOKUP(наценкад5[[#This Row],[№]],ППД5[],COLUMN('Реестр ОН'!$DF$1),0)</f>
        <v>Продажа</v>
      </c>
    </row>
    <row r="210" spans="1:38" hidden="1" x14ac:dyDescent="0.25">
      <c r="A210" s="101">
        <v>208</v>
      </c>
      <c r="B210" s="2" t="str">
        <f>_xlfn.XLOOKUP(наценкад5[[#This Row],[№]],ППД5[№],ППД5[Секция],"-",0)</f>
        <v>Б</v>
      </c>
      <c r="C210" s="2">
        <f>_xlfn.XLOOKUP(наценкад5[[#This Row],[№]],ППД5[№],ППД5[Этаж],"-",0)</f>
        <v>14</v>
      </c>
      <c r="D210" s="2">
        <f>_xlfn.XLOOKUP(наценкад5[[#This Row],[№]],ППД5[№],ППД5[№ на этаже],"-",0)</f>
        <v>7</v>
      </c>
      <c r="E210" s="2">
        <f>_xlfn.XLOOKUP(наценкад5[[#This Row],[№]],ППД5[№],ППД5[Тип кв],"-",0)</f>
        <v>1</v>
      </c>
      <c r="F210" s="72">
        <f>_xlfn.XLOOKUP(наценкад5[[#This Row],[№]],ППД5[№],ППД5[Кухня],"-",0)</f>
        <v>13.04</v>
      </c>
      <c r="G210" s="72">
        <f>_xlfn.XLOOKUP(наценкад5[[#This Row],[№]],ППД5[№],ППД5[Ванная],"-",0)</f>
        <v>3.9</v>
      </c>
      <c r="H210" s="72">
        <f>_xlfn.XLOOKUP(наценкад5[[#This Row],[№]],ППД5[№],ППД5[Гардеробная],"-",0)</f>
        <v>0</v>
      </c>
      <c r="I210" s="72">
        <f>_xlfn.XLOOKUP(наценкад5[[#This Row],[№]],ППД5[№],ППД5[Лоджия 2],"-",0)</f>
        <v>0</v>
      </c>
      <c r="J210" s="72">
        <f>_xlfn.XLOOKUP(наценкад5[[#This Row],[№]],ППД5[№],ППД5[С\У],"-",0)</f>
        <v>0</v>
      </c>
      <c r="K210" s="72">
        <f>_xlfn.XLOOKUP(наценкад5[[#This Row],[№]],ППД5[№],ППД5[Расчетная проектная площадь],"-",0)</f>
        <v>42.28</v>
      </c>
      <c r="L210" s="12">
        <f t="shared" si="3"/>
        <v>63000</v>
      </c>
      <c r="M210" s="102">
        <f>коэффициенты!$G$2</f>
        <v>1.2875000000000001</v>
      </c>
      <c r="N210" s="13">
        <f>наценкад5[[#This Row],[Цена м2 базовая]]*наценкад5[[#This Row],[Базовой K]]</f>
        <v>81112.5</v>
      </c>
      <c r="O210" s="74"/>
      <c r="P210" s="76">
        <f>коэффициенты!$G$5</f>
        <v>0.01</v>
      </c>
      <c r="Q210" s="74"/>
      <c r="R210" s="74"/>
      <c r="S210" s="74"/>
      <c r="T210" s="74"/>
      <c r="U210" s="74"/>
      <c r="V210" s="74">
        <f>коэффициенты!$G$11</f>
        <v>0.01</v>
      </c>
      <c r="W210" s="74">
        <f>коэффициенты!$G$12</f>
        <v>0.02</v>
      </c>
      <c r="X210" s="74"/>
      <c r="Y210" s="75"/>
      <c r="Z210" s="74"/>
      <c r="AA210" s="74">
        <f>коэффициенты!$G$14</f>
        <v>0.01</v>
      </c>
      <c r="AB210" s="74"/>
      <c r="AC210" s="74"/>
      <c r="AD210" s="74">
        <f>коэффициенты!$G$19</f>
        <v>0.01</v>
      </c>
      <c r="AE210" s="74"/>
      <c r="AF210" s="74"/>
      <c r="AG210" s="74">
        <f>коэффициенты!$A$24</f>
        <v>-5.0000000000000001E-3</v>
      </c>
      <c r="AH210" s="74"/>
      <c r="AI210" s="73">
        <f>SUM(наценкад5[[#This Row],[еврокухня]:[большая площадь]])*наценкад5[[#This Row],[Цена м2 с базовым K]]+наценкад5[[#This Row],[Цена м2 с базовым K]]</f>
        <v>85573.6875</v>
      </c>
      <c r="AJ210" s="72">
        <f>VLOOKUP(наценкад5[[#This Row],[№]],ППД5[],COLUMN(ППД5[[#This Row],[утв цена м2]]),0)</f>
        <v>95324.38</v>
      </c>
      <c r="AK210" s="3">
        <f>наценкад5[[#This Row],[утв цена м2]]*наценкад5[[#This Row],[Расчетная проектная площадь]]</f>
        <v>4030314.7864000001</v>
      </c>
      <c r="AL210" s="22" t="str">
        <f>VLOOKUP(наценкад5[[#This Row],[№]],ППД5[],COLUMN('Реестр ОН'!$DF$1),0)</f>
        <v>Продажа</v>
      </c>
    </row>
    <row r="211" spans="1:38" hidden="1" x14ac:dyDescent="0.25">
      <c r="A211" s="101">
        <v>209</v>
      </c>
      <c r="B211" s="2" t="str">
        <f>_xlfn.XLOOKUP(наценкад5[[#This Row],[№]],ППД5[№],ППД5[Секция],"-",0)</f>
        <v>Б</v>
      </c>
      <c r="C211" s="2">
        <f>_xlfn.XLOOKUP(наценкад5[[#This Row],[№]],ППД5[№],ППД5[Этаж],"-",0)</f>
        <v>15</v>
      </c>
      <c r="D211" s="2">
        <f>_xlfn.XLOOKUP(наценкад5[[#This Row],[№]],ППД5[№],ППД5[№ на этаже],"-",0)</f>
        <v>1</v>
      </c>
      <c r="E211" s="2">
        <f>_xlfn.XLOOKUP(наценкад5[[#This Row],[№]],ППД5[№],ППД5[Тип кв],"-",0)</f>
        <v>2</v>
      </c>
      <c r="F211" s="72">
        <f>_xlfn.XLOOKUP(наценкад5[[#This Row],[№]],ППД5[№],ППД5[Кухня],"-",0)</f>
        <v>15.31</v>
      </c>
      <c r="G211" s="72">
        <f>_xlfn.XLOOKUP(наценкад5[[#This Row],[№]],ППД5[№],ППД5[Ванная],"-",0)</f>
        <v>3.85</v>
      </c>
      <c r="H211" s="72">
        <f>_xlfn.XLOOKUP(наценкад5[[#This Row],[№]],ППД5[№],ППД5[Гардеробная],"-",0)</f>
        <v>0</v>
      </c>
      <c r="I211" s="72">
        <f>_xlfn.XLOOKUP(наценкад5[[#This Row],[№]],ППД5[№],ППД5[Лоджия 2],"-",0)</f>
        <v>0</v>
      </c>
      <c r="J211" s="72">
        <f>_xlfn.XLOOKUP(наценкад5[[#This Row],[№]],ППД5[№],ППД5[С\У],"-",0)</f>
        <v>2.2999999999999998</v>
      </c>
      <c r="K211" s="72">
        <f>_xlfn.XLOOKUP(наценкад5[[#This Row],[№]],ППД5[№],ППД5[Расчетная проектная площадь],"-",0)</f>
        <v>60.22</v>
      </c>
      <c r="L211" s="12">
        <f t="shared" si="3"/>
        <v>63000</v>
      </c>
      <c r="M211" s="102">
        <f>коэффициенты!$F$2</f>
        <v>1.2257</v>
      </c>
      <c r="N211" s="13">
        <f>наценкад5[[#This Row],[Цена м2 базовая]]*наценкад5[[#This Row],[Базовой K]]</f>
        <v>77219.100000000006</v>
      </c>
      <c r="O211" s="76">
        <f>коэффициенты!$F$4</f>
        <v>1.4999999999999999E-2</v>
      </c>
      <c r="P211" s="74"/>
      <c r="Q211" s="76"/>
      <c r="R211" s="76"/>
      <c r="S211" s="76">
        <f>коэффициенты!$F$9</f>
        <v>0</v>
      </c>
      <c r="T211" s="74"/>
      <c r="U211" s="74"/>
      <c r="V211" s="74"/>
      <c r="W211" s="74"/>
      <c r="X211" s="74">
        <f>коэффициенты!$F$13</f>
        <v>0.02</v>
      </c>
      <c r="Y211" s="75"/>
      <c r="Z211" s="74"/>
      <c r="AA211" s="74"/>
      <c r="AB211" s="74"/>
      <c r="AC211" s="74"/>
      <c r="AD211" s="74">
        <f>коэффициенты!$F$19</f>
        <v>5.0000000000000001E-3</v>
      </c>
      <c r="AE211" s="74"/>
      <c r="AF211" s="74"/>
      <c r="AG211" s="74"/>
      <c r="AH211" s="74"/>
      <c r="AI211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211" s="72">
        <f>VLOOKUP(наценкад5[[#This Row],[№]],ППД5[],COLUMN(ППД5[[#This Row],[утв цена м2]]),0)</f>
        <v>95828.7</v>
      </c>
      <c r="AK211" s="3">
        <f>наценкад5[[#This Row],[утв цена м2]]*наценкад5[[#This Row],[Расчетная проектная площадь]]</f>
        <v>5770804.3139999993</v>
      </c>
      <c r="AL211" s="22" t="str">
        <f>VLOOKUP(наценкад5[[#This Row],[№]],ППД5[],COLUMN('Реестр ОН'!$DF$1),0)</f>
        <v>Продажа</v>
      </c>
    </row>
    <row r="212" spans="1:38" hidden="1" x14ac:dyDescent="0.25">
      <c r="A212" s="101">
        <v>210</v>
      </c>
      <c r="B212" s="2" t="str">
        <f>_xlfn.XLOOKUP(наценкад5[[#This Row],[№]],ППД5[№],ППД5[Секция],"-",0)</f>
        <v>Б</v>
      </c>
      <c r="C212" s="2">
        <f>_xlfn.XLOOKUP(наценкад5[[#This Row],[№]],ППД5[№],ППД5[Этаж],"-",0)</f>
        <v>15</v>
      </c>
      <c r="D212" s="2">
        <f>_xlfn.XLOOKUP(наценкад5[[#This Row],[№]],ППД5[№],ППД5[№ на этаже],"-",0)</f>
        <v>2</v>
      </c>
      <c r="E212" s="2">
        <f>_xlfn.XLOOKUP(наценкад5[[#This Row],[№]],ППД5[№],ППД5[Тип кв],"-",0)</f>
        <v>0</v>
      </c>
      <c r="F212" s="72">
        <f>_xlfn.XLOOKUP(наценкад5[[#This Row],[№]],ППД5[№],ППД5[Кухня],"-",0)</f>
        <v>5.12</v>
      </c>
      <c r="G212" s="72">
        <f>_xlfn.XLOOKUP(наценкад5[[#This Row],[№]],ППД5[№],ППД5[Ванная],"-",0)</f>
        <v>3.65</v>
      </c>
      <c r="H212" s="72">
        <f>_xlfn.XLOOKUP(наценкад5[[#This Row],[№]],ППД5[№],ППД5[Гардеробная],"-",0)</f>
        <v>0</v>
      </c>
      <c r="I212" s="72">
        <f>_xlfn.XLOOKUP(наценкад5[[#This Row],[№]],ППД5[№],ППД5[Лоджия 2],"-",0)</f>
        <v>0</v>
      </c>
      <c r="J212" s="72">
        <f>_xlfn.XLOOKUP(наценкад5[[#This Row],[№]],ППД5[№],ППД5[С\У],"-",0)</f>
        <v>0</v>
      </c>
      <c r="K212" s="72">
        <f>_xlfn.XLOOKUP(наценкад5[[#This Row],[№]],ППД5[№],ППД5[Расчетная проектная площадь],"-",0)</f>
        <v>24.28</v>
      </c>
      <c r="L212" s="12">
        <f t="shared" si="3"/>
        <v>63000</v>
      </c>
      <c r="M212" s="116">
        <f>коэффициенты!$H$2</f>
        <v>1.3905000000000001</v>
      </c>
      <c r="N212" s="13">
        <f>наценкад5[[#This Row],[Цена м2 базовая]]*наценкад5[[#This Row],[Базовой K]]</f>
        <v>87601.5</v>
      </c>
      <c r="O212" s="74"/>
      <c r="P212" s="74"/>
      <c r="Q212" s="74"/>
      <c r="R212" s="74"/>
      <c r="S212" s="74"/>
      <c r="T212" s="74"/>
      <c r="U212" s="74"/>
      <c r="V212" s="74">
        <f>коэффициенты!$H$11</f>
        <v>0.01</v>
      </c>
      <c r="W212" s="75"/>
      <c r="X212" s="74">
        <f>коэффициенты!$H$13</f>
        <v>0.01</v>
      </c>
      <c r="Y212" s="75"/>
      <c r="Z212" s="74"/>
      <c r="AA212" s="74"/>
      <c r="AB212" s="74"/>
      <c r="AC212" s="74"/>
      <c r="AD212" s="74">
        <f>коэффициенты!$H$19</f>
        <v>0.01</v>
      </c>
      <c r="AE212" s="74"/>
      <c r="AF212" s="74"/>
      <c r="AG212" s="74"/>
      <c r="AH212" s="74"/>
      <c r="AI212" s="73">
        <f>SUM(наценкад5[[#This Row],[еврокухня]:[большая площадь]])*наценкад5[[#This Row],[Цена м2 с базовым K]]+наценкад5[[#This Row],[Цена м2 с базовым K]]</f>
        <v>90229.544999999998</v>
      </c>
      <c r="AJ212" s="72">
        <f>VLOOKUP(наценкад5[[#This Row],[№]],ППД5[],COLUMN(ППД5[[#This Row],[утв цена м2]]),0)</f>
        <v>126907.49</v>
      </c>
      <c r="AK212" s="3">
        <f>наценкад5[[#This Row],[утв цена м2]]*наценкад5[[#This Row],[Расчетная проектная площадь]]</f>
        <v>3081313.8572000004</v>
      </c>
      <c r="AL212" s="22" t="str">
        <f>VLOOKUP(наценкад5[[#This Row],[№]],ППД5[],COLUMN('Реестр ОН'!$DF$1),0)</f>
        <v>Продажа</v>
      </c>
    </row>
    <row r="213" spans="1:38" hidden="1" x14ac:dyDescent="0.25">
      <c r="A213" s="101">
        <v>211</v>
      </c>
      <c r="B213" s="2" t="str">
        <f>_xlfn.XLOOKUP(наценкад5[[#This Row],[№]],ППД5[№],ППД5[Секция],"-",0)</f>
        <v>Б</v>
      </c>
      <c r="C213" s="2">
        <f>_xlfn.XLOOKUP(наценкад5[[#This Row],[№]],ППД5[№],ППД5[Этаж],"-",0)</f>
        <v>15</v>
      </c>
      <c r="D213" s="2">
        <f>_xlfn.XLOOKUP(наценкад5[[#This Row],[№]],ППД5[№],ППД5[№ на этаже],"-",0)</f>
        <v>3</v>
      </c>
      <c r="E213" s="2">
        <f>_xlfn.XLOOKUP(наценкад5[[#This Row],[№]],ППД5[№],ППД5[Тип кв],"-",0)</f>
        <v>2</v>
      </c>
      <c r="F213" s="72">
        <f>_xlfn.XLOOKUP(наценкад5[[#This Row],[№]],ППД5[№],ППД5[Кухня],"-",0)</f>
        <v>14.35</v>
      </c>
      <c r="G213" s="72">
        <f>_xlfn.XLOOKUP(наценкад5[[#This Row],[№]],ППД5[№],ППД5[Ванная],"-",0)</f>
        <v>3.68</v>
      </c>
      <c r="H213" s="72">
        <f>_xlfn.XLOOKUP(наценкад5[[#This Row],[№]],ППД5[№],ППД5[Гардеробная],"-",0)</f>
        <v>0</v>
      </c>
      <c r="I213" s="72">
        <f>_xlfn.XLOOKUP(наценкад5[[#This Row],[№]],ППД5[№],ППД5[Лоджия 2],"-",0)</f>
        <v>0</v>
      </c>
      <c r="J213" s="72">
        <f>_xlfn.XLOOKUP(наценкад5[[#This Row],[№]],ППД5[№],ППД5[С\У],"-",0)</f>
        <v>2.57</v>
      </c>
      <c r="K213" s="72">
        <f>_xlfn.XLOOKUP(наценкад5[[#This Row],[№]],ППД5[№],ППД5[Расчетная проектная площадь],"-",0)</f>
        <v>57.6</v>
      </c>
      <c r="L213" s="12">
        <f t="shared" si="3"/>
        <v>63000</v>
      </c>
      <c r="M213" s="102">
        <f>коэффициенты!$F$2</f>
        <v>1.2257</v>
      </c>
      <c r="N213" s="13">
        <f>наценкад5[[#This Row],[Цена м2 базовая]]*наценкад5[[#This Row],[Базовой K]]</f>
        <v>77219.100000000006</v>
      </c>
      <c r="O213" s="76">
        <f>коэффициенты!$F$4</f>
        <v>1.4999999999999999E-2</v>
      </c>
      <c r="P213" s="74"/>
      <c r="Q213" s="76"/>
      <c r="R213" s="76"/>
      <c r="S213" s="76">
        <f>коэффициенты!$F$9</f>
        <v>0</v>
      </c>
      <c r="T213" s="74"/>
      <c r="U213" s="74"/>
      <c r="V213" s="74"/>
      <c r="W213" s="75"/>
      <c r="X213" s="74"/>
      <c r="Y213" s="75"/>
      <c r="Z213" s="74"/>
      <c r="AA213" s="74"/>
      <c r="AB213" s="74"/>
      <c r="AC213" s="74"/>
      <c r="AD213" s="74">
        <f>коэффициенты!$F$19</f>
        <v>5.0000000000000001E-3</v>
      </c>
      <c r="AE213" s="74"/>
      <c r="AF213" s="74"/>
      <c r="AG213" s="74"/>
      <c r="AH213" s="74"/>
      <c r="AI213" s="73">
        <f>SUM(наценкад5[[#This Row],[еврокухня]:[большая площадь]])*наценкад5[[#This Row],[Цена м2 с базовым K]]+наценкад5[[#This Row],[Цена м2 с базовым K]]</f>
        <v>78763.482000000004</v>
      </c>
      <c r="AJ213" s="72">
        <f>VLOOKUP(наценкад5[[#This Row],[№]],ППД5[],COLUMN(ППД5[[#This Row],[утв цена м2]]),0)</f>
        <v>94925.7</v>
      </c>
      <c r="AK213" s="3">
        <f>наценкад5[[#This Row],[утв цена м2]]*наценкад5[[#This Row],[Расчетная проектная площадь]]</f>
        <v>5467720.3200000003</v>
      </c>
      <c r="AL213" s="22" t="str">
        <f>VLOOKUP(наценкад5[[#This Row],[№]],ППД5[],COLUMN('Реестр ОН'!$DF$1),0)</f>
        <v>Продажа</v>
      </c>
    </row>
    <row r="214" spans="1:38" hidden="1" x14ac:dyDescent="0.25">
      <c r="A214" s="101">
        <v>212</v>
      </c>
      <c r="B214" s="2" t="str">
        <f>_xlfn.XLOOKUP(наценкад5[[#This Row],[№]],ППД5[№],ППД5[Секция],"-",0)</f>
        <v>Б</v>
      </c>
      <c r="C214" s="2">
        <f>_xlfn.XLOOKUP(наценкад5[[#This Row],[№]],ППД5[№],ППД5[Этаж],"-",0)</f>
        <v>15</v>
      </c>
      <c r="D214" s="2">
        <f>_xlfn.XLOOKUP(наценкад5[[#This Row],[№]],ППД5[№],ППД5[№ на этаже],"-",0)</f>
        <v>4</v>
      </c>
      <c r="E214" s="2">
        <f>_xlfn.XLOOKUP(наценкад5[[#This Row],[№]],ППД5[№],ППД5[Тип кв],"-",0)</f>
        <v>2</v>
      </c>
      <c r="F214" s="72">
        <f>_xlfn.XLOOKUP(наценкад5[[#This Row],[№]],ППД5[№],ППД5[Кухня],"-",0)</f>
        <v>11.95</v>
      </c>
      <c r="G214" s="72">
        <f>_xlfn.XLOOKUP(наценкад5[[#This Row],[№]],ППД5[№],ППД5[Ванная],"-",0)</f>
        <v>3.86</v>
      </c>
      <c r="H214" s="72">
        <f>_xlfn.XLOOKUP(наценкад5[[#This Row],[№]],ППД5[№],ППД5[Гардеробная],"-",0)</f>
        <v>0</v>
      </c>
      <c r="I214" s="72">
        <f>_xlfn.XLOOKUP(наценкад5[[#This Row],[№]],ППД5[№],ППД5[Лоджия 2],"-",0)</f>
        <v>0</v>
      </c>
      <c r="J214" s="72">
        <f>_xlfn.XLOOKUP(наценкад5[[#This Row],[№]],ППД5[№],ППД5[С\У],"-",0)</f>
        <v>2.37</v>
      </c>
      <c r="K214" s="72">
        <f>_xlfn.XLOOKUP(наценкад5[[#This Row],[№]],ППД5[№],ППД5[Расчетная проектная площадь],"-",0)</f>
        <v>58.31</v>
      </c>
      <c r="L214" s="12">
        <f t="shared" si="3"/>
        <v>63000</v>
      </c>
      <c r="M214" s="102">
        <f>коэффициенты!$F$2</f>
        <v>1.2257</v>
      </c>
      <c r="N214" s="13">
        <f>наценкад5[[#This Row],[Цена м2 базовая]]*наценкад5[[#This Row],[Базовой K]]</f>
        <v>77219.100000000006</v>
      </c>
      <c r="O214" s="74"/>
      <c r="P214" s="74">
        <f>коэффициенты!$F$5</f>
        <v>0.01</v>
      </c>
      <c r="Q214" s="76"/>
      <c r="R214" s="76"/>
      <c r="S214" s="76">
        <f>коэффициенты!$F$9</f>
        <v>0</v>
      </c>
      <c r="T214" s="74"/>
      <c r="U214" s="74"/>
      <c r="V214" s="74"/>
      <c r="W214" s="75"/>
      <c r="X214" s="76"/>
      <c r="Y214" s="75"/>
      <c r="Z214" s="74"/>
      <c r="AA214" s="74">
        <f>коэффициенты!$F$14</f>
        <v>0.02</v>
      </c>
      <c r="AB214" s="74"/>
      <c r="AC214" s="74"/>
      <c r="AD214" s="74">
        <f>коэффициенты!$F$19</f>
        <v>5.0000000000000001E-3</v>
      </c>
      <c r="AE214" s="74"/>
      <c r="AF214" s="74"/>
      <c r="AG214" s="74"/>
      <c r="AH214" s="74"/>
      <c r="AI214" s="73">
        <f>SUM(наценкад5[[#This Row],[еврокухня]:[большая площадь]])*наценкад5[[#This Row],[Цена м2 с базовым K]]+наценкад5[[#This Row],[Цена м2 с базовым K]]</f>
        <v>79921.768500000006</v>
      </c>
      <c r="AJ214" s="72">
        <f>VLOOKUP(наценкад5[[#This Row],[№]],ППД5[],COLUMN(ППД5[[#This Row],[утв цена м2]]),0)</f>
        <v>86435.39</v>
      </c>
      <c r="AK214" s="3">
        <f>наценкад5[[#This Row],[утв цена м2]]*наценкад5[[#This Row],[Расчетная проектная площадь]]</f>
        <v>5040047.5909000002</v>
      </c>
      <c r="AL214" s="22" t="str">
        <f>VLOOKUP(наценкад5[[#This Row],[№]],ППД5[],COLUMN('Реестр ОН'!$DF$1),0)</f>
        <v>Продажа</v>
      </c>
    </row>
    <row r="215" spans="1:38" hidden="1" x14ac:dyDescent="0.25">
      <c r="A215" s="101">
        <v>213</v>
      </c>
      <c r="B215" s="2" t="str">
        <f>_xlfn.XLOOKUP(наценкад5[[#This Row],[№]],ППД5[№],ППД5[Секция],"-",0)</f>
        <v>Б</v>
      </c>
      <c r="C215" s="2">
        <f>_xlfn.XLOOKUP(наценкад5[[#This Row],[№]],ППД5[№],ППД5[Этаж],"-",0)</f>
        <v>15</v>
      </c>
      <c r="D215" s="2">
        <f>_xlfn.XLOOKUP(наценкад5[[#This Row],[№]],ППД5[№],ППД5[№ на этаже],"-",0)</f>
        <v>5</v>
      </c>
      <c r="E215" s="2">
        <f>_xlfn.XLOOKUP(наценкад5[[#This Row],[№]],ППД5[№],ППД5[Тип кв],"-",0)</f>
        <v>1</v>
      </c>
      <c r="F215" s="72">
        <f>_xlfn.XLOOKUP(наценкад5[[#This Row],[№]],ППД5[№],ППД5[Кухня],"-",0)</f>
        <v>13.18</v>
      </c>
      <c r="G215" s="72">
        <f>_xlfn.XLOOKUP(наценкад5[[#This Row],[№]],ППД5[№],ППД5[Ванная],"-",0)</f>
        <v>4.1100000000000003</v>
      </c>
      <c r="H215" s="72">
        <f>_xlfn.XLOOKUP(наценкад5[[#This Row],[№]],ППД5[№],ППД5[Гардеробная],"-",0)</f>
        <v>0</v>
      </c>
      <c r="I215" s="72">
        <f>_xlfn.XLOOKUP(наценкад5[[#This Row],[№]],ППД5[№],ППД5[Лоджия 2],"-",0)</f>
        <v>0</v>
      </c>
      <c r="J215" s="72">
        <f>_xlfn.XLOOKUP(наценкад5[[#This Row],[№]],ППД5[№],ППД5[С\У],"-",0)</f>
        <v>0</v>
      </c>
      <c r="K215" s="72">
        <f>_xlfn.XLOOKUP(наценкад5[[#This Row],[№]],ППД5[№],ППД5[Расчетная проектная площадь],"-",0)</f>
        <v>37.86</v>
      </c>
      <c r="L215" s="12">
        <f t="shared" si="3"/>
        <v>63000</v>
      </c>
      <c r="M215" s="102">
        <f>коэффициенты!$G$2</f>
        <v>1.2875000000000001</v>
      </c>
      <c r="N215" s="13">
        <f>наценкад5[[#This Row],[Цена м2 базовая]]*наценкад5[[#This Row],[Базовой K]]</f>
        <v>81112.5</v>
      </c>
      <c r="O215" s="74"/>
      <c r="P215" s="76">
        <f>коэффициенты!$G$5</f>
        <v>0.01</v>
      </c>
      <c r="Q215" s="74">
        <f>коэффициенты!$G$6</f>
        <v>0.03</v>
      </c>
      <c r="R215" s="74"/>
      <c r="S215" s="74"/>
      <c r="T215" s="74"/>
      <c r="U215" s="74"/>
      <c r="V215" s="74">
        <f>коэффициенты!$G$11</f>
        <v>0.01</v>
      </c>
      <c r="W215" s="75"/>
      <c r="X215" s="74">
        <f>коэффициенты!$G$13</f>
        <v>0.01</v>
      </c>
      <c r="Y215" s="75"/>
      <c r="Z215" s="74"/>
      <c r="AA215" s="74">
        <f>коэффициенты!$G$14</f>
        <v>0.01</v>
      </c>
      <c r="AB215" s="74"/>
      <c r="AC215" s="74"/>
      <c r="AD215" s="74">
        <f>коэффициенты!$G$19</f>
        <v>0.01</v>
      </c>
      <c r="AE215" s="74"/>
      <c r="AF215" s="74"/>
      <c r="AG215" s="74"/>
      <c r="AH215" s="74"/>
      <c r="AI215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215" s="72">
        <f>VLOOKUP(наценкад5[[#This Row],[№]],ППД5[],COLUMN(ППД5[[#This Row],[утв цена м2]]),0)</f>
        <v>140210.01</v>
      </c>
      <c r="AK215" s="3">
        <f>наценкад5[[#This Row],[утв цена м2]]*наценкад5[[#This Row],[Расчетная проектная площадь]]</f>
        <v>5308350.9786</v>
      </c>
      <c r="AL215" s="22" t="str">
        <f>VLOOKUP(наценкад5[[#This Row],[№]],ППД5[],COLUMN('Реестр ОН'!$DF$1),0)</f>
        <v>Свободно</v>
      </c>
    </row>
    <row r="216" spans="1:38" hidden="1" x14ac:dyDescent="0.25">
      <c r="A216" s="101">
        <v>214</v>
      </c>
      <c r="B216" s="2" t="str">
        <f>_xlfn.XLOOKUP(наценкад5[[#This Row],[№]],ППД5[№],ППД5[Секция],"-",0)</f>
        <v>Б</v>
      </c>
      <c r="C216" s="2">
        <f>_xlfn.XLOOKUP(наценкад5[[#This Row],[№]],ППД5[№],ППД5[Этаж],"-",0)</f>
        <v>15</v>
      </c>
      <c r="D216" s="2">
        <f>_xlfn.XLOOKUP(наценкад5[[#This Row],[№]],ППД5[№],ППД5[№ на этаже],"-",0)</f>
        <v>6</v>
      </c>
      <c r="E216" s="2">
        <f>_xlfn.XLOOKUP(наценкад5[[#This Row],[№]],ППД5[№],ППД5[Тип кв],"-",0)</f>
        <v>3</v>
      </c>
      <c r="F216" s="72">
        <f>_xlfn.XLOOKUP(наценкад5[[#This Row],[№]],ППД5[№],ППД5[Кухня],"-",0)</f>
        <v>13.39</v>
      </c>
      <c r="G216" s="72">
        <f>_xlfn.XLOOKUP(наценкад5[[#This Row],[№]],ППД5[№],ППД5[Ванная],"-",0)</f>
        <v>4.2</v>
      </c>
      <c r="H216" s="72">
        <f>_xlfn.XLOOKUP(наценкад5[[#This Row],[№]],ППД5[№],ППД5[Гардеробная],"-",0)</f>
        <v>0</v>
      </c>
      <c r="I216" s="72">
        <f>_xlfn.XLOOKUP(наценкад5[[#This Row],[№]],ППД5[№],ППД5[Лоджия 2],"-",0)</f>
        <v>2.68</v>
      </c>
      <c r="J216" s="72">
        <f>_xlfn.XLOOKUP(наценкад5[[#This Row],[№]],ППД5[№],ППД5[С\У],"-",0)</f>
        <v>2.0499999999999998</v>
      </c>
      <c r="K216" s="72">
        <f>_xlfn.XLOOKUP(наценкад5[[#This Row],[№]],ППД5[№],ППД5[Расчетная проектная площадь],"-",0)</f>
        <v>84.99</v>
      </c>
      <c r="L216" s="12">
        <f t="shared" si="3"/>
        <v>63000</v>
      </c>
      <c r="M216" s="27">
        <f>коэффициенты!$E$2</f>
        <v>1.1330000000000002</v>
      </c>
      <c r="N216" s="13">
        <f>наценкад5[[#This Row],[Цена м2 базовая]]*наценкад5[[#This Row],[Базовой K]]</f>
        <v>71379.000000000015</v>
      </c>
      <c r="O216" s="74"/>
      <c r="P216" s="74">
        <f>коэффициенты!$E$5</f>
        <v>0</v>
      </c>
      <c r="Q216" s="74">
        <f>коэффициенты!$E$6</f>
        <v>0.01</v>
      </c>
      <c r="R216" s="74"/>
      <c r="S216" s="74">
        <f>коэффициенты!$E$9</f>
        <v>0</v>
      </c>
      <c r="T216" s="74">
        <f>коэффициенты!$E$7</f>
        <v>0</v>
      </c>
      <c r="U216" s="74"/>
      <c r="V216" s="74"/>
      <c r="W216" s="74"/>
      <c r="X216" s="74"/>
      <c r="Y216" s="75"/>
      <c r="Z216" s="74"/>
      <c r="AA216" s="74">
        <f>коэффициенты!$E$14</f>
        <v>0</v>
      </c>
      <c r="AB216" s="74">
        <f>коэффициенты!$E$17</f>
        <v>0</v>
      </c>
      <c r="AC216" s="74"/>
      <c r="AD216" s="76"/>
      <c r="AE216" s="76"/>
      <c r="AF216" s="76"/>
      <c r="AG216" s="74"/>
      <c r="AH216" s="74">
        <f>'отрицательный кф'!$O$33</f>
        <v>0</v>
      </c>
      <c r="AI216" s="73">
        <f>SUM(наценкад5[[#This Row],[еврокухня]:[большая площадь]])*наценкад5[[#This Row],[Цена м2 с базовым K]]+наценкад5[[#This Row],[Цена м2 с базовым K]]</f>
        <v>72092.790000000008</v>
      </c>
      <c r="AJ216" s="72">
        <f>VLOOKUP(наценкад5[[#This Row],[№]],ППД5[],COLUMN(ППД5[[#This Row],[утв цена м2]]),0)</f>
        <v>82685.440000000002</v>
      </c>
      <c r="AK216" s="3">
        <f>наценкад5[[#This Row],[утв цена м2]]*наценкад5[[#This Row],[Расчетная проектная площадь]]</f>
        <v>7027435.5455999998</v>
      </c>
      <c r="AL216" s="22" t="str">
        <f>VLOOKUP(наценкад5[[#This Row],[№]],ППД5[],COLUMN('Реестр ОН'!$DF$1),0)</f>
        <v>Продажа</v>
      </c>
    </row>
    <row r="217" spans="1:38" hidden="1" x14ac:dyDescent="0.25">
      <c r="A217" s="101">
        <v>215</v>
      </c>
      <c r="B217" s="2" t="str">
        <f>_xlfn.XLOOKUP(наценкад5[[#This Row],[№]],ППД5[№],ППД5[Секция],"-",0)</f>
        <v>Б</v>
      </c>
      <c r="C217" s="2">
        <f>_xlfn.XLOOKUP(наценкад5[[#This Row],[№]],ППД5[№],ППД5[Этаж],"-",0)</f>
        <v>15</v>
      </c>
      <c r="D217" s="2">
        <f>_xlfn.XLOOKUP(наценкад5[[#This Row],[№]],ППД5[№],ППД5[№ на этаже],"-",0)</f>
        <v>7</v>
      </c>
      <c r="E217" s="2">
        <f>_xlfn.XLOOKUP(наценкад5[[#This Row],[№]],ППД5[№],ППД5[Тип кв],"-",0)</f>
        <v>1</v>
      </c>
      <c r="F217" s="72">
        <f>_xlfn.XLOOKUP(наценкад5[[#This Row],[№]],ППД5[№],ППД5[Кухня],"-",0)</f>
        <v>13.04</v>
      </c>
      <c r="G217" s="72">
        <f>_xlfn.XLOOKUP(наценкад5[[#This Row],[№]],ППД5[№],ППД5[Ванная],"-",0)</f>
        <v>3.9</v>
      </c>
      <c r="H217" s="72">
        <f>_xlfn.XLOOKUP(наценкад5[[#This Row],[№]],ППД5[№],ППД5[Гардеробная],"-",0)</f>
        <v>0</v>
      </c>
      <c r="I217" s="72">
        <f>_xlfn.XLOOKUP(наценкад5[[#This Row],[№]],ППД5[№],ППД5[Лоджия 2],"-",0)</f>
        <v>0</v>
      </c>
      <c r="J217" s="72">
        <f>_xlfn.XLOOKUP(наценкад5[[#This Row],[№]],ППД5[№],ППД5[С\У],"-",0)</f>
        <v>0</v>
      </c>
      <c r="K217" s="72">
        <f>_xlfn.XLOOKUP(наценкад5[[#This Row],[№]],ППД5[№],ППД5[Расчетная проектная площадь],"-",0)</f>
        <v>42.28</v>
      </c>
      <c r="L217" s="12">
        <f t="shared" si="3"/>
        <v>63000</v>
      </c>
      <c r="M217" s="102">
        <f>коэффициенты!$G$2</f>
        <v>1.2875000000000001</v>
      </c>
      <c r="N217" s="13">
        <f>наценкад5[[#This Row],[Цена м2 базовая]]*наценкад5[[#This Row],[Базовой K]]</f>
        <v>81112.5</v>
      </c>
      <c r="O217" s="74"/>
      <c r="P217" s="76">
        <f>коэффициенты!$G$5</f>
        <v>0.01</v>
      </c>
      <c r="Q217" s="74"/>
      <c r="R217" s="74"/>
      <c r="S217" s="74"/>
      <c r="T217" s="74"/>
      <c r="U217" s="74"/>
      <c r="V217" s="74">
        <f>коэффициенты!$G$11</f>
        <v>0.01</v>
      </c>
      <c r="W217" s="74"/>
      <c r="X217" s="74"/>
      <c r="Y217" s="75"/>
      <c r="Z217" s="74"/>
      <c r="AA217" s="74">
        <f>коэффициенты!$G$14</f>
        <v>0.01</v>
      </c>
      <c r="AB217" s="74"/>
      <c r="AC217" s="74"/>
      <c r="AD217" s="74">
        <f>коэффициенты!$G$19</f>
        <v>0.01</v>
      </c>
      <c r="AE217" s="74"/>
      <c r="AF217" s="74"/>
      <c r="AG217" s="74">
        <f>коэффициенты!$A$24</f>
        <v>-5.0000000000000001E-3</v>
      </c>
      <c r="AH217" s="74"/>
      <c r="AI217" s="73">
        <f>SUM(наценкад5[[#This Row],[еврокухня]:[большая площадь]])*наценкад5[[#This Row],[Цена м2 с базовым K]]+наценкад5[[#This Row],[Цена м2 с базовым K]]</f>
        <v>83951.4375</v>
      </c>
      <c r="AJ217" s="72">
        <f>VLOOKUP(наценкад5[[#This Row],[№]],ППД5[],COLUMN(ППД5[[#This Row],[утв цена м2]]),0)</f>
        <v>135546.60999999999</v>
      </c>
      <c r="AK217" s="3">
        <f>наценкад5[[#This Row],[утв цена м2]]*наценкад5[[#This Row],[Расчетная проектная площадь]]</f>
        <v>5730910.6707999995</v>
      </c>
      <c r="AL217" s="22" t="str">
        <f>VLOOKUP(наценкад5[[#This Row],[№]],ППД5[],COLUMN('Реестр ОН'!$DF$1),0)</f>
        <v>Свободно</v>
      </c>
    </row>
    <row r="218" spans="1:38" hidden="1" x14ac:dyDescent="0.25">
      <c r="A218" s="101">
        <v>216</v>
      </c>
      <c r="B218" s="2" t="str">
        <f>_xlfn.XLOOKUP(наценкад5[[#This Row],[№]],ППД5[№],ППД5[Секция],"-",0)</f>
        <v>Б</v>
      </c>
      <c r="C218" s="2">
        <f>_xlfn.XLOOKUP(наценкад5[[#This Row],[№]],ППД5[№],ППД5[Этаж],"-",0)</f>
        <v>16</v>
      </c>
      <c r="D218" s="2">
        <f>_xlfn.XLOOKUP(наценкад5[[#This Row],[№]],ППД5[№],ППД5[№ на этаже],"-",0)</f>
        <v>1</v>
      </c>
      <c r="E218" s="2">
        <f>_xlfn.XLOOKUP(наценкад5[[#This Row],[№]],ППД5[№],ППД5[Тип кв],"-",0)</f>
        <v>2</v>
      </c>
      <c r="F218" s="72">
        <f>_xlfn.XLOOKUP(наценкад5[[#This Row],[№]],ППД5[№],ППД5[Кухня],"-",0)</f>
        <v>15.31</v>
      </c>
      <c r="G218" s="72">
        <f>_xlfn.XLOOKUP(наценкад5[[#This Row],[№]],ППД5[№],ППД5[Ванная],"-",0)</f>
        <v>3.85</v>
      </c>
      <c r="H218" s="72">
        <f>_xlfn.XLOOKUP(наценкад5[[#This Row],[№]],ППД5[№],ППД5[Гардеробная],"-",0)</f>
        <v>0</v>
      </c>
      <c r="I218" s="72">
        <f>_xlfn.XLOOKUP(наценкад5[[#This Row],[№]],ППД5[№],ППД5[Лоджия 2],"-",0)</f>
        <v>0</v>
      </c>
      <c r="J218" s="72">
        <f>_xlfn.XLOOKUP(наценкад5[[#This Row],[№]],ППД5[№],ППД5[С\У],"-",0)</f>
        <v>2.2999999999999998</v>
      </c>
      <c r="K218" s="72">
        <f>_xlfn.XLOOKUP(наценкад5[[#This Row],[№]],ППД5[№],ППД5[Расчетная проектная площадь],"-",0)</f>
        <v>60.22</v>
      </c>
      <c r="L218" s="12">
        <f t="shared" si="3"/>
        <v>63000</v>
      </c>
      <c r="M218" s="102">
        <f>коэффициенты!$F$2</f>
        <v>1.2257</v>
      </c>
      <c r="N218" s="13">
        <f>наценкад5[[#This Row],[Цена м2 базовая]]*наценкад5[[#This Row],[Базовой K]]</f>
        <v>77219.100000000006</v>
      </c>
      <c r="O218" s="76">
        <f>коэффициенты!$F$4</f>
        <v>1.4999999999999999E-2</v>
      </c>
      <c r="P218" s="74"/>
      <c r="Q218" s="76"/>
      <c r="R218" s="76"/>
      <c r="S218" s="76">
        <f>коэффициенты!$F$9</f>
        <v>0</v>
      </c>
      <c r="T218" s="74"/>
      <c r="U218" s="74"/>
      <c r="V218" s="74"/>
      <c r="W218" s="74">
        <f>коэффициенты!$F$12</f>
        <v>0.02</v>
      </c>
      <c r="X218" s="74">
        <f>коэффициенты!$F$13</f>
        <v>0.02</v>
      </c>
      <c r="Y218" s="75"/>
      <c r="Z218" s="74"/>
      <c r="AA218" s="74"/>
      <c r="AB218" s="74"/>
      <c r="AC218" s="74"/>
      <c r="AD218" s="74">
        <f>коэффициенты!$F$19</f>
        <v>5.0000000000000001E-3</v>
      </c>
      <c r="AE218" s="74"/>
      <c r="AF218" s="74"/>
      <c r="AG218" s="74"/>
      <c r="AH218" s="74"/>
      <c r="AI218" s="73">
        <f>SUM(наценкад5[[#This Row],[еврокухня]:[большая площадь]])*наценкад5[[#This Row],[Цена м2 с базовым K]]+наценкад5[[#This Row],[Цена м2 с базовым K]]</f>
        <v>81852.246000000014</v>
      </c>
      <c r="AJ218" s="72">
        <f>VLOOKUP(наценкад5[[#This Row],[№]],ППД5[],COLUMN(ППД5[[#This Row],[утв цена м2]]),0)</f>
        <v>93878.86</v>
      </c>
      <c r="AK218" s="3">
        <f>наценкад5[[#This Row],[утв цена м2]]*наценкад5[[#This Row],[Расчетная проектная площадь]]</f>
        <v>5653384.9491999997</v>
      </c>
      <c r="AL218" s="22" t="str">
        <f>VLOOKUP(наценкад5[[#This Row],[№]],ППД5[],COLUMN('Реестр ОН'!$DF$1),0)</f>
        <v>Продажа</v>
      </c>
    </row>
    <row r="219" spans="1:38" hidden="1" x14ac:dyDescent="0.25">
      <c r="A219" s="101">
        <v>217</v>
      </c>
      <c r="B219" s="2" t="str">
        <f>_xlfn.XLOOKUP(наценкад5[[#This Row],[№]],ППД5[№],ППД5[Секция],"-",0)</f>
        <v>Б</v>
      </c>
      <c r="C219" s="2">
        <f>_xlfn.XLOOKUP(наценкад5[[#This Row],[№]],ППД5[№],ППД5[Этаж],"-",0)</f>
        <v>16</v>
      </c>
      <c r="D219" s="2">
        <f>_xlfn.XLOOKUP(наценкад5[[#This Row],[№]],ППД5[№],ППД5[№ на этаже],"-",0)</f>
        <v>2</v>
      </c>
      <c r="E219" s="2">
        <f>_xlfn.XLOOKUP(наценкад5[[#This Row],[№]],ППД5[№],ППД5[Тип кв],"-",0)</f>
        <v>0</v>
      </c>
      <c r="F219" s="72">
        <f>_xlfn.XLOOKUP(наценкад5[[#This Row],[№]],ППД5[№],ППД5[Кухня],"-",0)</f>
        <v>5.12</v>
      </c>
      <c r="G219" s="72">
        <f>_xlfn.XLOOKUP(наценкад5[[#This Row],[№]],ППД5[№],ППД5[Ванная],"-",0)</f>
        <v>3.65</v>
      </c>
      <c r="H219" s="72">
        <f>_xlfn.XLOOKUP(наценкад5[[#This Row],[№]],ППД5[№],ППД5[Гардеробная],"-",0)</f>
        <v>0</v>
      </c>
      <c r="I219" s="72">
        <f>_xlfn.XLOOKUP(наценкад5[[#This Row],[№]],ППД5[№],ППД5[Лоджия 2],"-",0)</f>
        <v>0</v>
      </c>
      <c r="J219" s="72">
        <f>_xlfn.XLOOKUP(наценкад5[[#This Row],[№]],ППД5[№],ППД5[С\У],"-",0)</f>
        <v>0</v>
      </c>
      <c r="K219" s="72">
        <f>_xlfn.XLOOKUP(наценкад5[[#This Row],[№]],ППД5[№],ППД5[Расчетная проектная площадь],"-",0)</f>
        <v>24.28</v>
      </c>
      <c r="L219" s="12">
        <f t="shared" si="3"/>
        <v>63000</v>
      </c>
      <c r="M219" s="116">
        <f>коэффициенты!$H$2</f>
        <v>1.3905000000000001</v>
      </c>
      <c r="N219" s="13">
        <f>наценкад5[[#This Row],[Цена м2 базовая]]*наценкад5[[#This Row],[Базовой K]]</f>
        <v>87601.5</v>
      </c>
      <c r="O219" s="74"/>
      <c r="P219" s="74"/>
      <c r="Q219" s="74"/>
      <c r="R219" s="74"/>
      <c r="S219" s="74"/>
      <c r="T219" s="74"/>
      <c r="U219" s="74"/>
      <c r="V219" s="74">
        <f>коэффициенты!$H$11</f>
        <v>0.01</v>
      </c>
      <c r="W219" s="74">
        <f>коэффициенты!$H$12</f>
        <v>0.02</v>
      </c>
      <c r="X219" s="74">
        <f>коэффициенты!$H$13</f>
        <v>0.01</v>
      </c>
      <c r="Y219" s="75"/>
      <c r="Z219" s="74"/>
      <c r="AA219" s="74"/>
      <c r="AB219" s="74"/>
      <c r="AC219" s="74"/>
      <c r="AD219" s="74">
        <f>коэффициенты!$H$19</f>
        <v>0.01</v>
      </c>
      <c r="AE219" s="74"/>
      <c r="AF219" s="74"/>
      <c r="AG219" s="74"/>
      <c r="AH219" s="74"/>
      <c r="AI219" s="73">
        <f>SUM(наценкад5[[#This Row],[еврокухня]:[большая площадь]])*наценкад5[[#This Row],[Цена м2 с базовым K]]+наценкад5[[#This Row],[Цена м2 с базовым K]]</f>
        <v>91981.574999999997</v>
      </c>
      <c r="AJ219" s="72">
        <f>VLOOKUP(наценкад5[[#This Row],[№]],ППД5[],COLUMN(ППД5[[#This Row],[утв цена м2]]),0)</f>
        <v>152625.23000000001</v>
      </c>
      <c r="AK219" s="3">
        <f>наценкад5[[#This Row],[утв цена м2]]*наценкад5[[#This Row],[Расчетная проектная площадь]]</f>
        <v>3705740.5844000005</v>
      </c>
      <c r="AL219" s="22" t="str">
        <f>VLOOKUP(наценкад5[[#This Row],[№]],ППД5[],COLUMN('Реестр ОН'!$DF$1),0)</f>
        <v>Продажа</v>
      </c>
    </row>
    <row r="220" spans="1:38" hidden="1" x14ac:dyDescent="0.25">
      <c r="A220" s="101">
        <v>218</v>
      </c>
      <c r="B220" s="2" t="str">
        <f>_xlfn.XLOOKUP(наценкад5[[#This Row],[№]],ППД5[№],ППД5[Секция],"-",0)</f>
        <v>Б</v>
      </c>
      <c r="C220" s="2">
        <f>_xlfn.XLOOKUP(наценкад5[[#This Row],[№]],ППД5[№],ППД5[Этаж],"-",0)</f>
        <v>16</v>
      </c>
      <c r="D220" s="2">
        <f>_xlfn.XLOOKUP(наценкад5[[#This Row],[№]],ППД5[№],ППД5[№ на этаже],"-",0)</f>
        <v>3</v>
      </c>
      <c r="E220" s="2">
        <f>_xlfn.XLOOKUP(наценкад5[[#This Row],[№]],ППД5[№],ППД5[Тип кв],"-",0)</f>
        <v>2</v>
      </c>
      <c r="F220" s="72">
        <f>_xlfn.XLOOKUP(наценкад5[[#This Row],[№]],ППД5[№],ППД5[Кухня],"-",0)</f>
        <v>14.35</v>
      </c>
      <c r="G220" s="72">
        <f>_xlfn.XLOOKUP(наценкад5[[#This Row],[№]],ППД5[№],ППД5[Ванная],"-",0)</f>
        <v>3.68</v>
      </c>
      <c r="H220" s="72">
        <f>_xlfn.XLOOKUP(наценкад5[[#This Row],[№]],ППД5[№],ППД5[Гардеробная],"-",0)</f>
        <v>0</v>
      </c>
      <c r="I220" s="72">
        <f>_xlfn.XLOOKUP(наценкад5[[#This Row],[№]],ППД5[№],ППД5[Лоджия 2],"-",0)</f>
        <v>0</v>
      </c>
      <c r="J220" s="72">
        <f>_xlfn.XLOOKUP(наценкад5[[#This Row],[№]],ППД5[№],ППД5[С\У],"-",0)</f>
        <v>2.57</v>
      </c>
      <c r="K220" s="72">
        <f>_xlfn.XLOOKUP(наценкад5[[#This Row],[№]],ППД5[№],ППД5[Расчетная проектная площадь],"-",0)</f>
        <v>57.6</v>
      </c>
      <c r="L220" s="12">
        <f t="shared" si="3"/>
        <v>63000</v>
      </c>
      <c r="M220" s="102">
        <f>коэффициенты!$F$2</f>
        <v>1.2257</v>
      </c>
      <c r="N220" s="13">
        <f>наценкад5[[#This Row],[Цена м2 базовая]]*наценкад5[[#This Row],[Базовой K]]</f>
        <v>77219.100000000006</v>
      </c>
      <c r="O220" s="76">
        <f>коэффициенты!$F$4</f>
        <v>1.4999999999999999E-2</v>
      </c>
      <c r="P220" s="74"/>
      <c r="Q220" s="76"/>
      <c r="R220" s="76"/>
      <c r="S220" s="76">
        <f>коэффициенты!$F$9</f>
        <v>0</v>
      </c>
      <c r="T220" s="74"/>
      <c r="U220" s="74"/>
      <c r="V220" s="74"/>
      <c r="W220" s="75">
        <f>коэффициенты!$F$12</f>
        <v>0.02</v>
      </c>
      <c r="X220" s="74"/>
      <c r="Y220" s="75"/>
      <c r="Z220" s="74"/>
      <c r="AA220" s="74"/>
      <c r="AB220" s="74"/>
      <c r="AC220" s="74"/>
      <c r="AD220" s="74">
        <f>коэффициенты!$F$19</f>
        <v>5.0000000000000001E-3</v>
      </c>
      <c r="AE220" s="74"/>
      <c r="AF220" s="74"/>
      <c r="AG220" s="74"/>
      <c r="AH220" s="74"/>
      <c r="AI220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220" s="72">
        <f>VLOOKUP(наценкад5[[#This Row],[№]],ППД5[],COLUMN(ППД5[[#This Row],[утв цена м2]]),0)</f>
        <v>96786.99</v>
      </c>
      <c r="AK220" s="3">
        <f>наценкад5[[#This Row],[утв цена м2]]*наценкад5[[#This Row],[Расчетная проектная площадь]]</f>
        <v>5574930.6240000008</v>
      </c>
      <c r="AL220" s="22" t="str">
        <f>VLOOKUP(наценкад5[[#This Row],[№]],ППД5[],COLUMN('Реестр ОН'!$DF$1),0)</f>
        <v>Продажа</v>
      </c>
    </row>
    <row r="221" spans="1:38" hidden="1" x14ac:dyDescent="0.25">
      <c r="A221" s="101">
        <v>219</v>
      </c>
      <c r="B221" s="2" t="str">
        <f>_xlfn.XLOOKUP(наценкад5[[#This Row],[№]],ППД5[№],ППД5[Секция],"-",0)</f>
        <v>Б</v>
      </c>
      <c r="C221" s="2">
        <f>_xlfn.XLOOKUP(наценкад5[[#This Row],[№]],ППД5[№],ППД5[Этаж],"-",0)</f>
        <v>16</v>
      </c>
      <c r="D221" s="2">
        <f>_xlfn.XLOOKUP(наценкад5[[#This Row],[№]],ППД5[№],ППД5[№ на этаже],"-",0)</f>
        <v>4</v>
      </c>
      <c r="E221" s="2">
        <f>_xlfn.XLOOKUP(наценкад5[[#This Row],[№]],ППД5[№],ППД5[Тип кв],"-",0)</f>
        <v>2</v>
      </c>
      <c r="F221" s="72">
        <f>_xlfn.XLOOKUP(наценкад5[[#This Row],[№]],ППД5[№],ППД5[Кухня],"-",0)</f>
        <v>11.95</v>
      </c>
      <c r="G221" s="72">
        <f>_xlfn.XLOOKUP(наценкад5[[#This Row],[№]],ППД5[№],ППД5[Ванная],"-",0)</f>
        <v>3.86</v>
      </c>
      <c r="H221" s="72">
        <f>_xlfn.XLOOKUP(наценкад5[[#This Row],[№]],ППД5[№],ППД5[Гардеробная],"-",0)</f>
        <v>0</v>
      </c>
      <c r="I221" s="72">
        <f>_xlfn.XLOOKUP(наценкад5[[#This Row],[№]],ППД5[№],ППД5[Лоджия 2],"-",0)</f>
        <v>0</v>
      </c>
      <c r="J221" s="72">
        <f>_xlfn.XLOOKUP(наценкад5[[#This Row],[№]],ППД5[№],ППД5[С\У],"-",0)</f>
        <v>2.37</v>
      </c>
      <c r="K221" s="72">
        <f>_xlfn.XLOOKUP(наценкад5[[#This Row],[№]],ППД5[№],ППД5[Расчетная проектная площадь],"-",0)</f>
        <v>58.31</v>
      </c>
      <c r="L221" s="12">
        <f t="shared" si="3"/>
        <v>63000</v>
      </c>
      <c r="M221" s="102">
        <f>коэффициенты!$F$2</f>
        <v>1.2257</v>
      </c>
      <c r="N221" s="13">
        <f>наценкад5[[#This Row],[Цена м2 базовая]]*наценкад5[[#This Row],[Базовой K]]</f>
        <v>77219.100000000006</v>
      </c>
      <c r="O221" s="74"/>
      <c r="P221" s="74">
        <f>коэффициенты!$F$5</f>
        <v>0.01</v>
      </c>
      <c r="Q221" s="76"/>
      <c r="R221" s="76"/>
      <c r="S221" s="76">
        <f>коэффициенты!$F$9</f>
        <v>0</v>
      </c>
      <c r="T221" s="74"/>
      <c r="U221" s="74"/>
      <c r="V221" s="74"/>
      <c r="W221" s="75">
        <f>коэффициенты!$F$12</f>
        <v>0.02</v>
      </c>
      <c r="X221" s="76"/>
      <c r="Y221" s="75"/>
      <c r="Z221" s="74"/>
      <c r="AA221" s="74">
        <f>коэффициенты!$F$14</f>
        <v>0.02</v>
      </c>
      <c r="AB221" s="74"/>
      <c r="AC221" s="74"/>
      <c r="AD221" s="74">
        <f>коэффициенты!$F$19</f>
        <v>5.0000000000000001E-3</v>
      </c>
      <c r="AE221" s="74"/>
      <c r="AF221" s="74"/>
      <c r="AG221" s="74"/>
      <c r="AH221" s="74"/>
      <c r="AI221" s="73">
        <f>SUM(наценкад5[[#This Row],[еврокухня]:[большая площадь]])*наценкад5[[#This Row],[Цена м2 с базовым K]]+наценкад5[[#This Row],[Цена м2 с базовым K]]</f>
        <v>81466.150500000003</v>
      </c>
      <c r="AJ221" s="72">
        <f>VLOOKUP(наценкад5[[#This Row],[№]],ППД5[],COLUMN(ППД5[[#This Row],[утв цена м2]]),0)</f>
        <v>126023.24</v>
      </c>
      <c r="AK221" s="3">
        <f>наценкад5[[#This Row],[утв цена м2]]*наценкад5[[#This Row],[Расчетная проектная площадь]]</f>
        <v>7348415.124400001</v>
      </c>
      <c r="AL221" s="22" t="str">
        <f>VLOOKUP(наценкад5[[#This Row],[№]],ППД5[],COLUMN('Реестр ОН'!$DF$1),0)</f>
        <v>Свободно</v>
      </c>
    </row>
    <row r="222" spans="1:38" hidden="1" x14ac:dyDescent="0.25">
      <c r="A222" s="101">
        <v>220</v>
      </c>
      <c r="B222" s="2" t="str">
        <f>_xlfn.XLOOKUP(наценкад5[[#This Row],[№]],ППД5[№],ППД5[Секция],"-",0)</f>
        <v>Б</v>
      </c>
      <c r="C222" s="2">
        <f>_xlfn.XLOOKUP(наценкад5[[#This Row],[№]],ППД5[№],ППД5[Этаж],"-",0)</f>
        <v>16</v>
      </c>
      <c r="D222" s="2">
        <f>_xlfn.XLOOKUP(наценкад5[[#This Row],[№]],ППД5[№],ППД5[№ на этаже],"-",0)</f>
        <v>5</v>
      </c>
      <c r="E222" s="2">
        <f>_xlfn.XLOOKUP(наценкад5[[#This Row],[№]],ППД5[№],ППД5[Тип кв],"-",0)</f>
        <v>1</v>
      </c>
      <c r="F222" s="72">
        <f>_xlfn.XLOOKUP(наценкад5[[#This Row],[№]],ППД5[№],ППД5[Кухня],"-",0)</f>
        <v>13.18</v>
      </c>
      <c r="G222" s="72">
        <f>_xlfn.XLOOKUP(наценкад5[[#This Row],[№]],ППД5[№],ППД5[Ванная],"-",0)</f>
        <v>4.1100000000000003</v>
      </c>
      <c r="H222" s="72">
        <f>_xlfn.XLOOKUP(наценкад5[[#This Row],[№]],ППД5[№],ППД5[Гардеробная],"-",0)</f>
        <v>0</v>
      </c>
      <c r="I222" s="72">
        <f>_xlfn.XLOOKUP(наценкад5[[#This Row],[№]],ППД5[№],ППД5[Лоджия 2],"-",0)</f>
        <v>0</v>
      </c>
      <c r="J222" s="72">
        <f>_xlfn.XLOOKUP(наценкад5[[#This Row],[№]],ППД5[№],ППД5[С\У],"-",0)</f>
        <v>0</v>
      </c>
      <c r="K222" s="72">
        <f>_xlfn.XLOOKUP(наценкад5[[#This Row],[№]],ППД5[№],ППД5[Расчетная проектная площадь],"-",0)</f>
        <v>37.86</v>
      </c>
      <c r="L222" s="12">
        <f t="shared" si="3"/>
        <v>63000</v>
      </c>
      <c r="M222" s="102">
        <f>коэффициенты!$G$2</f>
        <v>1.2875000000000001</v>
      </c>
      <c r="N222" s="13">
        <f>наценкад5[[#This Row],[Цена м2 базовая]]*наценкад5[[#This Row],[Базовой K]]</f>
        <v>81112.5</v>
      </c>
      <c r="O222" s="74"/>
      <c r="P222" s="76">
        <f>коэффициенты!$G$5</f>
        <v>0.01</v>
      </c>
      <c r="Q222" s="74">
        <f>коэффициенты!$G$6</f>
        <v>0.03</v>
      </c>
      <c r="R222" s="74"/>
      <c r="S222" s="74"/>
      <c r="T222" s="74"/>
      <c r="U222" s="74"/>
      <c r="V222" s="74">
        <f>коэффициенты!$G$11</f>
        <v>0.01</v>
      </c>
      <c r="W222" s="75">
        <f>коэффициенты!$G$12</f>
        <v>0.02</v>
      </c>
      <c r="X222" s="74">
        <f>коэффициенты!$G$13</f>
        <v>0.01</v>
      </c>
      <c r="Y222" s="75"/>
      <c r="Z222" s="74"/>
      <c r="AA222" s="74">
        <f>коэффициенты!$G$14</f>
        <v>0.01</v>
      </c>
      <c r="AB222" s="74"/>
      <c r="AC222" s="74"/>
      <c r="AD222" s="74">
        <f>коэффициенты!$G$19</f>
        <v>0.01</v>
      </c>
      <c r="AE222" s="74"/>
      <c r="AF222" s="74"/>
      <c r="AG222" s="74"/>
      <c r="AH222" s="74"/>
      <c r="AI222" s="73">
        <f>SUM(наценкад5[[#This Row],[еврокухня]:[большая площадь]])*наценкад5[[#This Row],[Цена м2 с базовым K]]+наценкад5[[#This Row],[Цена м2 с базовым K]]</f>
        <v>89223.75</v>
      </c>
      <c r="AJ222" s="72">
        <f>VLOOKUP(наценкад5[[#This Row],[№]],ППД5[],COLUMN(ППД5[[#This Row],[утв цена м2]]),0)</f>
        <v>142805.84</v>
      </c>
      <c r="AK222" s="3">
        <f>наценкад5[[#This Row],[утв цена м2]]*наценкад5[[#This Row],[Расчетная проектная площадь]]</f>
        <v>5406629.1024000002</v>
      </c>
      <c r="AL222" s="22" t="str">
        <f>VLOOKUP(наценкад5[[#This Row],[№]],ППД5[],COLUMN('Реестр ОН'!$DF$1),0)</f>
        <v>Свободно</v>
      </c>
    </row>
    <row r="223" spans="1:38" hidden="1" x14ac:dyDescent="0.25">
      <c r="A223" s="101">
        <v>221</v>
      </c>
      <c r="B223" s="2" t="str">
        <f>_xlfn.XLOOKUP(наценкад5[[#This Row],[№]],ППД5[№],ППД5[Секция],"-",0)</f>
        <v>Б</v>
      </c>
      <c r="C223" s="2">
        <f>_xlfn.XLOOKUP(наценкад5[[#This Row],[№]],ППД5[№],ППД5[Этаж],"-",0)</f>
        <v>16</v>
      </c>
      <c r="D223" s="2">
        <f>_xlfn.XLOOKUP(наценкад5[[#This Row],[№]],ППД5[№],ППД5[№ на этаже],"-",0)</f>
        <v>6</v>
      </c>
      <c r="E223" s="2">
        <f>_xlfn.XLOOKUP(наценкад5[[#This Row],[№]],ППД5[№],ППД5[Тип кв],"-",0)</f>
        <v>3</v>
      </c>
      <c r="F223" s="72">
        <f>_xlfn.XLOOKUP(наценкад5[[#This Row],[№]],ППД5[№],ППД5[Кухня],"-",0)</f>
        <v>13.39</v>
      </c>
      <c r="G223" s="72">
        <f>_xlfn.XLOOKUP(наценкад5[[#This Row],[№]],ППД5[№],ППД5[Ванная],"-",0)</f>
        <v>4.2</v>
      </c>
      <c r="H223" s="72">
        <f>_xlfn.XLOOKUP(наценкад5[[#This Row],[№]],ППД5[№],ППД5[Гардеробная],"-",0)</f>
        <v>0</v>
      </c>
      <c r="I223" s="72">
        <f>_xlfn.XLOOKUP(наценкад5[[#This Row],[№]],ППД5[№],ППД5[Лоджия 2],"-",0)</f>
        <v>2.68</v>
      </c>
      <c r="J223" s="72">
        <f>_xlfn.XLOOKUP(наценкад5[[#This Row],[№]],ППД5[№],ППД5[С\У],"-",0)</f>
        <v>2.0499999999999998</v>
      </c>
      <c r="K223" s="72">
        <f>_xlfn.XLOOKUP(наценкад5[[#This Row],[№]],ППД5[№],ППД5[Расчетная проектная площадь],"-",0)</f>
        <v>84.99</v>
      </c>
      <c r="L223" s="12">
        <f t="shared" si="3"/>
        <v>63000</v>
      </c>
      <c r="M223" s="27">
        <f>коэффициенты!$E$2</f>
        <v>1.1330000000000002</v>
      </c>
      <c r="N223" s="13">
        <f>наценкад5[[#This Row],[Цена м2 базовая]]*наценкад5[[#This Row],[Базовой K]]</f>
        <v>71379.000000000015</v>
      </c>
      <c r="O223" s="74"/>
      <c r="P223" s="74">
        <f>коэффициенты!$E$5</f>
        <v>0</v>
      </c>
      <c r="Q223" s="74">
        <f>коэффициенты!$E$6</f>
        <v>0.01</v>
      </c>
      <c r="R223" s="74"/>
      <c r="S223" s="74">
        <f>коэффициенты!$E$9</f>
        <v>0</v>
      </c>
      <c r="T223" s="74">
        <f>коэффициенты!$E$7</f>
        <v>0</v>
      </c>
      <c r="U223" s="74"/>
      <c r="V223" s="74"/>
      <c r="W223" s="75">
        <f>коэффициенты!$E$12</f>
        <v>0.02</v>
      </c>
      <c r="X223" s="74"/>
      <c r="Y223" s="75"/>
      <c r="Z223" s="74"/>
      <c r="AA223" s="74">
        <f>коэффициенты!$E$14</f>
        <v>0</v>
      </c>
      <c r="AB223" s="74">
        <f>коэффициенты!$E$17</f>
        <v>0</v>
      </c>
      <c r="AC223" s="74"/>
      <c r="AD223" s="76"/>
      <c r="AE223" s="76"/>
      <c r="AF223" s="76"/>
      <c r="AG223" s="74"/>
      <c r="AH223" s="74">
        <f>'отрицательный кф'!$O$33</f>
        <v>0</v>
      </c>
      <c r="AI223" s="73">
        <f>SUM(наценкад5[[#This Row],[еврокухня]:[большая площадь]])*наценкад5[[#This Row],[Цена м2 с базовым K]]+наценкад5[[#This Row],[Цена м2 с базовым K]]</f>
        <v>73520.37000000001</v>
      </c>
      <c r="AJ223" s="72">
        <f>VLOOKUP(наценкад5[[#This Row],[№]],ППД5[],COLUMN(ППД5[[#This Row],[утв цена м2]]),0)</f>
        <v>113797.72</v>
      </c>
      <c r="AK223" s="3">
        <f>наценкад5[[#This Row],[утв цена м2]]*наценкад5[[#This Row],[Расчетная проектная площадь]]</f>
        <v>9671668.2227999996</v>
      </c>
      <c r="AL223" s="22" t="str">
        <f>VLOOKUP(наценкад5[[#This Row],[№]],ППД5[],COLUMN('Реестр ОН'!$DF$1),0)</f>
        <v>Свободно</v>
      </c>
    </row>
    <row r="224" spans="1:38" hidden="1" x14ac:dyDescent="0.25">
      <c r="A224" s="101">
        <v>222</v>
      </c>
      <c r="B224" s="2" t="str">
        <f>_xlfn.XLOOKUP(наценкад5[[#This Row],[№]],ППД5[№],ППД5[Секция],"-",0)</f>
        <v>Б</v>
      </c>
      <c r="C224" s="2">
        <f>_xlfn.XLOOKUP(наценкад5[[#This Row],[№]],ППД5[№],ППД5[Этаж],"-",0)</f>
        <v>16</v>
      </c>
      <c r="D224" s="2">
        <f>_xlfn.XLOOKUP(наценкад5[[#This Row],[№]],ППД5[№],ППД5[№ на этаже],"-",0)</f>
        <v>7</v>
      </c>
      <c r="E224" s="2">
        <f>_xlfn.XLOOKUP(наценкад5[[#This Row],[№]],ППД5[№],ППД5[Тип кв],"-",0)</f>
        <v>1</v>
      </c>
      <c r="F224" s="72">
        <f>_xlfn.XLOOKUP(наценкад5[[#This Row],[№]],ППД5[№],ППД5[Кухня],"-",0)</f>
        <v>13.04</v>
      </c>
      <c r="G224" s="72">
        <f>_xlfn.XLOOKUP(наценкад5[[#This Row],[№]],ППД5[№],ППД5[Ванная],"-",0)</f>
        <v>3.9</v>
      </c>
      <c r="H224" s="72">
        <f>_xlfn.XLOOKUP(наценкад5[[#This Row],[№]],ППД5[№],ППД5[Гардеробная],"-",0)</f>
        <v>0</v>
      </c>
      <c r="I224" s="72">
        <f>_xlfn.XLOOKUP(наценкад5[[#This Row],[№]],ППД5[№],ППД5[Лоджия 2],"-",0)</f>
        <v>0</v>
      </c>
      <c r="J224" s="72">
        <f>_xlfn.XLOOKUP(наценкад5[[#This Row],[№]],ППД5[№],ППД5[С\У],"-",0)</f>
        <v>0</v>
      </c>
      <c r="K224" s="72">
        <f>_xlfn.XLOOKUP(наценкад5[[#This Row],[№]],ППД5[№],ППД5[Расчетная проектная площадь],"-",0)</f>
        <v>42.28</v>
      </c>
      <c r="L224" s="12">
        <f t="shared" si="3"/>
        <v>63000</v>
      </c>
      <c r="M224" s="102">
        <f>коэффициенты!$G$2</f>
        <v>1.2875000000000001</v>
      </c>
      <c r="N224" s="13">
        <f>наценкад5[[#This Row],[Цена м2 базовая]]*наценкад5[[#This Row],[Базовой K]]</f>
        <v>81112.5</v>
      </c>
      <c r="O224" s="74"/>
      <c r="P224" s="76">
        <f>коэффициенты!$G$5</f>
        <v>0.01</v>
      </c>
      <c r="Q224" s="74"/>
      <c r="R224" s="74"/>
      <c r="S224" s="74"/>
      <c r="T224" s="74"/>
      <c r="U224" s="74"/>
      <c r="V224" s="74">
        <f>коэффициенты!$G$11</f>
        <v>0.01</v>
      </c>
      <c r="W224" s="74">
        <f>коэффициенты!$G$12</f>
        <v>0.02</v>
      </c>
      <c r="X224" s="74"/>
      <c r="Y224" s="75"/>
      <c r="Z224" s="74"/>
      <c r="AA224" s="74">
        <f>коэффициенты!$G$14</f>
        <v>0.01</v>
      </c>
      <c r="AB224" s="74"/>
      <c r="AC224" s="74"/>
      <c r="AD224" s="74">
        <f>коэффициенты!$G$19</f>
        <v>0.01</v>
      </c>
      <c r="AE224" s="74"/>
      <c r="AF224" s="74"/>
      <c r="AG224" s="74">
        <f>коэффициенты!$A$24</f>
        <v>-5.0000000000000001E-3</v>
      </c>
      <c r="AH224" s="74"/>
      <c r="AI224" s="73">
        <f>SUM(наценкад5[[#This Row],[еврокухня]:[большая площадь]])*наценкад5[[#This Row],[Цена м2 с базовым K]]+наценкад5[[#This Row],[Цена м2 с базовым K]]</f>
        <v>85573.6875</v>
      </c>
      <c r="AJ224" s="72">
        <f>VLOOKUP(наценкад5[[#This Row],[№]],ППД5[],COLUMN(ППД5[[#This Row],[утв цена м2]]),0)</f>
        <v>110423.77</v>
      </c>
      <c r="AK224" s="3">
        <f>наценкад5[[#This Row],[утв цена м2]]*наценкад5[[#This Row],[Расчетная проектная площадь]]</f>
        <v>4668716.9956</v>
      </c>
      <c r="AL224" s="22" t="str">
        <f>VLOOKUP(наценкад5[[#This Row],[№]],ППД5[],COLUMN('Реестр ОН'!$DF$1),0)</f>
        <v>Продажа</v>
      </c>
    </row>
    <row r="225" spans="1:38" hidden="1" x14ac:dyDescent="0.25">
      <c r="A225" s="101">
        <v>223</v>
      </c>
      <c r="B225" s="2" t="str">
        <f>_xlfn.XLOOKUP(наценкад5[[#This Row],[№]],ППД5[№],ППД5[Секция],"-",0)</f>
        <v>В</v>
      </c>
      <c r="C225" s="2">
        <f>_xlfn.XLOOKUP(наценкад5[[#This Row],[№]],ППД5[№],ППД5[Этаж],"-",0)</f>
        <v>1</v>
      </c>
      <c r="D225" s="2">
        <f>_xlfn.XLOOKUP(наценкад5[[#This Row],[№]],ППД5[№],ППД5[№ на этаже],"-",0)</f>
        <v>1</v>
      </c>
      <c r="E225" s="2">
        <f>_xlfn.XLOOKUP(наценкад5[[#This Row],[№]],ППД5[№],ППД5[Тип кв],"-",0)</f>
        <v>2</v>
      </c>
      <c r="F225" s="72">
        <f>_xlfn.XLOOKUP(наценкад5[[#This Row],[№]],ППД5[№],ППД5[Кухня],"-",0)</f>
        <v>20.05</v>
      </c>
      <c r="G225" s="72">
        <f>_xlfn.XLOOKUP(наценкад5[[#This Row],[№]],ППД5[№],ППД5[Ванная],"-",0)</f>
        <v>3.54</v>
      </c>
      <c r="H225" s="72">
        <f>_xlfn.XLOOKUP(наценкад5[[#This Row],[№]],ППД5[№],ППД5[Гардеробная],"-",0)</f>
        <v>0</v>
      </c>
      <c r="I225" s="72">
        <f>_xlfn.XLOOKUP(наценкад5[[#This Row],[№]],ППД5[№],ППД5[Лоджия 2],"-",0)</f>
        <v>0</v>
      </c>
      <c r="J225" s="72">
        <f>_xlfn.XLOOKUP(наценкад5[[#This Row],[№]],ППД5[№],ППД5[С\У],"-",0)</f>
        <v>2.93</v>
      </c>
      <c r="K225" s="72">
        <f>_xlfn.XLOOKUP(наценкад5[[#This Row],[№]],ППД5[№],ППД5[Расчетная проектная площадь],"-",0)</f>
        <v>71.37</v>
      </c>
      <c r="L225" s="12">
        <f t="shared" si="3"/>
        <v>63000</v>
      </c>
      <c r="M225" s="102">
        <f>коэффициенты!$F$2</f>
        <v>1.2257</v>
      </c>
      <c r="N225" s="13">
        <f>наценкад5[[#This Row],[Цена м2 базовая]]*наценкад5[[#This Row],[Базовой K]]</f>
        <v>77219.100000000006</v>
      </c>
      <c r="O225" s="76">
        <f>коэффициенты!$F$4</f>
        <v>1.4999999999999999E-2</v>
      </c>
      <c r="P225" s="74"/>
      <c r="Q225" s="76"/>
      <c r="R225" s="76"/>
      <c r="S225" s="76">
        <f>коэффициенты!$F$9</f>
        <v>0</v>
      </c>
      <c r="T225" s="74"/>
      <c r="U225" s="74"/>
      <c r="V225" s="74"/>
      <c r="W225" s="75"/>
      <c r="X225" s="74">
        <f>коэффициенты!$F$13</f>
        <v>0.02</v>
      </c>
      <c r="Y225" s="78"/>
      <c r="Z225" s="76"/>
      <c r="AA225" s="74"/>
      <c r="AB225" s="74"/>
      <c r="AC225" s="74"/>
      <c r="AD225" s="74">
        <f>коэффициенты!$F$19</f>
        <v>5.0000000000000001E-3</v>
      </c>
      <c r="AE225" s="76">
        <f>коэффициенты!$F$20</f>
        <v>0.03</v>
      </c>
      <c r="AF225" s="74">
        <f>коэффициенты!$F$21</f>
        <v>0.01</v>
      </c>
      <c r="AG225" s="74"/>
      <c r="AH225" s="74">
        <f>'отрицательный кф'!$O$27</f>
        <v>-0.08</v>
      </c>
      <c r="AI225" s="73">
        <f>SUM(наценкад5[[#This Row],[еврокухня]:[большая площадь]])*наценкад5[[#This Row],[Цена м2 с базовым K]]+наценкад5[[#This Row],[Цена м2 с базовым K]]</f>
        <v>77219.100000000006</v>
      </c>
      <c r="AJ225" s="72">
        <f>VLOOKUP(наценкад5[[#This Row],[№]],ППД5[],COLUMN(ППД5[[#This Row],[утв цена м2]]),0)</f>
        <v>127716.69</v>
      </c>
      <c r="AK225" s="3">
        <f>наценкад5[[#This Row],[утв цена м2]]*наценкад5[[#This Row],[Расчетная проектная площадь]]</f>
        <v>9115140.1653000005</v>
      </c>
      <c r="AL225" s="22" t="str">
        <f>VLOOKUP(наценкад5[[#This Row],[№]],ППД5[],COLUMN('Реестр ОН'!$DF$1),0)</f>
        <v>Свободно</v>
      </c>
    </row>
    <row r="226" spans="1:38" hidden="1" x14ac:dyDescent="0.25">
      <c r="A226" s="101">
        <v>224</v>
      </c>
      <c r="B226" s="2" t="str">
        <f>_xlfn.XLOOKUP(наценкад5[[#This Row],[№]],ППД5[№],ППД5[Секция],"-",0)</f>
        <v>В</v>
      </c>
      <c r="C226" s="2">
        <f>_xlfn.XLOOKUP(наценкад5[[#This Row],[№]],ППД5[№],ППД5[Этаж],"-",0)</f>
        <v>1</v>
      </c>
      <c r="D226" s="2">
        <f>_xlfn.XLOOKUP(наценкад5[[#This Row],[№]],ППД5[№],ППД5[№ на этаже],"-",0)</f>
        <v>2</v>
      </c>
      <c r="E226" s="2">
        <f>_xlfn.XLOOKUP(наценкад5[[#This Row],[№]],ППД5[№],ППД5[Тип кв],"-",0)</f>
        <v>0</v>
      </c>
      <c r="F226" s="72">
        <f>_xlfn.XLOOKUP(наценкад5[[#This Row],[№]],ППД5[№],ППД5[Кухня],"-",0)</f>
        <v>5.17</v>
      </c>
      <c r="G226" s="72">
        <f>_xlfn.XLOOKUP(наценкад5[[#This Row],[№]],ППД5[№],ППД5[Ванная],"-",0)</f>
        <v>3.72</v>
      </c>
      <c r="H226" s="72">
        <f>_xlfn.XLOOKUP(наценкад5[[#This Row],[№]],ППД5[№],ППД5[Гардеробная],"-",0)</f>
        <v>0</v>
      </c>
      <c r="I226" s="72">
        <f>_xlfn.XLOOKUP(наценкад5[[#This Row],[№]],ППД5[№],ППД5[Лоджия 2],"-",0)</f>
        <v>0</v>
      </c>
      <c r="J226" s="72">
        <f>_xlfn.XLOOKUP(наценкад5[[#This Row],[№]],ППД5[№],ППД5[С\У],"-",0)</f>
        <v>0</v>
      </c>
      <c r="K226" s="72">
        <f>_xlfn.XLOOKUP(наценкад5[[#This Row],[№]],ППД5[№],ППД5[Расчетная проектная площадь],"-",0)</f>
        <v>24.53</v>
      </c>
      <c r="L226" s="12">
        <f t="shared" si="3"/>
        <v>63000</v>
      </c>
      <c r="M226" s="116">
        <f>коэффициенты!$H$2</f>
        <v>1.3905000000000001</v>
      </c>
      <c r="N226" s="13">
        <f>наценкад5[[#This Row],[Цена м2 базовая]]*наценкад5[[#This Row],[Базовой K]]</f>
        <v>87601.5</v>
      </c>
      <c r="O226" s="76"/>
      <c r="P226" s="74"/>
      <c r="Q226" s="74"/>
      <c r="R226" s="74"/>
      <c r="S226" s="74"/>
      <c r="T226" s="74"/>
      <c r="U226" s="74"/>
      <c r="V226" s="74">
        <f>коэффициенты!$H$11</f>
        <v>0.01</v>
      </c>
      <c r="W226" s="75"/>
      <c r="X226" s="74">
        <f>коэффициенты!$H$13</f>
        <v>0.01</v>
      </c>
      <c r="Y226" s="78"/>
      <c r="Z226" s="76"/>
      <c r="AA226" s="74"/>
      <c r="AB226" s="74"/>
      <c r="AC226" s="74"/>
      <c r="AD226" s="74">
        <f>коэффициенты!$H$19</f>
        <v>0.01</v>
      </c>
      <c r="AE226" s="74">
        <f>коэффициенты!$H$20</f>
        <v>0.1</v>
      </c>
      <c r="AF226" s="74">
        <f>коэффициенты!$H$21</f>
        <v>0.01</v>
      </c>
      <c r="AG226" s="74"/>
      <c r="AH226" s="74"/>
      <c r="AI226" s="73">
        <f>SUM(наценкад5[[#This Row],[еврокухня]:[большая площадь]])*наценкад5[[#This Row],[Цена м2 с базовым K]]+наценкад5[[#This Row],[Цена м2 с базовым K]]</f>
        <v>99865.71</v>
      </c>
      <c r="AJ226" s="72">
        <f>VLOOKUP(наценкад5[[#This Row],[№]],ППД5[],COLUMN(ППД5[[#This Row],[утв цена м2]]),0)</f>
        <v>104859</v>
      </c>
      <c r="AK226" s="3">
        <f>наценкад5[[#This Row],[утв цена м2]]*наценкад5[[#This Row],[Расчетная проектная площадь]]</f>
        <v>2572191.27</v>
      </c>
      <c r="AL226" s="22" t="str">
        <f>VLOOKUP(наценкад5[[#This Row],[№]],ППД5[],COLUMN('Реестр ОН'!$DF$1),0)</f>
        <v>Продажа</v>
      </c>
    </row>
    <row r="227" spans="1:38" hidden="1" x14ac:dyDescent="0.25">
      <c r="A227" s="101">
        <v>225</v>
      </c>
      <c r="B227" s="2" t="str">
        <f>_xlfn.XLOOKUP(наценкад5[[#This Row],[№]],ППД5[№],ППД5[Секция],"-",0)</f>
        <v>В</v>
      </c>
      <c r="C227" s="2">
        <f>_xlfn.XLOOKUP(наценкад5[[#This Row],[№]],ППД5[№],ППД5[Этаж],"-",0)</f>
        <v>1</v>
      </c>
      <c r="D227" s="2">
        <f>_xlfn.XLOOKUP(наценкад5[[#This Row],[№]],ППД5[№],ППД5[№ на этаже],"-",0)</f>
        <v>3</v>
      </c>
      <c r="E227" s="2">
        <f>_xlfn.XLOOKUP(наценкад5[[#This Row],[№]],ППД5[№],ППД5[Тип кв],"-",0)</f>
        <v>2</v>
      </c>
      <c r="F227" s="72">
        <f>_xlfn.XLOOKUP(наценкад5[[#This Row],[№]],ППД5[№],ППД5[Кухня],"-",0)</f>
        <v>18.71</v>
      </c>
      <c r="G227" s="72">
        <f>_xlfn.XLOOKUP(наценкад5[[#This Row],[№]],ППД5[№],ППД5[Ванная],"-",0)</f>
        <v>3.49</v>
      </c>
      <c r="H227" s="72">
        <f>_xlfn.XLOOKUP(наценкад5[[#This Row],[№]],ППД5[№],ППД5[Гардеробная],"-",0)</f>
        <v>0</v>
      </c>
      <c r="I227" s="72">
        <f>_xlfn.XLOOKUP(наценкад5[[#This Row],[№]],ППД5[№],ППД5[Лоджия 2],"-",0)</f>
        <v>0</v>
      </c>
      <c r="J227" s="72">
        <f>_xlfn.XLOOKUP(наценкад5[[#This Row],[№]],ППД5[№],ППД5[С\У],"-",0)</f>
        <v>2.11</v>
      </c>
      <c r="K227" s="72">
        <f>_xlfn.XLOOKUP(наценкад5[[#This Row],[№]],ППД5[№],ППД5[Расчетная проектная площадь],"-",0)</f>
        <v>56.58</v>
      </c>
      <c r="L227" s="12">
        <f t="shared" si="3"/>
        <v>63000</v>
      </c>
      <c r="M227" s="102">
        <f>коэффициенты!$F$2</f>
        <v>1.2257</v>
      </c>
      <c r="N227" s="13">
        <f>наценкад5[[#This Row],[Цена м2 базовая]]*наценкад5[[#This Row],[Базовой K]]</f>
        <v>77219.100000000006</v>
      </c>
      <c r="O227" s="76">
        <f>коэффициенты!$F$4</f>
        <v>1.4999999999999999E-2</v>
      </c>
      <c r="P227" s="74"/>
      <c r="Q227" s="76"/>
      <c r="R227" s="76">
        <f>коэффициенты!$F$10</f>
        <v>0</v>
      </c>
      <c r="S227" s="76">
        <f>коэффициенты!$F$9</f>
        <v>0</v>
      </c>
      <c r="T227" s="74"/>
      <c r="U227" s="74"/>
      <c r="V227" s="74"/>
      <c r="W227" s="75"/>
      <c r="X227" s="74"/>
      <c r="Y227" s="78"/>
      <c r="Z227" s="76"/>
      <c r="AA227" s="74"/>
      <c r="AB227" s="74"/>
      <c r="AC227" s="74"/>
      <c r="AD227" s="74">
        <f>коэффициенты!$F$19</f>
        <v>5.0000000000000001E-3</v>
      </c>
      <c r="AE227" s="76">
        <f>коэффициенты!$F$20</f>
        <v>0.03</v>
      </c>
      <c r="AF227" s="74">
        <f>коэффициенты!$F$21</f>
        <v>0.01</v>
      </c>
      <c r="AG227" s="74"/>
      <c r="AH227" s="74">
        <f>'отрицательный кф'!$O$28</f>
        <v>-0.02</v>
      </c>
      <c r="AI227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227" s="72">
        <f>VLOOKUP(наценкад5[[#This Row],[№]],ППД5[],COLUMN(ППД5[[#This Row],[утв цена м2]]),0)</f>
        <v>136373.95000000001</v>
      </c>
      <c r="AK227" s="3">
        <f>наценкад5[[#This Row],[утв цена м2]]*наценкад5[[#This Row],[Расчетная проектная площадь]]</f>
        <v>7716038.091</v>
      </c>
      <c r="AL227" s="22" t="str">
        <f>VLOOKUP(наценкад5[[#This Row],[№]],ППД5[],COLUMN('Реестр ОН'!$DF$1),0)</f>
        <v>Свободно</v>
      </c>
    </row>
    <row r="228" spans="1:38" hidden="1" x14ac:dyDescent="0.25">
      <c r="A228" s="101">
        <v>226</v>
      </c>
      <c r="B228" s="2" t="str">
        <f>_xlfn.XLOOKUP(наценкад5[[#This Row],[№]],ППД5[№],ППД5[Секция],"-",0)</f>
        <v>В</v>
      </c>
      <c r="C228" s="2">
        <f>_xlfn.XLOOKUP(наценкад5[[#This Row],[№]],ППД5[№],ППД5[Этаж],"-",0)</f>
        <v>1</v>
      </c>
      <c r="D228" s="2">
        <f>_xlfn.XLOOKUP(наценкад5[[#This Row],[№]],ППД5[№],ППД5[№ на этаже],"-",0)</f>
        <v>4</v>
      </c>
      <c r="E228" s="2">
        <f>_xlfn.XLOOKUP(наценкад5[[#This Row],[№]],ППД5[№],ППД5[Тип кв],"-",0)</f>
        <v>2</v>
      </c>
      <c r="F228" s="72">
        <f>_xlfn.XLOOKUP(наценкад5[[#This Row],[№]],ППД5[№],ППД5[Кухня],"-",0)</f>
        <v>12.74</v>
      </c>
      <c r="G228" s="72">
        <f>_xlfn.XLOOKUP(наценкад5[[#This Row],[№]],ППД5[№],ППД5[Ванная],"-",0)</f>
        <v>4.05</v>
      </c>
      <c r="H228" s="72">
        <f>_xlfn.XLOOKUP(наценкад5[[#This Row],[№]],ППД5[№],ППД5[Гардеробная],"-",0)</f>
        <v>0</v>
      </c>
      <c r="I228" s="72">
        <f>_xlfn.XLOOKUP(наценкад5[[#This Row],[№]],ППД5[№],ППД5[Лоджия 2],"-",0)</f>
        <v>0</v>
      </c>
      <c r="J228" s="72">
        <f>_xlfn.XLOOKUP(наценкад5[[#This Row],[№]],ППД5[№],ППД5[С\У],"-",0)</f>
        <v>0</v>
      </c>
      <c r="K228" s="72">
        <f>_xlfn.XLOOKUP(наценкад5[[#This Row],[№]],ППД5[№],ППД5[Расчетная проектная площадь],"-",0)</f>
        <v>47.74</v>
      </c>
      <c r="L228" s="12">
        <f t="shared" si="3"/>
        <v>63000</v>
      </c>
      <c r="M228" s="102">
        <f>коэффициенты!$F$2</f>
        <v>1.2257</v>
      </c>
      <c r="N228" s="13">
        <f>наценкад5[[#This Row],[Цена м2 базовая]]*наценкад5[[#This Row],[Базовой K]]</f>
        <v>77219.100000000006</v>
      </c>
      <c r="O228" s="76"/>
      <c r="P228" s="74">
        <f>коэффициенты!$F$5</f>
        <v>0.01</v>
      </c>
      <c r="Q228" s="76">
        <f>коэффициенты!$F$6</f>
        <v>0.02</v>
      </c>
      <c r="R228" s="74"/>
      <c r="S228" s="74"/>
      <c r="T228" s="74"/>
      <c r="U228" s="74"/>
      <c r="V228" s="74">
        <f>коэффициенты!$F$11</f>
        <v>5.0000000000000001E-3</v>
      </c>
      <c r="W228" s="75"/>
      <c r="X228" s="74">
        <f>коэффициенты!$F$13</f>
        <v>0.02</v>
      </c>
      <c r="Y228" s="78"/>
      <c r="Z228" s="76"/>
      <c r="AA228" s="74">
        <f>коэффициенты!$F$14</f>
        <v>0.02</v>
      </c>
      <c r="AB228" s="74"/>
      <c r="AC228" s="74"/>
      <c r="AD228" s="74">
        <f>коэффициенты!$F$19</f>
        <v>5.0000000000000001E-3</v>
      </c>
      <c r="AE228" s="76">
        <f>коэффициенты!$F$20</f>
        <v>0.03</v>
      </c>
      <c r="AF228" s="74">
        <f>коэффициенты!$F$21</f>
        <v>0.01</v>
      </c>
      <c r="AG228" s="74"/>
      <c r="AH228" s="74"/>
      <c r="AI228" s="73">
        <f>SUM(наценкад5[[#This Row],[еврокухня]:[большая площадь]])*наценкад5[[#This Row],[Цена м2 с базовым K]]+наценкад5[[#This Row],[Цена м2 с базовым K]]</f>
        <v>86485.392000000007</v>
      </c>
      <c r="AJ228" s="72">
        <f>VLOOKUP(наценкад5[[#This Row],[№]],ППД5[],COLUMN(ППД5[[#This Row],[утв цена м2]]),0)</f>
        <v>114444</v>
      </c>
      <c r="AK228" s="3">
        <f>наценкад5[[#This Row],[утв цена м2]]*наценкад5[[#This Row],[Расчетная проектная площадь]]</f>
        <v>5463556.5600000005</v>
      </c>
      <c r="AL228" s="22" t="str">
        <f>VLOOKUP(наценкад5[[#This Row],[№]],ППД5[],COLUMN('Реестр ОН'!$DF$1),0)</f>
        <v>Продажа</v>
      </c>
    </row>
    <row r="229" spans="1:38" hidden="1" x14ac:dyDescent="0.25">
      <c r="A229" s="101">
        <v>227</v>
      </c>
      <c r="B229" s="2" t="str">
        <f>_xlfn.XLOOKUP(наценкад5[[#This Row],[№]],ППД5[№],ППД5[Секция],"-",0)</f>
        <v>В</v>
      </c>
      <c r="C229" s="2">
        <f>_xlfn.XLOOKUP(наценкад5[[#This Row],[№]],ППД5[№],ППД5[Этаж],"-",0)</f>
        <v>1</v>
      </c>
      <c r="D229" s="2">
        <f>_xlfn.XLOOKUP(наценкад5[[#This Row],[№]],ППД5[№],ППД5[№ на этаже],"-",0)</f>
        <v>5</v>
      </c>
      <c r="E229" s="2">
        <f>_xlfn.XLOOKUP(наценкад5[[#This Row],[№]],ППД5[№],ППД5[Тип кв],"-",0)</f>
        <v>3</v>
      </c>
      <c r="F229" s="72">
        <f>_xlfn.XLOOKUP(наценкад5[[#This Row],[№]],ППД5[№],ППД5[Кухня],"-",0)</f>
        <v>13.15</v>
      </c>
      <c r="G229" s="72">
        <f>_xlfn.XLOOKUP(наценкад5[[#This Row],[№]],ППД5[№],ППД5[Ванная],"-",0)</f>
        <v>4.03</v>
      </c>
      <c r="H229" s="72">
        <f>_xlfn.XLOOKUP(наценкад5[[#This Row],[№]],ППД5[№],ППД5[Гардеробная],"-",0)</f>
        <v>0</v>
      </c>
      <c r="I229" s="72">
        <f>_xlfn.XLOOKUP(наценкад5[[#This Row],[№]],ППД5[№],ППД5[Лоджия 2],"-",0)</f>
        <v>2.68</v>
      </c>
      <c r="J229" s="72">
        <f>_xlfn.XLOOKUP(наценкад5[[#This Row],[№]],ППД5[№],ППД5[С\У],"-",0)</f>
        <v>1.76</v>
      </c>
      <c r="K229" s="72">
        <f>_xlfn.XLOOKUP(наценкад5[[#This Row],[№]],ППД5[№],ППД5[Расчетная проектная площадь],"-",0)</f>
        <v>80.97</v>
      </c>
      <c r="L229" s="12">
        <f t="shared" si="3"/>
        <v>63000</v>
      </c>
      <c r="M229" s="27">
        <f>коэффициенты!$E$2</f>
        <v>1.1330000000000002</v>
      </c>
      <c r="N229" s="13">
        <f>наценкад5[[#This Row],[Цена м2 базовая]]*наценкад5[[#This Row],[Базовой K]]</f>
        <v>71379.000000000015</v>
      </c>
      <c r="O229" s="74"/>
      <c r="P229" s="74">
        <f>коэффициенты!$E$5</f>
        <v>0</v>
      </c>
      <c r="Q229" s="74">
        <f>коэффициенты!$E$6</f>
        <v>0.01</v>
      </c>
      <c r="R229" s="74"/>
      <c r="S229" s="74">
        <f>коэффициенты!$E$9</f>
        <v>0</v>
      </c>
      <c r="T229" s="74">
        <f>коэффициенты!$E$7</f>
        <v>0</v>
      </c>
      <c r="U229" s="74"/>
      <c r="V229" s="74"/>
      <c r="W229" s="75"/>
      <c r="X229" s="74"/>
      <c r="Y229" s="78"/>
      <c r="Z229" s="76"/>
      <c r="AA229" s="74">
        <f>коэффициенты!$E$14</f>
        <v>0</v>
      </c>
      <c r="AB229" s="74">
        <f>коэффициенты!$E$17</f>
        <v>0</v>
      </c>
      <c r="AC229" s="74"/>
      <c r="AD229" s="74">
        <f>коэффициенты!$E$19</f>
        <v>0</v>
      </c>
      <c r="AE229" s="74">
        <f>коэффициенты!$E$20</f>
        <v>0.03</v>
      </c>
      <c r="AF229" s="74">
        <f>коэффициенты!$E$21</f>
        <v>0.01</v>
      </c>
      <c r="AG229" s="74"/>
      <c r="AH229" s="74">
        <f>'отрицательный кф'!$O$34</f>
        <v>-0.01</v>
      </c>
      <c r="AI229" s="73">
        <f>SUM(наценкад5[[#This Row],[еврокухня]:[большая площадь]])*наценкад5[[#This Row],[Цена м2 с базовым K]]+наценкад5[[#This Row],[Цена м2 с базовым K]]</f>
        <v>74234.160000000018</v>
      </c>
      <c r="AJ229" s="72">
        <f>VLOOKUP(наценкад5[[#This Row],[№]],ППД5[],COLUMN(ППД5[[#This Row],[утв цена м2]]),0)</f>
        <v>93636</v>
      </c>
      <c r="AK229" s="3">
        <f>наценкад5[[#This Row],[утв цена м2]]*наценкад5[[#This Row],[Расчетная проектная площадь]]</f>
        <v>7581706.9199999999</v>
      </c>
      <c r="AL229" s="22" t="str">
        <f>VLOOKUP(наценкад5[[#This Row],[№]],ППД5[],COLUMN('Реестр ОН'!$DF$1),0)</f>
        <v>Продажа</v>
      </c>
    </row>
    <row r="230" spans="1:38" hidden="1" x14ac:dyDescent="0.25">
      <c r="A230" s="101">
        <v>228</v>
      </c>
      <c r="B230" s="2" t="str">
        <f>_xlfn.XLOOKUP(наценкад5[[#This Row],[№]],ППД5[№],ППД5[Секция],"-",0)</f>
        <v>В</v>
      </c>
      <c r="C230" s="2">
        <f>_xlfn.XLOOKUP(наценкад5[[#This Row],[№]],ППД5[№],ППД5[Этаж],"-",0)</f>
        <v>1</v>
      </c>
      <c r="D230" s="2">
        <f>_xlfn.XLOOKUP(наценкад5[[#This Row],[№]],ППД5[№],ППД5[№ на этаже],"-",0)</f>
        <v>6</v>
      </c>
      <c r="E230" s="2">
        <f>_xlfn.XLOOKUP(наценкад5[[#This Row],[№]],ППД5[№],ППД5[Тип кв],"-",0)</f>
        <v>1</v>
      </c>
      <c r="F230" s="72">
        <f>_xlfn.XLOOKUP(наценкад5[[#This Row],[№]],ППД5[№],ППД5[Кухня],"-",0)</f>
        <v>8.43</v>
      </c>
      <c r="G230" s="72">
        <f>_xlfn.XLOOKUP(наценкад5[[#This Row],[№]],ППД5[№],ППД5[Ванная],"-",0)</f>
        <v>3.79</v>
      </c>
      <c r="H230" s="72">
        <f>_xlfn.XLOOKUP(наценкад5[[#This Row],[№]],ППД5[№],ППД5[Гардеробная],"-",0)</f>
        <v>0</v>
      </c>
      <c r="I230" s="72">
        <f>_xlfn.XLOOKUP(наценкад5[[#This Row],[№]],ППД5[№],ППД5[Лоджия 2],"-",0)</f>
        <v>0</v>
      </c>
      <c r="J230" s="72">
        <f>_xlfn.XLOOKUP(наценкад5[[#This Row],[№]],ППД5[№],ППД5[С\У],"-",0)</f>
        <v>0</v>
      </c>
      <c r="K230" s="72">
        <f>_xlfn.XLOOKUP(наценкад5[[#This Row],[№]],ППД5[№],ППД5[Расчетная проектная площадь],"-",0)</f>
        <v>34.76</v>
      </c>
      <c r="L230" s="12">
        <f t="shared" si="3"/>
        <v>63000</v>
      </c>
      <c r="M230" s="102">
        <f>коэффициенты!$G$2</f>
        <v>1.2875000000000001</v>
      </c>
      <c r="N230" s="13">
        <f>наценкад5[[#This Row],[Цена м2 базовая]]*наценкад5[[#This Row],[Базовой K]]</f>
        <v>81112.5</v>
      </c>
      <c r="O230" s="74"/>
      <c r="P230" s="74"/>
      <c r="Q230" s="74"/>
      <c r="R230" s="74"/>
      <c r="S230" s="74"/>
      <c r="T230" s="74"/>
      <c r="U230" s="74"/>
      <c r="V230" s="74">
        <f>коэффициенты!$G$11</f>
        <v>0.01</v>
      </c>
      <c r="W230" s="75"/>
      <c r="X230" s="74"/>
      <c r="Y230" s="78"/>
      <c r="Z230" s="76"/>
      <c r="AA230" s="74">
        <f>коэффициенты!$G$14</f>
        <v>0.01</v>
      </c>
      <c r="AB230" s="74"/>
      <c r="AC230" s="74"/>
      <c r="AD230" s="74">
        <f>коэффициенты!$G$19</f>
        <v>0.01</v>
      </c>
      <c r="AE230" s="76">
        <f>коэффициенты!$G$20</f>
        <v>0.05</v>
      </c>
      <c r="AF230" s="74">
        <f>коэффициенты!$G$21</f>
        <v>0.01</v>
      </c>
      <c r="AG230" s="74">
        <f>коэффициенты!$A$24</f>
        <v>-5.0000000000000001E-3</v>
      </c>
      <c r="AH230" s="74"/>
      <c r="AI230" s="73">
        <f>SUM(наценкад5[[#This Row],[еврокухня]:[большая площадь]])*наценкад5[[#This Row],[Цена м2 с базовым K]]+наценкад5[[#This Row],[Цена м2 с базовым K]]</f>
        <v>88007.0625</v>
      </c>
      <c r="AJ230" s="72">
        <f>VLOOKUP(наценкад5[[#This Row],[№]],ППД5[],COLUMN(ППД5[[#This Row],[утв цена м2]]),0)</f>
        <v>88007.06</v>
      </c>
      <c r="AK230" s="3">
        <f>наценкад5[[#This Row],[утв цена м2]]*наценкад5[[#This Row],[Расчетная проектная площадь]]</f>
        <v>3059125.4055999997</v>
      </c>
      <c r="AL230" s="22" t="str">
        <f>VLOOKUP(наценкад5[[#This Row],[№]],ППД5[],COLUMN('Реестр ОН'!$DF$1),0)</f>
        <v>Продажа</v>
      </c>
    </row>
    <row r="231" spans="1:38" hidden="1" x14ac:dyDescent="0.25">
      <c r="A231" s="101">
        <v>229</v>
      </c>
      <c r="B231" s="2" t="str">
        <f>_xlfn.XLOOKUP(наценкад5[[#This Row],[№]],ППД5[№],ППД5[Секция],"-",0)</f>
        <v>В</v>
      </c>
      <c r="C231" s="2">
        <f>_xlfn.XLOOKUP(наценкад5[[#This Row],[№]],ППД5[№],ППД5[Этаж],"-",0)</f>
        <v>2</v>
      </c>
      <c r="D231" s="2">
        <f>_xlfn.XLOOKUP(наценкад5[[#This Row],[№]],ППД5[№],ППД5[№ на этаже],"-",0)</f>
        <v>1</v>
      </c>
      <c r="E231" s="2">
        <f>_xlfn.XLOOKUP(наценкад5[[#This Row],[№]],ППД5[№],ППД5[Тип кв],"-",0)</f>
        <v>2</v>
      </c>
      <c r="F231" s="72">
        <f>_xlfn.XLOOKUP(наценкад5[[#This Row],[№]],ППД5[№],ППД5[Кухня],"-",0)</f>
        <v>20.05</v>
      </c>
      <c r="G231" s="72">
        <f>_xlfn.XLOOKUP(наценкад5[[#This Row],[№]],ППД5[№],ППД5[Ванная],"-",0)</f>
        <v>3.54</v>
      </c>
      <c r="H231" s="72">
        <f>_xlfn.XLOOKUP(наценкад5[[#This Row],[№]],ППД5[№],ППД5[Гардеробная],"-",0)</f>
        <v>0</v>
      </c>
      <c r="I231" s="72">
        <f>_xlfn.XLOOKUP(наценкад5[[#This Row],[№]],ППД5[№],ППД5[Лоджия 2],"-",0)</f>
        <v>2.68</v>
      </c>
      <c r="J231" s="72">
        <f>_xlfn.XLOOKUP(наценкад5[[#This Row],[№]],ППД5[№],ППД5[С\У],"-",0)</f>
        <v>2.93</v>
      </c>
      <c r="K231" s="72">
        <f>_xlfn.XLOOKUP(наценкад5[[#This Row],[№]],ППД5[№],ППД5[Расчетная проектная площадь],"-",0)</f>
        <v>73.7</v>
      </c>
      <c r="L231" s="12">
        <f t="shared" si="3"/>
        <v>63000</v>
      </c>
      <c r="M231" s="102">
        <f>коэффициенты!$F$2</f>
        <v>1.2257</v>
      </c>
      <c r="N231" s="13">
        <f>наценкад5[[#This Row],[Цена м2 базовая]]*наценкад5[[#This Row],[Базовой K]]</f>
        <v>77219.100000000006</v>
      </c>
      <c r="O231" s="76">
        <f>коэффициенты!$F$4</f>
        <v>1.4999999999999999E-2</v>
      </c>
      <c r="P231" s="74"/>
      <c r="Q231" s="76"/>
      <c r="R231" s="76"/>
      <c r="S231" s="76">
        <f>коэффициенты!$F$9</f>
        <v>0</v>
      </c>
      <c r="T231" s="74">
        <f>коэффициенты!$F$7</f>
        <v>0.03</v>
      </c>
      <c r="U231" s="74"/>
      <c r="V231" s="74"/>
      <c r="W231" s="74"/>
      <c r="X231" s="74">
        <f>коэффициенты!$F$13</f>
        <v>0.02</v>
      </c>
      <c r="Y231" s="78">
        <f>коэффициенты!$F$15</f>
        <v>0.01</v>
      </c>
      <c r="Z231" s="74"/>
      <c r="AA231" s="74">
        <f>коэффициенты!$F$14</f>
        <v>0.02</v>
      </c>
      <c r="AB231" s="74"/>
      <c r="AC231" s="74"/>
      <c r="AD231" s="74">
        <f>коэффициенты!$F$19</f>
        <v>5.0000000000000001E-3</v>
      </c>
      <c r="AE231" s="74"/>
      <c r="AF231" s="74">
        <f>коэффициенты!$F$21</f>
        <v>0.01</v>
      </c>
      <c r="AG231" s="74"/>
      <c r="AH231" s="74">
        <f>'отрицательный кф'!$O$27</f>
        <v>-0.08</v>
      </c>
      <c r="AI231" s="73">
        <f>SUM(наценкад5[[#This Row],[еврокухня]:[большая площадь]])*наценкад5[[#This Row],[Цена м2 с базовым K]]+наценкад5[[#This Row],[Цена м2 с базовым K]]</f>
        <v>79535.67300000001</v>
      </c>
      <c r="AJ231" s="72">
        <f>VLOOKUP(наценкад5[[#This Row],[№]],ППД5[],COLUMN(ППД5[[#This Row],[утв цена м2]]),0)</f>
        <v>116438.96</v>
      </c>
      <c r="AK231" s="3">
        <f>наценкад5[[#This Row],[утв цена м2]]*наценкад5[[#This Row],[Расчетная проектная площадь]]</f>
        <v>8581551.352</v>
      </c>
      <c r="AL231" s="22" t="str">
        <f>VLOOKUP(наценкад5[[#This Row],[№]],ППД5[],COLUMN('Реестр ОН'!$DF$1),0)</f>
        <v>Свободно</v>
      </c>
    </row>
    <row r="232" spans="1:38" hidden="1" x14ac:dyDescent="0.25">
      <c r="A232" s="101">
        <v>230</v>
      </c>
      <c r="B232" s="2" t="str">
        <f>_xlfn.XLOOKUP(наценкад5[[#This Row],[№]],ППД5[№],ППД5[Секция],"-",0)</f>
        <v>В</v>
      </c>
      <c r="C232" s="2">
        <f>_xlfn.XLOOKUP(наценкад5[[#This Row],[№]],ППД5[№],ППД5[Этаж],"-",0)</f>
        <v>2</v>
      </c>
      <c r="D232" s="2">
        <f>_xlfn.XLOOKUP(наценкад5[[#This Row],[№]],ППД5[№],ППД5[№ на этаже],"-",0)</f>
        <v>2</v>
      </c>
      <c r="E232" s="2">
        <f>_xlfn.XLOOKUP(наценкад5[[#This Row],[№]],ППД5[№],ППД5[Тип кв],"-",0)</f>
        <v>0</v>
      </c>
      <c r="F232" s="72">
        <f>_xlfn.XLOOKUP(наценкад5[[#This Row],[№]],ППД5[№],ППД5[Кухня],"-",0)</f>
        <v>5.17</v>
      </c>
      <c r="G232" s="72">
        <f>_xlfn.XLOOKUP(наценкад5[[#This Row],[№]],ППД5[№],ППД5[Ванная],"-",0)</f>
        <v>3.72</v>
      </c>
      <c r="H232" s="72">
        <f>_xlfn.XLOOKUP(наценкад5[[#This Row],[№]],ППД5[№],ППД5[Гардеробная],"-",0)</f>
        <v>0</v>
      </c>
      <c r="I232" s="72">
        <f>_xlfn.XLOOKUP(наценкад5[[#This Row],[№]],ППД5[№],ППД5[Лоджия 2],"-",0)</f>
        <v>0</v>
      </c>
      <c r="J232" s="72">
        <f>_xlfn.XLOOKUP(наценкад5[[#This Row],[№]],ППД5[№],ППД5[С\У],"-",0)</f>
        <v>0</v>
      </c>
      <c r="K232" s="72">
        <f>_xlfn.XLOOKUP(наценкад5[[#This Row],[№]],ППД5[№],ППД5[Расчетная проектная площадь],"-",0)</f>
        <v>24.53</v>
      </c>
      <c r="L232" s="12">
        <f t="shared" si="3"/>
        <v>63000</v>
      </c>
      <c r="M232" s="116">
        <f>коэффициенты!$H$2</f>
        <v>1.3905000000000001</v>
      </c>
      <c r="N232" s="13">
        <f>наценкад5[[#This Row],[Цена м2 базовая]]*наценкад5[[#This Row],[Базовой K]]</f>
        <v>87601.5</v>
      </c>
      <c r="O232" s="74"/>
      <c r="P232" s="74"/>
      <c r="Q232" s="74"/>
      <c r="R232" s="74"/>
      <c r="S232" s="74"/>
      <c r="T232" s="74"/>
      <c r="U232" s="74"/>
      <c r="V232" s="74">
        <f>коэффициенты!$H$11</f>
        <v>0.01</v>
      </c>
      <c r="W232" s="74"/>
      <c r="X232" s="74">
        <f>коэффициенты!$H$13</f>
        <v>0.01</v>
      </c>
      <c r="Y232" s="78">
        <f>коэффициенты!$H$15</f>
        <v>0.01</v>
      </c>
      <c r="Z232" s="74"/>
      <c r="AA232" s="74"/>
      <c r="AB232" s="74"/>
      <c r="AC232" s="74"/>
      <c r="AD232" s="74">
        <f>коэффициенты!$H$19</f>
        <v>0.01</v>
      </c>
      <c r="AE232" s="74"/>
      <c r="AF232" s="74">
        <f>коэффициенты!$H$21</f>
        <v>0.01</v>
      </c>
      <c r="AG232" s="74"/>
      <c r="AH232" s="74"/>
      <c r="AI232" s="73">
        <f>SUM(наценкад5[[#This Row],[еврокухня]:[большая площадь]])*наценкад5[[#This Row],[Цена м2 с базовым K]]+наценкад5[[#This Row],[Цена м2 с базовым K]]</f>
        <v>91981.574999999997</v>
      </c>
      <c r="AJ232" s="72">
        <f>VLOOKUP(наценкад5[[#This Row],[№]],ППД5[],COLUMN(ППД5[[#This Row],[утв цена м2]]),0)</f>
        <v>91981.58</v>
      </c>
      <c r="AK232" s="3">
        <f>наценкад5[[#This Row],[утв цена м2]]*наценкад5[[#This Row],[Расчетная проектная площадь]]</f>
        <v>2256308.1574000004</v>
      </c>
      <c r="AL232" s="22" t="str">
        <f>VLOOKUP(наценкад5[[#This Row],[№]],ППД5[],COLUMN('Реестр ОН'!$DF$1),0)</f>
        <v>Продажа</v>
      </c>
    </row>
    <row r="233" spans="1:38" hidden="1" x14ac:dyDescent="0.25">
      <c r="A233" s="101">
        <v>231</v>
      </c>
      <c r="B233" s="2" t="str">
        <f>_xlfn.XLOOKUP(наценкад5[[#This Row],[№]],ППД5[№],ППД5[Секция],"-",0)</f>
        <v>В</v>
      </c>
      <c r="C233" s="2">
        <f>_xlfn.XLOOKUP(наценкад5[[#This Row],[№]],ППД5[№],ППД5[Этаж],"-",0)</f>
        <v>2</v>
      </c>
      <c r="D233" s="2">
        <f>_xlfn.XLOOKUP(наценкад5[[#This Row],[№]],ППД5[№],ППД5[№ на этаже],"-",0)</f>
        <v>3</v>
      </c>
      <c r="E233" s="2">
        <f>_xlfn.XLOOKUP(наценкад5[[#This Row],[№]],ППД5[№],ППД5[Тип кв],"-",0)</f>
        <v>2</v>
      </c>
      <c r="F233" s="72">
        <f>_xlfn.XLOOKUP(наценкад5[[#This Row],[№]],ППД5[№],ППД5[Кухня],"-",0)</f>
        <v>18.71</v>
      </c>
      <c r="G233" s="72">
        <f>_xlfn.XLOOKUP(наценкад5[[#This Row],[№]],ППД5[№],ППД5[Ванная],"-",0)</f>
        <v>3.49</v>
      </c>
      <c r="H233" s="72">
        <f>_xlfn.XLOOKUP(наценкад5[[#This Row],[№]],ППД5[№],ППД5[Гардеробная],"-",0)</f>
        <v>0</v>
      </c>
      <c r="I233" s="72">
        <f>_xlfn.XLOOKUP(наценкад5[[#This Row],[№]],ППД5[№],ППД5[Лоджия 2],"-",0)</f>
        <v>0</v>
      </c>
      <c r="J233" s="72">
        <f>_xlfn.XLOOKUP(наценкад5[[#This Row],[№]],ППД5[№],ППД5[С\У],"-",0)</f>
        <v>2.11</v>
      </c>
      <c r="K233" s="72">
        <f>_xlfn.XLOOKUP(наценкад5[[#This Row],[№]],ППД5[№],ППД5[Расчетная проектная площадь],"-",0)</f>
        <v>56.58</v>
      </c>
      <c r="L233" s="12">
        <f t="shared" si="3"/>
        <v>63000</v>
      </c>
      <c r="M233" s="102">
        <f>коэффициенты!$F$2</f>
        <v>1.2257</v>
      </c>
      <c r="N233" s="13">
        <f>наценкад5[[#This Row],[Цена м2 базовая]]*наценкад5[[#This Row],[Базовой K]]</f>
        <v>77219.100000000006</v>
      </c>
      <c r="O233" s="74">
        <f>коэффициенты!$F$4</f>
        <v>1.4999999999999999E-2</v>
      </c>
      <c r="P233" s="74"/>
      <c r="Q233" s="76"/>
      <c r="R233" s="76">
        <f>коэффициенты!$F$10</f>
        <v>0</v>
      </c>
      <c r="S233" s="76">
        <f>коэффициенты!$F$9</f>
        <v>0</v>
      </c>
      <c r="T233" s="74"/>
      <c r="U233" s="74"/>
      <c r="V233" s="74"/>
      <c r="W233" s="74"/>
      <c r="X233" s="74"/>
      <c r="Y233" s="78">
        <f>коэффициенты!$F$15</f>
        <v>0.01</v>
      </c>
      <c r="Z233" s="74"/>
      <c r="AA233" s="74"/>
      <c r="AB233" s="74"/>
      <c r="AC233" s="74"/>
      <c r="AD233" s="74">
        <f>коэффициенты!$F$19</f>
        <v>5.0000000000000001E-3</v>
      </c>
      <c r="AE233" s="74"/>
      <c r="AF233" s="74">
        <f>коэффициенты!$F$21</f>
        <v>0.01</v>
      </c>
      <c r="AG233" s="74"/>
      <c r="AH233" s="74"/>
      <c r="AI233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233" s="72">
        <f>VLOOKUP(наценкад5[[#This Row],[№]],ППД5[],COLUMN(ППД5[[#This Row],[утв цена м2]]),0)</f>
        <v>125678.58</v>
      </c>
      <c r="AK233" s="3">
        <f>наценкад5[[#This Row],[утв цена м2]]*наценкад5[[#This Row],[Расчетная проектная площадь]]</f>
        <v>7110894.0564000001</v>
      </c>
      <c r="AL233" s="22" t="str">
        <f>VLOOKUP(наценкад5[[#This Row],[№]],ППД5[],COLUMN('Реестр ОН'!$DF$1),0)</f>
        <v>Свободно</v>
      </c>
    </row>
    <row r="234" spans="1:38" hidden="1" x14ac:dyDescent="0.25">
      <c r="A234" s="101">
        <v>232</v>
      </c>
      <c r="B234" s="2" t="str">
        <f>_xlfn.XLOOKUP(наценкад5[[#This Row],[№]],ППД5[№],ППД5[Секция],"-",0)</f>
        <v>В</v>
      </c>
      <c r="C234" s="2">
        <f>_xlfn.XLOOKUP(наценкад5[[#This Row],[№]],ППД5[№],ППД5[Этаж],"-",0)</f>
        <v>2</v>
      </c>
      <c r="D234" s="2">
        <f>_xlfn.XLOOKUP(наценкад5[[#This Row],[№]],ППД5[№],ППД5[№ на этаже],"-",0)</f>
        <v>4</v>
      </c>
      <c r="E234" s="2">
        <f>_xlfn.XLOOKUP(наценкад5[[#This Row],[№]],ППД5[№],ППД5[Тип кв],"-",0)</f>
        <v>1</v>
      </c>
      <c r="F234" s="72">
        <f>_xlfn.XLOOKUP(наценкад5[[#This Row],[№]],ППД5[№],ППД5[Кухня],"-",0)</f>
        <v>14.85</v>
      </c>
      <c r="G234" s="72">
        <f>_xlfn.XLOOKUP(наценкад5[[#This Row],[№]],ППД5[№],ППД5[Ванная],"-",0)</f>
        <v>4.59</v>
      </c>
      <c r="H234" s="72">
        <f>_xlfn.XLOOKUP(наценкад5[[#This Row],[№]],ППД5[№],ППД5[Гардеробная],"-",0)</f>
        <v>0</v>
      </c>
      <c r="I234" s="72">
        <f>_xlfn.XLOOKUP(наценкад5[[#This Row],[№]],ППД5[№],ППД5[Лоджия 2],"-",0)</f>
        <v>0</v>
      </c>
      <c r="J234" s="72">
        <f>_xlfn.XLOOKUP(наценкад5[[#This Row],[№]],ППД5[№],ППД5[С\У],"-",0)</f>
        <v>3.72</v>
      </c>
      <c r="K234" s="72">
        <f>_xlfn.XLOOKUP(наценкад5[[#This Row],[№]],ППД5[№],ППД5[Расчетная проектная площадь],"-",0)</f>
        <v>59.68</v>
      </c>
      <c r="L234" s="12">
        <f t="shared" si="3"/>
        <v>63000</v>
      </c>
      <c r="M234" s="102">
        <f>коэффициенты!$G$2</f>
        <v>1.2875000000000001</v>
      </c>
      <c r="N234" s="13">
        <f>наценкад5[[#This Row],[Цена м2 базовая]]*наценкад5[[#This Row],[Базовой K]]</f>
        <v>81112.5</v>
      </c>
      <c r="O234" s="76">
        <f>коэффициенты!$G$4</f>
        <v>0.02</v>
      </c>
      <c r="P234" s="74"/>
      <c r="Q234" s="74">
        <f>коэффициенты!$G$6</f>
        <v>0.03</v>
      </c>
      <c r="R234" s="74"/>
      <c r="S234" s="74">
        <f>коэффициенты!$G$9</f>
        <v>0</v>
      </c>
      <c r="T234" s="74"/>
      <c r="U234" s="74"/>
      <c r="V234" s="74">
        <f>коэффициенты!$G$11</f>
        <v>0.01</v>
      </c>
      <c r="W234" s="74"/>
      <c r="X234" s="74">
        <f>коэффициенты!$G$13</f>
        <v>0.01</v>
      </c>
      <c r="Y234" s="78">
        <f>коэффициенты!$G$15</f>
        <v>0.01</v>
      </c>
      <c r="Z234" s="74"/>
      <c r="AA234" s="74"/>
      <c r="AB234" s="74"/>
      <c r="AC234" s="74"/>
      <c r="AD234" s="74">
        <f>коэффициенты!$G$19</f>
        <v>0.01</v>
      </c>
      <c r="AE234" s="74"/>
      <c r="AF234" s="74">
        <f>коэффициенты!$G$21</f>
        <v>0.01</v>
      </c>
      <c r="AG234" s="74"/>
      <c r="AH234" s="74">
        <f>'отрицательный кф'!$O$13</f>
        <v>-0.14000000000000001</v>
      </c>
      <c r="AI234" s="73">
        <f>SUM(наценкад5[[#This Row],[еврокухня]:[большая площадь]])*наценкад5[[#This Row],[Цена м2 с базовым K]]+наценкад5[[#This Row],[Цена м2 с базовым K]]</f>
        <v>77868</v>
      </c>
      <c r="AJ234" s="72">
        <f>VLOOKUP(наценкад5[[#This Row],[№]],ППД5[],COLUMN(ППД5[[#This Row],[утв цена м2]]),0)</f>
        <v>85056.38</v>
      </c>
      <c r="AK234" s="3">
        <f>наценкад5[[#This Row],[утв цена м2]]*наценкад5[[#This Row],[Расчетная проектная площадь]]</f>
        <v>5076164.7584000006</v>
      </c>
      <c r="AL234" s="22" t="str">
        <f>VLOOKUP(наценкад5[[#This Row],[№]],ППД5[],COLUMN('Реестр ОН'!$DF$1),0)</f>
        <v>Продажа</v>
      </c>
    </row>
    <row r="235" spans="1:38" hidden="1" x14ac:dyDescent="0.25">
      <c r="A235" s="101">
        <v>233</v>
      </c>
      <c r="B235" s="2" t="str">
        <f>_xlfn.XLOOKUP(наценкад5[[#This Row],[№]],ППД5[№],ППД5[Секция],"-",0)</f>
        <v>В</v>
      </c>
      <c r="C235" s="2">
        <f>_xlfn.XLOOKUP(наценкад5[[#This Row],[№]],ППД5[№],ППД5[Этаж],"-",0)</f>
        <v>2</v>
      </c>
      <c r="D235" s="2">
        <f>_xlfn.XLOOKUP(наценкад5[[#This Row],[№]],ППД5[№],ППД5[№ на этаже],"-",0)</f>
        <v>5</v>
      </c>
      <c r="E235" s="2">
        <f>_xlfn.XLOOKUP(наценкад5[[#This Row],[№]],ППД5[№],ППД5[Тип кв],"-",0)</f>
        <v>1</v>
      </c>
      <c r="F235" s="72">
        <f>_xlfn.XLOOKUP(наценкад5[[#This Row],[№]],ППД5[№],ППД5[Кухня],"-",0)</f>
        <v>12.74</v>
      </c>
      <c r="G235" s="72">
        <f>_xlfn.XLOOKUP(наценкад5[[#This Row],[№]],ППД5[№],ППД5[Ванная],"-",0)</f>
        <v>4.0199999999999996</v>
      </c>
      <c r="H235" s="72">
        <f>_xlfn.XLOOKUP(наценкад5[[#This Row],[№]],ППД5[№],ППД5[Гардеробная],"-",0)</f>
        <v>0</v>
      </c>
      <c r="I235" s="72">
        <f>_xlfn.XLOOKUP(наценкад5[[#This Row],[№]],ППД5[№],ППД5[Лоджия 2],"-",0)</f>
        <v>0</v>
      </c>
      <c r="J235" s="72">
        <f>_xlfn.XLOOKUP(наценкад5[[#This Row],[№]],ППД5[№],ППД5[С\У],"-",0)</f>
        <v>0</v>
      </c>
      <c r="K235" s="72">
        <f>_xlfn.XLOOKUP(наценкад5[[#This Row],[№]],ППД5[№],ППД5[Расчетная проектная площадь],"-",0)</f>
        <v>37.81</v>
      </c>
      <c r="L235" s="12">
        <f t="shared" si="3"/>
        <v>63000</v>
      </c>
      <c r="M235" s="102">
        <f>коэффициенты!$G$2</f>
        <v>1.2875000000000001</v>
      </c>
      <c r="N235" s="13">
        <f>наценкад5[[#This Row],[Цена м2 базовая]]*наценкад5[[#This Row],[Базовой K]]</f>
        <v>81112.5</v>
      </c>
      <c r="O235" s="74"/>
      <c r="P235" s="76">
        <f>коэффициенты!$G$5</f>
        <v>0.01</v>
      </c>
      <c r="Q235" s="74">
        <f>коэффициенты!$G$6</f>
        <v>0.03</v>
      </c>
      <c r="R235" s="74"/>
      <c r="S235" s="74"/>
      <c r="T235" s="74"/>
      <c r="U235" s="74"/>
      <c r="V235" s="74">
        <f>коэффициенты!$G$11</f>
        <v>0.01</v>
      </c>
      <c r="W235" s="74"/>
      <c r="X235" s="74">
        <f>коэффициенты!$G$13</f>
        <v>0.01</v>
      </c>
      <c r="Y235" s="78">
        <f>коэффициенты!$G$15</f>
        <v>0.01</v>
      </c>
      <c r="Z235" s="74"/>
      <c r="AA235" s="74">
        <f>коэффициенты!$G$14</f>
        <v>0.01</v>
      </c>
      <c r="AB235" s="74"/>
      <c r="AC235" s="74"/>
      <c r="AD235" s="74">
        <f>коэффициенты!$G$19</f>
        <v>0.01</v>
      </c>
      <c r="AE235" s="74"/>
      <c r="AF235" s="74">
        <f>коэффициенты!$G$21</f>
        <v>0.01</v>
      </c>
      <c r="AG235" s="74"/>
      <c r="AH235" s="74"/>
      <c r="AI235" s="73">
        <f>SUM(наценкад5[[#This Row],[еврокухня]:[большая площадь]])*наценкад5[[#This Row],[Цена м2 с базовым K]]+наценкад5[[#This Row],[Цена м2 с базовым K]]</f>
        <v>89223.75</v>
      </c>
      <c r="AJ235" s="72">
        <f>VLOOKUP(наценкад5[[#This Row],[№]],ППД5[],COLUMN(ППД5[[#This Row],[утв цена м2]]),0)</f>
        <v>116126.49</v>
      </c>
      <c r="AK235" s="3">
        <f>наценкад5[[#This Row],[утв цена м2]]*наценкад5[[#This Row],[Расчетная проектная площадь]]</f>
        <v>4390742.5869000005</v>
      </c>
      <c r="AL235" s="22" t="str">
        <f>VLOOKUP(наценкад5[[#This Row],[№]],ППД5[],COLUMN('Реестр ОН'!$DF$1),0)</f>
        <v>Продажа</v>
      </c>
    </row>
    <row r="236" spans="1:38" hidden="1" x14ac:dyDescent="0.25">
      <c r="A236" s="101">
        <v>234</v>
      </c>
      <c r="B236" s="2" t="str">
        <f>_xlfn.XLOOKUP(наценкад5[[#This Row],[№]],ППД5[№],ППД5[Секция],"-",0)</f>
        <v>В</v>
      </c>
      <c r="C236" s="2">
        <f>_xlfn.XLOOKUP(наценкад5[[#This Row],[№]],ППД5[№],ППД5[Этаж],"-",0)</f>
        <v>2</v>
      </c>
      <c r="D236" s="2">
        <f>_xlfn.XLOOKUP(наценкад5[[#This Row],[№]],ППД5[№],ППД5[№ на этаже],"-",0)</f>
        <v>6</v>
      </c>
      <c r="E236" s="2">
        <f>_xlfn.XLOOKUP(наценкад5[[#This Row],[№]],ППД5[№],ППД5[Тип кв],"-",0)</f>
        <v>3</v>
      </c>
      <c r="F236" s="72">
        <f>_xlfn.XLOOKUP(наценкад5[[#This Row],[№]],ППД5[№],ППД5[Кухня],"-",0)</f>
        <v>13.15</v>
      </c>
      <c r="G236" s="72">
        <f>_xlfn.XLOOKUP(наценкад5[[#This Row],[№]],ППД5[№],ППД5[Ванная],"-",0)</f>
        <v>4.03</v>
      </c>
      <c r="H236" s="72">
        <f>_xlfn.XLOOKUP(наценкад5[[#This Row],[№]],ППД5[№],ППД5[Гардеробная],"-",0)</f>
        <v>0</v>
      </c>
      <c r="I236" s="72">
        <f>_xlfn.XLOOKUP(наценкад5[[#This Row],[№]],ППД5[№],ППД5[Лоджия 2],"-",0)</f>
        <v>2.68</v>
      </c>
      <c r="J236" s="72">
        <f>_xlfn.XLOOKUP(наценкад5[[#This Row],[№]],ППД5[№],ППД5[С\У],"-",0)</f>
        <v>1.76</v>
      </c>
      <c r="K236" s="72">
        <f>_xlfn.XLOOKUP(наценкад5[[#This Row],[№]],ППД5[№],ППД5[Расчетная проектная площадь],"-",0)</f>
        <v>80.97</v>
      </c>
      <c r="L236" s="12">
        <f t="shared" si="3"/>
        <v>63000</v>
      </c>
      <c r="M236" s="27">
        <f>коэффициенты!$E$2</f>
        <v>1.1330000000000002</v>
      </c>
      <c r="N236" s="13">
        <f>наценкад5[[#This Row],[Цена м2 базовая]]*наценкад5[[#This Row],[Базовой K]]</f>
        <v>71379.000000000015</v>
      </c>
      <c r="O236" s="74"/>
      <c r="P236" s="74">
        <f>коэффициенты!$E$5</f>
        <v>0</v>
      </c>
      <c r="Q236" s="74">
        <f>коэффициенты!$E$6</f>
        <v>0.01</v>
      </c>
      <c r="R236" s="74"/>
      <c r="S236" s="74">
        <f>коэффициенты!$E$9</f>
        <v>0</v>
      </c>
      <c r="T236" s="74">
        <f>коэффициенты!$E$7</f>
        <v>0</v>
      </c>
      <c r="U236" s="74"/>
      <c r="V236" s="74"/>
      <c r="W236" s="74"/>
      <c r="X236" s="74"/>
      <c r="Y236" s="78">
        <f>коэффициенты!$A$15</f>
        <v>0.01</v>
      </c>
      <c r="Z236" s="74"/>
      <c r="AA236" s="74">
        <f>коэффициенты!$E$14</f>
        <v>0</v>
      </c>
      <c r="AB236" s="74">
        <f>коэффициенты!$E$17</f>
        <v>0</v>
      </c>
      <c r="AC236" s="74"/>
      <c r="AD236" s="74"/>
      <c r="AE236" s="74"/>
      <c r="AF236" s="74">
        <f>коэффициенты!$E$21</f>
        <v>0.01</v>
      </c>
      <c r="AG236" s="74"/>
      <c r="AH236" s="74"/>
      <c r="AI236" s="73">
        <f>SUM(наценкад5[[#This Row],[еврокухня]:[большая площадь]])*наценкад5[[#This Row],[Цена м2 с базовым K]]+наценкад5[[#This Row],[Цена м2 с базовым K]]</f>
        <v>73520.37000000001</v>
      </c>
      <c r="AJ236" s="72">
        <f>VLOOKUP(наценкад5[[#This Row],[№]],ППД5[],COLUMN(ППД5[[#This Row],[утв цена м2]]),0)</f>
        <v>92193.2</v>
      </c>
      <c r="AK236" s="3">
        <f>наценкад5[[#This Row],[утв цена м2]]*наценкад5[[#This Row],[Расчетная проектная площадь]]</f>
        <v>7464883.4040000001</v>
      </c>
      <c r="AL236" s="22" t="str">
        <f>VLOOKUP(наценкад5[[#This Row],[№]],ППД5[],COLUMN('Реестр ОН'!$DF$1),0)</f>
        <v>Продажа</v>
      </c>
    </row>
    <row r="237" spans="1:38" hidden="1" x14ac:dyDescent="0.25">
      <c r="A237" s="101">
        <v>235</v>
      </c>
      <c r="B237" s="2" t="str">
        <f>_xlfn.XLOOKUP(наценкад5[[#This Row],[№]],ППД5[№],ППД5[Секция],"-",0)</f>
        <v>В</v>
      </c>
      <c r="C237" s="2">
        <f>_xlfn.XLOOKUP(наценкад5[[#This Row],[№]],ППД5[№],ППД5[Этаж],"-",0)</f>
        <v>2</v>
      </c>
      <c r="D237" s="2">
        <f>_xlfn.XLOOKUP(наценкад5[[#This Row],[№]],ППД5[№],ППД5[№ на этаже],"-",0)</f>
        <v>7</v>
      </c>
      <c r="E237" s="2">
        <f>_xlfn.XLOOKUP(наценкад5[[#This Row],[№]],ППД5[№],ППД5[Тип кв],"-",0)</f>
        <v>1</v>
      </c>
      <c r="F237" s="72">
        <f>_xlfn.XLOOKUP(наценкад5[[#This Row],[№]],ППД5[№],ППД5[Кухня],"-",0)</f>
        <v>9.2799999999999994</v>
      </c>
      <c r="G237" s="72">
        <f>_xlfn.XLOOKUP(наценкад5[[#This Row],[№]],ППД5[№],ППД5[Ванная],"-",0)</f>
        <v>3.79</v>
      </c>
      <c r="H237" s="72">
        <f>_xlfn.XLOOKUP(наценкад5[[#This Row],[№]],ППД5[№],ППД5[Гардеробная],"-",0)</f>
        <v>0</v>
      </c>
      <c r="I237" s="72">
        <f>_xlfn.XLOOKUP(наценкад5[[#This Row],[№]],ППД5[№],ППД5[Лоджия 2],"-",0)</f>
        <v>0</v>
      </c>
      <c r="J237" s="72">
        <f>_xlfn.XLOOKUP(наценкад5[[#This Row],[№]],ППД5[№],ППД5[С\У],"-",0)</f>
        <v>0</v>
      </c>
      <c r="K237" s="72">
        <f>_xlfn.XLOOKUP(наценкад5[[#This Row],[№]],ППД5[№],ППД5[Расчетная проектная площадь],"-",0)</f>
        <v>34.81</v>
      </c>
      <c r="L237" s="12">
        <f t="shared" si="3"/>
        <v>63000</v>
      </c>
      <c r="M237" s="102">
        <f>коэффициенты!$G$2</f>
        <v>1.2875000000000001</v>
      </c>
      <c r="N237" s="13">
        <f>наценкад5[[#This Row],[Цена м2 базовая]]*наценкад5[[#This Row],[Базовой K]]</f>
        <v>81112.5</v>
      </c>
      <c r="O237" s="74"/>
      <c r="P237" s="74"/>
      <c r="Q237" s="74"/>
      <c r="R237" s="74"/>
      <c r="S237" s="74"/>
      <c r="T237" s="74"/>
      <c r="U237" s="74"/>
      <c r="V237" s="74">
        <f>коэффициенты!$G$11</f>
        <v>0.01</v>
      </c>
      <c r="W237" s="75"/>
      <c r="X237" s="74"/>
      <c r="Y237" s="78">
        <f>коэффициенты!$G$15</f>
        <v>0.01</v>
      </c>
      <c r="Z237" s="74"/>
      <c r="AA237" s="74">
        <f>коэффициенты!$G$14</f>
        <v>0.01</v>
      </c>
      <c r="AB237" s="74"/>
      <c r="AC237" s="74"/>
      <c r="AD237" s="74">
        <f>коэффициенты!$G$19</f>
        <v>0.01</v>
      </c>
      <c r="AE237" s="74"/>
      <c r="AF237" s="74">
        <f>коэффициенты!$G$21</f>
        <v>0.01</v>
      </c>
      <c r="AG237" s="74">
        <f>коэффициенты!$A$24</f>
        <v>-5.0000000000000001E-3</v>
      </c>
      <c r="AH237" s="74"/>
      <c r="AI237" s="73">
        <f>SUM(наценкад5[[#This Row],[еврокухня]:[большая площадь]])*наценкад5[[#This Row],[Цена м2 с базовым K]]+наценкад5[[#This Row],[Цена м2 с базовым K]]</f>
        <v>84762.5625</v>
      </c>
      <c r="AJ237" s="72">
        <f>VLOOKUP(наценкад5[[#This Row],[№]],ППД5[],COLUMN(ППД5[[#This Row],[утв цена м2]]),0)</f>
        <v>104504.61</v>
      </c>
      <c r="AK237" s="3">
        <f>наценкад5[[#This Row],[утв цена м2]]*наценкад5[[#This Row],[Расчетная проектная площадь]]</f>
        <v>3637805.4741000002</v>
      </c>
      <c r="AL237" s="22" t="str">
        <f>VLOOKUP(наценкад5[[#This Row],[№]],ППД5[],COLUMN('Реестр ОН'!$DF$1),0)</f>
        <v>Продажа</v>
      </c>
    </row>
    <row r="238" spans="1:38" hidden="1" x14ac:dyDescent="0.25">
      <c r="A238" s="101">
        <v>236</v>
      </c>
      <c r="B238" s="2" t="str">
        <f>_xlfn.XLOOKUP(наценкад5[[#This Row],[№]],ППД5[№],ППД5[Секция],"-",0)</f>
        <v>В</v>
      </c>
      <c r="C238" s="2">
        <f>_xlfn.XLOOKUP(наценкад5[[#This Row],[№]],ППД5[№],ППД5[Этаж],"-",0)</f>
        <v>3</v>
      </c>
      <c r="D238" s="2">
        <f>_xlfn.XLOOKUP(наценкад5[[#This Row],[№]],ППД5[№],ППД5[№ на этаже],"-",0)</f>
        <v>1</v>
      </c>
      <c r="E238" s="2">
        <f>_xlfn.XLOOKUP(наценкад5[[#This Row],[№]],ППД5[№],ППД5[Тип кв],"-",0)</f>
        <v>2</v>
      </c>
      <c r="F238" s="72">
        <f>_xlfn.XLOOKUP(наценкад5[[#This Row],[№]],ППД5[№],ППД5[Кухня],"-",0)</f>
        <v>20.05</v>
      </c>
      <c r="G238" s="72">
        <f>_xlfn.XLOOKUP(наценкад5[[#This Row],[№]],ППД5[№],ППД5[Ванная],"-",0)</f>
        <v>3.54</v>
      </c>
      <c r="H238" s="72">
        <f>_xlfn.XLOOKUP(наценкад5[[#This Row],[№]],ППД5[№],ППД5[Гардеробная],"-",0)</f>
        <v>0</v>
      </c>
      <c r="I238" s="72">
        <f>_xlfn.XLOOKUP(наценкад5[[#This Row],[№]],ППД5[№],ППД5[Лоджия 2],"-",0)</f>
        <v>2.68</v>
      </c>
      <c r="J238" s="72">
        <f>_xlfn.XLOOKUP(наценкад5[[#This Row],[№]],ППД5[№],ППД5[С\У],"-",0)</f>
        <v>2.93</v>
      </c>
      <c r="K238" s="72">
        <f>_xlfn.XLOOKUP(наценкад5[[#This Row],[№]],ППД5[№],ППД5[Расчетная проектная площадь],"-",0)</f>
        <v>73.7</v>
      </c>
      <c r="L238" s="12">
        <f t="shared" si="3"/>
        <v>63000</v>
      </c>
      <c r="M238" s="102">
        <f>коэффициенты!$F$2</f>
        <v>1.2257</v>
      </c>
      <c r="N238" s="13">
        <f>наценкад5[[#This Row],[Цена м2 базовая]]*наценкад5[[#This Row],[Базовой K]]</f>
        <v>77219.100000000006</v>
      </c>
      <c r="O238" s="74">
        <f>коэффициенты!$F$4</f>
        <v>1.4999999999999999E-2</v>
      </c>
      <c r="P238" s="74"/>
      <c r="Q238" s="76"/>
      <c r="R238" s="76"/>
      <c r="S238" s="76">
        <f>коэффициенты!$F$9</f>
        <v>0</v>
      </c>
      <c r="T238" s="74">
        <f>коэффициенты!$F$7</f>
        <v>0.03</v>
      </c>
      <c r="U238" s="74"/>
      <c r="V238" s="74"/>
      <c r="W238" s="74"/>
      <c r="X238" s="74">
        <f>коэффициенты!$F$13</f>
        <v>0.02</v>
      </c>
      <c r="Y238" s="78">
        <f>коэффициенты!$F$15</f>
        <v>0.01</v>
      </c>
      <c r="Z238" s="74"/>
      <c r="AA238" s="74">
        <f>коэффициенты!$F$14</f>
        <v>0.02</v>
      </c>
      <c r="AB238" s="74"/>
      <c r="AC238" s="74"/>
      <c r="AD238" s="74">
        <f>коэффициенты!$F$19</f>
        <v>5.0000000000000001E-3</v>
      </c>
      <c r="AE238" s="74"/>
      <c r="AF238" s="74">
        <f>коэффициенты!$F$21</f>
        <v>0.01</v>
      </c>
      <c r="AG238" s="74"/>
      <c r="AH238" s="74">
        <f>'отрицательный кф'!$O$27</f>
        <v>-0.08</v>
      </c>
      <c r="AI238" s="73">
        <f>SUM(наценкад5[[#This Row],[еврокухня]:[большая площадь]])*наценкад5[[#This Row],[Цена м2 с базовым K]]+наценкад5[[#This Row],[Цена м2 с базовым K]]</f>
        <v>79535.67300000001</v>
      </c>
      <c r="AJ238" s="72">
        <f>VLOOKUP(наценкад5[[#This Row],[№]],ППД5[],COLUMN(ППД5[[#This Row],[утв цена м2]]),0)</f>
        <v>116438.96</v>
      </c>
      <c r="AK238" s="3">
        <f>наценкад5[[#This Row],[утв цена м2]]*наценкад5[[#This Row],[Расчетная проектная площадь]]</f>
        <v>8581551.352</v>
      </c>
      <c r="AL238" s="22" t="str">
        <f>VLOOKUP(наценкад5[[#This Row],[№]],ППД5[],COLUMN('Реестр ОН'!$DF$1),0)</f>
        <v>Стр. Резерв</v>
      </c>
    </row>
    <row r="239" spans="1:38" hidden="1" x14ac:dyDescent="0.25">
      <c r="A239" s="101">
        <v>237</v>
      </c>
      <c r="B239" s="2" t="str">
        <f>_xlfn.XLOOKUP(наценкад5[[#This Row],[№]],ППД5[№],ППД5[Секция],"-",0)</f>
        <v>В</v>
      </c>
      <c r="C239" s="2">
        <f>_xlfn.XLOOKUP(наценкад5[[#This Row],[№]],ППД5[№],ППД5[Этаж],"-",0)</f>
        <v>3</v>
      </c>
      <c r="D239" s="2">
        <f>_xlfn.XLOOKUP(наценкад5[[#This Row],[№]],ППД5[№],ППД5[№ на этаже],"-",0)</f>
        <v>2</v>
      </c>
      <c r="E239" s="2">
        <f>_xlfn.XLOOKUP(наценкад5[[#This Row],[№]],ППД5[№],ППД5[Тип кв],"-",0)</f>
        <v>0</v>
      </c>
      <c r="F239" s="72">
        <f>_xlfn.XLOOKUP(наценкад5[[#This Row],[№]],ППД5[№],ППД5[Кухня],"-",0)</f>
        <v>5.17</v>
      </c>
      <c r="G239" s="72">
        <f>_xlfn.XLOOKUP(наценкад5[[#This Row],[№]],ППД5[№],ППД5[Ванная],"-",0)</f>
        <v>3.72</v>
      </c>
      <c r="H239" s="72">
        <f>_xlfn.XLOOKUP(наценкад5[[#This Row],[№]],ППД5[№],ППД5[Гардеробная],"-",0)</f>
        <v>0</v>
      </c>
      <c r="I239" s="72">
        <f>_xlfn.XLOOKUP(наценкад5[[#This Row],[№]],ППД5[№],ППД5[Лоджия 2],"-",0)</f>
        <v>0</v>
      </c>
      <c r="J239" s="72">
        <f>_xlfn.XLOOKUP(наценкад5[[#This Row],[№]],ППД5[№],ППД5[С\У],"-",0)</f>
        <v>0</v>
      </c>
      <c r="K239" s="72">
        <f>_xlfn.XLOOKUP(наценкад5[[#This Row],[№]],ППД5[№],ППД5[Расчетная проектная площадь],"-",0)</f>
        <v>24.53</v>
      </c>
      <c r="L239" s="12">
        <f t="shared" si="3"/>
        <v>63000</v>
      </c>
      <c r="M239" s="116">
        <f>коэффициенты!$H$2</f>
        <v>1.3905000000000001</v>
      </c>
      <c r="N239" s="13">
        <f>наценкад5[[#This Row],[Цена м2 базовая]]*наценкад5[[#This Row],[Базовой K]]</f>
        <v>87601.5</v>
      </c>
      <c r="O239" s="74"/>
      <c r="P239" s="74"/>
      <c r="Q239" s="74"/>
      <c r="R239" s="74"/>
      <c r="S239" s="74"/>
      <c r="T239" s="74"/>
      <c r="U239" s="74"/>
      <c r="V239" s="74">
        <f>коэффициенты!$H$11</f>
        <v>0.01</v>
      </c>
      <c r="W239" s="74"/>
      <c r="X239" s="74">
        <f>коэффициенты!$H$13</f>
        <v>0.01</v>
      </c>
      <c r="Y239" s="78">
        <f>коэффициенты!$H$15</f>
        <v>0.01</v>
      </c>
      <c r="Z239" s="74"/>
      <c r="AA239" s="74"/>
      <c r="AB239" s="74"/>
      <c r="AC239" s="74"/>
      <c r="AD239" s="74">
        <f>коэффициенты!$H$19</f>
        <v>0.01</v>
      </c>
      <c r="AE239" s="74"/>
      <c r="AF239" s="74">
        <f>коэффициенты!$H$21</f>
        <v>0.01</v>
      </c>
      <c r="AG239" s="74"/>
      <c r="AH239" s="74"/>
      <c r="AI239" s="73">
        <f>SUM(наценкад5[[#This Row],[еврокухня]:[большая площадь]])*наценкад5[[#This Row],[Цена м2 с базовым K]]+наценкад5[[#This Row],[Цена м2 с базовым K]]</f>
        <v>91981.574999999997</v>
      </c>
      <c r="AJ239" s="72">
        <f>VLOOKUP(наценкад5[[#This Row],[№]],ППД5[],COLUMN(ППД5[[#This Row],[утв цена м2]]),0)</f>
        <v>96580.65</v>
      </c>
      <c r="AK239" s="3">
        <f>наценкад5[[#This Row],[утв цена м2]]*наценкад5[[#This Row],[Расчетная проектная площадь]]</f>
        <v>2369123.3445000001</v>
      </c>
      <c r="AL239" s="22" t="str">
        <f>VLOOKUP(наценкад5[[#This Row],[№]],ППД5[],COLUMN('Реестр ОН'!$DF$1),0)</f>
        <v>Продажа</v>
      </c>
    </row>
    <row r="240" spans="1:38" hidden="1" x14ac:dyDescent="0.25">
      <c r="A240" s="101">
        <v>238</v>
      </c>
      <c r="B240" s="2" t="str">
        <f>_xlfn.XLOOKUP(наценкад5[[#This Row],[№]],ППД5[№],ППД5[Секция],"-",0)</f>
        <v>В</v>
      </c>
      <c r="C240" s="2">
        <f>_xlfn.XLOOKUP(наценкад5[[#This Row],[№]],ППД5[№],ППД5[Этаж],"-",0)</f>
        <v>3</v>
      </c>
      <c r="D240" s="2">
        <f>_xlfn.XLOOKUP(наценкад5[[#This Row],[№]],ППД5[№],ППД5[№ на этаже],"-",0)</f>
        <v>3</v>
      </c>
      <c r="E240" s="2">
        <f>_xlfn.XLOOKUP(наценкад5[[#This Row],[№]],ППД5[№],ППД5[Тип кв],"-",0)</f>
        <v>2</v>
      </c>
      <c r="F240" s="72">
        <f>_xlfn.XLOOKUP(наценкад5[[#This Row],[№]],ППД5[№],ППД5[Кухня],"-",0)</f>
        <v>18.71</v>
      </c>
      <c r="G240" s="72">
        <f>_xlfn.XLOOKUP(наценкад5[[#This Row],[№]],ППД5[№],ППД5[Ванная],"-",0)</f>
        <v>3.49</v>
      </c>
      <c r="H240" s="72">
        <f>_xlfn.XLOOKUP(наценкад5[[#This Row],[№]],ППД5[№],ППД5[Гардеробная],"-",0)</f>
        <v>0</v>
      </c>
      <c r="I240" s="72">
        <f>_xlfn.XLOOKUP(наценкад5[[#This Row],[№]],ППД5[№],ППД5[Лоджия 2],"-",0)</f>
        <v>0</v>
      </c>
      <c r="J240" s="72">
        <f>_xlfn.XLOOKUP(наценкад5[[#This Row],[№]],ППД5[№],ППД5[С\У],"-",0)</f>
        <v>2.11</v>
      </c>
      <c r="K240" s="72">
        <f>_xlfn.XLOOKUP(наценкад5[[#This Row],[№]],ППД5[№],ППД5[Расчетная проектная площадь],"-",0)</f>
        <v>56.58</v>
      </c>
      <c r="L240" s="12">
        <f t="shared" si="3"/>
        <v>63000</v>
      </c>
      <c r="M240" s="102">
        <f>коэффициенты!$F$2</f>
        <v>1.2257</v>
      </c>
      <c r="N240" s="13">
        <f>наценкад5[[#This Row],[Цена м2 базовая]]*наценкад5[[#This Row],[Базовой K]]</f>
        <v>77219.100000000006</v>
      </c>
      <c r="O240" s="74">
        <f>коэффициенты!$F$4</f>
        <v>1.4999999999999999E-2</v>
      </c>
      <c r="P240" s="74"/>
      <c r="Q240" s="76"/>
      <c r="R240" s="76">
        <f>коэффициенты!$F$10</f>
        <v>0</v>
      </c>
      <c r="S240" s="76">
        <f>коэффициенты!$F$9</f>
        <v>0</v>
      </c>
      <c r="T240" s="74"/>
      <c r="U240" s="74"/>
      <c r="V240" s="74"/>
      <c r="W240" s="74"/>
      <c r="X240" s="74"/>
      <c r="Y240" s="78">
        <f>коэффициенты!$F$15</f>
        <v>0.01</v>
      </c>
      <c r="Z240" s="74"/>
      <c r="AA240" s="74"/>
      <c r="AB240" s="74"/>
      <c r="AC240" s="74"/>
      <c r="AD240" s="74">
        <f>коэффициенты!$F$19</f>
        <v>5.0000000000000001E-3</v>
      </c>
      <c r="AE240" s="74"/>
      <c r="AF240" s="74">
        <f>коэффициенты!$F$21</f>
        <v>0.01</v>
      </c>
      <c r="AG240" s="74"/>
      <c r="AH240" s="74"/>
      <c r="AI240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240" s="72">
        <f>VLOOKUP(наценкад5[[#This Row],[№]],ППД5[],COLUMN(ППД5[[#This Row],[утв цена м2]]),0)</f>
        <v>86852.95</v>
      </c>
      <c r="AK240" s="3">
        <f>наценкад5[[#This Row],[утв цена м2]]*наценкад5[[#This Row],[Расчетная проектная площадь]]</f>
        <v>4914139.9109999994</v>
      </c>
      <c r="AL240" s="22" t="str">
        <f>VLOOKUP(наценкад5[[#This Row],[№]],ППД5[],COLUMN('Реестр ОН'!$DF$1),0)</f>
        <v>Продажа</v>
      </c>
    </row>
    <row r="241" spans="1:38" hidden="1" x14ac:dyDescent="0.25">
      <c r="A241" s="101">
        <v>239</v>
      </c>
      <c r="B241" s="2" t="str">
        <f>_xlfn.XLOOKUP(наценкад5[[#This Row],[№]],ППД5[№],ППД5[Секция],"-",0)</f>
        <v>В</v>
      </c>
      <c r="C241" s="2">
        <f>_xlfn.XLOOKUP(наценкад5[[#This Row],[№]],ППД5[№],ППД5[Этаж],"-",0)</f>
        <v>3</v>
      </c>
      <c r="D241" s="2">
        <f>_xlfn.XLOOKUP(наценкад5[[#This Row],[№]],ППД5[№],ППД5[№ на этаже],"-",0)</f>
        <v>4</v>
      </c>
      <c r="E241" s="2">
        <f>_xlfn.XLOOKUP(наценкад5[[#This Row],[№]],ППД5[№],ППД5[Тип кв],"-",0)</f>
        <v>2</v>
      </c>
      <c r="F241" s="72">
        <f>_xlfn.XLOOKUP(наценкад5[[#This Row],[№]],ППД5[№],ППД5[Кухня],"-",0)</f>
        <v>15.44</v>
      </c>
      <c r="G241" s="72">
        <f>_xlfn.XLOOKUP(наценкад5[[#This Row],[№]],ППД5[№],ППД5[Ванная],"-",0)</f>
        <v>4.59</v>
      </c>
      <c r="H241" s="72">
        <f>_xlfn.XLOOKUP(наценкад5[[#This Row],[№]],ППД5[№],ППД5[Гардеробная],"-",0)</f>
        <v>0</v>
      </c>
      <c r="I241" s="72">
        <f>_xlfn.XLOOKUP(наценкад5[[#This Row],[№]],ППД5[№],ППД5[Лоджия 2],"-",0)</f>
        <v>0</v>
      </c>
      <c r="J241" s="72">
        <f>_xlfn.XLOOKUP(наценкад5[[#This Row],[№]],ППД5[№],ППД5[С\У],"-",0)</f>
        <v>2.21</v>
      </c>
      <c r="K241" s="72">
        <f>_xlfn.XLOOKUP(наценкад5[[#This Row],[№]],ППД5[№],ППД5[Расчетная проектная площадь],"-",0)</f>
        <v>60.24</v>
      </c>
      <c r="L241" s="12">
        <f t="shared" si="3"/>
        <v>63000</v>
      </c>
      <c r="M241" s="102">
        <f>коэффициенты!$F$2</f>
        <v>1.2257</v>
      </c>
      <c r="N241" s="13">
        <f>наценкад5[[#This Row],[Цена м2 базовая]]*наценкад5[[#This Row],[Базовой K]]</f>
        <v>77219.100000000006</v>
      </c>
      <c r="O241" s="74">
        <f>коэффициенты!$F$4</f>
        <v>1.4999999999999999E-2</v>
      </c>
      <c r="P241" s="74"/>
      <c r="Q241" s="76">
        <f>коэффициенты!$F$6</f>
        <v>0.02</v>
      </c>
      <c r="R241" s="76"/>
      <c r="S241" s="76">
        <f>коэффициенты!$F$9</f>
        <v>0</v>
      </c>
      <c r="T241" s="74"/>
      <c r="U241" s="74"/>
      <c r="V241" s="74">
        <f>коэффициенты!$F$11</f>
        <v>5.0000000000000001E-3</v>
      </c>
      <c r="W241" s="75"/>
      <c r="X241" s="74"/>
      <c r="Y241" s="78">
        <f>коэффициенты!$F$15</f>
        <v>0.01</v>
      </c>
      <c r="Z241" s="74"/>
      <c r="AA241" s="74"/>
      <c r="AB241" s="74"/>
      <c r="AC241" s="74"/>
      <c r="AD241" s="74">
        <f>коэффициенты!$F$19</f>
        <v>5.0000000000000001E-3</v>
      </c>
      <c r="AE241" s="74"/>
      <c r="AF241" s="74">
        <f>коэффициенты!$F$21</f>
        <v>0.01</v>
      </c>
      <c r="AG241" s="74"/>
      <c r="AH241" s="74"/>
      <c r="AI241" s="73">
        <f>SUM(наценкад5[[#This Row],[еврокухня]:[большая площадь]])*наценкад5[[#This Row],[Цена м2 с базовым K]]+наценкад5[[#This Row],[Цена м2 с базовым K]]</f>
        <v>82238.34150000001</v>
      </c>
      <c r="AJ241" s="72">
        <f>VLOOKUP(наценкад5[[#This Row],[№]],ППД5[],COLUMN(ППД5[[#This Row],[утв цена м2]]),0)</f>
        <v>122890.78</v>
      </c>
      <c r="AK241" s="3">
        <f>наценкад5[[#This Row],[утв цена м2]]*наценкад5[[#This Row],[Расчетная проектная площадь]]</f>
        <v>7402940.5872</v>
      </c>
      <c r="AL241" s="22" t="str">
        <f>VLOOKUP(наценкад5[[#This Row],[№]],ППД5[],COLUMN('Реестр ОН'!$DF$1),0)</f>
        <v>Продажа</v>
      </c>
    </row>
    <row r="242" spans="1:38" hidden="1" x14ac:dyDescent="0.25">
      <c r="A242" s="101">
        <v>240</v>
      </c>
      <c r="B242" s="2" t="str">
        <f>_xlfn.XLOOKUP(наценкад5[[#This Row],[№]],ППД5[№],ППД5[Секция],"-",0)</f>
        <v>В</v>
      </c>
      <c r="C242" s="2">
        <f>_xlfn.XLOOKUP(наценкад5[[#This Row],[№]],ППД5[№],ППД5[Этаж],"-",0)</f>
        <v>3</v>
      </c>
      <c r="D242" s="2">
        <f>_xlfn.XLOOKUP(наценкад5[[#This Row],[№]],ППД5[№],ППД5[№ на этаже],"-",0)</f>
        <v>5</v>
      </c>
      <c r="E242" s="2">
        <f>_xlfn.XLOOKUP(наценкад5[[#This Row],[№]],ППД5[№],ППД5[Тип кв],"-",0)</f>
        <v>1</v>
      </c>
      <c r="F242" s="3">
        <f>_xlfn.XLOOKUP(наценкад5[[#This Row],[№]],ППД5[№],ППД5[Кухня],"-",0)</f>
        <v>12.74</v>
      </c>
      <c r="G242" s="72">
        <f>_xlfn.XLOOKUP(наценкад5[[#This Row],[№]],ППД5[№],ППД5[Ванная],"-",0)</f>
        <v>4.0199999999999996</v>
      </c>
      <c r="H242" s="72">
        <f>_xlfn.XLOOKUP(наценкад5[[#This Row],[№]],ППД5[№],ППД5[Гардеробная],"-",0)</f>
        <v>0</v>
      </c>
      <c r="I242" s="72">
        <f>_xlfn.XLOOKUP(наценкад5[[#This Row],[№]],ППД5[№],ППД5[Лоджия 2],"-",0)</f>
        <v>0</v>
      </c>
      <c r="J242" s="72">
        <f>_xlfn.XLOOKUP(наценкад5[[#This Row],[№]],ППД5[№],ППД5[С\У],"-",0)</f>
        <v>0</v>
      </c>
      <c r="K242" s="72">
        <f>_xlfn.XLOOKUP(наценкад5[[#This Row],[№]],ППД5[№],ППД5[Расчетная проектная площадь],"-",0)</f>
        <v>37.81</v>
      </c>
      <c r="L242" s="12">
        <f t="shared" si="3"/>
        <v>63000</v>
      </c>
      <c r="M242" s="102">
        <f>коэффициенты!$G$2</f>
        <v>1.2875000000000001</v>
      </c>
      <c r="N242" s="13">
        <f>наценкад5[[#This Row],[Цена м2 базовая]]*наценкад5[[#This Row],[Базовой K]]</f>
        <v>81112.5</v>
      </c>
      <c r="O242" s="74"/>
      <c r="P242" s="76">
        <f>коэффициенты!$G$5</f>
        <v>0.01</v>
      </c>
      <c r="Q242" s="74">
        <f>коэффициенты!$G$6</f>
        <v>0.03</v>
      </c>
      <c r="R242" s="74"/>
      <c r="S242" s="74"/>
      <c r="T242" s="74"/>
      <c r="U242" s="74"/>
      <c r="V242" s="74">
        <f>коэффициенты!$G$11</f>
        <v>0.01</v>
      </c>
      <c r="W242" s="74"/>
      <c r="X242" s="74">
        <f>коэффициенты!$G$13</f>
        <v>0.01</v>
      </c>
      <c r="Y242" s="78">
        <f>коэффициенты!$G$15</f>
        <v>0.01</v>
      </c>
      <c r="Z242" s="74"/>
      <c r="AA242" s="74">
        <f>коэффициенты!$G$14</f>
        <v>0.01</v>
      </c>
      <c r="AB242" s="74"/>
      <c r="AC242" s="74"/>
      <c r="AD242" s="74">
        <f>коэффициенты!$G$19</f>
        <v>0.01</v>
      </c>
      <c r="AE242" s="74"/>
      <c r="AF242" s="74">
        <f>коэффициенты!$G$21</f>
        <v>0.01</v>
      </c>
      <c r="AG242" s="74"/>
      <c r="AH242" s="74"/>
      <c r="AI242" s="73">
        <f>SUM(наценкад5[[#This Row],[еврокухня]:[большая площадь]])*наценкад5[[#This Row],[Цена м2 с базовым K]]+наценкад5[[#This Row],[Цена м2 с базовым K]]</f>
        <v>89223.75</v>
      </c>
      <c r="AJ242" s="72">
        <f>VLOOKUP(наценкад5[[#This Row],[№]],ППД5[],COLUMN(ППД5[[#This Row],[утв цена м2]]),0)</f>
        <v>93684.94</v>
      </c>
      <c r="AK242" s="3">
        <f>наценкад5[[#This Row],[утв цена м2]]*наценкад5[[#This Row],[Расчетная проектная площадь]]</f>
        <v>3542227.5814000005</v>
      </c>
      <c r="AL242" s="22" t="str">
        <f>VLOOKUP(наценкад5[[#This Row],[№]],ППД5[],COLUMN('Реестр ОН'!$DF$1),0)</f>
        <v>Продажа</v>
      </c>
    </row>
    <row r="243" spans="1:38" hidden="1" x14ac:dyDescent="0.25">
      <c r="A243" s="101">
        <v>241</v>
      </c>
      <c r="B243" s="2" t="str">
        <f>_xlfn.XLOOKUP(наценкад5[[#This Row],[№]],ППД5[№],ППД5[Секция],"-",0)</f>
        <v>В</v>
      </c>
      <c r="C243" s="2">
        <f>_xlfn.XLOOKUP(наценкад5[[#This Row],[№]],ППД5[№],ППД5[Этаж],"-",0)</f>
        <v>3</v>
      </c>
      <c r="D243" s="2">
        <f>_xlfn.XLOOKUP(наценкад5[[#This Row],[№]],ППД5[№],ППД5[№ на этаже],"-",0)</f>
        <v>6</v>
      </c>
      <c r="E243" s="2">
        <f>_xlfn.XLOOKUP(наценкад5[[#This Row],[№]],ППД5[№],ППД5[Тип кв],"-",0)</f>
        <v>3</v>
      </c>
      <c r="F243" s="72">
        <f>_xlfn.XLOOKUP(наценкад5[[#This Row],[№]],ППД5[№],ППД5[Кухня],"-",0)</f>
        <v>13.15</v>
      </c>
      <c r="G243" s="72">
        <f>_xlfn.XLOOKUP(наценкад5[[#This Row],[№]],ППД5[№],ППД5[Ванная],"-",0)</f>
        <v>4.03</v>
      </c>
      <c r="H243" s="72">
        <f>_xlfn.XLOOKUP(наценкад5[[#This Row],[№]],ППД5[№],ППД5[Гардеробная],"-",0)</f>
        <v>0</v>
      </c>
      <c r="I243" s="72">
        <f>_xlfn.XLOOKUP(наценкад5[[#This Row],[№]],ППД5[№],ППД5[Лоджия 2],"-",0)</f>
        <v>2.68</v>
      </c>
      <c r="J243" s="72">
        <f>_xlfn.XLOOKUP(наценкад5[[#This Row],[№]],ППД5[№],ППД5[С\У],"-",0)</f>
        <v>1.76</v>
      </c>
      <c r="K243" s="72">
        <f>_xlfn.XLOOKUP(наценкад5[[#This Row],[№]],ППД5[№],ППД5[Расчетная проектная площадь],"-",0)</f>
        <v>80.97</v>
      </c>
      <c r="L243" s="12">
        <f t="shared" si="3"/>
        <v>63000</v>
      </c>
      <c r="M243" s="27">
        <f>коэффициенты!$E$2</f>
        <v>1.1330000000000002</v>
      </c>
      <c r="N243" s="13">
        <f>наценкад5[[#This Row],[Цена м2 базовая]]*наценкад5[[#This Row],[Базовой K]]</f>
        <v>71379.000000000015</v>
      </c>
      <c r="O243" s="74"/>
      <c r="P243" s="74">
        <f>коэффициенты!$E$5</f>
        <v>0</v>
      </c>
      <c r="Q243" s="74">
        <f>коэффициенты!$E$6</f>
        <v>0.01</v>
      </c>
      <c r="R243" s="74"/>
      <c r="S243" s="74">
        <f>коэффициенты!$E$9</f>
        <v>0</v>
      </c>
      <c r="T243" s="74">
        <f>коэффициенты!$E$7</f>
        <v>0</v>
      </c>
      <c r="U243" s="74"/>
      <c r="V243" s="74"/>
      <c r="W243" s="117">
        <f>коэффициенты!$A$22</f>
        <v>0.01</v>
      </c>
      <c r="X243" s="74"/>
      <c r="Y243" s="78">
        <f>коэффициенты!$A$15</f>
        <v>0.01</v>
      </c>
      <c r="Z243" s="74"/>
      <c r="AA243" s="74">
        <f>коэффициенты!$E$14</f>
        <v>0</v>
      </c>
      <c r="AB243" s="74">
        <f>коэффициенты!$E$17</f>
        <v>0</v>
      </c>
      <c r="AC243" s="74"/>
      <c r="AD243" s="74"/>
      <c r="AE243" s="74"/>
      <c r="AF243" s="74">
        <f>коэффициенты!$E$21</f>
        <v>0.01</v>
      </c>
      <c r="AG243" s="74"/>
      <c r="AH243" s="74"/>
      <c r="AI243" s="73">
        <f>SUM(наценкад5[[#This Row],[еврокухня]:[большая площадь]])*наценкад5[[#This Row],[Цена м2 с базовым K]]+наценкад5[[#This Row],[Цена м2 с базовым K]]</f>
        <v>74234.160000000018</v>
      </c>
      <c r="AJ243" s="72">
        <f>VLOOKUP(наценкад5[[#This Row],[№]],ППД5[],COLUMN(ППД5[[#This Row],[утв цена м2]]),0)</f>
        <v>91712.59</v>
      </c>
      <c r="AK243" s="3">
        <f>наценкад5[[#This Row],[утв цена м2]]*наценкад5[[#This Row],[Расчетная проектная площадь]]</f>
        <v>7425968.4123</v>
      </c>
      <c r="AL243" s="22" t="str">
        <f>VLOOKUP(наценкад5[[#This Row],[№]],ППД5[],COLUMN('Реестр ОН'!$DF$1),0)</f>
        <v>Продажа</v>
      </c>
    </row>
    <row r="244" spans="1:38" hidden="1" x14ac:dyDescent="0.25">
      <c r="A244" s="101">
        <v>242</v>
      </c>
      <c r="B244" s="2" t="str">
        <f>_xlfn.XLOOKUP(наценкад5[[#This Row],[№]],ППД5[№],ППД5[Секция],"-",0)</f>
        <v>В</v>
      </c>
      <c r="C244" s="2">
        <f>_xlfn.XLOOKUP(наценкад5[[#This Row],[№]],ППД5[№],ППД5[Этаж],"-",0)</f>
        <v>3</v>
      </c>
      <c r="D244" s="2">
        <f>_xlfn.XLOOKUP(наценкад5[[#This Row],[№]],ППД5[№],ППД5[№ на этаже],"-",0)</f>
        <v>7</v>
      </c>
      <c r="E244" s="2">
        <f>_xlfn.XLOOKUP(наценкад5[[#This Row],[№]],ППД5[№],ППД5[Тип кв],"-",0)</f>
        <v>1</v>
      </c>
      <c r="F244" s="72">
        <f>_xlfn.XLOOKUP(наценкад5[[#This Row],[№]],ППД5[№],ППД5[Кухня],"-",0)</f>
        <v>9.2799999999999994</v>
      </c>
      <c r="G244" s="72">
        <f>_xlfn.XLOOKUP(наценкад5[[#This Row],[№]],ППД5[№],ППД5[Ванная],"-",0)</f>
        <v>3.79</v>
      </c>
      <c r="H244" s="72">
        <f>_xlfn.XLOOKUP(наценкад5[[#This Row],[№]],ППД5[№],ППД5[Гардеробная],"-",0)</f>
        <v>0</v>
      </c>
      <c r="I244" s="72">
        <f>_xlfn.XLOOKUP(наценкад5[[#This Row],[№]],ППД5[№],ППД5[Лоджия 2],"-",0)</f>
        <v>0</v>
      </c>
      <c r="J244" s="72">
        <f>_xlfn.XLOOKUP(наценкад5[[#This Row],[№]],ППД5[№],ППД5[С\У],"-",0)</f>
        <v>0</v>
      </c>
      <c r="K244" s="72">
        <f>_xlfn.XLOOKUP(наценкад5[[#This Row],[№]],ППД5[№],ППД5[Расчетная проектная площадь],"-",0)</f>
        <v>34.81</v>
      </c>
      <c r="L244" s="12">
        <f t="shared" si="3"/>
        <v>63000</v>
      </c>
      <c r="M244" s="102">
        <f>коэффициенты!$G$2</f>
        <v>1.2875000000000001</v>
      </c>
      <c r="N244" s="13">
        <f>наценкад5[[#This Row],[Цена м2 базовая]]*наценкад5[[#This Row],[Базовой K]]</f>
        <v>81112.5</v>
      </c>
      <c r="O244" s="74"/>
      <c r="P244" s="74"/>
      <c r="Q244" s="74"/>
      <c r="R244" s="74"/>
      <c r="S244" s="74"/>
      <c r="T244" s="74"/>
      <c r="U244" s="74"/>
      <c r="V244" s="74">
        <f>коэффициенты!$G$11</f>
        <v>0.01</v>
      </c>
      <c r="W244" s="117">
        <f>коэффициенты!$G$22</f>
        <v>0.01</v>
      </c>
      <c r="X244" s="74"/>
      <c r="Y244" s="78">
        <f>коэффициенты!$G$15</f>
        <v>0.01</v>
      </c>
      <c r="Z244" s="74"/>
      <c r="AA244" s="74">
        <f>коэффициенты!$G$14</f>
        <v>0.01</v>
      </c>
      <c r="AB244" s="74"/>
      <c r="AC244" s="74"/>
      <c r="AD244" s="74">
        <f>коэффициенты!$G$19</f>
        <v>0.01</v>
      </c>
      <c r="AE244" s="74"/>
      <c r="AF244" s="74">
        <f>коэффициенты!$G$21</f>
        <v>0.01</v>
      </c>
      <c r="AG244" s="74">
        <f>коэффициенты!$A$24</f>
        <v>-5.0000000000000001E-3</v>
      </c>
      <c r="AH244" s="74"/>
      <c r="AI244" s="73">
        <f>SUM(наценкад5[[#This Row],[еврокухня]:[большая площадь]])*наценкад5[[#This Row],[Цена м2 с базовым K]]+наценкад5[[#This Row],[Цена м2 с базовым K]]</f>
        <v>85573.6875</v>
      </c>
      <c r="AJ244" s="72">
        <f>VLOOKUP(наценкад5[[#This Row],[№]],ППД5[],COLUMN(ППД5[[#This Row],[утв цена м2]]),0)</f>
        <v>85573.69</v>
      </c>
      <c r="AK244" s="3">
        <f>наценкад5[[#This Row],[утв цена м2]]*наценкад5[[#This Row],[Расчетная проектная площадь]]</f>
        <v>2978820.1489000004</v>
      </c>
      <c r="AL244" s="22" t="str">
        <f>VLOOKUP(наценкад5[[#This Row],[№]],ППД5[],COLUMN('Реестр ОН'!$DF$1),0)</f>
        <v>Продажа</v>
      </c>
    </row>
    <row r="245" spans="1:38" hidden="1" x14ac:dyDescent="0.25">
      <c r="A245" s="101">
        <v>243</v>
      </c>
      <c r="B245" s="2" t="str">
        <f>_xlfn.XLOOKUP(наценкад5[[#This Row],[№]],ППД5[№],ППД5[Секция],"-",0)</f>
        <v>В</v>
      </c>
      <c r="C245" s="2">
        <f>_xlfn.XLOOKUP(наценкад5[[#This Row],[№]],ППД5[№],ППД5[Этаж],"-",0)</f>
        <v>4</v>
      </c>
      <c r="D245" s="2">
        <f>_xlfn.XLOOKUP(наценкад5[[#This Row],[№]],ППД5[№],ППД5[№ на этаже],"-",0)</f>
        <v>1</v>
      </c>
      <c r="E245" s="2">
        <f>_xlfn.XLOOKUP(наценкад5[[#This Row],[№]],ППД5[№],ППД5[Тип кв],"-",0)</f>
        <v>2</v>
      </c>
      <c r="F245" s="72">
        <f>_xlfn.XLOOKUP(наценкад5[[#This Row],[№]],ППД5[№],ППД5[Кухня],"-",0)</f>
        <v>20.05</v>
      </c>
      <c r="G245" s="72">
        <f>_xlfn.XLOOKUP(наценкад5[[#This Row],[№]],ППД5[№],ППД5[Ванная],"-",0)</f>
        <v>3.54</v>
      </c>
      <c r="H245" s="72">
        <f>_xlfn.XLOOKUP(наценкад5[[#This Row],[№]],ППД5[№],ППД5[Гардеробная],"-",0)</f>
        <v>0</v>
      </c>
      <c r="I245" s="72">
        <f>_xlfn.XLOOKUP(наценкад5[[#This Row],[№]],ППД5[№],ППД5[Лоджия 2],"-",0)</f>
        <v>2.68</v>
      </c>
      <c r="J245" s="72">
        <f>_xlfn.XLOOKUP(наценкад5[[#This Row],[№]],ППД5[№],ППД5[С\У],"-",0)</f>
        <v>2.93</v>
      </c>
      <c r="K245" s="72">
        <f>_xlfn.XLOOKUP(наценкад5[[#This Row],[№]],ППД5[№],ППД5[Расчетная проектная площадь],"-",0)</f>
        <v>73.7</v>
      </c>
      <c r="L245" s="12">
        <f t="shared" si="3"/>
        <v>63000</v>
      </c>
      <c r="M245" s="102">
        <f>коэффициенты!$F$2</f>
        <v>1.2257</v>
      </c>
      <c r="N245" s="13">
        <f>наценкад5[[#This Row],[Цена м2 базовая]]*наценкад5[[#This Row],[Базовой K]]</f>
        <v>77219.100000000006</v>
      </c>
      <c r="O245" s="74">
        <f>коэффициенты!$F$4</f>
        <v>1.4999999999999999E-2</v>
      </c>
      <c r="P245" s="74"/>
      <c r="Q245" s="76"/>
      <c r="R245" s="76"/>
      <c r="S245" s="76">
        <f>коэффициенты!$F$9</f>
        <v>0</v>
      </c>
      <c r="T245" s="74">
        <f>коэффициенты!$F$7</f>
        <v>0.03</v>
      </c>
      <c r="U245" s="74"/>
      <c r="V245" s="74"/>
      <c r="W245" s="75">
        <f>коэффициенты!$F$12</f>
        <v>0.02</v>
      </c>
      <c r="X245" s="74">
        <f>коэффициенты!$F$13</f>
        <v>0.02</v>
      </c>
      <c r="Y245" s="78">
        <f>коэффициенты!$F$15</f>
        <v>0.01</v>
      </c>
      <c r="Z245" s="74"/>
      <c r="AA245" s="74">
        <f>коэффициенты!$F$14</f>
        <v>0.02</v>
      </c>
      <c r="AB245" s="74"/>
      <c r="AC245" s="74"/>
      <c r="AD245" s="74">
        <f>коэффициенты!$F$19</f>
        <v>5.0000000000000001E-3</v>
      </c>
      <c r="AE245" s="74"/>
      <c r="AF245" s="74">
        <f>коэффициенты!$F$21</f>
        <v>0.01</v>
      </c>
      <c r="AG245" s="74"/>
      <c r="AH245" s="74">
        <f>'отрицательный кф'!$O$27</f>
        <v>-0.08</v>
      </c>
      <c r="AI245" s="73">
        <f>SUM(наценкад5[[#This Row],[еврокухня]:[большая площадь]])*наценкад5[[#This Row],[Цена м2 с базовым K]]+наценкад5[[#This Row],[Цена м2 с базовым K]]</f>
        <v>81080.055000000008</v>
      </c>
      <c r="AJ245" s="72">
        <f>VLOOKUP(наценкад5[[#This Row],[№]],ППД5[],COLUMN(ППД5[[#This Row],[утв цена м2]]),0)</f>
        <v>118699.23</v>
      </c>
      <c r="AK245" s="3">
        <f>наценкад5[[#This Row],[утв цена м2]]*наценкад5[[#This Row],[Расчетная проектная площадь]]</f>
        <v>8748133.2510000002</v>
      </c>
      <c r="AL245" s="22" t="str">
        <f>VLOOKUP(наценкад5[[#This Row],[№]],ППД5[],COLUMN('Реестр ОН'!$DF$1),0)</f>
        <v>Свободно</v>
      </c>
    </row>
    <row r="246" spans="1:38" hidden="1" x14ac:dyDescent="0.25">
      <c r="A246" s="101">
        <v>244</v>
      </c>
      <c r="B246" s="2" t="str">
        <f>_xlfn.XLOOKUP(наценкад5[[#This Row],[№]],ППД5[№],ППД5[Секция],"-",0)</f>
        <v>В</v>
      </c>
      <c r="C246" s="2">
        <f>_xlfn.XLOOKUP(наценкад5[[#This Row],[№]],ППД5[№],ППД5[Этаж],"-",0)</f>
        <v>4</v>
      </c>
      <c r="D246" s="2">
        <f>_xlfn.XLOOKUP(наценкад5[[#This Row],[№]],ППД5[№],ППД5[№ на этаже],"-",0)</f>
        <v>2</v>
      </c>
      <c r="E246" s="2">
        <f>_xlfn.XLOOKUP(наценкад5[[#This Row],[№]],ППД5[№],ППД5[Тип кв],"-",0)</f>
        <v>0</v>
      </c>
      <c r="F246" s="72">
        <f>_xlfn.XLOOKUP(наценкад5[[#This Row],[№]],ППД5[№],ППД5[Кухня],"-",0)</f>
        <v>5.17</v>
      </c>
      <c r="G246" s="72">
        <f>_xlfn.XLOOKUP(наценкад5[[#This Row],[№]],ППД5[№],ППД5[Ванная],"-",0)</f>
        <v>3.72</v>
      </c>
      <c r="H246" s="72">
        <f>_xlfn.XLOOKUP(наценкад5[[#This Row],[№]],ППД5[№],ППД5[Гардеробная],"-",0)</f>
        <v>0</v>
      </c>
      <c r="I246" s="72">
        <f>_xlfn.XLOOKUP(наценкад5[[#This Row],[№]],ППД5[№],ППД5[Лоджия 2],"-",0)</f>
        <v>0</v>
      </c>
      <c r="J246" s="72">
        <f>_xlfn.XLOOKUP(наценкад5[[#This Row],[№]],ППД5[№],ППД5[С\У],"-",0)</f>
        <v>0</v>
      </c>
      <c r="K246" s="72">
        <f>_xlfn.XLOOKUP(наценкад5[[#This Row],[№]],ППД5[№],ППД5[Расчетная проектная площадь],"-",0)</f>
        <v>24.53</v>
      </c>
      <c r="L246" s="12">
        <f t="shared" si="3"/>
        <v>63000</v>
      </c>
      <c r="M246" s="116">
        <f>коэффициенты!$H$2</f>
        <v>1.3905000000000001</v>
      </c>
      <c r="N246" s="13">
        <f>наценкад5[[#This Row],[Цена м2 базовая]]*наценкад5[[#This Row],[Базовой K]]</f>
        <v>87601.5</v>
      </c>
      <c r="O246" s="74"/>
      <c r="P246" s="74"/>
      <c r="Q246" s="74"/>
      <c r="R246" s="74"/>
      <c r="S246" s="74"/>
      <c r="T246" s="74"/>
      <c r="U246" s="74"/>
      <c r="V246" s="74">
        <f>коэффициенты!$H$11</f>
        <v>0.01</v>
      </c>
      <c r="W246" s="74"/>
      <c r="X246" s="74">
        <f>коэффициенты!$H$13</f>
        <v>0.01</v>
      </c>
      <c r="Y246" s="78">
        <f>коэффициенты!$H$15</f>
        <v>0.01</v>
      </c>
      <c r="Z246" s="74"/>
      <c r="AA246" s="74"/>
      <c r="AB246" s="74"/>
      <c r="AC246" s="74"/>
      <c r="AD246" s="74">
        <f>коэффициенты!$H$19</f>
        <v>0.01</v>
      </c>
      <c r="AE246" s="74"/>
      <c r="AF246" s="74">
        <f>коэффициенты!$H$21</f>
        <v>0.01</v>
      </c>
      <c r="AG246" s="74"/>
      <c r="AH246" s="74"/>
      <c r="AI246" s="73">
        <f>SUM(наценкад5[[#This Row],[еврокухня]:[большая площадь]])*наценкад5[[#This Row],[Цена м2 с базовым K]]+наценкад5[[#This Row],[Цена м2 с базовым K]]</f>
        <v>91981.574999999997</v>
      </c>
      <c r="AJ246" s="72">
        <f>VLOOKUP(наценкад5[[#This Row],[№]],ППД5[],COLUMN(ППД5[[#This Row],[утв цена м2]]),0)</f>
        <v>122787.37</v>
      </c>
      <c r="AK246" s="3">
        <f>наценкад5[[#This Row],[утв цена м2]]*наценкад5[[#This Row],[Расчетная проектная площадь]]</f>
        <v>3011974.1861</v>
      </c>
      <c r="AL246" s="22" t="str">
        <f>VLOOKUP(наценкад5[[#This Row],[№]],ППД5[],COLUMN('Реестр ОН'!$DF$1),0)</f>
        <v>Продажа</v>
      </c>
    </row>
    <row r="247" spans="1:38" hidden="1" x14ac:dyDescent="0.25">
      <c r="A247" s="101">
        <v>245</v>
      </c>
      <c r="B247" s="2" t="str">
        <f>_xlfn.XLOOKUP(наценкад5[[#This Row],[№]],ППД5[№],ППД5[Секция],"-",0)</f>
        <v>В</v>
      </c>
      <c r="C247" s="2">
        <f>_xlfn.XLOOKUP(наценкад5[[#This Row],[№]],ППД5[№],ППД5[Этаж],"-",0)</f>
        <v>4</v>
      </c>
      <c r="D247" s="2">
        <f>_xlfn.XLOOKUP(наценкад5[[#This Row],[№]],ППД5[№],ППД5[№ на этаже],"-",0)</f>
        <v>3</v>
      </c>
      <c r="E247" s="2">
        <f>_xlfn.XLOOKUP(наценкад5[[#This Row],[№]],ППД5[№],ППД5[Тип кв],"-",0)</f>
        <v>2</v>
      </c>
      <c r="F247" s="72">
        <f>_xlfn.XLOOKUP(наценкад5[[#This Row],[№]],ППД5[№],ППД5[Кухня],"-",0)</f>
        <v>18.71</v>
      </c>
      <c r="G247" s="72">
        <f>_xlfn.XLOOKUP(наценкад5[[#This Row],[№]],ППД5[№],ППД5[Ванная],"-",0)</f>
        <v>3.49</v>
      </c>
      <c r="H247" s="72">
        <f>_xlfn.XLOOKUP(наценкад5[[#This Row],[№]],ППД5[№],ППД5[Гардеробная],"-",0)</f>
        <v>0</v>
      </c>
      <c r="I247" s="72">
        <f>_xlfn.XLOOKUP(наценкад5[[#This Row],[№]],ППД5[№],ППД5[Лоджия 2],"-",0)</f>
        <v>0</v>
      </c>
      <c r="J247" s="72">
        <f>_xlfn.XLOOKUP(наценкад5[[#This Row],[№]],ППД5[№],ППД5[С\У],"-",0)</f>
        <v>2.11</v>
      </c>
      <c r="K247" s="72">
        <f>_xlfn.XLOOKUP(наценкад5[[#This Row],[№]],ППД5[№],ППД5[Расчетная проектная площадь],"-",0)</f>
        <v>56.58</v>
      </c>
      <c r="L247" s="12">
        <f t="shared" si="3"/>
        <v>63000</v>
      </c>
      <c r="M247" s="102">
        <f>коэффициенты!$F$2</f>
        <v>1.2257</v>
      </c>
      <c r="N247" s="13">
        <f>наценкад5[[#This Row],[Цена м2 базовая]]*наценкад5[[#This Row],[Базовой K]]</f>
        <v>77219.100000000006</v>
      </c>
      <c r="O247" s="74">
        <f>коэффициенты!$F$4</f>
        <v>1.4999999999999999E-2</v>
      </c>
      <c r="P247" s="74"/>
      <c r="Q247" s="76"/>
      <c r="R247" s="76">
        <f>коэффициенты!$F$10</f>
        <v>0</v>
      </c>
      <c r="S247" s="76">
        <f>коэффициенты!$F$9</f>
        <v>0</v>
      </c>
      <c r="T247" s="74"/>
      <c r="U247" s="74"/>
      <c r="V247" s="74"/>
      <c r="W247" s="75"/>
      <c r="X247" s="74"/>
      <c r="Y247" s="78">
        <f>коэффициенты!$F$15</f>
        <v>0.01</v>
      </c>
      <c r="Z247" s="74"/>
      <c r="AA247" s="74"/>
      <c r="AB247" s="74"/>
      <c r="AC247" s="74"/>
      <c r="AD247" s="74">
        <f>коэффициенты!$F$19</f>
        <v>5.0000000000000001E-3</v>
      </c>
      <c r="AE247" s="74"/>
      <c r="AF247" s="74">
        <f>коэффициенты!$F$21</f>
        <v>0.01</v>
      </c>
      <c r="AG247" s="74"/>
      <c r="AH247" s="74"/>
      <c r="AI247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247" s="72">
        <f>VLOOKUP(наценкад5[[#This Row],[№]],ППД5[],COLUMN(ППД5[[#This Row],[утв цена м2]]),0)</f>
        <v>86852.95</v>
      </c>
      <c r="AK247" s="3">
        <f>наценкад5[[#This Row],[утв цена м2]]*наценкад5[[#This Row],[Расчетная проектная площадь]]</f>
        <v>4914139.9109999994</v>
      </c>
      <c r="AL247" s="22" t="str">
        <f>VLOOKUP(наценкад5[[#This Row],[№]],ППД5[],COLUMN('Реестр ОН'!$DF$1),0)</f>
        <v>Продажа</v>
      </c>
    </row>
    <row r="248" spans="1:38" hidden="1" x14ac:dyDescent="0.25">
      <c r="A248" s="101">
        <v>246</v>
      </c>
      <c r="B248" s="2" t="str">
        <f>_xlfn.XLOOKUP(наценкад5[[#This Row],[№]],ППД5[№],ППД5[Секция],"-",0)</f>
        <v>В</v>
      </c>
      <c r="C248" s="2">
        <f>_xlfn.XLOOKUP(наценкад5[[#This Row],[№]],ППД5[№],ППД5[Этаж],"-",0)</f>
        <v>4</v>
      </c>
      <c r="D248" s="2">
        <f>_xlfn.XLOOKUP(наценкад5[[#This Row],[№]],ППД5[№],ППД5[№ на этаже],"-",0)</f>
        <v>4</v>
      </c>
      <c r="E248" s="2">
        <f>_xlfn.XLOOKUP(наценкад5[[#This Row],[№]],ППД5[№],ППД5[Тип кв],"-",0)</f>
        <v>2</v>
      </c>
      <c r="F248" s="72">
        <f>_xlfn.XLOOKUP(наценкад5[[#This Row],[№]],ППД5[№],ППД5[Кухня],"-",0)</f>
        <v>15.44</v>
      </c>
      <c r="G248" s="72">
        <f>_xlfn.XLOOKUP(наценкад5[[#This Row],[№]],ППД5[№],ППД5[Ванная],"-",0)</f>
        <v>4.59</v>
      </c>
      <c r="H248" s="72">
        <f>_xlfn.XLOOKUP(наценкад5[[#This Row],[№]],ППД5[№],ППД5[Гардеробная],"-",0)</f>
        <v>0</v>
      </c>
      <c r="I248" s="72">
        <f>_xlfn.XLOOKUP(наценкад5[[#This Row],[№]],ППД5[№],ППД5[Лоджия 2],"-",0)</f>
        <v>0</v>
      </c>
      <c r="J248" s="72">
        <f>_xlfn.XLOOKUP(наценкад5[[#This Row],[№]],ППД5[№],ППД5[С\У],"-",0)</f>
        <v>2.21</v>
      </c>
      <c r="K248" s="72">
        <f>_xlfn.XLOOKUP(наценкад5[[#This Row],[№]],ППД5[№],ППД5[Расчетная проектная площадь],"-",0)</f>
        <v>60.24</v>
      </c>
      <c r="L248" s="12">
        <f t="shared" si="3"/>
        <v>63000</v>
      </c>
      <c r="M248" s="102">
        <f>коэффициенты!$F$2</f>
        <v>1.2257</v>
      </c>
      <c r="N248" s="13">
        <f>наценкад5[[#This Row],[Цена м2 базовая]]*наценкад5[[#This Row],[Базовой K]]</f>
        <v>77219.100000000006</v>
      </c>
      <c r="O248" s="74">
        <f>коэффициенты!$F$4</f>
        <v>1.4999999999999999E-2</v>
      </c>
      <c r="P248" s="74"/>
      <c r="Q248" s="76">
        <f>коэффициенты!$F$6</f>
        <v>0.02</v>
      </c>
      <c r="R248" s="76"/>
      <c r="S248" s="76">
        <f>коэффициенты!$F$9</f>
        <v>0</v>
      </c>
      <c r="T248" s="74"/>
      <c r="U248" s="74"/>
      <c r="V248" s="74">
        <f>коэффициенты!$F$11</f>
        <v>5.0000000000000001E-3</v>
      </c>
      <c r="W248" s="75"/>
      <c r="X248" s="74"/>
      <c r="Y248" s="78">
        <f>коэффициенты!$F$15</f>
        <v>0.01</v>
      </c>
      <c r="Z248" s="74"/>
      <c r="AA248" s="74"/>
      <c r="AB248" s="74"/>
      <c r="AC248" s="74"/>
      <c r="AD248" s="74">
        <f>коэффициенты!$F$19</f>
        <v>5.0000000000000001E-3</v>
      </c>
      <c r="AE248" s="74"/>
      <c r="AF248" s="74">
        <f>коэффициенты!$F$21</f>
        <v>0.01</v>
      </c>
      <c r="AG248" s="74"/>
      <c r="AH248" s="74"/>
      <c r="AI248" s="73">
        <f>SUM(наценкад5[[#This Row],[еврокухня]:[большая площадь]])*наценкад5[[#This Row],[Цена м2 с базовым K]]+наценкад5[[#This Row],[Цена м2 с базовым K]]</f>
        <v>82238.34150000001</v>
      </c>
      <c r="AJ248" s="72">
        <f>VLOOKUP(наценкад5[[#This Row],[№]],ППД5[],COLUMN(ППД5[[#This Row],[утв цена м2]]),0)</f>
        <v>122890.78</v>
      </c>
      <c r="AK248" s="3">
        <f>наценкад5[[#This Row],[утв цена м2]]*наценкад5[[#This Row],[Расчетная проектная площадь]]</f>
        <v>7402940.5872</v>
      </c>
      <c r="AL248" s="22" t="str">
        <f>VLOOKUP(наценкад5[[#This Row],[№]],ППД5[],COLUMN('Реестр ОН'!$DF$1),0)</f>
        <v>Свободно</v>
      </c>
    </row>
    <row r="249" spans="1:38" hidden="1" x14ac:dyDescent="0.25">
      <c r="A249" s="101">
        <v>247</v>
      </c>
      <c r="B249" s="2" t="str">
        <f>_xlfn.XLOOKUP(наценкад5[[#This Row],[№]],ППД5[№],ППД5[Секция],"-",0)</f>
        <v>В</v>
      </c>
      <c r="C249" s="2">
        <f>_xlfn.XLOOKUP(наценкад5[[#This Row],[№]],ППД5[№],ППД5[Этаж],"-",0)</f>
        <v>4</v>
      </c>
      <c r="D249" s="2">
        <f>_xlfn.XLOOKUP(наценкад5[[#This Row],[№]],ППД5[№],ППД5[№ на этаже],"-",0)</f>
        <v>5</v>
      </c>
      <c r="E249" s="2">
        <f>_xlfn.XLOOKUP(наценкад5[[#This Row],[№]],ППД5[№],ППД5[Тип кв],"-",0)</f>
        <v>1</v>
      </c>
      <c r="F249" s="72">
        <f>_xlfn.XLOOKUP(наценкад5[[#This Row],[№]],ППД5[№],ППД5[Кухня],"-",0)</f>
        <v>12.74</v>
      </c>
      <c r="G249" s="72">
        <f>_xlfn.XLOOKUP(наценкад5[[#This Row],[№]],ППД5[№],ППД5[Ванная],"-",0)</f>
        <v>4.0199999999999996</v>
      </c>
      <c r="H249" s="72">
        <f>_xlfn.XLOOKUP(наценкад5[[#This Row],[№]],ППД5[№],ППД5[Гардеробная],"-",0)</f>
        <v>0</v>
      </c>
      <c r="I249" s="72">
        <f>_xlfn.XLOOKUP(наценкад5[[#This Row],[№]],ППД5[№],ППД5[Лоджия 2],"-",0)</f>
        <v>0</v>
      </c>
      <c r="J249" s="72">
        <f>_xlfn.XLOOKUP(наценкад5[[#This Row],[№]],ППД5[№],ППД5[С\У],"-",0)</f>
        <v>0</v>
      </c>
      <c r="K249" s="72">
        <f>_xlfn.XLOOKUP(наценкад5[[#This Row],[№]],ППД5[№],ППД5[Расчетная проектная площадь],"-",0)</f>
        <v>37.81</v>
      </c>
      <c r="L249" s="12">
        <f t="shared" si="3"/>
        <v>63000</v>
      </c>
      <c r="M249" s="102">
        <f>коэффициенты!$G$2</f>
        <v>1.2875000000000001</v>
      </c>
      <c r="N249" s="13">
        <f>наценкад5[[#This Row],[Цена м2 базовая]]*наценкад5[[#This Row],[Базовой K]]</f>
        <v>81112.5</v>
      </c>
      <c r="O249" s="74"/>
      <c r="P249" s="76">
        <f>коэффициенты!$G$5</f>
        <v>0.01</v>
      </c>
      <c r="Q249" s="74">
        <f>коэффициенты!$G$6</f>
        <v>0.03</v>
      </c>
      <c r="R249" s="74"/>
      <c r="S249" s="74"/>
      <c r="T249" s="74"/>
      <c r="U249" s="74"/>
      <c r="V249" s="74">
        <f>коэффициенты!$G$11</f>
        <v>0.01</v>
      </c>
      <c r="W249" s="75"/>
      <c r="X249" s="74">
        <f>коэффициенты!$G$13</f>
        <v>0.01</v>
      </c>
      <c r="Y249" s="78">
        <f>коэффициенты!$G$15</f>
        <v>0.01</v>
      </c>
      <c r="Z249" s="74"/>
      <c r="AA249" s="74">
        <f>коэффициенты!$G$14</f>
        <v>0.01</v>
      </c>
      <c r="AB249" s="74"/>
      <c r="AC249" s="74"/>
      <c r="AD249" s="74">
        <f>коэффициенты!$G$19</f>
        <v>0.01</v>
      </c>
      <c r="AE249" s="74"/>
      <c r="AF249" s="74">
        <f>коэффициенты!$G$21</f>
        <v>0.01</v>
      </c>
      <c r="AG249" s="74"/>
      <c r="AH249" s="74"/>
      <c r="AI249" s="73">
        <f>SUM(наценкад5[[#This Row],[еврокухня]:[большая площадь]])*наценкад5[[#This Row],[Цена м2 с базовым K]]+наценкад5[[#This Row],[Цена м2 с базовым K]]</f>
        <v>89223.75</v>
      </c>
      <c r="AJ249" s="72">
        <f>VLOOKUP(наценкад5[[#This Row],[№]],ППД5[],COLUMN(ППД5[[#This Row],[утв цена м2]]),0)</f>
        <v>138508</v>
      </c>
      <c r="AK249" s="3">
        <f>наценкад5[[#This Row],[утв цена м2]]*наценкад5[[#This Row],[Расчетная проектная площадь]]</f>
        <v>5236987.4800000004</v>
      </c>
      <c r="AL249" s="22" t="str">
        <f>VLOOKUP(наценкад5[[#This Row],[№]],ППД5[],COLUMN('Реестр ОН'!$DF$1),0)</f>
        <v>Свободно</v>
      </c>
    </row>
    <row r="250" spans="1:38" hidden="1" x14ac:dyDescent="0.25">
      <c r="A250" s="101">
        <v>248</v>
      </c>
      <c r="B250" s="2" t="str">
        <f>_xlfn.XLOOKUP(наценкад5[[#This Row],[№]],ППД5[№],ППД5[Секция],"-",0)</f>
        <v>В</v>
      </c>
      <c r="C250" s="2">
        <f>_xlfn.XLOOKUP(наценкад5[[#This Row],[№]],ППД5[№],ППД5[Этаж],"-",0)</f>
        <v>4</v>
      </c>
      <c r="D250" s="2">
        <f>_xlfn.XLOOKUP(наценкад5[[#This Row],[№]],ППД5[№],ППД5[№ на этаже],"-",0)</f>
        <v>6</v>
      </c>
      <c r="E250" s="2">
        <f>_xlfn.XLOOKUP(наценкад5[[#This Row],[№]],ППД5[№],ППД5[Тип кв],"-",0)</f>
        <v>3</v>
      </c>
      <c r="F250" s="72">
        <f>_xlfn.XLOOKUP(наценкад5[[#This Row],[№]],ППД5[№],ППД5[Кухня],"-",0)</f>
        <v>13.15</v>
      </c>
      <c r="G250" s="72">
        <f>_xlfn.XLOOKUP(наценкад5[[#This Row],[№]],ППД5[№],ППД5[Ванная],"-",0)</f>
        <v>4.03</v>
      </c>
      <c r="H250" s="72">
        <f>_xlfn.XLOOKUP(наценкад5[[#This Row],[№]],ППД5[№],ППД5[Гардеробная],"-",0)</f>
        <v>0</v>
      </c>
      <c r="I250" s="72">
        <f>_xlfn.XLOOKUP(наценкад5[[#This Row],[№]],ППД5[№],ППД5[Лоджия 2],"-",0)</f>
        <v>2.68</v>
      </c>
      <c r="J250" s="72">
        <f>_xlfn.XLOOKUP(наценкад5[[#This Row],[№]],ППД5[№],ППД5[С\У],"-",0)</f>
        <v>1.76</v>
      </c>
      <c r="K250" s="72">
        <f>_xlfn.XLOOKUP(наценкад5[[#This Row],[№]],ППД5[№],ППД5[Расчетная проектная площадь],"-",0)</f>
        <v>80.97</v>
      </c>
      <c r="L250" s="12">
        <f t="shared" si="3"/>
        <v>63000</v>
      </c>
      <c r="M250" s="27">
        <f>коэффициенты!$E$2</f>
        <v>1.1330000000000002</v>
      </c>
      <c r="N250" s="13">
        <f>наценкад5[[#This Row],[Цена м2 базовая]]*наценкад5[[#This Row],[Базовой K]]</f>
        <v>71379.000000000015</v>
      </c>
      <c r="O250" s="74"/>
      <c r="P250" s="74">
        <f>коэффициенты!$E$5</f>
        <v>0</v>
      </c>
      <c r="Q250" s="74">
        <f>коэффициенты!$E$6</f>
        <v>0.01</v>
      </c>
      <c r="R250" s="74"/>
      <c r="S250" s="74">
        <f>коэффициенты!$E$9</f>
        <v>0</v>
      </c>
      <c r="T250" s="74">
        <f>коэффициенты!$E$7</f>
        <v>0</v>
      </c>
      <c r="U250" s="74"/>
      <c r="V250" s="74"/>
      <c r="W250" s="75">
        <f>коэффициенты!$E$12</f>
        <v>0.02</v>
      </c>
      <c r="X250" s="74"/>
      <c r="Y250" s="78">
        <f>коэффициенты!$A$15</f>
        <v>0.01</v>
      </c>
      <c r="Z250" s="74"/>
      <c r="AA250" s="74">
        <f>коэффициенты!$E$14</f>
        <v>0</v>
      </c>
      <c r="AB250" s="74">
        <f>коэффициенты!$E$17</f>
        <v>0</v>
      </c>
      <c r="AC250" s="74"/>
      <c r="AD250" s="74"/>
      <c r="AE250" s="74"/>
      <c r="AF250" s="74">
        <f>коэффициенты!$E$21</f>
        <v>0.01</v>
      </c>
      <c r="AG250" s="74"/>
      <c r="AH250" s="74"/>
      <c r="AI250" s="73">
        <f>SUM(наценкад5[[#This Row],[еврокухня]:[большая площадь]])*наценкад5[[#This Row],[Цена м2 с базовым K]]+наценкад5[[#This Row],[Цена м2 с базовым K]]</f>
        <v>74947.950000000012</v>
      </c>
      <c r="AJ250" s="72">
        <f>VLOOKUP(наценкад5[[#This Row],[№]],ППД5[],COLUMN(ППД5[[#This Row],[утв цена м2]]),0)</f>
        <v>116006.7</v>
      </c>
      <c r="AK250" s="3">
        <f>наценкад5[[#This Row],[утв цена м2]]*наценкад5[[#This Row],[Расчетная проектная площадь]]</f>
        <v>9393062.4989999998</v>
      </c>
      <c r="AL250" s="22" t="str">
        <f>VLOOKUP(наценкад5[[#This Row],[№]],ППД5[],COLUMN('Реестр ОН'!$DF$1),0)</f>
        <v>Продажа</v>
      </c>
    </row>
    <row r="251" spans="1:38" hidden="1" x14ac:dyDescent="0.25">
      <c r="A251" s="101">
        <v>249</v>
      </c>
      <c r="B251" s="2" t="str">
        <f>_xlfn.XLOOKUP(наценкад5[[#This Row],[№]],ППД5[№],ППД5[Секция],"-",0)</f>
        <v>В</v>
      </c>
      <c r="C251" s="2">
        <f>_xlfn.XLOOKUP(наценкад5[[#This Row],[№]],ППД5[№],ППД5[Этаж],"-",0)</f>
        <v>4</v>
      </c>
      <c r="D251" s="2">
        <f>_xlfn.XLOOKUP(наценкад5[[#This Row],[№]],ППД5[№],ППД5[№ на этаже],"-",0)</f>
        <v>7</v>
      </c>
      <c r="E251" s="2">
        <f>_xlfn.XLOOKUP(наценкад5[[#This Row],[№]],ППД5[№],ППД5[Тип кв],"-",0)</f>
        <v>1</v>
      </c>
      <c r="F251" s="72">
        <f>_xlfn.XLOOKUP(наценкад5[[#This Row],[№]],ППД5[№],ППД5[Кухня],"-",0)</f>
        <v>9.2799999999999994</v>
      </c>
      <c r="G251" s="72">
        <f>_xlfn.XLOOKUP(наценкад5[[#This Row],[№]],ППД5[№],ППД5[Ванная],"-",0)</f>
        <v>3.79</v>
      </c>
      <c r="H251" s="72">
        <f>_xlfn.XLOOKUP(наценкад5[[#This Row],[№]],ППД5[№],ППД5[Гардеробная],"-",0)</f>
        <v>0</v>
      </c>
      <c r="I251" s="72">
        <f>_xlfn.XLOOKUP(наценкад5[[#This Row],[№]],ППД5[№],ППД5[Лоджия 2],"-",0)</f>
        <v>0</v>
      </c>
      <c r="J251" s="72">
        <f>_xlfn.XLOOKUP(наценкад5[[#This Row],[№]],ППД5[№],ППД5[С\У],"-",0)</f>
        <v>0</v>
      </c>
      <c r="K251" s="72">
        <f>_xlfn.XLOOKUP(наценкад5[[#This Row],[№]],ППД5[№],ППД5[Расчетная проектная площадь],"-",0)</f>
        <v>34.81</v>
      </c>
      <c r="L251" s="12">
        <f t="shared" si="3"/>
        <v>63000</v>
      </c>
      <c r="M251" s="102">
        <f>коэффициенты!$G$2</f>
        <v>1.2875000000000001</v>
      </c>
      <c r="N251" s="13">
        <f>наценкад5[[#This Row],[Цена м2 базовая]]*наценкад5[[#This Row],[Базовой K]]</f>
        <v>81112.5</v>
      </c>
      <c r="O251" s="74"/>
      <c r="P251" s="74"/>
      <c r="Q251" s="74"/>
      <c r="R251" s="74"/>
      <c r="S251" s="74"/>
      <c r="T251" s="74"/>
      <c r="U251" s="74"/>
      <c r="V251" s="74">
        <f>коэффициенты!$G$11</f>
        <v>0.01</v>
      </c>
      <c r="W251" s="75">
        <f>коэффициенты!$G$12</f>
        <v>0.02</v>
      </c>
      <c r="X251" s="74"/>
      <c r="Y251" s="78">
        <f>коэффициенты!$G$15</f>
        <v>0.01</v>
      </c>
      <c r="Z251" s="74"/>
      <c r="AA251" s="74">
        <f>коэффициенты!$G$14</f>
        <v>0.01</v>
      </c>
      <c r="AB251" s="74"/>
      <c r="AC251" s="74"/>
      <c r="AD251" s="74">
        <f>коэффициенты!$G$19</f>
        <v>0.01</v>
      </c>
      <c r="AE251" s="74"/>
      <c r="AF251" s="74">
        <f>коэффициенты!$G$21</f>
        <v>0.01</v>
      </c>
      <c r="AG251" s="74">
        <f>коэффициенты!$A$24</f>
        <v>-5.0000000000000001E-3</v>
      </c>
      <c r="AH251" s="74"/>
      <c r="AI251" s="73">
        <f>SUM(наценкад5[[#This Row],[еврокухня]:[большая площадь]])*наценкад5[[#This Row],[Цена м2 с базовым K]]+наценкад5[[#This Row],[Цена м2 с базовым K]]</f>
        <v>86384.8125</v>
      </c>
      <c r="AJ251" s="72">
        <f>VLOOKUP(наценкад5[[#This Row],[№]],ППД5[],COLUMN(ППД5[[#This Row],[утв цена м2]]),0)</f>
        <v>122153.51</v>
      </c>
      <c r="AK251" s="3">
        <f>наценкад5[[#This Row],[утв цена м2]]*наценкад5[[#This Row],[Расчетная проектная площадь]]</f>
        <v>4252163.6831</v>
      </c>
      <c r="AL251" s="22" t="str">
        <f>VLOOKUP(наценкад5[[#This Row],[№]],ППД5[],COLUMN('Реестр ОН'!$DF$1),0)</f>
        <v>Продажа</v>
      </c>
    </row>
    <row r="252" spans="1:38" hidden="1" x14ac:dyDescent="0.25">
      <c r="A252" s="101">
        <v>250</v>
      </c>
      <c r="B252" s="2" t="str">
        <f>_xlfn.XLOOKUP(наценкад5[[#This Row],[№]],ППД5[№],ППД5[Секция],"-",0)</f>
        <v>В</v>
      </c>
      <c r="C252" s="2">
        <f>_xlfn.XLOOKUP(наценкад5[[#This Row],[№]],ППД5[№],ППД5[Этаж],"-",0)</f>
        <v>5</v>
      </c>
      <c r="D252" s="2">
        <f>_xlfn.XLOOKUP(наценкад5[[#This Row],[№]],ППД5[№],ППД5[№ на этаже],"-",0)</f>
        <v>1</v>
      </c>
      <c r="E252" s="2">
        <f>_xlfn.XLOOKUP(наценкад5[[#This Row],[№]],ППД5[№],ППД5[Тип кв],"-",0)</f>
        <v>2</v>
      </c>
      <c r="F252" s="72">
        <f>_xlfn.XLOOKUP(наценкад5[[#This Row],[№]],ППД5[№],ППД5[Кухня],"-",0)</f>
        <v>20.05</v>
      </c>
      <c r="G252" s="72">
        <f>_xlfn.XLOOKUP(наценкад5[[#This Row],[№]],ППД5[№],ППД5[Ванная],"-",0)</f>
        <v>3.54</v>
      </c>
      <c r="H252" s="72">
        <f>_xlfn.XLOOKUP(наценкад5[[#This Row],[№]],ППД5[№],ППД5[Гардеробная],"-",0)</f>
        <v>0</v>
      </c>
      <c r="I252" s="72">
        <f>_xlfn.XLOOKUP(наценкад5[[#This Row],[№]],ППД5[№],ППД5[Лоджия 2],"-",0)</f>
        <v>2.68</v>
      </c>
      <c r="J252" s="72">
        <f>_xlfn.XLOOKUP(наценкад5[[#This Row],[№]],ППД5[№],ППД5[С\У],"-",0)</f>
        <v>2.93</v>
      </c>
      <c r="K252" s="72">
        <f>_xlfn.XLOOKUP(наценкад5[[#This Row],[№]],ППД5[№],ППД5[Расчетная проектная площадь],"-",0)</f>
        <v>73.7</v>
      </c>
      <c r="L252" s="12">
        <f t="shared" si="3"/>
        <v>63000</v>
      </c>
      <c r="M252" s="102">
        <f>коэффициенты!$F$2</f>
        <v>1.2257</v>
      </c>
      <c r="N252" s="13">
        <f>наценкад5[[#This Row],[Цена м2 базовая]]*наценкад5[[#This Row],[Базовой K]]</f>
        <v>77219.100000000006</v>
      </c>
      <c r="O252" s="74">
        <f>коэффициенты!$F$4</f>
        <v>1.4999999999999999E-2</v>
      </c>
      <c r="P252" s="74"/>
      <c r="Q252" s="76"/>
      <c r="R252" s="76"/>
      <c r="S252" s="76">
        <f>коэффициенты!$F$9</f>
        <v>0</v>
      </c>
      <c r="T252" s="74">
        <f>коэффициенты!$F$7</f>
        <v>0.03</v>
      </c>
      <c r="U252" s="74"/>
      <c r="V252" s="74"/>
      <c r="W252" s="74"/>
      <c r="X252" s="74">
        <f>коэффициенты!$F$13</f>
        <v>0.02</v>
      </c>
      <c r="Y252" s="75"/>
      <c r="Z252" s="74"/>
      <c r="AA252" s="74">
        <f>коэффициенты!$F$14</f>
        <v>0.02</v>
      </c>
      <c r="AB252" s="74"/>
      <c r="AC252" s="74"/>
      <c r="AD252" s="74">
        <f>коэффициенты!$F$19</f>
        <v>5.0000000000000001E-3</v>
      </c>
      <c r="AE252" s="74"/>
      <c r="AF252" s="74">
        <f>коэффициенты!$F$21</f>
        <v>0.01</v>
      </c>
      <c r="AG252" s="74"/>
      <c r="AH252" s="74">
        <f>'отрицательный кф'!$O$27</f>
        <v>-0.08</v>
      </c>
      <c r="AI252" s="73">
        <f>SUM(наценкад5[[#This Row],[еврокухня]:[большая площадь]])*наценкад5[[#This Row],[Цена м2 с базовым K]]+наценкад5[[#This Row],[Цена м2 с базовым K]]</f>
        <v>78763.482000000004</v>
      </c>
      <c r="AJ252" s="72">
        <f>VLOOKUP(наценкад5[[#This Row],[№]],ППД5[],COLUMN(ППД5[[#This Row],[утв цена м2]]),0)</f>
        <v>102012.24</v>
      </c>
      <c r="AK252" s="3">
        <f>наценкад5[[#This Row],[утв цена м2]]*наценкад5[[#This Row],[Расчетная проектная площадь]]</f>
        <v>7518302.0880000005</v>
      </c>
      <c r="AL252" s="22" t="str">
        <f>VLOOKUP(наценкад5[[#This Row],[№]],ППД5[],COLUMN('Реестр ОН'!$DF$1),0)</f>
        <v>Продажа</v>
      </c>
    </row>
    <row r="253" spans="1:38" hidden="1" x14ac:dyDescent="0.25">
      <c r="A253" s="101">
        <v>251</v>
      </c>
      <c r="B253" s="2" t="str">
        <f>_xlfn.XLOOKUP(наценкад5[[#This Row],[№]],ППД5[№],ППД5[Секция],"-",0)</f>
        <v>В</v>
      </c>
      <c r="C253" s="2">
        <f>_xlfn.XLOOKUP(наценкад5[[#This Row],[№]],ППД5[№],ППД5[Этаж],"-",0)</f>
        <v>5</v>
      </c>
      <c r="D253" s="2">
        <f>_xlfn.XLOOKUP(наценкад5[[#This Row],[№]],ППД5[№],ППД5[№ на этаже],"-",0)</f>
        <v>2</v>
      </c>
      <c r="E253" s="2">
        <f>_xlfn.XLOOKUP(наценкад5[[#This Row],[№]],ППД5[№],ППД5[Тип кв],"-",0)</f>
        <v>0</v>
      </c>
      <c r="F253" s="72">
        <f>_xlfn.XLOOKUP(наценкад5[[#This Row],[№]],ППД5[№],ППД5[Кухня],"-",0)</f>
        <v>5.17</v>
      </c>
      <c r="G253" s="72">
        <f>_xlfn.XLOOKUP(наценкад5[[#This Row],[№]],ППД5[№],ППД5[Ванная],"-",0)</f>
        <v>3.72</v>
      </c>
      <c r="H253" s="72">
        <f>_xlfn.XLOOKUP(наценкад5[[#This Row],[№]],ППД5[№],ППД5[Гардеробная],"-",0)</f>
        <v>0</v>
      </c>
      <c r="I253" s="72">
        <f>_xlfn.XLOOKUP(наценкад5[[#This Row],[№]],ППД5[№],ППД5[Лоджия 2],"-",0)</f>
        <v>0</v>
      </c>
      <c r="J253" s="72">
        <f>_xlfn.XLOOKUP(наценкад5[[#This Row],[№]],ППД5[№],ППД5[С\У],"-",0)</f>
        <v>0</v>
      </c>
      <c r="K253" s="72">
        <f>_xlfn.XLOOKUP(наценкад5[[#This Row],[№]],ППД5[№],ППД5[Расчетная проектная площадь],"-",0)</f>
        <v>24.53</v>
      </c>
      <c r="L253" s="12">
        <f t="shared" si="3"/>
        <v>63000</v>
      </c>
      <c r="M253" s="116">
        <f>коэффициенты!$H$2</f>
        <v>1.3905000000000001</v>
      </c>
      <c r="N253" s="13">
        <f>наценкад5[[#This Row],[Цена м2 базовая]]*наценкад5[[#This Row],[Базовой K]]</f>
        <v>87601.5</v>
      </c>
      <c r="O253" s="74"/>
      <c r="P253" s="74"/>
      <c r="Q253" s="74"/>
      <c r="R253" s="74"/>
      <c r="S253" s="74"/>
      <c r="T253" s="74"/>
      <c r="U253" s="74"/>
      <c r="V253" s="74">
        <f>коэффициенты!$H$11</f>
        <v>0.01</v>
      </c>
      <c r="W253" s="74"/>
      <c r="X253" s="74">
        <f>коэффициенты!$H$13</f>
        <v>0.01</v>
      </c>
      <c r="Y253" s="75"/>
      <c r="Z253" s="74"/>
      <c r="AA253" s="74"/>
      <c r="AB253" s="74"/>
      <c r="AC253" s="74"/>
      <c r="AD253" s="74">
        <f>коэффициенты!$H$19</f>
        <v>0.01</v>
      </c>
      <c r="AE253" s="74"/>
      <c r="AF253" s="74">
        <f>коэффициенты!$H$21</f>
        <v>0.01</v>
      </c>
      <c r="AG253" s="74"/>
      <c r="AH253" s="74"/>
      <c r="AI253" s="73">
        <f>SUM(наценкад5[[#This Row],[еврокухня]:[большая площадь]])*наценкад5[[#This Row],[Цена м2 с базовым K]]+наценкад5[[#This Row],[Цена м2 с базовым K]]</f>
        <v>91105.56</v>
      </c>
      <c r="AJ253" s="72">
        <f>VLOOKUP(наценкад5[[#This Row],[№]],ППД5[],COLUMN(ППД5[[#This Row],[утв цена м2]]),0)</f>
        <v>91105.56</v>
      </c>
      <c r="AK253" s="3">
        <f>наценкад5[[#This Row],[утв цена м2]]*наценкад5[[#This Row],[Расчетная проектная площадь]]</f>
        <v>2234819.3868</v>
      </c>
      <c r="AL253" s="22" t="str">
        <f>VLOOKUP(наценкад5[[#This Row],[№]],ППД5[],COLUMN('Реестр ОН'!$DF$1),0)</f>
        <v>Продажа</v>
      </c>
    </row>
    <row r="254" spans="1:38" hidden="1" x14ac:dyDescent="0.25">
      <c r="A254" s="101">
        <v>252</v>
      </c>
      <c r="B254" s="2" t="str">
        <f>_xlfn.XLOOKUP(наценкад5[[#This Row],[№]],ППД5[№],ППД5[Секция],"-",0)</f>
        <v>В</v>
      </c>
      <c r="C254" s="2">
        <f>_xlfn.XLOOKUP(наценкад5[[#This Row],[№]],ППД5[№],ППД5[Этаж],"-",0)</f>
        <v>5</v>
      </c>
      <c r="D254" s="2">
        <f>_xlfn.XLOOKUP(наценкад5[[#This Row],[№]],ППД5[№],ППД5[№ на этаже],"-",0)</f>
        <v>3</v>
      </c>
      <c r="E254" s="2">
        <f>_xlfn.XLOOKUP(наценкад5[[#This Row],[№]],ППД5[№],ППД5[Тип кв],"-",0)</f>
        <v>2</v>
      </c>
      <c r="F254" s="72">
        <f>_xlfn.XLOOKUP(наценкад5[[#This Row],[№]],ППД5[№],ППД5[Кухня],"-",0)</f>
        <v>18.71</v>
      </c>
      <c r="G254" s="72">
        <f>_xlfn.XLOOKUP(наценкад5[[#This Row],[№]],ППД5[№],ППД5[Ванная],"-",0)</f>
        <v>3.49</v>
      </c>
      <c r="H254" s="72">
        <f>_xlfn.XLOOKUP(наценкад5[[#This Row],[№]],ППД5[№],ППД5[Гардеробная],"-",0)</f>
        <v>0</v>
      </c>
      <c r="I254" s="72">
        <f>_xlfn.XLOOKUP(наценкад5[[#This Row],[№]],ППД5[№],ППД5[Лоджия 2],"-",0)</f>
        <v>0</v>
      </c>
      <c r="J254" s="72">
        <f>_xlfn.XLOOKUP(наценкад5[[#This Row],[№]],ППД5[№],ППД5[С\У],"-",0)</f>
        <v>2.11</v>
      </c>
      <c r="K254" s="72">
        <f>_xlfn.XLOOKUP(наценкад5[[#This Row],[№]],ППД5[№],ППД5[Расчетная проектная площадь],"-",0)</f>
        <v>56.58</v>
      </c>
      <c r="L254" s="12">
        <f t="shared" si="3"/>
        <v>63000</v>
      </c>
      <c r="M254" s="102">
        <f>коэффициенты!$F$2</f>
        <v>1.2257</v>
      </c>
      <c r="N254" s="13">
        <f>наценкад5[[#This Row],[Цена м2 базовая]]*наценкад5[[#This Row],[Базовой K]]</f>
        <v>77219.100000000006</v>
      </c>
      <c r="O254" s="74">
        <f>коэффициенты!$F$4</f>
        <v>1.4999999999999999E-2</v>
      </c>
      <c r="P254" s="74"/>
      <c r="Q254" s="76"/>
      <c r="R254" s="76">
        <f>коэффициенты!$F$10</f>
        <v>0</v>
      </c>
      <c r="S254" s="76">
        <f>коэффициенты!$F$9</f>
        <v>0</v>
      </c>
      <c r="T254" s="74"/>
      <c r="U254" s="74"/>
      <c r="V254" s="74"/>
      <c r="W254" s="74"/>
      <c r="X254" s="74"/>
      <c r="Y254" s="75"/>
      <c r="Z254" s="74"/>
      <c r="AA254" s="74"/>
      <c r="AB254" s="74"/>
      <c r="AC254" s="74"/>
      <c r="AD254" s="74">
        <f>коэффициенты!$F$19</f>
        <v>5.0000000000000001E-3</v>
      </c>
      <c r="AE254" s="74"/>
      <c r="AF254" s="74">
        <f>коэффициенты!$F$21</f>
        <v>0.01</v>
      </c>
      <c r="AG254" s="74"/>
      <c r="AH254" s="74"/>
      <c r="AI254" s="73">
        <f>SUM(наценкад5[[#This Row],[еврокухня]:[большая площадь]])*наценкад5[[#This Row],[Цена м2 с базовым K]]+наценкад5[[#This Row],[Цена м2 с базовым K]]</f>
        <v>79535.67300000001</v>
      </c>
      <c r="AJ254" s="72">
        <f>VLOOKUP(наценкад5[[#This Row],[№]],ППД5[],COLUMN(ППД5[[#This Row],[утв цена м2]]),0)</f>
        <v>98408.04</v>
      </c>
      <c r="AK254" s="3">
        <f>наценкад5[[#This Row],[утв цена м2]]*наценкад5[[#This Row],[Расчетная проектная площадь]]</f>
        <v>5567926.9031999996</v>
      </c>
      <c r="AL254" s="22" t="str">
        <f>VLOOKUP(наценкад5[[#This Row],[№]],ППД5[],COLUMN('Реестр ОН'!$DF$1),0)</f>
        <v>Продажа</v>
      </c>
    </row>
    <row r="255" spans="1:38" hidden="1" x14ac:dyDescent="0.25">
      <c r="A255" s="101">
        <v>253</v>
      </c>
      <c r="B255" s="2" t="str">
        <f>_xlfn.XLOOKUP(наценкад5[[#This Row],[№]],ППД5[№],ППД5[Секция],"-",0)</f>
        <v>В</v>
      </c>
      <c r="C255" s="2">
        <f>_xlfn.XLOOKUP(наценкад5[[#This Row],[№]],ППД5[№],ППД5[Этаж],"-",0)</f>
        <v>5</v>
      </c>
      <c r="D255" s="2">
        <f>_xlfn.XLOOKUP(наценкад5[[#This Row],[№]],ППД5[№],ППД5[№ на этаже],"-",0)</f>
        <v>4</v>
      </c>
      <c r="E255" s="2">
        <f>_xlfn.XLOOKUP(наценкад5[[#This Row],[№]],ППД5[№],ППД5[Тип кв],"-",0)</f>
        <v>2</v>
      </c>
      <c r="F255" s="3">
        <f>_xlfn.XLOOKUP(наценкад5[[#This Row],[№]],ППД5[№],ППД5[Кухня],"-",0)</f>
        <v>15.44</v>
      </c>
      <c r="G255" s="72">
        <f>_xlfn.XLOOKUP(наценкад5[[#This Row],[№]],ППД5[№],ППД5[Ванная],"-",0)</f>
        <v>4.59</v>
      </c>
      <c r="H255" s="72">
        <f>_xlfn.XLOOKUP(наценкад5[[#This Row],[№]],ППД5[№],ППД5[Гардеробная],"-",0)</f>
        <v>0</v>
      </c>
      <c r="I255" s="72">
        <f>_xlfn.XLOOKUP(наценкад5[[#This Row],[№]],ППД5[№],ППД5[Лоджия 2],"-",0)</f>
        <v>0</v>
      </c>
      <c r="J255" s="72">
        <f>_xlfn.XLOOKUP(наценкад5[[#This Row],[№]],ППД5[№],ППД5[С\У],"-",0)</f>
        <v>2.21</v>
      </c>
      <c r="K255" s="72">
        <f>_xlfn.XLOOKUP(наценкад5[[#This Row],[№]],ППД5[№],ППД5[Расчетная проектная площадь],"-",0)</f>
        <v>60.24</v>
      </c>
      <c r="L255" s="12">
        <f t="shared" si="3"/>
        <v>63000</v>
      </c>
      <c r="M255" s="102">
        <f>коэффициенты!$F$2</f>
        <v>1.2257</v>
      </c>
      <c r="N255" s="13">
        <f>наценкад5[[#This Row],[Цена м2 базовая]]*наценкад5[[#This Row],[Базовой K]]</f>
        <v>77219.100000000006</v>
      </c>
      <c r="O255" s="74">
        <f>коэффициенты!$F$4</f>
        <v>1.4999999999999999E-2</v>
      </c>
      <c r="P255" s="74"/>
      <c r="Q255" s="76">
        <f>коэффициенты!$F$6</f>
        <v>0.02</v>
      </c>
      <c r="R255" s="76"/>
      <c r="S255" s="76">
        <f>коэффициенты!$F$9</f>
        <v>0</v>
      </c>
      <c r="T255" s="74"/>
      <c r="U255" s="74"/>
      <c r="V255" s="74">
        <f>коэффициенты!$F$11</f>
        <v>5.0000000000000001E-3</v>
      </c>
      <c r="W255" s="74"/>
      <c r="X255" s="74"/>
      <c r="Y255" s="75"/>
      <c r="Z255" s="74"/>
      <c r="AA255" s="74"/>
      <c r="AB255" s="74"/>
      <c r="AC255" s="74"/>
      <c r="AD255" s="74">
        <f>коэффициенты!$F$19</f>
        <v>5.0000000000000001E-3</v>
      </c>
      <c r="AE255" s="74"/>
      <c r="AF255" s="74">
        <f>коэффициенты!$F$21</f>
        <v>0.01</v>
      </c>
      <c r="AG255" s="74"/>
      <c r="AH255" s="74"/>
      <c r="AI255" s="73">
        <f>SUM(наценкад5[[#This Row],[еврокухня]:[большая площадь]])*наценкад5[[#This Row],[Цена м2 с базовым K]]+наценкад5[[#This Row],[Цена м2 с базовым K]]</f>
        <v>81466.150500000003</v>
      </c>
      <c r="AJ255" s="72">
        <f>VLOOKUP(наценкад5[[#This Row],[№]],ППД5[],COLUMN(ППД5[[#This Row],[утв цена м2]]),0)</f>
        <v>97696.9</v>
      </c>
      <c r="AK255" s="3">
        <f>наценкад5[[#This Row],[утв цена м2]]*наценкад5[[#This Row],[Расчетная проектная площадь]]</f>
        <v>5885261.2560000001</v>
      </c>
      <c r="AL255" s="22" t="str">
        <f>VLOOKUP(наценкад5[[#This Row],[№]],ППД5[],COLUMN('Реестр ОН'!$DF$1),0)</f>
        <v>Продажа</v>
      </c>
    </row>
    <row r="256" spans="1:38" hidden="1" x14ac:dyDescent="0.25">
      <c r="A256" s="101">
        <v>254</v>
      </c>
      <c r="B256" s="2" t="str">
        <f>_xlfn.XLOOKUP(наценкад5[[#This Row],[№]],ППД5[№],ППД5[Секция],"-",0)</f>
        <v>В</v>
      </c>
      <c r="C256" s="2">
        <f>_xlfn.XLOOKUP(наценкад5[[#This Row],[№]],ППД5[№],ППД5[Этаж],"-",0)</f>
        <v>5</v>
      </c>
      <c r="D256" s="2">
        <f>_xlfn.XLOOKUP(наценкад5[[#This Row],[№]],ППД5[№],ППД5[№ на этаже],"-",0)</f>
        <v>5</v>
      </c>
      <c r="E256" s="2">
        <f>_xlfn.XLOOKUP(наценкад5[[#This Row],[№]],ППД5[№],ППД5[Тип кв],"-",0)</f>
        <v>1</v>
      </c>
      <c r="F256" s="72">
        <f>_xlfn.XLOOKUP(наценкад5[[#This Row],[№]],ППД5[№],ППД5[Кухня],"-",0)</f>
        <v>12.74</v>
      </c>
      <c r="G256" s="72">
        <f>_xlfn.XLOOKUP(наценкад5[[#This Row],[№]],ППД5[№],ППД5[Ванная],"-",0)</f>
        <v>4.0199999999999996</v>
      </c>
      <c r="H256" s="72">
        <f>_xlfn.XLOOKUP(наценкад5[[#This Row],[№]],ППД5[№],ППД5[Гардеробная],"-",0)</f>
        <v>0</v>
      </c>
      <c r="I256" s="72">
        <f>_xlfn.XLOOKUP(наценкад5[[#This Row],[№]],ППД5[№],ППД5[Лоджия 2],"-",0)</f>
        <v>0</v>
      </c>
      <c r="J256" s="72">
        <f>_xlfn.XLOOKUP(наценкад5[[#This Row],[№]],ППД5[№],ППД5[С\У],"-",0)</f>
        <v>0</v>
      </c>
      <c r="K256" s="72">
        <f>_xlfn.XLOOKUP(наценкад5[[#This Row],[№]],ППД5[№],ППД5[Расчетная проектная площадь],"-",0)</f>
        <v>37.81</v>
      </c>
      <c r="L256" s="12">
        <f t="shared" si="3"/>
        <v>63000</v>
      </c>
      <c r="M256" s="102">
        <f>коэффициенты!$G$2</f>
        <v>1.2875000000000001</v>
      </c>
      <c r="N256" s="13">
        <f>наценкад5[[#This Row],[Цена м2 базовая]]*наценкад5[[#This Row],[Базовой K]]</f>
        <v>81112.5</v>
      </c>
      <c r="O256" s="74"/>
      <c r="P256" s="76">
        <f>коэффициенты!$G$5</f>
        <v>0.01</v>
      </c>
      <c r="Q256" s="74">
        <f>коэффициенты!$G$6</f>
        <v>0.03</v>
      </c>
      <c r="R256" s="74"/>
      <c r="S256" s="74"/>
      <c r="T256" s="74"/>
      <c r="U256" s="74"/>
      <c r="V256" s="74">
        <f>коэффициенты!$G$11</f>
        <v>0.01</v>
      </c>
      <c r="W256" s="74"/>
      <c r="X256" s="74">
        <f>коэффициенты!$G$13</f>
        <v>0.01</v>
      </c>
      <c r="Y256" s="75"/>
      <c r="Z256" s="74"/>
      <c r="AA256" s="74">
        <f>коэффициенты!$G$14</f>
        <v>0.01</v>
      </c>
      <c r="AB256" s="74"/>
      <c r="AC256" s="74"/>
      <c r="AD256" s="74">
        <f>коэффициенты!$G$19</f>
        <v>0.01</v>
      </c>
      <c r="AE256" s="74"/>
      <c r="AF256" s="74">
        <f>коэффициенты!$G$21</f>
        <v>0.01</v>
      </c>
      <c r="AG256" s="74"/>
      <c r="AH256" s="74"/>
      <c r="AI256" s="73">
        <f>SUM(наценкад5[[#This Row],[еврокухня]:[большая площадь]])*наценкад5[[#This Row],[Цена м2 с базовым K]]+наценкад5[[#This Row],[Цена м2 с базовым K]]</f>
        <v>88412.625</v>
      </c>
      <c r="AJ256" s="72">
        <f>VLOOKUP(наценкад5[[#This Row],[№]],ППД5[],COLUMN(ППД5[[#This Row],[утв цена м2]]),0)</f>
        <v>99921.08</v>
      </c>
      <c r="AK256" s="3">
        <f>наценкад5[[#This Row],[утв цена м2]]*наценкад5[[#This Row],[Расчетная проектная площадь]]</f>
        <v>3778016.0348000005</v>
      </c>
      <c r="AL256" s="22" t="str">
        <f>VLOOKUP(наценкад5[[#This Row],[№]],ППД5[],COLUMN('Реестр ОН'!$DF$1),0)</f>
        <v>Продажа</v>
      </c>
    </row>
    <row r="257" spans="1:38" hidden="1" x14ac:dyDescent="0.25">
      <c r="A257" s="101">
        <v>255</v>
      </c>
      <c r="B257" s="2" t="str">
        <f>_xlfn.XLOOKUP(наценкад5[[#This Row],[№]],ППД5[№],ППД5[Секция],"-",0)</f>
        <v>В</v>
      </c>
      <c r="C257" s="2">
        <f>_xlfn.XLOOKUP(наценкад5[[#This Row],[№]],ППД5[№],ППД5[Этаж],"-",0)</f>
        <v>5</v>
      </c>
      <c r="D257" s="2">
        <f>_xlfn.XLOOKUP(наценкад5[[#This Row],[№]],ППД5[№],ППД5[№ на этаже],"-",0)</f>
        <v>6</v>
      </c>
      <c r="E257" s="2">
        <f>_xlfn.XLOOKUP(наценкад5[[#This Row],[№]],ППД5[№],ППД5[Тип кв],"-",0)</f>
        <v>3</v>
      </c>
      <c r="F257" s="72">
        <f>_xlfn.XLOOKUP(наценкад5[[#This Row],[№]],ППД5[№],ППД5[Кухня],"-",0)</f>
        <v>13.15</v>
      </c>
      <c r="G257" s="72">
        <f>_xlfn.XLOOKUP(наценкад5[[#This Row],[№]],ППД5[№],ППД5[Ванная],"-",0)</f>
        <v>4.03</v>
      </c>
      <c r="H257" s="72">
        <f>_xlfn.XLOOKUP(наценкад5[[#This Row],[№]],ППД5[№],ППД5[Гардеробная],"-",0)</f>
        <v>0</v>
      </c>
      <c r="I257" s="72">
        <f>_xlfn.XLOOKUP(наценкад5[[#This Row],[№]],ППД5[№],ППД5[Лоджия 2],"-",0)</f>
        <v>2.68</v>
      </c>
      <c r="J257" s="72">
        <f>_xlfn.XLOOKUP(наценкад5[[#This Row],[№]],ППД5[№],ППД5[С\У],"-",0)</f>
        <v>1.76</v>
      </c>
      <c r="K257" s="72">
        <f>_xlfn.XLOOKUP(наценкад5[[#This Row],[№]],ППД5[№],ППД5[Расчетная проектная площадь],"-",0)</f>
        <v>80.97</v>
      </c>
      <c r="L257" s="12">
        <f t="shared" si="3"/>
        <v>63000</v>
      </c>
      <c r="M257" s="27">
        <f>коэффициенты!$E$2</f>
        <v>1.1330000000000002</v>
      </c>
      <c r="N257" s="13">
        <f>наценкад5[[#This Row],[Цена м2 базовая]]*наценкад5[[#This Row],[Базовой K]]</f>
        <v>71379.000000000015</v>
      </c>
      <c r="O257" s="74"/>
      <c r="P257" s="74">
        <f>коэффициенты!$E$5</f>
        <v>0</v>
      </c>
      <c r="Q257" s="74">
        <f>коэффициенты!$E$6</f>
        <v>0.01</v>
      </c>
      <c r="R257" s="74"/>
      <c r="S257" s="74">
        <f>коэффициенты!$E$9</f>
        <v>0</v>
      </c>
      <c r="T257" s="74">
        <f>коэффициенты!$E$7</f>
        <v>0</v>
      </c>
      <c r="U257" s="74"/>
      <c r="V257" s="74"/>
      <c r="W257" s="117">
        <f>коэффициенты!$A$22</f>
        <v>0.01</v>
      </c>
      <c r="X257" s="74"/>
      <c r="Y257" s="75"/>
      <c r="Z257" s="74"/>
      <c r="AA257" s="74">
        <f>коэффициенты!$E$14</f>
        <v>0</v>
      </c>
      <c r="AB257" s="74">
        <f>коэффициенты!$E$17</f>
        <v>0</v>
      </c>
      <c r="AC257" s="74"/>
      <c r="AD257" s="74"/>
      <c r="AE257" s="74"/>
      <c r="AF257" s="74">
        <f>коэффициенты!$E$21</f>
        <v>0.01</v>
      </c>
      <c r="AG257" s="74"/>
      <c r="AH257" s="74"/>
      <c r="AI257" s="73">
        <f>SUM(наценкад5[[#This Row],[еврокухня]:[большая площадь]])*наценкад5[[#This Row],[Цена м2 с базовым K]]+наценкад5[[#This Row],[Цена м2 с базовым K]]</f>
        <v>73520.37000000001</v>
      </c>
      <c r="AJ257" s="72">
        <f>VLOOKUP(наценкад5[[#This Row],[№]],ППД5[],COLUMN(ППД5[[#This Row],[утв цена м2]]),0)</f>
        <v>73520.37</v>
      </c>
      <c r="AK257" s="3">
        <f>наценкад5[[#This Row],[утв цена м2]]*наценкад5[[#This Row],[Расчетная проектная площадь]]</f>
        <v>5952944.3588999994</v>
      </c>
      <c r="AL257" s="22" t="str">
        <f>VLOOKUP(наценкад5[[#This Row],[№]],ППД5[],COLUMN('Реестр ОН'!$DF$1),0)</f>
        <v>Продажа</v>
      </c>
    </row>
    <row r="258" spans="1:38" hidden="1" x14ac:dyDescent="0.25">
      <c r="A258" s="101">
        <v>256</v>
      </c>
      <c r="B258" s="2" t="str">
        <f>_xlfn.XLOOKUP(наценкад5[[#This Row],[№]],ППД5[№],ППД5[Секция],"-",0)</f>
        <v>В</v>
      </c>
      <c r="C258" s="2">
        <f>_xlfn.XLOOKUP(наценкад5[[#This Row],[№]],ППД5[№],ППД5[Этаж],"-",0)</f>
        <v>5</v>
      </c>
      <c r="D258" s="2">
        <f>_xlfn.XLOOKUP(наценкад5[[#This Row],[№]],ППД5[№],ППД5[№ на этаже],"-",0)</f>
        <v>7</v>
      </c>
      <c r="E258" s="2">
        <f>_xlfn.XLOOKUP(наценкад5[[#This Row],[№]],ППД5[№],ППД5[Тип кв],"-",0)</f>
        <v>1</v>
      </c>
      <c r="F258" s="72">
        <f>_xlfn.XLOOKUP(наценкад5[[#This Row],[№]],ППД5[№],ППД5[Кухня],"-",0)</f>
        <v>9.2799999999999994</v>
      </c>
      <c r="G258" s="72">
        <f>_xlfn.XLOOKUP(наценкад5[[#This Row],[№]],ППД5[№],ППД5[Ванная],"-",0)</f>
        <v>3.79</v>
      </c>
      <c r="H258" s="72">
        <f>_xlfn.XLOOKUP(наценкад5[[#This Row],[№]],ППД5[№],ППД5[Гардеробная],"-",0)</f>
        <v>0</v>
      </c>
      <c r="I258" s="72">
        <f>_xlfn.XLOOKUP(наценкад5[[#This Row],[№]],ППД5[№],ППД5[Лоджия 2],"-",0)</f>
        <v>0</v>
      </c>
      <c r="J258" s="72">
        <f>_xlfn.XLOOKUP(наценкад5[[#This Row],[№]],ППД5[№],ППД5[С\У],"-",0)</f>
        <v>0</v>
      </c>
      <c r="K258" s="72">
        <f>_xlfn.XLOOKUP(наценкад5[[#This Row],[№]],ППД5[№],ППД5[Расчетная проектная площадь],"-",0)</f>
        <v>34.81</v>
      </c>
      <c r="L258" s="12">
        <f t="shared" si="3"/>
        <v>63000</v>
      </c>
      <c r="M258" s="102">
        <f>коэффициенты!$G$2</f>
        <v>1.2875000000000001</v>
      </c>
      <c r="N258" s="13">
        <f>наценкад5[[#This Row],[Цена м2 базовая]]*наценкад5[[#This Row],[Базовой K]]</f>
        <v>81112.5</v>
      </c>
      <c r="O258" s="74"/>
      <c r="P258" s="74"/>
      <c r="Q258" s="74"/>
      <c r="R258" s="74"/>
      <c r="S258" s="74"/>
      <c r="T258" s="74"/>
      <c r="U258" s="74"/>
      <c r="V258" s="74">
        <f>коэффициенты!$G$11</f>
        <v>0.01</v>
      </c>
      <c r="W258" s="117">
        <f>коэффициенты!$G$22</f>
        <v>0.01</v>
      </c>
      <c r="X258" s="74"/>
      <c r="Y258" s="75"/>
      <c r="Z258" s="74"/>
      <c r="AA258" s="74">
        <f>коэффициенты!$G$14</f>
        <v>0.01</v>
      </c>
      <c r="AB258" s="74"/>
      <c r="AC258" s="74"/>
      <c r="AD258" s="74">
        <f>коэффициенты!$G$19</f>
        <v>0.01</v>
      </c>
      <c r="AE258" s="74"/>
      <c r="AF258" s="74">
        <f>коэффициенты!$G$21</f>
        <v>0.01</v>
      </c>
      <c r="AG258" s="74">
        <f>коэффициенты!$A$24</f>
        <v>-5.0000000000000001E-3</v>
      </c>
      <c r="AH258" s="74"/>
      <c r="AI258" s="73">
        <f>SUM(наценкад5[[#This Row],[еврокухня]:[большая площадь]])*наценкад5[[#This Row],[Цена м2 с базовым K]]+наценкад5[[#This Row],[Цена м2 с базовым K]]</f>
        <v>84762.5625</v>
      </c>
      <c r="AJ258" s="72">
        <f>VLOOKUP(наценкад5[[#This Row],[№]],ППД5[],COLUMN(ППД5[[#This Row],[утв цена м2]]),0)</f>
        <v>145817.91</v>
      </c>
      <c r="AK258" s="3">
        <f>наценкад5[[#This Row],[утв цена м2]]*наценкад5[[#This Row],[Расчетная проектная площадь]]</f>
        <v>5075921.4471000005</v>
      </c>
      <c r="AL258" s="22" t="str">
        <f>VLOOKUP(наценкад5[[#This Row],[№]],ППД5[],COLUMN('Реестр ОН'!$DF$1),0)</f>
        <v>Продажа</v>
      </c>
    </row>
    <row r="259" spans="1:38" hidden="1" x14ac:dyDescent="0.25">
      <c r="A259" s="101">
        <v>257</v>
      </c>
      <c r="B259" s="2" t="str">
        <f>_xlfn.XLOOKUP(наценкад5[[#This Row],[№]],ППД5[№],ППД5[Секция],"-",0)</f>
        <v>В</v>
      </c>
      <c r="C259" s="2">
        <f>_xlfn.XLOOKUP(наценкад5[[#This Row],[№]],ППД5[№],ППД5[Этаж],"-",0)</f>
        <v>6</v>
      </c>
      <c r="D259" s="2">
        <f>_xlfn.XLOOKUP(наценкад5[[#This Row],[№]],ППД5[№],ППД5[№ на этаже],"-",0)</f>
        <v>1</v>
      </c>
      <c r="E259" s="2">
        <f>_xlfn.XLOOKUP(наценкад5[[#This Row],[№]],ППД5[№],ППД5[Тип кв],"-",0)</f>
        <v>2</v>
      </c>
      <c r="F259" s="72">
        <f>_xlfn.XLOOKUP(наценкад5[[#This Row],[№]],ППД5[№],ППД5[Кухня],"-",0)</f>
        <v>20.05</v>
      </c>
      <c r="G259" s="72">
        <f>_xlfn.XLOOKUP(наценкад5[[#This Row],[№]],ППД5[№],ППД5[Ванная],"-",0)</f>
        <v>3.54</v>
      </c>
      <c r="H259" s="72">
        <f>_xlfn.XLOOKUP(наценкад5[[#This Row],[№]],ППД5[№],ППД5[Гардеробная],"-",0)</f>
        <v>0</v>
      </c>
      <c r="I259" s="72">
        <f>_xlfn.XLOOKUP(наценкад5[[#This Row],[№]],ППД5[№],ППД5[Лоджия 2],"-",0)</f>
        <v>2.68</v>
      </c>
      <c r="J259" s="72">
        <f>_xlfn.XLOOKUP(наценкад5[[#This Row],[№]],ППД5[№],ППД5[С\У],"-",0)</f>
        <v>2.93</v>
      </c>
      <c r="K259" s="72">
        <f>_xlfn.XLOOKUP(наценкад5[[#This Row],[№]],ППД5[№],ППД5[Расчетная проектная площадь],"-",0)</f>
        <v>73.7</v>
      </c>
      <c r="L259" s="12">
        <f t="shared" ref="L259:L322" si="4">$L$1</f>
        <v>63000</v>
      </c>
      <c r="M259" s="102">
        <f>коэффициенты!$F$2</f>
        <v>1.2257</v>
      </c>
      <c r="N259" s="13">
        <f>наценкад5[[#This Row],[Цена м2 базовая]]*наценкад5[[#This Row],[Базовой K]]</f>
        <v>77219.100000000006</v>
      </c>
      <c r="O259" s="74">
        <f>коэффициенты!$F$4</f>
        <v>1.4999999999999999E-2</v>
      </c>
      <c r="P259" s="74"/>
      <c r="Q259" s="76"/>
      <c r="R259" s="76"/>
      <c r="S259" s="76">
        <f>коэффициенты!$F$9</f>
        <v>0</v>
      </c>
      <c r="T259" s="74">
        <f>коэффициенты!$F$7</f>
        <v>0.03</v>
      </c>
      <c r="U259" s="74"/>
      <c r="V259" s="74"/>
      <c r="W259" s="75">
        <f>коэффициенты!$F$12</f>
        <v>0.02</v>
      </c>
      <c r="X259" s="74">
        <f>коэффициенты!$F$13</f>
        <v>0.02</v>
      </c>
      <c r="Y259" s="75"/>
      <c r="Z259" s="74"/>
      <c r="AA259" s="74">
        <f>коэффициенты!$F$14</f>
        <v>0.02</v>
      </c>
      <c r="AB259" s="74"/>
      <c r="AC259" s="74"/>
      <c r="AD259" s="74">
        <f>коэффициенты!$F$19</f>
        <v>5.0000000000000001E-3</v>
      </c>
      <c r="AE259" s="74"/>
      <c r="AF259" s="74">
        <f>коэффициенты!$F$21</f>
        <v>0.01</v>
      </c>
      <c r="AG259" s="74"/>
      <c r="AH259" s="74">
        <f>'отрицательный кф'!$O$27</f>
        <v>-0.08</v>
      </c>
      <c r="AI259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259" s="72">
        <f>VLOOKUP(наценкад5[[#This Row],[№]],ППД5[],COLUMN(ППД5[[#This Row],[утв цена м2]]),0)</f>
        <v>86852.95</v>
      </c>
      <c r="AK259" s="3">
        <f>наценкад5[[#This Row],[утв цена м2]]*наценкад5[[#This Row],[Расчетная проектная площадь]]</f>
        <v>6401062.415</v>
      </c>
      <c r="AL259" s="22" t="str">
        <f>VLOOKUP(наценкад5[[#This Row],[№]],ППД5[],COLUMN('Реестр ОН'!$DF$1),0)</f>
        <v>Продажа</v>
      </c>
    </row>
    <row r="260" spans="1:38" hidden="1" x14ac:dyDescent="0.25">
      <c r="A260" s="101">
        <v>258</v>
      </c>
      <c r="B260" s="2" t="str">
        <f>_xlfn.XLOOKUP(наценкад5[[#This Row],[№]],ППД5[№],ППД5[Секция],"-",0)</f>
        <v>В</v>
      </c>
      <c r="C260" s="2">
        <f>_xlfn.XLOOKUP(наценкад5[[#This Row],[№]],ППД5[№],ППД5[Этаж],"-",0)</f>
        <v>6</v>
      </c>
      <c r="D260" s="2">
        <f>_xlfn.XLOOKUP(наценкад5[[#This Row],[№]],ППД5[№],ППД5[№ на этаже],"-",0)</f>
        <v>2</v>
      </c>
      <c r="E260" s="2">
        <f>_xlfn.XLOOKUP(наценкад5[[#This Row],[№]],ППД5[№],ППД5[Тип кв],"-",0)</f>
        <v>0</v>
      </c>
      <c r="F260" s="72">
        <f>_xlfn.XLOOKUP(наценкад5[[#This Row],[№]],ППД5[№],ППД5[Кухня],"-",0)</f>
        <v>5.17</v>
      </c>
      <c r="G260" s="72">
        <f>_xlfn.XLOOKUP(наценкад5[[#This Row],[№]],ППД5[№],ППД5[Ванная],"-",0)</f>
        <v>3.72</v>
      </c>
      <c r="H260" s="72">
        <f>_xlfn.XLOOKUP(наценкад5[[#This Row],[№]],ППД5[№],ППД5[Гардеробная],"-",0)</f>
        <v>0</v>
      </c>
      <c r="I260" s="72">
        <f>_xlfn.XLOOKUP(наценкад5[[#This Row],[№]],ППД5[№],ППД5[Лоджия 2],"-",0)</f>
        <v>0</v>
      </c>
      <c r="J260" s="72">
        <f>_xlfn.XLOOKUP(наценкад5[[#This Row],[№]],ППД5[№],ППД5[С\У],"-",0)</f>
        <v>0</v>
      </c>
      <c r="K260" s="72">
        <f>_xlfn.XLOOKUP(наценкад5[[#This Row],[№]],ППД5[№],ППД5[Расчетная проектная площадь],"-",0)</f>
        <v>24.53</v>
      </c>
      <c r="L260" s="12">
        <f t="shared" si="4"/>
        <v>63000</v>
      </c>
      <c r="M260" s="116">
        <f>коэффициенты!$H$2</f>
        <v>1.3905000000000001</v>
      </c>
      <c r="N260" s="13">
        <f>наценкад5[[#This Row],[Цена м2 базовая]]*наценкад5[[#This Row],[Базовой K]]</f>
        <v>87601.5</v>
      </c>
      <c r="O260" s="74"/>
      <c r="P260" s="74"/>
      <c r="Q260" s="74"/>
      <c r="R260" s="74"/>
      <c r="S260" s="74"/>
      <c r="T260" s="74"/>
      <c r="U260" s="74"/>
      <c r="V260" s="74">
        <f>коэффициенты!$H$11</f>
        <v>0.01</v>
      </c>
      <c r="W260" s="74"/>
      <c r="X260" s="74">
        <f>коэффициенты!$H$13</f>
        <v>0.01</v>
      </c>
      <c r="Y260" s="75"/>
      <c r="Z260" s="74"/>
      <c r="AA260" s="74"/>
      <c r="AB260" s="74"/>
      <c r="AC260" s="74"/>
      <c r="AD260" s="74">
        <f>коэффициенты!$H$19</f>
        <v>0.01</v>
      </c>
      <c r="AE260" s="74"/>
      <c r="AF260" s="74">
        <f>коэффициенты!$H$21</f>
        <v>0.01</v>
      </c>
      <c r="AG260" s="74"/>
      <c r="AH260" s="74"/>
      <c r="AI260" s="73">
        <f>SUM(наценкад5[[#This Row],[еврокухня]:[большая площадь]])*наценкад5[[#This Row],[Цена м2 с базовым K]]+наценкад5[[#This Row],[Цена м2 с базовым K]]</f>
        <v>91105.56</v>
      </c>
      <c r="AJ260" s="72">
        <f>VLOOKUP(наценкад5[[#This Row],[№]],ППД5[],COLUMN(ППД5[[#This Row],[утв цена м2]]),0)</f>
        <v>126519.17</v>
      </c>
      <c r="AK260" s="3">
        <f>наценкад5[[#This Row],[утв цена м2]]*наценкад5[[#This Row],[Расчетная проектная площадь]]</f>
        <v>3103515.2401000001</v>
      </c>
      <c r="AL260" s="22" t="str">
        <f>VLOOKUP(наценкад5[[#This Row],[№]],ППД5[],COLUMN('Реестр ОН'!$DF$1),0)</f>
        <v>Продажа</v>
      </c>
    </row>
    <row r="261" spans="1:38" hidden="1" x14ac:dyDescent="0.25">
      <c r="A261" s="101">
        <v>259</v>
      </c>
      <c r="B261" s="2" t="str">
        <f>_xlfn.XLOOKUP(наценкад5[[#This Row],[№]],ППД5[№],ППД5[Секция],"-",0)</f>
        <v>В</v>
      </c>
      <c r="C261" s="2">
        <f>_xlfn.XLOOKUP(наценкад5[[#This Row],[№]],ППД5[№],ППД5[Этаж],"-",0)</f>
        <v>6</v>
      </c>
      <c r="D261" s="2">
        <f>_xlfn.XLOOKUP(наценкад5[[#This Row],[№]],ППД5[№],ППД5[№ на этаже],"-",0)</f>
        <v>3</v>
      </c>
      <c r="E261" s="2">
        <f>_xlfn.XLOOKUP(наценкад5[[#This Row],[№]],ППД5[№],ППД5[Тип кв],"-",0)</f>
        <v>2</v>
      </c>
      <c r="F261" s="72">
        <f>_xlfn.XLOOKUP(наценкад5[[#This Row],[№]],ППД5[№],ППД5[Кухня],"-",0)</f>
        <v>18.71</v>
      </c>
      <c r="G261" s="72">
        <f>_xlfn.XLOOKUP(наценкад5[[#This Row],[№]],ППД5[№],ППД5[Ванная],"-",0)</f>
        <v>3.49</v>
      </c>
      <c r="H261" s="72">
        <f>_xlfn.XLOOKUP(наценкад5[[#This Row],[№]],ППД5[№],ППД5[Гардеробная],"-",0)</f>
        <v>0</v>
      </c>
      <c r="I261" s="72">
        <f>_xlfn.XLOOKUP(наценкад5[[#This Row],[№]],ППД5[№],ППД5[Лоджия 2],"-",0)</f>
        <v>0</v>
      </c>
      <c r="J261" s="72">
        <f>_xlfn.XLOOKUP(наценкад5[[#This Row],[№]],ППД5[№],ППД5[С\У],"-",0)</f>
        <v>2.11</v>
      </c>
      <c r="K261" s="72">
        <f>_xlfn.XLOOKUP(наценкад5[[#This Row],[№]],ППД5[№],ППД5[Расчетная проектная площадь],"-",0)</f>
        <v>56.58</v>
      </c>
      <c r="L261" s="12">
        <f t="shared" si="4"/>
        <v>63000</v>
      </c>
      <c r="M261" s="102">
        <f>коэффициенты!$F$2</f>
        <v>1.2257</v>
      </c>
      <c r="N261" s="13">
        <f>наценкад5[[#This Row],[Цена м2 базовая]]*наценкад5[[#This Row],[Базовой K]]</f>
        <v>77219.100000000006</v>
      </c>
      <c r="O261" s="74">
        <f>коэффициенты!$F$4</f>
        <v>1.4999999999999999E-2</v>
      </c>
      <c r="P261" s="74"/>
      <c r="Q261" s="76"/>
      <c r="R261" s="76">
        <f>коэффициенты!$F$10</f>
        <v>0</v>
      </c>
      <c r="S261" s="76">
        <f>коэффициенты!$F$9</f>
        <v>0</v>
      </c>
      <c r="T261" s="74"/>
      <c r="U261" s="74"/>
      <c r="V261" s="74"/>
      <c r="W261" s="75"/>
      <c r="X261" s="74"/>
      <c r="Y261" s="75"/>
      <c r="Z261" s="74"/>
      <c r="AA261" s="74"/>
      <c r="AB261" s="74"/>
      <c r="AC261" s="74"/>
      <c r="AD261" s="74">
        <f>коэффициенты!$F$19</f>
        <v>5.0000000000000001E-3</v>
      </c>
      <c r="AE261" s="74"/>
      <c r="AF261" s="74">
        <f>коэффициенты!$F$21</f>
        <v>0.01</v>
      </c>
      <c r="AG261" s="74"/>
      <c r="AH261" s="74"/>
      <c r="AI261" s="73">
        <f>SUM(наценкад5[[#This Row],[еврокухня]:[большая площадь]])*наценкад5[[#This Row],[Цена м2 с базовым K]]+наценкад5[[#This Row],[Цена м2 с базовым K]]</f>
        <v>79535.67300000001</v>
      </c>
      <c r="AJ261" s="72">
        <f>VLOOKUP(наценкад5[[#This Row],[№]],ППД5[],COLUMN(ППД5[[#This Row],[утв цена м2]]),0)</f>
        <v>123245.94</v>
      </c>
      <c r="AK261" s="3">
        <f>наценкад5[[#This Row],[утв цена м2]]*наценкад5[[#This Row],[Расчетная проектная площадь]]</f>
        <v>6973255.2851999998</v>
      </c>
      <c r="AL261" s="22" t="str">
        <f>VLOOKUP(наценкад5[[#This Row],[№]],ППД5[],COLUMN('Реестр ОН'!$DF$1),0)</f>
        <v>Продажа</v>
      </c>
    </row>
    <row r="262" spans="1:38" hidden="1" x14ac:dyDescent="0.25">
      <c r="A262" s="101">
        <v>260</v>
      </c>
      <c r="B262" s="2" t="str">
        <f>_xlfn.XLOOKUP(наценкад5[[#This Row],[№]],ППД5[№],ППД5[Секция],"-",0)</f>
        <v>В</v>
      </c>
      <c r="C262" s="2">
        <f>_xlfn.XLOOKUP(наценкад5[[#This Row],[№]],ППД5[№],ППД5[Этаж],"-",0)</f>
        <v>6</v>
      </c>
      <c r="D262" s="2">
        <f>_xlfn.XLOOKUP(наценкад5[[#This Row],[№]],ППД5[№],ППД5[№ на этаже],"-",0)</f>
        <v>4</v>
      </c>
      <c r="E262" s="2">
        <f>_xlfn.XLOOKUP(наценкад5[[#This Row],[№]],ППД5[№],ППД5[Тип кв],"-",0)</f>
        <v>2</v>
      </c>
      <c r="F262" s="72">
        <f>_xlfn.XLOOKUP(наценкад5[[#This Row],[№]],ППД5[№],ППД5[Кухня],"-",0)</f>
        <v>15.44</v>
      </c>
      <c r="G262" s="72">
        <f>_xlfn.XLOOKUP(наценкад5[[#This Row],[№]],ППД5[№],ППД5[Ванная],"-",0)</f>
        <v>4.59</v>
      </c>
      <c r="H262" s="72">
        <f>_xlfn.XLOOKUP(наценкад5[[#This Row],[№]],ППД5[№],ППД5[Гардеробная],"-",0)</f>
        <v>0</v>
      </c>
      <c r="I262" s="72">
        <f>_xlfn.XLOOKUP(наценкад5[[#This Row],[№]],ППД5[№],ППД5[Лоджия 2],"-",0)</f>
        <v>0</v>
      </c>
      <c r="J262" s="72">
        <f>_xlfn.XLOOKUP(наценкад5[[#This Row],[№]],ППД5[№],ППД5[С\У],"-",0)</f>
        <v>2.21</v>
      </c>
      <c r="K262" s="72">
        <f>_xlfn.XLOOKUP(наценкад5[[#This Row],[№]],ППД5[№],ППД5[Расчетная проектная площадь],"-",0)</f>
        <v>60.24</v>
      </c>
      <c r="L262" s="12">
        <f t="shared" si="4"/>
        <v>63000</v>
      </c>
      <c r="M262" s="102">
        <f>коэффициенты!$F$2</f>
        <v>1.2257</v>
      </c>
      <c r="N262" s="13">
        <f>наценкад5[[#This Row],[Цена м2 базовая]]*наценкад5[[#This Row],[Базовой K]]</f>
        <v>77219.100000000006</v>
      </c>
      <c r="O262" s="74">
        <f>коэффициенты!$F$4</f>
        <v>1.4999999999999999E-2</v>
      </c>
      <c r="P262" s="74"/>
      <c r="Q262" s="76">
        <f>коэффициенты!$F$6</f>
        <v>0.02</v>
      </c>
      <c r="R262" s="76"/>
      <c r="S262" s="76">
        <f>коэффициенты!$F$9</f>
        <v>0</v>
      </c>
      <c r="T262" s="74"/>
      <c r="U262" s="74"/>
      <c r="V262" s="74">
        <f>коэффициенты!$F$11</f>
        <v>5.0000000000000001E-3</v>
      </c>
      <c r="W262" s="75"/>
      <c r="X262" s="74"/>
      <c r="Y262" s="75"/>
      <c r="Z262" s="74"/>
      <c r="AA262" s="74"/>
      <c r="AB262" s="74"/>
      <c r="AC262" s="74"/>
      <c r="AD262" s="74">
        <f>коэффициенты!$F$19</f>
        <v>5.0000000000000001E-3</v>
      </c>
      <c r="AE262" s="74"/>
      <c r="AF262" s="74">
        <f>коэффициенты!$F$21</f>
        <v>0.01</v>
      </c>
      <c r="AG262" s="74"/>
      <c r="AH262" s="74"/>
      <c r="AI262" s="73">
        <f>SUM(наценкад5[[#This Row],[еврокухня]:[большая площадь]])*наценкад5[[#This Row],[Цена м2 с базовым K]]+наценкад5[[#This Row],[Цена м2 с базовым K]]</f>
        <v>81466.150500000003</v>
      </c>
      <c r="AJ262" s="72">
        <f>VLOOKUP(наценкад5[[#This Row],[№]],ППД5[],COLUMN(ППД5[[#This Row],[утв цена м2]]),0)</f>
        <v>121737.2</v>
      </c>
      <c r="AK262" s="3">
        <f>наценкад5[[#This Row],[утв цена м2]]*наценкад5[[#This Row],[Расчетная проектная площадь]]</f>
        <v>7333448.9280000003</v>
      </c>
      <c r="AL262" s="22" t="str">
        <f>VLOOKUP(наценкад5[[#This Row],[№]],ППД5[],COLUMN('Реестр ОН'!$DF$1),0)</f>
        <v>Продажа</v>
      </c>
    </row>
    <row r="263" spans="1:38" hidden="1" x14ac:dyDescent="0.25">
      <c r="A263" s="101">
        <v>261</v>
      </c>
      <c r="B263" s="2" t="str">
        <f>_xlfn.XLOOKUP(наценкад5[[#This Row],[№]],ППД5[№],ППД5[Секция],"-",0)</f>
        <v>В</v>
      </c>
      <c r="C263" s="2">
        <f>_xlfn.XLOOKUP(наценкад5[[#This Row],[№]],ППД5[№],ППД5[Этаж],"-",0)</f>
        <v>6</v>
      </c>
      <c r="D263" s="2">
        <f>_xlfn.XLOOKUP(наценкад5[[#This Row],[№]],ППД5[№],ППД5[№ на этаже],"-",0)</f>
        <v>5</v>
      </c>
      <c r="E263" s="2">
        <f>_xlfn.XLOOKUP(наценкад5[[#This Row],[№]],ППД5[№],ППД5[Тип кв],"-",0)</f>
        <v>1</v>
      </c>
      <c r="F263" s="72">
        <f>_xlfn.XLOOKUP(наценкад5[[#This Row],[№]],ППД5[№],ППД5[Кухня],"-",0)</f>
        <v>12.74</v>
      </c>
      <c r="G263" s="72">
        <f>_xlfn.XLOOKUP(наценкад5[[#This Row],[№]],ППД5[№],ППД5[Ванная],"-",0)</f>
        <v>4.0199999999999996</v>
      </c>
      <c r="H263" s="72">
        <f>_xlfn.XLOOKUP(наценкад5[[#This Row],[№]],ППД5[№],ППД5[Гардеробная],"-",0)</f>
        <v>0</v>
      </c>
      <c r="I263" s="72">
        <f>_xlfn.XLOOKUP(наценкад5[[#This Row],[№]],ППД5[№],ППД5[Лоджия 2],"-",0)</f>
        <v>0</v>
      </c>
      <c r="J263" s="72">
        <f>_xlfn.XLOOKUP(наценкад5[[#This Row],[№]],ППД5[№],ППД5[С\У],"-",0)</f>
        <v>0</v>
      </c>
      <c r="K263" s="72">
        <f>_xlfn.XLOOKUP(наценкад5[[#This Row],[№]],ППД5[№],ППД5[Расчетная проектная площадь],"-",0)</f>
        <v>37.81</v>
      </c>
      <c r="L263" s="12">
        <f t="shared" si="4"/>
        <v>63000</v>
      </c>
      <c r="M263" s="102">
        <f>коэффициенты!$G$2</f>
        <v>1.2875000000000001</v>
      </c>
      <c r="N263" s="13">
        <f>наценкад5[[#This Row],[Цена м2 базовая]]*наценкад5[[#This Row],[Базовой K]]</f>
        <v>81112.5</v>
      </c>
      <c r="O263" s="74"/>
      <c r="P263" s="76">
        <f>коэффициенты!$G$5</f>
        <v>0.01</v>
      </c>
      <c r="Q263" s="74">
        <f>коэффициенты!$G$6</f>
        <v>0.03</v>
      </c>
      <c r="R263" s="74"/>
      <c r="S263" s="74"/>
      <c r="T263" s="74"/>
      <c r="U263" s="74"/>
      <c r="V263" s="74">
        <f>коэффициенты!$G$11</f>
        <v>0.01</v>
      </c>
      <c r="W263" s="74"/>
      <c r="X263" s="74">
        <f>коэффициенты!$G$13</f>
        <v>0.01</v>
      </c>
      <c r="Y263" s="75"/>
      <c r="Z263" s="74"/>
      <c r="AA263" s="74">
        <f>коэффициенты!$G$14</f>
        <v>0.01</v>
      </c>
      <c r="AB263" s="74"/>
      <c r="AC263" s="74"/>
      <c r="AD263" s="74">
        <f>коэффициенты!$G$19</f>
        <v>0.01</v>
      </c>
      <c r="AE263" s="74"/>
      <c r="AF263" s="74">
        <f>коэффициенты!$G$21</f>
        <v>0.01</v>
      </c>
      <c r="AG263" s="74"/>
      <c r="AH263" s="74"/>
      <c r="AI263" s="73">
        <f>SUM(наценкад5[[#This Row],[еврокухня]:[большая площадь]])*наценкад5[[#This Row],[Цена м2 с базовым K]]+наценкад5[[#This Row],[Цена м2 с базовым K]]</f>
        <v>88412.625</v>
      </c>
      <c r="AJ263" s="72">
        <f>VLOOKUP(наценкад5[[#This Row],[№]],ППД5[],COLUMN(ППД5[[#This Row],[утв цена м2]]),0)</f>
        <v>137241.74</v>
      </c>
      <c r="AK263" s="3">
        <f>наценкад5[[#This Row],[утв цена м2]]*наценкад5[[#This Row],[Расчетная проектная площадь]]</f>
        <v>5189110.1893999996</v>
      </c>
      <c r="AL263" s="22" t="str">
        <f>VLOOKUP(наценкад5[[#This Row],[№]],ППД5[],COLUMN('Реестр ОН'!$DF$1),0)</f>
        <v>Свободно</v>
      </c>
    </row>
    <row r="264" spans="1:38" hidden="1" x14ac:dyDescent="0.25">
      <c r="A264" s="101">
        <v>262</v>
      </c>
      <c r="B264" s="2" t="str">
        <f>_xlfn.XLOOKUP(наценкад5[[#This Row],[№]],ППД5[№],ППД5[Секция],"-",0)</f>
        <v>В</v>
      </c>
      <c r="C264" s="2">
        <f>_xlfn.XLOOKUP(наценкад5[[#This Row],[№]],ППД5[№],ППД5[Этаж],"-",0)</f>
        <v>6</v>
      </c>
      <c r="D264" s="2">
        <f>_xlfn.XLOOKUP(наценкад5[[#This Row],[№]],ППД5[№],ППД5[№ на этаже],"-",0)</f>
        <v>6</v>
      </c>
      <c r="E264" s="2">
        <f>_xlfn.XLOOKUP(наценкад5[[#This Row],[№]],ППД5[№],ППД5[Тип кв],"-",0)</f>
        <v>3</v>
      </c>
      <c r="F264" s="72">
        <f>_xlfn.XLOOKUP(наценкад5[[#This Row],[№]],ППД5[№],ППД5[Кухня],"-",0)</f>
        <v>13.15</v>
      </c>
      <c r="G264" s="72">
        <f>_xlfn.XLOOKUP(наценкад5[[#This Row],[№]],ППД5[№],ППД5[Ванная],"-",0)</f>
        <v>4.03</v>
      </c>
      <c r="H264" s="72">
        <f>_xlfn.XLOOKUP(наценкад5[[#This Row],[№]],ППД5[№],ППД5[Гардеробная],"-",0)</f>
        <v>0</v>
      </c>
      <c r="I264" s="72">
        <f>_xlfn.XLOOKUP(наценкад5[[#This Row],[№]],ППД5[№],ППД5[Лоджия 2],"-",0)</f>
        <v>2.68</v>
      </c>
      <c r="J264" s="72">
        <f>_xlfn.XLOOKUP(наценкад5[[#This Row],[№]],ППД5[№],ППД5[С\У],"-",0)</f>
        <v>1.76</v>
      </c>
      <c r="K264" s="72">
        <f>_xlfn.XLOOKUP(наценкад5[[#This Row],[№]],ППД5[№],ППД5[Расчетная проектная площадь],"-",0)</f>
        <v>80.97</v>
      </c>
      <c r="L264" s="12">
        <f t="shared" si="4"/>
        <v>63000</v>
      </c>
      <c r="M264" s="27">
        <f>коэффициенты!$E$2</f>
        <v>1.1330000000000002</v>
      </c>
      <c r="N264" s="13">
        <f>наценкад5[[#This Row],[Цена м2 базовая]]*наценкад5[[#This Row],[Базовой K]]</f>
        <v>71379.000000000015</v>
      </c>
      <c r="O264" s="74"/>
      <c r="P264" s="74">
        <f>коэффициенты!$E$5</f>
        <v>0</v>
      </c>
      <c r="Q264" s="74">
        <f>коэффициенты!$E$6</f>
        <v>0.01</v>
      </c>
      <c r="R264" s="74"/>
      <c r="S264" s="74">
        <f>коэффициенты!$E$9</f>
        <v>0</v>
      </c>
      <c r="T264" s="74">
        <f>коэффициенты!$E$7</f>
        <v>0</v>
      </c>
      <c r="U264" s="74"/>
      <c r="V264" s="74"/>
      <c r="W264" s="75">
        <f>коэффициенты!$E$12</f>
        <v>0.02</v>
      </c>
      <c r="X264" s="74"/>
      <c r="Y264" s="75"/>
      <c r="Z264" s="74"/>
      <c r="AA264" s="74">
        <f>коэффициенты!$E$14</f>
        <v>0</v>
      </c>
      <c r="AB264" s="74">
        <f>коэффициенты!$E$17</f>
        <v>0</v>
      </c>
      <c r="AC264" s="74"/>
      <c r="AD264" s="74"/>
      <c r="AE264" s="74"/>
      <c r="AF264" s="74">
        <f>коэффициенты!$E$21</f>
        <v>0.01</v>
      </c>
      <c r="AG264" s="74"/>
      <c r="AH264" s="74"/>
      <c r="AI264" s="73">
        <f>SUM(наценкад5[[#This Row],[еврокухня]:[большая площадь]])*наценкад5[[#This Row],[Цена м2 с базовым K]]+наценкад5[[#This Row],[Цена м2 с базовым K]]</f>
        <v>74234.160000000018</v>
      </c>
      <c r="AJ264" s="72">
        <f>VLOOKUP(наценкад5[[#This Row],[№]],ППД5[],COLUMN(ППД5[[#This Row],[утв цена м2]]),0)</f>
        <v>93088.28</v>
      </c>
      <c r="AK264" s="3">
        <f>наценкад5[[#This Row],[утв цена м2]]*наценкад5[[#This Row],[Расчетная проектная площадь]]</f>
        <v>7537358.0315999994</v>
      </c>
      <c r="AL264" s="22" t="str">
        <f>VLOOKUP(наценкад5[[#This Row],[№]],ППД5[],COLUMN('Реестр ОН'!$DF$1),0)</f>
        <v>Продажа</v>
      </c>
    </row>
    <row r="265" spans="1:38" hidden="1" x14ac:dyDescent="0.25">
      <c r="A265" s="101">
        <v>263</v>
      </c>
      <c r="B265" s="2" t="str">
        <f>_xlfn.XLOOKUP(наценкад5[[#This Row],[№]],ППД5[№],ППД5[Секция],"-",0)</f>
        <v>В</v>
      </c>
      <c r="C265" s="2">
        <f>_xlfn.XLOOKUP(наценкад5[[#This Row],[№]],ППД5[№],ППД5[Этаж],"-",0)</f>
        <v>6</v>
      </c>
      <c r="D265" s="2">
        <f>_xlfn.XLOOKUP(наценкад5[[#This Row],[№]],ППД5[№],ППД5[№ на этаже],"-",0)</f>
        <v>7</v>
      </c>
      <c r="E265" s="2">
        <f>_xlfn.XLOOKUP(наценкад5[[#This Row],[№]],ППД5[№],ППД5[Тип кв],"-",0)</f>
        <v>1</v>
      </c>
      <c r="F265" s="72">
        <f>_xlfn.XLOOKUP(наценкад5[[#This Row],[№]],ППД5[№],ППД5[Кухня],"-",0)</f>
        <v>9.2799999999999994</v>
      </c>
      <c r="G265" s="72">
        <f>_xlfn.XLOOKUP(наценкад5[[#This Row],[№]],ППД5[№],ППД5[Ванная],"-",0)</f>
        <v>3.79</v>
      </c>
      <c r="H265" s="72">
        <f>_xlfn.XLOOKUP(наценкад5[[#This Row],[№]],ППД5[№],ППД5[Гардеробная],"-",0)</f>
        <v>0</v>
      </c>
      <c r="I265" s="72">
        <f>_xlfn.XLOOKUP(наценкад5[[#This Row],[№]],ППД5[№],ППД5[Лоджия 2],"-",0)</f>
        <v>0</v>
      </c>
      <c r="J265" s="72">
        <f>_xlfn.XLOOKUP(наценкад5[[#This Row],[№]],ППД5[№],ППД5[С\У],"-",0)</f>
        <v>0</v>
      </c>
      <c r="K265" s="72">
        <f>_xlfn.XLOOKUP(наценкад5[[#This Row],[№]],ППД5[№],ППД5[Расчетная проектная площадь],"-",0)</f>
        <v>34.81</v>
      </c>
      <c r="L265" s="12">
        <f t="shared" si="4"/>
        <v>63000</v>
      </c>
      <c r="M265" s="102">
        <f>коэффициенты!$G$2</f>
        <v>1.2875000000000001</v>
      </c>
      <c r="N265" s="13">
        <f>наценкад5[[#This Row],[Цена м2 базовая]]*наценкад5[[#This Row],[Базовой K]]</f>
        <v>81112.5</v>
      </c>
      <c r="O265" s="74"/>
      <c r="P265" s="74"/>
      <c r="Q265" s="74"/>
      <c r="R265" s="74"/>
      <c r="S265" s="74"/>
      <c r="T265" s="74"/>
      <c r="U265" s="74"/>
      <c r="V265" s="74">
        <f>коэффициенты!$G$11</f>
        <v>0.01</v>
      </c>
      <c r="W265" s="75">
        <f>коэффициенты!$G$12</f>
        <v>0.02</v>
      </c>
      <c r="X265" s="74"/>
      <c r="Y265" s="75"/>
      <c r="Z265" s="74"/>
      <c r="AA265" s="74">
        <f>коэффициенты!$G$14</f>
        <v>0.01</v>
      </c>
      <c r="AB265" s="74"/>
      <c r="AC265" s="74"/>
      <c r="AD265" s="74">
        <f>коэффициенты!$G$19</f>
        <v>0.01</v>
      </c>
      <c r="AE265" s="74"/>
      <c r="AF265" s="74">
        <f>коэффициенты!$G$21</f>
        <v>0.01</v>
      </c>
      <c r="AG265" s="74">
        <f>коэффициенты!$A$24</f>
        <v>-5.0000000000000001E-3</v>
      </c>
      <c r="AH265" s="74"/>
      <c r="AI265" s="73">
        <f>SUM(наценкад5[[#This Row],[еврокухня]:[большая площадь]])*наценкад5[[#This Row],[Цена м2 с базовым K]]+наценкад5[[#This Row],[Цена м2 с базовым K]]</f>
        <v>85573.6875</v>
      </c>
      <c r="AJ265" s="72">
        <f>VLOOKUP(наценкад5[[#This Row],[№]],ППД5[],COLUMN(ППД5[[#This Row],[утв цена м2]]),0)</f>
        <v>124043.8</v>
      </c>
      <c r="AK265" s="3">
        <f>наценкад5[[#This Row],[утв цена м2]]*наценкад5[[#This Row],[Расчетная проектная площадь]]</f>
        <v>4317964.6780000003</v>
      </c>
      <c r="AL265" s="22" t="str">
        <f>VLOOKUP(наценкад5[[#This Row],[№]],ППД5[],COLUMN('Реестр ОН'!$DF$1),0)</f>
        <v>Продажа</v>
      </c>
    </row>
    <row r="266" spans="1:38" hidden="1" x14ac:dyDescent="0.25">
      <c r="A266" s="101">
        <v>264</v>
      </c>
      <c r="B266" s="2" t="str">
        <f>_xlfn.XLOOKUP(наценкад5[[#This Row],[№]],ППД5[№],ППД5[Секция],"-",0)</f>
        <v>В</v>
      </c>
      <c r="C266" s="2">
        <f>_xlfn.XLOOKUP(наценкад5[[#This Row],[№]],ППД5[№],ППД5[Этаж],"-",0)</f>
        <v>7</v>
      </c>
      <c r="D266" s="2">
        <f>_xlfn.XLOOKUP(наценкад5[[#This Row],[№]],ППД5[№],ППД5[№ на этаже],"-",0)</f>
        <v>1</v>
      </c>
      <c r="E266" s="2">
        <f>_xlfn.XLOOKUP(наценкад5[[#This Row],[№]],ППД5[№],ППД5[Тип кв],"-",0)</f>
        <v>2</v>
      </c>
      <c r="F266" s="72">
        <f>_xlfn.XLOOKUP(наценкад5[[#This Row],[№]],ППД5[№],ППД5[Кухня],"-",0)</f>
        <v>20.05</v>
      </c>
      <c r="G266" s="72">
        <f>_xlfn.XLOOKUP(наценкад5[[#This Row],[№]],ППД5[№],ППД5[Ванная],"-",0)</f>
        <v>3.54</v>
      </c>
      <c r="H266" s="72">
        <f>_xlfn.XLOOKUP(наценкад5[[#This Row],[№]],ППД5[№],ППД5[Гардеробная],"-",0)</f>
        <v>0</v>
      </c>
      <c r="I266" s="72">
        <f>_xlfn.XLOOKUP(наценкад5[[#This Row],[№]],ППД5[№],ППД5[Лоджия 2],"-",0)</f>
        <v>2.68</v>
      </c>
      <c r="J266" s="72">
        <f>_xlfn.XLOOKUP(наценкад5[[#This Row],[№]],ППД5[№],ППД5[С\У],"-",0)</f>
        <v>2.93</v>
      </c>
      <c r="K266" s="72">
        <f>_xlfn.XLOOKUP(наценкад5[[#This Row],[№]],ППД5[№],ППД5[Расчетная проектная площадь],"-",0)</f>
        <v>73.7</v>
      </c>
      <c r="L266" s="12">
        <f t="shared" si="4"/>
        <v>63000</v>
      </c>
      <c r="M266" s="102">
        <f>коэффициенты!$F$2</f>
        <v>1.2257</v>
      </c>
      <c r="N266" s="13">
        <f>наценкад5[[#This Row],[Цена м2 базовая]]*наценкад5[[#This Row],[Базовой K]]</f>
        <v>77219.100000000006</v>
      </c>
      <c r="O266" s="74">
        <f>коэффициенты!$F$4</f>
        <v>1.4999999999999999E-2</v>
      </c>
      <c r="P266" s="74"/>
      <c r="Q266" s="76"/>
      <c r="R266" s="76"/>
      <c r="S266" s="76">
        <f>коэффициенты!$F$9</f>
        <v>0</v>
      </c>
      <c r="T266" s="74">
        <f>коэффициенты!$F$7</f>
        <v>0.03</v>
      </c>
      <c r="U266" s="74"/>
      <c r="V266" s="74"/>
      <c r="W266" s="75"/>
      <c r="X266" s="74">
        <f>коэффициенты!$F$13</f>
        <v>0.02</v>
      </c>
      <c r="Y266" s="75"/>
      <c r="Z266" s="74"/>
      <c r="AA266" s="74">
        <f>коэффициенты!$F$14</f>
        <v>0.02</v>
      </c>
      <c r="AB266" s="74"/>
      <c r="AC266" s="74"/>
      <c r="AD266" s="74">
        <f>коэффициенты!$F$19</f>
        <v>5.0000000000000001E-3</v>
      </c>
      <c r="AE266" s="74"/>
      <c r="AF266" s="74">
        <f>коэффициенты!$F$21</f>
        <v>0.01</v>
      </c>
      <c r="AG266" s="74"/>
      <c r="AH266" s="74">
        <f>'отрицательный кф'!$O$27</f>
        <v>-0.08</v>
      </c>
      <c r="AI266" s="73">
        <f>SUM(наценкад5[[#This Row],[еврокухня]:[большая площадь]])*наценкад5[[#This Row],[Цена м2 с базовым K]]+наценкад5[[#This Row],[Цена м2 с базовым K]]</f>
        <v>78763.482000000004</v>
      </c>
      <c r="AJ266" s="72">
        <f>VLOOKUP(наценкад5[[#This Row],[№]],ППД5[],COLUMN(ППД5[[#This Row],[утв цена м2]]),0)</f>
        <v>115308.83</v>
      </c>
      <c r="AK266" s="3">
        <f>наценкад5[[#This Row],[утв цена м2]]*наценкад5[[#This Row],[Расчетная проектная площадь]]</f>
        <v>8498260.7709999997</v>
      </c>
      <c r="AL266" s="22" t="str">
        <f>VLOOKUP(наценкад5[[#This Row],[№]],ППД5[],COLUMN('Реестр ОН'!$DF$1),0)</f>
        <v>Свободно</v>
      </c>
    </row>
    <row r="267" spans="1:38" hidden="1" x14ac:dyDescent="0.25">
      <c r="A267" s="101">
        <v>265</v>
      </c>
      <c r="B267" s="2" t="str">
        <f>_xlfn.XLOOKUP(наценкад5[[#This Row],[№]],ППД5[№],ППД5[Секция],"-",0)</f>
        <v>В</v>
      </c>
      <c r="C267" s="2">
        <f>_xlfn.XLOOKUP(наценкад5[[#This Row],[№]],ППД5[№],ППД5[Этаж],"-",0)</f>
        <v>7</v>
      </c>
      <c r="D267" s="2">
        <f>_xlfn.XLOOKUP(наценкад5[[#This Row],[№]],ППД5[№],ППД5[№ на этаже],"-",0)</f>
        <v>2</v>
      </c>
      <c r="E267" s="2">
        <f>_xlfn.XLOOKUP(наценкад5[[#This Row],[№]],ППД5[№],ППД5[Тип кв],"-",0)</f>
        <v>0</v>
      </c>
      <c r="F267" s="72">
        <f>_xlfn.XLOOKUP(наценкад5[[#This Row],[№]],ППД5[№],ППД5[Кухня],"-",0)</f>
        <v>5.17</v>
      </c>
      <c r="G267" s="72">
        <f>_xlfn.XLOOKUP(наценкад5[[#This Row],[№]],ППД5[№],ППД5[Ванная],"-",0)</f>
        <v>3.72</v>
      </c>
      <c r="H267" s="72">
        <f>_xlfn.XLOOKUP(наценкад5[[#This Row],[№]],ППД5[№],ППД5[Гардеробная],"-",0)</f>
        <v>0</v>
      </c>
      <c r="I267" s="72">
        <f>_xlfn.XLOOKUP(наценкад5[[#This Row],[№]],ППД5[№],ППД5[Лоджия 2],"-",0)</f>
        <v>0</v>
      </c>
      <c r="J267" s="72">
        <f>_xlfn.XLOOKUP(наценкад5[[#This Row],[№]],ППД5[№],ППД5[С\У],"-",0)</f>
        <v>0</v>
      </c>
      <c r="K267" s="72">
        <f>_xlfn.XLOOKUP(наценкад5[[#This Row],[№]],ППД5[№],ППД5[Расчетная проектная площадь],"-",0)</f>
        <v>24.53</v>
      </c>
      <c r="L267" s="12">
        <f t="shared" si="4"/>
        <v>63000</v>
      </c>
      <c r="M267" s="116">
        <f>коэффициенты!$H$2</f>
        <v>1.3905000000000001</v>
      </c>
      <c r="N267" s="13">
        <f>наценкад5[[#This Row],[Цена м2 базовая]]*наценкад5[[#This Row],[Базовой K]]</f>
        <v>87601.5</v>
      </c>
      <c r="O267" s="74"/>
      <c r="P267" s="74"/>
      <c r="Q267" s="74"/>
      <c r="R267" s="74"/>
      <c r="S267" s="74"/>
      <c r="T267" s="74"/>
      <c r="U267" s="74"/>
      <c r="V267" s="74">
        <f>коэффициенты!$H$11</f>
        <v>0.01</v>
      </c>
      <c r="W267" s="117">
        <f>коэффициенты!$H$22</f>
        <v>0.01</v>
      </c>
      <c r="X267" s="74">
        <f>коэффициенты!$H$13</f>
        <v>0.01</v>
      </c>
      <c r="Y267" s="75"/>
      <c r="Z267" s="74"/>
      <c r="AA267" s="74"/>
      <c r="AB267" s="74"/>
      <c r="AC267" s="74"/>
      <c r="AD267" s="74">
        <f>коэффициенты!$H$19</f>
        <v>0.01</v>
      </c>
      <c r="AE267" s="74"/>
      <c r="AF267" s="74">
        <f>коэффициенты!$H$21</f>
        <v>0.01</v>
      </c>
      <c r="AG267" s="74"/>
      <c r="AH267" s="74"/>
      <c r="AI267" s="73">
        <f>SUM(наценкад5[[#This Row],[еврокухня]:[большая площадь]])*наценкад5[[#This Row],[Цена м2 с базовым K]]+наценкад5[[#This Row],[Цена м2 с базовым K]]</f>
        <v>91981.574999999997</v>
      </c>
      <c r="AJ267" s="72">
        <f>VLOOKUP(наценкад5[[#This Row],[№]],ППД5[],COLUMN(ППД5[[#This Row],[утв цена м2]]),0)</f>
        <v>130300</v>
      </c>
      <c r="AK267" s="3">
        <f>наценкад5[[#This Row],[утв цена м2]]*наценкад5[[#This Row],[Расчетная проектная площадь]]</f>
        <v>3196259</v>
      </c>
      <c r="AL267" s="22" t="str">
        <f>VLOOKUP(наценкад5[[#This Row],[№]],ППД5[],COLUMN('Реестр ОН'!$DF$1),0)</f>
        <v>Продажа</v>
      </c>
    </row>
    <row r="268" spans="1:38" hidden="1" x14ac:dyDescent="0.25">
      <c r="A268" s="101">
        <v>266</v>
      </c>
      <c r="B268" s="2" t="str">
        <f>_xlfn.XLOOKUP(наценкад5[[#This Row],[№]],ППД5[№],ППД5[Секция],"-",0)</f>
        <v>В</v>
      </c>
      <c r="C268" s="2">
        <f>_xlfn.XLOOKUP(наценкад5[[#This Row],[№]],ППД5[№],ППД5[Этаж],"-",0)</f>
        <v>7</v>
      </c>
      <c r="D268" s="2">
        <f>_xlfn.XLOOKUP(наценкад5[[#This Row],[№]],ППД5[№],ППД5[№ на этаже],"-",0)</f>
        <v>3</v>
      </c>
      <c r="E268" s="2">
        <f>_xlfn.XLOOKUP(наценкад5[[#This Row],[№]],ППД5[№],ППД5[Тип кв],"-",0)</f>
        <v>2</v>
      </c>
      <c r="F268" s="72">
        <f>_xlfn.XLOOKUP(наценкад5[[#This Row],[№]],ППД5[№],ППД5[Кухня],"-",0)</f>
        <v>18.71</v>
      </c>
      <c r="G268" s="72">
        <f>_xlfn.XLOOKUP(наценкад5[[#This Row],[№]],ППД5[№],ППД5[Ванная],"-",0)</f>
        <v>3.49</v>
      </c>
      <c r="H268" s="72">
        <f>_xlfn.XLOOKUP(наценкад5[[#This Row],[№]],ППД5[№],ППД5[Гардеробная],"-",0)</f>
        <v>0</v>
      </c>
      <c r="I268" s="72">
        <f>_xlfn.XLOOKUP(наценкад5[[#This Row],[№]],ППД5[№],ППД5[Лоджия 2],"-",0)</f>
        <v>0</v>
      </c>
      <c r="J268" s="72">
        <f>_xlfn.XLOOKUP(наценкад5[[#This Row],[№]],ППД5[№],ППД5[С\У],"-",0)</f>
        <v>2.11</v>
      </c>
      <c r="K268" s="72">
        <f>_xlfn.XLOOKUP(наценкад5[[#This Row],[№]],ППД5[№],ППД5[Расчетная проектная площадь],"-",0)</f>
        <v>56.58</v>
      </c>
      <c r="L268" s="12">
        <f t="shared" si="4"/>
        <v>63000</v>
      </c>
      <c r="M268" s="102">
        <f>коэффициенты!$F$2</f>
        <v>1.2257</v>
      </c>
      <c r="N268" s="13">
        <f>наценкад5[[#This Row],[Цена м2 базовая]]*наценкад5[[#This Row],[Базовой K]]</f>
        <v>77219.100000000006</v>
      </c>
      <c r="O268" s="74">
        <f>коэффициенты!$F$4</f>
        <v>1.4999999999999999E-2</v>
      </c>
      <c r="P268" s="74"/>
      <c r="Q268" s="76"/>
      <c r="R268" s="76">
        <f>коэффициенты!$F$10</f>
        <v>0</v>
      </c>
      <c r="S268" s="76">
        <f>коэффициенты!$F$9</f>
        <v>0</v>
      </c>
      <c r="T268" s="74"/>
      <c r="U268" s="74"/>
      <c r="V268" s="74"/>
      <c r="W268" s="117">
        <f>коэффициенты!$F$22</f>
        <v>0.01</v>
      </c>
      <c r="X268" s="74"/>
      <c r="Y268" s="75"/>
      <c r="Z268" s="74"/>
      <c r="AA268" s="74"/>
      <c r="AB268" s="74"/>
      <c r="AC268" s="74"/>
      <c r="AD268" s="74">
        <f>коэффициенты!$F$19</f>
        <v>5.0000000000000001E-3</v>
      </c>
      <c r="AE268" s="74"/>
      <c r="AF268" s="74">
        <f>коэффициенты!$F$21</f>
        <v>0.01</v>
      </c>
      <c r="AG268" s="74"/>
      <c r="AH268" s="74"/>
      <c r="AI268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268" s="72">
        <f>VLOOKUP(наценкад5[[#This Row],[№]],ППД5[],COLUMN(ППД5[[#This Row],[утв цена м2]]),0)</f>
        <v>96936.99</v>
      </c>
      <c r="AK268" s="3">
        <f>наценкад5[[#This Row],[утв цена м2]]*наценкад5[[#This Row],[Расчетная проектная площадь]]</f>
        <v>5484694.8942</v>
      </c>
      <c r="AL268" s="22" t="str">
        <f>VLOOKUP(наценкад5[[#This Row],[№]],ППД5[],COLUMN('Реестр ОН'!$DF$1),0)</f>
        <v>Продажа</v>
      </c>
    </row>
    <row r="269" spans="1:38" hidden="1" x14ac:dyDescent="0.25">
      <c r="A269" s="101">
        <v>267</v>
      </c>
      <c r="B269" s="2" t="str">
        <f>_xlfn.XLOOKUP(наценкад5[[#This Row],[№]],ППД5[№],ППД5[Секция],"-",0)</f>
        <v>В</v>
      </c>
      <c r="C269" s="2">
        <f>_xlfn.XLOOKUP(наценкад5[[#This Row],[№]],ППД5[№],ППД5[Этаж],"-",0)</f>
        <v>7</v>
      </c>
      <c r="D269" s="2">
        <f>_xlfn.XLOOKUP(наценкад5[[#This Row],[№]],ППД5[№],ППД5[№ на этаже],"-",0)</f>
        <v>4</v>
      </c>
      <c r="E269" s="2">
        <f>_xlfn.XLOOKUP(наценкад5[[#This Row],[№]],ППД5[№],ППД5[Тип кв],"-",0)</f>
        <v>2</v>
      </c>
      <c r="F269" s="72">
        <f>_xlfn.XLOOKUP(наценкад5[[#This Row],[№]],ППД5[№],ППД5[Кухня],"-",0)</f>
        <v>15.44</v>
      </c>
      <c r="G269" s="72">
        <f>_xlfn.XLOOKUP(наценкад5[[#This Row],[№]],ППД5[№],ППД5[Ванная],"-",0)</f>
        <v>4.59</v>
      </c>
      <c r="H269" s="72">
        <f>_xlfn.XLOOKUP(наценкад5[[#This Row],[№]],ППД5[№],ППД5[Гардеробная],"-",0)</f>
        <v>0</v>
      </c>
      <c r="I269" s="72">
        <f>_xlfn.XLOOKUP(наценкад5[[#This Row],[№]],ППД5[№],ППД5[Лоджия 2],"-",0)</f>
        <v>0</v>
      </c>
      <c r="J269" s="72">
        <f>_xlfn.XLOOKUP(наценкад5[[#This Row],[№]],ППД5[№],ППД5[С\У],"-",0)</f>
        <v>2.21</v>
      </c>
      <c r="K269" s="72">
        <f>_xlfn.XLOOKUP(наценкад5[[#This Row],[№]],ППД5[№],ППД5[Расчетная проектная площадь],"-",0)</f>
        <v>60.24</v>
      </c>
      <c r="L269" s="12">
        <f t="shared" si="4"/>
        <v>63000</v>
      </c>
      <c r="M269" s="102">
        <f>коэффициенты!$F$2</f>
        <v>1.2257</v>
      </c>
      <c r="N269" s="13">
        <f>наценкад5[[#This Row],[Цена м2 базовая]]*наценкад5[[#This Row],[Базовой K]]</f>
        <v>77219.100000000006</v>
      </c>
      <c r="O269" s="74">
        <f>коэффициенты!$F$4</f>
        <v>1.4999999999999999E-2</v>
      </c>
      <c r="P269" s="74"/>
      <c r="Q269" s="76">
        <f>коэффициенты!$F$6</f>
        <v>0.02</v>
      </c>
      <c r="R269" s="76"/>
      <c r="S269" s="76">
        <f>коэффициенты!$F$9</f>
        <v>0</v>
      </c>
      <c r="T269" s="74"/>
      <c r="U269" s="74"/>
      <c r="V269" s="74">
        <f>коэффициенты!$F$11</f>
        <v>5.0000000000000001E-3</v>
      </c>
      <c r="W269" s="117">
        <f>коэффициенты!$F$22</f>
        <v>0.01</v>
      </c>
      <c r="X269" s="74"/>
      <c r="Y269" s="75"/>
      <c r="Z269" s="74"/>
      <c r="AA269" s="74"/>
      <c r="AB269" s="74"/>
      <c r="AC269" s="74"/>
      <c r="AD269" s="74">
        <f>коэффициенты!$F$19</f>
        <v>5.0000000000000001E-3</v>
      </c>
      <c r="AE269" s="74"/>
      <c r="AF269" s="74">
        <f>коэффициенты!$F$21</f>
        <v>0.01</v>
      </c>
      <c r="AG269" s="74"/>
      <c r="AH269" s="74"/>
      <c r="AI269" s="73">
        <f>SUM(наценкад5[[#This Row],[еврокухня]:[большая площадь]])*наценкад5[[#This Row],[Цена м2 с базовым K]]+наценкад5[[#This Row],[Цена м2 с базовым K]]</f>
        <v>82238.34150000001</v>
      </c>
      <c r="AJ269" s="72">
        <f>VLOOKUP(наценкад5[[#This Row],[№]],ППД5[],COLUMN(ППД5[[#This Row],[утв цена м2]]),0)</f>
        <v>98622.94</v>
      </c>
      <c r="AK269" s="3">
        <f>наценкад5[[#This Row],[утв цена м2]]*наценкад5[[#This Row],[Расчетная проектная площадь]]</f>
        <v>5941045.9056000002</v>
      </c>
      <c r="AL269" s="22" t="str">
        <f>VLOOKUP(наценкад5[[#This Row],[№]],ППД5[],COLUMN('Реестр ОН'!$DF$1),0)</f>
        <v>Продажа</v>
      </c>
    </row>
    <row r="270" spans="1:38" hidden="1" x14ac:dyDescent="0.25">
      <c r="A270" s="101">
        <v>268</v>
      </c>
      <c r="B270" s="2" t="str">
        <f>_xlfn.XLOOKUP(наценкад5[[#This Row],[№]],ППД5[№],ППД5[Секция],"-",0)</f>
        <v>В</v>
      </c>
      <c r="C270" s="2">
        <f>_xlfn.XLOOKUP(наценкад5[[#This Row],[№]],ППД5[№],ППД5[Этаж],"-",0)</f>
        <v>7</v>
      </c>
      <c r="D270" s="2">
        <f>_xlfn.XLOOKUP(наценкад5[[#This Row],[№]],ППД5[№],ППД5[№ на этаже],"-",0)</f>
        <v>5</v>
      </c>
      <c r="E270" s="2">
        <f>_xlfn.XLOOKUP(наценкад5[[#This Row],[№]],ППД5[№],ППД5[Тип кв],"-",0)</f>
        <v>1</v>
      </c>
      <c r="F270" s="72">
        <f>_xlfn.XLOOKUP(наценкад5[[#This Row],[№]],ППД5[№],ППД5[Кухня],"-",0)</f>
        <v>12.74</v>
      </c>
      <c r="G270" s="72">
        <f>_xlfn.XLOOKUP(наценкад5[[#This Row],[№]],ППД5[№],ППД5[Ванная],"-",0)</f>
        <v>4.0199999999999996</v>
      </c>
      <c r="H270" s="72">
        <f>_xlfn.XLOOKUP(наценкад5[[#This Row],[№]],ППД5[№],ППД5[Гардеробная],"-",0)</f>
        <v>0</v>
      </c>
      <c r="I270" s="72">
        <f>_xlfn.XLOOKUP(наценкад5[[#This Row],[№]],ППД5[№],ППД5[Лоджия 2],"-",0)</f>
        <v>0</v>
      </c>
      <c r="J270" s="72">
        <f>_xlfn.XLOOKUP(наценкад5[[#This Row],[№]],ППД5[№],ППД5[С\У],"-",0)</f>
        <v>0</v>
      </c>
      <c r="K270" s="72">
        <f>_xlfn.XLOOKUP(наценкад5[[#This Row],[№]],ППД5[№],ППД5[Расчетная проектная площадь],"-",0)</f>
        <v>37.81</v>
      </c>
      <c r="L270" s="12">
        <f t="shared" si="4"/>
        <v>63000</v>
      </c>
      <c r="M270" s="102">
        <f>коэффициенты!$G$2</f>
        <v>1.2875000000000001</v>
      </c>
      <c r="N270" s="13">
        <f>наценкад5[[#This Row],[Цена м2 базовая]]*наценкад5[[#This Row],[Базовой K]]</f>
        <v>81112.5</v>
      </c>
      <c r="O270" s="74"/>
      <c r="P270" s="76">
        <f>коэффициенты!$G$5</f>
        <v>0.01</v>
      </c>
      <c r="Q270" s="74">
        <f>коэффициенты!$G$6</f>
        <v>0.03</v>
      </c>
      <c r="R270" s="74"/>
      <c r="S270" s="74"/>
      <c r="T270" s="74"/>
      <c r="U270" s="74"/>
      <c r="V270" s="74">
        <f>коэффициенты!$G$11</f>
        <v>0.01</v>
      </c>
      <c r="W270" s="117">
        <f>коэффициенты!$G$22</f>
        <v>0.01</v>
      </c>
      <c r="X270" s="74">
        <f>коэффициенты!$G$13</f>
        <v>0.01</v>
      </c>
      <c r="Y270" s="75"/>
      <c r="Z270" s="74"/>
      <c r="AA270" s="74">
        <f>коэффициенты!$G$14</f>
        <v>0.01</v>
      </c>
      <c r="AB270" s="74"/>
      <c r="AC270" s="74"/>
      <c r="AD270" s="74">
        <f>коэффициенты!$G$19</f>
        <v>0.01</v>
      </c>
      <c r="AE270" s="74"/>
      <c r="AF270" s="74">
        <f>коэффициенты!$G$21</f>
        <v>0.01</v>
      </c>
      <c r="AG270" s="74"/>
      <c r="AH270" s="74"/>
      <c r="AI270" s="73">
        <f>SUM(наценкад5[[#This Row],[еврокухня]:[большая площадь]])*наценкад5[[#This Row],[Цена м2 с базовым K]]+наценкад5[[#This Row],[Цена м2 с базовым K]]</f>
        <v>89223.75</v>
      </c>
      <c r="AJ270" s="72">
        <f>VLOOKUP(наценкад5[[#This Row],[№]],ППД5[],COLUMN(ППД5[[#This Row],[утв цена м2]]),0)</f>
        <v>111627.88</v>
      </c>
      <c r="AK270" s="3">
        <f>наценкад5[[#This Row],[утв цена м2]]*наценкад5[[#This Row],[Расчетная проектная площадь]]</f>
        <v>4220650.1428000005</v>
      </c>
      <c r="AL270" s="22" t="str">
        <f>VLOOKUP(наценкад5[[#This Row],[№]],ППД5[],COLUMN('Реестр ОН'!$DF$1),0)</f>
        <v>Продажа</v>
      </c>
    </row>
    <row r="271" spans="1:38" hidden="1" x14ac:dyDescent="0.25">
      <c r="A271" s="101">
        <v>269</v>
      </c>
      <c r="B271" s="2" t="str">
        <f>_xlfn.XLOOKUP(наценкад5[[#This Row],[№]],ППД5[№],ППД5[Секция],"-",0)</f>
        <v>В</v>
      </c>
      <c r="C271" s="2">
        <f>_xlfn.XLOOKUP(наценкад5[[#This Row],[№]],ППД5[№],ППД5[Этаж],"-",0)</f>
        <v>7</v>
      </c>
      <c r="D271" s="2">
        <f>_xlfn.XLOOKUP(наценкад5[[#This Row],[№]],ППД5[№],ППД5[№ на этаже],"-",0)</f>
        <v>6</v>
      </c>
      <c r="E271" s="2">
        <f>_xlfn.XLOOKUP(наценкад5[[#This Row],[№]],ППД5[№],ППД5[Тип кв],"-",0)</f>
        <v>3</v>
      </c>
      <c r="F271" s="72">
        <f>_xlfn.XLOOKUP(наценкад5[[#This Row],[№]],ППД5[№],ППД5[Кухня],"-",0)</f>
        <v>13.15</v>
      </c>
      <c r="G271" s="72">
        <f>_xlfn.XLOOKUP(наценкад5[[#This Row],[№]],ППД5[№],ППД5[Ванная],"-",0)</f>
        <v>4.03</v>
      </c>
      <c r="H271" s="72">
        <f>_xlfn.XLOOKUP(наценкад5[[#This Row],[№]],ППД5[№],ППД5[Гардеробная],"-",0)</f>
        <v>0</v>
      </c>
      <c r="I271" s="72">
        <f>_xlfn.XLOOKUP(наценкад5[[#This Row],[№]],ППД5[№],ППД5[Лоджия 2],"-",0)</f>
        <v>2.68</v>
      </c>
      <c r="J271" s="72">
        <f>_xlfn.XLOOKUP(наценкад5[[#This Row],[№]],ППД5[№],ППД5[С\У],"-",0)</f>
        <v>1.76</v>
      </c>
      <c r="K271" s="72">
        <f>_xlfn.XLOOKUP(наценкад5[[#This Row],[№]],ППД5[№],ППД5[Расчетная проектная площадь],"-",0)</f>
        <v>80.97</v>
      </c>
      <c r="L271" s="12">
        <f t="shared" si="4"/>
        <v>63000</v>
      </c>
      <c r="M271" s="27">
        <f>коэффициенты!$E$2</f>
        <v>1.1330000000000002</v>
      </c>
      <c r="N271" s="13">
        <f>наценкад5[[#This Row],[Цена м2 базовая]]*наценкад5[[#This Row],[Базовой K]]</f>
        <v>71379.000000000015</v>
      </c>
      <c r="O271" s="74"/>
      <c r="P271" s="74">
        <f>коэффициенты!$E$5</f>
        <v>0</v>
      </c>
      <c r="Q271" s="74">
        <f>коэффициенты!$E$6</f>
        <v>0.01</v>
      </c>
      <c r="R271" s="74"/>
      <c r="S271" s="74">
        <f>коэффициенты!$E$9</f>
        <v>0</v>
      </c>
      <c r="T271" s="74">
        <f>коэффициенты!$E$7</f>
        <v>0</v>
      </c>
      <c r="U271" s="74"/>
      <c r="V271" s="74"/>
      <c r="W271" s="117">
        <f>коэффициенты!$A$22</f>
        <v>0.01</v>
      </c>
      <c r="X271" s="74"/>
      <c r="Y271" s="75"/>
      <c r="Z271" s="74"/>
      <c r="AA271" s="74">
        <f>коэффициенты!$E$14</f>
        <v>0</v>
      </c>
      <c r="AB271" s="74">
        <f>коэффициенты!$E$17</f>
        <v>0</v>
      </c>
      <c r="AC271" s="74"/>
      <c r="AD271" s="74"/>
      <c r="AE271" s="74"/>
      <c r="AF271" s="74">
        <f>коэффициенты!$E$21</f>
        <v>0.01</v>
      </c>
      <c r="AG271" s="74"/>
      <c r="AH271" s="74"/>
      <c r="AI271" s="73">
        <f>SUM(наценкад5[[#This Row],[еврокухня]:[большая площадь]])*наценкад5[[#This Row],[Цена м2 с базовым K]]+наценкад5[[#This Row],[Цена м2 с базовым K]]</f>
        <v>73520.37000000001</v>
      </c>
      <c r="AJ271" s="72">
        <f>VLOOKUP(наценкад5[[#This Row],[№]],ППД5[],COLUMN(ППД5[[#This Row],[утв цена м2]]),0)</f>
        <v>92193.2</v>
      </c>
      <c r="AK271" s="3">
        <f>наценкад5[[#This Row],[утв цена м2]]*наценкад5[[#This Row],[Расчетная проектная площадь]]</f>
        <v>7464883.4040000001</v>
      </c>
      <c r="AL271" s="22" t="str">
        <f>VLOOKUP(наценкад5[[#This Row],[№]],ППД5[],COLUMN('Реестр ОН'!$DF$1),0)</f>
        <v>Продажа</v>
      </c>
    </row>
    <row r="272" spans="1:38" hidden="1" x14ac:dyDescent="0.25">
      <c r="A272" s="101">
        <v>270</v>
      </c>
      <c r="B272" s="2" t="str">
        <f>_xlfn.XLOOKUP(наценкад5[[#This Row],[№]],ППД5[№],ППД5[Секция],"-",0)</f>
        <v>В</v>
      </c>
      <c r="C272" s="2">
        <f>_xlfn.XLOOKUP(наценкад5[[#This Row],[№]],ППД5[№],ППД5[Этаж],"-",0)</f>
        <v>7</v>
      </c>
      <c r="D272" s="2">
        <f>_xlfn.XLOOKUP(наценкад5[[#This Row],[№]],ППД5[№],ППД5[№ на этаже],"-",0)</f>
        <v>7</v>
      </c>
      <c r="E272" s="2">
        <f>_xlfn.XLOOKUP(наценкад5[[#This Row],[№]],ППД5[№],ППД5[Тип кв],"-",0)</f>
        <v>1</v>
      </c>
      <c r="F272" s="72">
        <f>_xlfn.XLOOKUP(наценкад5[[#This Row],[№]],ППД5[№],ППД5[Кухня],"-",0)</f>
        <v>9.2799999999999994</v>
      </c>
      <c r="G272" s="72">
        <f>_xlfn.XLOOKUP(наценкад5[[#This Row],[№]],ППД5[№],ППД5[Ванная],"-",0)</f>
        <v>3.79</v>
      </c>
      <c r="H272" s="72">
        <f>_xlfn.XLOOKUP(наценкад5[[#This Row],[№]],ППД5[№],ППД5[Гардеробная],"-",0)</f>
        <v>0</v>
      </c>
      <c r="I272" s="72">
        <f>_xlfn.XLOOKUP(наценкад5[[#This Row],[№]],ППД5[№],ППД5[Лоджия 2],"-",0)</f>
        <v>0</v>
      </c>
      <c r="J272" s="72">
        <f>_xlfn.XLOOKUP(наценкад5[[#This Row],[№]],ППД5[№],ППД5[С\У],"-",0)</f>
        <v>0</v>
      </c>
      <c r="K272" s="72">
        <f>_xlfn.XLOOKUP(наценкад5[[#This Row],[№]],ППД5[№],ППД5[Расчетная проектная площадь],"-",0)</f>
        <v>34.81</v>
      </c>
      <c r="L272" s="12">
        <f t="shared" si="4"/>
        <v>63000</v>
      </c>
      <c r="M272" s="102">
        <f>коэффициенты!$G$2</f>
        <v>1.2875000000000001</v>
      </c>
      <c r="N272" s="13">
        <f>наценкад5[[#This Row],[Цена м2 базовая]]*наценкад5[[#This Row],[Базовой K]]</f>
        <v>81112.5</v>
      </c>
      <c r="O272" s="74"/>
      <c r="P272" s="74"/>
      <c r="Q272" s="74"/>
      <c r="R272" s="74"/>
      <c r="S272" s="74"/>
      <c r="T272" s="74"/>
      <c r="U272" s="74"/>
      <c r="V272" s="74">
        <f>коэффициенты!$G$11</f>
        <v>0.01</v>
      </c>
      <c r="W272" s="117">
        <f>коэффициенты!$G$22</f>
        <v>0.01</v>
      </c>
      <c r="X272" s="74"/>
      <c r="Y272" s="75"/>
      <c r="Z272" s="74"/>
      <c r="AA272" s="74">
        <f>коэффициенты!$G$14</f>
        <v>0.01</v>
      </c>
      <c r="AB272" s="74"/>
      <c r="AC272" s="74"/>
      <c r="AD272" s="74">
        <f>коэффициенты!$G$19</f>
        <v>0.01</v>
      </c>
      <c r="AE272" s="74"/>
      <c r="AF272" s="74">
        <f>коэффициенты!$G$21</f>
        <v>0.01</v>
      </c>
      <c r="AG272" s="74">
        <f>коэффициенты!$A$24</f>
        <v>-5.0000000000000001E-3</v>
      </c>
      <c r="AH272" s="74"/>
      <c r="AI272" s="73">
        <f>SUM(наценкад5[[#This Row],[еврокухня]:[большая площадь]])*наценкад5[[#This Row],[Цена м2 с базовым K]]+наценкад5[[#This Row],[Цена м2 с базовым K]]</f>
        <v>84762.5625</v>
      </c>
      <c r="AJ272" s="72">
        <f>VLOOKUP(наценкад5[[#This Row],[№]],ППД5[],COLUMN(ППД5[[#This Row],[утв цена м2]]),0)</f>
        <v>84762.559999999998</v>
      </c>
      <c r="AK272" s="3">
        <f>наценкад5[[#This Row],[утв цена м2]]*наценкад5[[#This Row],[Расчетная проектная площадь]]</f>
        <v>2950584.7135999999</v>
      </c>
      <c r="AL272" s="22" t="str">
        <f>VLOOKUP(наценкад5[[#This Row],[№]],ППД5[],COLUMN('Реестр ОН'!$DF$1),0)</f>
        <v>Продажа</v>
      </c>
    </row>
    <row r="273" spans="1:38" hidden="1" x14ac:dyDescent="0.25">
      <c r="A273" s="101">
        <v>271</v>
      </c>
      <c r="B273" s="2" t="str">
        <f>_xlfn.XLOOKUP(наценкад5[[#This Row],[№]],ППД5[№],ППД5[Секция],"-",0)</f>
        <v>В</v>
      </c>
      <c r="C273" s="2">
        <f>_xlfn.XLOOKUP(наценкад5[[#This Row],[№]],ППД5[№],ППД5[Этаж],"-",0)</f>
        <v>8</v>
      </c>
      <c r="D273" s="2">
        <f>_xlfn.XLOOKUP(наценкад5[[#This Row],[№]],ППД5[№],ППД5[№ на этаже],"-",0)</f>
        <v>1</v>
      </c>
      <c r="E273" s="2">
        <f>_xlfn.XLOOKUP(наценкад5[[#This Row],[№]],ППД5[№],ППД5[Тип кв],"-",0)</f>
        <v>2</v>
      </c>
      <c r="F273" s="72">
        <f>_xlfn.XLOOKUP(наценкад5[[#This Row],[№]],ППД5[№],ППД5[Кухня],"-",0)</f>
        <v>20.05</v>
      </c>
      <c r="G273" s="72">
        <f>_xlfn.XLOOKUP(наценкад5[[#This Row],[№]],ППД5[№],ППД5[Ванная],"-",0)</f>
        <v>3.54</v>
      </c>
      <c r="H273" s="72">
        <f>_xlfn.XLOOKUP(наценкад5[[#This Row],[№]],ППД5[№],ППД5[Гардеробная],"-",0)</f>
        <v>0</v>
      </c>
      <c r="I273" s="72">
        <f>_xlfn.XLOOKUP(наценкад5[[#This Row],[№]],ППД5[№],ППД5[Лоджия 2],"-",0)</f>
        <v>2.68</v>
      </c>
      <c r="J273" s="72">
        <f>_xlfn.XLOOKUP(наценкад5[[#This Row],[№]],ППД5[№],ППД5[С\У],"-",0)</f>
        <v>2.93</v>
      </c>
      <c r="K273" s="72">
        <f>_xlfn.XLOOKUP(наценкад5[[#This Row],[№]],ППД5[№],ППД5[Расчетная проектная площадь],"-",0)</f>
        <v>73.7</v>
      </c>
      <c r="L273" s="12">
        <f t="shared" si="4"/>
        <v>63000</v>
      </c>
      <c r="M273" s="102">
        <f>коэффициенты!$F$2</f>
        <v>1.2257</v>
      </c>
      <c r="N273" s="13">
        <f>наценкад5[[#This Row],[Цена м2 базовая]]*наценкад5[[#This Row],[Базовой K]]</f>
        <v>77219.100000000006</v>
      </c>
      <c r="O273" s="74">
        <f>коэффициенты!$F$4</f>
        <v>1.4999999999999999E-2</v>
      </c>
      <c r="P273" s="74"/>
      <c r="Q273" s="76"/>
      <c r="R273" s="76"/>
      <c r="S273" s="76">
        <f>коэффициенты!$F$9</f>
        <v>0</v>
      </c>
      <c r="T273" s="74">
        <f>коэффициенты!$F$7</f>
        <v>0.03</v>
      </c>
      <c r="U273" s="74"/>
      <c r="V273" s="74"/>
      <c r="W273" s="75">
        <f>коэффициенты!$F$12</f>
        <v>0.02</v>
      </c>
      <c r="X273" s="74">
        <f>коэффициенты!$F$13</f>
        <v>0.02</v>
      </c>
      <c r="Y273" s="75"/>
      <c r="Z273" s="74"/>
      <c r="AA273" s="74">
        <f>коэффициенты!$F$14</f>
        <v>0.02</v>
      </c>
      <c r="AB273" s="74"/>
      <c r="AC273" s="74"/>
      <c r="AD273" s="74">
        <f>коэффициенты!$F$19</f>
        <v>5.0000000000000001E-3</v>
      </c>
      <c r="AE273" s="74"/>
      <c r="AF273" s="74">
        <f>коэффициенты!$F$21</f>
        <v>0.01</v>
      </c>
      <c r="AG273" s="74"/>
      <c r="AH273" s="74">
        <f>'отрицательный кф'!$O$27</f>
        <v>-0.08</v>
      </c>
      <c r="AI273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273" s="72">
        <f>VLOOKUP(наценкад5[[#This Row],[№]],ППД5[],COLUMN(ППД5[[#This Row],[утв цена м2]]),0)</f>
        <v>95828.7</v>
      </c>
      <c r="AK273" s="3">
        <f>наценкад5[[#This Row],[утв цена м2]]*наценкад5[[#This Row],[Расчетная проектная площадь]]</f>
        <v>7062575.1900000004</v>
      </c>
      <c r="AL273" s="22" t="str">
        <f>VLOOKUP(наценкад5[[#This Row],[№]],ППД5[],COLUMN('Реестр ОН'!$DF$1),0)</f>
        <v>Продажа</v>
      </c>
    </row>
    <row r="274" spans="1:38" hidden="1" x14ac:dyDescent="0.25">
      <c r="A274" s="101">
        <v>272</v>
      </c>
      <c r="B274" s="2" t="str">
        <f>_xlfn.XLOOKUP(наценкад5[[#This Row],[№]],ППД5[№],ППД5[Секция],"-",0)</f>
        <v>В</v>
      </c>
      <c r="C274" s="2">
        <f>_xlfn.XLOOKUP(наценкад5[[#This Row],[№]],ППД5[№],ППД5[Этаж],"-",0)</f>
        <v>8</v>
      </c>
      <c r="D274" s="2">
        <f>_xlfn.XLOOKUP(наценкад5[[#This Row],[№]],ППД5[№],ППД5[№ на этаже],"-",0)</f>
        <v>2</v>
      </c>
      <c r="E274" s="2">
        <f>_xlfn.XLOOKUP(наценкад5[[#This Row],[№]],ППД5[№],ППД5[Тип кв],"-",0)</f>
        <v>0</v>
      </c>
      <c r="F274" s="72">
        <f>_xlfn.XLOOKUP(наценкад5[[#This Row],[№]],ППД5[№],ППД5[Кухня],"-",0)</f>
        <v>5.17</v>
      </c>
      <c r="G274" s="72">
        <f>_xlfn.XLOOKUP(наценкад5[[#This Row],[№]],ППД5[№],ППД5[Ванная],"-",0)</f>
        <v>3.72</v>
      </c>
      <c r="H274" s="72">
        <f>_xlfn.XLOOKUP(наценкад5[[#This Row],[№]],ППД5[№],ППД5[Гардеробная],"-",0)</f>
        <v>0</v>
      </c>
      <c r="I274" s="72">
        <f>_xlfn.XLOOKUP(наценкад5[[#This Row],[№]],ППД5[№],ППД5[Лоджия 2],"-",0)</f>
        <v>0</v>
      </c>
      <c r="J274" s="72">
        <f>_xlfn.XLOOKUP(наценкад5[[#This Row],[№]],ППД5[№],ППД5[С\У],"-",0)</f>
        <v>0</v>
      </c>
      <c r="K274" s="72">
        <f>_xlfn.XLOOKUP(наценкад5[[#This Row],[№]],ППД5[№],ППД5[Расчетная проектная площадь],"-",0)</f>
        <v>24.53</v>
      </c>
      <c r="L274" s="12">
        <f t="shared" si="4"/>
        <v>63000</v>
      </c>
      <c r="M274" s="116">
        <f>коэффициенты!$H$2</f>
        <v>1.3905000000000001</v>
      </c>
      <c r="N274" s="13">
        <f>наценкад5[[#This Row],[Цена м2 базовая]]*наценкад5[[#This Row],[Базовой K]]</f>
        <v>87601.5</v>
      </c>
      <c r="O274" s="74"/>
      <c r="P274" s="74"/>
      <c r="Q274" s="74"/>
      <c r="R274" s="74"/>
      <c r="S274" s="74"/>
      <c r="T274" s="74"/>
      <c r="U274" s="74"/>
      <c r="V274" s="74">
        <f>коэффициенты!$H$11</f>
        <v>0.01</v>
      </c>
      <c r="W274" s="75">
        <f>коэффициенты!$H$12</f>
        <v>0.02</v>
      </c>
      <c r="X274" s="74">
        <f>коэффициенты!$H$13</f>
        <v>0.01</v>
      </c>
      <c r="Y274" s="75"/>
      <c r="Z274" s="74"/>
      <c r="AA274" s="74"/>
      <c r="AB274" s="74"/>
      <c r="AC274" s="74"/>
      <c r="AD274" s="74">
        <f>коэффициенты!$H$19</f>
        <v>0.01</v>
      </c>
      <c r="AE274" s="74"/>
      <c r="AF274" s="74">
        <f>коэффициенты!$H$21</f>
        <v>0.01</v>
      </c>
      <c r="AG274" s="74"/>
      <c r="AH274" s="74"/>
      <c r="AI274" s="73">
        <f>SUM(наценкад5[[#This Row],[еврокухня]:[большая площадь]])*наценкад5[[#This Row],[Цена м2 с базовым K]]+наценкад5[[#This Row],[Цена м2 с базовым K]]</f>
        <v>92857.59</v>
      </c>
      <c r="AJ274" s="72">
        <f>VLOOKUP(наценкад5[[#This Row],[№]],ППД5[],COLUMN(ППД5[[#This Row],[утв цена м2]]),0)</f>
        <v>154621.92000000001</v>
      </c>
      <c r="AK274" s="3">
        <f>наценкад5[[#This Row],[утв цена м2]]*наценкад5[[#This Row],[Расчетная проектная площадь]]</f>
        <v>3792875.6976000005</v>
      </c>
      <c r="AL274" s="22" t="str">
        <f>VLOOKUP(наценкад5[[#This Row],[№]],ППД5[],COLUMN('Реестр ОН'!$DF$1),0)</f>
        <v>Свободно</v>
      </c>
    </row>
    <row r="275" spans="1:38" hidden="1" x14ac:dyDescent="0.25">
      <c r="A275" s="101">
        <v>273</v>
      </c>
      <c r="B275" s="2" t="str">
        <f>_xlfn.XLOOKUP(наценкад5[[#This Row],[№]],ППД5[№],ППД5[Секция],"-",0)</f>
        <v>В</v>
      </c>
      <c r="C275" s="2">
        <f>_xlfn.XLOOKUP(наценкад5[[#This Row],[№]],ППД5[№],ППД5[Этаж],"-",0)</f>
        <v>8</v>
      </c>
      <c r="D275" s="2">
        <f>_xlfn.XLOOKUP(наценкад5[[#This Row],[№]],ППД5[№],ППД5[№ на этаже],"-",0)</f>
        <v>3</v>
      </c>
      <c r="E275" s="2">
        <f>_xlfn.XLOOKUP(наценкад5[[#This Row],[№]],ППД5[№],ППД5[Тип кв],"-",0)</f>
        <v>2</v>
      </c>
      <c r="F275" s="72">
        <f>_xlfn.XLOOKUP(наценкад5[[#This Row],[№]],ППД5[№],ППД5[Кухня],"-",0)</f>
        <v>18.71</v>
      </c>
      <c r="G275" s="72">
        <f>_xlfn.XLOOKUP(наценкад5[[#This Row],[№]],ППД5[№],ППД5[Ванная],"-",0)</f>
        <v>3.49</v>
      </c>
      <c r="H275" s="72">
        <f>_xlfn.XLOOKUP(наценкад5[[#This Row],[№]],ППД5[№],ППД5[Гардеробная],"-",0)</f>
        <v>0</v>
      </c>
      <c r="I275" s="72">
        <f>_xlfn.XLOOKUP(наценкад5[[#This Row],[№]],ППД5[№],ППД5[Лоджия 2],"-",0)</f>
        <v>0</v>
      </c>
      <c r="J275" s="72">
        <f>_xlfn.XLOOKUP(наценкад5[[#This Row],[№]],ППД5[№],ППД5[С\У],"-",0)</f>
        <v>2.11</v>
      </c>
      <c r="K275" s="72">
        <f>_xlfn.XLOOKUP(наценкад5[[#This Row],[№]],ППД5[№],ППД5[Расчетная проектная площадь],"-",0)</f>
        <v>56.58</v>
      </c>
      <c r="L275" s="12">
        <f t="shared" si="4"/>
        <v>63000</v>
      </c>
      <c r="M275" s="102">
        <f>коэффициенты!$F$2</f>
        <v>1.2257</v>
      </c>
      <c r="N275" s="13">
        <f>наценкад5[[#This Row],[Цена м2 базовая]]*наценкад5[[#This Row],[Базовой K]]</f>
        <v>77219.100000000006</v>
      </c>
      <c r="O275" s="74">
        <f>коэффициенты!$F$4</f>
        <v>1.4999999999999999E-2</v>
      </c>
      <c r="P275" s="74"/>
      <c r="Q275" s="76"/>
      <c r="R275" s="76">
        <f>коэффициенты!$F$10</f>
        <v>0</v>
      </c>
      <c r="S275" s="76">
        <f>коэффициенты!$F$9</f>
        <v>0</v>
      </c>
      <c r="T275" s="74"/>
      <c r="U275" s="74"/>
      <c r="V275" s="74"/>
      <c r="W275" s="75">
        <f>коэффициенты!$F$12</f>
        <v>0.02</v>
      </c>
      <c r="X275" s="74"/>
      <c r="Y275" s="75"/>
      <c r="Z275" s="74"/>
      <c r="AA275" s="74"/>
      <c r="AB275" s="74"/>
      <c r="AC275" s="74"/>
      <c r="AD275" s="74">
        <f>коэффициенты!$F$19</f>
        <v>5.0000000000000001E-3</v>
      </c>
      <c r="AE275" s="74"/>
      <c r="AF275" s="74">
        <f>коэффициенты!$F$21</f>
        <v>0.01</v>
      </c>
      <c r="AG275" s="74"/>
      <c r="AH275" s="74"/>
      <c r="AI275" s="73">
        <f>SUM(наценкад5[[#This Row],[еврокухня]:[большая площадь]])*наценкад5[[#This Row],[Цена м2 с базовым K]]+наценкад5[[#This Row],[Цена м2 с базовым K]]</f>
        <v>81080.055000000008</v>
      </c>
      <c r="AJ275" s="72">
        <f>VLOOKUP(наценкад5[[#This Row],[№]],ППД5[],COLUMN(ППД5[[#This Row],[утв цена м2]]),0)</f>
        <v>96900.13</v>
      </c>
      <c r="AK275" s="3">
        <f>наценкад5[[#This Row],[утв цена м2]]*наценкад5[[#This Row],[Расчетная проектная площадь]]</f>
        <v>5482609.3553999998</v>
      </c>
      <c r="AL275" s="22" t="str">
        <f>VLOOKUP(наценкад5[[#This Row],[№]],ППД5[],COLUMN('Реестр ОН'!$DF$1),0)</f>
        <v>Продажа</v>
      </c>
    </row>
    <row r="276" spans="1:38" hidden="1" x14ac:dyDescent="0.25">
      <c r="A276" s="101">
        <v>274</v>
      </c>
      <c r="B276" s="2" t="str">
        <f>_xlfn.XLOOKUP(наценкад5[[#This Row],[№]],ППД5[№],ППД5[Секция],"-",0)</f>
        <v>В</v>
      </c>
      <c r="C276" s="2">
        <f>_xlfn.XLOOKUP(наценкад5[[#This Row],[№]],ППД5[№],ППД5[Этаж],"-",0)</f>
        <v>8</v>
      </c>
      <c r="D276" s="2">
        <f>_xlfn.XLOOKUP(наценкад5[[#This Row],[№]],ППД5[№],ППД5[№ на этаже],"-",0)</f>
        <v>4</v>
      </c>
      <c r="E276" s="2">
        <f>_xlfn.XLOOKUP(наценкад5[[#This Row],[№]],ППД5[№],ППД5[Тип кв],"-",0)</f>
        <v>2</v>
      </c>
      <c r="F276" s="72">
        <f>_xlfn.XLOOKUP(наценкад5[[#This Row],[№]],ППД5[№],ППД5[Кухня],"-",0)</f>
        <v>15.44</v>
      </c>
      <c r="G276" s="72">
        <f>_xlfn.XLOOKUP(наценкад5[[#This Row],[№]],ППД5[№],ППД5[Ванная],"-",0)</f>
        <v>4.59</v>
      </c>
      <c r="H276" s="72">
        <f>_xlfn.XLOOKUP(наценкад5[[#This Row],[№]],ППД5[№],ППД5[Гардеробная],"-",0)</f>
        <v>0</v>
      </c>
      <c r="I276" s="72">
        <f>_xlfn.XLOOKUP(наценкад5[[#This Row],[№]],ППД5[№],ППД5[Лоджия 2],"-",0)</f>
        <v>0</v>
      </c>
      <c r="J276" s="72">
        <f>_xlfn.XLOOKUP(наценкад5[[#This Row],[№]],ППД5[№],ППД5[С\У],"-",0)</f>
        <v>2.21</v>
      </c>
      <c r="K276" s="72">
        <f>_xlfn.XLOOKUP(наценкад5[[#This Row],[№]],ППД5[№],ППД5[Расчетная проектная площадь],"-",0)</f>
        <v>60.24</v>
      </c>
      <c r="L276" s="12">
        <f t="shared" si="4"/>
        <v>63000</v>
      </c>
      <c r="M276" s="102">
        <f>коэффициенты!$F$2</f>
        <v>1.2257</v>
      </c>
      <c r="N276" s="13">
        <f>наценкад5[[#This Row],[Цена м2 базовая]]*наценкад5[[#This Row],[Базовой K]]</f>
        <v>77219.100000000006</v>
      </c>
      <c r="O276" s="74">
        <f>коэффициенты!$F$4</f>
        <v>1.4999999999999999E-2</v>
      </c>
      <c r="P276" s="74"/>
      <c r="Q276" s="76">
        <f>коэффициенты!$F$6</f>
        <v>0.02</v>
      </c>
      <c r="R276" s="76"/>
      <c r="S276" s="76">
        <f>коэффициенты!$F$9</f>
        <v>0</v>
      </c>
      <c r="T276" s="74"/>
      <c r="U276" s="74"/>
      <c r="V276" s="74">
        <f>коэффициенты!$F$11</f>
        <v>5.0000000000000001E-3</v>
      </c>
      <c r="W276" s="75">
        <f>коэффициенты!$F$12</f>
        <v>0.02</v>
      </c>
      <c r="X276" s="74"/>
      <c r="Y276" s="75"/>
      <c r="Z276" s="74"/>
      <c r="AA276" s="74"/>
      <c r="AB276" s="74"/>
      <c r="AC276" s="74"/>
      <c r="AD276" s="74">
        <f>коэффициенты!$F$19</f>
        <v>5.0000000000000001E-3</v>
      </c>
      <c r="AE276" s="74"/>
      <c r="AF276" s="74">
        <f>коэффициенты!$F$21</f>
        <v>0.01</v>
      </c>
      <c r="AG276" s="74"/>
      <c r="AH276" s="74"/>
      <c r="AI276" s="73">
        <f>SUM(наценкад5[[#This Row],[еврокухня]:[большая площадь]])*наценкад5[[#This Row],[Цена м2 с базовым K]]+наценкад5[[#This Row],[Цена м2 с базовым K]]</f>
        <v>83010.532500000001</v>
      </c>
      <c r="AJ276" s="72">
        <f>VLOOKUP(наценкад5[[#This Row],[№]],ППД5[],COLUMN(ППД5[[#This Row],[утв цена м2]]),0)</f>
        <v>95207.33</v>
      </c>
      <c r="AK276" s="3">
        <f>наценкад5[[#This Row],[утв цена м2]]*наценкад5[[#This Row],[Расчетная проектная площадь]]</f>
        <v>5735289.5592</v>
      </c>
      <c r="AL276" s="22" t="str">
        <f>VLOOKUP(наценкад5[[#This Row],[№]],ППД5[],COLUMN('Реестр ОН'!$DF$1),0)</f>
        <v>Продажа</v>
      </c>
    </row>
    <row r="277" spans="1:38" hidden="1" x14ac:dyDescent="0.25">
      <c r="A277" s="101">
        <v>275</v>
      </c>
      <c r="B277" s="2" t="str">
        <f>_xlfn.XLOOKUP(наценкад5[[#This Row],[№]],ППД5[№],ППД5[Секция],"-",0)</f>
        <v>В</v>
      </c>
      <c r="C277" s="2">
        <f>_xlfn.XLOOKUP(наценкад5[[#This Row],[№]],ППД5[№],ППД5[Этаж],"-",0)</f>
        <v>8</v>
      </c>
      <c r="D277" s="2">
        <f>_xlfn.XLOOKUP(наценкад5[[#This Row],[№]],ППД5[№],ППД5[№ на этаже],"-",0)</f>
        <v>5</v>
      </c>
      <c r="E277" s="2">
        <f>_xlfn.XLOOKUP(наценкад5[[#This Row],[№]],ППД5[№],ППД5[Тип кв],"-",0)</f>
        <v>1</v>
      </c>
      <c r="F277" s="72">
        <f>_xlfn.XLOOKUP(наценкад5[[#This Row],[№]],ППД5[№],ППД5[Кухня],"-",0)</f>
        <v>12.74</v>
      </c>
      <c r="G277" s="72">
        <f>_xlfn.XLOOKUP(наценкад5[[#This Row],[№]],ППД5[№],ППД5[Ванная],"-",0)</f>
        <v>4.0199999999999996</v>
      </c>
      <c r="H277" s="72">
        <f>_xlfn.XLOOKUP(наценкад5[[#This Row],[№]],ППД5[№],ППД5[Гардеробная],"-",0)</f>
        <v>0</v>
      </c>
      <c r="I277" s="72">
        <f>_xlfn.XLOOKUP(наценкад5[[#This Row],[№]],ППД5[№],ППД5[Лоджия 2],"-",0)</f>
        <v>0</v>
      </c>
      <c r="J277" s="72">
        <f>_xlfn.XLOOKUP(наценкад5[[#This Row],[№]],ППД5[№],ППД5[С\У],"-",0)</f>
        <v>0</v>
      </c>
      <c r="K277" s="72">
        <f>_xlfn.XLOOKUP(наценкад5[[#This Row],[№]],ППД5[№],ППД5[Расчетная проектная площадь],"-",0)</f>
        <v>37.81</v>
      </c>
      <c r="L277" s="12">
        <f t="shared" si="4"/>
        <v>63000</v>
      </c>
      <c r="M277" s="102">
        <f>коэффициенты!$G$2</f>
        <v>1.2875000000000001</v>
      </c>
      <c r="N277" s="13">
        <f>наценкад5[[#This Row],[Цена м2 базовая]]*наценкад5[[#This Row],[Базовой K]]</f>
        <v>81112.5</v>
      </c>
      <c r="O277" s="74"/>
      <c r="P277" s="76">
        <f>коэффициенты!$G$5</f>
        <v>0.01</v>
      </c>
      <c r="Q277" s="74">
        <f>коэффициенты!$G$6</f>
        <v>0.03</v>
      </c>
      <c r="R277" s="74"/>
      <c r="S277" s="74"/>
      <c r="T277" s="74"/>
      <c r="U277" s="74"/>
      <c r="V277" s="74">
        <f>коэффициенты!$G$11</f>
        <v>0.01</v>
      </c>
      <c r="W277" s="75">
        <f>коэффициенты!$G$12</f>
        <v>0.02</v>
      </c>
      <c r="X277" s="74">
        <f>коэффициенты!$G$13</f>
        <v>0.01</v>
      </c>
      <c r="Y277" s="75"/>
      <c r="Z277" s="74"/>
      <c r="AA277" s="74">
        <f>коэффициенты!$G$14</f>
        <v>0.01</v>
      </c>
      <c r="AB277" s="74"/>
      <c r="AC277" s="74"/>
      <c r="AD277" s="74">
        <f>коэффициенты!$G$19</f>
        <v>0.01</v>
      </c>
      <c r="AE277" s="74"/>
      <c r="AF277" s="74">
        <f>коэффициенты!$G$21</f>
        <v>0.01</v>
      </c>
      <c r="AG277" s="74"/>
      <c r="AH277" s="74"/>
      <c r="AI277" s="73">
        <f>SUM(наценкад5[[#This Row],[еврокухня]:[большая площадь]])*наценкад5[[#This Row],[Цена м2 с базовым K]]+наценкад5[[#This Row],[Цена м2 с базовым K]]</f>
        <v>90034.875</v>
      </c>
      <c r="AJ277" s="72">
        <f>VLOOKUP(наценкад5[[#This Row],[№]],ППД5[],COLUMN(ППД5[[#This Row],[утв цена м2]]),0)</f>
        <v>90034.880000000005</v>
      </c>
      <c r="AK277" s="3">
        <f>наценкад5[[#This Row],[утв цена м2]]*наценкад5[[#This Row],[Расчетная проектная площадь]]</f>
        <v>3404218.8128000004</v>
      </c>
      <c r="AL277" s="22" t="str">
        <f>VLOOKUP(наценкад5[[#This Row],[№]],ППД5[],COLUMN('Реестр ОН'!$DF$1),0)</f>
        <v>Продажа</v>
      </c>
    </row>
    <row r="278" spans="1:38" hidden="1" x14ac:dyDescent="0.25">
      <c r="A278" s="101">
        <v>276</v>
      </c>
      <c r="B278" s="2" t="str">
        <f>_xlfn.XLOOKUP(наценкад5[[#This Row],[№]],ППД5[№],ППД5[Секция],"-",0)</f>
        <v>В</v>
      </c>
      <c r="C278" s="2">
        <f>_xlfn.XLOOKUP(наценкад5[[#This Row],[№]],ППД5[№],ППД5[Этаж],"-",0)</f>
        <v>8</v>
      </c>
      <c r="D278" s="2">
        <f>_xlfn.XLOOKUP(наценкад5[[#This Row],[№]],ППД5[№],ППД5[№ на этаже],"-",0)</f>
        <v>6</v>
      </c>
      <c r="E278" s="2">
        <f>_xlfn.XLOOKUP(наценкад5[[#This Row],[№]],ППД5[№],ППД5[Тип кв],"-",0)</f>
        <v>3</v>
      </c>
      <c r="F278" s="72">
        <f>_xlfn.XLOOKUP(наценкад5[[#This Row],[№]],ППД5[№],ППД5[Кухня],"-",0)</f>
        <v>13.15</v>
      </c>
      <c r="G278" s="72">
        <f>_xlfn.XLOOKUP(наценкад5[[#This Row],[№]],ППД5[№],ППД5[Ванная],"-",0)</f>
        <v>4.03</v>
      </c>
      <c r="H278" s="72">
        <f>_xlfn.XLOOKUP(наценкад5[[#This Row],[№]],ППД5[№],ППД5[Гардеробная],"-",0)</f>
        <v>0</v>
      </c>
      <c r="I278" s="72">
        <f>_xlfn.XLOOKUP(наценкад5[[#This Row],[№]],ППД5[№],ППД5[Лоджия 2],"-",0)</f>
        <v>2.68</v>
      </c>
      <c r="J278" s="72">
        <f>_xlfn.XLOOKUP(наценкад5[[#This Row],[№]],ППД5[№],ППД5[С\У],"-",0)</f>
        <v>1.76</v>
      </c>
      <c r="K278" s="72">
        <f>_xlfn.XLOOKUP(наценкад5[[#This Row],[№]],ППД5[№],ППД5[Расчетная проектная площадь],"-",0)</f>
        <v>80.97</v>
      </c>
      <c r="L278" s="12">
        <f t="shared" si="4"/>
        <v>63000</v>
      </c>
      <c r="M278" s="27">
        <f>коэффициенты!$E$2</f>
        <v>1.1330000000000002</v>
      </c>
      <c r="N278" s="13">
        <f>наценкад5[[#This Row],[Цена м2 базовая]]*наценкад5[[#This Row],[Базовой K]]</f>
        <v>71379.000000000015</v>
      </c>
      <c r="O278" s="74"/>
      <c r="P278" s="74">
        <f>коэффициенты!$E$5</f>
        <v>0</v>
      </c>
      <c r="Q278" s="74">
        <f>коэффициенты!$E$6</f>
        <v>0.01</v>
      </c>
      <c r="R278" s="74"/>
      <c r="S278" s="74">
        <f>коэффициенты!$E$9</f>
        <v>0</v>
      </c>
      <c r="T278" s="74">
        <f>коэффициенты!$E$7</f>
        <v>0</v>
      </c>
      <c r="U278" s="74"/>
      <c r="V278" s="74"/>
      <c r="W278" s="75">
        <f>коэффициенты!$E$12</f>
        <v>0.02</v>
      </c>
      <c r="X278" s="74"/>
      <c r="Y278" s="75"/>
      <c r="Z278" s="74"/>
      <c r="AA278" s="74">
        <f>коэффициенты!$E$14</f>
        <v>0</v>
      </c>
      <c r="AB278" s="74">
        <f>коэффициенты!$E$17</f>
        <v>0</v>
      </c>
      <c r="AC278" s="74"/>
      <c r="AD278" s="74"/>
      <c r="AE278" s="74"/>
      <c r="AF278" s="74">
        <f>коэффициенты!$E$21</f>
        <v>0.01</v>
      </c>
      <c r="AG278" s="74"/>
      <c r="AH278" s="74"/>
      <c r="AI278" s="73">
        <f>SUM(наценкад5[[#This Row],[еврокухня]:[большая площадь]])*наценкад5[[#This Row],[Цена м2 с базовым K]]+наценкад5[[#This Row],[Цена м2 с базовым K]]</f>
        <v>74234.160000000018</v>
      </c>
      <c r="AJ278" s="72">
        <f>VLOOKUP(наценкад5[[#This Row],[№]],ППД5[],COLUMN(ППД5[[#This Row],[утв цена м2]]),0)</f>
        <v>96811.81</v>
      </c>
      <c r="AK278" s="3">
        <f>наценкад5[[#This Row],[утв цена м2]]*наценкад5[[#This Row],[Расчетная проектная площадь]]</f>
        <v>7838852.2556999996</v>
      </c>
      <c r="AL278" s="22" t="str">
        <f>VLOOKUP(наценкад5[[#This Row],[№]],ППД5[],COLUMN('Реестр ОН'!$DF$1),0)</f>
        <v>Продажа</v>
      </c>
    </row>
    <row r="279" spans="1:38" hidden="1" x14ac:dyDescent="0.25">
      <c r="A279" s="101">
        <v>277</v>
      </c>
      <c r="B279" s="2" t="str">
        <f>_xlfn.XLOOKUP(наценкад5[[#This Row],[№]],ППД5[№],ППД5[Секция],"-",0)</f>
        <v>В</v>
      </c>
      <c r="C279" s="2">
        <f>_xlfn.XLOOKUP(наценкад5[[#This Row],[№]],ППД5[№],ППД5[Этаж],"-",0)</f>
        <v>8</v>
      </c>
      <c r="D279" s="2">
        <f>_xlfn.XLOOKUP(наценкад5[[#This Row],[№]],ППД5[№],ППД5[№ на этаже],"-",0)</f>
        <v>7</v>
      </c>
      <c r="E279" s="2">
        <f>_xlfn.XLOOKUP(наценкад5[[#This Row],[№]],ППД5[№],ППД5[Тип кв],"-",0)</f>
        <v>1</v>
      </c>
      <c r="F279" s="72">
        <f>_xlfn.XLOOKUP(наценкад5[[#This Row],[№]],ППД5[№],ППД5[Кухня],"-",0)</f>
        <v>9.2799999999999994</v>
      </c>
      <c r="G279" s="72">
        <f>_xlfn.XLOOKUP(наценкад5[[#This Row],[№]],ППД5[№],ППД5[Ванная],"-",0)</f>
        <v>3.79</v>
      </c>
      <c r="H279" s="72">
        <f>_xlfn.XLOOKUP(наценкад5[[#This Row],[№]],ППД5[№],ППД5[Гардеробная],"-",0)</f>
        <v>0</v>
      </c>
      <c r="I279" s="72">
        <f>_xlfn.XLOOKUP(наценкад5[[#This Row],[№]],ППД5[№],ППД5[Лоджия 2],"-",0)</f>
        <v>0</v>
      </c>
      <c r="J279" s="72">
        <f>_xlfn.XLOOKUP(наценкад5[[#This Row],[№]],ППД5[№],ППД5[С\У],"-",0)</f>
        <v>0</v>
      </c>
      <c r="K279" s="72">
        <f>_xlfn.XLOOKUP(наценкад5[[#This Row],[№]],ППД5[№],ППД5[Расчетная проектная площадь],"-",0)</f>
        <v>34.81</v>
      </c>
      <c r="L279" s="12">
        <f t="shared" si="4"/>
        <v>63000</v>
      </c>
      <c r="M279" s="102">
        <f>коэффициенты!$G$2</f>
        <v>1.2875000000000001</v>
      </c>
      <c r="N279" s="13">
        <f>наценкад5[[#This Row],[Цена м2 базовая]]*наценкад5[[#This Row],[Базовой K]]</f>
        <v>81112.5</v>
      </c>
      <c r="O279" s="74"/>
      <c r="P279" s="74"/>
      <c r="Q279" s="74"/>
      <c r="R279" s="74"/>
      <c r="S279" s="74"/>
      <c r="T279" s="74"/>
      <c r="U279" s="74"/>
      <c r="V279" s="74">
        <f>коэффициенты!$G$11</f>
        <v>0.01</v>
      </c>
      <c r="W279" s="75">
        <f>коэффициенты!$G$12</f>
        <v>0.02</v>
      </c>
      <c r="X279" s="74"/>
      <c r="Y279" s="75"/>
      <c r="Z279" s="74"/>
      <c r="AA279" s="74">
        <f>коэффициенты!$G$14</f>
        <v>0.01</v>
      </c>
      <c r="AB279" s="74"/>
      <c r="AC279" s="74"/>
      <c r="AD279" s="74">
        <f>коэффициенты!$G$19</f>
        <v>0.01</v>
      </c>
      <c r="AE279" s="74"/>
      <c r="AF279" s="74">
        <f>коэффициенты!$G$21</f>
        <v>0.01</v>
      </c>
      <c r="AG279" s="74">
        <f>коэффициенты!$A$24</f>
        <v>-5.0000000000000001E-3</v>
      </c>
      <c r="AH279" s="74"/>
      <c r="AI279" s="73">
        <f>SUM(наценкад5[[#This Row],[еврокухня]:[большая площадь]])*наценкад5[[#This Row],[Цена м2 с базовым K]]+наценкад5[[#This Row],[Цена м2 с базовым K]]</f>
        <v>85573.6875</v>
      </c>
      <c r="AJ279" s="72">
        <f>VLOOKUP(наценкад5[[#This Row],[№]],ППД5[],COLUMN(ППД5[[#This Row],[утв цена м2]]),0)</f>
        <v>121006.53</v>
      </c>
      <c r="AK279" s="3">
        <f>наценкад5[[#This Row],[утв цена м2]]*наценкад5[[#This Row],[Расчетная проектная площадь]]</f>
        <v>4212237.3092999998</v>
      </c>
      <c r="AL279" s="22" t="str">
        <f>VLOOKUP(наценкад5[[#This Row],[№]],ППД5[],COLUMN('Реестр ОН'!$DF$1),0)</f>
        <v>Продажа</v>
      </c>
    </row>
    <row r="280" spans="1:38" hidden="1" x14ac:dyDescent="0.25">
      <c r="A280" s="101">
        <v>278</v>
      </c>
      <c r="B280" s="2" t="str">
        <f>_xlfn.XLOOKUP(наценкад5[[#This Row],[№]],ППД5[№],ППД5[Секция],"-",0)</f>
        <v>В</v>
      </c>
      <c r="C280" s="2">
        <f>_xlfn.XLOOKUP(наценкад5[[#This Row],[№]],ППД5[№],ППД5[Этаж],"-",0)</f>
        <v>9</v>
      </c>
      <c r="D280" s="2">
        <f>_xlfn.XLOOKUP(наценкад5[[#This Row],[№]],ППД5[№],ППД5[№ на этаже],"-",0)</f>
        <v>1</v>
      </c>
      <c r="E280" s="2">
        <f>_xlfn.XLOOKUP(наценкад5[[#This Row],[№]],ППД5[№],ППД5[Тип кв],"-",0)</f>
        <v>2</v>
      </c>
      <c r="F280" s="72">
        <f>_xlfn.XLOOKUP(наценкад5[[#This Row],[№]],ППД5[№],ППД5[Кухня],"-",0)</f>
        <v>20.05</v>
      </c>
      <c r="G280" s="72">
        <f>_xlfn.XLOOKUP(наценкад5[[#This Row],[№]],ППД5[№],ППД5[Ванная],"-",0)</f>
        <v>3.54</v>
      </c>
      <c r="H280" s="72">
        <f>_xlfn.XLOOKUP(наценкад5[[#This Row],[№]],ППД5[№],ППД5[Гардеробная],"-",0)</f>
        <v>0</v>
      </c>
      <c r="I280" s="72">
        <f>_xlfn.XLOOKUP(наценкад5[[#This Row],[№]],ППД5[№],ППД5[Лоджия 2],"-",0)</f>
        <v>2.68</v>
      </c>
      <c r="J280" s="72">
        <f>_xlfn.XLOOKUP(наценкад5[[#This Row],[№]],ППД5[№],ППД5[С\У],"-",0)</f>
        <v>2.93</v>
      </c>
      <c r="K280" s="72">
        <f>_xlfn.XLOOKUP(наценкад5[[#This Row],[№]],ППД5[№],ППД5[Расчетная проектная площадь],"-",0)</f>
        <v>73.7</v>
      </c>
      <c r="L280" s="12">
        <f t="shared" si="4"/>
        <v>63000</v>
      </c>
      <c r="M280" s="102">
        <f>коэффициенты!$F$2</f>
        <v>1.2257</v>
      </c>
      <c r="N280" s="13">
        <f>наценкад5[[#This Row],[Цена м2 базовая]]*наценкад5[[#This Row],[Базовой K]]</f>
        <v>77219.100000000006</v>
      </c>
      <c r="O280" s="74">
        <f>коэффициенты!$F$4</f>
        <v>1.4999999999999999E-2</v>
      </c>
      <c r="P280" s="74"/>
      <c r="Q280" s="76"/>
      <c r="R280" s="76"/>
      <c r="S280" s="76">
        <f>коэффициенты!$F$9</f>
        <v>0</v>
      </c>
      <c r="T280" s="74">
        <f>коэффициенты!$F$7</f>
        <v>0.03</v>
      </c>
      <c r="U280" s="74"/>
      <c r="V280" s="74"/>
      <c r="W280" s="74"/>
      <c r="X280" s="74">
        <f>коэффициенты!$F$13</f>
        <v>0.02</v>
      </c>
      <c r="Y280" s="75"/>
      <c r="Z280" s="74"/>
      <c r="AA280" s="74">
        <f>коэффициенты!$F$14</f>
        <v>0.02</v>
      </c>
      <c r="AB280" s="74"/>
      <c r="AC280" s="74"/>
      <c r="AD280" s="74">
        <f>коэффициенты!$F$19</f>
        <v>5.0000000000000001E-3</v>
      </c>
      <c r="AE280" s="74"/>
      <c r="AF280" s="74">
        <f>коэффициенты!$F$21</f>
        <v>0.01</v>
      </c>
      <c r="AG280" s="74"/>
      <c r="AH280" s="74">
        <f>'отрицательный кф'!$O$27</f>
        <v>-0.08</v>
      </c>
      <c r="AI280" s="73">
        <f>SUM(наценкад5[[#This Row],[еврокухня]:[большая площадь]])*наценкад5[[#This Row],[Цена м2 с базовым K]]+наценкад5[[#This Row],[Цена м2 с базовым K]]</f>
        <v>78763.482000000004</v>
      </c>
      <c r="AJ280" s="72">
        <f>VLOOKUP(наценкад5[[#This Row],[№]],ППД5[],COLUMN(ППД5[[#This Row],[утв цена м2]]),0)</f>
        <v>115308.83</v>
      </c>
      <c r="AK280" s="3">
        <f>наценкад5[[#This Row],[утв цена м2]]*наценкад5[[#This Row],[Расчетная проектная площадь]]</f>
        <v>8498260.7709999997</v>
      </c>
      <c r="AL280" s="22" t="str">
        <f>VLOOKUP(наценкад5[[#This Row],[№]],ППД5[],COLUMN('Реестр ОН'!$DF$1),0)</f>
        <v>Свободно</v>
      </c>
    </row>
    <row r="281" spans="1:38" hidden="1" x14ac:dyDescent="0.25">
      <c r="A281" s="101">
        <v>279</v>
      </c>
      <c r="B281" s="2" t="str">
        <f>_xlfn.XLOOKUP(наценкад5[[#This Row],[№]],ППД5[№],ППД5[Секция],"-",0)</f>
        <v>В</v>
      </c>
      <c r="C281" s="2">
        <f>_xlfn.XLOOKUP(наценкад5[[#This Row],[№]],ППД5[№],ППД5[Этаж],"-",0)</f>
        <v>9</v>
      </c>
      <c r="D281" s="2">
        <f>_xlfn.XLOOKUP(наценкад5[[#This Row],[№]],ППД5[№],ППД5[№ на этаже],"-",0)</f>
        <v>2</v>
      </c>
      <c r="E281" s="2">
        <f>_xlfn.XLOOKUP(наценкад5[[#This Row],[№]],ППД5[№],ППД5[Тип кв],"-",0)</f>
        <v>0</v>
      </c>
      <c r="F281" s="72">
        <f>_xlfn.XLOOKUP(наценкад5[[#This Row],[№]],ППД5[№],ППД5[Кухня],"-",0)</f>
        <v>5.17</v>
      </c>
      <c r="G281" s="72">
        <f>_xlfn.XLOOKUP(наценкад5[[#This Row],[№]],ППД5[№],ППД5[Ванная],"-",0)</f>
        <v>3.72</v>
      </c>
      <c r="H281" s="72">
        <f>_xlfn.XLOOKUP(наценкад5[[#This Row],[№]],ППД5[№],ППД5[Гардеробная],"-",0)</f>
        <v>0</v>
      </c>
      <c r="I281" s="72">
        <f>_xlfn.XLOOKUP(наценкад5[[#This Row],[№]],ППД5[№],ППД5[Лоджия 2],"-",0)</f>
        <v>0</v>
      </c>
      <c r="J281" s="72">
        <f>_xlfn.XLOOKUP(наценкад5[[#This Row],[№]],ППД5[№],ППД5[С\У],"-",0)</f>
        <v>0</v>
      </c>
      <c r="K281" s="72">
        <f>_xlfn.XLOOKUP(наценкад5[[#This Row],[№]],ППД5[№],ППД5[Расчетная проектная площадь],"-",0)</f>
        <v>24.53</v>
      </c>
      <c r="L281" s="12">
        <f t="shared" si="4"/>
        <v>63000</v>
      </c>
      <c r="M281" s="116">
        <f>коэффициенты!$H$2</f>
        <v>1.3905000000000001</v>
      </c>
      <c r="N281" s="13">
        <f>наценкад5[[#This Row],[Цена м2 базовая]]*наценкад5[[#This Row],[Базовой K]]</f>
        <v>87601.5</v>
      </c>
      <c r="O281" s="74"/>
      <c r="P281" s="74"/>
      <c r="Q281" s="74"/>
      <c r="R281" s="74"/>
      <c r="S281" s="74"/>
      <c r="T281" s="74"/>
      <c r="U281" s="74"/>
      <c r="V281" s="74">
        <f>коэффициенты!$H$11</f>
        <v>0.01</v>
      </c>
      <c r="W281" s="117">
        <f>коэффициенты!$H$22</f>
        <v>0.01</v>
      </c>
      <c r="X281" s="74">
        <f>коэффициенты!$H$13</f>
        <v>0.01</v>
      </c>
      <c r="Y281" s="75"/>
      <c r="Z281" s="74"/>
      <c r="AA281" s="74"/>
      <c r="AB281" s="74"/>
      <c r="AC281" s="74"/>
      <c r="AD281" s="74">
        <f>коэффициенты!$H$19</f>
        <v>0.01</v>
      </c>
      <c r="AE281" s="74"/>
      <c r="AF281" s="74">
        <f>коэффициенты!$H$21</f>
        <v>0.01</v>
      </c>
      <c r="AG281" s="74"/>
      <c r="AH281" s="74"/>
      <c r="AI281" s="73">
        <f>SUM(наценкад5[[#This Row],[еврокухня]:[большая площадь]])*наценкад5[[#This Row],[Цена м2 с базовым K]]+наценкад5[[#This Row],[Цена м2 с базовым K]]</f>
        <v>91981.574999999997</v>
      </c>
      <c r="AJ281" s="72">
        <f>VLOOKUP(наценкад5[[#This Row],[№]],ППД5[],COLUMN(ППД5[[#This Row],[утв цена м2]]),0)</f>
        <v>153163.56</v>
      </c>
      <c r="AK281" s="3">
        <f>наценкад5[[#This Row],[утв цена м2]]*наценкад5[[#This Row],[Расчетная проектная площадь]]</f>
        <v>3757102.1268000002</v>
      </c>
      <c r="AL281" s="22" t="str">
        <f>VLOOKUP(наценкад5[[#This Row],[№]],ППД5[],COLUMN('Реестр ОН'!$DF$1),0)</f>
        <v>Продажа</v>
      </c>
    </row>
    <row r="282" spans="1:38" hidden="1" x14ac:dyDescent="0.25">
      <c r="A282" s="101">
        <v>280</v>
      </c>
      <c r="B282" s="2" t="str">
        <f>_xlfn.XLOOKUP(наценкад5[[#This Row],[№]],ППД5[№],ППД5[Секция],"-",0)</f>
        <v>В</v>
      </c>
      <c r="C282" s="2">
        <f>_xlfn.XLOOKUP(наценкад5[[#This Row],[№]],ППД5[№],ППД5[Этаж],"-",0)</f>
        <v>9</v>
      </c>
      <c r="D282" s="2">
        <f>_xlfn.XLOOKUP(наценкад5[[#This Row],[№]],ППД5[№],ППД5[№ на этаже],"-",0)</f>
        <v>3</v>
      </c>
      <c r="E282" s="2">
        <f>_xlfn.XLOOKUP(наценкад5[[#This Row],[№]],ППД5[№],ППД5[Тип кв],"-",0)</f>
        <v>2</v>
      </c>
      <c r="F282" s="72">
        <f>_xlfn.XLOOKUP(наценкад5[[#This Row],[№]],ППД5[№],ППД5[Кухня],"-",0)</f>
        <v>18.71</v>
      </c>
      <c r="G282" s="72">
        <f>_xlfn.XLOOKUP(наценкад5[[#This Row],[№]],ППД5[№],ППД5[Ванная],"-",0)</f>
        <v>3.49</v>
      </c>
      <c r="H282" s="72">
        <f>_xlfn.XLOOKUP(наценкад5[[#This Row],[№]],ППД5[№],ППД5[Гардеробная],"-",0)</f>
        <v>0</v>
      </c>
      <c r="I282" s="72">
        <f>_xlfn.XLOOKUP(наценкад5[[#This Row],[№]],ППД5[№],ППД5[Лоджия 2],"-",0)</f>
        <v>0</v>
      </c>
      <c r="J282" s="72">
        <f>_xlfn.XLOOKUP(наценкад5[[#This Row],[№]],ППД5[№],ППД5[С\У],"-",0)</f>
        <v>2.11</v>
      </c>
      <c r="K282" s="72">
        <f>_xlfn.XLOOKUP(наценкад5[[#This Row],[№]],ППД5[№],ППД5[Расчетная проектная площадь],"-",0)</f>
        <v>56.58</v>
      </c>
      <c r="L282" s="12">
        <f t="shared" si="4"/>
        <v>63000</v>
      </c>
      <c r="M282" s="102">
        <f>коэффициенты!$F$2</f>
        <v>1.2257</v>
      </c>
      <c r="N282" s="13">
        <f>наценкад5[[#This Row],[Цена м2 базовая]]*наценкад5[[#This Row],[Базовой K]]</f>
        <v>77219.100000000006</v>
      </c>
      <c r="O282" s="74">
        <f>коэффициенты!$F$4</f>
        <v>1.4999999999999999E-2</v>
      </c>
      <c r="P282" s="74"/>
      <c r="Q282" s="76"/>
      <c r="R282" s="76">
        <f>коэффициенты!$F$10</f>
        <v>0</v>
      </c>
      <c r="S282" s="76">
        <f>коэффициенты!$F$9</f>
        <v>0</v>
      </c>
      <c r="T282" s="74"/>
      <c r="U282" s="74"/>
      <c r="V282" s="74"/>
      <c r="W282" s="117">
        <f>коэффициенты!$F$22</f>
        <v>0.01</v>
      </c>
      <c r="X282" s="74"/>
      <c r="Y282" s="75"/>
      <c r="Z282" s="74"/>
      <c r="AA282" s="74"/>
      <c r="AB282" s="74"/>
      <c r="AC282" s="74"/>
      <c r="AD282" s="74">
        <f>коэффициенты!$F$19</f>
        <v>5.0000000000000001E-3</v>
      </c>
      <c r="AE282" s="74"/>
      <c r="AF282" s="74">
        <f>коэффициенты!$F$21</f>
        <v>0.01</v>
      </c>
      <c r="AG282" s="74"/>
      <c r="AH282" s="74"/>
      <c r="AI282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282" s="72">
        <f>VLOOKUP(наценкад5[[#This Row],[№]],ППД5[],COLUMN(ППД5[[#This Row],[утв цена м2]]),0)</f>
        <v>86852.95</v>
      </c>
      <c r="AK282" s="3">
        <f>наценкад5[[#This Row],[утв цена м2]]*наценкад5[[#This Row],[Расчетная проектная площадь]]</f>
        <v>4914139.9109999994</v>
      </c>
      <c r="AL282" s="22" t="str">
        <f>VLOOKUP(наценкад5[[#This Row],[№]],ППД5[],COLUMN('Реестр ОН'!$DF$1),0)</f>
        <v>Продажа</v>
      </c>
    </row>
    <row r="283" spans="1:38" hidden="1" x14ac:dyDescent="0.25">
      <c r="A283" s="101">
        <v>281</v>
      </c>
      <c r="B283" s="2" t="str">
        <f>_xlfn.XLOOKUP(наценкад5[[#This Row],[№]],ППД5[№],ППД5[Секция],"-",0)</f>
        <v>В</v>
      </c>
      <c r="C283" s="2">
        <f>_xlfn.XLOOKUP(наценкад5[[#This Row],[№]],ППД5[№],ППД5[Этаж],"-",0)</f>
        <v>9</v>
      </c>
      <c r="D283" s="2">
        <f>_xlfn.XLOOKUP(наценкад5[[#This Row],[№]],ППД5[№],ППД5[№ на этаже],"-",0)</f>
        <v>4</v>
      </c>
      <c r="E283" s="2">
        <f>_xlfn.XLOOKUP(наценкад5[[#This Row],[№]],ППД5[№],ППД5[Тип кв],"-",0)</f>
        <v>2</v>
      </c>
      <c r="F283" s="72">
        <f>_xlfn.XLOOKUP(наценкад5[[#This Row],[№]],ППД5[№],ППД5[Кухня],"-",0)</f>
        <v>15.44</v>
      </c>
      <c r="G283" s="72">
        <f>_xlfn.XLOOKUP(наценкад5[[#This Row],[№]],ППД5[№],ППД5[Ванная],"-",0)</f>
        <v>4.59</v>
      </c>
      <c r="H283" s="72">
        <f>_xlfn.XLOOKUP(наценкад5[[#This Row],[№]],ППД5[№],ППД5[Гардеробная],"-",0)</f>
        <v>0</v>
      </c>
      <c r="I283" s="72">
        <f>_xlfn.XLOOKUP(наценкад5[[#This Row],[№]],ППД5[№],ППД5[Лоджия 2],"-",0)</f>
        <v>0</v>
      </c>
      <c r="J283" s="72">
        <f>_xlfn.XLOOKUP(наценкад5[[#This Row],[№]],ППД5[№],ППД5[С\У],"-",0)</f>
        <v>2.21</v>
      </c>
      <c r="K283" s="72">
        <f>_xlfn.XLOOKUP(наценкад5[[#This Row],[№]],ППД5[№],ППД5[Расчетная проектная площадь],"-",0)</f>
        <v>60.24</v>
      </c>
      <c r="L283" s="12">
        <f t="shared" si="4"/>
        <v>63000</v>
      </c>
      <c r="M283" s="102">
        <f>коэффициенты!$F$2</f>
        <v>1.2257</v>
      </c>
      <c r="N283" s="13">
        <f>наценкад5[[#This Row],[Цена м2 базовая]]*наценкад5[[#This Row],[Базовой K]]</f>
        <v>77219.100000000006</v>
      </c>
      <c r="O283" s="74">
        <f>коэффициенты!$F$4</f>
        <v>1.4999999999999999E-2</v>
      </c>
      <c r="P283" s="74"/>
      <c r="Q283" s="76">
        <f>коэффициенты!$F$6</f>
        <v>0.02</v>
      </c>
      <c r="R283" s="76"/>
      <c r="S283" s="76">
        <f>коэффициенты!$F$9</f>
        <v>0</v>
      </c>
      <c r="T283" s="74"/>
      <c r="U283" s="74"/>
      <c r="V283" s="74">
        <f>коэффициенты!$F$11</f>
        <v>5.0000000000000001E-3</v>
      </c>
      <c r="W283" s="117">
        <f>коэффициенты!$F$22</f>
        <v>0.01</v>
      </c>
      <c r="X283" s="74"/>
      <c r="Y283" s="75"/>
      <c r="Z283" s="74"/>
      <c r="AA283" s="74"/>
      <c r="AB283" s="74"/>
      <c r="AC283" s="74"/>
      <c r="AD283" s="74">
        <f>коэффициенты!$F$19</f>
        <v>5.0000000000000001E-3</v>
      </c>
      <c r="AE283" s="74"/>
      <c r="AF283" s="74">
        <f>коэффициенты!$F$21</f>
        <v>0.01</v>
      </c>
      <c r="AG283" s="74"/>
      <c r="AH283" s="74"/>
      <c r="AI283" s="73">
        <f>SUM(наценкад5[[#This Row],[еврокухня]:[большая площадь]])*наценкад5[[#This Row],[Цена м2 с базовым K]]+наценкад5[[#This Row],[Цена м2 с базовым K]]</f>
        <v>82238.34150000001</v>
      </c>
      <c r="AJ283" s="72">
        <f>VLOOKUP(наценкад5[[#This Row],[№]],ППД5[],COLUMN(ППД5[[#This Row],[утв цена м2]]),0)</f>
        <v>102567.86</v>
      </c>
      <c r="AK283" s="3">
        <f>наценкад5[[#This Row],[утв цена м2]]*наценкад5[[#This Row],[Расчетная проектная площадь]]</f>
        <v>6178687.8864000002</v>
      </c>
      <c r="AL283" s="22" t="str">
        <f>VLOOKUP(наценкад5[[#This Row],[№]],ППД5[],COLUMN('Реестр ОН'!$DF$1),0)</f>
        <v>Продажа</v>
      </c>
    </row>
    <row r="284" spans="1:38" hidden="1" x14ac:dyDescent="0.25">
      <c r="A284" s="101">
        <v>282</v>
      </c>
      <c r="B284" s="2" t="str">
        <f>_xlfn.XLOOKUP(наценкад5[[#This Row],[№]],ППД5[№],ППД5[Секция],"-",0)</f>
        <v>В</v>
      </c>
      <c r="C284" s="2">
        <f>_xlfn.XLOOKUP(наценкад5[[#This Row],[№]],ППД5[№],ППД5[Этаж],"-",0)</f>
        <v>9</v>
      </c>
      <c r="D284" s="2">
        <f>_xlfn.XLOOKUP(наценкад5[[#This Row],[№]],ППД5[№],ППД5[№ на этаже],"-",0)</f>
        <v>5</v>
      </c>
      <c r="E284" s="2">
        <f>_xlfn.XLOOKUP(наценкад5[[#This Row],[№]],ППД5[№],ППД5[Тип кв],"-",0)</f>
        <v>1</v>
      </c>
      <c r="F284" s="72">
        <f>_xlfn.XLOOKUP(наценкад5[[#This Row],[№]],ППД5[№],ППД5[Кухня],"-",0)</f>
        <v>12.74</v>
      </c>
      <c r="G284" s="72">
        <f>_xlfn.XLOOKUP(наценкад5[[#This Row],[№]],ППД5[№],ППД5[Ванная],"-",0)</f>
        <v>4.0199999999999996</v>
      </c>
      <c r="H284" s="72">
        <f>_xlfn.XLOOKUP(наценкад5[[#This Row],[№]],ППД5[№],ППД5[Гардеробная],"-",0)</f>
        <v>0</v>
      </c>
      <c r="I284" s="72">
        <f>_xlfn.XLOOKUP(наценкад5[[#This Row],[№]],ППД5[№],ППД5[Лоджия 2],"-",0)</f>
        <v>0</v>
      </c>
      <c r="J284" s="72">
        <f>_xlfn.XLOOKUP(наценкад5[[#This Row],[№]],ППД5[№],ППД5[С\У],"-",0)</f>
        <v>0</v>
      </c>
      <c r="K284" s="72">
        <f>_xlfn.XLOOKUP(наценкад5[[#This Row],[№]],ППД5[№],ППД5[Расчетная проектная площадь],"-",0)</f>
        <v>37.81</v>
      </c>
      <c r="L284" s="12">
        <f t="shared" si="4"/>
        <v>63000</v>
      </c>
      <c r="M284" s="102">
        <f>коэффициенты!$G$2</f>
        <v>1.2875000000000001</v>
      </c>
      <c r="N284" s="13">
        <f>наценкад5[[#This Row],[Цена м2 базовая]]*наценкад5[[#This Row],[Базовой K]]</f>
        <v>81112.5</v>
      </c>
      <c r="O284" s="74"/>
      <c r="P284" s="76">
        <f>коэффициенты!$G$5</f>
        <v>0.01</v>
      </c>
      <c r="Q284" s="74">
        <f>коэффициенты!$G$6</f>
        <v>0.03</v>
      </c>
      <c r="R284" s="74"/>
      <c r="S284" s="74"/>
      <c r="T284" s="74"/>
      <c r="U284" s="74"/>
      <c r="V284" s="74">
        <f>коэффициенты!$G$11</f>
        <v>0.01</v>
      </c>
      <c r="W284" s="117">
        <f>коэффициенты!$G$22</f>
        <v>0.01</v>
      </c>
      <c r="X284" s="74">
        <f>коэффициенты!$G$13</f>
        <v>0.01</v>
      </c>
      <c r="Y284" s="75"/>
      <c r="Z284" s="74"/>
      <c r="AA284" s="74">
        <f>коэффициенты!$G$14</f>
        <v>0.01</v>
      </c>
      <c r="AB284" s="74"/>
      <c r="AC284" s="74"/>
      <c r="AD284" s="74">
        <f>коэффициенты!$G$19</f>
        <v>0.01</v>
      </c>
      <c r="AE284" s="74"/>
      <c r="AF284" s="74">
        <f>коэффициенты!$G$21</f>
        <v>0.01</v>
      </c>
      <c r="AG284" s="74"/>
      <c r="AH284" s="74"/>
      <c r="AI284" s="73">
        <f>SUM(наценкад5[[#This Row],[еврокухня]:[большая площадь]])*наценкад5[[#This Row],[Цена м2 с базовым K]]+наценкад5[[#This Row],[Цена м2 с базовым K]]</f>
        <v>89223.75</v>
      </c>
      <c r="AJ284" s="72">
        <f>VLOOKUP(наценкад5[[#This Row],[№]],ППД5[],COLUMN(ППД5[[#This Row],[утв цена м2]]),0)</f>
        <v>138508</v>
      </c>
      <c r="AK284" s="3">
        <f>наценкад5[[#This Row],[утв цена м2]]*наценкад5[[#This Row],[Расчетная проектная площадь]]</f>
        <v>5236987.4800000004</v>
      </c>
      <c r="AL284" s="22" t="str">
        <f>VLOOKUP(наценкад5[[#This Row],[№]],ППД5[],COLUMN('Реестр ОН'!$DF$1),0)</f>
        <v>Продажа</v>
      </c>
    </row>
    <row r="285" spans="1:38" hidden="1" x14ac:dyDescent="0.25">
      <c r="A285" s="101">
        <v>283</v>
      </c>
      <c r="B285" s="2" t="str">
        <f>_xlfn.XLOOKUP(наценкад5[[#This Row],[№]],ППД5[№],ППД5[Секция],"-",0)</f>
        <v>В</v>
      </c>
      <c r="C285" s="2">
        <f>_xlfn.XLOOKUP(наценкад5[[#This Row],[№]],ППД5[№],ППД5[Этаж],"-",0)</f>
        <v>9</v>
      </c>
      <c r="D285" s="2">
        <f>_xlfn.XLOOKUP(наценкад5[[#This Row],[№]],ППД5[№],ППД5[№ на этаже],"-",0)</f>
        <v>6</v>
      </c>
      <c r="E285" s="2">
        <f>_xlfn.XLOOKUP(наценкад5[[#This Row],[№]],ППД5[№],ППД5[Тип кв],"-",0)</f>
        <v>3</v>
      </c>
      <c r="F285" s="72">
        <f>_xlfn.XLOOKUP(наценкад5[[#This Row],[№]],ППД5[№],ППД5[Кухня],"-",0)</f>
        <v>13.15</v>
      </c>
      <c r="G285" s="72">
        <f>_xlfn.XLOOKUP(наценкад5[[#This Row],[№]],ППД5[№],ППД5[Ванная],"-",0)</f>
        <v>4.03</v>
      </c>
      <c r="H285" s="72">
        <f>_xlfn.XLOOKUP(наценкад5[[#This Row],[№]],ППД5[№],ППД5[Гардеробная],"-",0)</f>
        <v>0</v>
      </c>
      <c r="I285" s="72">
        <f>_xlfn.XLOOKUP(наценкад5[[#This Row],[№]],ППД5[№],ППД5[Лоджия 2],"-",0)</f>
        <v>2.68</v>
      </c>
      <c r="J285" s="72">
        <f>_xlfn.XLOOKUP(наценкад5[[#This Row],[№]],ППД5[№],ППД5[С\У],"-",0)</f>
        <v>1.76</v>
      </c>
      <c r="K285" s="72">
        <f>_xlfn.XLOOKUP(наценкад5[[#This Row],[№]],ППД5[№],ППД5[Расчетная проектная площадь],"-",0)</f>
        <v>80.97</v>
      </c>
      <c r="L285" s="12">
        <f t="shared" si="4"/>
        <v>63000</v>
      </c>
      <c r="M285" s="27">
        <f>коэффициенты!$E$2</f>
        <v>1.1330000000000002</v>
      </c>
      <c r="N285" s="13">
        <f>наценкад5[[#This Row],[Цена м2 базовая]]*наценкад5[[#This Row],[Базовой K]]</f>
        <v>71379.000000000015</v>
      </c>
      <c r="O285" s="74"/>
      <c r="P285" s="74">
        <f>коэффициенты!$E$5</f>
        <v>0</v>
      </c>
      <c r="Q285" s="74">
        <f>коэффициенты!$E$6</f>
        <v>0.01</v>
      </c>
      <c r="R285" s="74"/>
      <c r="S285" s="74">
        <f>коэффициенты!$E$9</f>
        <v>0</v>
      </c>
      <c r="T285" s="74">
        <f>коэффициенты!$E$7</f>
        <v>0</v>
      </c>
      <c r="U285" s="74"/>
      <c r="V285" s="74"/>
      <c r="W285" s="117">
        <f>коэффициенты!$A$22</f>
        <v>0.01</v>
      </c>
      <c r="X285" s="74"/>
      <c r="Y285" s="75"/>
      <c r="Z285" s="74"/>
      <c r="AA285" s="74">
        <f>коэффициенты!$E$14</f>
        <v>0</v>
      </c>
      <c r="AB285" s="74">
        <f>коэффициенты!$E$17</f>
        <v>0</v>
      </c>
      <c r="AC285" s="74"/>
      <c r="AD285" s="74"/>
      <c r="AE285" s="74"/>
      <c r="AF285" s="74">
        <f>коэффициенты!$E$21</f>
        <v>0.01</v>
      </c>
      <c r="AG285" s="74"/>
      <c r="AH285" s="74"/>
      <c r="AI285" s="73">
        <f>SUM(наценкад5[[#This Row],[еврокухня]:[большая площадь]])*наценкад5[[#This Row],[Цена м2 с базовым K]]+наценкад5[[#This Row],[Цена м2 с базовым K]]</f>
        <v>73520.37000000001</v>
      </c>
      <c r="AJ285" s="72">
        <f>VLOOKUP(наценкад5[[#This Row],[№]],ППД5[],COLUMN(ППД5[[#This Row],[утв цена м2]]),0)</f>
        <v>95880.92</v>
      </c>
      <c r="AK285" s="3">
        <f>наценкад5[[#This Row],[утв цена м2]]*наценкад5[[#This Row],[Расчетная проектная площадь]]</f>
        <v>7763478.0923999995</v>
      </c>
      <c r="AL285" s="22" t="str">
        <f>VLOOKUP(наценкад5[[#This Row],[№]],ППД5[],COLUMN('Реестр ОН'!$DF$1),0)</f>
        <v>Продажа</v>
      </c>
    </row>
    <row r="286" spans="1:38" hidden="1" x14ac:dyDescent="0.25">
      <c r="A286" s="101">
        <v>284</v>
      </c>
      <c r="B286" s="2" t="str">
        <f>_xlfn.XLOOKUP(наценкад5[[#This Row],[№]],ППД5[№],ППД5[Секция],"-",0)</f>
        <v>В</v>
      </c>
      <c r="C286" s="2">
        <f>_xlfn.XLOOKUP(наценкад5[[#This Row],[№]],ППД5[№],ППД5[Этаж],"-",0)</f>
        <v>9</v>
      </c>
      <c r="D286" s="2">
        <f>_xlfn.XLOOKUP(наценкад5[[#This Row],[№]],ППД5[№],ППД5[№ на этаже],"-",0)</f>
        <v>7</v>
      </c>
      <c r="E286" s="2">
        <f>_xlfn.XLOOKUP(наценкад5[[#This Row],[№]],ППД5[№],ППД5[Тип кв],"-",0)</f>
        <v>1</v>
      </c>
      <c r="F286" s="72">
        <f>_xlfn.XLOOKUP(наценкад5[[#This Row],[№]],ППД5[№],ППД5[Кухня],"-",0)</f>
        <v>9.2799999999999994</v>
      </c>
      <c r="G286" s="72">
        <f>_xlfn.XLOOKUP(наценкад5[[#This Row],[№]],ППД5[№],ППД5[Ванная],"-",0)</f>
        <v>3.79</v>
      </c>
      <c r="H286" s="72">
        <f>_xlfn.XLOOKUP(наценкад5[[#This Row],[№]],ППД5[№],ППД5[Гардеробная],"-",0)</f>
        <v>0</v>
      </c>
      <c r="I286" s="72">
        <f>_xlfn.XLOOKUP(наценкад5[[#This Row],[№]],ППД5[№],ППД5[Лоджия 2],"-",0)</f>
        <v>0</v>
      </c>
      <c r="J286" s="72">
        <f>_xlfn.XLOOKUP(наценкад5[[#This Row],[№]],ППД5[№],ППД5[С\У],"-",0)</f>
        <v>0</v>
      </c>
      <c r="K286" s="72">
        <f>_xlfn.XLOOKUP(наценкад5[[#This Row],[№]],ППД5[№],ППД5[Расчетная проектная площадь],"-",0)</f>
        <v>34.81</v>
      </c>
      <c r="L286" s="12">
        <f t="shared" si="4"/>
        <v>63000</v>
      </c>
      <c r="M286" s="102">
        <f>коэффициенты!$G$2</f>
        <v>1.2875000000000001</v>
      </c>
      <c r="N286" s="13">
        <f>наценкад5[[#This Row],[Цена м2 базовая]]*наценкад5[[#This Row],[Базовой K]]</f>
        <v>81112.5</v>
      </c>
      <c r="O286" s="74"/>
      <c r="P286" s="74"/>
      <c r="Q286" s="74"/>
      <c r="R286" s="74"/>
      <c r="S286" s="74"/>
      <c r="T286" s="74"/>
      <c r="U286" s="74"/>
      <c r="V286" s="74">
        <f>коэффициенты!$G$11</f>
        <v>0.01</v>
      </c>
      <c r="W286" s="117">
        <f>коэффициенты!$G$22</f>
        <v>0.01</v>
      </c>
      <c r="X286" s="74"/>
      <c r="Y286" s="75"/>
      <c r="Z286" s="74"/>
      <c r="AA286" s="74">
        <f>коэффициенты!$G$14</f>
        <v>0.01</v>
      </c>
      <c r="AB286" s="74"/>
      <c r="AC286" s="74"/>
      <c r="AD286" s="74">
        <f>коэффициенты!$G$19</f>
        <v>0.01</v>
      </c>
      <c r="AE286" s="74"/>
      <c r="AF286" s="74">
        <f>коэффициенты!$G$21</f>
        <v>0.01</v>
      </c>
      <c r="AG286" s="74">
        <f>коэффициенты!$A$24</f>
        <v>-5.0000000000000001E-3</v>
      </c>
      <c r="AH286" s="74"/>
      <c r="AI286" s="73">
        <f>SUM(наценкад5[[#This Row],[еврокухня]:[большая площадь]])*наценкад5[[#This Row],[Цена м2 с базовым K]]+наценкад5[[#This Row],[Цена м2 с базовым K]]</f>
        <v>84762.5625</v>
      </c>
      <c r="AJ286" s="72">
        <f>VLOOKUP(наценкад5[[#This Row],[№]],ППД5[],COLUMN(ППД5[[#This Row],[утв цена м2]]),0)</f>
        <v>109729.84</v>
      </c>
      <c r="AK286" s="3">
        <f>наценкад5[[#This Row],[утв цена м2]]*наценкад5[[#This Row],[Расчетная проектная площадь]]</f>
        <v>3819695.7304000002</v>
      </c>
      <c r="AL286" s="22" t="str">
        <f>VLOOKUP(наценкад5[[#This Row],[№]],ППД5[],COLUMN('Реестр ОН'!$DF$1),0)</f>
        <v>Продажа</v>
      </c>
    </row>
    <row r="287" spans="1:38" hidden="1" x14ac:dyDescent="0.25">
      <c r="A287" s="101">
        <v>285</v>
      </c>
      <c r="B287" s="2" t="str">
        <f>_xlfn.XLOOKUP(наценкад5[[#This Row],[№]],ППД5[№],ППД5[Секция],"-",0)</f>
        <v>В</v>
      </c>
      <c r="C287" s="2">
        <f>_xlfn.XLOOKUP(наценкад5[[#This Row],[№]],ППД5[№],ППД5[Этаж],"-",0)</f>
        <v>10</v>
      </c>
      <c r="D287" s="2">
        <f>_xlfn.XLOOKUP(наценкад5[[#This Row],[№]],ППД5[№],ППД5[№ на этаже],"-",0)</f>
        <v>1</v>
      </c>
      <c r="E287" s="2">
        <f>_xlfn.XLOOKUP(наценкад5[[#This Row],[№]],ППД5[№],ППД5[Тип кв],"-",0)</f>
        <v>2</v>
      </c>
      <c r="F287" s="72">
        <f>_xlfn.XLOOKUP(наценкад5[[#This Row],[№]],ППД5[№],ППД5[Кухня],"-",0)</f>
        <v>20.05</v>
      </c>
      <c r="G287" s="72">
        <f>_xlfn.XLOOKUP(наценкад5[[#This Row],[№]],ППД5[№],ППД5[Ванная],"-",0)</f>
        <v>3.54</v>
      </c>
      <c r="H287" s="72">
        <f>_xlfn.XLOOKUP(наценкад5[[#This Row],[№]],ППД5[№],ППД5[Гардеробная],"-",0)</f>
        <v>0</v>
      </c>
      <c r="I287" s="72">
        <f>_xlfn.XLOOKUP(наценкад5[[#This Row],[№]],ППД5[№],ППД5[Лоджия 2],"-",0)</f>
        <v>2.68</v>
      </c>
      <c r="J287" s="72">
        <f>_xlfn.XLOOKUP(наценкад5[[#This Row],[№]],ППД5[№],ППД5[С\У],"-",0)</f>
        <v>2.93</v>
      </c>
      <c r="K287" s="72">
        <f>_xlfn.XLOOKUP(наценкад5[[#This Row],[№]],ППД5[№],ППД5[Расчетная проектная площадь],"-",0)</f>
        <v>73.7</v>
      </c>
      <c r="L287" s="12">
        <f t="shared" si="4"/>
        <v>63000</v>
      </c>
      <c r="M287" s="102">
        <f>коэффициенты!$F$2</f>
        <v>1.2257</v>
      </c>
      <c r="N287" s="13">
        <f>наценкад5[[#This Row],[Цена м2 базовая]]*наценкад5[[#This Row],[Базовой K]]</f>
        <v>77219.100000000006</v>
      </c>
      <c r="O287" s="74">
        <f>коэффициенты!$F$4</f>
        <v>1.4999999999999999E-2</v>
      </c>
      <c r="P287" s="74"/>
      <c r="Q287" s="76"/>
      <c r="R287" s="76"/>
      <c r="S287" s="76">
        <f>коэффициенты!$F$9</f>
        <v>0</v>
      </c>
      <c r="T287" s="74">
        <f>коэффициенты!$F$7</f>
        <v>0.03</v>
      </c>
      <c r="U287" s="74"/>
      <c r="V287" s="74"/>
      <c r="W287" s="75">
        <f>коэффициенты!$F$12</f>
        <v>0.02</v>
      </c>
      <c r="X287" s="74">
        <f>коэффициенты!$F$13</f>
        <v>0.02</v>
      </c>
      <c r="Y287" s="75"/>
      <c r="Z287" s="74"/>
      <c r="AA287" s="74">
        <f>коэффициенты!$F$14</f>
        <v>0.02</v>
      </c>
      <c r="AB287" s="74"/>
      <c r="AC287" s="74"/>
      <c r="AD287" s="74">
        <f>коэффициенты!$F$19</f>
        <v>5.0000000000000001E-3</v>
      </c>
      <c r="AE287" s="74"/>
      <c r="AF287" s="74">
        <f>коэффициенты!$F$21</f>
        <v>0.01</v>
      </c>
      <c r="AG287" s="74"/>
      <c r="AH287" s="74">
        <f>'отрицательный кф'!$O$27</f>
        <v>-0.08</v>
      </c>
      <c r="AI287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287" s="72">
        <f>VLOOKUP(наценкад5[[#This Row],[№]],ППД5[],COLUMN(ППД5[[#This Row],[утв цена м2]]),0)</f>
        <v>92107.56</v>
      </c>
      <c r="AK287" s="3">
        <f>наценкад5[[#This Row],[утв цена м2]]*наценкад5[[#This Row],[Расчетная проектная площадь]]</f>
        <v>6788327.1720000003</v>
      </c>
      <c r="AL287" s="22" t="str">
        <f>VLOOKUP(наценкад5[[#This Row],[№]],ППД5[],COLUMN('Реестр ОН'!$DF$1),0)</f>
        <v>Продажа</v>
      </c>
    </row>
    <row r="288" spans="1:38" hidden="1" x14ac:dyDescent="0.25">
      <c r="A288" s="101">
        <v>286</v>
      </c>
      <c r="B288" s="2" t="str">
        <f>_xlfn.XLOOKUP(наценкад5[[#This Row],[№]],ППД5[№],ППД5[Секция],"-",0)</f>
        <v>В</v>
      </c>
      <c r="C288" s="2">
        <f>_xlfn.XLOOKUP(наценкад5[[#This Row],[№]],ППД5[№],ППД5[Этаж],"-",0)</f>
        <v>10</v>
      </c>
      <c r="D288" s="2">
        <f>_xlfn.XLOOKUP(наценкад5[[#This Row],[№]],ППД5[№],ППД5[№ на этаже],"-",0)</f>
        <v>2</v>
      </c>
      <c r="E288" s="2">
        <f>_xlfn.XLOOKUP(наценкад5[[#This Row],[№]],ППД5[№],ППД5[Тип кв],"-",0)</f>
        <v>0</v>
      </c>
      <c r="F288" s="72">
        <f>_xlfn.XLOOKUP(наценкад5[[#This Row],[№]],ППД5[№],ППД5[Кухня],"-",0)</f>
        <v>5.17</v>
      </c>
      <c r="G288" s="72">
        <f>_xlfn.XLOOKUP(наценкад5[[#This Row],[№]],ППД5[№],ППД5[Ванная],"-",0)</f>
        <v>3.72</v>
      </c>
      <c r="H288" s="72">
        <f>_xlfn.XLOOKUP(наценкад5[[#This Row],[№]],ППД5[№],ППД5[Гардеробная],"-",0)</f>
        <v>0</v>
      </c>
      <c r="I288" s="72">
        <f>_xlfn.XLOOKUP(наценкад5[[#This Row],[№]],ППД5[№],ППД5[Лоджия 2],"-",0)</f>
        <v>0</v>
      </c>
      <c r="J288" s="72">
        <f>_xlfn.XLOOKUP(наценкад5[[#This Row],[№]],ППД5[№],ППД5[С\У],"-",0)</f>
        <v>0</v>
      </c>
      <c r="K288" s="72">
        <f>_xlfn.XLOOKUP(наценкад5[[#This Row],[№]],ППД5[№],ППД5[Расчетная проектная площадь],"-",0)</f>
        <v>24.53</v>
      </c>
      <c r="L288" s="12">
        <f t="shared" si="4"/>
        <v>63000</v>
      </c>
      <c r="M288" s="116">
        <f>коэффициенты!$H$2</f>
        <v>1.3905000000000001</v>
      </c>
      <c r="N288" s="13">
        <f>наценкад5[[#This Row],[Цена м2 базовая]]*наценкад5[[#This Row],[Базовой K]]</f>
        <v>87601.5</v>
      </c>
      <c r="O288" s="74"/>
      <c r="P288" s="74"/>
      <c r="Q288" s="74"/>
      <c r="R288" s="74"/>
      <c r="S288" s="74"/>
      <c r="T288" s="74"/>
      <c r="U288" s="74"/>
      <c r="V288" s="74">
        <f>коэффициенты!$H$11</f>
        <v>0.01</v>
      </c>
      <c r="W288" s="75">
        <f>коэффициенты!$H$12</f>
        <v>0.02</v>
      </c>
      <c r="X288" s="74">
        <f>коэффициенты!$H$13</f>
        <v>0.01</v>
      </c>
      <c r="Y288" s="75"/>
      <c r="Z288" s="74"/>
      <c r="AA288" s="74"/>
      <c r="AB288" s="74"/>
      <c r="AC288" s="74"/>
      <c r="AD288" s="74">
        <f>коэффициенты!$H$19</f>
        <v>0.01</v>
      </c>
      <c r="AE288" s="74"/>
      <c r="AF288" s="74">
        <f>коэффициенты!$H$21</f>
        <v>0.01</v>
      </c>
      <c r="AG288" s="74"/>
      <c r="AH288" s="74"/>
      <c r="AI288" s="73">
        <f>SUM(наценкад5[[#This Row],[еврокухня]:[большая площадь]])*наценкад5[[#This Row],[Цена м2 с базовым K]]+наценкад5[[#This Row],[Цена м2 с базовым K]]</f>
        <v>92857.59</v>
      </c>
      <c r="AJ288" s="72">
        <f>VLOOKUP(наценкад5[[#This Row],[№]],ППД5[],COLUMN(ППД5[[#This Row],[утв цена м2]]),0)</f>
        <v>131540.95000000001</v>
      </c>
      <c r="AK288" s="3">
        <f>наценкад5[[#This Row],[утв цена м2]]*наценкад5[[#This Row],[Расчетная проектная площадь]]</f>
        <v>3226699.5035000006</v>
      </c>
      <c r="AL288" s="22" t="str">
        <f>VLOOKUP(наценкад5[[#This Row],[№]],ППД5[],COLUMN('Реестр ОН'!$DF$1),0)</f>
        <v>Продажа</v>
      </c>
    </row>
    <row r="289" spans="1:38" hidden="1" x14ac:dyDescent="0.25">
      <c r="A289" s="101">
        <v>287</v>
      </c>
      <c r="B289" s="2" t="str">
        <f>_xlfn.XLOOKUP(наценкад5[[#This Row],[№]],ППД5[№],ППД5[Секция],"-",0)</f>
        <v>В</v>
      </c>
      <c r="C289" s="2">
        <f>_xlfn.XLOOKUP(наценкад5[[#This Row],[№]],ППД5[№],ППД5[Этаж],"-",0)</f>
        <v>10</v>
      </c>
      <c r="D289" s="2">
        <f>_xlfn.XLOOKUP(наценкад5[[#This Row],[№]],ППД5[№],ППД5[№ на этаже],"-",0)</f>
        <v>3</v>
      </c>
      <c r="E289" s="2">
        <f>_xlfn.XLOOKUP(наценкад5[[#This Row],[№]],ППД5[№],ППД5[Тип кв],"-",0)</f>
        <v>2</v>
      </c>
      <c r="F289" s="72">
        <f>_xlfn.XLOOKUP(наценкад5[[#This Row],[№]],ППД5[№],ППД5[Кухня],"-",0)</f>
        <v>18.71</v>
      </c>
      <c r="G289" s="72">
        <f>_xlfn.XLOOKUP(наценкад5[[#This Row],[№]],ППД5[№],ППД5[Ванная],"-",0)</f>
        <v>3.49</v>
      </c>
      <c r="H289" s="72">
        <f>_xlfn.XLOOKUP(наценкад5[[#This Row],[№]],ППД5[№],ППД5[Гардеробная],"-",0)</f>
        <v>0</v>
      </c>
      <c r="I289" s="72">
        <f>_xlfn.XLOOKUP(наценкад5[[#This Row],[№]],ППД5[№],ППД5[Лоджия 2],"-",0)</f>
        <v>0</v>
      </c>
      <c r="J289" s="72">
        <f>_xlfn.XLOOKUP(наценкад5[[#This Row],[№]],ППД5[№],ППД5[С\У],"-",0)</f>
        <v>2.11</v>
      </c>
      <c r="K289" s="72">
        <f>_xlfn.XLOOKUP(наценкад5[[#This Row],[№]],ППД5[№],ППД5[Расчетная проектная площадь],"-",0)</f>
        <v>56.58</v>
      </c>
      <c r="L289" s="12">
        <f t="shared" si="4"/>
        <v>63000</v>
      </c>
      <c r="M289" s="102">
        <f>коэффициенты!$F$2</f>
        <v>1.2257</v>
      </c>
      <c r="N289" s="13">
        <f>наценкад5[[#This Row],[Цена м2 базовая]]*наценкад5[[#This Row],[Базовой K]]</f>
        <v>77219.100000000006</v>
      </c>
      <c r="O289" s="74">
        <f>коэффициенты!$F$4</f>
        <v>1.4999999999999999E-2</v>
      </c>
      <c r="P289" s="74"/>
      <c r="Q289" s="76"/>
      <c r="R289" s="76">
        <f>коэффициенты!$F$10</f>
        <v>0</v>
      </c>
      <c r="S289" s="76">
        <f>коэффициенты!$F$9</f>
        <v>0</v>
      </c>
      <c r="T289" s="74"/>
      <c r="U289" s="74"/>
      <c r="V289" s="74"/>
      <c r="W289" s="75">
        <f>коэффициенты!$F$12</f>
        <v>0.02</v>
      </c>
      <c r="X289" s="74"/>
      <c r="Y289" s="75"/>
      <c r="Z289" s="74"/>
      <c r="AA289" s="74"/>
      <c r="AB289" s="74"/>
      <c r="AC289" s="74"/>
      <c r="AD289" s="74">
        <f>коэффициенты!$F$19</f>
        <v>5.0000000000000001E-3</v>
      </c>
      <c r="AE289" s="74"/>
      <c r="AF289" s="74">
        <f>коэффициенты!$F$21</f>
        <v>0.01</v>
      </c>
      <c r="AG289" s="74"/>
      <c r="AH289" s="74"/>
      <c r="AI289" s="73">
        <f>SUM(наценкад5[[#This Row],[еврокухня]:[большая площадь]])*наценкад5[[#This Row],[Цена м2 с базовым K]]+наценкад5[[#This Row],[Цена м2 с базовым K]]</f>
        <v>81080.055000000008</v>
      </c>
      <c r="AJ289" s="72">
        <f>VLOOKUP(наценкад5[[#This Row],[№]],ППД5[],COLUMN(ППД5[[#This Row],[утв цена м2]]),0)</f>
        <v>96750.13</v>
      </c>
      <c r="AK289" s="3">
        <f>наценкад5[[#This Row],[утв цена м2]]*наценкад5[[#This Row],[Расчетная проектная площадь]]</f>
        <v>5474122.3553999998</v>
      </c>
      <c r="AL289" s="22" t="str">
        <f>VLOOKUP(наценкад5[[#This Row],[№]],ППД5[],COLUMN('Реестр ОН'!$DF$1),0)</f>
        <v>Продажа</v>
      </c>
    </row>
    <row r="290" spans="1:38" hidden="1" x14ac:dyDescent="0.25">
      <c r="A290" s="101">
        <v>288</v>
      </c>
      <c r="B290" s="2" t="str">
        <f>_xlfn.XLOOKUP(наценкад5[[#This Row],[№]],ППД5[№],ППД5[Секция],"-",0)</f>
        <v>В</v>
      </c>
      <c r="C290" s="2">
        <f>_xlfn.XLOOKUP(наценкад5[[#This Row],[№]],ППД5[№],ППД5[Этаж],"-",0)</f>
        <v>10</v>
      </c>
      <c r="D290" s="2">
        <f>_xlfn.XLOOKUP(наценкад5[[#This Row],[№]],ППД5[№],ППД5[№ на этаже],"-",0)</f>
        <v>4</v>
      </c>
      <c r="E290" s="2">
        <f>_xlfn.XLOOKUP(наценкад5[[#This Row],[№]],ППД5[№],ППД5[Тип кв],"-",0)</f>
        <v>2</v>
      </c>
      <c r="F290" s="72">
        <f>_xlfn.XLOOKUP(наценкад5[[#This Row],[№]],ППД5[№],ППД5[Кухня],"-",0)</f>
        <v>15.44</v>
      </c>
      <c r="G290" s="72">
        <f>_xlfn.XLOOKUP(наценкад5[[#This Row],[№]],ППД5[№],ППД5[Ванная],"-",0)</f>
        <v>4.59</v>
      </c>
      <c r="H290" s="72">
        <f>_xlfn.XLOOKUP(наценкад5[[#This Row],[№]],ППД5[№],ППД5[Гардеробная],"-",0)</f>
        <v>0</v>
      </c>
      <c r="I290" s="72">
        <f>_xlfn.XLOOKUP(наценкад5[[#This Row],[№]],ППД5[№],ППД5[Лоджия 2],"-",0)</f>
        <v>0</v>
      </c>
      <c r="J290" s="72">
        <f>_xlfn.XLOOKUP(наценкад5[[#This Row],[№]],ППД5[№],ППД5[С\У],"-",0)</f>
        <v>2.21</v>
      </c>
      <c r="K290" s="72">
        <f>_xlfn.XLOOKUP(наценкад5[[#This Row],[№]],ППД5[№],ППД5[Расчетная проектная площадь],"-",0)</f>
        <v>60.24</v>
      </c>
      <c r="L290" s="12">
        <f t="shared" si="4"/>
        <v>63000</v>
      </c>
      <c r="M290" s="102">
        <f>коэффициенты!$F$2</f>
        <v>1.2257</v>
      </c>
      <c r="N290" s="13">
        <f>наценкад5[[#This Row],[Цена м2 базовая]]*наценкад5[[#This Row],[Базовой K]]</f>
        <v>77219.100000000006</v>
      </c>
      <c r="O290" s="74">
        <f>коэффициенты!$F$4</f>
        <v>1.4999999999999999E-2</v>
      </c>
      <c r="P290" s="74"/>
      <c r="Q290" s="76">
        <f>коэффициенты!$F$6</f>
        <v>0.02</v>
      </c>
      <c r="R290" s="76"/>
      <c r="S290" s="76">
        <f>коэффициенты!$F$9</f>
        <v>0</v>
      </c>
      <c r="T290" s="74"/>
      <c r="U290" s="74"/>
      <c r="V290" s="74">
        <f>коэффициенты!$F$11</f>
        <v>5.0000000000000001E-3</v>
      </c>
      <c r="W290" s="75">
        <f>коэффициенты!$F$12</f>
        <v>0.02</v>
      </c>
      <c r="X290" s="74"/>
      <c r="Y290" s="75"/>
      <c r="Z290" s="74"/>
      <c r="AA290" s="74"/>
      <c r="AB290" s="74"/>
      <c r="AC290" s="74"/>
      <c r="AD290" s="74">
        <f>коэффициенты!$F$19</f>
        <v>5.0000000000000001E-3</v>
      </c>
      <c r="AE290" s="74"/>
      <c r="AF290" s="74">
        <f>коэффициенты!$F$21</f>
        <v>0.01</v>
      </c>
      <c r="AG290" s="74"/>
      <c r="AH290" s="74"/>
      <c r="AI290" s="73">
        <f>SUM(наценкад5[[#This Row],[еврокухня]:[большая площадь]])*наценкад5[[#This Row],[Цена м2 с базовым K]]+наценкад5[[#This Row],[Цена м2 с базовым K]]</f>
        <v>83010.532500000001</v>
      </c>
      <c r="AJ290" s="72">
        <f>VLOOKUP(наценкад5[[#This Row],[№]],ППД5[],COLUMN(ППД5[[#This Row],[утв цена м2]]),0)</f>
        <v>124044.36</v>
      </c>
      <c r="AK290" s="3">
        <f>наценкад5[[#This Row],[утв цена м2]]*наценкад5[[#This Row],[Расчетная проектная площадь]]</f>
        <v>7472432.2464000005</v>
      </c>
      <c r="AL290" s="22" t="str">
        <f>VLOOKUP(наценкад5[[#This Row],[№]],ППД5[],COLUMN('Реестр ОН'!$DF$1),0)</f>
        <v>Ус. Бронь</v>
      </c>
    </row>
    <row r="291" spans="1:38" hidden="1" x14ac:dyDescent="0.25">
      <c r="A291" s="101">
        <v>289</v>
      </c>
      <c r="B291" s="2" t="str">
        <f>_xlfn.XLOOKUP(наценкад5[[#This Row],[№]],ППД5[№],ППД5[Секция],"-",0)</f>
        <v>В</v>
      </c>
      <c r="C291" s="2">
        <f>_xlfn.XLOOKUP(наценкад5[[#This Row],[№]],ППД5[№],ППД5[Этаж],"-",0)</f>
        <v>10</v>
      </c>
      <c r="D291" s="2">
        <f>_xlfn.XLOOKUP(наценкад5[[#This Row],[№]],ППД5[№],ППД5[№ на этаже],"-",0)</f>
        <v>5</v>
      </c>
      <c r="E291" s="2">
        <f>_xlfn.XLOOKUP(наценкад5[[#This Row],[№]],ППД5[№],ППД5[Тип кв],"-",0)</f>
        <v>1</v>
      </c>
      <c r="F291" s="72">
        <f>_xlfn.XLOOKUP(наценкад5[[#This Row],[№]],ППД5[№],ППД5[Кухня],"-",0)</f>
        <v>12.74</v>
      </c>
      <c r="G291" s="72">
        <f>_xlfn.XLOOKUP(наценкад5[[#This Row],[№]],ППД5[№],ППД5[Ванная],"-",0)</f>
        <v>4.0199999999999996</v>
      </c>
      <c r="H291" s="72">
        <f>_xlfn.XLOOKUP(наценкад5[[#This Row],[№]],ППД5[№],ППД5[Гардеробная],"-",0)</f>
        <v>0</v>
      </c>
      <c r="I291" s="72">
        <f>_xlfn.XLOOKUP(наценкад5[[#This Row],[№]],ППД5[№],ППД5[Лоджия 2],"-",0)</f>
        <v>0</v>
      </c>
      <c r="J291" s="72">
        <f>_xlfn.XLOOKUP(наценкад5[[#This Row],[№]],ППД5[№],ППД5[С\У],"-",0)</f>
        <v>0</v>
      </c>
      <c r="K291" s="72">
        <f>_xlfn.XLOOKUP(наценкад5[[#This Row],[№]],ППД5[№],ППД5[Расчетная проектная площадь],"-",0)</f>
        <v>37.81</v>
      </c>
      <c r="L291" s="12">
        <f t="shared" si="4"/>
        <v>63000</v>
      </c>
      <c r="M291" s="102">
        <f>коэффициенты!$G$2</f>
        <v>1.2875000000000001</v>
      </c>
      <c r="N291" s="13">
        <f>наценкад5[[#This Row],[Цена м2 базовая]]*наценкад5[[#This Row],[Базовой K]]</f>
        <v>81112.5</v>
      </c>
      <c r="O291" s="74"/>
      <c r="P291" s="76">
        <f>коэффициенты!$G$5</f>
        <v>0.01</v>
      </c>
      <c r="Q291" s="74">
        <f>коэффициенты!$G$6</f>
        <v>0.03</v>
      </c>
      <c r="R291" s="74"/>
      <c r="S291" s="74"/>
      <c r="T291" s="74"/>
      <c r="U291" s="74"/>
      <c r="V291" s="74">
        <f>коэффициенты!$G$11</f>
        <v>0.01</v>
      </c>
      <c r="W291" s="75">
        <f>коэффициенты!$G$12</f>
        <v>0.02</v>
      </c>
      <c r="X291" s="74">
        <f>коэффициенты!$G$13</f>
        <v>0.01</v>
      </c>
      <c r="Y291" s="75"/>
      <c r="Z291" s="74"/>
      <c r="AA291" s="74">
        <f>коэффициенты!$G$14</f>
        <v>0.01</v>
      </c>
      <c r="AB291" s="74"/>
      <c r="AC291" s="74"/>
      <c r="AD291" s="74">
        <f>коэффициенты!$G$19</f>
        <v>0.01</v>
      </c>
      <c r="AE291" s="74"/>
      <c r="AF291" s="74">
        <f>коэффициенты!$G$21</f>
        <v>0.01</v>
      </c>
      <c r="AG291" s="74"/>
      <c r="AH291" s="74"/>
      <c r="AI291" s="73">
        <f>SUM(наценкад5[[#This Row],[еврокухня]:[большая площадь]])*наценкад5[[#This Row],[Цена м2 с базовым K]]+наценкад5[[#This Row],[Цена м2 с базовым K]]</f>
        <v>90034.875</v>
      </c>
      <c r="AJ291" s="72">
        <f>VLOOKUP(наценкад5[[#This Row],[№]],ППД5[],COLUMN(ППД5[[#This Row],[утв цена м2]]),0)</f>
        <v>117188.4</v>
      </c>
      <c r="AK291" s="3">
        <f>наценкад5[[#This Row],[утв цена м2]]*наценкад5[[#This Row],[Расчетная проектная площадь]]</f>
        <v>4430893.4040000001</v>
      </c>
      <c r="AL291" s="22" t="str">
        <f>VLOOKUP(наценкад5[[#This Row],[№]],ППД5[],COLUMN('Реестр ОН'!$DF$1),0)</f>
        <v>Продажа</v>
      </c>
    </row>
    <row r="292" spans="1:38" hidden="1" x14ac:dyDescent="0.25">
      <c r="A292" s="101">
        <v>290</v>
      </c>
      <c r="B292" s="2" t="str">
        <f>_xlfn.XLOOKUP(наценкад5[[#This Row],[№]],ППД5[№],ППД5[Секция],"-",0)</f>
        <v>В</v>
      </c>
      <c r="C292" s="2">
        <f>_xlfn.XLOOKUP(наценкад5[[#This Row],[№]],ППД5[№],ППД5[Этаж],"-",0)</f>
        <v>10</v>
      </c>
      <c r="D292" s="2">
        <f>_xlfn.XLOOKUP(наценкад5[[#This Row],[№]],ППД5[№],ППД5[№ на этаже],"-",0)</f>
        <v>6</v>
      </c>
      <c r="E292" s="2">
        <f>_xlfn.XLOOKUP(наценкад5[[#This Row],[№]],ППД5[№],ППД5[Тип кв],"-",0)</f>
        <v>3</v>
      </c>
      <c r="F292" s="72">
        <f>_xlfn.XLOOKUP(наценкад5[[#This Row],[№]],ППД5[№],ППД5[Кухня],"-",0)</f>
        <v>13.15</v>
      </c>
      <c r="G292" s="72">
        <f>_xlfn.XLOOKUP(наценкад5[[#This Row],[№]],ППД5[№],ППД5[Ванная],"-",0)</f>
        <v>4.03</v>
      </c>
      <c r="H292" s="72">
        <f>_xlfn.XLOOKUP(наценкад5[[#This Row],[№]],ППД5[№],ППД5[Гардеробная],"-",0)</f>
        <v>0</v>
      </c>
      <c r="I292" s="72">
        <f>_xlfn.XLOOKUP(наценкад5[[#This Row],[№]],ППД5[№],ППД5[Лоджия 2],"-",0)</f>
        <v>2.68</v>
      </c>
      <c r="J292" s="72">
        <f>_xlfn.XLOOKUP(наценкад5[[#This Row],[№]],ППД5[№],ППД5[С\У],"-",0)</f>
        <v>1.76</v>
      </c>
      <c r="K292" s="72">
        <f>_xlfn.XLOOKUP(наценкад5[[#This Row],[№]],ППД5[№],ППД5[Расчетная проектная площадь],"-",0)</f>
        <v>80.97</v>
      </c>
      <c r="L292" s="12">
        <f t="shared" si="4"/>
        <v>63000</v>
      </c>
      <c r="M292" s="27">
        <f>коэффициенты!$E$2</f>
        <v>1.1330000000000002</v>
      </c>
      <c r="N292" s="13">
        <f>наценкад5[[#This Row],[Цена м2 базовая]]*наценкад5[[#This Row],[Базовой K]]</f>
        <v>71379.000000000015</v>
      </c>
      <c r="O292" s="74"/>
      <c r="P292" s="74">
        <f>коэффициенты!$E$5</f>
        <v>0</v>
      </c>
      <c r="Q292" s="74">
        <f>коэффициенты!$E$6</f>
        <v>0.01</v>
      </c>
      <c r="R292" s="74"/>
      <c r="S292" s="74">
        <f>коэффициенты!$E$9</f>
        <v>0</v>
      </c>
      <c r="T292" s="74">
        <f>коэффициенты!$E$7</f>
        <v>0</v>
      </c>
      <c r="U292" s="74"/>
      <c r="V292" s="74"/>
      <c r="W292" s="75">
        <f>коэффициенты!$E$12</f>
        <v>0.02</v>
      </c>
      <c r="X292" s="74"/>
      <c r="Y292" s="75"/>
      <c r="Z292" s="74"/>
      <c r="AA292" s="74">
        <f>коэффициенты!$E$14</f>
        <v>0</v>
      </c>
      <c r="AB292" s="74">
        <f>коэффициенты!$E$17</f>
        <v>0</v>
      </c>
      <c r="AC292" s="74"/>
      <c r="AD292" s="74"/>
      <c r="AE292" s="74"/>
      <c r="AF292" s="74">
        <f>коэффициенты!$E$21</f>
        <v>0.01</v>
      </c>
      <c r="AG292" s="74"/>
      <c r="AH292" s="74"/>
      <c r="AI292" s="73">
        <f>SUM(наценкад5[[#This Row],[еврокухня]:[большая площадь]])*наценкад5[[#This Row],[Цена м2 с базовым K]]+наценкад5[[#This Row],[Цена м2 с базовым K]]</f>
        <v>74234.160000000018</v>
      </c>
      <c r="AJ292" s="72">
        <f>VLOOKUP(наценкад5[[#This Row],[№]],ППД5[],COLUMN(ППД5[[#This Row],[утв цена м2]]),0)</f>
        <v>80284.240000000005</v>
      </c>
      <c r="AK292" s="3">
        <f>наценкад5[[#This Row],[утв цена м2]]*наценкад5[[#This Row],[Расчетная проектная площадь]]</f>
        <v>6500614.9128</v>
      </c>
      <c r="AL292" s="22" t="str">
        <f>VLOOKUP(наценкад5[[#This Row],[№]],ППД5[],COLUMN('Реестр ОН'!$DF$1),0)</f>
        <v>Продажа</v>
      </c>
    </row>
    <row r="293" spans="1:38" hidden="1" x14ac:dyDescent="0.25">
      <c r="A293" s="101">
        <v>291</v>
      </c>
      <c r="B293" s="2" t="str">
        <f>_xlfn.XLOOKUP(наценкад5[[#This Row],[№]],ППД5[№],ППД5[Секция],"-",0)</f>
        <v>В</v>
      </c>
      <c r="C293" s="2">
        <f>_xlfn.XLOOKUP(наценкад5[[#This Row],[№]],ППД5[№],ППД5[Этаж],"-",0)</f>
        <v>10</v>
      </c>
      <c r="D293" s="2">
        <f>_xlfn.XLOOKUP(наценкад5[[#This Row],[№]],ППД5[№],ППД5[№ на этаже],"-",0)</f>
        <v>7</v>
      </c>
      <c r="E293" s="2">
        <f>_xlfn.XLOOKUP(наценкад5[[#This Row],[№]],ППД5[№],ППД5[Тип кв],"-",0)</f>
        <v>1</v>
      </c>
      <c r="F293" s="72">
        <f>_xlfn.XLOOKUP(наценкад5[[#This Row],[№]],ППД5[№],ППД5[Кухня],"-",0)</f>
        <v>9.2799999999999994</v>
      </c>
      <c r="G293" s="72">
        <f>_xlfn.XLOOKUP(наценкад5[[#This Row],[№]],ППД5[№],ППД5[Ванная],"-",0)</f>
        <v>3.79</v>
      </c>
      <c r="H293" s="72">
        <f>_xlfn.XLOOKUP(наценкад5[[#This Row],[№]],ППД5[№],ППД5[Гардеробная],"-",0)</f>
        <v>0</v>
      </c>
      <c r="I293" s="72">
        <f>_xlfn.XLOOKUP(наценкад5[[#This Row],[№]],ППД5[№],ППД5[Лоджия 2],"-",0)</f>
        <v>0</v>
      </c>
      <c r="J293" s="72">
        <f>_xlfn.XLOOKUP(наценкад5[[#This Row],[№]],ППД5[№],ППД5[С\У],"-",0)</f>
        <v>0</v>
      </c>
      <c r="K293" s="72">
        <f>_xlfn.XLOOKUP(наценкад5[[#This Row],[№]],ППД5[№],ППД5[Расчетная проектная площадь],"-",0)</f>
        <v>34.81</v>
      </c>
      <c r="L293" s="12">
        <f t="shared" si="4"/>
        <v>63000</v>
      </c>
      <c r="M293" s="102">
        <f>коэффициенты!$G$2</f>
        <v>1.2875000000000001</v>
      </c>
      <c r="N293" s="13">
        <f>наценкад5[[#This Row],[Цена м2 базовая]]*наценкад5[[#This Row],[Базовой K]]</f>
        <v>81112.5</v>
      </c>
      <c r="O293" s="74"/>
      <c r="P293" s="74"/>
      <c r="Q293" s="74"/>
      <c r="R293" s="74"/>
      <c r="S293" s="74"/>
      <c r="T293" s="74"/>
      <c r="U293" s="74"/>
      <c r="V293" s="74">
        <f>коэффициенты!$G$11</f>
        <v>0.01</v>
      </c>
      <c r="W293" s="75">
        <f>коэффициенты!$G$12</f>
        <v>0.02</v>
      </c>
      <c r="X293" s="74"/>
      <c r="Y293" s="75"/>
      <c r="Z293" s="74"/>
      <c r="AA293" s="74">
        <f>коэффициенты!$G$14</f>
        <v>0.01</v>
      </c>
      <c r="AB293" s="74"/>
      <c r="AC293" s="74"/>
      <c r="AD293" s="74">
        <f>коэффициенты!$G$19</f>
        <v>0.01</v>
      </c>
      <c r="AE293" s="74"/>
      <c r="AF293" s="74">
        <f>коэффициенты!$G$21</f>
        <v>0.01</v>
      </c>
      <c r="AG293" s="74">
        <f>коэффициенты!$A$24</f>
        <v>-5.0000000000000001E-3</v>
      </c>
      <c r="AH293" s="74"/>
      <c r="AI293" s="73">
        <f>SUM(наценкад5[[#This Row],[еврокухня]:[большая площадь]])*наценкад5[[#This Row],[Цена м2 с базовым K]]+наценкад5[[#This Row],[Цена м2 с базовым K]]</f>
        <v>85573.6875</v>
      </c>
      <c r="AJ293" s="72">
        <f>VLOOKUP(наценкад5[[#This Row],[№]],ППД5[],COLUMN(ППД5[[#This Row],[утв цена м2]]),0)</f>
        <v>147212.97</v>
      </c>
      <c r="AK293" s="3">
        <f>наценкад5[[#This Row],[утв цена м2]]*наценкад5[[#This Row],[Расчетная проектная площадь]]</f>
        <v>5124483.4857000001</v>
      </c>
      <c r="AL293" s="22" t="str">
        <f>VLOOKUP(наценкад5[[#This Row],[№]],ППД5[],COLUMN('Реестр ОН'!$DF$1),0)</f>
        <v>Свободно</v>
      </c>
    </row>
    <row r="294" spans="1:38" hidden="1" x14ac:dyDescent="0.25">
      <c r="A294" s="101">
        <v>292</v>
      </c>
      <c r="B294" s="2" t="str">
        <f>_xlfn.XLOOKUP(наценкад5[[#This Row],[№]],ППД5[№],ППД5[Секция],"-",0)</f>
        <v>В</v>
      </c>
      <c r="C294" s="2">
        <f>_xlfn.XLOOKUP(наценкад5[[#This Row],[№]],ППД5[№],ППД5[Этаж],"-",0)</f>
        <v>11</v>
      </c>
      <c r="D294" s="2">
        <f>_xlfn.XLOOKUP(наценкад5[[#This Row],[№]],ППД5[№],ППД5[№ на этаже],"-",0)</f>
        <v>1</v>
      </c>
      <c r="E294" s="2">
        <f>_xlfn.XLOOKUP(наценкад5[[#This Row],[№]],ППД5[№],ППД5[Тип кв],"-",0)</f>
        <v>2</v>
      </c>
      <c r="F294" s="72">
        <f>_xlfn.XLOOKUP(наценкад5[[#This Row],[№]],ППД5[№],ППД5[Кухня],"-",0)</f>
        <v>20.05</v>
      </c>
      <c r="G294" s="72">
        <f>_xlfn.XLOOKUP(наценкад5[[#This Row],[№]],ППД5[№],ППД5[Ванная],"-",0)</f>
        <v>3.54</v>
      </c>
      <c r="H294" s="72">
        <f>_xlfn.XLOOKUP(наценкад5[[#This Row],[№]],ППД5[№],ППД5[Гардеробная],"-",0)</f>
        <v>0</v>
      </c>
      <c r="I294" s="72">
        <f>_xlfn.XLOOKUP(наценкад5[[#This Row],[№]],ППД5[№],ППД5[Лоджия 2],"-",0)</f>
        <v>2.68</v>
      </c>
      <c r="J294" s="72">
        <f>_xlfn.XLOOKUP(наценкад5[[#This Row],[№]],ППД5[№],ППД5[С\У],"-",0)</f>
        <v>2.93</v>
      </c>
      <c r="K294" s="72">
        <f>_xlfn.XLOOKUP(наценкад5[[#This Row],[№]],ППД5[№],ППД5[Расчетная проектная площадь],"-",0)</f>
        <v>73.7</v>
      </c>
      <c r="L294" s="12">
        <f t="shared" si="4"/>
        <v>63000</v>
      </c>
      <c r="M294" s="102">
        <f>коэффициенты!$F$2</f>
        <v>1.2257</v>
      </c>
      <c r="N294" s="13">
        <f>наценкад5[[#This Row],[Цена м2 базовая]]*наценкад5[[#This Row],[Базовой K]]</f>
        <v>77219.100000000006</v>
      </c>
      <c r="O294" s="74">
        <f>коэффициенты!$F$4</f>
        <v>1.4999999999999999E-2</v>
      </c>
      <c r="P294" s="74"/>
      <c r="Q294" s="76"/>
      <c r="R294" s="76"/>
      <c r="S294" s="76">
        <f>коэффициенты!$F$9</f>
        <v>0</v>
      </c>
      <c r="T294" s="74">
        <f>коэффициенты!$F$7</f>
        <v>0.03</v>
      </c>
      <c r="U294" s="74"/>
      <c r="V294" s="74"/>
      <c r="W294" s="74"/>
      <c r="X294" s="74">
        <f>коэффициенты!$F$13</f>
        <v>0.02</v>
      </c>
      <c r="Y294" s="75"/>
      <c r="Z294" s="74"/>
      <c r="AA294" s="74">
        <f>коэффициенты!$F$14</f>
        <v>0.02</v>
      </c>
      <c r="AB294" s="74"/>
      <c r="AC294" s="74"/>
      <c r="AD294" s="74">
        <f>коэффициенты!$F$19</f>
        <v>5.0000000000000001E-3</v>
      </c>
      <c r="AE294" s="74"/>
      <c r="AF294" s="74">
        <f>коэффициенты!$F$21</f>
        <v>0.01</v>
      </c>
      <c r="AG294" s="74"/>
      <c r="AH294" s="74">
        <f>'отрицательный кф'!$O$27</f>
        <v>-0.08</v>
      </c>
      <c r="AI294" s="73">
        <f>SUM(наценкад5[[#This Row],[еврокухня]:[большая площадь]])*наценкад5[[#This Row],[Цена м2 с базовым K]]+наценкад5[[#This Row],[Цена м2 с базовым K]]</f>
        <v>78763.482000000004</v>
      </c>
      <c r="AJ294" s="72">
        <f>VLOOKUP(наценкад5[[#This Row],[№]],ППД5[],COLUMN(ППД5[[#This Row],[утв цена м2]]),0)</f>
        <v>115308.83</v>
      </c>
      <c r="AK294" s="3">
        <f>наценкад5[[#This Row],[утв цена м2]]*наценкад5[[#This Row],[Расчетная проектная площадь]]</f>
        <v>8498260.7709999997</v>
      </c>
      <c r="AL294" s="22" t="str">
        <f>VLOOKUP(наценкад5[[#This Row],[№]],ППД5[],COLUMN('Реестр ОН'!$DF$1),0)</f>
        <v>Свободно</v>
      </c>
    </row>
    <row r="295" spans="1:38" hidden="1" x14ac:dyDescent="0.25">
      <c r="A295" s="101">
        <v>293</v>
      </c>
      <c r="B295" s="2" t="str">
        <f>_xlfn.XLOOKUP(наценкад5[[#This Row],[№]],ППД5[№],ППД5[Секция],"-",0)</f>
        <v>В</v>
      </c>
      <c r="C295" s="2">
        <f>_xlfn.XLOOKUP(наценкад5[[#This Row],[№]],ППД5[№],ППД5[Этаж],"-",0)</f>
        <v>11</v>
      </c>
      <c r="D295" s="2">
        <f>_xlfn.XLOOKUP(наценкад5[[#This Row],[№]],ППД5[№],ППД5[№ на этаже],"-",0)</f>
        <v>2</v>
      </c>
      <c r="E295" s="2">
        <f>_xlfn.XLOOKUP(наценкад5[[#This Row],[№]],ППД5[№],ППД5[Тип кв],"-",0)</f>
        <v>0</v>
      </c>
      <c r="F295" s="72">
        <f>_xlfn.XLOOKUP(наценкад5[[#This Row],[№]],ППД5[№],ППД5[Кухня],"-",0)</f>
        <v>5.17</v>
      </c>
      <c r="G295" s="72">
        <f>_xlfn.XLOOKUP(наценкад5[[#This Row],[№]],ППД5[№],ППД5[Ванная],"-",0)</f>
        <v>3.72</v>
      </c>
      <c r="H295" s="72">
        <f>_xlfn.XLOOKUP(наценкад5[[#This Row],[№]],ППД5[№],ППД5[Гардеробная],"-",0)</f>
        <v>0</v>
      </c>
      <c r="I295" s="72">
        <f>_xlfn.XLOOKUP(наценкад5[[#This Row],[№]],ППД5[№],ППД5[Лоджия 2],"-",0)</f>
        <v>0</v>
      </c>
      <c r="J295" s="72">
        <f>_xlfn.XLOOKUP(наценкад5[[#This Row],[№]],ППД5[№],ППД5[С\У],"-",0)</f>
        <v>0</v>
      </c>
      <c r="K295" s="72">
        <f>_xlfn.XLOOKUP(наценкад5[[#This Row],[№]],ППД5[№],ППД5[Расчетная проектная площадь],"-",0)</f>
        <v>24.53</v>
      </c>
      <c r="L295" s="12">
        <f t="shared" si="4"/>
        <v>63000</v>
      </c>
      <c r="M295" s="116">
        <f>коэффициенты!$H$2</f>
        <v>1.3905000000000001</v>
      </c>
      <c r="N295" s="13">
        <f>наценкад5[[#This Row],[Цена м2 базовая]]*наценкад5[[#This Row],[Базовой K]]</f>
        <v>87601.5</v>
      </c>
      <c r="O295" s="74"/>
      <c r="P295" s="74"/>
      <c r="Q295" s="74"/>
      <c r="R295" s="74"/>
      <c r="S295" s="74"/>
      <c r="T295" s="74"/>
      <c r="U295" s="74"/>
      <c r="V295" s="74">
        <f>коэффициенты!$H$11</f>
        <v>0.01</v>
      </c>
      <c r="W295" s="117">
        <f>коэффициенты!$H$22</f>
        <v>0.01</v>
      </c>
      <c r="X295" s="74">
        <f>коэффициенты!$H$13</f>
        <v>0.01</v>
      </c>
      <c r="Y295" s="75"/>
      <c r="Z295" s="74"/>
      <c r="AA295" s="74"/>
      <c r="AB295" s="74"/>
      <c r="AC295" s="74"/>
      <c r="AD295" s="74">
        <f>коэффициенты!$H$19</f>
        <v>0.01</v>
      </c>
      <c r="AE295" s="74"/>
      <c r="AF295" s="74">
        <f>коэффициенты!$H$21</f>
        <v>0.01</v>
      </c>
      <c r="AG295" s="74"/>
      <c r="AH295" s="74"/>
      <c r="AI295" s="73">
        <f>SUM(наценкад5[[#This Row],[еврокухня]:[большая площадь]])*наценкад5[[#This Row],[Цена м2 с базовым K]]+наценкад5[[#This Row],[Цена м2 с базовым K]]</f>
        <v>91981.574999999997</v>
      </c>
      <c r="AJ295" s="72">
        <f>VLOOKUP(наценкад5[[#This Row],[№]],ППД5[],COLUMN(ППД5[[#This Row],[утв цена м2]]),0)</f>
        <v>153163.56</v>
      </c>
      <c r="AK295" s="3">
        <f>наценкад5[[#This Row],[утв цена м2]]*наценкад5[[#This Row],[Расчетная проектная площадь]]</f>
        <v>3757102.1268000002</v>
      </c>
      <c r="AL295" s="22" t="str">
        <f>VLOOKUP(наценкад5[[#This Row],[№]],ППД5[],COLUMN('Реестр ОН'!$DF$1),0)</f>
        <v>Стр. Резерв</v>
      </c>
    </row>
    <row r="296" spans="1:38" hidden="1" x14ac:dyDescent="0.25">
      <c r="A296" s="101">
        <v>294</v>
      </c>
      <c r="B296" s="2" t="str">
        <f>_xlfn.XLOOKUP(наценкад5[[#This Row],[№]],ППД5[№],ППД5[Секция],"-",0)</f>
        <v>В</v>
      </c>
      <c r="C296" s="2">
        <f>_xlfn.XLOOKUP(наценкад5[[#This Row],[№]],ППД5[№],ППД5[Этаж],"-",0)</f>
        <v>11</v>
      </c>
      <c r="D296" s="2">
        <f>_xlfn.XLOOKUP(наценкад5[[#This Row],[№]],ППД5[№],ППД5[№ на этаже],"-",0)</f>
        <v>3</v>
      </c>
      <c r="E296" s="2">
        <f>_xlfn.XLOOKUP(наценкад5[[#This Row],[№]],ППД5[№],ППД5[Тип кв],"-",0)</f>
        <v>2</v>
      </c>
      <c r="F296" s="72">
        <f>_xlfn.XLOOKUP(наценкад5[[#This Row],[№]],ППД5[№],ППД5[Кухня],"-",0)</f>
        <v>18.71</v>
      </c>
      <c r="G296" s="72">
        <f>_xlfn.XLOOKUP(наценкад5[[#This Row],[№]],ППД5[№],ППД5[Ванная],"-",0)</f>
        <v>3.49</v>
      </c>
      <c r="H296" s="72">
        <f>_xlfn.XLOOKUP(наценкад5[[#This Row],[№]],ППД5[№],ППД5[Гардеробная],"-",0)</f>
        <v>0</v>
      </c>
      <c r="I296" s="72">
        <f>_xlfn.XLOOKUP(наценкад5[[#This Row],[№]],ППД5[№],ППД5[Лоджия 2],"-",0)</f>
        <v>0</v>
      </c>
      <c r="J296" s="72">
        <f>_xlfn.XLOOKUP(наценкад5[[#This Row],[№]],ППД5[№],ППД5[С\У],"-",0)</f>
        <v>2.11</v>
      </c>
      <c r="K296" s="72">
        <f>_xlfn.XLOOKUP(наценкад5[[#This Row],[№]],ППД5[№],ППД5[Расчетная проектная площадь],"-",0)</f>
        <v>56.58</v>
      </c>
      <c r="L296" s="12">
        <f t="shared" si="4"/>
        <v>63000</v>
      </c>
      <c r="M296" s="102">
        <f>коэффициенты!$F$2</f>
        <v>1.2257</v>
      </c>
      <c r="N296" s="13">
        <f>наценкад5[[#This Row],[Цена м2 базовая]]*наценкад5[[#This Row],[Базовой K]]</f>
        <v>77219.100000000006</v>
      </c>
      <c r="O296" s="74">
        <f>коэффициенты!$F$4</f>
        <v>1.4999999999999999E-2</v>
      </c>
      <c r="P296" s="74"/>
      <c r="Q296" s="76"/>
      <c r="R296" s="76">
        <f>коэффициенты!$F$10</f>
        <v>0</v>
      </c>
      <c r="S296" s="76">
        <f>коэффициенты!$F$9</f>
        <v>0</v>
      </c>
      <c r="T296" s="74"/>
      <c r="U296" s="74"/>
      <c r="V296" s="74"/>
      <c r="W296" s="117">
        <f>коэффициенты!$F$22</f>
        <v>0.01</v>
      </c>
      <c r="X296" s="74"/>
      <c r="Y296" s="75"/>
      <c r="Z296" s="74"/>
      <c r="AA296" s="74"/>
      <c r="AB296" s="74"/>
      <c r="AC296" s="74"/>
      <c r="AD296" s="74">
        <f>коэффициенты!$F$19</f>
        <v>5.0000000000000001E-3</v>
      </c>
      <c r="AE296" s="74"/>
      <c r="AF296" s="74">
        <f>коэффициенты!$F$21</f>
        <v>0.01</v>
      </c>
      <c r="AG296" s="74"/>
      <c r="AH296" s="74"/>
      <c r="AI296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296" s="72">
        <f>VLOOKUP(наценкад5[[#This Row],[№]],ППД5[],COLUMN(ППД5[[#This Row],[утв цена м2]]),0)</f>
        <v>86852.95</v>
      </c>
      <c r="AK296" s="3">
        <f>наценкад5[[#This Row],[утв цена м2]]*наценкад5[[#This Row],[Расчетная проектная площадь]]</f>
        <v>4914139.9109999994</v>
      </c>
      <c r="AL296" s="22" t="str">
        <f>VLOOKUP(наценкад5[[#This Row],[№]],ППД5[],COLUMN('Реестр ОН'!$DF$1),0)</f>
        <v>Продажа</v>
      </c>
    </row>
    <row r="297" spans="1:38" hidden="1" x14ac:dyDescent="0.25">
      <c r="A297" s="101">
        <v>295</v>
      </c>
      <c r="B297" s="2" t="str">
        <f>_xlfn.XLOOKUP(наценкад5[[#This Row],[№]],ППД5[№],ППД5[Секция],"-",0)</f>
        <v>В</v>
      </c>
      <c r="C297" s="2">
        <f>_xlfn.XLOOKUP(наценкад5[[#This Row],[№]],ППД5[№],ППД5[Этаж],"-",0)</f>
        <v>11</v>
      </c>
      <c r="D297" s="2">
        <f>_xlfn.XLOOKUP(наценкад5[[#This Row],[№]],ППД5[№],ППД5[№ на этаже],"-",0)</f>
        <v>4</v>
      </c>
      <c r="E297" s="2">
        <f>_xlfn.XLOOKUP(наценкад5[[#This Row],[№]],ППД5[№],ППД5[Тип кв],"-",0)</f>
        <v>2</v>
      </c>
      <c r="F297" s="3">
        <f>_xlfn.XLOOKUP(наценкад5[[#This Row],[№]],ППД5[№],ППД5[Кухня],"-",0)</f>
        <v>15.44</v>
      </c>
      <c r="G297" s="72">
        <f>_xlfn.XLOOKUP(наценкад5[[#This Row],[№]],ППД5[№],ППД5[Ванная],"-",0)</f>
        <v>4.59</v>
      </c>
      <c r="H297" s="72">
        <f>_xlfn.XLOOKUP(наценкад5[[#This Row],[№]],ППД5[№],ППД5[Гардеробная],"-",0)</f>
        <v>0</v>
      </c>
      <c r="I297" s="72">
        <f>_xlfn.XLOOKUP(наценкад5[[#This Row],[№]],ППД5[№],ППД5[Лоджия 2],"-",0)</f>
        <v>0</v>
      </c>
      <c r="J297" s="72">
        <f>_xlfn.XLOOKUP(наценкад5[[#This Row],[№]],ППД5[№],ППД5[С\У],"-",0)</f>
        <v>2.21</v>
      </c>
      <c r="K297" s="72">
        <f>_xlfn.XLOOKUP(наценкад5[[#This Row],[№]],ППД5[№],ППД5[Расчетная проектная площадь],"-",0)</f>
        <v>60.24</v>
      </c>
      <c r="L297" s="12">
        <f t="shared" si="4"/>
        <v>63000</v>
      </c>
      <c r="M297" s="102">
        <f>коэффициенты!$F$2</f>
        <v>1.2257</v>
      </c>
      <c r="N297" s="13">
        <f>наценкад5[[#This Row],[Цена м2 базовая]]*наценкад5[[#This Row],[Базовой K]]</f>
        <v>77219.100000000006</v>
      </c>
      <c r="O297" s="74">
        <f>коэффициенты!$F$4</f>
        <v>1.4999999999999999E-2</v>
      </c>
      <c r="P297" s="74"/>
      <c r="Q297" s="76">
        <f>коэффициенты!$F$6</f>
        <v>0.02</v>
      </c>
      <c r="R297" s="76"/>
      <c r="S297" s="76">
        <f>коэффициенты!$F$9</f>
        <v>0</v>
      </c>
      <c r="T297" s="74"/>
      <c r="U297" s="74"/>
      <c r="V297" s="74">
        <f>коэффициенты!$F$11</f>
        <v>5.0000000000000001E-3</v>
      </c>
      <c r="W297" s="117">
        <f>коэффициенты!$F$22</f>
        <v>0.01</v>
      </c>
      <c r="X297" s="74"/>
      <c r="Y297" s="75"/>
      <c r="Z297" s="74"/>
      <c r="AA297" s="74"/>
      <c r="AB297" s="74"/>
      <c r="AC297" s="74"/>
      <c r="AD297" s="74">
        <f>коэффициенты!$F$19</f>
        <v>5.0000000000000001E-3</v>
      </c>
      <c r="AE297" s="74"/>
      <c r="AF297" s="74">
        <f>коэффициенты!$F$21</f>
        <v>0.01</v>
      </c>
      <c r="AG297" s="74"/>
      <c r="AH297" s="74"/>
      <c r="AI297" s="73">
        <f>SUM(наценкад5[[#This Row],[еврокухня]:[большая площадь]])*наценкад5[[#This Row],[Цена м2 с базовым K]]+наценкад5[[#This Row],[Цена м2 с базовым K]]</f>
        <v>82238.34150000001</v>
      </c>
      <c r="AJ297" s="72">
        <f>VLOOKUP(наценкад5[[#This Row],[№]],ППД5[],COLUMN(ППД5[[#This Row],[утв цена м2]]),0)</f>
        <v>88940.77</v>
      </c>
      <c r="AK297" s="3">
        <f>наценкад5[[#This Row],[утв цена м2]]*наценкад5[[#This Row],[Расчетная проектная площадь]]</f>
        <v>5357791.9848000007</v>
      </c>
      <c r="AL297" s="22" t="str">
        <f>VLOOKUP(наценкад5[[#This Row],[№]],ППД5[],COLUMN('Реестр ОН'!$DF$1),0)</f>
        <v>Продажа</v>
      </c>
    </row>
    <row r="298" spans="1:38" hidden="1" x14ac:dyDescent="0.25">
      <c r="A298" s="101">
        <v>296</v>
      </c>
      <c r="B298" s="2" t="str">
        <f>_xlfn.XLOOKUP(наценкад5[[#This Row],[№]],ППД5[№],ППД5[Секция],"-",0)</f>
        <v>В</v>
      </c>
      <c r="C298" s="2">
        <f>_xlfn.XLOOKUP(наценкад5[[#This Row],[№]],ППД5[№],ППД5[Этаж],"-",0)</f>
        <v>11</v>
      </c>
      <c r="D298" s="2">
        <f>_xlfn.XLOOKUP(наценкад5[[#This Row],[№]],ППД5[№],ППД5[№ на этаже],"-",0)</f>
        <v>5</v>
      </c>
      <c r="E298" s="2">
        <f>_xlfn.XLOOKUP(наценкад5[[#This Row],[№]],ППД5[№],ППД5[Тип кв],"-",0)</f>
        <v>1</v>
      </c>
      <c r="F298" s="72">
        <f>_xlfn.XLOOKUP(наценкад5[[#This Row],[№]],ППД5[№],ППД5[Кухня],"-",0)</f>
        <v>12.74</v>
      </c>
      <c r="G298" s="72">
        <f>_xlfn.XLOOKUP(наценкад5[[#This Row],[№]],ППД5[№],ППД5[Ванная],"-",0)</f>
        <v>4.0199999999999996</v>
      </c>
      <c r="H298" s="72">
        <f>_xlfn.XLOOKUP(наценкад5[[#This Row],[№]],ППД5[№],ППД5[Гардеробная],"-",0)</f>
        <v>0</v>
      </c>
      <c r="I298" s="72">
        <f>_xlfn.XLOOKUP(наценкад5[[#This Row],[№]],ППД5[№],ППД5[Лоджия 2],"-",0)</f>
        <v>0</v>
      </c>
      <c r="J298" s="72">
        <f>_xlfn.XLOOKUP(наценкад5[[#This Row],[№]],ППД5[№],ППД5[С\У],"-",0)</f>
        <v>0</v>
      </c>
      <c r="K298" s="72">
        <f>_xlfn.XLOOKUP(наценкад5[[#This Row],[№]],ППД5[№],ППД5[Расчетная проектная площадь],"-",0)</f>
        <v>37.81</v>
      </c>
      <c r="L298" s="12">
        <f t="shared" si="4"/>
        <v>63000</v>
      </c>
      <c r="M298" s="102">
        <f>коэффициенты!$G$2</f>
        <v>1.2875000000000001</v>
      </c>
      <c r="N298" s="13">
        <f>наценкад5[[#This Row],[Цена м2 базовая]]*наценкад5[[#This Row],[Базовой K]]</f>
        <v>81112.5</v>
      </c>
      <c r="O298" s="74"/>
      <c r="P298" s="76">
        <f>коэффициенты!$G$5</f>
        <v>0.01</v>
      </c>
      <c r="Q298" s="74">
        <f>коэффициенты!$G$6</f>
        <v>0.03</v>
      </c>
      <c r="R298" s="74"/>
      <c r="S298" s="74"/>
      <c r="T298" s="74"/>
      <c r="U298" s="74"/>
      <c r="V298" s="74">
        <f>коэффициенты!$G$11</f>
        <v>0.01</v>
      </c>
      <c r="W298" s="117">
        <f>коэффициенты!$G$22</f>
        <v>0.01</v>
      </c>
      <c r="X298" s="74">
        <f>коэффициенты!$G$13</f>
        <v>0.01</v>
      </c>
      <c r="Y298" s="75"/>
      <c r="Z298" s="74"/>
      <c r="AA298" s="74">
        <f>коэффициенты!$G$14</f>
        <v>0.01</v>
      </c>
      <c r="AB298" s="74"/>
      <c r="AC298" s="74"/>
      <c r="AD298" s="74">
        <f>коэффициенты!$G$19</f>
        <v>0.01</v>
      </c>
      <c r="AE298" s="74"/>
      <c r="AF298" s="74">
        <f>коэффициенты!$G$21</f>
        <v>0.01</v>
      </c>
      <c r="AG298" s="74"/>
      <c r="AH298" s="74"/>
      <c r="AI298" s="73">
        <f>SUM(наценкад5[[#This Row],[еврокухня]:[большая площадь]])*наценкад5[[#This Row],[Цена м2 с базовым K]]+наценкад5[[#This Row],[Цена м2 с базовым K]]</f>
        <v>89223.75</v>
      </c>
      <c r="AJ298" s="72">
        <f>VLOOKUP(наценкад5[[#This Row],[№]],ППД5[],COLUMN(ППД5[[#This Row],[утв цена м2]]),0)</f>
        <v>138508</v>
      </c>
      <c r="AK298" s="3">
        <f>наценкад5[[#This Row],[утв цена м2]]*наценкад5[[#This Row],[Расчетная проектная площадь]]</f>
        <v>5236987.4800000004</v>
      </c>
      <c r="AL298" s="22" t="str">
        <f>VLOOKUP(наценкад5[[#This Row],[№]],ППД5[],COLUMN('Реестр ОН'!$DF$1),0)</f>
        <v>Продажа</v>
      </c>
    </row>
    <row r="299" spans="1:38" hidden="1" x14ac:dyDescent="0.25">
      <c r="A299" s="101">
        <v>297</v>
      </c>
      <c r="B299" s="2" t="str">
        <f>_xlfn.XLOOKUP(наценкад5[[#This Row],[№]],ППД5[№],ППД5[Секция],"-",0)</f>
        <v>В</v>
      </c>
      <c r="C299" s="2">
        <f>_xlfn.XLOOKUP(наценкад5[[#This Row],[№]],ППД5[№],ППД5[Этаж],"-",0)</f>
        <v>11</v>
      </c>
      <c r="D299" s="2">
        <f>_xlfn.XLOOKUP(наценкад5[[#This Row],[№]],ППД5[№],ППД5[№ на этаже],"-",0)</f>
        <v>6</v>
      </c>
      <c r="E299" s="2">
        <f>_xlfn.XLOOKUP(наценкад5[[#This Row],[№]],ППД5[№],ППД5[Тип кв],"-",0)</f>
        <v>3</v>
      </c>
      <c r="F299" s="72">
        <f>_xlfn.XLOOKUP(наценкад5[[#This Row],[№]],ППД5[№],ППД5[Кухня],"-",0)</f>
        <v>13.15</v>
      </c>
      <c r="G299" s="72">
        <f>_xlfn.XLOOKUP(наценкад5[[#This Row],[№]],ППД5[№],ППД5[Ванная],"-",0)</f>
        <v>4.03</v>
      </c>
      <c r="H299" s="72">
        <f>_xlfn.XLOOKUP(наценкад5[[#This Row],[№]],ППД5[№],ППД5[Гардеробная],"-",0)</f>
        <v>0</v>
      </c>
      <c r="I299" s="72">
        <f>_xlfn.XLOOKUP(наценкад5[[#This Row],[№]],ППД5[№],ППД5[Лоджия 2],"-",0)</f>
        <v>2.68</v>
      </c>
      <c r="J299" s="72">
        <f>_xlfn.XLOOKUP(наценкад5[[#This Row],[№]],ППД5[№],ППД5[С\У],"-",0)</f>
        <v>1.76</v>
      </c>
      <c r="K299" s="72">
        <f>_xlfn.XLOOKUP(наценкад5[[#This Row],[№]],ППД5[№],ППД5[Расчетная проектная площадь],"-",0)</f>
        <v>80.97</v>
      </c>
      <c r="L299" s="12">
        <f t="shared" si="4"/>
        <v>63000</v>
      </c>
      <c r="M299" s="27">
        <f>коэффициенты!$E$2</f>
        <v>1.1330000000000002</v>
      </c>
      <c r="N299" s="13">
        <f>наценкад5[[#This Row],[Цена м2 базовая]]*наценкад5[[#This Row],[Базовой K]]</f>
        <v>71379.000000000015</v>
      </c>
      <c r="O299" s="74"/>
      <c r="P299" s="74">
        <f>коэффициенты!$E$5</f>
        <v>0</v>
      </c>
      <c r="Q299" s="74">
        <f>коэффициенты!$E$6</f>
        <v>0.01</v>
      </c>
      <c r="R299" s="74"/>
      <c r="S299" s="74">
        <f>коэффициенты!$E$9</f>
        <v>0</v>
      </c>
      <c r="T299" s="74">
        <f>коэффициенты!$E$7</f>
        <v>0</v>
      </c>
      <c r="U299" s="74"/>
      <c r="V299" s="74"/>
      <c r="W299" s="117">
        <f>коэффициенты!$A$22</f>
        <v>0.01</v>
      </c>
      <c r="X299" s="74"/>
      <c r="Y299" s="75"/>
      <c r="Z299" s="74"/>
      <c r="AA299" s="74">
        <f>коэффициенты!$E$14</f>
        <v>0</v>
      </c>
      <c r="AB299" s="74">
        <f>коэффициенты!$E$17</f>
        <v>0</v>
      </c>
      <c r="AC299" s="74"/>
      <c r="AD299" s="74"/>
      <c r="AE299" s="74"/>
      <c r="AF299" s="74">
        <f>коэффициенты!$E$21</f>
        <v>0.01</v>
      </c>
      <c r="AG299" s="74"/>
      <c r="AH299" s="74"/>
      <c r="AI299" s="73">
        <f>SUM(наценкад5[[#This Row],[еврокухня]:[большая площадь]])*наценкад5[[#This Row],[Цена м2 с базовым K]]+наценкад5[[#This Row],[Цена м2 с базовым K]]</f>
        <v>73520.37000000001</v>
      </c>
      <c r="AJ299" s="72">
        <f>VLOOKUP(наценкад5[[#This Row],[№]],ППД5[],COLUMN(ППД5[[#This Row],[утв цена м2]]),0)</f>
        <v>89049.74</v>
      </c>
      <c r="AK299" s="3">
        <f>наценкад5[[#This Row],[утв цена м2]]*наценкад5[[#This Row],[Расчетная проектная площадь]]</f>
        <v>7210357.4478000002</v>
      </c>
      <c r="AL299" s="22" t="str">
        <f>VLOOKUP(наценкад5[[#This Row],[№]],ППД5[],COLUMN('Реестр ОН'!$DF$1),0)</f>
        <v>Продажа</v>
      </c>
    </row>
    <row r="300" spans="1:38" hidden="1" x14ac:dyDescent="0.25">
      <c r="A300" s="101">
        <v>298</v>
      </c>
      <c r="B300" s="2" t="str">
        <f>_xlfn.XLOOKUP(наценкад5[[#This Row],[№]],ППД5[№],ППД5[Секция],"-",0)</f>
        <v>В</v>
      </c>
      <c r="C300" s="2">
        <f>_xlfn.XLOOKUP(наценкад5[[#This Row],[№]],ППД5[№],ППД5[Этаж],"-",0)</f>
        <v>11</v>
      </c>
      <c r="D300" s="2">
        <f>_xlfn.XLOOKUP(наценкад5[[#This Row],[№]],ППД5[№],ППД5[№ на этаже],"-",0)</f>
        <v>7</v>
      </c>
      <c r="E300" s="2">
        <f>_xlfn.XLOOKUP(наценкад5[[#This Row],[№]],ППД5[№],ППД5[Тип кв],"-",0)</f>
        <v>1</v>
      </c>
      <c r="F300" s="72">
        <f>_xlfn.XLOOKUP(наценкад5[[#This Row],[№]],ППД5[№],ППД5[Кухня],"-",0)</f>
        <v>9.2799999999999994</v>
      </c>
      <c r="G300" s="72">
        <f>_xlfn.XLOOKUP(наценкад5[[#This Row],[№]],ППД5[№],ППД5[Ванная],"-",0)</f>
        <v>3.79</v>
      </c>
      <c r="H300" s="72">
        <f>_xlfn.XLOOKUP(наценкад5[[#This Row],[№]],ППД5[№],ППД5[Гардеробная],"-",0)</f>
        <v>0</v>
      </c>
      <c r="I300" s="72">
        <f>_xlfn.XLOOKUP(наценкад5[[#This Row],[№]],ППД5[№],ППД5[Лоджия 2],"-",0)</f>
        <v>0</v>
      </c>
      <c r="J300" s="72">
        <f>_xlfn.XLOOKUP(наценкад5[[#This Row],[№]],ППД5[№],ППД5[С\У],"-",0)</f>
        <v>0</v>
      </c>
      <c r="K300" s="72">
        <f>_xlfn.XLOOKUP(наценкад5[[#This Row],[№]],ППД5[№],ППД5[Расчетная проектная площадь],"-",0)</f>
        <v>34.81</v>
      </c>
      <c r="L300" s="12">
        <f t="shared" si="4"/>
        <v>63000</v>
      </c>
      <c r="M300" s="102">
        <f>коэффициенты!$G$2</f>
        <v>1.2875000000000001</v>
      </c>
      <c r="N300" s="13">
        <f>наценкад5[[#This Row],[Цена м2 базовая]]*наценкад5[[#This Row],[Базовой K]]</f>
        <v>81112.5</v>
      </c>
      <c r="O300" s="74"/>
      <c r="P300" s="74"/>
      <c r="Q300" s="74"/>
      <c r="R300" s="74"/>
      <c r="S300" s="74"/>
      <c r="T300" s="74"/>
      <c r="U300" s="74"/>
      <c r="V300" s="74">
        <f>коэффициенты!$G$11</f>
        <v>0.01</v>
      </c>
      <c r="W300" s="117">
        <f>коэффициенты!$G$22</f>
        <v>0.01</v>
      </c>
      <c r="X300" s="74"/>
      <c r="Y300" s="75"/>
      <c r="Z300" s="74"/>
      <c r="AA300" s="74">
        <f>коэффициенты!$G$14</f>
        <v>0.01</v>
      </c>
      <c r="AB300" s="74"/>
      <c r="AC300" s="74"/>
      <c r="AD300" s="74">
        <f>коэффициенты!$G$19</f>
        <v>0.01</v>
      </c>
      <c r="AE300" s="74"/>
      <c r="AF300" s="74">
        <f>коэффициенты!$G$21</f>
        <v>0.01</v>
      </c>
      <c r="AG300" s="74">
        <f>коэффициенты!$A$24</f>
        <v>-5.0000000000000001E-3</v>
      </c>
      <c r="AH300" s="74"/>
      <c r="AI300" s="73">
        <f>SUM(наценкад5[[#This Row],[еврокухня]:[большая площадь]])*наценкад5[[#This Row],[Цена м2 с базовым K]]+наценкад5[[#This Row],[Цена м2 с базовым K]]</f>
        <v>84762.5625</v>
      </c>
      <c r="AJ300" s="72">
        <f>VLOOKUP(наценкад5[[#This Row],[№]],ППД5[],COLUMN(ППД5[[#This Row],[утв цена м2]]),0)</f>
        <v>145817.91</v>
      </c>
      <c r="AK300" s="3">
        <f>наценкад5[[#This Row],[утв цена м2]]*наценкад5[[#This Row],[Расчетная проектная площадь]]</f>
        <v>5075921.4471000005</v>
      </c>
      <c r="AL300" s="22" t="str">
        <f>VLOOKUP(наценкад5[[#This Row],[№]],ППД5[],COLUMN('Реестр ОН'!$DF$1),0)</f>
        <v>Свободно</v>
      </c>
    </row>
    <row r="301" spans="1:38" hidden="1" x14ac:dyDescent="0.25">
      <c r="A301" s="101">
        <v>299</v>
      </c>
      <c r="B301" s="2" t="str">
        <f>_xlfn.XLOOKUP(наценкад5[[#This Row],[№]],ППД5[№],ППД5[Секция],"-",0)</f>
        <v>В</v>
      </c>
      <c r="C301" s="2">
        <f>_xlfn.XLOOKUP(наценкад5[[#This Row],[№]],ППД5[№],ППД5[Этаж],"-",0)</f>
        <v>12</v>
      </c>
      <c r="D301" s="2">
        <f>_xlfn.XLOOKUP(наценкад5[[#This Row],[№]],ППД5[№],ППД5[№ на этаже],"-",0)</f>
        <v>1</v>
      </c>
      <c r="E301" s="2">
        <f>_xlfn.XLOOKUP(наценкад5[[#This Row],[№]],ППД5[№],ППД5[Тип кв],"-",0)</f>
        <v>2</v>
      </c>
      <c r="F301" s="72">
        <f>_xlfn.XLOOKUP(наценкад5[[#This Row],[№]],ППД5[№],ППД5[Кухня],"-",0)</f>
        <v>20.05</v>
      </c>
      <c r="G301" s="72">
        <f>_xlfn.XLOOKUP(наценкад5[[#This Row],[№]],ППД5[№],ППД5[Ванная],"-",0)</f>
        <v>3.54</v>
      </c>
      <c r="H301" s="72">
        <f>_xlfn.XLOOKUP(наценкад5[[#This Row],[№]],ППД5[№],ППД5[Гардеробная],"-",0)</f>
        <v>0</v>
      </c>
      <c r="I301" s="72">
        <f>_xlfn.XLOOKUP(наценкад5[[#This Row],[№]],ППД5[№],ППД5[Лоджия 2],"-",0)</f>
        <v>2.68</v>
      </c>
      <c r="J301" s="72">
        <f>_xlfn.XLOOKUP(наценкад5[[#This Row],[№]],ППД5[№],ППД5[С\У],"-",0)</f>
        <v>2.93</v>
      </c>
      <c r="K301" s="72">
        <f>_xlfn.XLOOKUP(наценкад5[[#This Row],[№]],ППД5[№],ППД5[Расчетная проектная площадь],"-",0)</f>
        <v>73.7</v>
      </c>
      <c r="L301" s="12">
        <f t="shared" si="4"/>
        <v>63000</v>
      </c>
      <c r="M301" s="102">
        <f>коэффициенты!$F$2</f>
        <v>1.2257</v>
      </c>
      <c r="N301" s="13">
        <f>наценкад5[[#This Row],[Цена м2 базовая]]*наценкад5[[#This Row],[Базовой K]]</f>
        <v>77219.100000000006</v>
      </c>
      <c r="O301" s="74">
        <f>коэффициенты!$F$4</f>
        <v>1.4999999999999999E-2</v>
      </c>
      <c r="P301" s="74"/>
      <c r="Q301" s="76"/>
      <c r="R301" s="76"/>
      <c r="S301" s="76">
        <f>коэффициенты!$F$9</f>
        <v>0</v>
      </c>
      <c r="T301" s="74">
        <f>коэффициенты!$F$7</f>
        <v>0.03</v>
      </c>
      <c r="U301" s="74"/>
      <c r="V301" s="74"/>
      <c r="W301" s="75">
        <f>коэффициенты!$F$12</f>
        <v>0.02</v>
      </c>
      <c r="X301" s="74">
        <f>коэффициенты!$F$13</f>
        <v>0.02</v>
      </c>
      <c r="Y301" s="75"/>
      <c r="Z301" s="74"/>
      <c r="AA301" s="74">
        <f>коэффициенты!$F$14</f>
        <v>0.02</v>
      </c>
      <c r="AB301" s="74"/>
      <c r="AC301" s="74"/>
      <c r="AD301" s="74">
        <f>коэффициенты!$F$19</f>
        <v>5.0000000000000001E-3</v>
      </c>
      <c r="AE301" s="74"/>
      <c r="AF301" s="74">
        <f>коэффициенты!$F$21</f>
        <v>0.01</v>
      </c>
      <c r="AG301" s="74"/>
      <c r="AH301" s="74">
        <f>'отрицательный кф'!$O$27</f>
        <v>-0.08</v>
      </c>
      <c r="AI301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301" s="72">
        <f>VLOOKUP(наценкад5[[#This Row],[№]],ППД5[],COLUMN(ППД5[[#This Row],[утв цена м2]]),0)</f>
        <v>86852.95</v>
      </c>
      <c r="AK301" s="3">
        <f>наценкад5[[#This Row],[утв цена м2]]*наценкад5[[#This Row],[Расчетная проектная площадь]]</f>
        <v>6401062.415</v>
      </c>
      <c r="AL301" s="22" t="str">
        <f>VLOOKUP(наценкад5[[#This Row],[№]],ППД5[],COLUMN('Реестр ОН'!$DF$1),0)</f>
        <v>Продажа</v>
      </c>
    </row>
    <row r="302" spans="1:38" hidden="1" x14ac:dyDescent="0.25">
      <c r="A302" s="101">
        <v>300</v>
      </c>
      <c r="B302" s="2" t="str">
        <f>_xlfn.XLOOKUP(наценкад5[[#This Row],[№]],ППД5[№],ППД5[Секция],"-",0)</f>
        <v>В</v>
      </c>
      <c r="C302" s="2">
        <f>_xlfn.XLOOKUP(наценкад5[[#This Row],[№]],ППД5[№],ППД5[Этаж],"-",0)</f>
        <v>12</v>
      </c>
      <c r="D302" s="2">
        <f>_xlfn.XLOOKUP(наценкад5[[#This Row],[№]],ППД5[№],ППД5[№ на этаже],"-",0)</f>
        <v>2</v>
      </c>
      <c r="E302" s="2">
        <f>_xlfn.XLOOKUP(наценкад5[[#This Row],[№]],ППД5[№],ППД5[Тип кв],"-",0)</f>
        <v>0</v>
      </c>
      <c r="F302" s="72">
        <f>_xlfn.XLOOKUP(наценкад5[[#This Row],[№]],ППД5[№],ППД5[Кухня],"-",0)</f>
        <v>5.17</v>
      </c>
      <c r="G302" s="72">
        <f>_xlfn.XLOOKUP(наценкад5[[#This Row],[№]],ППД5[№],ППД5[Ванная],"-",0)</f>
        <v>3.72</v>
      </c>
      <c r="H302" s="72">
        <f>_xlfn.XLOOKUP(наценкад5[[#This Row],[№]],ППД5[№],ППД5[Гардеробная],"-",0)</f>
        <v>0</v>
      </c>
      <c r="I302" s="72">
        <f>_xlfn.XLOOKUP(наценкад5[[#This Row],[№]],ППД5[№],ППД5[Лоджия 2],"-",0)</f>
        <v>0</v>
      </c>
      <c r="J302" s="72">
        <f>_xlfn.XLOOKUP(наценкад5[[#This Row],[№]],ППД5[№],ППД5[С\У],"-",0)</f>
        <v>0</v>
      </c>
      <c r="K302" s="72">
        <f>_xlfn.XLOOKUP(наценкад5[[#This Row],[№]],ППД5[№],ППД5[Расчетная проектная площадь],"-",0)</f>
        <v>24.53</v>
      </c>
      <c r="L302" s="12">
        <f t="shared" si="4"/>
        <v>63000</v>
      </c>
      <c r="M302" s="116">
        <f>коэффициенты!$H$2</f>
        <v>1.3905000000000001</v>
      </c>
      <c r="N302" s="13">
        <f>наценкад5[[#This Row],[Цена м2 базовая]]*наценкад5[[#This Row],[Базовой K]]</f>
        <v>87601.5</v>
      </c>
      <c r="O302" s="74"/>
      <c r="P302" s="74"/>
      <c r="Q302" s="74"/>
      <c r="R302" s="74"/>
      <c r="S302" s="74"/>
      <c r="T302" s="74"/>
      <c r="U302" s="74"/>
      <c r="V302" s="74">
        <f>коэффициенты!$H$11</f>
        <v>0.01</v>
      </c>
      <c r="W302" s="75">
        <f>коэффициенты!$H$12</f>
        <v>0.02</v>
      </c>
      <c r="X302" s="74">
        <f>коэффициенты!$H$13</f>
        <v>0.01</v>
      </c>
      <c r="Y302" s="75"/>
      <c r="Z302" s="74"/>
      <c r="AA302" s="74"/>
      <c r="AB302" s="74"/>
      <c r="AC302" s="74"/>
      <c r="AD302" s="74">
        <f>коэффициенты!$H$19</f>
        <v>0.01</v>
      </c>
      <c r="AE302" s="74"/>
      <c r="AF302" s="74">
        <f>коэффициенты!$H$21</f>
        <v>0.01</v>
      </c>
      <c r="AG302" s="74"/>
      <c r="AH302" s="74"/>
      <c r="AI302" s="73">
        <f>SUM(наценкад5[[#This Row],[еврокухня]:[большая площадь]])*наценкад5[[#This Row],[Цена м2 с базовым K]]+наценкад5[[#This Row],[Цена м2 с базовым K]]</f>
        <v>92857.59</v>
      </c>
      <c r="AJ302" s="72">
        <f>VLOOKUP(наценкад5[[#This Row],[№]],ППД5[],COLUMN(ППД5[[#This Row],[утв цена м2]]),0)</f>
        <v>92857.59</v>
      </c>
      <c r="AK302" s="3">
        <f>наценкад5[[#This Row],[утв цена м2]]*наценкад5[[#This Row],[Расчетная проектная площадь]]</f>
        <v>2277796.6827000002</v>
      </c>
      <c r="AL302" s="22" t="str">
        <f>VLOOKUP(наценкад5[[#This Row],[№]],ППД5[],COLUMN('Реестр ОН'!$DF$1),0)</f>
        <v>Продажа</v>
      </c>
    </row>
    <row r="303" spans="1:38" hidden="1" x14ac:dyDescent="0.25">
      <c r="A303" s="101">
        <v>301</v>
      </c>
      <c r="B303" s="2" t="str">
        <f>_xlfn.XLOOKUP(наценкад5[[#This Row],[№]],ППД5[№],ППД5[Секция],"-",0)</f>
        <v>В</v>
      </c>
      <c r="C303" s="2">
        <f>_xlfn.XLOOKUP(наценкад5[[#This Row],[№]],ППД5[№],ППД5[Этаж],"-",0)</f>
        <v>12</v>
      </c>
      <c r="D303" s="2">
        <f>_xlfn.XLOOKUP(наценкад5[[#This Row],[№]],ППД5[№],ППД5[№ на этаже],"-",0)</f>
        <v>3</v>
      </c>
      <c r="E303" s="2">
        <f>_xlfn.XLOOKUP(наценкад5[[#This Row],[№]],ППД5[№],ППД5[Тип кв],"-",0)</f>
        <v>2</v>
      </c>
      <c r="F303" s="72">
        <f>_xlfn.XLOOKUP(наценкад5[[#This Row],[№]],ППД5[№],ППД5[Кухня],"-",0)</f>
        <v>18.71</v>
      </c>
      <c r="G303" s="72">
        <f>_xlfn.XLOOKUP(наценкад5[[#This Row],[№]],ППД5[№],ППД5[Ванная],"-",0)</f>
        <v>3.49</v>
      </c>
      <c r="H303" s="72">
        <f>_xlfn.XLOOKUP(наценкад5[[#This Row],[№]],ППД5[№],ППД5[Гардеробная],"-",0)</f>
        <v>0</v>
      </c>
      <c r="I303" s="72">
        <f>_xlfn.XLOOKUP(наценкад5[[#This Row],[№]],ППД5[№],ППД5[Лоджия 2],"-",0)</f>
        <v>0</v>
      </c>
      <c r="J303" s="72">
        <f>_xlfn.XLOOKUP(наценкад5[[#This Row],[№]],ППД5[№],ППД5[С\У],"-",0)</f>
        <v>2.11</v>
      </c>
      <c r="K303" s="72">
        <f>_xlfn.XLOOKUP(наценкад5[[#This Row],[№]],ППД5[№],ППД5[Расчетная проектная площадь],"-",0)</f>
        <v>56.58</v>
      </c>
      <c r="L303" s="12">
        <f t="shared" si="4"/>
        <v>63000</v>
      </c>
      <c r="M303" s="102">
        <f>коэффициенты!$F$2</f>
        <v>1.2257</v>
      </c>
      <c r="N303" s="13">
        <f>наценкад5[[#This Row],[Цена м2 базовая]]*наценкад5[[#This Row],[Базовой K]]</f>
        <v>77219.100000000006</v>
      </c>
      <c r="O303" s="74">
        <f>коэффициенты!$F$4</f>
        <v>1.4999999999999999E-2</v>
      </c>
      <c r="P303" s="74"/>
      <c r="Q303" s="76"/>
      <c r="R303" s="76">
        <f>коэффициенты!$F$10</f>
        <v>0</v>
      </c>
      <c r="S303" s="76">
        <f>коэффициенты!$F$9</f>
        <v>0</v>
      </c>
      <c r="T303" s="74"/>
      <c r="U303" s="74"/>
      <c r="V303" s="74"/>
      <c r="W303" s="75">
        <f>коэффициенты!$F$12</f>
        <v>0.02</v>
      </c>
      <c r="X303" s="74"/>
      <c r="Y303" s="75"/>
      <c r="Z303" s="74"/>
      <c r="AA303" s="74"/>
      <c r="AB303" s="74"/>
      <c r="AC303" s="74"/>
      <c r="AD303" s="74">
        <f>коэффициенты!$F$19</f>
        <v>5.0000000000000001E-3</v>
      </c>
      <c r="AE303" s="74"/>
      <c r="AF303" s="74">
        <f>коэффициенты!$F$21</f>
        <v>0.01</v>
      </c>
      <c r="AG303" s="74"/>
      <c r="AH303" s="74"/>
      <c r="AI303" s="73">
        <f>SUM(наценкад5[[#This Row],[еврокухня]:[большая площадь]])*наценкад5[[#This Row],[Цена м2 с базовым K]]+наценкад5[[#This Row],[Цена м2 с базовым K]]</f>
        <v>81080.055000000008</v>
      </c>
      <c r="AJ303" s="72">
        <f>VLOOKUP(наценкад5[[#This Row],[№]],ППД5[],COLUMN(ППД5[[#This Row],[утв цена м2]]),0)</f>
        <v>125622.53</v>
      </c>
      <c r="AK303" s="3">
        <f>наценкад5[[#This Row],[утв цена м2]]*наценкад5[[#This Row],[Расчетная проектная площадь]]</f>
        <v>7107722.7473999998</v>
      </c>
      <c r="AL303" s="22" t="str">
        <f>VLOOKUP(наценкад5[[#This Row],[№]],ППД5[],COLUMN('Реестр ОН'!$DF$1),0)</f>
        <v>Продажа</v>
      </c>
    </row>
    <row r="304" spans="1:38" hidden="1" x14ac:dyDescent="0.25">
      <c r="A304" s="101">
        <v>302</v>
      </c>
      <c r="B304" s="2" t="str">
        <f>_xlfn.XLOOKUP(наценкад5[[#This Row],[№]],ППД5[№],ППД5[Секция],"-",0)</f>
        <v>В</v>
      </c>
      <c r="C304" s="2">
        <f>_xlfn.XLOOKUP(наценкад5[[#This Row],[№]],ППД5[№],ППД5[Этаж],"-",0)</f>
        <v>12</v>
      </c>
      <c r="D304" s="2">
        <f>_xlfn.XLOOKUP(наценкад5[[#This Row],[№]],ППД5[№],ППД5[№ на этаже],"-",0)</f>
        <v>4</v>
      </c>
      <c r="E304" s="2">
        <f>_xlfn.XLOOKUP(наценкад5[[#This Row],[№]],ППД5[№],ППД5[Тип кв],"-",0)</f>
        <v>2</v>
      </c>
      <c r="F304" s="72">
        <f>_xlfn.XLOOKUP(наценкад5[[#This Row],[№]],ППД5[№],ППД5[Кухня],"-",0)</f>
        <v>15.44</v>
      </c>
      <c r="G304" s="72">
        <f>_xlfn.XLOOKUP(наценкад5[[#This Row],[№]],ППД5[№],ППД5[Ванная],"-",0)</f>
        <v>4.59</v>
      </c>
      <c r="H304" s="72">
        <f>_xlfn.XLOOKUP(наценкад5[[#This Row],[№]],ППД5[№],ППД5[Гардеробная],"-",0)</f>
        <v>0</v>
      </c>
      <c r="I304" s="72">
        <f>_xlfn.XLOOKUP(наценкад5[[#This Row],[№]],ППД5[№],ППД5[Лоджия 2],"-",0)</f>
        <v>0</v>
      </c>
      <c r="J304" s="72">
        <f>_xlfn.XLOOKUP(наценкад5[[#This Row],[№]],ППД5[№],ППД5[С\У],"-",0)</f>
        <v>2.21</v>
      </c>
      <c r="K304" s="72">
        <f>_xlfn.XLOOKUP(наценкад5[[#This Row],[№]],ППД5[№],ППД5[Расчетная проектная площадь],"-",0)</f>
        <v>60.24</v>
      </c>
      <c r="L304" s="12">
        <f t="shared" si="4"/>
        <v>63000</v>
      </c>
      <c r="M304" s="102">
        <f>коэффициенты!$F$2</f>
        <v>1.2257</v>
      </c>
      <c r="N304" s="13">
        <f>наценкад5[[#This Row],[Цена м2 базовая]]*наценкад5[[#This Row],[Базовой K]]</f>
        <v>77219.100000000006</v>
      </c>
      <c r="O304" s="74">
        <f>коэффициенты!$F$4</f>
        <v>1.4999999999999999E-2</v>
      </c>
      <c r="P304" s="74"/>
      <c r="Q304" s="76">
        <f>коэффициенты!$F$6</f>
        <v>0.02</v>
      </c>
      <c r="R304" s="76"/>
      <c r="S304" s="76">
        <f>коэффициенты!$F$9</f>
        <v>0</v>
      </c>
      <c r="T304" s="74"/>
      <c r="U304" s="74"/>
      <c r="V304" s="74">
        <f>коэффициенты!$F$11</f>
        <v>5.0000000000000001E-3</v>
      </c>
      <c r="W304" s="75">
        <f>коэффициенты!$F$12</f>
        <v>0.02</v>
      </c>
      <c r="X304" s="74"/>
      <c r="Y304" s="75"/>
      <c r="Z304" s="74"/>
      <c r="AA304" s="74"/>
      <c r="AB304" s="74"/>
      <c r="AC304" s="74"/>
      <c r="AD304" s="74">
        <f>коэффициенты!$F$19</f>
        <v>5.0000000000000001E-3</v>
      </c>
      <c r="AE304" s="74"/>
      <c r="AF304" s="74">
        <f>коэффициенты!$F$21</f>
        <v>0.01</v>
      </c>
      <c r="AG304" s="74"/>
      <c r="AH304" s="74"/>
      <c r="AI304" s="73">
        <f>SUM(наценкад5[[#This Row],[еврокухня]:[большая площадь]])*наценкад5[[#This Row],[Цена м2 с базовым K]]+наценкад5[[#This Row],[Цена м2 с базовым K]]</f>
        <v>83010.532500000001</v>
      </c>
      <c r="AJ304" s="72">
        <f>VLOOKUP(наценкад5[[#This Row],[№]],ППД5[],COLUMN(ППД5[[#This Row],[утв цена м2]]),0)</f>
        <v>99548.98</v>
      </c>
      <c r="AK304" s="3">
        <f>наценкад5[[#This Row],[утв цена м2]]*наценкад5[[#This Row],[Расчетная проектная площадь]]</f>
        <v>5996830.5552000003</v>
      </c>
      <c r="AL304" s="22" t="str">
        <f>VLOOKUP(наценкад5[[#This Row],[№]],ППД5[],COLUMN('Реестр ОН'!$DF$1),0)</f>
        <v>Продажа</v>
      </c>
    </row>
    <row r="305" spans="1:38" hidden="1" x14ac:dyDescent="0.25">
      <c r="A305" s="101">
        <v>303</v>
      </c>
      <c r="B305" s="2" t="str">
        <f>_xlfn.XLOOKUP(наценкад5[[#This Row],[№]],ППД5[№],ППД5[Секция],"-",0)</f>
        <v>В</v>
      </c>
      <c r="C305" s="2">
        <f>_xlfn.XLOOKUP(наценкад5[[#This Row],[№]],ППД5[№],ППД5[Этаж],"-",0)</f>
        <v>12</v>
      </c>
      <c r="D305" s="2">
        <f>_xlfn.XLOOKUP(наценкад5[[#This Row],[№]],ППД5[№],ППД5[№ на этаже],"-",0)</f>
        <v>5</v>
      </c>
      <c r="E305" s="2">
        <f>_xlfn.XLOOKUP(наценкад5[[#This Row],[№]],ППД5[№],ППД5[Тип кв],"-",0)</f>
        <v>1</v>
      </c>
      <c r="F305" s="72">
        <f>_xlfn.XLOOKUP(наценкад5[[#This Row],[№]],ППД5[№],ППД5[Кухня],"-",0)</f>
        <v>12.74</v>
      </c>
      <c r="G305" s="72">
        <f>_xlfn.XLOOKUP(наценкад5[[#This Row],[№]],ППД5[№],ППД5[Ванная],"-",0)</f>
        <v>4.0199999999999996</v>
      </c>
      <c r="H305" s="72">
        <f>_xlfn.XLOOKUP(наценкад5[[#This Row],[№]],ППД5[№],ППД5[Гардеробная],"-",0)</f>
        <v>0</v>
      </c>
      <c r="I305" s="72">
        <f>_xlfn.XLOOKUP(наценкад5[[#This Row],[№]],ППД5[№],ППД5[Лоджия 2],"-",0)</f>
        <v>0</v>
      </c>
      <c r="J305" s="72">
        <f>_xlfn.XLOOKUP(наценкад5[[#This Row],[№]],ППД5[№],ППД5[С\У],"-",0)</f>
        <v>0</v>
      </c>
      <c r="K305" s="72">
        <f>_xlfn.XLOOKUP(наценкад5[[#This Row],[№]],ППД5[№],ППД5[Расчетная проектная площадь],"-",0)</f>
        <v>37.81</v>
      </c>
      <c r="L305" s="12">
        <f t="shared" si="4"/>
        <v>63000</v>
      </c>
      <c r="M305" s="102">
        <f>коэффициенты!$G$2</f>
        <v>1.2875000000000001</v>
      </c>
      <c r="N305" s="13">
        <f>наценкад5[[#This Row],[Цена м2 базовая]]*наценкад5[[#This Row],[Базовой K]]</f>
        <v>81112.5</v>
      </c>
      <c r="O305" s="74"/>
      <c r="P305" s="76">
        <f>коэффициенты!$G$5</f>
        <v>0.01</v>
      </c>
      <c r="Q305" s="74">
        <f>коэффициенты!$G$6</f>
        <v>0.03</v>
      </c>
      <c r="R305" s="74"/>
      <c r="S305" s="74"/>
      <c r="T305" s="74"/>
      <c r="U305" s="74"/>
      <c r="V305" s="74">
        <f>коэффициенты!$G$11</f>
        <v>0.01</v>
      </c>
      <c r="W305" s="75">
        <f>коэффициенты!$G$12</f>
        <v>0.02</v>
      </c>
      <c r="X305" s="74">
        <f>коэффициенты!$G$13</f>
        <v>0.01</v>
      </c>
      <c r="Y305" s="75"/>
      <c r="Z305" s="74"/>
      <c r="AA305" s="74">
        <f>коэффициенты!$G$14</f>
        <v>0.01</v>
      </c>
      <c r="AB305" s="74"/>
      <c r="AC305" s="74"/>
      <c r="AD305" s="74">
        <f>коэффициенты!$G$19</f>
        <v>0.01</v>
      </c>
      <c r="AE305" s="74"/>
      <c r="AF305" s="74">
        <f>коэффициенты!$G$21</f>
        <v>0.01</v>
      </c>
      <c r="AG305" s="74"/>
      <c r="AH305" s="74"/>
      <c r="AI305" s="73">
        <f>SUM(наценкад5[[#This Row],[еврокухня]:[большая площадь]])*наценкад5[[#This Row],[Цена м2 с базовым K]]+наценкад5[[#This Row],[Цена м2 с базовым K]]</f>
        <v>90034.875</v>
      </c>
      <c r="AJ305" s="72">
        <f>VLOOKUP(наценкад5[[#This Row],[№]],ППД5[],COLUMN(ППД5[[#This Row],[утв цена м2]]),0)</f>
        <v>117188.4</v>
      </c>
      <c r="AK305" s="3">
        <f>наценкад5[[#This Row],[утв цена м2]]*наценкад5[[#This Row],[Расчетная проектная площадь]]</f>
        <v>4430893.4040000001</v>
      </c>
      <c r="AL305" s="22" t="str">
        <f>VLOOKUP(наценкад5[[#This Row],[№]],ППД5[],COLUMN('Реестр ОН'!$DF$1),0)</f>
        <v>Продажа</v>
      </c>
    </row>
    <row r="306" spans="1:38" hidden="1" x14ac:dyDescent="0.25">
      <c r="A306" s="101">
        <v>304</v>
      </c>
      <c r="B306" s="2" t="str">
        <f>_xlfn.XLOOKUP(наценкад5[[#This Row],[№]],ППД5[№],ППД5[Секция],"-",0)</f>
        <v>В</v>
      </c>
      <c r="C306" s="2">
        <f>_xlfn.XLOOKUP(наценкад5[[#This Row],[№]],ППД5[№],ППД5[Этаж],"-",0)</f>
        <v>12</v>
      </c>
      <c r="D306" s="2">
        <f>_xlfn.XLOOKUP(наценкад5[[#This Row],[№]],ППД5[№],ППД5[№ на этаже],"-",0)</f>
        <v>6</v>
      </c>
      <c r="E306" s="2">
        <f>_xlfn.XLOOKUP(наценкад5[[#This Row],[№]],ППД5[№],ППД5[Тип кв],"-",0)</f>
        <v>3</v>
      </c>
      <c r="F306" s="72">
        <f>_xlfn.XLOOKUP(наценкад5[[#This Row],[№]],ППД5[№],ППД5[Кухня],"-",0)</f>
        <v>13.15</v>
      </c>
      <c r="G306" s="72">
        <f>_xlfn.XLOOKUP(наценкад5[[#This Row],[№]],ППД5[№],ППД5[Ванная],"-",0)</f>
        <v>4.03</v>
      </c>
      <c r="H306" s="72">
        <f>_xlfn.XLOOKUP(наценкад5[[#This Row],[№]],ППД5[№],ППД5[Гардеробная],"-",0)</f>
        <v>0</v>
      </c>
      <c r="I306" s="72">
        <f>_xlfn.XLOOKUP(наценкад5[[#This Row],[№]],ППД5[№],ППД5[Лоджия 2],"-",0)</f>
        <v>2.68</v>
      </c>
      <c r="J306" s="72">
        <f>_xlfn.XLOOKUP(наценкад5[[#This Row],[№]],ППД5[№],ППД5[С\У],"-",0)</f>
        <v>1.76</v>
      </c>
      <c r="K306" s="72">
        <f>_xlfn.XLOOKUP(наценкад5[[#This Row],[№]],ППД5[№],ППД5[Расчетная проектная площадь],"-",0)</f>
        <v>80.97</v>
      </c>
      <c r="L306" s="12">
        <f t="shared" si="4"/>
        <v>63000</v>
      </c>
      <c r="M306" s="27">
        <f>коэффициенты!$E$2</f>
        <v>1.1330000000000002</v>
      </c>
      <c r="N306" s="13">
        <f>наценкад5[[#This Row],[Цена м2 базовая]]*наценкад5[[#This Row],[Базовой K]]</f>
        <v>71379.000000000015</v>
      </c>
      <c r="O306" s="74"/>
      <c r="P306" s="74">
        <f>коэффициенты!$E$5</f>
        <v>0</v>
      </c>
      <c r="Q306" s="74">
        <f>коэффициенты!$E$6</f>
        <v>0.01</v>
      </c>
      <c r="R306" s="74"/>
      <c r="S306" s="74">
        <f>коэффициенты!$E$9</f>
        <v>0</v>
      </c>
      <c r="T306" s="74">
        <f>коэффициенты!$E$7</f>
        <v>0</v>
      </c>
      <c r="U306" s="74"/>
      <c r="V306" s="74"/>
      <c r="W306" s="75">
        <f>коэффициенты!$E$12</f>
        <v>0.02</v>
      </c>
      <c r="X306" s="74"/>
      <c r="Y306" s="75"/>
      <c r="Z306" s="74"/>
      <c r="AA306" s="74">
        <f>коэффициенты!$E$14</f>
        <v>0</v>
      </c>
      <c r="AB306" s="74">
        <f>коэффициенты!$E$17</f>
        <v>0</v>
      </c>
      <c r="AC306" s="74"/>
      <c r="AD306" s="74"/>
      <c r="AE306" s="74"/>
      <c r="AF306" s="74">
        <f>коэффициенты!$E$21</f>
        <v>0.01</v>
      </c>
      <c r="AG306" s="74"/>
      <c r="AH306" s="74"/>
      <c r="AI306" s="73">
        <f>SUM(наценкад5[[#This Row],[еврокухня]:[большая площадь]])*наценкад5[[#This Row],[Цена м2 с базовым K]]+наценкад5[[#This Row],[Цена м2 с базовым K]]</f>
        <v>74234.160000000018</v>
      </c>
      <c r="AJ306" s="72">
        <f>VLOOKUP(наценкад5[[#This Row],[№]],ППД5[],COLUMN(ППД5[[#This Row],[утв цена м2]]),0)</f>
        <v>80284.240000000005</v>
      </c>
      <c r="AK306" s="3">
        <f>наценкад5[[#This Row],[утв цена м2]]*наценкад5[[#This Row],[Расчетная проектная площадь]]</f>
        <v>6500614.9128</v>
      </c>
      <c r="AL306" s="22" t="str">
        <f>VLOOKUP(наценкад5[[#This Row],[№]],ППД5[],COLUMN('Реестр ОН'!$DF$1),0)</f>
        <v>Продажа</v>
      </c>
    </row>
    <row r="307" spans="1:38" x14ac:dyDescent="0.25">
      <c r="A307" s="101">
        <v>305</v>
      </c>
      <c r="B307" s="2" t="str">
        <f>_xlfn.XLOOKUP(наценкад5[[#This Row],[№]],ППД5[№],ППД5[Секция],"-",0)</f>
        <v>В</v>
      </c>
      <c r="C307" s="2">
        <f>_xlfn.XLOOKUP(наценкад5[[#This Row],[№]],ППД5[№],ППД5[Этаж],"-",0)</f>
        <v>12</v>
      </c>
      <c r="D307" s="2">
        <f>_xlfn.XLOOKUP(наценкад5[[#This Row],[№]],ППД5[№],ППД5[№ на этаже],"-",0)</f>
        <v>7</v>
      </c>
      <c r="E307" s="2">
        <f>_xlfn.XLOOKUP(наценкад5[[#This Row],[№]],ППД5[№],ППД5[Тип кв],"-",0)</f>
        <v>1</v>
      </c>
      <c r="F307" s="72">
        <f>_xlfn.XLOOKUP(наценкад5[[#This Row],[№]],ППД5[№],ППД5[Кухня],"-",0)</f>
        <v>9.2799999999999994</v>
      </c>
      <c r="G307" s="72">
        <f>_xlfn.XLOOKUP(наценкад5[[#This Row],[№]],ППД5[№],ППД5[Ванная],"-",0)</f>
        <v>3.79</v>
      </c>
      <c r="H307" s="72">
        <f>_xlfn.XLOOKUP(наценкад5[[#This Row],[№]],ППД5[№],ППД5[Гардеробная],"-",0)</f>
        <v>0</v>
      </c>
      <c r="I307" s="72">
        <f>_xlfn.XLOOKUP(наценкад5[[#This Row],[№]],ППД5[№],ППД5[Лоджия 2],"-",0)</f>
        <v>0</v>
      </c>
      <c r="J307" s="72">
        <f>_xlfn.XLOOKUP(наценкад5[[#This Row],[№]],ППД5[№],ППД5[С\У],"-",0)</f>
        <v>0</v>
      </c>
      <c r="K307" s="72">
        <f>_xlfn.XLOOKUP(наценкад5[[#This Row],[№]],ППД5[№],ППД5[Расчетная проектная площадь],"-",0)</f>
        <v>34.81</v>
      </c>
      <c r="L307" s="12">
        <f t="shared" si="4"/>
        <v>63000</v>
      </c>
      <c r="M307" s="102">
        <f>коэффициенты!$G$2</f>
        <v>1.2875000000000001</v>
      </c>
      <c r="N307" s="13">
        <f>наценкад5[[#This Row],[Цена м2 базовая]]*наценкад5[[#This Row],[Базовой K]]</f>
        <v>81112.5</v>
      </c>
      <c r="O307" s="74"/>
      <c r="P307" s="74"/>
      <c r="Q307" s="74"/>
      <c r="R307" s="74"/>
      <c r="S307" s="74"/>
      <c r="T307" s="74"/>
      <c r="U307" s="74"/>
      <c r="V307" s="74">
        <f>коэффициенты!$G$11</f>
        <v>0.01</v>
      </c>
      <c r="W307" s="75">
        <f>коэффициенты!$G$12</f>
        <v>0.02</v>
      </c>
      <c r="X307" s="74"/>
      <c r="Y307" s="75"/>
      <c r="Z307" s="74"/>
      <c r="AA307" s="74">
        <f>коэффициенты!$G$14</f>
        <v>0.01</v>
      </c>
      <c r="AB307" s="74"/>
      <c r="AC307" s="74"/>
      <c r="AD307" s="74">
        <f>коэффициенты!$G$19</f>
        <v>0.01</v>
      </c>
      <c r="AE307" s="74"/>
      <c r="AF307" s="74">
        <f>коэффициенты!$G$21</f>
        <v>0.01</v>
      </c>
      <c r="AG307" s="74">
        <f>коэффициенты!$A$24</f>
        <v>-5.0000000000000001E-3</v>
      </c>
      <c r="AH307" s="74"/>
      <c r="AI307" s="73">
        <f>SUM(наценкад5[[#This Row],[еврокухня]:[большая площадь]])*наценкад5[[#This Row],[Цена м2 с базовым K]]+наценкад5[[#This Row],[Цена м2 с базовым K]]</f>
        <v>85573.6875</v>
      </c>
      <c r="AJ307" s="72">
        <f>VLOOKUP(наценкад5[[#This Row],[№]],ППД5[],COLUMN(ППД5[[#This Row],[утв цена м2]]),0)</f>
        <v>147212.97</v>
      </c>
      <c r="AK307" s="3">
        <f>наценкад5[[#This Row],[утв цена м2]]*наценкад5[[#This Row],[Расчетная проектная площадь]]</f>
        <v>5124483.4857000001</v>
      </c>
      <c r="AL307" s="22" t="str">
        <f>VLOOKUP(наценкад5[[#This Row],[№]],ППД5[],COLUMN('Реестр ОН'!$DF$1),0)</f>
        <v>Свободно</v>
      </c>
    </row>
    <row r="308" spans="1:38" hidden="1" x14ac:dyDescent="0.25">
      <c r="A308" s="101">
        <v>306</v>
      </c>
      <c r="B308" s="2" t="str">
        <f>_xlfn.XLOOKUP(наценкад5[[#This Row],[№]],ППД5[№],ППД5[Секция],"-",0)</f>
        <v>В</v>
      </c>
      <c r="C308" s="2">
        <f>_xlfn.XLOOKUP(наценкад5[[#This Row],[№]],ППД5[№],ППД5[Этаж],"-",0)</f>
        <v>13</v>
      </c>
      <c r="D308" s="2">
        <f>_xlfn.XLOOKUP(наценкад5[[#This Row],[№]],ППД5[№],ППД5[№ на этаже],"-",0)</f>
        <v>1</v>
      </c>
      <c r="E308" s="2">
        <f>_xlfn.XLOOKUP(наценкад5[[#This Row],[№]],ППД5[№],ППД5[Тип кв],"-",0)</f>
        <v>2</v>
      </c>
      <c r="F308" s="72">
        <f>_xlfn.XLOOKUP(наценкад5[[#This Row],[№]],ППД5[№],ППД5[Кухня],"-",0)</f>
        <v>20.05</v>
      </c>
      <c r="G308" s="72">
        <f>_xlfn.XLOOKUP(наценкад5[[#This Row],[№]],ППД5[№],ППД5[Ванная],"-",0)</f>
        <v>3.54</v>
      </c>
      <c r="H308" s="72">
        <f>_xlfn.XLOOKUP(наценкад5[[#This Row],[№]],ППД5[№],ППД5[Гардеробная],"-",0)</f>
        <v>0</v>
      </c>
      <c r="I308" s="72">
        <f>_xlfn.XLOOKUP(наценкад5[[#This Row],[№]],ППД5[№],ППД5[Лоджия 2],"-",0)</f>
        <v>2.68</v>
      </c>
      <c r="J308" s="72">
        <f>_xlfn.XLOOKUP(наценкад5[[#This Row],[№]],ППД5[№],ППД5[С\У],"-",0)</f>
        <v>2.93</v>
      </c>
      <c r="K308" s="72">
        <f>_xlfn.XLOOKUP(наценкад5[[#This Row],[№]],ППД5[№],ППД5[Расчетная проектная площадь],"-",0)</f>
        <v>73.7</v>
      </c>
      <c r="L308" s="12">
        <f t="shared" si="4"/>
        <v>63000</v>
      </c>
      <c r="M308" s="102">
        <f>коэффициенты!$F$2</f>
        <v>1.2257</v>
      </c>
      <c r="N308" s="13">
        <f>наценкад5[[#This Row],[Цена м2 базовая]]*наценкад5[[#This Row],[Базовой K]]</f>
        <v>77219.100000000006</v>
      </c>
      <c r="O308" s="74">
        <f>коэффициенты!$F$4</f>
        <v>1.4999999999999999E-2</v>
      </c>
      <c r="P308" s="74"/>
      <c r="Q308" s="76"/>
      <c r="R308" s="76"/>
      <c r="S308" s="76">
        <f>коэффициенты!$F$9</f>
        <v>0</v>
      </c>
      <c r="T308" s="74">
        <f>коэффициенты!$F$7</f>
        <v>0.03</v>
      </c>
      <c r="U308" s="74"/>
      <c r="V308" s="74"/>
      <c r="W308" s="75"/>
      <c r="X308" s="74">
        <f>коэффициенты!$F$13</f>
        <v>0.02</v>
      </c>
      <c r="Y308" s="75"/>
      <c r="Z308" s="74"/>
      <c r="AA308" s="74">
        <f>коэффициенты!$F$14</f>
        <v>0.02</v>
      </c>
      <c r="AB308" s="74"/>
      <c r="AC308" s="74"/>
      <c r="AD308" s="74">
        <f>коэффициенты!$F$19</f>
        <v>5.0000000000000001E-3</v>
      </c>
      <c r="AE308" s="74"/>
      <c r="AF308" s="74">
        <f>коэффициенты!$F$21</f>
        <v>0.01</v>
      </c>
      <c r="AG308" s="74"/>
      <c r="AH308" s="74">
        <f>'отрицательный кф'!$O$27</f>
        <v>-0.08</v>
      </c>
      <c r="AI308" s="73">
        <f>SUM(наценкад5[[#This Row],[еврокухня]:[большая площадь]])*наценкад5[[#This Row],[Цена м2 с базовым K]]+наценкад5[[#This Row],[Цена м2 с базовым K]]</f>
        <v>78763.482000000004</v>
      </c>
      <c r="AJ308" s="72">
        <f>VLOOKUP(наценкад5[[#This Row],[№]],ППД5[],COLUMN(ППД5[[#This Row],[утв цена м2]]),0)</f>
        <v>102012.24</v>
      </c>
      <c r="AK308" s="3">
        <f>наценкад5[[#This Row],[утв цена м2]]*наценкад5[[#This Row],[Расчетная проектная площадь]]</f>
        <v>7518302.0880000005</v>
      </c>
      <c r="AL308" s="22" t="str">
        <f>VLOOKUP(наценкад5[[#This Row],[№]],ППД5[],COLUMN('Реестр ОН'!$DF$1),0)</f>
        <v>Продажа</v>
      </c>
    </row>
    <row r="309" spans="1:38" hidden="1" x14ac:dyDescent="0.25">
      <c r="A309" s="101">
        <v>307</v>
      </c>
      <c r="B309" s="2" t="str">
        <f>_xlfn.XLOOKUP(наценкад5[[#This Row],[№]],ППД5[№],ППД5[Секция],"-",0)</f>
        <v>В</v>
      </c>
      <c r="C309" s="2">
        <f>_xlfn.XLOOKUP(наценкад5[[#This Row],[№]],ППД5[№],ППД5[Этаж],"-",0)</f>
        <v>13</v>
      </c>
      <c r="D309" s="2">
        <f>_xlfn.XLOOKUP(наценкад5[[#This Row],[№]],ППД5[№],ППД5[№ на этаже],"-",0)</f>
        <v>2</v>
      </c>
      <c r="E309" s="2">
        <f>_xlfn.XLOOKUP(наценкад5[[#This Row],[№]],ППД5[№],ППД5[Тип кв],"-",0)</f>
        <v>0</v>
      </c>
      <c r="F309" s="72">
        <f>_xlfn.XLOOKUP(наценкад5[[#This Row],[№]],ППД5[№],ППД5[Кухня],"-",0)</f>
        <v>5.17</v>
      </c>
      <c r="G309" s="72">
        <f>_xlfn.XLOOKUP(наценкад5[[#This Row],[№]],ППД5[№],ППД5[Ванная],"-",0)</f>
        <v>3.72</v>
      </c>
      <c r="H309" s="72">
        <f>_xlfn.XLOOKUP(наценкад5[[#This Row],[№]],ППД5[№],ППД5[Гардеробная],"-",0)</f>
        <v>0</v>
      </c>
      <c r="I309" s="72">
        <f>_xlfn.XLOOKUP(наценкад5[[#This Row],[№]],ППД5[№],ППД5[Лоджия 2],"-",0)</f>
        <v>0</v>
      </c>
      <c r="J309" s="72">
        <f>_xlfn.XLOOKUP(наценкад5[[#This Row],[№]],ППД5[№],ППД5[С\У],"-",0)</f>
        <v>0</v>
      </c>
      <c r="K309" s="72">
        <f>_xlfn.XLOOKUP(наценкад5[[#This Row],[№]],ППД5[№],ППД5[Расчетная проектная площадь],"-",0)</f>
        <v>24.53</v>
      </c>
      <c r="L309" s="12">
        <f t="shared" si="4"/>
        <v>63000</v>
      </c>
      <c r="M309" s="116">
        <f>коэффициенты!$H$2</f>
        <v>1.3905000000000001</v>
      </c>
      <c r="N309" s="13">
        <f>наценкад5[[#This Row],[Цена м2 базовая]]*наценкад5[[#This Row],[Базовой K]]</f>
        <v>87601.5</v>
      </c>
      <c r="O309" s="74"/>
      <c r="P309" s="74"/>
      <c r="Q309" s="74"/>
      <c r="R309" s="74"/>
      <c r="S309" s="74"/>
      <c r="T309" s="74"/>
      <c r="U309" s="74"/>
      <c r="V309" s="74">
        <f>коэффициенты!$H$11</f>
        <v>0.01</v>
      </c>
      <c r="W309" s="117">
        <f>коэффициенты!$H$22</f>
        <v>0.01</v>
      </c>
      <c r="X309" s="74">
        <f>коэффициенты!$H$13</f>
        <v>0.01</v>
      </c>
      <c r="Y309" s="75"/>
      <c r="Z309" s="74"/>
      <c r="AA309" s="74"/>
      <c r="AB309" s="74"/>
      <c r="AC309" s="74"/>
      <c r="AD309" s="74">
        <f>коэффициенты!$H$19</f>
        <v>0.01</v>
      </c>
      <c r="AE309" s="74"/>
      <c r="AF309" s="74">
        <f>коэффициенты!$H$21</f>
        <v>0.01</v>
      </c>
      <c r="AG309" s="74"/>
      <c r="AH309" s="74"/>
      <c r="AI309" s="73">
        <f>SUM(наценкад5[[#This Row],[еврокухня]:[большая площадь]])*наценкад5[[#This Row],[Цена м2 с базовым K]]+наценкад5[[#This Row],[Цена м2 с базовым K]]</f>
        <v>91981.574999999997</v>
      </c>
      <c r="AJ309" s="72">
        <f>VLOOKUP(наценкад5[[#This Row],[№]],ППД5[],COLUMN(ППД5[[#This Row],[утв цена м2]]),0)</f>
        <v>115782.53</v>
      </c>
      <c r="AK309" s="3">
        <f>наценкад5[[#This Row],[утв цена м2]]*наценкад5[[#This Row],[Расчетная проектная площадь]]</f>
        <v>2840145.4609000003</v>
      </c>
      <c r="AL309" s="22" t="str">
        <f>VLOOKUP(наценкад5[[#This Row],[№]],ППД5[],COLUMN('Реестр ОН'!$DF$1),0)</f>
        <v>Продажа</v>
      </c>
    </row>
    <row r="310" spans="1:38" hidden="1" x14ac:dyDescent="0.25">
      <c r="A310" s="101">
        <v>308</v>
      </c>
      <c r="B310" s="2" t="str">
        <f>_xlfn.XLOOKUP(наценкад5[[#This Row],[№]],ППД5[№],ППД5[Секция],"-",0)</f>
        <v>В</v>
      </c>
      <c r="C310" s="2">
        <f>_xlfn.XLOOKUP(наценкад5[[#This Row],[№]],ППД5[№],ППД5[Этаж],"-",0)</f>
        <v>13</v>
      </c>
      <c r="D310" s="2">
        <f>_xlfn.XLOOKUP(наценкад5[[#This Row],[№]],ППД5[№],ППД5[№ на этаже],"-",0)</f>
        <v>3</v>
      </c>
      <c r="E310" s="2">
        <f>_xlfn.XLOOKUP(наценкад5[[#This Row],[№]],ППД5[№],ППД5[Тип кв],"-",0)</f>
        <v>2</v>
      </c>
      <c r="F310" s="72">
        <f>_xlfn.XLOOKUP(наценкад5[[#This Row],[№]],ППД5[№],ППД5[Кухня],"-",0)</f>
        <v>18.71</v>
      </c>
      <c r="G310" s="72">
        <f>_xlfn.XLOOKUP(наценкад5[[#This Row],[№]],ППД5[№],ППД5[Ванная],"-",0)</f>
        <v>3.49</v>
      </c>
      <c r="H310" s="72">
        <f>_xlfn.XLOOKUP(наценкад5[[#This Row],[№]],ППД5[№],ППД5[Гардеробная],"-",0)</f>
        <v>0</v>
      </c>
      <c r="I310" s="72">
        <f>_xlfn.XLOOKUP(наценкад5[[#This Row],[№]],ППД5[№],ППД5[Лоджия 2],"-",0)</f>
        <v>0</v>
      </c>
      <c r="J310" s="72">
        <f>_xlfn.XLOOKUP(наценкад5[[#This Row],[№]],ППД5[№],ППД5[С\У],"-",0)</f>
        <v>2.11</v>
      </c>
      <c r="K310" s="72">
        <f>_xlfn.XLOOKUP(наценкад5[[#This Row],[№]],ППД5[№],ППД5[Расчетная проектная площадь],"-",0)</f>
        <v>56.58</v>
      </c>
      <c r="L310" s="12">
        <f t="shared" si="4"/>
        <v>63000</v>
      </c>
      <c r="M310" s="102">
        <f>коэффициенты!$F$2</f>
        <v>1.2257</v>
      </c>
      <c r="N310" s="13">
        <f>наценкад5[[#This Row],[Цена м2 базовая]]*наценкад5[[#This Row],[Базовой K]]</f>
        <v>77219.100000000006</v>
      </c>
      <c r="O310" s="74">
        <f>коэффициенты!$F$4</f>
        <v>1.4999999999999999E-2</v>
      </c>
      <c r="P310" s="74"/>
      <c r="Q310" s="76"/>
      <c r="R310" s="76">
        <f>коэффициенты!$F$10</f>
        <v>0</v>
      </c>
      <c r="S310" s="76">
        <f>коэффициенты!$F$9</f>
        <v>0</v>
      </c>
      <c r="T310" s="74"/>
      <c r="U310" s="74"/>
      <c r="V310" s="74"/>
      <c r="W310" s="117">
        <f>коэффициенты!$F$22</f>
        <v>0.01</v>
      </c>
      <c r="X310" s="74"/>
      <c r="Y310" s="75"/>
      <c r="Z310" s="74"/>
      <c r="AA310" s="74"/>
      <c r="AB310" s="74"/>
      <c r="AC310" s="74"/>
      <c r="AD310" s="74">
        <f>коэффициенты!$F$19</f>
        <v>5.0000000000000001E-3</v>
      </c>
      <c r="AE310" s="74"/>
      <c r="AF310" s="74">
        <f>коэффициенты!$F$21</f>
        <v>0.01</v>
      </c>
      <c r="AG310" s="74"/>
      <c r="AH310" s="74"/>
      <c r="AI310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310" s="72">
        <f>VLOOKUP(наценкад5[[#This Row],[№]],ППД5[],COLUMN(ППД5[[#This Row],[утв цена м2]]),0)</f>
        <v>84323.26</v>
      </c>
      <c r="AK310" s="3">
        <f>наценкад5[[#This Row],[утв цена м2]]*наценкад5[[#This Row],[Расчетная проектная площадь]]</f>
        <v>4771010.0507999994</v>
      </c>
      <c r="AL310" s="22" t="str">
        <f>VLOOKUP(наценкад5[[#This Row],[№]],ППД5[],COLUMN('Реестр ОН'!$DF$1),0)</f>
        <v>Продажа</v>
      </c>
    </row>
    <row r="311" spans="1:38" hidden="1" x14ac:dyDescent="0.25">
      <c r="A311" s="101">
        <v>309</v>
      </c>
      <c r="B311" s="2" t="str">
        <f>_xlfn.XLOOKUP(наценкад5[[#This Row],[№]],ППД5[№],ППД5[Секция],"-",0)</f>
        <v>В</v>
      </c>
      <c r="C311" s="2">
        <f>_xlfn.XLOOKUP(наценкад5[[#This Row],[№]],ППД5[№],ППД5[Этаж],"-",0)</f>
        <v>13</v>
      </c>
      <c r="D311" s="2">
        <f>_xlfn.XLOOKUP(наценкад5[[#This Row],[№]],ППД5[№],ППД5[№ на этаже],"-",0)</f>
        <v>4</v>
      </c>
      <c r="E311" s="2">
        <f>_xlfn.XLOOKUP(наценкад5[[#This Row],[№]],ППД5[№],ППД5[Тип кв],"-",0)</f>
        <v>2</v>
      </c>
      <c r="F311" s="72">
        <f>_xlfn.XLOOKUP(наценкад5[[#This Row],[№]],ППД5[№],ППД5[Кухня],"-",0)</f>
        <v>15.44</v>
      </c>
      <c r="G311" s="72">
        <f>_xlfn.XLOOKUP(наценкад5[[#This Row],[№]],ППД5[№],ППД5[Ванная],"-",0)</f>
        <v>4.59</v>
      </c>
      <c r="H311" s="72">
        <f>_xlfn.XLOOKUP(наценкад5[[#This Row],[№]],ППД5[№],ППД5[Гардеробная],"-",0)</f>
        <v>0</v>
      </c>
      <c r="I311" s="72">
        <f>_xlfn.XLOOKUP(наценкад5[[#This Row],[№]],ППД5[№],ППД5[Лоджия 2],"-",0)</f>
        <v>0</v>
      </c>
      <c r="J311" s="72">
        <f>_xlfn.XLOOKUP(наценкад5[[#This Row],[№]],ППД5[№],ППД5[С\У],"-",0)</f>
        <v>2.21</v>
      </c>
      <c r="K311" s="72">
        <f>_xlfn.XLOOKUP(наценкад5[[#This Row],[№]],ППД5[№],ППД5[Расчетная проектная площадь],"-",0)</f>
        <v>60.24</v>
      </c>
      <c r="L311" s="12">
        <f t="shared" si="4"/>
        <v>63000</v>
      </c>
      <c r="M311" s="102">
        <f>коэффициенты!$F$2</f>
        <v>1.2257</v>
      </c>
      <c r="N311" s="13">
        <f>наценкад5[[#This Row],[Цена м2 базовая]]*наценкад5[[#This Row],[Базовой K]]</f>
        <v>77219.100000000006</v>
      </c>
      <c r="O311" s="74">
        <f>коэффициенты!$F$4</f>
        <v>1.4999999999999999E-2</v>
      </c>
      <c r="P311" s="74"/>
      <c r="Q311" s="76">
        <f>коэффициенты!$F$6</f>
        <v>0.02</v>
      </c>
      <c r="R311" s="76"/>
      <c r="S311" s="76">
        <f>коэффициенты!$F$9</f>
        <v>0</v>
      </c>
      <c r="T311" s="74"/>
      <c r="U311" s="74"/>
      <c r="V311" s="74">
        <f>коэффициенты!$F$11</f>
        <v>5.0000000000000001E-3</v>
      </c>
      <c r="W311" s="117">
        <f>коэффициенты!$F$22</f>
        <v>0.01</v>
      </c>
      <c r="X311" s="74"/>
      <c r="Y311" s="75"/>
      <c r="Z311" s="74"/>
      <c r="AA311" s="74"/>
      <c r="AB311" s="74"/>
      <c r="AC311" s="74"/>
      <c r="AD311" s="74">
        <f>коэффициенты!$F$19</f>
        <v>5.0000000000000001E-3</v>
      </c>
      <c r="AE311" s="74"/>
      <c r="AF311" s="74">
        <f>коэффициенты!$F$21</f>
        <v>0.01</v>
      </c>
      <c r="AG311" s="74"/>
      <c r="AH311" s="74"/>
      <c r="AI311" s="73">
        <f>SUM(наценкад5[[#This Row],[еврокухня]:[большая площадь]])*наценкад5[[#This Row],[Цена м2 с базовым K]]+наценкад5[[#This Row],[Цена м2 с базовым K]]</f>
        <v>82238.34150000001</v>
      </c>
      <c r="AJ311" s="72">
        <f>VLOOKUP(наценкад5[[#This Row],[№]],ППД5[],COLUMN(ППД5[[#This Row],[утв цена м2]]),0)</f>
        <v>122890.78</v>
      </c>
      <c r="AK311" s="3">
        <f>наценкад5[[#This Row],[утв цена м2]]*наценкад5[[#This Row],[Расчетная проектная площадь]]</f>
        <v>7402940.5872</v>
      </c>
      <c r="AL311" s="22" t="str">
        <f>VLOOKUP(наценкад5[[#This Row],[№]],ППД5[],COLUMN('Реестр ОН'!$DF$1),0)</f>
        <v>Продажа</v>
      </c>
    </row>
    <row r="312" spans="1:38" hidden="1" x14ac:dyDescent="0.25">
      <c r="A312" s="101">
        <v>310</v>
      </c>
      <c r="B312" s="2" t="str">
        <f>_xlfn.XLOOKUP(наценкад5[[#This Row],[№]],ППД5[№],ППД5[Секция],"-",0)</f>
        <v>В</v>
      </c>
      <c r="C312" s="2">
        <f>_xlfn.XLOOKUP(наценкад5[[#This Row],[№]],ППД5[№],ППД5[Этаж],"-",0)</f>
        <v>13</v>
      </c>
      <c r="D312" s="2">
        <f>_xlfn.XLOOKUP(наценкад5[[#This Row],[№]],ППД5[№],ППД5[№ на этаже],"-",0)</f>
        <v>5</v>
      </c>
      <c r="E312" s="2">
        <f>_xlfn.XLOOKUP(наценкад5[[#This Row],[№]],ППД5[№],ППД5[Тип кв],"-",0)</f>
        <v>1</v>
      </c>
      <c r="F312" s="72">
        <f>_xlfn.XLOOKUP(наценкад5[[#This Row],[№]],ППД5[№],ППД5[Кухня],"-",0)</f>
        <v>12.74</v>
      </c>
      <c r="G312" s="72">
        <f>_xlfn.XLOOKUP(наценкад5[[#This Row],[№]],ППД5[№],ППД5[Ванная],"-",0)</f>
        <v>4.0199999999999996</v>
      </c>
      <c r="H312" s="72">
        <f>_xlfn.XLOOKUP(наценкад5[[#This Row],[№]],ППД5[№],ППД5[Гардеробная],"-",0)</f>
        <v>0</v>
      </c>
      <c r="I312" s="72">
        <f>_xlfn.XLOOKUP(наценкад5[[#This Row],[№]],ППД5[№],ППД5[Лоджия 2],"-",0)</f>
        <v>0</v>
      </c>
      <c r="J312" s="72">
        <f>_xlfn.XLOOKUP(наценкад5[[#This Row],[№]],ППД5[№],ППД5[С\У],"-",0)</f>
        <v>0</v>
      </c>
      <c r="K312" s="72">
        <f>_xlfn.XLOOKUP(наценкад5[[#This Row],[№]],ППД5[№],ППД5[Расчетная проектная площадь],"-",0)</f>
        <v>37.81</v>
      </c>
      <c r="L312" s="12">
        <f t="shared" si="4"/>
        <v>63000</v>
      </c>
      <c r="M312" s="102">
        <f>коэффициенты!$G$2</f>
        <v>1.2875000000000001</v>
      </c>
      <c r="N312" s="13">
        <f>наценкад5[[#This Row],[Цена м2 базовая]]*наценкад5[[#This Row],[Базовой K]]</f>
        <v>81112.5</v>
      </c>
      <c r="O312" s="74"/>
      <c r="P312" s="76">
        <f>коэффициенты!$G$5</f>
        <v>0.01</v>
      </c>
      <c r="Q312" s="74">
        <f>коэффициенты!$G$6</f>
        <v>0.03</v>
      </c>
      <c r="R312" s="74"/>
      <c r="S312" s="74"/>
      <c r="T312" s="74"/>
      <c r="U312" s="74"/>
      <c r="V312" s="74">
        <f>коэффициенты!$G$11</f>
        <v>0.01</v>
      </c>
      <c r="W312" s="117">
        <f>коэффициенты!$G$22</f>
        <v>0.01</v>
      </c>
      <c r="X312" s="74">
        <f>коэффициенты!$G$13</f>
        <v>0.01</v>
      </c>
      <c r="Y312" s="75"/>
      <c r="Z312" s="74"/>
      <c r="AA312" s="74">
        <f>коэффициенты!$G$14</f>
        <v>0.01</v>
      </c>
      <c r="AB312" s="74"/>
      <c r="AC312" s="74"/>
      <c r="AD312" s="74">
        <f>коэффициенты!$G$19</f>
        <v>0.01</v>
      </c>
      <c r="AE312" s="74"/>
      <c r="AF312" s="74">
        <f>коэффициенты!$G$21</f>
        <v>0.01</v>
      </c>
      <c r="AG312" s="74"/>
      <c r="AH312" s="74"/>
      <c r="AI312" s="73">
        <f>SUM(наценкад5[[#This Row],[еврокухня]:[большая площадь]])*наценкад5[[#This Row],[Цена м2 с базовым K]]+наценкад5[[#This Row],[Цена м2 с базовым K]]</f>
        <v>89223.75</v>
      </c>
      <c r="AJ312" s="72">
        <f>VLOOKUP(наценкад5[[#This Row],[№]],ППД5[],COLUMN(ППД5[[#This Row],[утв цена м2]]),0)</f>
        <v>138508</v>
      </c>
      <c r="AK312" s="3">
        <f>наценкад5[[#This Row],[утв цена м2]]*наценкад5[[#This Row],[Расчетная проектная площадь]]</f>
        <v>5236987.4800000004</v>
      </c>
      <c r="AL312" s="22" t="str">
        <f>VLOOKUP(наценкад5[[#This Row],[№]],ППД5[],COLUMN('Реестр ОН'!$DF$1),0)</f>
        <v>Свободно</v>
      </c>
    </row>
    <row r="313" spans="1:38" hidden="1" x14ac:dyDescent="0.25">
      <c r="A313" s="101">
        <v>311</v>
      </c>
      <c r="B313" s="2" t="str">
        <f>_xlfn.XLOOKUP(наценкад5[[#This Row],[№]],ППД5[№],ППД5[Секция],"-",0)</f>
        <v>В</v>
      </c>
      <c r="C313" s="2">
        <f>_xlfn.XLOOKUP(наценкад5[[#This Row],[№]],ППД5[№],ППД5[Этаж],"-",0)</f>
        <v>13</v>
      </c>
      <c r="D313" s="2">
        <f>_xlfn.XLOOKUP(наценкад5[[#This Row],[№]],ППД5[№],ППД5[№ на этаже],"-",0)</f>
        <v>6</v>
      </c>
      <c r="E313" s="2">
        <f>_xlfn.XLOOKUP(наценкад5[[#This Row],[№]],ППД5[№],ППД5[Тип кв],"-",0)</f>
        <v>3</v>
      </c>
      <c r="F313" s="72">
        <f>_xlfn.XLOOKUP(наценкад5[[#This Row],[№]],ППД5[№],ППД5[Кухня],"-",0)</f>
        <v>13.15</v>
      </c>
      <c r="G313" s="72">
        <f>_xlfn.XLOOKUP(наценкад5[[#This Row],[№]],ППД5[№],ППД5[Ванная],"-",0)</f>
        <v>4.03</v>
      </c>
      <c r="H313" s="72">
        <f>_xlfn.XLOOKUP(наценкад5[[#This Row],[№]],ППД5[№],ППД5[Гардеробная],"-",0)</f>
        <v>0</v>
      </c>
      <c r="I313" s="72">
        <f>_xlfn.XLOOKUP(наценкад5[[#This Row],[№]],ППД5[№],ППД5[Лоджия 2],"-",0)</f>
        <v>2.68</v>
      </c>
      <c r="J313" s="72">
        <f>_xlfn.XLOOKUP(наценкад5[[#This Row],[№]],ППД5[№],ППД5[С\У],"-",0)</f>
        <v>1.76</v>
      </c>
      <c r="K313" s="72">
        <f>_xlfn.XLOOKUP(наценкад5[[#This Row],[№]],ППД5[№],ППД5[Расчетная проектная площадь],"-",0)</f>
        <v>80.97</v>
      </c>
      <c r="L313" s="12">
        <f t="shared" si="4"/>
        <v>63000</v>
      </c>
      <c r="M313" s="27">
        <f>коэффициенты!$E$2</f>
        <v>1.1330000000000002</v>
      </c>
      <c r="N313" s="13">
        <f>наценкад5[[#This Row],[Цена м2 базовая]]*наценкад5[[#This Row],[Базовой K]]</f>
        <v>71379.000000000015</v>
      </c>
      <c r="O313" s="74"/>
      <c r="P313" s="74">
        <f>коэффициенты!$E$5</f>
        <v>0</v>
      </c>
      <c r="Q313" s="74">
        <f>коэффициенты!$E$6</f>
        <v>0.01</v>
      </c>
      <c r="R313" s="74"/>
      <c r="S313" s="74">
        <f>коэффициенты!$E$9</f>
        <v>0</v>
      </c>
      <c r="T313" s="74">
        <f>коэффициенты!$E$7</f>
        <v>0</v>
      </c>
      <c r="U313" s="74"/>
      <c r="V313" s="74"/>
      <c r="W313" s="117">
        <f>коэффициенты!$A$22</f>
        <v>0.01</v>
      </c>
      <c r="X313" s="74"/>
      <c r="Y313" s="75"/>
      <c r="Z313" s="74"/>
      <c r="AA313" s="74">
        <f>коэффициенты!$E$14</f>
        <v>0</v>
      </c>
      <c r="AB313" s="74">
        <f>коэффициенты!$E$17</f>
        <v>0</v>
      </c>
      <c r="AC313" s="74"/>
      <c r="AD313" s="74"/>
      <c r="AE313" s="74"/>
      <c r="AF313" s="74">
        <f>коэффициенты!$E$21</f>
        <v>0.01</v>
      </c>
      <c r="AG313" s="74"/>
      <c r="AH313" s="74"/>
      <c r="AI313" s="73">
        <f>SUM(наценкад5[[#This Row],[еврокухня]:[большая площадь]])*наценкад5[[#This Row],[Цена м2 с базовым K]]+наценкад5[[#This Row],[Цена м2 с базовым K]]</f>
        <v>73520.37000000001</v>
      </c>
      <c r="AJ313" s="72">
        <f>VLOOKUP(наценкад5[[#This Row],[№]],ППД5[],COLUMN(ППД5[[#This Row],[утв цена м2]]),0)</f>
        <v>88606.71</v>
      </c>
      <c r="AK313" s="3">
        <f>наценкад5[[#This Row],[утв цена м2]]*наценкад5[[#This Row],[Расчетная проектная площадь]]</f>
        <v>7174485.3087000009</v>
      </c>
      <c r="AL313" s="22" t="str">
        <f>VLOOKUP(наценкад5[[#This Row],[№]],ППД5[],COLUMN('Реестр ОН'!$DF$1),0)</f>
        <v>Продажа</v>
      </c>
    </row>
    <row r="314" spans="1:38" hidden="1" x14ac:dyDescent="0.25">
      <c r="A314" s="101">
        <v>312</v>
      </c>
      <c r="B314" s="2" t="str">
        <f>_xlfn.XLOOKUP(наценкад5[[#This Row],[№]],ППД5[№],ППД5[Секция],"-",0)</f>
        <v>В</v>
      </c>
      <c r="C314" s="2">
        <f>_xlfn.XLOOKUP(наценкад5[[#This Row],[№]],ППД5[№],ППД5[Этаж],"-",0)</f>
        <v>13</v>
      </c>
      <c r="D314" s="2">
        <f>_xlfn.XLOOKUP(наценкад5[[#This Row],[№]],ППД5[№],ППД5[№ на этаже],"-",0)</f>
        <v>7</v>
      </c>
      <c r="E314" s="2">
        <f>_xlfn.XLOOKUP(наценкад5[[#This Row],[№]],ППД5[№],ППД5[Тип кв],"-",0)</f>
        <v>1</v>
      </c>
      <c r="F314" s="72">
        <f>_xlfn.XLOOKUP(наценкад5[[#This Row],[№]],ППД5[№],ППД5[Кухня],"-",0)</f>
        <v>9.2799999999999994</v>
      </c>
      <c r="G314" s="72">
        <f>_xlfn.XLOOKUP(наценкад5[[#This Row],[№]],ППД5[№],ППД5[Ванная],"-",0)</f>
        <v>3.79</v>
      </c>
      <c r="H314" s="72">
        <f>_xlfn.XLOOKUP(наценкад5[[#This Row],[№]],ППД5[№],ППД5[Гардеробная],"-",0)</f>
        <v>0</v>
      </c>
      <c r="I314" s="72">
        <f>_xlfn.XLOOKUP(наценкад5[[#This Row],[№]],ППД5[№],ППД5[Лоджия 2],"-",0)</f>
        <v>0</v>
      </c>
      <c r="J314" s="72">
        <f>_xlfn.XLOOKUP(наценкад5[[#This Row],[№]],ППД5[№],ППД5[С\У],"-",0)</f>
        <v>0</v>
      </c>
      <c r="K314" s="72">
        <f>_xlfn.XLOOKUP(наценкад5[[#This Row],[№]],ППД5[№],ППД5[Расчетная проектная площадь],"-",0)</f>
        <v>34.81</v>
      </c>
      <c r="L314" s="12">
        <f t="shared" si="4"/>
        <v>63000</v>
      </c>
      <c r="M314" s="102">
        <f>коэффициенты!$G$2</f>
        <v>1.2875000000000001</v>
      </c>
      <c r="N314" s="13">
        <f>наценкад5[[#This Row],[Цена м2 базовая]]*наценкад5[[#This Row],[Базовой K]]</f>
        <v>81112.5</v>
      </c>
      <c r="O314" s="74"/>
      <c r="P314" s="74"/>
      <c r="Q314" s="74"/>
      <c r="R314" s="74"/>
      <c r="S314" s="74"/>
      <c r="T314" s="74"/>
      <c r="U314" s="74"/>
      <c r="V314" s="74">
        <f>коэффициенты!$G$11</f>
        <v>0.01</v>
      </c>
      <c r="W314" s="117">
        <f>коэффициенты!$G$22</f>
        <v>0.01</v>
      </c>
      <c r="X314" s="74"/>
      <c r="Y314" s="75"/>
      <c r="Z314" s="74"/>
      <c r="AA314" s="74">
        <f>коэффициенты!$G$14</f>
        <v>0.01</v>
      </c>
      <c r="AB314" s="74"/>
      <c r="AC314" s="74"/>
      <c r="AD314" s="74">
        <f>коэффициенты!$G$19</f>
        <v>0.01</v>
      </c>
      <c r="AE314" s="74"/>
      <c r="AF314" s="74">
        <f>коэффициенты!$G$21</f>
        <v>0.01</v>
      </c>
      <c r="AG314" s="74">
        <f>коэффициенты!$A$24</f>
        <v>-5.0000000000000001E-3</v>
      </c>
      <c r="AH314" s="74"/>
      <c r="AI314" s="73">
        <f>SUM(наценкад5[[#This Row],[еврокухня]:[большая площадь]])*наценкад5[[#This Row],[Цена м2 с базовым K]]+наценкад5[[#This Row],[Цена м2 с базовым K]]</f>
        <v>84762.5625</v>
      </c>
      <c r="AJ314" s="72">
        <f>VLOOKUP(наценкад5[[#This Row],[№]],ППД5[],COLUMN(ППД5[[#This Row],[утв цена м2]]),0)</f>
        <v>96254.25</v>
      </c>
      <c r="AK314" s="3">
        <f>наценкад5[[#This Row],[утв цена м2]]*наценкад5[[#This Row],[Расчетная проектная площадь]]</f>
        <v>3350610.4425000004</v>
      </c>
      <c r="AL314" s="22" t="str">
        <f>VLOOKUP(наценкад5[[#This Row],[№]],ППД5[],COLUMN('Реестр ОН'!$DF$1),0)</f>
        <v>Продажа</v>
      </c>
    </row>
    <row r="315" spans="1:38" hidden="1" x14ac:dyDescent="0.25">
      <c r="A315" s="101">
        <v>313</v>
      </c>
      <c r="B315" s="2" t="str">
        <f>_xlfn.XLOOKUP(наценкад5[[#This Row],[№]],ППД5[№],ППД5[Секция],"-",0)</f>
        <v>В</v>
      </c>
      <c r="C315" s="2">
        <f>_xlfn.XLOOKUP(наценкад5[[#This Row],[№]],ППД5[№],ППД5[Этаж],"-",0)</f>
        <v>14</v>
      </c>
      <c r="D315" s="2">
        <f>_xlfn.XLOOKUP(наценкад5[[#This Row],[№]],ППД5[№],ППД5[№ на этаже],"-",0)</f>
        <v>1</v>
      </c>
      <c r="E315" s="2">
        <f>_xlfn.XLOOKUP(наценкад5[[#This Row],[№]],ППД5[№],ППД5[Тип кв],"-",0)</f>
        <v>2</v>
      </c>
      <c r="F315" s="72">
        <f>_xlfn.XLOOKUP(наценкад5[[#This Row],[№]],ППД5[№],ППД5[Кухня],"-",0)</f>
        <v>20.05</v>
      </c>
      <c r="G315" s="72">
        <f>_xlfn.XLOOKUP(наценкад5[[#This Row],[№]],ППД5[№],ППД5[Ванная],"-",0)</f>
        <v>3.54</v>
      </c>
      <c r="H315" s="72">
        <f>_xlfn.XLOOKUP(наценкад5[[#This Row],[№]],ППД5[№],ППД5[Гардеробная],"-",0)</f>
        <v>0</v>
      </c>
      <c r="I315" s="72">
        <f>_xlfn.XLOOKUP(наценкад5[[#This Row],[№]],ППД5[№],ППД5[Лоджия 2],"-",0)</f>
        <v>2.68</v>
      </c>
      <c r="J315" s="72">
        <f>_xlfn.XLOOKUP(наценкад5[[#This Row],[№]],ППД5[№],ППД5[С\У],"-",0)</f>
        <v>2.93</v>
      </c>
      <c r="K315" s="72">
        <f>_xlfn.XLOOKUP(наценкад5[[#This Row],[№]],ППД5[№],ППД5[Расчетная проектная площадь],"-",0)</f>
        <v>73.7</v>
      </c>
      <c r="L315" s="12">
        <f t="shared" si="4"/>
        <v>63000</v>
      </c>
      <c r="M315" s="102">
        <f>коэффициенты!$F$2</f>
        <v>1.2257</v>
      </c>
      <c r="N315" s="13">
        <f>наценкад5[[#This Row],[Цена м2 базовая]]*наценкад5[[#This Row],[Базовой K]]</f>
        <v>77219.100000000006</v>
      </c>
      <c r="O315" s="74">
        <f>коэффициенты!$F$4</f>
        <v>1.4999999999999999E-2</v>
      </c>
      <c r="P315" s="74"/>
      <c r="Q315" s="76"/>
      <c r="R315" s="76"/>
      <c r="S315" s="76">
        <f>коэффициенты!$F$9</f>
        <v>0</v>
      </c>
      <c r="T315" s="74">
        <f>коэффициенты!$F$7</f>
        <v>0.03</v>
      </c>
      <c r="U315" s="74"/>
      <c r="V315" s="74"/>
      <c r="W315" s="75">
        <f>коэффициенты!$F$12</f>
        <v>0.02</v>
      </c>
      <c r="X315" s="74">
        <f>коэффициенты!$F$13</f>
        <v>0.02</v>
      </c>
      <c r="Y315" s="75"/>
      <c r="Z315" s="74"/>
      <c r="AA315" s="74">
        <f>коэффициенты!$F$14</f>
        <v>0.02</v>
      </c>
      <c r="AB315" s="74"/>
      <c r="AC315" s="74"/>
      <c r="AD315" s="74">
        <f>коэффициенты!$F$19</f>
        <v>5.0000000000000001E-3</v>
      </c>
      <c r="AE315" s="74"/>
      <c r="AF315" s="74">
        <f>коэффициенты!$F$21</f>
        <v>0.01</v>
      </c>
      <c r="AG315" s="74"/>
      <c r="AH315" s="74">
        <f>'отрицательный кф'!$O$27</f>
        <v>-0.08</v>
      </c>
      <c r="AI315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315" s="72">
        <f>VLOOKUP(наценкад5[[#This Row],[№]],ППД5[],COLUMN(ППД5[[#This Row],[утв цена м2]]),0)</f>
        <v>96307.85</v>
      </c>
      <c r="AK315" s="3">
        <f>наценкад5[[#This Row],[утв цена м2]]*наценкад5[[#This Row],[Расчетная проектная площадь]]</f>
        <v>7097888.5450000009</v>
      </c>
      <c r="AL315" s="22" t="str">
        <f>VLOOKUP(наценкад5[[#This Row],[№]],ППД5[],COLUMN('Реестр ОН'!$DF$1),0)</f>
        <v>Продажа</v>
      </c>
    </row>
    <row r="316" spans="1:38" hidden="1" x14ac:dyDescent="0.25">
      <c r="A316" s="101">
        <v>314</v>
      </c>
      <c r="B316" s="2" t="str">
        <f>_xlfn.XLOOKUP(наценкад5[[#This Row],[№]],ППД5[№],ППД5[Секция],"-",0)</f>
        <v>В</v>
      </c>
      <c r="C316" s="2">
        <f>_xlfn.XLOOKUP(наценкад5[[#This Row],[№]],ППД5[№],ППД5[Этаж],"-",0)</f>
        <v>14</v>
      </c>
      <c r="D316" s="2">
        <f>_xlfn.XLOOKUP(наценкад5[[#This Row],[№]],ППД5[№],ППД5[№ на этаже],"-",0)</f>
        <v>2</v>
      </c>
      <c r="E316" s="2">
        <f>_xlfn.XLOOKUP(наценкад5[[#This Row],[№]],ППД5[№],ППД5[Тип кв],"-",0)</f>
        <v>0</v>
      </c>
      <c r="F316" s="72">
        <f>_xlfn.XLOOKUP(наценкад5[[#This Row],[№]],ППД5[№],ППД5[Кухня],"-",0)</f>
        <v>5.17</v>
      </c>
      <c r="G316" s="72">
        <f>_xlfn.XLOOKUP(наценкад5[[#This Row],[№]],ППД5[№],ППД5[Ванная],"-",0)</f>
        <v>3.72</v>
      </c>
      <c r="H316" s="72">
        <f>_xlfn.XLOOKUP(наценкад5[[#This Row],[№]],ППД5[№],ППД5[Гардеробная],"-",0)</f>
        <v>0</v>
      </c>
      <c r="I316" s="72">
        <f>_xlfn.XLOOKUP(наценкад5[[#This Row],[№]],ППД5[№],ППД5[Лоджия 2],"-",0)</f>
        <v>0</v>
      </c>
      <c r="J316" s="72">
        <f>_xlfn.XLOOKUP(наценкад5[[#This Row],[№]],ППД5[№],ППД5[С\У],"-",0)</f>
        <v>0</v>
      </c>
      <c r="K316" s="72">
        <f>_xlfn.XLOOKUP(наценкад5[[#This Row],[№]],ППД5[№],ППД5[Расчетная проектная площадь],"-",0)</f>
        <v>24.53</v>
      </c>
      <c r="L316" s="12">
        <f t="shared" si="4"/>
        <v>63000</v>
      </c>
      <c r="M316" s="116">
        <f>коэффициенты!$H$2</f>
        <v>1.3905000000000001</v>
      </c>
      <c r="N316" s="13">
        <f>наценкад5[[#This Row],[Цена м2 базовая]]*наценкад5[[#This Row],[Базовой K]]</f>
        <v>87601.5</v>
      </c>
      <c r="O316" s="74"/>
      <c r="P316" s="74"/>
      <c r="Q316" s="74"/>
      <c r="R316" s="74"/>
      <c r="S316" s="74"/>
      <c r="T316" s="74"/>
      <c r="U316" s="74"/>
      <c r="V316" s="74">
        <f>коэффициенты!$H$11</f>
        <v>0.01</v>
      </c>
      <c r="W316" s="75">
        <f>коэффициенты!$H$12</f>
        <v>0.02</v>
      </c>
      <c r="X316" s="74">
        <f>коэффициенты!$H$13</f>
        <v>0.01</v>
      </c>
      <c r="Y316" s="75"/>
      <c r="Z316" s="74"/>
      <c r="AA316" s="74"/>
      <c r="AB316" s="74"/>
      <c r="AC316" s="74"/>
      <c r="AD316" s="74">
        <f>коэффициенты!$H$19</f>
        <v>0.01</v>
      </c>
      <c r="AE316" s="74"/>
      <c r="AF316" s="74">
        <f>коэффициенты!$H$21</f>
        <v>0.01</v>
      </c>
      <c r="AG316" s="74"/>
      <c r="AH316" s="74"/>
      <c r="AI316" s="73">
        <f>SUM(наценкад5[[#This Row],[еврокухня]:[большая площадь]])*наценкад5[[#This Row],[Цена м2 с базовым K]]+наценкад5[[#This Row],[Цена м2 с базовым K]]</f>
        <v>92857.59</v>
      </c>
      <c r="AJ316" s="72">
        <f>VLOOKUP(наценкад5[[#This Row],[№]],ППД5[],COLUMN(ППД5[[#This Row],[утв цена м2]]),0)</f>
        <v>154621.92000000001</v>
      </c>
      <c r="AK316" s="3">
        <f>наценкад5[[#This Row],[утв цена м2]]*наценкад5[[#This Row],[Расчетная проектная площадь]]</f>
        <v>3792875.6976000005</v>
      </c>
      <c r="AL316" s="22" t="str">
        <f>VLOOKUP(наценкад5[[#This Row],[№]],ППД5[],COLUMN('Реестр ОН'!$DF$1),0)</f>
        <v>Свободно</v>
      </c>
    </row>
    <row r="317" spans="1:38" hidden="1" x14ac:dyDescent="0.25">
      <c r="A317" s="101">
        <v>315</v>
      </c>
      <c r="B317" s="2" t="str">
        <f>_xlfn.XLOOKUP(наценкад5[[#This Row],[№]],ППД5[№],ППД5[Секция],"-",0)</f>
        <v>В</v>
      </c>
      <c r="C317" s="2">
        <f>_xlfn.XLOOKUP(наценкад5[[#This Row],[№]],ППД5[№],ППД5[Этаж],"-",0)</f>
        <v>14</v>
      </c>
      <c r="D317" s="2">
        <f>_xlfn.XLOOKUP(наценкад5[[#This Row],[№]],ППД5[№],ППД5[№ на этаже],"-",0)</f>
        <v>3</v>
      </c>
      <c r="E317" s="2">
        <f>_xlfn.XLOOKUP(наценкад5[[#This Row],[№]],ППД5[№],ППД5[Тип кв],"-",0)</f>
        <v>2</v>
      </c>
      <c r="F317" s="72">
        <f>_xlfn.XLOOKUP(наценкад5[[#This Row],[№]],ППД5[№],ППД5[Кухня],"-",0)</f>
        <v>18.71</v>
      </c>
      <c r="G317" s="72">
        <f>_xlfn.XLOOKUP(наценкад5[[#This Row],[№]],ППД5[№],ППД5[Ванная],"-",0)</f>
        <v>3.49</v>
      </c>
      <c r="H317" s="72">
        <f>_xlfn.XLOOKUP(наценкад5[[#This Row],[№]],ППД5[№],ППД5[Гардеробная],"-",0)</f>
        <v>0</v>
      </c>
      <c r="I317" s="72">
        <f>_xlfn.XLOOKUP(наценкад5[[#This Row],[№]],ППД5[№],ППД5[Лоджия 2],"-",0)</f>
        <v>0</v>
      </c>
      <c r="J317" s="72">
        <f>_xlfn.XLOOKUP(наценкад5[[#This Row],[№]],ППД5[№],ППД5[С\У],"-",0)</f>
        <v>2.11</v>
      </c>
      <c r="K317" s="72">
        <f>_xlfn.XLOOKUP(наценкад5[[#This Row],[№]],ППД5[№],ППД5[Расчетная проектная площадь],"-",0)</f>
        <v>56.58</v>
      </c>
      <c r="L317" s="12">
        <f t="shared" si="4"/>
        <v>63000</v>
      </c>
      <c r="M317" s="102">
        <f>коэффициенты!$F$2</f>
        <v>1.2257</v>
      </c>
      <c r="N317" s="13">
        <f>наценкад5[[#This Row],[Цена м2 базовая]]*наценкад5[[#This Row],[Базовой K]]</f>
        <v>77219.100000000006</v>
      </c>
      <c r="O317" s="74">
        <f>коэффициенты!$F$4</f>
        <v>1.4999999999999999E-2</v>
      </c>
      <c r="P317" s="74"/>
      <c r="Q317" s="76"/>
      <c r="R317" s="76">
        <f>коэффициенты!$F$10</f>
        <v>0</v>
      </c>
      <c r="S317" s="76">
        <f>коэффициенты!$F$9</f>
        <v>0</v>
      </c>
      <c r="T317" s="74"/>
      <c r="U317" s="74"/>
      <c r="V317" s="74"/>
      <c r="W317" s="75">
        <f>коэффициенты!$F$12</f>
        <v>0.02</v>
      </c>
      <c r="X317" s="74"/>
      <c r="Y317" s="75"/>
      <c r="Z317" s="74"/>
      <c r="AA317" s="74"/>
      <c r="AB317" s="74"/>
      <c r="AC317" s="74"/>
      <c r="AD317" s="74">
        <f>коэффициенты!$F$19</f>
        <v>5.0000000000000001E-3</v>
      </c>
      <c r="AE317" s="74"/>
      <c r="AF317" s="74">
        <f>коэффициенты!$F$21</f>
        <v>0.01</v>
      </c>
      <c r="AG317" s="74"/>
      <c r="AH317" s="74"/>
      <c r="AI317" s="73">
        <f>SUM(наценкад5[[#This Row],[еврокухня]:[большая площадь]])*наценкад5[[#This Row],[Цена м2 с базовым K]]+наценкад5[[#This Row],[Цена м2 с базовым K]]</f>
        <v>81080.055000000008</v>
      </c>
      <c r="AJ317" s="72">
        <f>VLOOKUP(наценкад5[[#This Row],[№]],ППД5[],COLUMN(ППД5[[#This Row],[утв цена м2]]),0)</f>
        <v>97869.14</v>
      </c>
      <c r="AK317" s="3">
        <f>наценкад5[[#This Row],[утв цена м2]]*наценкад5[[#This Row],[Расчетная проектная площадь]]</f>
        <v>5537435.9412000002</v>
      </c>
      <c r="AL317" s="22" t="str">
        <f>VLOOKUP(наценкад5[[#This Row],[№]],ППД5[],COLUMN('Реестр ОН'!$DF$1),0)</f>
        <v>Продажа</v>
      </c>
    </row>
    <row r="318" spans="1:38" hidden="1" x14ac:dyDescent="0.25">
      <c r="A318" s="101">
        <v>316</v>
      </c>
      <c r="B318" s="2" t="str">
        <f>_xlfn.XLOOKUP(наценкад5[[#This Row],[№]],ППД5[№],ППД5[Секция],"-",0)</f>
        <v>В</v>
      </c>
      <c r="C318" s="2">
        <f>_xlfn.XLOOKUP(наценкад5[[#This Row],[№]],ППД5[№],ППД5[Этаж],"-",0)</f>
        <v>14</v>
      </c>
      <c r="D318" s="2">
        <f>_xlfn.XLOOKUP(наценкад5[[#This Row],[№]],ППД5[№],ППД5[№ на этаже],"-",0)</f>
        <v>4</v>
      </c>
      <c r="E318" s="2">
        <f>_xlfn.XLOOKUP(наценкад5[[#This Row],[№]],ППД5[№],ППД5[Тип кв],"-",0)</f>
        <v>2</v>
      </c>
      <c r="F318" s="72">
        <f>_xlfn.XLOOKUP(наценкад5[[#This Row],[№]],ППД5[№],ППД5[Кухня],"-",0)</f>
        <v>15.44</v>
      </c>
      <c r="G318" s="72">
        <f>_xlfn.XLOOKUP(наценкад5[[#This Row],[№]],ППД5[№],ППД5[Ванная],"-",0)</f>
        <v>4.59</v>
      </c>
      <c r="H318" s="72">
        <f>_xlfn.XLOOKUP(наценкад5[[#This Row],[№]],ППД5[№],ППД5[Гардеробная],"-",0)</f>
        <v>0</v>
      </c>
      <c r="I318" s="72">
        <f>_xlfn.XLOOKUP(наценкад5[[#This Row],[№]],ППД5[№],ППД5[Лоджия 2],"-",0)</f>
        <v>0</v>
      </c>
      <c r="J318" s="72">
        <f>_xlfn.XLOOKUP(наценкад5[[#This Row],[№]],ППД5[№],ППД5[С\У],"-",0)</f>
        <v>2.21</v>
      </c>
      <c r="K318" s="72">
        <f>_xlfn.XLOOKUP(наценкад5[[#This Row],[№]],ППД5[№],ППД5[Расчетная проектная площадь],"-",0)</f>
        <v>60.24</v>
      </c>
      <c r="L318" s="12">
        <f t="shared" si="4"/>
        <v>63000</v>
      </c>
      <c r="M318" s="102">
        <f>коэффициенты!$F$2</f>
        <v>1.2257</v>
      </c>
      <c r="N318" s="13">
        <f>наценкад5[[#This Row],[Цена м2 базовая]]*наценкад5[[#This Row],[Базовой K]]</f>
        <v>77219.100000000006</v>
      </c>
      <c r="O318" s="74">
        <f>коэффициенты!$F$4</f>
        <v>1.4999999999999999E-2</v>
      </c>
      <c r="P318" s="74"/>
      <c r="Q318" s="76">
        <f>коэффициенты!$F$6</f>
        <v>0.02</v>
      </c>
      <c r="R318" s="76"/>
      <c r="S318" s="76">
        <f>коэффициенты!$F$9</f>
        <v>0</v>
      </c>
      <c r="T318" s="74"/>
      <c r="U318" s="74"/>
      <c r="V318" s="74">
        <f>коэффициенты!$F$11</f>
        <v>5.0000000000000001E-3</v>
      </c>
      <c r="W318" s="75">
        <f>коэффициенты!$F$12</f>
        <v>0.02</v>
      </c>
      <c r="X318" s="74"/>
      <c r="Y318" s="75"/>
      <c r="Z318" s="74"/>
      <c r="AA318" s="74"/>
      <c r="AB318" s="74"/>
      <c r="AC318" s="74"/>
      <c r="AD318" s="74">
        <f>коэффициенты!$F$19</f>
        <v>5.0000000000000001E-3</v>
      </c>
      <c r="AE318" s="74"/>
      <c r="AF318" s="74">
        <f>коэффициенты!$F$21</f>
        <v>0.01</v>
      </c>
      <c r="AG318" s="74"/>
      <c r="AH318" s="74"/>
      <c r="AI318" s="73">
        <f>SUM(наценкад5[[#This Row],[еврокухня]:[большая площадь]])*наценкад5[[#This Row],[Цена м2 с базовым K]]+наценкад5[[#This Row],[Цена м2 с базовым K]]</f>
        <v>83010.532500000001</v>
      </c>
      <c r="AJ318" s="72">
        <f>VLOOKUP(наценкад5[[#This Row],[№]],ППД5[],COLUMN(ППД5[[#This Row],[утв цена м2]]),0)</f>
        <v>99548.98</v>
      </c>
      <c r="AK318" s="3">
        <f>наценкад5[[#This Row],[утв цена м2]]*наценкад5[[#This Row],[Расчетная проектная площадь]]</f>
        <v>5996830.5552000003</v>
      </c>
      <c r="AL318" s="22" t="str">
        <f>VLOOKUP(наценкад5[[#This Row],[№]],ППД5[],COLUMN('Реестр ОН'!$DF$1),0)</f>
        <v>Продажа</v>
      </c>
    </row>
    <row r="319" spans="1:38" hidden="1" x14ac:dyDescent="0.25">
      <c r="A319" s="101">
        <v>317</v>
      </c>
      <c r="B319" s="2" t="str">
        <f>_xlfn.XLOOKUP(наценкад5[[#This Row],[№]],ППД5[№],ППД5[Секция],"-",0)</f>
        <v>В</v>
      </c>
      <c r="C319" s="2">
        <f>_xlfn.XLOOKUP(наценкад5[[#This Row],[№]],ППД5[№],ППД5[Этаж],"-",0)</f>
        <v>14</v>
      </c>
      <c r="D319" s="2">
        <f>_xlfn.XLOOKUP(наценкад5[[#This Row],[№]],ППД5[№],ППД5[№ на этаже],"-",0)</f>
        <v>5</v>
      </c>
      <c r="E319" s="2">
        <f>_xlfn.XLOOKUP(наценкад5[[#This Row],[№]],ППД5[№],ППД5[Тип кв],"-",0)</f>
        <v>1</v>
      </c>
      <c r="F319" s="72">
        <f>_xlfn.XLOOKUP(наценкад5[[#This Row],[№]],ППД5[№],ППД5[Кухня],"-",0)</f>
        <v>12.74</v>
      </c>
      <c r="G319" s="72">
        <f>_xlfn.XLOOKUP(наценкад5[[#This Row],[№]],ППД5[№],ППД5[Ванная],"-",0)</f>
        <v>4.0199999999999996</v>
      </c>
      <c r="H319" s="72">
        <f>_xlfn.XLOOKUP(наценкад5[[#This Row],[№]],ППД5[№],ППД5[Гардеробная],"-",0)</f>
        <v>0</v>
      </c>
      <c r="I319" s="72">
        <f>_xlfn.XLOOKUP(наценкад5[[#This Row],[№]],ППД5[№],ППД5[Лоджия 2],"-",0)</f>
        <v>0</v>
      </c>
      <c r="J319" s="72">
        <f>_xlfn.XLOOKUP(наценкад5[[#This Row],[№]],ППД5[№],ППД5[С\У],"-",0)</f>
        <v>0</v>
      </c>
      <c r="K319" s="72">
        <f>_xlfn.XLOOKUP(наценкад5[[#This Row],[№]],ППД5[№],ППД5[Расчетная проектная площадь],"-",0)</f>
        <v>37.81</v>
      </c>
      <c r="L319" s="12">
        <f t="shared" si="4"/>
        <v>63000</v>
      </c>
      <c r="M319" s="102">
        <f>коэффициенты!$G$2</f>
        <v>1.2875000000000001</v>
      </c>
      <c r="N319" s="13">
        <f>наценкад5[[#This Row],[Цена м2 базовая]]*наценкад5[[#This Row],[Базовой K]]</f>
        <v>81112.5</v>
      </c>
      <c r="O319" s="74"/>
      <c r="P319" s="76">
        <f>коэффициенты!$G$5</f>
        <v>0.01</v>
      </c>
      <c r="Q319" s="74">
        <f>коэффициенты!$G$6</f>
        <v>0.03</v>
      </c>
      <c r="R319" s="74"/>
      <c r="S319" s="74"/>
      <c r="T319" s="74"/>
      <c r="U319" s="74"/>
      <c r="V319" s="74">
        <f>коэффициенты!$G$11</f>
        <v>0.01</v>
      </c>
      <c r="W319" s="75">
        <f>коэффициенты!$G$12</f>
        <v>0.02</v>
      </c>
      <c r="X319" s="74">
        <f>коэффициенты!$G$13</f>
        <v>0.01</v>
      </c>
      <c r="Y319" s="75"/>
      <c r="Z319" s="74"/>
      <c r="AA319" s="74">
        <f>коэффициенты!$G$14</f>
        <v>0.01</v>
      </c>
      <c r="AB319" s="74"/>
      <c r="AC319" s="74"/>
      <c r="AD319" s="74">
        <f>коэффициенты!$G$19</f>
        <v>0.01</v>
      </c>
      <c r="AE319" s="74"/>
      <c r="AF319" s="74">
        <f>коэффициенты!$G$21</f>
        <v>0.01</v>
      </c>
      <c r="AG319" s="74"/>
      <c r="AH319" s="74"/>
      <c r="AI319" s="73">
        <f>SUM(наценкад5[[#This Row],[еврокухня]:[большая площадь]])*наценкад5[[#This Row],[Цена м2 с базовым K]]+наценкад5[[#This Row],[Цена м2 с базовым K]]</f>
        <v>90034.875</v>
      </c>
      <c r="AJ319" s="72">
        <f>VLOOKUP(наценкад5[[#This Row],[№]],ППД5[],COLUMN(ППД5[[#This Row],[утв цена м2]]),0)</f>
        <v>116028.12</v>
      </c>
      <c r="AK319" s="3">
        <f>наценкад5[[#This Row],[утв цена м2]]*наценкад5[[#This Row],[Расчетная проектная площадь]]</f>
        <v>4387023.2171999998</v>
      </c>
      <c r="AL319" s="22" t="str">
        <f>VLOOKUP(наценкад5[[#This Row],[№]],ППД5[],COLUMN('Реестр ОН'!$DF$1),0)</f>
        <v>Продажа</v>
      </c>
    </row>
    <row r="320" spans="1:38" hidden="1" x14ac:dyDescent="0.25">
      <c r="A320" s="101">
        <v>318</v>
      </c>
      <c r="B320" s="2" t="str">
        <f>_xlfn.XLOOKUP(наценкад5[[#This Row],[№]],ППД5[№],ППД5[Секция],"-",0)</f>
        <v>В</v>
      </c>
      <c r="C320" s="2">
        <f>_xlfn.XLOOKUP(наценкад5[[#This Row],[№]],ППД5[№],ППД5[Этаж],"-",0)</f>
        <v>14</v>
      </c>
      <c r="D320" s="2">
        <f>_xlfn.XLOOKUP(наценкад5[[#This Row],[№]],ППД5[№],ППД5[№ на этаже],"-",0)</f>
        <v>6</v>
      </c>
      <c r="E320" s="2">
        <f>_xlfn.XLOOKUP(наценкад5[[#This Row],[№]],ППД5[№],ППД5[Тип кв],"-",0)</f>
        <v>3</v>
      </c>
      <c r="F320" s="72">
        <f>_xlfn.XLOOKUP(наценкад5[[#This Row],[№]],ППД5[№],ППД5[Кухня],"-",0)</f>
        <v>13.15</v>
      </c>
      <c r="G320" s="72">
        <f>_xlfn.XLOOKUP(наценкад5[[#This Row],[№]],ППД5[№],ППД5[Ванная],"-",0)</f>
        <v>4.03</v>
      </c>
      <c r="H320" s="72">
        <f>_xlfn.XLOOKUP(наценкад5[[#This Row],[№]],ППД5[№],ППД5[Гардеробная],"-",0)</f>
        <v>0</v>
      </c>
      <c r="I320" s="72">
        <f>_xlfn.XLOOKUP(наценкад5[[#This Row],[№]],ППД5[№],ППД5[Лоджия 2],"-",0)</f>
        <v>2.68</v>
      </c>
      <c r="J320" s="72">
        <f>_xlfn.XLOOKUP(наценкад5[[#This Row],[№]],ППД5[№],ППД5[С\У],"-",0)</f>
        <v>1.76</v>
      </c>
      <c r="K320" s="72">
        <f>_xlfn.XLOOKUP(наценкад5[[#This Row],[№]],ППД5[№],ППД5[Расчетная проектная площадь],"-",0)</f>
        <v>80.97</v>
      </c>
      <c r="L320" s="12">
        <f t="shared" si="4"/>
        <v>63000</v>
      </c>
      <c r="M320" s="27">
        <f>коэффициенты!$E$2</f>
        <v>1.1330000000000002</v>
      </c>
      <c r="N320" s="13">
        <f>наценкад5[[#This Row],[Цена м2 базовая]]*наценкад5[[#This Row],[Базовой K]]</f>
        <v>71379.000000000015</v>
      </c>
      <c r="O320" s="74"/>
      <c r="P320" s="74">
        <f>коэффициенты!$E$5</f>
        <v>0</v>
      </c>
      <c r="Q320" s="74">
        <f>коэффициенты!$E$6</f>
        <v>0.01</v>
      </c>
      <c r="R320" s="74"/>
      <c r="S320" s="74">
        <f>коэффициенты!$E$9</f>
        <v>0</v>
      </c>
      <c r="T320" s="74">
        <f>коэффициенты!$E$7</f>
        <v>0</v>
      </c>
      <c r="U320" s="74"/>
      <c r="V320" s="74"/>
      <c r="W320" s="75">
        <f>коэффициенты!$E$12</f>
        <v>0.02</v>
      </c>
      <c r="X320" s="74"/>
      <c r="Y320" s="75"/>
      <c r="Z320" s="74"/>
      <c r="AA320" s="74">
        <f>коэффициенты!$E$14</f>
        <v>0</v>
      </c>
      <c r="AB320" s="74">
        <f>коэффициенты!$E$17</f>
        <v>0</v>
      </c>
      <c r="AC320" s="74"/>
      <c r="AD320" s="74"/>
      <c r="AE320" s="74"/>
      <c r="AF320" s="74">
        <f>коэффициенты!$E$21</f>
        <v>0.01</v>
      </c>
      <c r="AG320" s="74"/>
      <c r="AH320" s="74"/>
      <c r="AI320" s="73">
        <f>SUM(наценкад5[[#This Row],[еврокухня]:[большая площадь]])*наценкад5[[#This Row],[Цена м2 с базовым K]]+наценкад5[[#This Row],[Цена м2 с базовым K]]</f>
        <v>74234.160000000018</v>
      </c>
      <c r="AJ320" s="72">
        <f>VLOOKUP(наценкад5[[#This Row],[№]],ППД5[],COLUMN(ППД5[[#This Row],[утв цена м2]]),0)</f>
        <v>114902.21</v>
      </c>
      <c r="AK320" s="3">
        <f>наценкад5[[#This Row],[утв цена м2]]*наценкад5[[#This Row],[Расчетная проектная площадь]]</f>
        <v>9303631.9437000006</v>
      </c>
      <c r="AL320" s="22" t="str">
        <f>VLOOKUP(наценкад5[[#This Row],[№]],ППД5[],COLUMN('Реестр ОН'!$DF$1),0)</f>
        <v>Свободно</v>
      </c>
    </row>
    <row r="321" spans="1:38" hidden="1" x14ac:dyDescent="0.25">
      <c r="A321" s="101">
        <v>319</v>
      </c>
      <c r="B321" s="2" t="str">
        <f>_xlfn.XLOOKUP(наценкад5[[#This Row],[№]],ППД5[№],ППД5[Секция],"-",0)</f>
        <v>В</v>
      </c>
      <c r="C321" s="2">
        <f>_xlfn.XLOOKUP(наценкад5[[#This Row],[№]],ППД5[№],ППД5[Этаж],"-",0)</f>
        <v>14</v>
      </c>
      <c r="D321" s="2">
        <f>_xlfn.XLOOKUP(наценкад5[[#This Row],[№]],ППД5[№],ППД5[№ на этаже],"-",0)</f>
        <v>7</v>
      </c>
      <c r="E321" s="2">
        <f>_xlfn.XLOOKUP(наценкад5[[#This Row],[№]],ППД5[№],ППД5[Тип кв],"-",0)</f>
        <v>1</v>
      </c>
      <c r="F321" s="72">
        <f>_xlfn.XLOOKUP(наценкад5[[#This Row],[№]],ППД5[№],ППД5[Кухня],"-",0)</f>
        <v>9.2799999999999994</v>
      </c>
      <c r="G321" s="72">
        <f>_xlfn.XLOOKUP(наценкад5[[#This Row],[№]],ППД5[№],ППД5[Ванная],"-",0)</f>
        <v>3.79</v>
      </c>
      <c r="H321" s="72">
        <f>_xlfn.XLOOKUP(наценкад5[[#This Row],[№]],ППД5[№],ППД5[Гардеробная],"-",0)</f>
        <v>0</v>
      </c>
      <c r="I321" s="72">
        <f>_xlfn.XLOOKUP(наценкад5[[#This Row],[№]],ППД5[№],ППД5[Лоджия 2],"-",0)</f>
        <v>0</v>
      </c>
      <c r="J321" s="72">
        <f>_xlfn.XLOOKUP(наценкад5[[#This Row],[№]],ППД5[№],ППД5[С\У],"-",0)</f>
        <v>0</v>
      </c>
      <c r="K321" s="72">
        <f>_xlfn.XLOOKUP(наценкад5[[#This Row],[№]],ППД5[№],ППД5[Расчетная проектная площадь],"-",0)</f>
        <v>34.81</v>
      </c>
      <c r="L321" s="12">
        <f t="shared" si="4"/>
        <v>63000</v>
      </c>
      <c r="M321" s="102">
        <f>коэффициенты!$G$2</f>
        <v>1.2875000000000001</v>
      </c>
      <c r="N321" s="13">
        <f>наценкад5[[#This Row],[Цена м2 базовая]]*наценкад5[[#This Row],[Базовой K]]</f>
        <v>81112.5</v>
      </c>
      <c r="O321" s="74"/>
      <c r="P321" s="74"/>
      <c r="Q321" s="74"/>
      <c r="R321" s="74"/>
      <c r="S321" s="74"/>
      <c r="T321" s="74"/>
      <c r="U321" s="74"/>
      <c r="V321" s="74">
        <f>коэффициенты!$G$11</f>
        <v>0.01</v>
      </c>
      <c r="W321" s="75">
        <f>коэффициенты!$G$12</f>
        <v>0.02</v>
      </c>
      <c r="X321" s="74"/>
      <c r="Y321" s="75"/>
      <c r="Z321" s="74"/>
      <c r="AA321" s="74">
        <f>коэффициенты!$G$14</f>
        <v>0.01</v>
      </c>
      <c r="AB321" s="74"/>
      <c r="AC321" s="74"/>
      <c r="AD321" s="74">
        <f>коэффициенты!$G$19</f>
        <v>0.01</v>
      </c>
      <c r="AE321" s="74"/>
      <c r="AF321" s="74">
        <f>коэффициенты!$G$21</f>
        <v>0.01</v>
      </c>
      <c r="AG321" s="74">
        <f>коэффициенты!$A$24</f>
        <v>-5.0000000000000001E-3</v>
      </c>
      <c r="AH321" s="74"/>
      <c r="AI321" s="73">
        <f>SUM(наценкад5[[#This Row],[еврокухня]:[большая площадь]])*наценкад5[[#This Row],[Цена м2 с базовым K]]+наценкад5[[#This Row],[Цена м2 с базовым K]]</f>
        <v>85573.6875</v>
      </c>
      <c r="AJ321" s="72">
        <f>VLOOKUP(наценкад5[[#This Row],[№]],ППД5[],COLUMN(ППД5[[#This Row],[утв цена м2]]),0)</f>
        <v>121006.53</v>
      </c>
      <c r="AK321" s="3">
        <f>наценкад5[[#This Row],[утв цена м2]]*наценкад5[[#This Row],[Расчетная проектная площадь]]</f>
        <v>4212237.3092999998</v>
      </c>
      <c r="AL321" s="22" t="str">
        <f>VLOOKUP(наценкад5[[#This Row],[№]],ППД5[],COLUMN('Реестр ОН'!$DF$1),0)</f>
        <v>Продажа</v>
      </c>
    </row>
    <row r="322" spans="1:38" hidden="1" x14ac:dyDescent="0.25">
      <c r="A322" s="101">
        <v>320</v>
      </c>
      <c r="B322" s="2" t="str">
        <f>_xlfn.XLOOKUP(наценкад5[[#This Row],[№]],ППД5[№],ППД5[Секция],"-",0)</f>
        <v>В</v>
      </c>
      <c r="C322" s="2">
        <f>_xlfn.XLOOKUP(наценкад5[[#This Row],[№]],ППД5[№],ППД5[Этаж],"-",0)</f>
        <v>15</v>
      </c>
      <c r="D322" s="2">
        <f>_xlfn.XLOOKUP(наценкад5[[#This Row],[№]],ППД5[№],ППД5[№ на этаже],"-",0)</f>
        <v>1</v>
      </c>
      <c r="E322" s="2">
        <f>_xlfn.XLOOKUP(наценкад5[[#This Row],[№]],ППД5[№],ППД5[Тип кв],"-",0)</f>
        <v>2</v>
      </c>
      <c r="F322" s="72">
        <f>_xlfn.XLOOKUP(наценкад5[[#This Row],[№]],ППД5[№],ППД5[Кухня],"-",0)</f>
        <v>20.05</v>
      </c>
      <c r="G322" s="72">
        <f>_xlfn.XLOOKUP(наценкад5[[#This Row],[№]],ППД5[№],ППД5[Ванная],"-",0)</f>
        <v>3.54</v>
      </c>
      <c r="H322" s="72">
        <f>_xlfn.XLOOKUP(наценкад5[[#This Row],[№]],ППД5[№],ППД5[Гардеробная],"-",0)</f>
        <v>0</v>
      </c>
      <c r="I322" s="72">
        <f>_xlfn.XLOOKUP(наценкад5[[#This Row],[№]],ППД5[№],ППД5[Лоджия 2],"-",0)</f>
        <v>2.68</v>
      </c>
      <c r="J322" s="72">
        <f>_xlfn.XLOOKUP(наценкад5[[#This Row],[№]],ППД5[№],ППД5[С\У],"-",0)</f>
        <v>2.93</v>
      </c>
      <c r="K322" s="72">
        <f>_xlfn.XLOOKUP(наценкад5[[#This Row],[№]],ППД5[№],ППД5[Расчетная проектная площадь],"-",0)</f>
        <v>73.7</v>
      </c>
      <c r="L322" s="12">
        <f t="shared" si="4"/>
        <v>63000</v>
      </c>
      <c r="M322" s="102">
        <f>коэффициенты!$F$2</f>
        <v>1.2257</v>
      </c>
      <c r="N322" s="13">
        <f>наценкад5[[#This Row],[Цена м2 базовая]]*наценкад5[[#This Row],[Базовой K]]</f>
        <v>77219.100000000006</v>
      </c>
      <c r="O322" s="74">
        <f>коэффициенты!$F$4</f>
        <v>1.4999999999999999E-2</v>
      </c>
      <c r="P322" s="74"/>
      <c r="Q322" s="76"/>
      <c r="R322" s="76"/>
      <c r="S322" s="76">
        <f>коэффициенты!$F$9</f>
        <v>0</v>
      </c>
      <c r="T322" s="74">
        <f>коэффициенты!$F$7</f>
        <v>0.03</v>
      </c>
      <c r="U322" s="74"/>
      <c r="V322" s="74"/>
      <c r="W322" s="74"/>
      <c r="X322" s="74">
        <f>коэффициенты!$F$13</f>
        <v>0.02</v>
      </c>
      <c r="Y322" s="75"/>
      <c r="Z322" s="74"/>
      <c r="AA322" s="74">
        <f>коэффициенты!$F$14</f>
        <v>0.02</v>
      </c>
      <c r="AB322" s="74"/>
      <c r="AC322" s="74"/>
      <c r="AD322" s="74">
        <f>коэффициенты!$F$19</f>
        <v>5.0000000000000001E-3</v>
      </c>
      <c r="AE322" s="74"/>
      <c r="AF322" s="74">
        <f>коэффициенты!$F$21</f>
        <v>0.01</v>
      </c>
      <c r="AG322" s="74"/>
      <c r="AH322" s="74">
        <f>'отрицательный кф'!$O$27</f>
        <v>-0.08</v>
      </c>
      <c r="AI322" s="73">
        <f>SUM(наценкад5[[#This Row],[еврокухня]:[большая площадь]])*наценкад5[[#This Row],[Цена м2 с базовым K]]+наценкад5[[#This Row],[Цена м2 с базовым K]]</f>
        <v>78763.482000000004</v>
      </c>
      <c r="AJ322" s="72">
        <f>VLOOKUP(наценкад5[[#This Row],[№]],ППД5[],COLUMN(ППД5[[#This Row],[утв цена м2]]),0)</f>
        <v>115308.83</v>
      </c>
      <c r="AK322" s="3">
        <f>наценкад5[[#This Row],[утв цена м2]]*наценкад5[[#This Row],[Расчетная проектная площадь]]</f>
        <v>8498260.7709999997</v>
      </c>
      <c r="AL322" s="22" t="str">
        <f>VLOOKUP(наценкад5[[#This Row],[№]],ППД5[],COLUMN('Реестр ОН'!$DF$1),0)</f>
        <v>Свободно</v>
      </c>
    </row>
    <row r="323" spans="1:38" hidden="1" x14ac:dyDescent="0.25">
      <c r="A323" s="101">
        <v>321</v>
      </c>
      <c r="B323" s="2" t="str">
        <f>_xlfn.XLOOKUP(наценкад5[[#This Row],[№]],ППД5[№],ППД5[Секция],"-",0)</f>
        <v>В</v>
      </c>
      <c r="C323" s="2">
        <f>_xlfn.XLOOKUP(наценкад5[[#This Row],[№]],ППД5[№],ППД5[Этаж],"-",0)</f>
        <v>15</v>
      </c>
      <c r="D323" s="2">
        <f>_xlfn.XLOOKUP(наценкад5[[#This Row],[№]],ППД5[№],ППД5[№ на этаже],"-",0)</f>
        <v>2</v>
      </c>
      <c r="E323" s="2">
        <f>_xlfn.XLOOKUP(наценкад5[[#This Row],[№]],ППД5[№],ППД5[Тип кв],"-",0)</f>
        <v>0</v>
      </c>
      <c r="F323" s="72">
        <f>_xlfn.XLOOKUP(наценкад5[[#This Row],[№]],ППД5[№],ППД5[Кухня],"-",0)</f>
        <v>5.17</v>
      </c>
      <c r="G323" s="72">
        <f>_xlfn.XLOOKUP(наценкад5[[#This Row],[№]],ППД5[№],ППД5[Ванная],"-",0)</f>
        <v>3.72</v>
      </c>
      <c r="H323" s="72">
        <f>_xlfn.XLOOKUP(наценкад5[[#This Row],[№]],ППД5[№],ППД5[Гардеробная],"-",0)</f>
        <v>0</v>
      </c>
      <c r="I323" s="72">
        <f>_xlfn.XLOOKUP(наценкад5[[#This Row],[№]],ППД5[№],ППД5[Лоджия 2],"-",0)</f>
        <v>0</v>
      </c>
      <c r="J323" s="72">
        <f>_xlfn.XLOOKUP(наценкад5[[#This Row],[№]],ППД5[№],ППД5[С\У],"-",0)</f>
        <v>0</v>
      </c>
      <c r="K323" s="72">
        <f>_xlfn.XLOOKUP(наценкад5[[#This Row],[№]],ППД5[№],ППД5[Расчетная проектная площадь],"-",0)</f>
        <v>24.53</v>
      </c>
      <c r="L323" s="12">
        <f t="shared" ref="L323:L386" si="5">$L$1</f>
        <v>63000</v>
      </c>
      <c r="M323" s="116">
        <f>коэффициенты!$H$2</f>
        <v>1.3905000000000001</v>
      </c>
      <c r="N323" s="13">
        <f>наценкад5[[#This Row],[Цена м2 базовая]]*наценкад5[[#This Row],[Базовой K]]</f>
        <v>87601.5</v>
      </c>
      <c r="O323" s="74"/>
      <c r="P323" s="74"/>
      <c r="Q323" s="74"/>
      <c r="R323" s="74"/>
      <c r="S323" s="74"/>
      <c r="T323" s="74"/>
      <c r="U323" s="74"/>
      <c r="V323" s="74">
        <f>коэффициенты!$H$11</f>
        <v>0.01</v>
      </c>
      <c r="W323" s="117">
        <f>коэффициенты!$H$22</f>
        <v>0.01</v>
      </c>
      <c r="X323" s="74">
        <f>коэффициенты!$H$13</f>
        <v>0.01</v>
      </c>
      <c r="Y323" s="75"/>
      <c r="Z323" s="74"/>
      <c r="AA323" s="74"/>
      <c r="AB323" s="74"/>
      <c r="AC323" s="74"/>
      <c r="AD323" s="74">
        <f>коэффициенты!$H$19</f>
        <v>0.01</v>
      </c>
      <c r="AE323" s="74"/>
      <c r="AF323" s="74">
        <f>коэффициенты!$H$21</f>
        <v>0.01</v>
      </c>
      <c r="AG323" s="74"/>
      <c r="AH323" s="74"/>
      <c r="AI323" s="73">
        <f>SUM(наценкад5[[#This Row],[еврокухня]:[большая площадь]])*наценкад5[[#This Row],[Цена м2 с базовым K]]+наценкад5[[#This Row],[Цена м2 с базовым K]]</f>
        <v>91981.574999999997</v>
      </c>
      <c r="AJ323" s="72">
        <f>VLOOKUP(наценкад5[[#This Row],[№]],ППД5[],COLUMN(ППД5[[#This Row],[утв цена м2]]),0)</f>
        <v>130300</v>
      </c>
      <c r="AK323" s="3">
        <f>наценкад5[[#This Row],[утв цена м2]]*наценкад5[[#This Row],[Расчетная проектная площадь]]</f>
        <v>3196259</v>
      </c>
      <c r="AL323" s="22" t="str">
        <f>VLOOKUP(наценкад5[[#This Row],[№]],ППД5[],COLUMN('Реестр ОН'!$DF$1),0)</f>
        <v>Продажа</v>
      </c>
    </row>
    <row r="324" spans="1:38" hidden="1" x14ac:dyDescent="0.25">
      <c r="A324" s="101">
        <v>322</v>
      </c>
      <c r="B324" s="2" t="str">
        <f>_xlfn.XLOOKUP(наценкад5[[#This Row],[№]],ППД5[№],ППД5[Секция],"-",0)</f>
        <v>В</v>
      </c>
      <c r="C324" s="2">
        <f>_xlfn.XLOOKUP(наценкад5[[#This Row],[№]],ППД5[№],ППД5[Этаж],"-",0)</f>
        <v>15</v>
      </c>
      <c r="D324" s="2">
        <f>_xlfn.XLOOKUP(наценкад5[[#This Row],[№]],ППД5[№],ППД5[№ на этаже],"-",0)</f>
        <v>3</v>
      </c>
      <c r="E324" s="2">
        <f>_xlfn.XLOOKUP(наценкад5[[#This Row],[№]],ППД5[№],ППД5[Тип кв],"-",0)</f>
        <v>2</v>
      </c>
      <c r="F324" s="72">
        <f>_xlfn.XLOOKUP(наценкад5[[#This Row],[№]],ППД5[№],ППД5[Кухня],"-",0)</f>
        <v>18.71</v>
      </c>
      <c r="G324" s="72">
        <f>_xlfn.XLOOKUP(наценкад5[[#This Row],[№]],ППД5[№],ППД5[Ванная],"-",0)</f>
        <v>3.49</v>
      </c>
      <c r="H324" s="72">
        <f>_xlfn.XLOOKUP(наценкад5[[#This Row],[№]],ППД5[№],ППД5[Гардеробная],"-",0)</f>
        <v>0</v>
      </c>
      <c r="I324" s="72">
        <f>_xlfn.XLOOKUP(наценкад5[[#This Row],[№]],ППД5[№],ППД5[Лоджия 2],"-",0)</f>
        <v>0</v>
      </c>
      <c r="J324" s="72">
        <f>_xlfn.XLOOKUP(наценкад5[[#This Row],[№]],ППД5[№],ППД5[С\У],"-",0)</f>
        <v>2.11</v>
      </c>
      <c r="K324" s="72">
        <f>_xlfn.XLOOKUP(наценкад5[[#This Row],[№]],ППД5[№],ППД5[Расчетная проектная площадь],"-",0)</f>
        <v>56.58</v>
      </c>
      <c r="L324" s="12">
        <f t="shared" si="5"/>
        <v>63000</v>
      </c>
      <c r="M324" s="102">
        <f>коэффициенты!$F$2</f>
        <v>1.2257</v>
      </c>
      <c r="N324" s="13">
        <f>наценкад5[[#This Row],[Цена м2 базовая]]*наценкад5[[#This Row],[Базовой K]]</f>
        <v>77219.100000000006</v>
      </c>
      <c r="O324" s="74">
        <f>коэффициенты!$F$4</f>
        <v>1.4999999999999999E-2</v>
      </c>
      <c r="P324" s="74"/>
      <c r="Q324" s="76"/>
      <c r="R324" s="76">
        <f>коэффициенты!$F$10</f>
        <v>0</v>
      </c>
      <c r="S324" s="76">
        <f>коэффициенты!$F$9</f>
        <v>0</v>
      </c>
      <c r="T324" s="74"/>
      <c r="U324" s="74"/>
      <c r="V324" s="74"/>
      <c r="W324" s="117">
        <f>коэффициенты!$F$22</f>
        <v>0.01</v>
      </c>
      <c r="X324" s="74"/>
      <c r="Y324" s="75"/>
      <c r="Z324" s="74"/>
      <c r="AA324" s="74"/>
      <c r="AB324" s="74"/>
      <c r="AC324" s="74"/>
      <c r="AD324" s="74">
        <f>коэффициенты!$F$19</f>
        <v>5.0000000000000001E-3</v>
      </c>
      <c r="AE324" s="74"/>
      <c r="AF324" s="74">
        <f>коэффициенты!$F$21</f>
        <v>0.01</v>
      </c>
      <c r="AG324" s="74"/>
      <c r="AH324" s="74"/>
      <c r="AI324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324" s="72">
        <f>VLOOKUP(наценкад5[[#This Row],[№]],ППД5[],COLUMN(ППД5[[#This Row],[утв цена м2]]),0)</f>
        <v>95828.7</v>
      </c>
      <c r="AK324" s="3">
        <f>наценкад5[[#This Row],[утв цена м2]]*наценкад5[[#This Row],[Расчетная проектная площадь]]</f>
        <v>5421987.8459999999</v>
      </c>
      <c r="AL324" s="22" t="str">
        <f>VLOOKUP(наценкад5[[#This Row],[№]],ППД5[],COLUMN('Реестр ОН'!$DF$1),0)</f>
        <v>Продажа</v>
      </c>
    </row>
    <row r="325" spans="1:38" hidden="1" x14ac:dyDescent="0.25">
      <c r="A325" s="101">
        <v>323</v>
      </c>
      <c r="B325" s="2" t="str">
        <f>_xlfn.XLOOKUP(наценкад5[[#This Row],[№]],ППД5[№],ППД5[Секция],"-",0)</f>
        <v>В</v>
      </c>
      <c r="C325" s="2">
        <f>_xlfn.XLOOKUP(наценкад5[[#This Row],[№]],ППД5[№],ППД5[Этаж],"-",0)</f>
        <v>15</v>
      </c>
      <c r="D325" s="2">
        <f>_xlfn.XLOOKUP(наценкад5[[#This Row],[№]],ППД5[№],ППД5[№ на этаже],"-",0)</f>
        <v>4</v>
      </c>
      <c r="E325" s="2">
        <f>_xlfn.XLOOKUP(наценкад5[[#This Row],[№]],ППД5[№],ППД5[Тип кв],"-",0)</f>
        <v>2</v>
      </c>
      <c r="F325" s="72">
        <f>_xlfn.XLOOKUP(наценкад5[[#This Row],[№]],ППД5[№],ППД5[Кухня],"-",0)</f>
        <v>15.44</v>
      </c>
      <c r="G325" s="72">
        <f>_xlfn.XLOOKUP(наценкад5[[#This Row],[№]],ППД5[№],ППД5[Ванная],"-",0)</f>
        <v>4.59</v>
      </c>
      <c r="H325" s="72">
        <f>_xlfn.XLOOKUP(наценкад5[[#This Row],[№]],ППД5[№],ППД5[Гардеробная],"-",0)</f>
        <v>0</v>
      </c>
      <c r="I325" s="72">
        <f>_xlfn.XLOOKUP(наценкад5[[#This Row],[№]],ППД5[№],ППД5[Лоджия 2],"-",0)</f>
        <v>0</v>
      </c>
      <c r="J325" s="72">
        <f>_xlfn.XLOOKUP(наценкад5[[#This Row],[№]],ППД5[№],ППД5[С\У],"-",0)</f>
        <v>2.21</v>
      </c>
      <c r="K325" s="72">
        <f>_xlfn.XLOOKUP(наценкад5[[#This Row],[№]],ППД5[№],ППД5[Расчетная проектная площадь],"-",0)</f>
        <v>60.24</v>
      </c>
      <c r="L325" s="12">
        <f t="shared" si="5"/>
        <v>63000</v>
      </c>
      <c r="M325" s="102">
        <f>коэффициенты!$F$2</f>
        <v>1.2257</v>
      </c>
      <c r="N325" s="13">
        <f>наценкад5[[#This Row],[Цена м2 базовая]]*наценкад5[[#This Row],[Базовой K]]</f>
        <v>77219.100000000006</v>
      </c>
      <c r="O325" s="74">
        <f>коэффициенты!$F$4</f>
        <v>1.4999999999999999E-2</v>
      </c>
      <c r="P325" s="74"/>
      <c r="Q325" s="76">
        <f>коэффициенты!$F$6</f>
        <v>0.02</v>
      </c>
      <c r="R325" s="76"/>
      <c r="S325" s="76">
        <f>коэффициенты!$F$9</f>
        <v>0</v>
      </c>
      <c r="T325" s="74"/>
      <c r="U325" s="74"/>
      <c r="V325" s="74">
        <f>коэффициенты!$F$11</f>
        <v>5.0000000000000001E-3</v>
      </c>
      <c r="W325" s="117">
        <f>коэффициенты!$F$22</f>
        <v>0.01</v>
      </c>
      <c r="X325" s="74"/>
      <c r="Y325" s="75"/>
      <c r="Z325" s="74"/>
      <c r="AA325" s="74"/>
      <c r="AB325" s="74"/>
      <c r="AC325" s="74"/>
      <c r="AD325" s="74">
        <f>коэффициенты!$F$19</f>
        <v>5.0000000000000001E-3</v>
      </c>
      <c r="AE325" s="74"/>
      <c r="AF325" s="74">
        <f>коэффициенты!$F$21</f>
        <v>0.01</v>
      </c>
      <c r="AG325" s="74"/>
      <c r="AH325" s="74"/>
      <c r="AI325" s="73">
        <f>SUM(наценкад5[[#This Row],[еврокухня]:[большая площадь]])*наценкад5[[#This Row],[Цена м2 с базовым K]]+наценкад5[[#This Row],[Цена м2 с базовым K]]</f>
        <v>82238.34150000001</v>
      </c>
      <c r="AJ325" s="72">
        <f>VLOOKUP(наценкад5[[#This Row],[№]],ППД5[],COLUMN(ППД5[[#This Row],[утв цена м2]]),0)</f>
        <v>122890.78</v>
      </c>
      <c r="AK325" s="3">
        <f>наценкад5[[#This Row],[утв цена м2]]*наценкад5[[#This Row],[Расчетная проектная площадь]]</f>
        <v>7402940.5872</v>
      </c>
      <c r="AL325" s="22" t="str">
        <f>VLOOKUP(наценкад5[[#This Row],[№]],ППД5[],COLUMN('Реестр ОН'!$DF$1),0)</f>
        <v>Продажа</v>
      </c>
    </row>
    <row r="326" spans="1:38" hidden="1" x14ac:dyDescent="0.25">
      <c r="A326" s="101">
        <v>324</v>
      </c>
      <c r="B326" s="2" t="str">
        <f>_xlfn.XLOOKUP(наценкад5[[#This Row],[№]],ППД5[№],ППД5[Секция],"-",0)</f>
        <v>В</v>
      </c>
      <c r="C326" s="2">
        <f>_xlfn.XLOOKUP(наценкад5[[#This Row],[№]],ППД5[№],ППД5[Этаж],"-",0)</f>
        <v>15</v>
      </c>
      <c r="D326" s="2">
        <f>_xlfn.XLOOKUP(наценкад5[[#This Row],[№]],ППД5[№],ППД5[№ на этаже],"-",0)</f>
        <v>5</v>
      </c>
      <c r="E326" s="2">
        <f>_xlfn.XLOOKUP(наценкад5[[#This Row],[№]],ППД5[№],ППД5[Тип кв],"-",0)</f>
        <v>1</v>
      </c>
      <c r="F326" s="72">
        <f>_xlfn.XLOOKUP(наценкад5[[#This Row],[№]],ППД5[№],ППД5[Кухня],"-",0)</f>
        <v>12.74</v>
      </c>
      <c r="G326" s="72">
        <f>_xlfn.XLOOKUP(наценкад5[[#This Row],[№]],ППД5[№],ППД5[Ванная],"-",0)</f>
        <v>4.0199999999999996</v>
      </c>
      <c r="H326" s="72">
        <f>_xlfn.XLOOKUP(наценкад5[[#This Row],[№]],ППД5[№],ППД5[Гардеробная],"-",0)</f>
        <v>0</v>
      </c>
      <c r="I326" s="72">
        <f>_xlfn.XLOOKUP(наценкад5[[#This Row],[№]],ППД5[№],ППД5[Лоджия 2],"-",0)</f>
        <v>0</v>
      </c>
      <c r="J326" s="72">
        <f>_xlfn.XLOOKUP(наценкад5[[#This Row],[№]],ППД5[№],ППД5[С\У],"-",0)</f>
        <v>0</v>
      </c>
      <c r="K326" s="72">
        <f>_xlfn.XLOOKUP(наценкад5[[#This Row],[№]],ППД5[№],ППД5[Расчетная проектная площадь],"-",0)</f>
        <v>37.81</v>
      </c>
      <c r="L326" s="12">
        <f t="shared" si="5"/>
        <v>63000</v>
      </c>
      <c r="M326" s="102">
        <f>коэффициенты!$G$2</f>
        <v>1.2875000000000001</v>
      </c>
      <c r="N326" s="13">
        <f>наценкад5[[#This Row],[Цена м2 базовая]]*наценкад5[[#This Row],[Базовой K]]</f>
        <v>81112.5</v>
      </c>
      <c r="O326" s="74"/>
      <c r="P326" s="76">
        <f>коэффициенты!$G$5</f>
        <v>0.01</v>
      </c>
      <c r="Q326" s="74">
        <f>коэффициенты!$G$6</f>
        <v>0.03</v>
      </c>
      <c r="R326" s="74"/>
      <c r="S326" s="74"/>
      <c r="T326" s="74"/>
      <c r="U326" s="74"/>
      <c r="V326" s="74">
        <f>коэффициенты!$G$11</f>
        <v>0.01</v>
      </c>
      <c r="W326" s="117">
        <f>коэффициенты!$G$22</f>
        <v>0.01</v>
      </c>
      <c r="X326" s="74">
        <f>коэффициенты!$G$13</f>
        <v>0.01</v>
      </c>
      <c r="Y326" s="75"/>
      <c r="Z326" s="74"/>
      <c r="AA326" s="74">
        <f>коэффициенты!$G$14</f>
        <v>0.01</v>
      </c>
      <c r="AB326" s="74"/>
      <c r="AC326" s="74"/>
      <c r="AD326" s="74">
        <f>коэффициенты!$G$19</f>
        <v>0.01</v>
      </c>
      <c r="AE326" s="74"/>
      <c r="AF326" s="74">
        <f>коэффициенты!$G$21</f>
        <v>0.01</v>
      </c>
      <c r="AG326" s="74"/>
      <c r="AH326" s="74"/>
      <c r="AI326" s="73">
        <f>SUM(наценкад5[[#This Row],[еврокухня]:[большая площадь]])*наценкад5[[#This Row],[Цена м2 с базовым K]]+наценкад5[[#This Row],[Цена м2 с базовым K]]</f>
        <v>89223.75</v>
      </c>
      <c r="AJ326" s="72">
        <f>VLOOKUP(наценкад5[[#This Row],[№]],ППД5[],COLUMN(ППД5[[#This Row],[утв цена м2]]),0)</f>
        <v>116707.12</v>
      </c>
      <c r="AK326" s="3">
        <f>наценкад5[[#This Row],[утв цена м2]]*наценкад5[[#This Row],[Расчетная проектная площадь]]</f>
        <v>4412696.2072000001</v>
      </c>
      <c r="AL326" s="22" t="str">
        <f>VLOOKUP(наценкад5[[#This Row],[№]],ППД5[],COLUMN('Реестр ОН'!$DF$1),0)</f>
        <v>Продажа</v>
      </c>
    </row>
    <row r="327" spans="1:38" hidden="1" x14ac:dyDescent="0.25">
      <c r="A327" s="101">
        <v>325</v>
      </c>
      <c r="B327" s="2" t="str">
        <f>_xlfn.XLOOKUP(наценкад5[[#This Row],[№]],ППД5[№],ППД5[Секция],"-",0)</f>
        <v>В</v>
      </c>
      <c r="C327" s="2">
        <f>_xlfn.XLOOKUP(наценкад5[[#This Row],[№]],ППД5[№],ППД5[Этаж],"-",0)</f>
        <v>15</v>
      </c>
      <c r="D327" s="2">
        <f>_xlfn.XLOOKUP(наценкад5[[#This Row],[№]],ППД5[№],ППД5[№ на этаже],"-",0)</f>
        <v>6</v>
      </c>
      <c r="E327" s="2">
        <f>_xlfn.XLOOKUP(наценкад5[[#This Row],[№]],ППД5[№],ППД5[Тип кв],"-",0)</f>
        <v>3</v>
      </c>
      <c r="F327" s="72">
        <f>_xlfn.XLOOKUP(наценкад5[[#This Row],[№]],ППД5[№],ППД5[Кухня],"-",0)</f>
        <v>13.15</v>
      </c>
      <c r="G327" s="72">
        <f>_xlfn.XLOOKUP(наценкад5[[#This Row],[№]],ППД5[№],ППД5[Ванная],"-",0)</f>
        <v>4.03</v>
      </c>
      <c r="H327" s="72">
        <f>_xlfn.XLOOKUP(наценкад5[[#This Row],[№]],ППД5[№],ППД5[Гардеробная],"-",0)</f>
        <v>0</v>
      </c>
      <c r="I327" s="72">
        <f>_xlfn.XLOOKUP(наценкад5[[#This Row],[№]],ППД5[№],ППД5[Лоджия 2],"-",0)</f>
        <v>2.68</v>
      </c>
      <c r="J327" s="72">
        <f>_xlfn.XLOOKUP(наценкад5[[#This Row],[№]],ППД5[№],ППД5[С\У],"-",0)</f>
        <v>1.76</v>
      </c>
      <c r="K327" s="72">
        <f>_xlfn.XLOOKUP(наценкад5[[#This Row],[№]],ППД5[№],ППД5[Расчетная проектная площадь],"-",0)</f>
        <v>80.97</v>
      </c>
      <c r="L327" s="12">
        <f t="shared" si="5"/>
        <v>63000</v>
      </c>
      <c r="M327" s="27">
        <f>коэффициенты!$E$2</f>
        <v>1.1330000000000002</v>
      </c>
      <c r="N327" s="13">
        <f>наценкад5[[#This Row],[Цена м2 базовая]]*наценкад5[[#This Row],[Базовой K]]</f>
        <v>71379.000000000015</v>
      </c>
      <c r="O327" s="74"/>
      <c r="P327" s="74">
        <f>коэффициенты!$E$5</f>
        <v>0</v>
      </c>
      <c r="Q327" s="74">
        <f>коэффициенты!$E$6</f>
        <v>0.01</v>
      </c>
      <c r="R327" s="74"/>
      <c r="S327" s="74">
        <f>коэффициенты!$E$9</f>
        <v>0</v>
      </c>
      <c r="T327" s="74">
        <f>коэффициенты!$E$7</f>
        <v>0</v>
      </c>
      <c r="U327" s="74"/>
      <c r="V327" s="74"/>
      <c r="W327" s="117">
        <f>коэффициенты!$A$22</f>
        <v>0.01</v>
      </c>
      <c r="X327" s="74"/>
      <c r="Y327" s="75"/>
      <c r="Z327" s="74"/>
      <c r="AA327" s="74">
        <f>коэффициенты!$E$14</f>
        <v>0</v>
      </c>
      <c r="AB327" s="74">
        <f>коэффициенты!$E$17</f>
        <v>0</v>
      </c>
      <c r="AC327" s="74"/>
      <c r="AD327" s="74"/>
      <c r="AE327" s="74"/>
      <c r="AF327" s="74">
        <f>коэффициенты!$E$21</f>
        <v>0.01</v>
      </c>
      <c r="AG327" s="74"/>
      <c r="AH327" s="74"/>
      <c r="AI327" s="73">
        <f>SUM(наценкад5[[#This Row],[еврокухня]:[большая площадь]])*наценкад5[[#This Row],[Цена м2 с базовым K]]+наценкад5[[#This Row],[Цена м2 с базовым K]]</f>
        <v>73520.37000000001</v>
      </c>
      <c r="AJ327" s="72">
        <f>VLOOKUP(наценкад5[[#This Row],[№]],ППД5[],COLUMN(ППД5[[#This Row],[утв цена м2]]),0)</f>
        <v>87729.41</v>
      </c>
      <c r="AK327" s="3">
        <f>наценкад5[[#This Row],[утв цена м2]]*наценкад5[[#This Row],[Расчетная проектная площадь]]</f>
        <v>7103450.3277000003</v>
      </c>
      <c r="AL327" s="22" t="str">
        <f>VLOOKUP(наценкад5[[#This Row],[№]],ППД5[],COLUMN('Реестр ОН'!$DF$1),0)</f>
        <v>Продажа</v>
      </c>
    </row>
    <row r="328" spans="1:38" hidden="1" x14ac:dyDescent="0.25">
      <c r="A328" s="101">
        <v>326</v>
      </c>
      <c r="B328" s="2" t="str">
        <f>_xlfn.XLOOKUP(наценкад5[[#This Row],[№]],ППД5[№],ППД5[Секция],"-",0)</f>
        <v>В</v>
      </c>
      <c r="C328" s="2">
        <f>_xlfn.XLOOKUP(наценкад5[[#This Row],[№]],ППД5[№],ППД5[Этаж],"-",0)</f>
        <v>15</v>
      </c>
      <c r="D328" s="2">
        <f>_xlfn.XLOOKUP(наценкад5[[#This Row],[№]],ППД5[№],ППД5[№ на этаже],"-",0)</f>
        <v>7</v>
      </c>
      <c r="E328" s="2">
        <f>_xlfn.XLOOKUP(наценкад5[[#This Row],[№]],ППД5[№],ППД5[Тип кв],"-",0)</f>
        <v>1</v>
      </c>
      <c r="F328" s="72">
        <f>_xlfn.XLOOKUP(наценкад5[[#This Row],[№]],ППД5[№],ППД5[Кухня],"-",0)</f>
        <v>9.2799999999999994</v>
      </c>
      <c r="G328" s="72">
        <f>_xlfn.XLOOKUP(наценкад5[[#This Row],[№]],ППД5[№],ППД5[Ванная],"-",0)</f>
        <v>3.79</v>
      </c>
      <c r="H328" s="72">
        <f>_xlfn.XLOOKUP(наценкад5[[#This Row],[№]],ППД5[№],ППД5[Гардеробная],"-",0)</f>
        <v>0</v>
      </c>
      <c r="I328" s="72">
        <f>_xlfn.XLOOKUP(наценкад5[[#This Row],[№]],ППД5[№],ППД5[Лоджия 2],"-",0)</f>
        <v>0</v>
      </c>
      <c r="J328" s="72">
        <f>_xlfn.XLOOKUP(наценкад5[[#This Row],[№]],ППД5[№],ППД5[С\У],"-",0)</f>
        <v>0</v>
      </c>
      <c r="K328" s="72">
        <f>_xlfn.XLOOKUP(наценкад5[[#This Row],[№]],ППД5[№],ППД5[Расчетная проектная площадь],"-",0)</f>
        <v>34.81</v>
      </c>
      <c r="L328" s="12">
        <f t="shared" si="5"/>
        <v>63000</v>
      </c>
      <c r="M328" s="102">
        <f>коэффициенты!$G$2</f>
        <v>1.2875000000000001</v>
      </c>
      <c r="N328" s="13">
        <f>наценкад5[[#This Row],[Цена м2 базовая]]*наценкад5[[#This Row],[Базовой K]]</f>
        <v>81112.5</v>
      </c>
      <c r="O328" s="74"/>
      <c r="P328" s="74"/>
      <c r="Q328" s="74"/>
      <c r="R328" s="74"/>
      <c r="S328" s="74"/>
      <c r="T328" s="74"/>
      <c r="U328" s="74"/>
      <c r="V328" s="74">
        <f>коэффициенты!$G$11</f>
        <v>0.01</v>
      </c>
      <c r="W328" s="117">
        <f>коэффициенты!$G$22</f>
        <v>0.01</v>
      </c>
      <c r="X328" s="74"/>
      <c r="Y328" s="75"/>
      <c r="Z328" s="74"/>
      <c r="AA328" s="74">
        <f>коэффициенты!$G$14</f>
        <v>0.01</v>
      </c>
      <c r="AB328" s="74"/>
      <c r="AC328" s="74"/>
      <c r="AD328" s="74">
        <f>коэффициенты!$G$19</f>
        <v>0.01</v>
      </c>
      <c r="AE328" s="74"/>
      <c r="AF328" s="74">
        <f>коэффициенты!$G$21</f>
        <v>0.01</v>
      </c>
      <c r="AG328" s="74">
        <f>коэффициенты!$A$24</f>
        <v>-5.0000000000000001E-3</v>
      </c>
      <c r="AH328" s="74"/>
      <c r="AI328" s="73">
        <f>SUM(наценкад5[[#This Row],[еврокухня]:[большая площадь]])*наценкад5[[#This Row],[Цена м2 с базовым K]]+наценкад5[[#This Row],[Цена м2 с базовым K]]</f>
        <v>84762.5625</v>
      </c>
      <c r="AJ328" s="72">
        <f>VLOOKUP(наценкад5[[#This Row],[№]],ППД5[],COLUMN(ППД5[[#This Row],[утв цена м2]]),0)</f>
        <v>122868.03</v>
      </c>
      <c r="AK328" s="3">
        <f>наценкад5[[#This Row],[утв цена м2]]*наценкад5[[#This Row],[Расчетная проектная площадь]]</f>
        <v>4277036.1243000003</v>
      </c>
      <c r="AL328" s="22" t="str">
        <f>VLOOKUP(наценкад5[[#This Row],[№]],ППД5[],COLUMN('Реестр ОН'!$DF$1),0)</f>
        <v>Продажа</v>
      </c>
    </row>
    <row r="329" spans="1:38" hidden="1" x14ac:dyDescent="0.25">
      <c r="A329" s="101">
        <v>327</v>
      </c>
      <c r="B329" s="2" t="str">
        <f>_xlfn.XLOOKUP(наценкад5[[#This Row],[№]],ППД5[№],ППД5[Секция],"-",0)</f>
        <v>В</v>
      </c>
      <c r="C329" s="2">
        <f>_xlfn.XLOOKUP(наценкад5[[#This Row],[№]],ППД5[№],ППД5[Этаж],"-",0)</f>
        <v>16</v>
      </c>
      <c r="D329" s="2">
        <f>_xlfn.XLOOKUP(наценкад5[[#This Row],[№]],ППД5[№],ППД5[№ на этаже],"-",0)</f>
        <v>1</v>
      </c>
      <c r="E329" s="2">
        <f>_xlfn.XLOOKUP(наценкад5[[#This Row],[№]],ППД5[№],ППД5[Тип кв],"-",0)</f>
        <v>2</v>
      </c>
      <c r="F329" s="72">
        <f>_xlfn.XLOOKUP(наценкад5[[#This Row],[№]],ППД5[№],ППД5[Кухня],"-",0)</f>
        <v>20.05</v>
      </c>
      <c r="G329" s="72">
        <f>_xlfn.XLOOKUP(наценкад5[[#This Row],[№]],ППД5[№],ППД5[Ванная],"-",0)</f>
        <v>3.54</v>
      </c>
      <c r="H329" s="72">
        <f>_xlfn.XLOOKUP(наценкад5[[#This Row],[№]],ППД5[№],ППД5[Гардеробная],"-",0)</f>
        <v>0</v>
      </c>
      <c r="I329" s="72">
        <f>_xlfn.XLOOKUP(наценкад5[[#This Row],[№]],ППД5[№],ППД5[Лоджия 2],"-",0)</f>
        <v>2.68</v>
      </c>
      <c r="J329" s="72">
        <f>_xlfn.XLOOKUP(наценкад5[[#This Row],[№]],ППД5[№],ППД5[С\У],"-",0)</f>
        <v>2.93</v>
      </c>
      <c r="K329" s="72">
        <f>_xlfn.XLOOKUP(наценкад5[[#This Row],[№]],ППД5[№],ППД5[Расчетная проектная площадь],"-",0)</f>
        <v>73.7</v>
      </c>
      <c r="L329" s="12">
        <f t="shared" si="5"/>
        <v>63000</v>
      </c>
      <c r="M329" s="102">
        <f>коэффициенты!$F$2</f>
        <v>1.2257</v>
      </c>
      <c r="N329" s="13">
        <f>наценкад5[[#This Row],[Цена м2 базовая]]*наценкад5[[#This Row],[Базовой K]]</f>
        <v>77219.100000000006</v>
      </c>
      <c r="O329" s="74">
        <f>коэффициенты!$F$4</f>
        <v>1.4999999999999999E-2</v>
      </c>
      <c r="P329" s="74"/>
      <c r="Q329" s="76"/>
      <c r="R329" s="76"/>
      <c r="S329" s="76">
        <f>коэффициенты!$F$9</f>
        <v>0</v>
      </c>
      <c r="T329" s="74">
        <f>коэффициенты!$F$7</f>
        <v>0.03</v>
      </c>
      <c r="U329" s="74"/>
      <c r="V329" s="74"/>
      <c r="W329" s="75">
        <f>коэффициенты!$F$12</f>
        <v>0.02</v>
      </c>
      <c r="X329" s="74">
        <f>коэффициенты!$F$13</f>
        <v>0.02</v>
      </c>
      <c r="Y329" s="75"/>
      <c r="Z329" s="74"/>
      <c r="AA329" s="74">
        <f>коэффициенты!$F$14</f>
        <v>0.02</v>
      </c>
      <c r="AB329" s="74"/>
      <c r="AC329" s="74"/>
      <c r="AD329" s="74">
        <f>коэффициенты!$F$19</f>
        <v>5.0000000000000001E-3</v>
      </c>
      <c r="AE329" s="74"/>
      <c r="AF329" s="74">
        <f>коэффициенты!$F$21</f>
        <v>0.01</v>
      </c>
      <c r="AG329" s="74"/>
      <c r="AH329" s="74">
        <f>'отрицательный кф'!$O$27</f>
        <v>-0.08</v>
      </c>
      <c r="AI329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329" s="72">
        <f>VLOOKUP(наценкад5[[#This Row],[№]],ППД5[],COLUMN(ППД5[[#This Row],[утв цена м2]]),0)</f>
        <v>86852.95</v>
      </c>
      <c r="AK329" s="3">
        <f>наценкад5[[#This Row],[утв цена м2]]*наценкад5[[#This Row],[Расчетная проектная площадь]]</f>
        <v>6401062.415</v>
      </c>
      <c r="AL329" s="22" t="str">
        <f>VLOOKUP(наценкад5[[#This Row],[№]],ППД5[],COLUMN('Реестр ОН'!$DF$1),0)</f>
        <v>Продажа</v>
      </c>
    </row>
    <row r="330" spans="1:38" hidden="1" x14ac:dyDescent="0.25">
      <c r="A330" s="101">
        <v>328</v>
      </c>
      <c r="B330" s="2" t="str">
        <f>_xlfn.XLOOKUP(наценкад5[[#This Row],[№]],ППД5[№],ППД5[Секция],"-",0)</f>
        <v>В</v>
      </c>
      <c r="C330" s="2">
        <f>_xlfn.XLOOKUP(наценкад5[[#This Row],[№]],ППД5[№],ППД5[Этаж],"-",0)</f>
        <v>16</v>
      </c>
      <c r="D330" s="2">
        <f>_xlfn.XLOOKUP(наценкад5[[#This Row],[№]],ППД5[№],ППД5[№ на этаже],"-",0)</f>
        <v>2</v>
      </c>
      <c r="E330" s="2">
        <f>_xlfn.XLOOKUP(наценкад5[[#This Row],[№]],ППД5[№],ППД5[Тип кв],"-",0)</f>
        <v>0</v>
      </c>
      <c r="F330" s="72">
        <f>_xlfn.XLOOKUP(наценкад5[[#This Row],[№]],ППД5[№],ППД5[Кухня],"-",0)</f>
        <v>5.17</v>
      </c>
      <c r="G330" s="72">
        <f>_xlfn.XLOOKUP(наценкад5[[#This Row],[№]],ППД5[№],ППД5[Ванная],"-",0)</f>
        <v>3.72</v>
      </c>
      <c r="H330" s="72">
        <f>_xlfn.XLOOKUP(наценкад5[[#This Row],[№]],ППД5[№],ППД5[Гардеробная],"-",0)</f>
        <v>0</v>
      </c>
      <c r="I330" s="72">
        <f>_xlfn.XLOOKUP(наценкад5[[#This Row],[№]],ППД5[№],ППД5[Лоджия 2],"-",0)</f>
        <v>0</v>
      </c>
      <c r="J330" s="72">
        <f>_xlfn.XLOOKUP(наценкад5[[#This Row],[№]],ППД5[№],ППД5[С\У],"-",0)</f>
        <v>0</v>
      </c>
      <c r="K330" s="72">
        <f>_xlfn.XLOOKUP(наценкад5[[#This Row],[№]],ППД5[№],ППД5[Расчетная проектная площадь],"-",0)</f>
        <v>24.53</v>
      </c>
      <c r="L330" s="12">
        <f t="shared" si="5"/>
        <v>63000</v>
      </c>
      <c r="M330" s="116">
        <f>коэффициенты!$H$2</f>
        <v>1.3905000000000001</v>
      </c>
      <c r="N330" s="13">
        <f>наценкад5[[#This Row],[Цена м2 базовая]]*наценкад5[[#This Row],[Базовой K]]</f>
        <v>87601.5</v>
      </c>
      <c r="O330" s="74"/>
      <c r="P330" s="74"/>
      <c r="Q330" s="74"/>
      <c r="R330" s="74"/>
      <c r="S330" s="74"/>
      <c r="T330" s="74"/>
      <c r="U330" s="74"/>
      <c r="V330" s="74">
        <f>коэффициенты!$H$11</f>
        <v>0.01</v>
      </c>
      <c r="W330" s="75">
        <f>коэффициенты!$H$12</f>
        <v>0.02</v>
      </c>
      <c r="X330" s="74">
        <f>коэффициенты!$H$13</f>
        <v>0.01</v>
      </c>
      <c r="Y330" s="75"/>
      <c r="Z330" s="74"/>
      <c r="AA330" s="74"/>
      <c r="AB330" s="74"/>
      <c r="AC330" s="74"/>
      <c r="AD330" s="74">
        <f>коэффициенты!$H$19</f>
        <v>0.01</v>
      </c>
      <c r="AE330" s="74"/>
      <c r="AF330" s="74">
        <f>коэффициенты!$H$21</f>
        <v>0.01</v>
      </c>
      <c r="AG330" s="74"/>
      <c r="AH330" s="74"/>
      <c r="AI330" s="73">
        <f>SUM(наценкад5[[#This Row],[еврокухня]:[большая площадь]])*наценкад5[[#This Row],[Цена м2 с базовым K]]+наценкад5[[#This Row],[Цена м2 с базовым K]]</f>
        <v>92857.59</v>
      </c>
      <c r="AJ330" s="72">
        <f>VLOOKUP(наценкад5[[#This Row],[№]],ППД5[],COLUMN(ППД5[[#This Row],[утв цена м2]]),0)</f>
        <v>123956.78</v>
      </c>
      <c r="AK330" s="3">
        <f>наценкад5[[#This Row],[утв цена м2]]*наценкад5[[#This Row],[Расчетная проектная площадь]]</f>
        <v>3040659.8134000003</v>
      </c>
      <c r="AL330" s="22" t="str">
        <f>VLOOKUP(наценкад5[[#This Row],[№]],ППД5[],COLUMN('Реестр ОН'!$DF$1),0)</f>
        <v>Продажа</v>
      </c>
    </row>
    <row r="331" spans="1:38" hidden="1" x14ac:dyDescent="0.25">
      <c r="A331" s="101">
        <v>329</v>
      </c>
      <c r="B331" s="2" t="str">
        <f>_xlfn.XLOOKUP(наценкад5[[#This Row],[№]],ППД5[№],ППД5[Секция],"-",0)</f>
        <v>В</v>
      </c>
      <c r="C331" s="2">
        <f>_xlfn.XLOOKUP(наценкад5[[#This Row],[№]],ППД5[№],ППД5[Этаж],"-",0)</f>
        <v>16</v>
      </c>
      <c r="D331" s="2">
        <f>_xlfn.XLOOKUP(наценкад5[[#This Row],[№]],ППД5[№],ППД5[№ на этаже],"-",0)</f>
        <v>3</v>
      </c>
      <c r="E331" s="2">
        <f>_xlfn.XLOOKUP(наценкад5[[#This Row],[№]],ППД5[№],ППД5[Тип кв],"-",0)</f>
        <v>2</v>
      </c>
      <c r="F331" s="72">
        <f>_xlfn.XLOOKUP(наценкад5[[#This Row],[№]],ППД5[№],ППД5[Кухня],"-",0)</f>
        <v>18.71</v>
      </c>
      <c r="G331" s="72">
        <f>_xlfn.XLOOKUP(наценкад5[[#This Row],[№]],ППД5[№],ППД5[Ванная],"-",0)</f>
        <v>3.49</v>
      </c>
      <c r="H331" s="72">
        <f>_xlfn.XLOOKUP(наценкад5[[#This Row],[№]],ППД5[№],ППД5[Гардеробная],"-",0)</f>
        <v>0</v>
      </c>
      <c r="I331" s="72">
        <f>_xlfn.XLOOKUP(наценкад5[[#This Row],[№]],ППД5[№],ППД5[Лоджия 2],"-",0)</f>
        <v>0</v>
      </c>
      <c r="J331" s="72">
        <f>_xlfn.XLOOKUP(наценкад5[[#This Row],[№]],ППД5[№],ППД5[С\У],"-",0)</f>
        <v>2.11</v>
      </c>
      <c r="K331" s="72">
        <f>_xlfn.XLOOKUP(наценкад5[[#This Row],[№]],ППД5[№],ППД5[Расчетная проектная площадь],"-",0)</f>
        <v>56.58</v>
      </c>
      <c r="L331" s="12">
        <f t="shared" si="5"/>
        <v>63000</v>
      </c>
      <c r="M331" s="102">
        <f>коэффициенты!$F$2</f>
        <v>1.2257</v>
      </c>
      <c r="N331" s="13">
        <f>наценкад5[[#This Row],[Цена м2 базовая]]*наценкад5[[#This Row],[Базовой K]]</f>
        <v>77219.100000000006</v>
      </c>
      <c r="O331" s="74">
        <f>коэффициенты!$F$4</f>
        <v>1.4999999999999999E-2</v>
      </c>
      <c r="P331" s="74"/>
      <c r="Q331" s="76"/>
      <c r="R331" s="76">
        <f>коэффициенты!$F$10</f>
        <v>0</v>
      </c>
      <c r="S331" s="76">
        <f>коэффициенты!$F$9</f>
        <v>0</v>
      </c>
      <c r="T331" s="74"/>
      <c r="U331" s="74"/>
      <c r="V331" s="74"/>
      <c r="W331" s="75">
        <f>коэффициенты!$F$12</f>
        <v>0.02</v>
      </c>
      <c r="X331" s="74"/>
      <c r="Y331" s="75"/>
      <c r="Z331" s="74"/>
      <c r="AA331" s="74"/>
      <c r="AB331" s="74"/>
      <c r="AC331" s="74"/>
      <c r="AD331" s="74">
        <f>коэффициенты!$F$19</f>
        <v>5.0000000000000001E-3</v>
      </c>
      <c r="AE331" s="74"/>
      <c r="AF331" s="74">
        <f>коэффициенты!$F$21</f>
        <v>0.01</v>
      </c>
      <c r="AG331" s="74"/>
      <c r="AH331" s="74"/>
      <c r="AI331" s="73">
        <f>SUM(наценкад5[[#This Row],[еврокухня]:[большая площадь]])*наценкад5[[#This Row],[Цена м2 с базовым K]]+наценкад5[[#This Row],[Цена м2 с базовым K]]</f>
        <v>81080.055000000008</v>
      </c>
      <c r="AJ331" s="72">
        <f>VLOOKUP(наценкад5[[#This Row],[№]],ППД5[],COLUMN(ППД5[[#This Row],[утв цена м2]]),0)</f>
        <v>126878.76</v>
      </c>
      <c r="AK331" s="3">
        <f>наценкад5[[#This Row],[утв цена м2]]*наценкад5[[#This Row],[Расчетная проектная площадь]]</f>
        <v>7178800.2407999998</v>
      </c>
      <c r="AL331" s="22" t="str">
        <f>VLOOKUP(наценкад5[[#This Row],[№]],ППД5[],COLUMN('Реестр ОН'!$DF$1),0)</f>
        <v>Продажа</v>
      </c>
    </row>
    <row r="332" spans="1:38" hidden="1" x14ac:dyDescent="0.25">
      <c r="A332" s="101">
        <v>330</v>
      </c>
      <c r="B332" s="2" t="str">
        <f>_xlfn.XLOOKUP(наценкад5[[#This Row],[№]],ППД5[№],ППД5[Секция],"-",0)</f>
        <v>В</v>
      </c>
      <c r="C332" s="2">
        <f>_xlfn.XLOOKUP(наценкад5[[#This Row],[№]],ППД5[№],ППД5[Этаж],"-",0)</f>
        <v>16</v>
      </c>
      <c r="D332" s="2">
        <f>_xlfn.XLOOKUP(наценкад5[[#This Row],[№]],ППД5[№],ППД5[№ на этаже],"-",0)</f>
        <v>4</v>
      </c>
      <c r="E332" s="2">
        <f>_xlfn.XLOOKUP(наценкад5[[#This Row],[№]],ППД5[№],ППД5[Тип кв],"-",0)</f>
        <v>2</v>
      </c>
      <c r="F332" s="72">
        <f>_xlfn.XLOOKUP(наценкад5[[#This Row],[№]],ППД5[№],ППД5[Кухня],"-",0)</f>
        <v>15.44</v>
      </c>
      <c r="G332" s="72">
        <f>_xlfn.XLOOKUP(наценкад5[[#This Row],[№]],ППД5[№],ППД5[Ванная],"-",0)</f>
        <v>4.59</v>
      </c>
      <c r="H332" s="72">
        <f>_xlfn.XLOOKUP(наценкад5[[#This Row],[№]],ППД5[№],ППД5[Гардеробная],"-",0)</f>
        <v>0</v>
      </c>
      <c r="I332" s="72">
        <f>_xlfn.XLOOKUP(наценкад5[[#This Row],[№]],ППД5[№],ППД5[Лоджия 2],"-",0)</f>
        <v>0</v>
      </c>
      <c r="J332" s="72">
        <f>_xlfn.XLOOKUP(наценкад5[[#This Row],[№]],ППД5[№],ППД5[С\У],"-",0)</f>
        <v>2.21</v>
      </c>
      <c r="K332" s="72">
        <f>_xlfn.XLOOKUP(наценкад5[[#This Row],[№]],ППД5[№],ППД5[Расчетная проектная площадь],"-",0)</f>
        <v>60.24</v>
      </c>
      <c r="L332" s="12">
        <f t="shared" si="5"/>
        <v>63000</v>
      </c>
      <c r="M332" s="102">
        <f>коэффициенты!$F$2</f>
        <v>1.2257</v>
      </c>
      <c r="N332" s="13">
        <f>наценкад5[[#This Row],[Цена м2 базовая]]*наценкад5[[#This Row],[Базовой K]]</f>
        <v>77219.100000000006</v>
      </c>
      <c r="O332" s="74">
        <f>коэффициенты!$F$4</f>
        <v>1.4999999999999999E-2</v>
      </c>
      <c r="P332" s="74"/>
      <c r="Q332" s="76">
        <f>коэффициенты!$F$6</f>
        <v>0.02</v>
      </c>
      <c r="R332" s="76"/>
      <c r="S332" s="76">
        <f>коэффициенты!$F$9</f>
        <v>0</v>
      </c>
      <c r="T332" s="74"/>
      <c r="U332" s="74"/>
      <c r="V332" s="74">
        <f>коэффициенты!$F$11</f>
        <v>5.0000000000000001E-3</v>
      </c>
      <c r="W332" s="75">
        <f>коэффициенты!$F$12</f>
        <v>0.02</v>
      </c>
      <c r="X332" s="74"/>
      <c r="Y332" s="75"/>
      <c r="Z332" s="74"/>
      <c r="AA332" s="74"/>
      <c r="AB332" s="74"/>
      <c r="AC332" s="74"/>
      <c r="AD332" s="74">
        <f>коэффициенты!$F$19</f>
        <v>5.0000000000000001E-3</v>
      </c>
      <c r="AE332" s="74"/>
      <c r="AF332" s="74">
        <f>коэффициенты!$F$21</f>
        <v>0.01</v>
      </c>
      <c r="AG332" s="74"/>
      <c r="AH332" s="74"/>
      <c r="AI332" s="73">
        <f>SUM(наценкад5[[#This Row],[еврокухня]:[большая площадь]])*наценкад5[[#This Row],[Цена м2 с базовым K]]+наценкад5[[#This Row],[Цена м2 с базовым K]]</f>
        <v>83010.532500000001</v>
      </c>
      <c r="AJ332" s="72">
        <f>VLOOKUP(наценкад5[[#This Row],[№]],ППД5[],COLUMN(ППД5[[#This Row],[утв цена м2]]),0)</f>
        <v>103530.94</v>
      </c>
      <c r="AK332" s="3">
        <f>наценкад5[[#This Row],[утв цена м2]]*наценкад5[[#This Row],[Расчетная проектная площадь]]</f>
        <v>6236703.8256000001</v>
      </c>
      <c r="AL332" s="22" t="str">
        <f>VLOOKUP(наценкад5[[#This Row],[№]],ППД5[],COLUMN('Реестр ОН'!$DF$1),0)</f>
        <v>Продажа</v>
      </c>
    </row>
    <row r="333" spans="1:38" hidden="1" x14ac:dyDescent="0.25">
      <c r="A333" s="101">
        <v>331</v>
      </c>
      <c r="B333" s="2" t="str">
        <f>_xlfn.XLOOKUP(наценкад5[[#This Row],[№]],ППД5[№],ППД5[Секция],"-",0)</f>
        <v>В</v>
      </c>
      <c r="C333" s="2">
        <f>_xlfn.XLOOKUP(наценкад5[[#This Row],[№]],ППД5[№],ППД5[Этаж],"-",0)</f>
        <v>16</v>
      </c>
      <c r="D333" s="2">
        <f>_xlfn.XLOOKUP(наценкад5[[#This Row],[№]],ППД5[№],ППД5[№ на этаже],"-",0)</f>
        <v>5</v>
      </c>
      <c r="E333" s="2">
        <f>_xlfn.XLOOKUP(наценкад5[[#This Row],[№]],ППД5[№],ППД5[Тип кв],"-",0)</f>
        <v>1</v>
      </c>
      <c r="F333" s="72">
        <f>_xlfn.XLOOKUP(наценкад5[[#This Row],[№]],ППД5[№],ППД5[Кухня],"-",0)</f>
        <v>12.74</v>
      </c>
      <c r="G333" s="72">
        <f>_xlfn.XLOOKUP(наценкад5[[#This Row],[№]],ППД5[№],ППД5[Ванная],"-",0)</f>
        <v>4.0199999999999996</v>
      </c>
      <c r="H333" s="72">
        <f>_xlfn.XLOOKUP(наценкад5[[#This Row],[№]],ППД5[№],ППД5[Гардеробная],"-",0)</f>
        <v>0</v>
      </c>
      <c r="I333" s="72">
        <f>_xlfn.XLOOKUP(наценкад5[[#This Row],[№]],ППД5[№],ППД5[Лоджия 2],"-",0)</f>
        <v>0</v>
      </c>
      <c r="J333" s="72">
        <f>_xlfn.XLOOKUP(наценкад5[[#This Row],[№]],ППД5[№],ППД5[С\У],"-",0)</f>
        <v>0</v>
      </c>
      <c r="K333" s="72">
        <f>_xlfn.XLOOKUP(наценкад5[[#This Row],[№]],ППД5[№],ППД5[Расчетная проектная площадь],"-",0)</f>
        <v>37.81</v>
      </c>
      <c r="L333" s="12">
        <f t="shared" si="5"/>
        <v>63000</v>
      </c>
      <c r="M333" s="102">
        <f>коэффициенты!$G$2</f>
        <v>1.2875000000000001</v>
      </c>
      <c r="N333" s="13">
        <f>наценкад5[[#This Row],[Цена м2 базовая]]*наценкад5[[#This Row],[Базовой K]]</f>
        <v>81112.5</v>
      </c>
      <c r="O333" s="74"/>
      <c r="P333" s="76">
        <f>коэффициенты!$G$5</f>
        <v>0.01</v>
      </c>
      <c r="Q333" s="74">
        <f>коэффициенты!$G$6</f>
        <v>0.03</v>
      </c>
      <c r="R333" s="74"/>
      <c r="S333" s="74"/>
      <c r="T333" s="74"/>
      <c r="U333" s="74"/>
      <c r="V333" s="74">
        <f>коэффициенты!$G$11</f>
        <v>0.01</v>
      </c>
      <c r="W333" s="75">
        <f>коэффициенты!$G$12</f>
        <v>0.02</v>
      </c>
      <c r="X333" s="74">
        <f>коэффициенты!$G$13</f>
        <v>0.01</v>
      </c>
      <c r="Y333" s="75"/>
      <c r="Z333" s="74"/>
      <c r="AA333" s="74">
        <f>коэффициенты!$G$14</f>
        <v>0.01</v>
      </c>
      <c r="AB333" s="74"/>
      <c r="AC333" s="74"/>
      <c r="AD333" s="74">
        <f>коэффициенты!$G$19</f>
        <v>0.01</v>
      </c>
      <c r="AE333" s="74"/>
      <c r="AF333" s="74">
        <f>коэффициенты!$G$21</f>
        <v>0.01</v>
      </c>
      <c r="AG333" s="74"/>
      <c r="AH333" s="74"/>
      <c r="AI333" s="73">
        <f>SUM(наценкад5[[#This Row],[еврокухня]:[большая площадь]])*наценкад5[[#This Row],[Цена м2 с базовым K]]+наценкад5[[#This Row],[Цена м2 с базовым K]]</f>
        <v>90034.875</v>
      </c>
      <c r="AJ333" s="72">
        <f>VLOOKUP(наценкад5[[#This Row],[№]],ППД5[],COLUMN(ППД5[[#This Row],[утв цена м2]]),0)</f>
        <v>139774.26</v>
      </c>
      <c r="AK333" s="3">
        <f>наценкад5[[#This Row],[утв цена м2]]*наценкад5[[#This Row],[Расчетная проектная площадь]]</f>
        <v>5284864.7706000004</v>
      </c>
      <c r="AL333" s="22" t="str">
        <f>VLOOKUP(наценкад5[[#This Row],[№]],ППД5[],COLUMN('Реестр ОН'!$DF$1),0)</f>
        <v>Продажа</v>
      </c>
    </row>
    <row r="334" spans="1:38" hidden="1" x14ac:dyDescent="0.25">
      <c r="A334" s="101">
        <v>332</v>
      </c>
      <c r="B334" s="2" t="str">
        <f>_xlfn.XLOOKUP(наценкад5[[#This Row],[№]],ППД5[№],ППД5[Секция],"-",0)</f>
        <v>В</v>
      </c>
      <c r="C334" s="2">
        <f>_xlfn.XLOOKUP(наценкад5[[#This Row],[№]],ППД5[№],ППД5[Этаж],"-",0)</f>
        <v>16</v>
      </c>
      <c r="D334" s="2">
        <f>_xlfn.XLOOKUP(наценкад5[[#This Row],[№]],ППД5[№],ППД5[№ на этаже],"-",0)</f>
        <v>6</v>
      </c>
      <c r="E334" s="2">
        <f>_xlfn.XLOOKUP(наценкад5[[#This Row],[№]],ППД5[№],ППД5[Тип кв],"-",0)</f>
        <v>3</v>
      </c>
      <c r="F334" s="72">
        <f>_xlfn.XLOOKUP(наценкад5[[#This Row],[№]],ППД5[№],ППД5[Кухня],"-",0)</f>
        <v>13.15</v>
      </c>
      <c r="G334" s="72">
        <f>_xlfn.XLOOKUP(наценкад5[[#This Row],[№]],ППД5[№],ППД5[Ванная],"-",0)</f>
        <v>4.03</v>
      </c>
      <c r="H334" s="72">
        <f>_xlfn.XLOOKUP(наценкад5[[#This Row],[№]],ППД5[№],ППД5[Гардеробная],"-",0)</f>
        <v>0</v>
      </c>
      <c r="I334" s="72">
        <f>_xlfn.XLOOKUP(наценкад5[[#This Row],[№]],ППД5[№],ППД5[Лоджия 2],"-",0)</f>
        <v>2.68</v>
      </c>
      <c r="J334" s="72">
        <f>_xlfn.XLOOKUP(наценкад5[[#This Row],[№]],ППД5[№],ППД5[С\У],"-",0)</f>
        <v>1.76</v>
      </c>
      <c r="K334" s="72">
        <f>_xlfn.XLOOKUP(наценкад5[[#This Row],[№]],ППД5[№],ППД5[Расчетная проектная площадь],"-",0)</f>
        <v>80.97</v>
      </c>
      <c r="L334" s="12">
        <f t="shared" si="5"/>
        <v>63000</v>
      </c>
      <c r="M334" s="27">
        <f>коэффициенты!$E$2</f>
        <v>1.1330000000000002</v>
      </c>
      <c r="N334" s="13">
        <f>наценкад5[[#This Row],[Цена м2 базовая]]*наценкад5[[#This Row],[Базовой K]]</f>
        <v>71379.000000000015</v>
      </c>
      <c r="O334" s="74"/>
      <c r="P334" s="74">
        <f>коэффициенты!$E$5</f>
        <v>0</v>
      </c>
      <c r="Q334" s="74">
        <f>коэффициенты!$E$6</f>
        <v>0.01</v>
      </c>
      <c r="R334" s="74"/>
      <c r="S334" s="74">
        <f>коэффициенты!$E$9</f>
        <v>0</v>
      </c>
      <c r="T334" s="74">
        <f>коэффициенты!$E$7</f>
        <v>0</v>
      </c>
      <c r="U334" s="74"/>
      <c r="V334" s="74"/>
      <c r="W334" s="75">
        <f>коэффициенты!$E$12</f>
        <v>0.02</v>
      </c>
      <c r="X334" s="74"/>
      <c r="Y334" s="75"/>
      <c r="Z334" s="74"/>
      <c r="AA334" s="74">
        <f>коэффициенты!$E$14</f>
        <v>0</v>
      </c>
      <c r="AB334" s="74">
        <f>коэффициенты!$E$17</f>
        <v>0</v>
      </c>
      <c r="AC334" s="74"/>
      <c r="AD334" s="74"/>
      <c r="AE334" s="74"/>
      <c r="AF334" s="74">
        <f>коэффициенты!$E$21</f>
        <v>0.01</v>
      </c>
      <c r="AG334" s="74"/>
      <c r="AH334" s="74"/>
      <c r="AI334" s="73">
        <f>SUM(наценкад5[[#This Row],[еврокухня]:[большая площадь]])*наценкад5[[#This Row],[Цена м2 с базовым K]]+наценкад5[[#This Row],[Цена м2 с базовым K]]</f>
        <v>74234.160000000018</v>
      </c>
      <c r="AJ334" s="72">
        <f>VLOOKUP(наценкад5[[#This Row],[№]],ППД5[],COLUMN(ППД5[[#This Row],[утв цена м2]]),0)</f>
        <v>77945.87</v>
      </c>
      <c r="AK334" s="3">
        <f>наценкад5[[#This Row],[утв цена м2]]*наценкад5[[#This Row],[Расчетная проектная площадь]]</f>
        <v>6311277.0938999997</v>
      </c>
      <c r="AL334" s="22" t="str">
        <f>VLOOKUP(наценкад5[[#This Row],[№]],ППД5[],COLUMN('Реестр ОН'!$DF$1),0)</f>
        <v>Продажа</v>
      </c>
    </row>
    <row r="335" spans="1:38" hidden="1" x14ac:dyDescent="0.25">
      <c r="A335" s="101">
        <v>333</v>
      </c>
      <c r="B335" s="2" t="str">
        <f>_xlfn.XLOOKUP(наценкад5[[#This Row],[№]],ППД5[№],ППД5[Секция],"-",0)</f>
        <v>В</v>
      </c>
      <c r="C335" s="2">
        <f>_xlfn.XLOOKUP(наценкад5[[#This Row],[№]],ППД5[№],ППД5[Этаж],"-",0)</f>
        <v>16</v>
      </c>
      <c r="D335" s="2">
        <f>_xlfn.XLOOKUP(наценкад5[[#This Row],[№]],ППД5[№],ППД5[№ на этаже],"-",0)</f>
        <v>7</v>
      </c>
      <c r="E335" s="2">
        <f>_xlfn.XLOOKUP(наценкад5[[#This Row],[№]],ППД5[№],ППД5[Тип кв],"-",0)</f>
        <v>1</v>
      </c>
      <c r="F335" s="72">
        <f>_xlfn.XLOOKUP(наценкад5[[#This Row],[№]],ППД5[№],ППД5[Кухня],"-",0)</f>
        <v>9.2799999999999994</v>
      </c>
      <c r="G335" s="72">
        <f>_xlfn.XLOOKUP(наценкад5[[#This Row],[№]],ППД5[№],ППД5[Ванная],"-",0)</f>
        <v>3.79</v>
      </c>
      <c r="H335" s="72">
        <f>_xlfn.XLOOKUP(наценкад5[[#This Row],[№]],ППД5[№],ППД5[Гардеробная],"-",0)</f>
        <v>0</v>
      </c>
      <c r="I335" s="72">
        <f>_xlfn.XLOOKUP(наценкад5[[#This Row],[№]],ППД5[№],ППД5[Лоджия 2],"-",0)</f>
        <v>0</v>
      </c>
      <c r="J335" s="72">
        <f>_xlfn.XLOOKUP(наценкад5[[#This Row],[№]],ППД5[№],ППД5[С\У],"-",0)</f>
        <v>0</v>
      </c>
      <c r="K335" s="72">
        <f>_xlfn.XLOOKUP(наценкад5[[#This Row],[№]],ППД5[№],ППД5[Расчетная проектная площадь],"-",0)</f>
        <v>34.81</v>
      </c>
      <c r="L335" s="12">
        <f t="shared" si="5"/>
        <v>63000</v>
      </c>
      <c r="M335" s="102">
        <f>коэффициенты!$G$2</f>
        <v>1.2875000000000001</v>
      </c>
      <c r="N335" s="13">
        <f>наценкад5[[#This Row],[Цена м2 базовая]]*наценкад5[[#This Row],[Базовой K]]</f>
        <v>81112.5</v>
      </c>
      <c r="O335" s="74"/>
      <c r="P335" s="74"/>
      <c r="Q335" s="74"/>
      <c r="R335" s="74"/>
      <c r="S335" s="74"/>
      <c r="T335" s="74"/>
      <c r="U335" s="74"/>
      <c r="V335" s="74">
        <f>коэффициенты!$G$11</f>
        <v>0.01</v>
      </c>
      <c r="W335" s="75">
        <f>коэффициенты!$G$12</f>
        <v>0.02</v>
      </c>
      <c r="X335" s="74"/>
      <c r="Y335" s="75"/>
      <c r="Z335" s="74"/>
      <c r="AA335" s="74">
        <f>коэффициенты!$G$14</f>
        <v>0.01</v>
      </c>
      <c r="AB335" s="74"/>
      <c r="AC335" s="74"/>
      <c r="AD335" s="74">
        <f>коэффициенты!$G$19</f>
        <v>0.01</v>
      </c>
      <c r="AE335" s="74"/>
      <c r="AF335" s="74">
        <f>коэффициенты!$G$21</f>
        <v>0.01</v>
      </c>
      <c r="AG335" s="74">
        <f>коэффициенты!$A$24</f>
        <v>-5.0000000000000001E-3</v>
      </c>
      <c r="AH335" s="74"/>
      <c r="AI335" s="73">
        <f>SUM(наценкад5[[#This Row],[еврокухня]:[большая площадь]])*наценкад5[[#This Row],[Цена м2 с базовым K]]+наценкад5[[#This Row],[Цена м2 с базовым K]]</f>
        <v>85573.6875</v>
      </c>
      <c r="AJ335" s="72">
        <f>VLOOKUP(наценкад5[[#This Row],[№]],ППД5[],COLUMN(ППД5[[#This Row],[утв цена м2]]),0)</f>
        <v>121611.57</v>
      </c>
      <c r="AK335" s="3">
        <f>наценкад5[[#This Row],[утв цена м2]]*наценкад5[[#This Row],[Расчетная проектная площадь]]</f>
        <v>4233298.7517000008</v>
      </c>
      <c r="AL335" s="22" t="str">
        <f>VLOOKUP(наценкад5[[#This Row],[№]],ППД5[],COLUMN('Реестр ОН'!$DF$1),0)</f>
        <v>Продажа</v>
      </c>
    </row>
    <row r="336" spans="1:38" hidden="1" x14ac:dyDescent="0.25">
      <c r="A336" s="101">
        <v>334</v>
      </c>
      <c r="B336" s="2" t="str">
        <f>_xlfn.XLOOKUP(наценкад5[[#This Row],[№]],ППД5[№],ППД5[Секция],"-",0)</f>
        <v>В</v>
      </c>
      <c r="C336" s="2">
        <f>_xlfn.XLOOKUP(наценкад5[[#This Row],[№]],ППД5[№],ППД5[Этаж],"-",0)</f>
        <v>17</v>
      </c>
      <c r="D336" s="2">
        <f>_xlfn.XLOOKUP(наценкад5[[#This Row],[№]],ППД5[№],ППД5[№ на этаже],"-",0)</f>
        <v>1</v>
      </c>
      <c r="E336" s="2">
        <f>_xlfn.XLOOKUP(наценкад5[[#This Row],[№]],ППД5[№],ППД5[Тип кв],"-",0)</f>
        <v>2</v>
      </c>
      <c r="F336" s="72">
        <f>_xlfn.XLOOKUP(наценкад5[[#This Row],[№]],ППД5[№],ППД5[Кухня],"-",0)</f>
        <v>20.05</v>
      </c>
      <c r="G336" s="72">
        <f>_xlfn.XLOOKUP(наценкад5[[#This Row],[№]],ППД5[№],ППД5[Ванная],"-",0)</f>
        <v>3.54</v>
      </c>
      <c r="H336" s="72">
        <f>_xlfn.XLOOKUP(наценкад5[[#This Row],[№]],ППД5[№],ППД5[Гардеробная],"-",0)</f>
        <v>0</v>
      </c>
      <c r="I336" s="72">
        <f>_xlfn.XLOOKUP(наценкад5[[#This Row],[№]],ППД5[№],ППД5[Лоджия 2],"-",0)</f>
        <v>2.68</v>
      </c>
      <c r="J336" s="72">
        <f>_xlfn.XLOOKUP(наценкад5[[#This Row],[№]],ППД5[№],ППД5[С\У],"-",0)</f>
        <v>2.93</v>
      </c>
      <c r="K336" s="72">
        <f>_xlfn.XLOOKUP(наценкад5[[#This Row],[№]],ППД5[№],ППД5[Расчетная проектная площадь],"-",0)</f>
        <v>73.7</v>
      </c>
      <c r="L336" s="12">
        <f t="shared" si="5"/>
        <v>63000</v>
      </c>
      <c r="M336" s="102">
        <f>коэффициенты!$F$2</f>
        <v>1.2257</v>
      </c>
      <c r="N336" s="13">
        <f>наценкад5[[#This Row],[Цена м2 базовая]]*наценкад5[[#This Row],[Базовой K]]</f>
        <v>77219.100000000006</v>
      </c>
      <c r="O336" s="74">
        <f>коэффициенты!$F$4</f>
        <v>1.4999999999999999E-2</v>
      </c>
      <c r="P336" s="74"/>
      <c r="Q336" s="76"/>
      <c r="R336" s="76"/>
      <c r="S336" s="76">
        <f>коэффициенты!$F$9</f>
        <v>0</v>
      </c>
      <c r="T336" s="74">
        <f>коэффициенты!$F$7</f>
        <v>0.03</v>
      </c>
      <c r="U336" s="74"/>
      <c r="V336" s="74"/>
      <c r="W336" s="75"/>
      <c r="X336" s="74">
        <f>коэффициенты!$F$13</f>
        <v>0.02</v>
      </c>
      <c r="Y336" s="75"/>
      <c r="Z336" s="74"/>
      <c r="AA336" s="74">
        <f>коэффициенты!$F$14</f>
        <v>0.02</v>
      </c>
      <c r="AB336" s="74"/>
      <c r="AC336" s="74"/>
      <c r="AD336" s="74">
        <f>коэффициенты!$F$19</f>
        <v>5.0000000000000001E-3</v>
      </c>
      <c r="AE336" s="74"/>
      <c r="AF336" s="74">
        <f>коэффициенты!$F$21</f>
        <v>0.01</v>
      </c>
      <c r="AG336" s="74"/>
      <c r="AH336" s="74">
        <f>'отрицательный кф'!$O$27</f>
        <v>-0.08</v>
      </c>
      <c r="AI336" s="73">
        <f>SUM(наценкад5[[#This Row],[еврокухня]:[большая площадь]])*наценкад5[[#This Row],[Цена м2 с базовым K]]+наценкад5[[#This Row],[Цена м2 с базовым K]]</f>
        <v>78763.482000000004</v>
      </c>
      <c r="AJ336" s="72">
        <f>VLOOKUP(наценкад5[[#This Row],[№]],ППД5[],COLUMN(ППД5[[#This Row],[утв цена м2]]),0)</f>
        <v>115308.83</v>
      </c>
      <c r="AK336" s="3">
        <f>наценкад5[[#This Row],[утв цена м2]]*наценкад5[[#This Row],[Расчетная проектная площадь]]</f>
        <v>8498260.7709999997</v>
      </c>
      <c r="AL336" s="22" t="str">
        <f>VLOOKUP(наценкад5[[#This Row],[№]],ППД5[],COLUMN('Реестр ОН'!$DF$1),0)</f>
        <v>Свободно</v>
      </c>
    </row>
    <row r="337" spans="1:38" hidden="1" x14ac:dyDescent="0.25">
      <c r="A337" s="101">
        <v>335</v>
      </c>
      <c r="B337" s="2" t="str">
        <f>_xlfn.XLOOKUP(наценкад5[[#This Row],[№]],ППД5[№],ППД5[Секция],"-",0)</f>
        <v>В</v>
      </c>
      <c r="C337" s="2">
        <f>_xlfn.XLOOKUP(наценкад5[[#This Row],[№]],ППД5[№],ППД5[Этаж],"-",0)</f>
        <v>17</v>
      </c>
      <c r="D337" s="2">
        <f>_xlfn.XLOOKUP(наценкад5[[#This Row],[№]],ППД5[№],ППД5[№ на этаже],"-",0)</f>
        <v>2</v>
      </c>
      <c r="E337" s="2">
        <f>_xlfn.XLOOKUP(наценкад5[[#This Row],[№]],ППД5[№],ППД5[Тип кв],"-",0)</f>
        <v>0</v>
      </c>
      <c r="F337" s="72">
        <f>_xlfn.XLOOKUP(наценкад5[[#This Row],[№]],ППД5[№],ППД5[Кухня],"-",0)</f>
        <v>5.17</v>
      </c>
      <c r="G337" s="72">
        <f>_xlfn.XLOOKUP(наценкад5[[#This Row],[№]],ППД5[№],ППД5[Ванная],"-",0)</f>
        <v>3.72</v>
      </c>
      <c r="H337" s="72">
        <f>_xlfn.XLOOKUP(наценкад5[[#This Row],[№]],ППД5[№],ППД5[Гардеробная],"-",0)</f>
        <v>0</v>
      </c>
      <c r="I337" s="72">
        <f>_xlfn.XLOOKUP(наценкад5[[#This Row],[№]],ППД5[№],ППД5[Лоджия 2],"-",0)</f>
        <v>0</v>
      </c>
      <c r="J337" s="72">
        <f>_xlfn.XLOOKUP(наценкад5[[#This Row],[№]],ППД5[№],ППД5[С\У],"-",0)</f>
        <v>0</v>
      </c>
      <c r="K337" s="72">
        <f>_xlfn.XLOOKUP(наценкад5[[#This Row],[№]],ППД5[№],ППД5[Расчетная проектная площадь],"-",0)</f>
        <v>24.53</v>
      </c>
      <c r="L337" s="12">
        <f t="shared" si="5"/>
        <v>63000</v>
      </c>
      <c r="M337" s="116">
        <f>коэффициенты!$H$2</f>
        <v>1.3905000000000001</v>
      </c>
      <c r="N337" s="13">
        <f>наценкад5[[#This Row],[Цена м2 базовая]]*наценкад5[[#This Row],[Базовой K]]</f>
        <v>87601.5</v>
      </c>
      <c r="O337" s="74"/>
      <c r="P337" s="74"/>
      <c r="Q337" s="74"/>
      <c r="R337" s="74"/>
      <c r="S337" s="74"/>
      <c r="T337" s="74"/>
      <c r="U337" s="74"/>
      <c r="V337" s="74">
        <f>коэффициенты!$H$11</f>
        <v>0.01</v>
      </c>
      <c r="W337" s="117">
        <f>коэффициенты!$H$22</f>
        <v>0.01</v>
      </c>
      <c r="X337" s="74">
        <f>коэффициенты!$H$13</f>
        <v>0.01</v>
      </c>
      <c r="Y337" s="75"/>
      <c r="Z337" s="74"/>
      <c r="AA337" s="74"/>
      <c r="AB337" s="74"/>
      <c r="AC337" s="74"/>
      <c r="AD337" s="74">
        <f>коэффициенты!$H$19</f>
        <v>0.01</v>
      </c>
      <c r="AE337" s="74"/>
      <c r="AF337" s="74">
        <f>коэффициенты!$H$21</f>
        <v>0.01</v>
      </c>
      <c r="AG337" s="74"/>
      <c r="AH337" s="74"/>
      <c r="AI337" s="73">
        <f>SUM(наценкад5[[#This Row],[еврокухня]:[большая площадь]])*наценкад5[[#This Row],[Цена м2 с базовым K]]+наценкад5[[#This Row],[Цена м2 с базовым K]]</f>
        <v>91981.574999999997</v>
      </c>
      <c r="AJ337" s="72">
        <f>VLOOKUP(наценкад5[[#This Row],[№]],ППД5[],COLUMN(ППД5[[#This Row],[утв цена м2]]),0)</f>
        <v>153128.56</v>
      </c>
      <c r="AK337" s="3">
        <f>наценкад5[[#This Row],[утв цена м2]]*наценкад5[[#This Row],[Расчетная проектная площадь]]</f>
        <v>3756243.5767999999</v>
      </c>
      <c r="AL337" s="22" t="str">
        <f>VLOOKUP(наценкад5[[#This Row],[№]],ППД5[],COLUMN('Реестр ОН'!$DF$1),0)</f>
        <v>Продажа</v>
      </c>
    </row>
    <row r="338" spans="1:38" hidden="1" x14ac:dyDescent="0.25">
      <c r="A338" s="101">
        <v>336</v>
      </c>
      <c r="B338" s="2" t="str">
        <f>_xlfn.XLOOKUP(наценкад5[[#This Row],[№]],ППД5[№],ППД5[Секция],"-",0)</f>
        <v>В</v>
      </c>
      <c r="C338" s="2">
        <f>_xlfn.XLOOKUP(наценкад5[[#This Row],[№]],ППД5[№],ППД5[Этаж],"-",0)</f>
        <v>17</v>
      </c>
      <c r="D338" s="2">
        <f>_xlfn.XLOOKUP(наценкад5[[#This Row],[№]],ППД5[№],ППД5[№ на этаже],"-",0)</f>
        <v>3</v>
      </c>
      <c r="E338" s="2">
        <f>_xlfn.XLOOKUP(наценкад5[[#This Row],[№]],ППД5[№],ППД5[Тип кв],"-",0)</f>
        <v>2</v>
      </c>
      <c r="F338" s="72">
        <f>_xlfn.XLOOKUP(наценкад5[[#This Row],[№]],ППД5[№],ППД5[Кухня],"-",0)</f>
        <v>18.71</v>
      </c>
      <c r="G338" s="72">
        <f>_xlfn.XLOOKUP(наценкад5[[#This Row],[№]],ППД5[№],ППД5[Ванная],"-",0)</f>
        <v>3.49</v>
      </c>
      <c r="H338" s="72">
        <f>_xlfn.XLOOKUP(наценкад5[[#This Row],[№]],ППД5[№],ППД5[Гардеробная],"-",0)</f>
        <v>0</v>
      </c>
      <c r="I338" s="72">
        <f>_xlfn.XLOOKUP(наценкад5[[#This Row],[№]],ППД5[№],ППД5[Лоджия 2],"-",0)</f>
        <v>0</v>
      </c>
      <c r="J338" s="72">
        <f>_xlfn.XLOOKUP(наценкад5[[#This Row],[№]],ППД5[№],ППД5[С\У],"-",0)</f>
        <v>2.11</v>
      </c>
      <c r="K338" s="72">
        <f>_xlfn.XLOOKUP(наценкад5[[#This Row],[№]],ППД5[№],ППД5[Расчетная проектная площадь],"-",0)</f>
        <v>56.58</v>
      </c>
      <c r="L338" s="12">
        <f t="shared" si="5"/>
        <v>63000</v>
      </c>
      <c r="M338" s="102">
        <f>коэффициенты!$F$2</f>
        <v>1.2257</v>
      </c>
      <c r="N338" s="13">
        <f>наценкад5[[#This Row],[Цена м2 базовая]]*наценкад5[[#This Row],[Базовой K]]</f>
        <v>77219.100000000006</v>
      </c>
      <c r="O338" s="74">
        <f>коэффициенты!$F$4</f>
        <v>1.4999999999999999E-2</v>
      </c>
      <c r="P338" s="74"/>
      <c r="Q338" s="76"/>
      <c r="R338" s="76">
        <f>коэффициенты!$F$10</f>
        <v>0</v>
      </c>
      <c r="S338" s="76">
        <f>коэффициенты!$F$9</f>
        <v>0</v>
      </c>
      <c r="T338" s="74"/>
      <c r="U338" s="74"/>
      <c r="V338" s="74"/>
      <c r="W338" s="117">
        <f>коэффициенты!$F$22</f>
        <v>0.01</v>
      </c>
      <c r="X338" s="74"/>
      <c r="Y338" s="75"/>
      <c r="Z338" s="74"/>
      <c r="AA338" s="74"/>
      <c r="AB338" s="74"/>
      <c r="AC338" s="74"/>
      <c r="AD338" s="74">
        <f>коэффициенты!$F$19</f>
        <v>5.0000000000000001E-3</v>
      </c>
      <c r="AE338" s="74"/>
      <c r="AF338" s="74">
        <f>коэффициенты!$F$21</f>
        <v>0.01</v>
      </c>
      <c r="AG338" s="74"/>
      <c r="AH338" s="74"/>
      <c r="AI338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338" s="72">
        <f>VLOOKUP(наценкад5[[#This Row],[№]],ППД5[],COLUMN(ППД5[[#This Row],[утв цена м2]]),0)</f>
        <v>96938.49</v>
      </c>
      <c r="AK338" s="3">
        <f>наценкад5[[#This Row],[утв цена м2]]*наценкад5[[#This Row],[Расчетная проектная площадь]]</f>
        <v>5484779.7642000001</v>
      </c>
      <c r="AL338" s="22" t="str">
        <f>VLOOKUP(наценкад5[[#This Row],[№]],ППД5[],COLUMN('Реестр ОН'!$DF$1),0)</f>
        <v>Продажа</v>
      </c>
    </row>
    <row r="339" spans="1:38" hidden="1" x14ac:dyDescent="0.25">
      <c r="A339" s="101">
        <v>337</v>
      </c>
      <c r="B339" s="2" t="str">
        <f>_xlfn.XLOOKUP(наценкад5[[#This Row],[№]],ППД5[№],ППД5[Секция],"-",0)</f>
        <v>В</v>
      </c>
      <c r="C339" s="2">
        <f>_xlfn.XLOOKUP(наценкад5[[#This Row],[№]],ППД5[№],ППД5[Этаж],"-",0)</f>
        <v>17</v>
      </c>
      <c r="D339" s="2">
        <f>_xlfn.XLOOKUP(наценкад5[[#This Row],[№]],ППД5[№],ППД5[№ на этаже],"-",0)</f>
        <v>4</v>
      </c>
      <c r="E339" s="2">
        <f>_xlfn.XLOOKUP(наценкад5[[#This Row],[№]],ППД5[№],ППД5[Тип кв],"-",0)</f>
        <v>2</v>
      </c>
      <c r="F339" s="72">
        <f>_xlfn.XLOOKUP(наценкад5[[#This Row],[№]],ППД5[№],ППД5[Кухня],"-",0)</f>
        <v>15.44</v>
      </c>
      <c r="G339" s="72">
        <f>_xlfn.XLOOKUP(наценкад5[[#This Row],[№]],ППД5[№],ППД5[Ванная],"-",0)</f>
        <v>4.59</v>
      </c>
      <c r="H339" s="72">
        <f>_xlfn.XLOOKUP(наценкад5[[#This Row],[№]],ППД5[№],ППД5[Гардеробная],"-",0)</f>
        <v>0</v>
      </c>
      <c r="I339" s="72">
        <f>_xlfn.XLOOKUP(наценкад5[[#This Row],[№]],ППД5[№],ППД5[Лоджия 2],"-",0)</f>
        <v>0</v>
      </c>
      <c r="J339" s="72">
        <f>_xlfn.XLOOKUP(наценкад5[[#This Row],[№]],ППД5[№],ППД5[С\У],"-",0)</f>
        <v>2.21</v>
      </c>
      <c r="K339" s="72">
        <f>_xlfn.XLOOKUP(наценкад5[[#This Row],[№]],ППД5[№],ППД5[Расчетная проектная площадь],"-",0)</f>
        <v>60.24</v>
      </c>
      <c r="L339" s="12">
        <f t="shared" si="5"/>
        <v>63000</v>
      </c>
      <c r="M339" s="102">
        <f>коэффициенты!$F$2</f>
        <v>1.2257</v>
      </c>
      <c r="N339" s="13">
        <f>наценкад5[[#This Row],[Цена м2 базовая]]*наценкад5[[#This Row],[Базовой K]]</f>
        <v>77219.100000000006</v>
      </c>
      <c r="O339" s="74">
        <f>коэффициенты!$F$4</f>
        <v>1.4999999999999999E-2</v>
      </c>
      <c r="P339" s="74"/>
      <c r="Q339" s="76">
        <f>коэффициенты!$F$6</f>
        <v>0.02</v>
      </c>
      <c r="R339" s="76"/>
      <c r="S339" s="76">
        <f>коэффициенты!$F$9</f>
        <v>0</v>
      </c>
      <c r="T339" s="74"/>
      <c r="U339" s="74"/>
      <c r="V339" s="74">
        <f>коэффициенты!$F$11</f>
        <v>5.0000000000000001E-3</v>
      </c>
      <c r="W339" s="117">
        <f>коэффициенты!$F$22</f>
        <v>0.01</v>
      </c>
      <c r="X339" s="74"/>
      <c r="Y339" s="75"/>
      <c r="Z339" s="74"/>
      <c r="AA339" s="74"/>
      <c r="AB339" s="74"/>
      <c r="AC339" s="74"/>
      <c r="AD339" s="74">
        <f>коэффициенты!$F$19</f>
        <v>5.0000000000000001E-3</v>
      </c>
      <c r="AE339" s="74"/>
      <c r="AF339" s="74">
        <f>коэффициенты!$F$21</f>
        <v>0.01</v>
      </c>
      <c r="AG339" s="74"/>
      <c r="AH339" s="74"/>
      <c r="AI339" s="73">
        <f>SUM(наценкад5[[#This Row],[еврокухня]:[большая площадь]])*наценкад5[[#This Row],[Цена м2 с базовым K]]+наценкад5[[#This Row],[Цена м2 с базовым K]]</f>
        <v>82238.34150000001</v>
      </c>
      <c r="AJ339" s="72">
        <f>VLOOKUP(наценкад5[[#This Row],[№]],ППД5[],COLUMN(ППД5[[#This Row],[утв цена м2]]),0)</f>
        <v>88940.77</v>
      </c>
      <c r="AK339" s="3">
        <f>наценкад5[[#This Row],[утв цена м2]]*наценкад5[[#This Row],[Расчетная проектная площадь]]</f>
        <v>5357791.9848000007</v>
      </c>
      <c r="AL339" s="22" t="str">
        <f>VLOOKUP(наценкад5[[#This Row],[№]],ППД5[],COLUMN('Реестр ОН'!$DF$1),0)</f>
        <v>Продажа</v>
      </c>
    </row>
    <row r="340" spans="1:38" hidden="1" x14ac:dyDescent="0.25">
      <c r="A340" s="101">
        <v>338</v>
      </c>
      <c r="B340" s="2" t="str">
        <f>_xlfn.XLOOKUP(наценкад5[[#This Row],[№]],ППД5[№],ППД5[Секция],"-",0)</f>
        <v>В</v>
      </c>
      <c r="C340" s="2">
        <f>_xlfn.XLOOKUP(наценкад5[[#This Row],[№]],ППД5[№],ППД5[Этаж],"-",0)</f>
        <v>17</v>
      </c>
      <c r="D340" s="2">
        <f>_xlfn.XLOOKUP(наценкад5[[#This Row],[№]],ППД5[№],ППД5[№ на этаже],"-",0)</f>
        <v>5</v>
      </c>
      <c r="E340" s="2">
        <f>_xlfn.XLOOKUP(наценкад5[[#This Row],[№]],ППД5[№],ППД5[Тип кв],"-",0)</f>
        <v>1</v>
      </c>
      <c r="F340" s="72">
        <f>_xlfn.XLOOKUP(наценкад5[[#This Row],[№]],ППД5[№],ППД5[Кухня],"-",0)</f>
        <v>12.74</v>
      </c>
      <c r="G340" s="72">
        <f>_xlfn.XLOOKUP(наценкад5[[#This Row],[№]],ППД5[№],ППД5[Ванная],"-",0)</f>
        <v>4.0199999999999996</v>
      </c>
      <c r="H340" s="72">
        <f>_xlfn.XLOOKUP(наценкад5[[#This Row],[№]],ППД5[№],ППД5[Гардеробная],"-",0)</f>
        <v>0</v>
      </c>
      <c r="I340" s="72">
        <f>_xlfn.XLOOKUP(наценкад5[[#This Row],[№]],ППД5[№],ППД5[Лоджия 2],"-",0)</f>
        <v>0</v>
      </c>
      <c r="J340" s="72">
        <f>_xlfn.XLOOKUP(наценкад5[[#This Row],[№]],ППД5[№],ППД5[С\У],"-",0)</f>
        <v>0</v>
      </c>
      <c r="K340" s="72">
        <f>_xlfn.XLOOKUP(наценкад5[[#This Row],[№]],ППД5[№],ППД5[Расчетная проектная площадь],"-",0)</f>
        <v>37.81</v>
      </c>
      <c r="L340" s="12">
        <f t="shared" si="5"/>
        <v>63000</v>
      </c>
      <c r="M340" s="102">
        <f>коэффициенты!$G$2</f>
        <v>1.2875000000000001</v>
      </c>
      <c r="N340" s="13">
        <f>наценкад5[[#This Row],[Цена м2 базовая]]*наценкад5[[#This Row],[Базовой K]]</f>
        <v>81112.5</v>
      </c>
      <c r="O340" s="74"/>
      <c r="P340" s="76">
        <f>коэффициенты!$G$5</f>
        <v>0.01</v>
      </c>
      <c r="Q340" s="74">
        <f>коэффициенты!$G$6</f>
        <v>0.03</v>
      </c>
      <c r="R340" s="74"/>
      <c r="S340" s="74"/>
      <c r="T340" s="74"/>
      <c r="U340" s="74"/>
      <c r="V340" s="74">
        <f>коэффициенты!$G$11</f>
        <v>0.01</v>
      </c>
      <c r="W340" s="117">
        <f>коэффициенты!$G$22</f>
        <v>0.01</v>
      </c>
      <c r="X340" s="74">
        <f>коэффициенты!$G$13</f>
        <v>0.01</v>
      </c>
      <c r="Y340" s="75"/>
      <c r="Z340" s="74"/>
      <c r="AA340" s="74">
        <f>коэффициенты!$G$14</f>
        <v>0.01</v>
      </c>
      <c r="AB340" s="74"/>
      <c r="AC340" s="74"/>
      <c r="AD340" s="74">
        <f>коэффициенты!$G$19</f>
        <v>0.01</v>
      </c>
      <c r="AE340" s="74"/>
      <c r="AF340" s="74">
        <f>коэффициенты!$G$21</f>
        <v>0.01</v>
      </c>
      <c r="AG340" s="74"/>
      <c r="AH340" s="74"/>
      <c r="AI340" s="73">
        <f>SUM(наценкад5[[#This Row],[еврокухня]:[большая площадь]])*наценкад5[[#This Row],[Цена м2 с базовым K]]+наценкад5[[#This Row],[Цена м2 с базовым K]]</f>
        <v>89223.75</v>
      </c>
      <c r="AJ340" s="72">
        <f>VLOOKUP(наценкад5[[#This Row],[№]],ППД5[],COLUMN(ППД5[[#This Row],[утв цена м2]]),0)</f>
        <v>116707.12</v>
      </c>
      <c r="AK340" s="3">
        <f>наценкад5[[#This Row],[утв цена м2]]*наценкад5[[#This Row],[Расчетная проектная площадь]]</f>
        <v>4412696.2072000001</v>
      </c>
      <c r="AL340" s="22" t="str">
        <f>VLOOKUP(наценкад5[[#This Row],[№]],ППД5[],COLUMN('Реестр ОН'!$DF$1),0)</f>
        <v>Продажа</v>
      </c>
    </row>
    <row r="341" spans="1:38" hidden="1" x14ac:dyDescent="0.25">
      <c r="A341" s="101">
        <v>339</v>
      </c>
      <c r="B341" s="2" t="str">
        <f>_xlfn.XLOOKUP(наценкад5[[#This Row],[№]],ППД5[№],ППД5[Секция],"-",0)</f>
        <v>В</v>
      </c>
      <c r="C341" s="2">
        <f>_xlfn.XLOOKUP(наценкад5[[#This Row],[№]],ППД5[№],ППД5[Этаж],"-",0)</f>
        <v>17</v>
      </c>
      <c r="D341" s="2">
        <f>_xlfn.XLOOKUP(наценкад5[[#This Row],[№]],ППД5[№],ППД5[№ на этаже],"-",0)</f>
        <v>6</v>
      </c>
      <c r="E341" s="2">
        <f>_xlfn.XLOOKUP(наценкад5[[#This Row],[№]],ППД5[№],ППД5[Тип кв],"-",0)</f>
        <v>3</v>
      </c>
      <c r="F341" s="72">
        <f>_xlfn.XLOOKUP(наценкад5[[#This Row],[№]],ППД5[№],ППД5[Кухня],"-",0)</f>
        <v>13.15</v>
      </c>
      <c r="G341" s="72">
        <f>_xlfn.XLOOKUP(наценкад5[[#This Row],[№]],ППД5[№],ППД5[Ванная],"-",0)</f>
        <v>4.03</v>
      </c>
      <c r="H341" s="72">
        <f>_xlfn.XLOOKUP(наценкад5[[#This Row],[№]],ППД5[№],ППД5[Гардеробная],"-",0)</f>
        <v>0</v>
      </c>
      <c r="I341" s="72">
        <f>_xlfn.XLOOKUP(наценкад5[[#This Row],[№]],ППД5[№],ППД5[Лоджия 2],"-",0)</f>
        <v>2.68</v>
      </c>
      <c r="J341" s="72">
        <f>_xlfn.XLOOKUP(наценкад5[[#This Row],[№]],ППД5[№],ППД5[С\У],"-",0)</f>
        <v>1.76</v>
      </c>
      <c r="K341" s="72">
        <f>_xlfn.XLOOKUP(наценкад5[[#This Row],[№]],ППД5[№],ППД5[Расчетная проектная площадь],"-",0)</f>
        <v>80.97</v>
      </c>
      <c r="L341" s="12">
        <f t="shared" si="5"/>
        <v>63000</v>
      </c>
      <c r="M341" s="27">
        <f>коэффициенты!$E$2</f>
        <v>1.1330000000000002</v>
      </c>
      <c r="N341" s="13">
        <f>наценкад5[[#This Row],[Цена м2 базовая]]*наценкад5[[#This Row],[Базовой K]]</f>
        <v>71379.000000000015</v>
      </c>
      <c r="O341" s="74"/>
      <c r="P341" s="74">
        <f>коэффициенты!$E$5</f>
        <v>0</v>
      </c>
      <c r="Q341" s="74">
        <f>коэффициенты!$E$6</f>
        <v>0.01</v>
      </c>
      <c r="R341" s="74"/>
      <c r="S341" s="74">
        <f>коэффициенты!$E$9</f>
        <v>0</v>
      </c>
      <c r="T341" s="74">
        <f>коэффициенты!$E$7</f>
        <v>0</v>
      </c>
      <c r="U341" s="74"/>
      <c r="V341" s="74"/>
      <c r="W341" s="117">
        <f>коэффициенты!$A$22</f>
        <v>0.01</v>
      </c>
      <c r="X341" s="74"/>
      <c r="Y341" s="75"/>
      <c r="Z341" s="74"/>
      <c r="AA341" s="74">
        <f>коэффициенты!$E$14</f>
        <v>0</v>
      </c>
      <c r="AB341" s="74">
        <f>коэффициенты!$E$17</f>
        <v>0</v>
      </c>
      <c r="AC341" s="74"/>
      <c r="AD341" s="74"/>
      <c r="AE341" s="74"/>
      <c r="AF341" s="74">
        <f>коэффициенты!$E$21</f>
        <v>0.01</v>
      </c>
      <c r="AG341" s="74"/>
      <c r="AH341" s="74"/>
      <c r="AI341" s="73">
        <f>SUM(наценкад5[[#This Row],[еврокухня]:[большая площадь]])*наценкад5[[#This Row],[Цена м2 с базовым K]]+наценкад5[[#This Row],[Цена м2 с базовым K]]</f>
        <v>73520.37000000001</v>
      </c>
      <c r="AJ341" s="72">
        <f>VLOOKUP(наценкад5[[#This Row],[№]],ППД5[],COLUMN(ППД5[[#This Row],[утв цена м2]]),0)</f>
        <v>113797.72</v>
      </c>
      <c r="AK341" s="3">
        <f>наценкад5[[#This Row],[утв цена м2]]*наценкад5[[#This Row],[Расчетная проектная площадь]]</f>
        <v>9214201.3883999996</v>
      </c>
      <c r="AL341" s="22" t="str">
        <f>VLOOKUP(наценкад5[[#This Row],[№]],ППД5[],COLUMN('Реестр ОН'!$DF$1),0)</f>
        <v>Свободно</v>
      </c>
    </row>
    <row r="342" spans="1:38" hidden="1" x14ac:dyDescent="0.25">
      <c r="A342" s="101">
        <v>340</v>
      </c>
      <c r="B342" s="2" t="str">
        <f>_xlfn.XLOOKUP(наценкад5[[#This Row],[№]],ППД5[№],ППД5[Секция],"-",0)</f>
        <v>В</v>
      </c>
      <c r="C342" s="2">
        <f>_xlfn.XLOOKUP(наценкад5[[#This Row],[№]],ППД5[№],ППД5[Этаж],"-",0)</f>
        <v>17</v>
      </c>
      <c r="D342" s="2">
        <f>_xlfn.XLOOKUP(наценкад5[[#This Row],[№]],ППД5[№],ППД5[№ на этаже],"-",0)</f>
        <v>7</v>
      </c>
      <c r="E342" s="2">
        <f>_xlfn.XLOOKUP(наценкад5[[#This Row],[№]],ППД5[№],ППД5[Тип кв],"-",0)</f>
        <v>1</v>
      </c>
      <c r="F342" s="72">
        <f>_xlfn.XLOOKUP(наценкад5[[#This Row],[№]],ППД5[№],ППД5[Кухня],"-",0)</f>
        <v>9.2799999999999994</v>
      </c>
      <c r="G342" s="72">
        <f>_xlfn.XLOOKUP(наценкад5[[#This Row],[№]],ППД5[№],ППД5[Ванная],"-",0)</f>
        <v>3.79</v>
      </c>
      <c r="H342" s="72">
        <f>_xlfn.XLOOKUP(наценкад5[[#This Row],[№]],ППД5[№],ППД5[Гардеробная],"-",0)</f>
        <v>0</v>
      </c>
      <c r="I342" s="72">
        <f>_xlfn.XLOOKUP(наценкад5[[#This Row],[№]],ППД5[№],ППД5[Лоджия 2],"-",0)</f>
        <v>0</v>
      </c>
      <c r="J342" s="72">
        <f>_xlfn.XLOOKUP(наценкад5[[#This Row],[№]],ППД5[№],ППД5[С\У],"-",0)</f>
        <v>0</v>
      </c>
      <c r="K342" s="72">
        <f>_xlfn.XLOOKUP(наценкад5[[#This Row],[№]],ППД5[№],ППД5[Расчетная проектная площадь],"-",0)</f>
        <v>34.81</v>
      </c>
      <c r="L342" s="12">
        <f t="shared" si="5"/>
        <v>63000</v>
      </c>
      <c r="M342" s="102">
        <f>коэффициенты!$G$2</f>
        <v>1.2875000000000001</v>
      </c>
      <c r="N342" s="13">
        <f>наценкад5[[#This Row],[Цена м2 базовая]]*наценкад5[[#This Row],[Базовой K]]</f>
        <v>81112.5</v>
      </c>
      <c r="O342" s="74"/>
      <c r="P342" s="74"/>
      <c r="Q342" s="74"/>
      <c r="R342" s="74"/>
      <c r="S342" s="74"/>
      <c r="T342" s="74"/>
      <c r="U342" s="74"/>
      <c r="V342" s="74">
        <f>коэффициенты!$G$11</f>
        <v>0.01</v>
      </c>
      <c r="W342" s="117">
        <f>коэффициенты!$G$22</f>
        <v>0.01</v>
      </c>
      <c r="X342" s="74"/>
      <c r="Y342" s="75"/>
      <c r="Z342" s="74"/>
      <c r="AA342" s="74">
        <f>коэффициенты!$G$14</f>
        <v>0.01</v>
      </c>
      <c r="AB342" s="74"/>
      <c r="AC342" s="74"/>
      <c r="AD342" s="74">
        <f>коэффициенты!$G$19</f>
        <v>0.01</v>
      </c>
      <c r="AE342" s="74"/>
      <c r="AF342" s="74">
        <f>коэффициенты!$G$21</f>
        <v>0.01</v>
      </c>
      <c r="AG342" s="74">
        <f>коэффициенты!$A$24</f>
        <v>-5.0000000000000001E-3</v>
      </c>
      <c r="AH342" s="74"/>
      <c r="AI342" s="73">
        <f>SUM(наценкад5[[#This Row],[еврокухня]:[большая площадь]])*наценкад5[[#This Row],[Цена м2 с базовым K]]+наценкад5[[#This Row],[Цена м2 с базовым K]]</f>
        <v>84762.5625</v>
      </c>
      <c r="AJ342" s="72">
        <f>VLOOKUP(наценкад5[[#This Row],[№]],ППД5[],COLUMN(ППД5[[#This Row],[утв цена м2]]),0)</f>
        <v>145817.91</v>
      </c>
      <c r="AK342" s="3">
        <f>наценкад5[[#This Row],[утв цена м2]]*наценкад5[[#This Row],[Расчетная проектная площадь]]</f>
        <v>5075921.4471000005</v>
      </c>
      <c r="AL342" s="22" t="str">
        <f>VLOOKUP(наценкад5[[#This Row],[№]],ППД5[],COLUMN('Реестр ОН'!$DF$1),0)</f>
        <v>Продажа</v>
      </c>
    </row>
    <row r="343" spans="1:38" hidden="1" x14ac:dyDescent="0.25">
      <c r="A343" s="101">
        <v>341</v>
      </c>
      <c r="B343" s="2" t="str">
        <f>_xlfn.XLOOKUP(наценкад5[[#This Row],[№]],ППД5[№],ППД5[Секция],"-",0)</f>
        <v>В</v>
      </c>
      <c r="C343" s="2">
        <f>_xlfn.XLOOKUP(наценкад5[[#This Row],[№]],ППД5[№],ППД5[Этаж],"-",0)</f>
        <v>18</v>
      </c>
      <c r="D343" s="2">
        <f>_xlfn.XLOOKUP(наценкад5[[#This Row],[№]],ППД5[№],ППД5[№ на этаже],"-",0)</f>
        <v>1</v>
      </c>
      <c r="E343" s="2">
        <f>_xlfn.XLOOKUP(наценкад5[[#This Row],[№]],ППД5[№],ППД5[Тип кв],"-",0)</f>
        <v>2</v>
      </c>
      <c r="F343" s="72">
        <f>_xlfn.XLOOKUP(наценкад5[[#This Row],[№]],ППД5[№],ППД5[Кухня],"-",0)</f>
        <v>20.05</v>
      </c>
      <c r="G343" s="72">
        <f>_xlfn.XLOOKUP(наценкад5[[#This Row],[№]],ППД5[№],ППД5[Ванная],"-",0)</f>
        <v>3.54</v>
      </c>
      <c r="H343" s="72">
        <f>_xlfn.XLOOKUP(наценкад5[[#This Row],[№]],ППД5[№],ППД5[Гардеробная],"-",0)</f>
        <v>0</v>
      </c>
      <c r="I343" s="72">
        <f>_xlfn.XLOOKUP(наценкад5[[#This Row],[№]],ППД5[№],ППД5[Лоджия 2],"-",0)</f>
        <v>2.68</v>
      </c>
      <c r="J343" s="72">
        <f>_xlfn.XLOOKUP(наценкад5[[#This Row],[№]],ППД5[№],ППД5[С\У],"-",0)</f>
        <v>2.93</v>
      </c>
      <c r="K343" s="72">
        <f>_xlfn.XLOOKUP(наценкад5[[#This Row],[№]],ППД5[№],ППД5[Расчетная проектная площадь],"-",0)</f>
        <v>73.7</v>
      </c>
      <c r="L343" s="12">
        <f t="shared" si="5"/>
        <v>63000</v>
      </c>
      <c r="M343" s="102">
        <f>коэффициенты!$F$2</f>
        <v>1.2257</v>
      </c>
      <c r="N343" s="13">
        <f>наценкад5[[#This Row],[Цена м2 базовая]]*наценкад5[[#This Row],[Базовой K]]</f>
        <v>77219.100000000006</v>
      </c>
      <c r="O343" s="74">
        <f>коэффициенты!$F$4</f>
        <v>1.4999999999999999E-2</v>
      </c>
      <c r="P343" s="74"/>
      <c r="Q343" s="76"/>
      <c r="R343" s="76"/>
      <c r="S343" s="76">
        <f>коэффициенты!$F$9</f>
        <v>0</v>
      </c>
      <c r="T343" s="74">
        <f>коэффициенты!$F$7</f>
        <v>0.03</v>
      </c>
      <c r="U343" s="74"/>
      <c r="V343" s="74"/>
      <c r="W343" s="75">
        <f>коэффициенты!$F$12</f>
        <v>0.02</v>
      </c>
      <c r="X343" s="74">
        <f>коэффициенты!$F$13</f>
        <v>0.02</v>
      </c>
      <c r="Y343" s="75"/>
      <c r="Z343" s="74"/>
      <c r="AA343" s="74">
        <f>коэффициенты!$F$14</f>
        <v>0.02</v>
      </c>
      <c r="AB343" s="74"/>
      <c r="AC343" s="74"/>
      <c r="AD343" s="74">
        <f>коэффициенты!$F$19</f>
        <v>5.0000000000000001E-3</v>
      </c>
      <c r="AE343" s="74"/>
      <c r="AF343" s="74">
        <f>коэффициенты!$F$21</f>
        <v>0.01</v>
      </c>
      <c r="AG343" s="74"/>
      <c r="AH343" s="74">
        <f>'отрицательный кф'!$O$27</f>
        <v>-0.08</v>
      </c>
      <c r="AI343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343" s="72">
        <f>VLOOKUP(наценкад5[[#This Row],[№]],ППД5[],COLUMN(ППД5[[#This Row],[утв цена м2]]),0)</f>
        <v>96307.85</v>
      </c>
      <c r="AK343" s="3">
        <f>наценкад5[[#This Row],[утв цена м2]]*наценкад5[[#This Row],[Расчетная проектная площадь]]</f>
        <v>7097888.5450000009</v>
      </c>
      <c r="AL343" s="22" t="str">
        <f>VLOOKUP(наценкад5[[#This Row],[№]],ППД5[],COLUMN('Реестр ОН'!$DF$1),0)</f>
        <v>Продажа</v>
      </c>
    </row>
    <row r="344" spans="1:38" hidden="1" x14ac:dyDescent="0.25">
      <c r="A344" s="101">
        <v>342</v>
      </c>
      <c r="B344" s="2" t="str">
        <f>_xlfn.XLOOKUP(наценкад5[[#This Row],[№]],ППД5[№],ППД5[Секция],"-",0)</f>
        <v>В</v>
      </c>
      <c r="C344" s="2">
        <f>_xlfn.XLOOKUP(наценкад5[[#This Row],[№]],ППД5[№],ППД5[Этаж],"-",0)</f>
        <v>18</v>
      </c>
      <c r="D344" s="2">
        <f>_xlfn.XLOOKUP(наценкад5[[#This Row],[№]],ППД5[№],ППД5[№ на этаже],"-",0)</f>
        <v>2</v>
      </c>
      <c r="E344" s="2">
        <f>_xlfn.XLOOKUP(наценкад5[[#This Row],[№]],ППД5[№],ППД5[Тип кв],"-",0)</f>
        <v>0</v>
      </c>
      <c r="F344" s="72">
        <f>_xlfn.XLOOKUP(наценкад5[[#This Row],[№]],ППД5[№],ППД5[Кухня],"-",0)</f>
        <v>5.17</v>
      </c>
      <c r="G344" s="72">
        <f>_xlfn.XLOOKUP(наценкад5[[#This Row],[№]],ППД5[№],ППД5[Ванная],"-",0)</f>
        <v>3.72</v>
      </c>
      <c r="H344" s="72">
        <f>_xlfn.XLOOKUP(наценкад5[[#This Row],[№]],ППД5[№],ППД5[Гардеробная],"-",0)</f>
        <v>0</v>
      </c>
      <c r="I344" s="72">
        <f>_xlfn.XLOOKUP(наценкад5[[#This Row],[№]],ППД5[№],ППД5[Лоджия 2],"-",0)</f>
        <v>0</v>
      </c>
      <c r="J344" s="72">
        <f>_xlfn.XLOOKUP(наценкад5[[#This Row],[№]],ППД5[№],ППД5[С\У],"-",0)</f>
        <v>0</v>
      </c>
      <c r="K344" s="72">
        <f>_xlfn.XLOOKUP(наценкад5[[#This Row],[№]],ППД5[№],ППД5[Расчетная проектная площадь],"-",0)</f>
        <v>24.53</v>
      </c>
      <c r="L344" s="12">
        <f t="shared" si="5"/>
        <v>63000</v>
      </c>
      <c r="M344" s="116">
        <f>коэффициенты!$H$2</f>
        <v>1.3905000000000001</v>
      </c>
      <c r="N344" s="13">
        <f>наценкад5[[#This Row],[Цена м2 базовая]]*наценкад5[[#This Row],[Базовой K]]</f>
        <v>87601.5</v>
      </c>
      <c r="O344" s="74"/>
      <c r="P344" s="74"/>
      <c r="Q344" s="74"/>
      <c r="R344" s="74"/>
      <c r="S344" s="74"/>
      <c r="T344" s="74"/>
      <c r="U344" s="74"/>
      <c r="V344" s="74">
        <f>коэффициенты!$H$11</f>
        <v>0.01</v>
      </c>
      <c r="W344" s="75">
        <f>коэффициенты!$H$12</f>
        <v>0.02</v>
      </c>
      <c r="X344" s="74">
        <f>коэффициенты!$H$13</f>
        <v>0.01</v>
      </c>
      <c r="Y344" s="75"/>
      <c r="Z344" s="74"/>
      <c r="AA344" s="74"/>
      <c r="AB344" s="74"/>
      <c r="AC344" s="74"/>
      <c r="AD344" s="74">
        <f>коэффициенты!$H$19</f>
        <v>0.01</v>
      </c>
      <c r="AE344" s="74"/>
      <c r="AF344" s="74">
        <f>коэффициенты!$H$21</f>
        <v>0.01</v>
      </c>
      <c r="AG344" s="74"/>
      <c r="AH344" s="74"/>
      <c r="AI344" s="73">
        <f>SUM(наценкад5[[#This Row],[еврокухня]:[большая площадь]])*наценкад5[[#This Row],[Цена м2 с базовым K]]+наценкад5[[#This Row],[Цена м2 с базовым K]]</f>
        <v>92857.59</v>
      </c>
      <c r="AJ344" s="72">
        <f>VLOOKUP(наценкад5[[#This Row],[№]],ППД5[],COLUMN(ППД5[[#This Row],[утв цена м2]]),0)</f>
        <v>154621.92000000001</v>
      </c>
      <c r="AK344" s="3">
        <f>наценкад5[[#This Row],[утв цена м2]]*наценкад5[[#This Row],[Расчетная проектная площадь]]</f>
        <v>3792875.6976000005</v>
      </c>
      <c r="AL344" s="22" t="str">
        <f>VLOOKUP(наценкад5[[#This Row],[№]],ППД5[],COLUMN('Реестр ОН'!$DF$1),0)</f>
        <v>Свободно</v>
      </c>
    </row>
    <row r="345" spans="1:38" hidden="1" x14ac:dyDescent="0.25">
      <c r="A345" s="101">
        <v>343</v>
      </c>
      <c r="B345" s="2" t="str">
        <f>_xlfn.XLOOKUP(наценкад5[[#This Row],[№]],ППД5[№],ППД5[Секция],"-",0)</f>
        <v>В</v>
      </c>
      <c r="C345" s="2">
        <f>_xlfn.XLOOKUP(наценкад5[[#This Row],[№]],ППД5[№],ППД5[Этаж],"-",0)</f>
        <v>18</v>
      </c>
      <c r="D345" s="2">
        <f>_xlfn.XLOOKUP(наценкад5[[#This Row],[№]],ППД5[№],ППД5[№ на этаже],"-",0)</f>
        <v>3</v>
      </c>
      <c r="E345" s="2">
        <f>_xlfn.XLOOKUP(наценкад5[[#This Row],[№]],ППД5[№],ППД5[Тип кв],"-",0)</f>
        <v>2</v>
      </c>
      <c r="F345" s="72">
        <f>_xlfn.XLOOKUP(наценкад5[[#This Row],[№]],ППД5[№],ППД5[Кухня],"-",0)</f>
        <v>18.71</v>
      </c>
      <c r="G345" s="72">
        <f>_xlfn.XLOOKUP(наценкад5[[#This Row],[№]],ППД5[№],ППД5[Ванная],"-",0)</f>
        <v>3.49</v>
      </c>
      <c r="H345" s="72">
        <f>_xlfn.XLOOKUP(наценкад5[[#This Row],[№]],ППД5[№],ППД5[Гардеробная],"-",0)</f>
        <v>0</v>
      </c>
      <c r="I345" s="72">
        <f>_xlfn.XLOOKUP(наценкад5[[#This Row],[№]],ППД5[№],ППД5[Лоджия 2],"-",0)</f>
        <v>0</v>
      </c>
      <c r="J345" s="72">
        <f>_xlfn.XLOOKUP(наценкад5[[#This Row],[№]],ППД5[№],ППД5[С\У],"-",0)</f>
        <v>2.11</v>
      </c>
      <c r="K345" s="72">
        <f>_xlfn.XLOOKUP(наценкад5[[#This Row],[№]],ППД5[№],ППД5[Расчетная проектная площадь],"-",0)</f>
        <v>56.58</v>
      </c>
      <c r="L345" s="12">
        <f t="shared" si="5"/>
        <v>63000</v>
      </c>
      <c r="M345" s="102">
        <f>коэффициенты!$F$2</f>
        <v>1.2257</v>
      </c>
      <c r="N345" s="13">
        <f>наценкад5[[#This Row],[Цена м2 базовая]]*наценкад5[[#This Row],[Базовой K]]</f>
        <v>77219.100000000006</v>
      </c>
      <c r="O345" s="74">
        <f>коэффициенты!$F$4</f>
        <v>1.4999999999999999E-2</v>
      </c>
      <c r="P345" s="74"/>
      <c r="Q345" s="76"/>
      <c r="R345" s="76">
        <f>коэффициенты!$F$10</f>
        <v>0</v>
      </c>
      <c r="S345" s="76">
        <f>коэффициенты!$F$9</f>
        <v>0</v>
      </c>
      <c r="T345" s="74"/>
      <c r="U345" s="74"/>
      <c r="V345" s="74"/>
      <c r="W345" s="75">
        <f>коэффициенты!$F$12</f>
        <v>0.02</v>
      </c>
      <c r="X345" s="74"/>
      <c r="Y345" s="75"/>
      <c r="Z345" s="74"/>
      <c r="AA345" s="74"/>
      <c r="AB345" s="74"/>
      <c r="AC345" s="74"/>
      <c r="AD345" s="74">
        <f>коэффициенты!$F$19</f>
        <v>5.0000000000000001E-3</v>
      </c>
      <c r="AE345" s="74"/>
      <c r="AF345" s="74">
        <f>коэффициенты!$F$21</f>
        <v>0.01</v>
      </c>
      <c r="AG345" s="74"/>
      <c r="AH345" s="74"/>
      <c r="AI345" s="73">
        <f>SUM(наценкад5[[#This Row],[еврокухня]:[большая площадь]])*наценкад5[[#This Row],[Цена м2 с базовым K]]+наценкад5[[#This Row],[Цена м2 с базовым K]]</f>
        <v>81080.055000000008</v>
      </c>
      <c r="AJ345" s="72">
        <f>VLOOKUP(наценкад5[[#This Row],[№]],ППД5[],COLUMN(ППД5[[#This Row],[утв цена м2]]),0)</f>
        <v>125622.53</v>
      </c>
      <c r="AK345" s="3">
        <f>наценкад5[[#This Row],[утв цена м2]]*наценкад5[[#This Row],[Расчетная проектная площадь]]</f>
        <v>7107722.7473999998</v>
      </c>
      <c r="AL345" s="22" t="str">
        <f>VLOOKUP(наценкад5[[#This Row],[№]],ППД5[],COLUMN('Реестр ОН'!$DF$1),0)</f>
        <v>Продажа</v>
      </c>
    </row>
    <row r="346" spans="1:38" hidden="1" x14ac:dyDescent="0.25">
      <c r="A346" s="101">
        <v>344</v>
      </c>
      <c r="B346" s="2" t="str">
        <f>_xlfn.XLOOKUP(наценкад5[[#This Row],[№]],ППД5[№],ППД5[Секция],"-",0)</f>
        <v>В</v>
      </c>
      <c r="C346" s="2">
        <f>_xlfn.XLOOKUP(наценкад5[[#This Row],[№]],ППД5[№],ППД5[Этаж],"-",0)</f>
        <v>18</v>
      </c>
      <c r="D346" s="2">
        <f>_xlfn.XLOOKUP(наценкад5[[#This Row],[№]],ППД5[№],ППД5[№ на этаже],"-",0)</f>
        <v>4</v>
      </c>
      <c r="E346" s="2">
        <f>_xlfn.XLOOKUP(наценкад5[[#This Row],[№]],ППД5[№],ППД5[Тип кв],"-",0)</f>
        <v>2</v>
      </c>
      <c r="F346" s="72">
        <f>_xlfn.XLOOKUP(наценкад5[[#This Row],[№]],ППД5[№],ППД5[Кухня],"-",0)</f>
        <v>15.44</v>
      </c>
      <c r="G346" s="72">
        <f>_xlfn.XLOOKUP(наценкад5[[#This Row],[№]],ППД5[№],ППД5[Ванная],"-",0)</f>
        <v>4.59</v>
      </c>
      <c r="H346" s="72">
        <f>_xlfn.XLOOKUP(наценкад5[[#This Row],[№]],ППД5[№],ППД5[Гардеробная],"-",0)</f>
        <v>0</v>
      </c>
      <c r="I346" s="72">
        <f>_xlfn.XLOOKUP(наценкад5[[#This Row],[№]],ППД5[№],ППД5[Лоджия 2],"-",0)</f>
        <v>0</v>
      </c>
      <c r="J346" s="72">
        <f>_xlfn.XLOOKUP(наценкад5[[#This Row],[№]],ППД5[№],ППД5[С\У],"-",0)</f>
        <v>2.21</v>
      </c>
      <c r="K346" s="72">
        <f>_xlfn.XLOOKUP(наценкад5[[#This Row],[№]],ППД5[№],ППД5[Расчетная проектная площадь],"-",0)</f>
        <v>60.24</v>
      </c>
      <c r="L346" s="12">
        <f t="shared" si="5"/>
        <v>63000</v>
      </c>
      <c r="M346" s="102">
        <f>коэффициенты!$F$2</f>
        <v>1.2257</v>
      </c>
      <c r="N346" s="13">
        <f>наценкад5[[#This Row],[Цена м2 базовая]]*наценкад5[[#This Row],[Базовой K]]</f>
        <v>77219.100000000006</v>
      </c>
      <c r="O346" s="74">
        <f>коэффициенты!$F$4</f>
        <v>1.4999999999999999E-2</v>
      </c>
      <c r="P346" s="76"/>
      <c r="Q346" s="76">
        <f>коэффициенты!$F$6</f>
        <v>0.02</v>
      </c>
      <c r="R346" s="76"/>
      <c r="S346" s="76">
        <f>коэффициенты!$F$9</f>
        <v>0</v>
      </c>
      <c r="T346" s="76"/>
      <c r="U346" s="76"/>
      <c r="V346" s="74">
        <f>коэффициенты!$F$11</f>
        <v>5.0000000000000001E-3</v>
      </c>
      <c r="W346" s="75">
        <f>коэффициенты!$F$12</f>
        <v>0.02</v>
      </c>
      <c r="X346" s="76"/>
      <c r="Y346" s="75"/>
      <c r="Z346" s="76"/>
      <c r="AA346" s="76"/>
      <c r="AB346" s="76"/>
      <c r="AC346" s="76"/>
      <c r="AD346" s="74">
        <f>коэффициенты!$F$19</f>
        <v>5.0000000000000001E-3</v>
      </c>
      <c r="AE346" s="74"/>
      <c r="AF346" s="74">
        <f>коэффициенты!$F$21</f>
        <v>0.01</v>
      </c>
      <c r="AG346" s="76"/>
      <c r="AH346" s="76"/>
      <c r="AI346" s="73">
        <f>SUM(наценкад5[[#This Row],[еврокухня]:[большая площадь]])*наценкад5[[#This Row],[Цена м2 с базовым K]]+наценкад5[[#This Row],[Цена м2 с базовым K]]</f>
        <v>83010.532500000001</v>
      </c>
      <c r="AJ346" s="72">
        <f>VLOOKUP(наценкад5[[#This Row],[№]],ППД5[],COLUMN(ППД5[[#This Row],[утв цена м2]]),0)</f>
        <v>124044.36</v>
      </c>
      <c r="AK346" s="3">
        <f>наценкад5[[#This Row],[утв цена м2]]*наценкад5[[#This Row],[Расчетная проектная площадь]]</f>
        <v>7472432.2464000005</v>
      </c>
      <c r="AL346" s="22" t="str">
        <f>VLOOKUP(наценкад5[[#This Row],[№]],ППД5[],COLUMN('Реестр ОН'!$DF$1),0)</f>
        <v>Свободно</v>
      </c>
    </row>
    <row r="347" spans="1:38" hidden="1" x14ac:dyDescent="0.25">
      <c r="A347" s="101">
        <v>345</v>
      </c>
      <c r="B347" s="2" t="str">
        <f>_xlfn.XLOOKUP(наценкад5[[#This Row],[№]],ППД5[№],ППД5[Секция],"-",0)</f>
        <v>В</v>
      </c>
      <c r="C347" s="2">
        <f>_xlfn.XLOOKUP(наценкад5[[#This Row],[№]],ППД5[№],ППД5[Этаж],"-",0)</f>
        <v>18</v>
      </c>
      <c r="D347" s="2">
        <f>_xlfn.XLOOKUP(наценкад5[[#This Row],[№]],ППД5[№],ППД5[№ на этаже],"-",0)</f>
        <v>5</v>
      </c>
      <c r="E347" s="2">
        <f>_xlfn.XLOOKUP(наценкад5[[#This Row],[№]],ППД5[№],ППД5[Тип кв],"-",0)</f>
        <v>1</v>
      </c>
      <c r="F347" s="72">
        <f>_xlfn.XLOOKUP(наценкад5[[#This Row],[№]],ППД5[№],ППД5[Кухня],"-",0)</f>
        <v>12.74</v>
      </c>
      <c r="G347" s="72">
        <f>_xlfn.XLOOKUP(наценкад5[[#This Row],[№]],ППД5[№],ППД5[Ванная],"-",0)</f>
        <v>4.0199999999999996</v>
      </c>
      <c r="H347" s="72">
        <f>_xlfn.XLOOKUP(наценкад5[[#This Row],[№]],ППД5[№],ППД5[Гардеробная],"-",0)</f>
        <v>0</v>
      </c>
      <c r="I347" s="72">
        <f>_xlfn.XLOOKUP(наценкад5[[#This Row],[№]],ППД5[№],ППД5[Лоджия 2],"-",0)</f>
        <v>0</v>
      </c>
      <c r="J347" s="72">
        <f>_xlfn.XLOOKUP(наценкад5[[#This Row],[№]],ППД5[№],ППД5[С\У],"-",0)</f>
        <v>0</v>
      </c>
      <c r="K347" s="72">
        <f>_xlfn.XLOOKUP(наценкад5[[#This Row],[№]],ППД5[№],ППД5[Расчетная проектная площадь],"-",0)</f>
        <v>37.81</v>
      </c>
      <c r="L347" s="12">
        <f t="shared" si="5"/>
        <v>63000</v>
      </c>
      <c r="M347" s="102">
        <f>коэффициенты!$G$2</f>
        <v>1.2875000000000001</v>
      </c>
      <c r="N347" s="13">
        <f>наценкад5[[#This Row],[Цена м2 базовая]]*наценкад5[[#This Row],[Базовой K]]</f>
        <v>81112.5</v>
      </c>
      <c r="O347" s="74"/>
      <c r="P347" s="76">
        <f>коэффициенты!$G$5</f>
        <v>0.01</v>
      </c>
      <c r="Q347" s="74">
        <f>коэффициенты!$G$6</f>
        <v>0.03</v>
      </c>
      <c r="R347" s="74"/>
      <c r="S347" s="74"/>
      <c r="T347" s="74"/>
      <c r="U347" s="74"/>
      <c r="V347" s="74">
        <f>коэффициенты!$G$11</f>
        <v>0.01</v>
      </c>
      <c r="W347" s="75">
        <f>коэффициенты!$G$12</f>
        <v>0.02</v>
      </c>
      <c r="X347" s="74">
        <f>коэффициенты!$G$13</f>
        <v>0.01</v>
      </c>
      <c r="Y347" s="75"/>
      <c r="Z347" s="74"/>
      <c r="AA347" s="74">
        <f>коэффициенты!$G$14</f>
        <v>0.01</v>
      </c>
      <c r="AB347" s="74"/>
      <c r="AC347" s="74"/>
      <c r="AD347" s="74">
        <f>коэффициенты!$G$19</f>
        <v>0.01</v>
      </c>
      <c r="AE347" s="74"/>
      <c r="AF347" s="74">
        <f>коэффициенты!$G$21</f>
        <v>0.01</v>
      </c>
      <c r="AG347" s="74"/>
      <c r="AH347" s="74"/>
      <c r="AI347" s="73">
        <f>SUM(наценкад5[[#This Row],[еврокухня]:[большая площадь]])*наценкад5[[#This Row],[Цена м2 с базовым K]]+наценкад5[[#This Row],[Цена м2 с базовым K]]</f>
        <v>90034.875</v>
      </c>
      <c r="AJ347" s="72">
        <f>VLOOKUP(наценкад5[[#This Row],[№]],ППД5[],COLUMN(ППД5[[#This Row],[утв цена м2]]),0)</f>
        <v>117188.4</v>
      </c>
      <c r="AK347" s="3">
        <f>наценкад5[[#This Row],[утв цена м2]]*наценкад5[[#This Row],[Расчетная проектная площадь]]</f>
        <v>4430893.4040000001</v>
      </c>
      <c r="AL347" s="22" t="str">
        <f>VLOOKUP(наценкад5[[#This Row],[№]],ППД5[],COLUMN('Реестр ОН'!$DF$1),0)</f>
        <v>Продажа</v>
      </c>
    </row>
    <row r="348" spans="1:38" hidden="1" x14ac:dyDescent="0.25">
      <c r="A348" s="101">
        <v>346</v>
      </c>
      <c r="B348" s="2" t="str">
        <f>_xlfn.XLOOKUP(наценкад5[[#This Row],[№]],ППД5[№],ППД5[Секция],"-",0)</f>
        <v>В</v>
      </c>
      <c r="C348" s="2">
        <f>_xlfn.XLOOKUP(наценкад5[[#This Row],[№]],ППД5[№],ППД5[Этаж],"-",0)</f>
        <v>18</v>
      </c>
      <c r="D348" s="2">
        <f>_xlfn.XLOOKUP(наценкад5[[#This Row],[№]],ППД5[№],ППД5[№ на этаже],"-",0)</f>
        <v>6</v>
      </c>
      <c r="E348" s="2">
        <f>_xlfn.XLOOKUP(наценкад5[[#This Row],[№]],ППД5[№],ППД5[Тип кв],"-",0)</f>
        <v>3</v>
      </c>
      <c r="F348" s="72">
        <f>_xlfn.XLOOKUP(наценкад5[[#This Row],[№]],ППД5[№],ППД5[Кухня],"-",0)</f>
        <v>13.15</v>
      </c>
      <c r="G348" s="72">
        <f>_xlfn.XLOOKUP(наценкад5[[#This Row],[№]],ППД5[№],ППД5[Ванная],"-",0)</f>
        <v>4.03</v>
      </c>
      <c r="H348" s="72">
        <f>_xlfn.XLOOKUP(наценкад5[[#This Row],[№]],ППД5[№],ППД5[Гардеробная],"-",0)</f>
        <v>0</v>
      </c>
      <c r="I348" s="72">
        <f>_xlfn.XLOOKUP(наценкад5[[#This Row],[№]],ППД5[№],ППД5[Лоджия 2],"-",0)</f>
        <v>2.68</v>
      </c>
      <c r="J348" s="72">
        <f>_xlfn.XLOOKUP(наценкад5[[#This Row],[№]],ППД5[№],ППД5[С\У],"-",0)</f>
        <v>1.76</v>
      </c>
      <c r="K348" s="72">
        <f>_xlfn.XLOOKUP(наценкад5[[#This Row],[№]],ППД5[№],ППД5[Расчетная проектная площадь],"-",0)</f>
        <v>80.97</v>
      </c>
      <c r="L348" s="12">
        <f t="shared" si="5"/>
        <v>63000</v>
      </c>
      <c r="M348" s="27">
        <f>коэффициенты!$E$2</f>
        <v>1.1330000000000002</v>
      </c>
      <c r="N348" s="13">
        <f>наценкад5[[#This Row],[Цена м2 базовая]]*наценкад5[[#This Row],[Базовой K]]</f>
        <v>71379.000000000015</v>
      </c>
      <c r="O348" s="74"/>
      <c r="P348" s="74">
        <f>коэффициенты!$E$5</f>
        <v>0</v>
      </c>
      <c r="Q348" s="74">
        <f>коэффициенты!$E$6</f>
        <v>0.01</v>
      </c>
      <c r="R348" s="74"/>
      <c r="S348" s="74">
        <f>коэффициенты!$E$9</f>
        <v>0</v>
      </c>
      <c r="T348" s="74">
        <f>коэффициенты!$E$7</f>
        <v>0</v>
      </c>
      <c r="U348" s="74"/>
      <c r="V348" s="74"/>
      <c r="W348" s="75">
        <f>коэффициенты!$E$12</f>
        <v>0.02</v>
      </c>
      <c r="X348" s="74"/>
      <c r="Y348" s="75"/>
      <c r="Z348" s="74"/>
      <c r="AA348" s="74">
        <f>коэффициенты!$E$14</f>
        <v>0</v>
      </c>
      <c r="AB348" s="74">
        <f>коэффициенты!$E$17</f>
        <v>0</v>
      </c>
      <c r="AC348" s="74"/>
      <c r="AD348" s="74"/>
      <c r="AE348" s="74"/>
      <c r="AF348" s="74">
        <f>коэффициенты!$E$21</f>
        <v>0.01</v>
      </c>
      <c r="AG348" s="74"/>
      <c r="AH348" s="74"/>
      <c r="AI348" s="73">
        <f>SUM(наценкад5[[#This Row],[еврокухня]:[большая площадь]])*наценкад5[[#This Row],[Цена м2 с базовым K]]+наценкад5[[#This Row],[Цена м2 с базовым K]]</f>
        <v>74234.160000000018</v>
      </c>
      <c r="AJ348" s="72">
        <f>VLOOKUP(наценкад5[[#This Row],[№]],ППД5[],COLUMN(ППД5[[#This Row],[утв цена м2]]),0)</f>
        <v>93088.28</v>
      </c>
      <c r="AK348" s="3">
        <f>наценкад5[[#This Row],[утв цена м2]]*наценкад5[[#This Row],[Расчетная проектная площадь]]</f>
        <v>7537358.0315999994</v>
      </c>
      <c r="AL348" s="22" t="str">
        <f>VLOOKUP(наценкад5[[#This Row],[№]],ППД5[],COLUMN('Реестр ОН'!$DF$1),0)</f>
        <v>Продажа</v>
      </c>
    </row>
    <row r="349" spans="1:38" hidden="1" x14ac:dyDescent="0.25">
      <c r="A349" s="101">
        <v>347</v>
      </c>
      <c r="B349" s="2" t="str">
        <f>_xlfn.XLOOKUP(наценкад5[[#This Row],[№]],ППД5[№],ППД5[Секция],"-",0)</f>
        <v>В</v>
      </c>
      <c r="C349" s="2">
        <f>_xlfn.XLOOKUP(наценкад5[[#This Row],[№]],ППД5[№],ППД5[Этаж],"-",0)</f>
        <v>18</v>
      </c>
      <c r="D349" s="2">
        <f>_xlfn.XLOOKUP(наценкад5[[#This Row],[№]],ППД5[№],ППД5[№ на этаже],"-",0)</f>
        <v>7</v>
      </c>
      <c r="E349" s="2">
        <f>_xlfn.XLOOKUP(наценкад5[[#This Row],[№]],ППД5[№],ППД5[Тип кв],"-",0)</f>
        <v>1</v>
      </c>
      <c r="F349" s="72">
        <f>_xlfn.XLOOKUP(наценкад5[[#This Row],[№]],ППД5[№],ППД5[Кухня],"-",0)</f>
        <v>9.2799999999999994</v>
      </c>
      <c r="G349" s="72">
        <f>_xlfn.XLOOKUP(наценкад5[[#This Row],[№]],ППД5[№],ППД5[Ванная],"-",0)</f>
        <v>3.79</v>
      </c>
      <c r="H349" s="72">
        <f>_xlfn.XLOOKUP(наценкад5[[#This Row],[№]],ППД5[№],ППД5[Гардеробная],"-",0)</f>
        <v>0</v>
      </c>
      <c r="I349" s="72">
        <f>_xlfn.XLOOKUP(наценкад5[[#This Row],[№]],ППД5[№],ППД5[Лоджия 2],"-",0)</f>
        <v>0</v>
      </c>
      <c r="J349" s="72">
        <f>_xlfn.XLOOKUP(наценкад5[[#This Row],[№]],ППД5[№],ППД5[С\У],"-",0)</f>
        <v>0</v>
      </c>
      <c r="K349" s="72">
        <f>_xlfn.XLOOKUP(наценкад5[[#This Row],[№]],ППД5[№],ППД5[Расчетная проектная площадь],"-",0)</f>
        <v>34.81</v>
      </c>
      <c r="L349" s="12">
        <f t="shared" si="5"/>
        <v>63000</v>
      </c>
      <c r="M349" s="102">
        <f>коэффициенты!$G$2</f>
        <v>1.2875000000000001</v>
      </c>
      <c r="N349" s="13">
        <f>наценкад5[[#This Row],[Цена м2 базовая]]*наценкад5[[#This Row],[Базовой K]]</f>
        <v>81112.5</v>
      </c>
      <c r="O349" s="74"/>
      <c r="P349" s="74"/>
      <c r="Q349" s="74"/>
      <c r="R349" s="74"/>
      <c r="S349" s="74"/>
      <c r="T349" s="74"/>
      <c r="U349" s="74"/>
      <c r="V349" s="74">
        <f>коэффициенты!$G$11</f>
        <v>0.01</v>
      </c>
      <c r="W349" s="75">
        <f>коэффициенты!$G$12</f>
        <v>0.02</v>
      </c>
      <c r="X349" s="74"/>
      <c r="Y349" s="75"/>
      <c r="Z349" s="74"/>
      <c r="AA349" s="74">
        <f>коэффициенты!$G$14</f>
        <v>0.01</v>
      </c>
      <c r="AB349" s="74"/>
      <c r="AC349" s="74"/>
      <c r="AD349" s="74">
        <f>коэффициенты!$G$19</f>
        <v>0.01</v>
      </c>
      <c r="AE349" s="74"/>
      <c r="AF349" s="74">
        <f>коэффициенты!$G$21</f>
        <v>0.01</v>
      </c>
      <c r="AG349" s="74">
        <f>коэффициенты!$A$24</f>
        <v>-5.0000000000000001E-3</v>
      </c>
      <c r="AH349" s="74"/>
      <c r="AI349" s="73">
        <f>SUM(наценкад5[[#This Row],[еврокухня]:[большая площадь]])*наценкад5[[#This Row],[Цена м2 с базовым K]]+наценкад5[[#This Row],[Цена м2 с базовым K]]</f>
        <v>85573.6875</v>
      </c>
      <c r="AJ349" s="72">
        <f>VLOOKUP(наценкад5[[#This Row],[№]],ППД5[],COLUMN(ППД5[[#This Row],[утв цена м2]]),0)</f>
        <v>124043.8</v>
      </c>
      <c r="AK349" s="3">
        <f>наценкад5[[#This Row],[утв цена м2]]*наценкад5[[#This Row],[Расчетная проектная площадь]]</f>
        <v>4317964.6780000003</v>
      </c>
      <c r="AL349" s="22" t="str">
        <f>VLOOKUP(наценкад5[[#This Row],[№]],ППД5[],COLUMN('Реестр ОН'!$DF$1),0)</f>
        <v>Продажа</v>
      </c>
    </row>
    <row r="350" spans="1:38" hidden="1" x14ac:dyDescent="0.25">
      <c r="A350" s="101">
        <v>348</v>
      </c>
      <c r="B350" s="2" t="str">
        <f>_xlfn.XLOOKUP(наценкад5[[#This Row],[№]],ППД5[№],ППД5[Секция],"-",0)</f>
        <v>В</v>
      </c>
      <c r="C350" s="2">
        <f>_xlfn.XLOOKUP(наценкад5[[#This Row],[№]],ППД5[№],ППД5[Этаж],"-",0)</f>
        <v>19</v>
      </c>
      <c r="D350" s="2">
        <f>_xlfn.XLOOKUP(наценкад5[[#This Row],[№]],ППД5[№],ППД5[№ на этаже],"-",0)</f>
        <v>1</v>
      </c>
      <c r="E350" s="2">
        <f>_xlfn.XLOOKUP(наценкад5[[#This Row],[№]],ППД5[№],ППД5[Тип кв],"-",0)</f>
        <v>2</v>
      </c>
      <c r="F350" s="72">
        <f>_xlfn.XLOOKUP(наценкад5[[#This Row],[№]],ППД5[№],ППД5[Кухня],"-",0)</f>
        <v>20.05</v>
      </c>
      <c r="G350" s="72">
        <f>_xlfn.XLOOKUP(наценкад5[[#This Row],[№]],ППД5[№],ППД5[Ванная],"-",0)</f>
        <v>3.54</v>
      </c>
      <c r="H350" s="72">
        <f>_xlfn.XLOOKUP(наценкад5[[#This Row],[№]],ППД5[№],ППД5[Гардеробная],"-",0)</f>
        <v>0</v>
      </c>
      <c r="I350" s="72">
        <f>_xlfn.XLOOKUP(наценкад5[[#This Row],[№]],ППД5[№],ППД5[Лоджия 2],"-",0)</f>
        <v>2.68</v>
      </c>
      <c r="J350" s="72">
        <f>_xlfn.XLOOKUP(наценкад5[[#This Row],[№]],ППД5[№],ППД5[С\У],"-",0)</f>
        <v>2.93</v>
      </c>
      <c r="K350" s="72">
        <f>_xlfn.XLOOKUP(наценкад5[[#This Row],[№]],ППД5[№],ППД5[Расчетная проектная площадь],"-",0)</f>
        <v>73.7</v>
      </c>
      <c r="L350" s="12">
        <f t="shared" si="5"/>
        <v>63000</v>
      </c>
      <c r="M350" s="102">
        <f>коэффициенты!$F$2</f>
        <v>1.2257</v>
      </c>
      <c r="N350" s="13">
        <f>наценкад5[[#This Row],[Цена м2 базовая]]*наценкад5[[#This Row],[Базовой K]]</f>
        <v>77219.100000000006</v>
      </c>
      <c r="O350" s="74">
        <f>коэффициенты!$F$4</f>
        <v>1.4999999999999999E-2</v>
      </c>
      <c r="P350" s="74"/>
      <c r="Q350" s="76"/>
      <c r="R350" s="76"/>
      <c r="S350" s="76">
        <f>коэффициенты!$F$9</f>
        <v>0</v>
      </c>
      <c r="T350" s="74">
        <f>коэффициенты!$F$7</f>
        <v>0.03</v>
      </c>
      <c r="U350" s="74"/>
      <c r="V350" s="74"/>
      <c r="W350" s="74"/>
      <c r="X350" s="74">
        <f>коэффициенты!$F$13</f>
        <v>0.02</v>
      </c>
      <c r="Y350" s="75"/>
      <c r="Z350" s="76">
        <f>коэффициенты!$F$16</f>
        <v>0.08</v>
      </c>
      <c r="AA350" s="74">
        <f>коэффициенты!$F$14</f>
        <v>0.02</v>
      </c>
      <c r="AB350" s="74"/>
      <c r="AC350" s="74"/>
      <c r="AD350" s="74">
        <f>коэффициенты!$F$19</f>
        <v>5.0000000000000001E-3</v>
      </c>
      <c r="AE350" s="74"/>
      <c r="AF350" s="74">
        <f>коэффициенты!$F$21</f>
        <v>0.01</v>
      </c>
      <c r="AG350" s="74"/>
      <c r="AH350" s="74">
        <f>'отрицательный кф'!$O$27</f>
        <v>-0.08</v>
      </c>
      <c r="AI350" s="73">
        <f>SUM(наценкад5[[#This Row],[еврокухня]:[большая площадь]])*наценкад5[[#This Row],[Цена м2 с базовым K]]+наценкад5[[#This Row],[Цена м2 с базовым K]]</f>
        <v>84941.010000000009</v>
      </c>
      <c r="AJ350" s="72">
        <f>VLOOKUP(наценкад5[[#This Row],[№]],ППД5[],COLUMN(ППД5[[#This Row],[утв цена м2]]),0)</f>
        <v>124349.91</v>
      </c>
      <c r="AK350" s="3">
        <f>наценкад5[[#This Row],[утв цена м2]]*наценкад5[[#This Row],[Расчетная проектная площадь]]</f>
        <v>9164588.3670000006</v>
      </c>
      <c r="AL350" s="22" t="str">
        <f>VLOOKUP(наценкад5[[#This Row],[№]],ППД5[],COLUMN('Реестр ОН'!$DF$1),0)</f>
        <v>Свободно</v>
      </c>
    </row>
    <row r="351" spans="1:38" hidden="1" x14ac:dyDescent="0.25">
      <c r="A351" s="101">
        <v>349</v>
      </c>
      <c r="B351" s="2" t="str">
        <f>_xlfn.XLOOKUP(наценкад5[[#This Row],[№]],ППД5[№],ППД5[Секция],"-",0)</f>
        <v>В</v>
      </c>
      <c r="C351" s="2">
        <f>_xlfn.XLOOKUP(наценкад5[[#This Row],[№]],ППД5[№],ППД5[Этаж],"-",0)</f>
        <v>19</v>
      </c>
      <c r="D351" s="2">
        <f>_xlfn.XLOOKUP(наценкад5[[#This Row],[№]],ППД5[№],ППД5[№ на этаже],"-",0)</f>
        <v>2</v>
      </c>
      <c r="E351" s="2">
        <f>_xlfn.XLOOKUP(наценкад5[[#This Row],[№]],ППД5[№],ППД5[Тип кв],"-",0)</f>
        <v>0</v>
      </c>
      <c r="F351" s="72">
        <f>_xlfn.XLOOKUP(наценкад5[[#This Row],[№]],ППД5[№],ППД5[Кухня],"-",0)</f>
        <v>5.17</v>
      </c>
      <c r="G351" s="72">
        <f>_xlfn.XLOOKUP(наценкад5[[#This Row],[№]],ППД5[№],ППД5[Ванная],"-",0)</f>
        <v>3.72</v>
      </c>
      <c r="H351" s="72">
        <f>_xlfn.XLOOKUP(наценкад5[[#This Row],[№]],ППД5[№],ППД5[Гардеробная],"-",0)</f>
        <v>0</v>
      </c>
      <c r="I351" s="72">
        <f>_xlfn.XLOOKUP(наценкад5[[#This Row],[№]],ППД5[№],ППД5[Лоджия 2],"-",0)</f>
        <v>0</v>
      </c>
      <c r="J351" s="72">
        <f>_xlfn.XLOOKUP(наценкад5[[#This Row],[№]],ППД5[№],ППД5[С\У],"-",0)</f>
        <v>0</v>
      </c>
      <c r="K351" s="72">
        <f>_xlfn.XLOOKUP(наценкад5[[#This Row],[№]],ППД5[№],ППД5[Расчетная проектная площадь],"-",0)</f>
        <v>24.53</v>
      </c>
      <c r="L351" s="12">
        <f t="shared" si="5"/>
        <v>63000</v>
      </c>
      <c r="M351" s="116">
        <f>коэффициенты!$H$2</f>
        <v>1.3905000000000001</v>
      </c>
      <c r="N351" s="13">
        <f>наценкад5[[#This Row],[Цена м2 базовая]]*наценкад5[[#This Row],[Базовой K]]</f>
        <v>87601.5</v>
      </c>
      <c r="O351" s="74"/>
      <c r="P351" s="74"/>
      <c r="Q351" s="74"/>
      <c r="R351" s="74"/>
      <c r="S351" s="74"/>
      <c r="T351" s="74"/>
      <c r="U351" s="74"/>
      <c r="V351" s="74">
        <f>коэффициенты!$H$11</f>
        <v>0.01</v>
      </c>
      <c r="W351" s="117">
        <f>коэффициенты!$H$22</f>
        <v>0.01</v>
      </c>
      <c r="X351" s="74">
        <f>коэффициенты!$H$13</f>
        <v>0.01</v>
      </c>
      <c r="Y351" s="75"/>
      <c r="Z351" s="76">
        <f>коэффициенты!$H$16</f>
        <v>0.08</v>
      </c>
      <c r="AA351" s="74"/>
      <c r="AB351" s="74"/>
      <c r="AC351" s="74"/>
      <c r="AD351" s="74">
        <f>коэффициенты!$H$19</f>
        <v>0.01</v>
      </c>
      <c r="AE351" s="74"/>
      <c r="AF351" s="74">
        <f>коэффициенты!$H$21</f>
        <v>0.01</v>
      </c>
      <c r="AG351" s="74"/>
      <c r="AH351" s="74"/>
      <c r="AI351" s="73">
        <f>SUM(наценкад5[[#This Row],[еврокухня]:[большая площадь]])*наценкад5[[#This Row],[Цена м2 с базовым K]]+наценкад5[[#This Row],[Цена м2 с базовым K]]</f>
        <v>98989.695000000007</v>
      </c>
      <c r="AJ351" s="72">
        <f>VLOOKUP(наценкад5[[#This Row],[№]],ППД5[],COLUMN(ППД5[[#This Row],[утв цена м2]]),0)</f>
        <v>161630.57999999999</v>
      </c>
      <c r="AK351" s="3">
        <f>наценкад5[[#This Row],[утв цена м2]]*наценкад5[[#This Row],[Расчетная проектная площадь]]</f>
        <v>3964798.1273999996</v>
      </c>
      <c r="AL351" s="22" t="str">
        <f>VLOOKUP(наценкад5[[#This Row],[№]],ППД5[],COLUMN('Реестр ОН'!$DF$1),0)</f>
        <v>Ус. Бронь</v>
      </c>
    </row>
    <row r="352" spans="1:38" hidden="1" x14ac:dyDescent="0.25">
      <c r="A352" s="101">
        <v>350</v>
      </c>
      <c r="B352" s="2" t="str">
        <f>_xlfn.XLOOKUP(наценкад5[[#This Row],[№]],ППД5[№],ППД5[Секция],"-",0)</f>
        <v>В</v>
      </c>
      <c r="C352" s="2">
        <f>_xlfn.XLOOKUP(наценкад5[[#This Row],[№]],ППД5[№],ППД5[Этаж],"-",0)</f>
        <v>19</v>
      </c>
      <c r="D352" s="2">
        <f>_xlfn.XLOOKUP(наценкад5[[#This Row],[№]],ППД5[№],ППД5[№ на этаже],"-",0)</f>
        <v>3</v>
      </c>
      <c r="E352" s="2">
        <f>_xlfn.XLOOKUP(наценкад5[[#This Row],[№]],ППД5[№],ППД5[Тип кв],"-",0)</f>
        <v>2</v>
      </c>
      <c r="F352" s="72">
        <f>_xlfn.XLOOKUP(наценкад5[[#This Row],[№]],ППД5[№],ППД5[Кухня],"-",0)</f>
        <v>18.71</v>
      </c>
      <c r="G352" s="72">
        <f>_xlfn.XLOOKUP(наценкад5[[#This Row],[№]],ППД5[№],ППД5[Ванная],"-",0)</f>
        <v>3.49</v>
      </c>
      <c r="H352" s="72">
        <f>_xlfn.XLOOKUP(наценкад5[[#This Row],[№]],ППД5[№],ППД5[Гардеробная],"-",0)</f>
        <v>0</v>
      </c>
      <c r="I352" s="72">
        <f>_xlfn.XLOOKUP(наценкад5[[#This Row],[№]],ППД5[№],ППД5[Лоджия 2],"-",0)</f>
        <v>0</v>
      </c>
      <c r="J352" s="72">
        <f>_xlfn.XLOOKUP(наценкад5[[#This Row],[№]],ППД5[№],ППД5[С\У],"-",0)</f>
        <v>2.11</v>
      </c>
      <c r="K352" s="72">
        <f>_xlfn.XLOOKUP(наценкад5[[#This Row],[№]],ППД5[№],ППД5[Расчетная проектная площадь],"-",0)</f>
        <v>56.58</v>
      </c>
      <c r="L352" s="12">
        <f t="shared" si="5"/>
        <v>63000</v>
      </c>
      <c r="M352" s="102">
        <f>коэффициенты!$F$2</f>
        <v>1.2257</v>
      </c>
      <c r="N352" s="13">
        <f>наценкад5[[#This Row],[Цена м2 базовая]]*наценкад5[[#This Row],[Базовой K]]</f>
        <v>77219.100000000006</v>
      </c>
      <c r="O352" s="74">
        <f>коэффициенты!$F$4</f>
        <v>1.4999999999999999E-2</v>
      </c>
      <c r="P352" s="74"/>
      <c r="Q352" s="76"/>
      <c r="R352" s="76">
        <f>коэффициенты!$F$10</f>
        <v>0</v>
      </c>
      <c r="S352" s="76">
        <f>коэффициенты!$F$9</f>
        <v>0</v>
      </c>
      <c r="T352" s="74"/>
      <c r="U352" s="74"/>
      <c r="V352" s="74"/>
      <c r="W352" s="117">
        <f>коэффициенты!$F$22</f>
        <v>0.01</v>
      </c>
      <c r="X352" s="74"/>
      <c r="Y352" s="75"/>
      <c r="Z352" s="76">
        <f>коэффициенты!$F$16</f>
        <v>0.08</v>
      </c>
      <c r="AA352" s="74"/>
      <c r="AB352" s="74"/>
      <c r="AC352" s="74"/>
      <c r="AD352" s="74">
        <f>коэффициенты!$F$19</f>
        <v>5.0000000000000001E-3</v>
      </c>
      <c r="AE352" s="74"/>
      <c r="AF352" s="74">
        <f>коэффициенты!$F$21</f>
        <v>0.01</v>
      </c>
      <c r="AG352" s="74"/>
      <c r="AH352" s="74"/>
      <c r="AI352" s="73">
        <f>SUM(наценкад5[[#This Row],[еврокухня]:[большая площадь]])*наценкад5[[#This Row],[Цена м2 с базовым K]]+наценкад5[[#This Row],[Цена м2 с базовым K]]</f>
        <v>86485.392000000007</v>
      </c>
      <c r="AJ352" s="72">
        <f>VLOOKUP(наценкад5[[#This Row],[№]],ППД5[],COLUMN(ППД5[[#This Row],[утв цена м2]]),0)</f>
        <v>133940.60999999999</v>
      </c>
      <c r="AK352" s="3">
        <f>наценкад5[[#This Row],[утв цена м2]]*наценкад5[[#This Row],[Расчетная проектная площадь]]</f>
        <v>7578359.7137999991</v>
      </c>
      <c r="AL352" s="22" t="str">
        <f>VLOOKUP(наценкад5[[#This Row],[№]],ППД5[],COLUMN('Реестр ОН'!$DF$1),0)</f>
        <v>Продажа</v>
      </c>
    </row>
    <row r="353" spans="1:38" hidden="1" x14ac:dyDescent="0.25">
      <c r="A353" s="101">
        <v>351</v>
      </c>
      <c r="B353" s="2" t="str">
        <f>_xlfn.XLOOKUP(наценкад5[[#This Row],[№]],ППД5[№],ППД5[Секция],"-",0)</f>
        <v>В</v>
      </c>
      <c r="C353" s="2">
        <f>_xlfn.XLOOKUP(наценкад5[[#This Row],[№]],ППД5[№],ППД5[Этаж],"-",0)</f>
        <v>19</v>
      </c>
      <c r="D353" s="2">
        <f>_xlfn.XLOOKUP(наценкад5[[#This Row],[№]],ППД5[№],ППД5[№ на этаже],"-",0)</f>
        <v>4</v>
      </c>
      <c r="E353" s="2">
        <f>_xlfn.XLOOKUP(наценкад5[[#This Row],[№]],ППД5[№],ППД5[Тип кв],"-",0)</f>
        <v>2</v>
      </c>
      <c r="F353" s="72">
        <f>_xlfn.XLOOKUP(наценкад5[[#This Row],[№]],ППД5[№],ППД5[Кухня],"-",0)</f>
        <v>15.44</v>
      </c>
      <c r="G353" s="72">
        <f>_xlfn.XLOOKUP(наценкад5[[#This Row],[№]],ППД5[№],ППД5[Ванная],"-",0)</f>
        <v>4.59</v>
      </c>
      <c r="H353" s="72">
        <f>_xlfn.XLOOKUP(наценкад5[[#This Row],[№]],ППД5[№],ППД5[Гардеробная],"-",0)</f>
        <v>0</v>
      </c>
      <c r="I353" s="72">
        <f>_xlfn.XLOOKUP(наценкад5[[#This Row],[№]],ППД5[№],ППД5[Лоджия 2],"-",0)</f>
        <v>0</v>
      </c>
      <c r="J353" s="72">
        <f>_xlfn.XLOOKUP(наценкад5[[#This Row],[№]],ППД5[№],ППД5[С\У],"-",0)</f>
        <v>2.21</v>
      </c>
      <c r="K353" s="72">
        <f>_xlfn.XLOOKUP(наценкад5[[#This Row],[№]],ППД5[№],ППД5[Расчетная проектная площадь],"-",0)</f>
        <v>60.24</v>
      </c>
      <c r="L353" s="12">
        <f t="shared" si="5"/>
        <v>63000</v>
      </c>
      <c r="M353" s="102">
        <f>коэффициенты!$F$2</f>
        <v>1.2257</v>
      </c>
      <c r="N353" s="13">
        <f>наценкад5[[#This Row],[Цена м2 базовая]]*наценкад5[[#This Row],[Базовой K]]</f>
        <v>77219.100000000006</v>
      </c>
      <c r="O353" s="74">
        <f>коэффициенты!$F$4</f>
        <v>1.4999999999999999E-2</v>
      </c>
      <c r="P353" s="74"/>
      <c r="Q353" s="76">
        <f>коэффициенты!$F$6</f>
        <v>0.02</v>
      </c>
      <c r="R353" s="76"/>
      <c r="S353" s="76">
        <f>коэффициенты!$F$9</f>
        <v>0</v>
      </c>
      <c r="T353" s="74"/>
      <c r="U353" s="74"/>
      <c r="V353" s="74">
        <f>коэффициенты!$F$11</f>
        <v>5.0000000000000001E-3</v>
      </c>
      <c r="W353" s="117">
        <f>коэффициенты!$F$22</f>
        <v>0.01</v>
      </c>
      <c r="X353" s="74"/>
      <c r="Y353" s="75"/>
      <c r="Z353" s="76">
        <f>коэффициенты!$F$16</f>
        <v>0.08</v>
      </c>
      <c r="AA353" s="74"/>
      <c r="AB353" s="74"/>
      <c r="AC353" s="74"/>
      <c r="AD353" s="74">
        <f>коэффициенты!$F$19</f>
        <v>5.0000000000000001E-3</v>
      </c>
      <c r="AE353" s="74"/>
      <c r="AF353" s="74">
        <f>коэффициенты!$F$21</f>
        <v>0.01</v>
      </c>
      <c r="AG353" s="74"/>
      <c r="AH353" s="74"/>
      <c r="AI353" s="73">
        <f>SUM(наценкад5[[#This Row],[еврокухня]:[большая площадь]])*наценкад5[[#This Row],[Цена м2 с базовым K]]+наценкад5[[#This Row],[Цена м2 с базовым K]]</f>
        <v>88415.869500000001</v>
      </c>
      <c r="AJ353" s="72">
        <f>VLOOKUP(наценкад5[[#This Row],[№]],ППД5[],COLUMN(ППД5[[#This Row],[утв цена м2]]),0)</f>
        <v>132119.38</v>
      </c>
      <c r="AK353" s="3">
        <f>наценкад5[[#This Row],[утв цена м2]]*наценкад5[[#This Row],[Расчетная проектная площадь]]</f>
        <v>7958871.4512000009</v>
      </c>
      <c r="AL353" s="22" t="str">
        <f>VLOOKUP(наценкад5[[#This Row],[№]],ППД5[],COLUMN('Реестр ОН'!$DF$1),0)</f>
        <v>Свободно</v>
      </c>
    </row>
    <row r="354" spans="1:38" hidden="1" x14ac:dyDescent="0.25">
      <c r="A354" s="101">
        <v>352</v>
      </c>
      <c r="B354" s="2" t="str">
        <f>_xlfn.XLOOKUP(наценкад5[[#This Row],[№]],ППД5[№],ППД5[Секция],"-",0)</f>
        <v>В</v>
      </c>
      <c r="C354" s="2">
        <f>_xlfn.XLOOKUP(наценкад5[[#This Row],[№]],ППД5[№],ППД5[Этаж],"-",0)</f>
        <v>19</v>
      </c>
      <c r="D354" s="2">
        <f>_xlfn.XLOOKUP(наценкад5[[#This Row],[№]],ППД5[№],ППД5[№ на этаже],"-",0)</f>
        <v>5</v>
      </c>
      <c r="E354" s="2">
        <f>_xlfn.XLOOKUP(наценкад5[[#This Row],[№]],ППД5[№],ППД5[Тип кв],"-",0)</f>
        <v>1</v>
      </c>
      <c r="F354" s="72">
        <f>_xlfn.XLOOKUP(наценкад5[[#This Row],[№]],ППД5[№],ППД5[Кухня],"-",0)</f>
        <v>12.74</v>
      </c>
      <c r="G354" s="72">
        <f>_xlfn.XLOOKUP(наценкад5[[#This Row],[№]],ППД5[№],ППД5[Ванная],"-",0)</f>
        <v>4.0199999999999996</v>
      </c>
      <c r="H354" s="72">
        <f>_xlfn.XLOOKUP(наценкад5[[#This Row],[№]],ППД5[№],ППД5[Гардеробная],"-",0)</f>
        <v>0</v>
      </c>
      <c r="I354" s="72">
        <f>_xlfn.XLOOKUP(наценкад5[[#This Row],[№]],ППД5[№],ППД5[Лоджия 2],"-",0)</f>
        <v>0</v>
      </c>
      <c r="J354" s="72">
        <f>_xlfn.XLOOKUP(наценкад5[[#This Row],[№]],ППД5[№],ППД5[С\У],"-",0)</f>
        <v>0</v>
      </c>
      <c r="K354" s="72">
        <f>_xlfn.XLOOKUP(наценкад5[[#This Row],[№]],ППД5[№],ППД5[Расчетная проектная площадь],"-",0)</f>
        <v>37.81</v>
      </c>
      <c r="L354" s="12">
        <f t="shared" si="5"/>
        <v>63000</v>
      </c>
      <c r="M354" s="102">
        <f>коэффициенты!$G$2</f>
        <v>1.2875000000000001</v>
      </c>
      <c r="N354" s="13">
        <f>наценкад5[[#This Row],[Цена м2 базовая]]*наценкад5[[#This Row],[Базовой K]]</f>
        <v>81112.5</v>
      </c>
      <c r="O354" s="74"/>
      <c r="P354" s="76">
        <f>коэффициенты!$G$5</f>
        <v>0.01</v>
      </c>
      <c r="Q354" s="74">
        <f>коэффициенты!$G$6</f>
        <v>0.03</v>
      </c>
      <c r="R354" s="74"/>
      <c r="S354" s="74"/>
      <c r="T354" s="74"/>
      <c r="U354" s="74"/>
      <c r="V354" s="74">
        <f>коэффициенты!$G$11</f>
        <v>0.01</v>
      </c>
      <c r="W354" s="117">
        <f>коэффициенты!$G$22</f>
        <v>0.01</v>
      </c>
      <c r="X354" s="74">
        <f>коэффициенты!$G$13</f>
        <v>0.01</v>
      </c>
      <c r="Y354" s="75"/>
      <c r="Z354" s="76">
        <f>коэффициенты!$G$16</f>
        <v>0.08</v>
      </c>
      <c r="AA354" s="74">
        <f>коэффициенты!$G$14</f>
        <v>0.01</v>
      </c>
      <c r="AB354" s="74"/>
      <c r="AC354" s="74"/>
      <c r="AD354" s="74">
        <f>коэффициенты!$G$19</f>
        <v>0.01</v>
      </c>
      <c r="AE354" s="74"/>
      <c r="AF354" s="74">
        <f>коэффициенты!$G$21</f>
        <v>0.01</v>
      </c>
      <c r="AG354" s="74"/>
      <c r="AH354" s="74"/>
      <c r="AI354" s="73">
        <f>SUM(наценкад5[[#This Row],[еврокухня]:[большая площадь]])*наценкад5[[#This Row],[Цена м2 с базовым K]]+наценкад5[[#This Row],[Цена м2 с базовым K]]</f>
        <v>95712.75</v>
      </c>
      <c r="AJ354" s="72">
        <f>VLOOKUP(наценкад5[[#This Row],[№]],ППД5[],COLUMN(ППД5[[#This Row],[утв цена м2]]),0)</f>
        <v>119794.09</v>
      </c>
      <c r="AK354" s="3">
        <f>наценкад5[[#This Row],[утв цена м2]]*наценкад5[[#This Row],[Расчетная проектная площадь]]</f>
        <v>4529414.5428999998</v>
      </c>
      <c r="AL354" s="22" t="str">
        <f>VLOOKUP(наценкад5[[#This Row],[№]],ППД5[],COLUMN('Реестр ОН'!$DF$1),0)</f>
        <v>Продажа</v>
      </c>
    </row>
    <row r="355" spans="1:38" hidden="1" x14ac:dyDescent="0.25">
      <c r="A355" s="101">
        <v>353</v>
      </c>
      <c r="B355" s="2" t="str">
        <f>_xlfn.XLOOKUP(наценкад5[[#This Row],[№]],ППД5[№],ППД5[Секция],"-",0)</f>
        <v>В</v>
      </c>
      <c r="C355" s="2">
        <f>_xlfn.XLOOKUP(наценкад5[[#This Row],[№]],ППД5[№],ППД5[Этаж],"-",0)</f>
        <v>19</v>
      </c>
      <c r="D355" s="2">
        <f>_xlfn.XLOOKUP(наценкад5[[#This Row],[№]],ППД5[№],ППД5[№ на этаже],"-",0)</f>
        <v>6</v>
      </c>
      <c r="E355" s="2">
        <f>_xlfn.XLOOKUP(наценкад5[[#This Row],[№]],ППД5[№],ППД5[Тип кв],"-",0)</f>
        <v>3</v>
      </c>
      <c r="F355" s="72">
        <f>_xlfn.XLOOKUP(наценкад5[[#This Row],[№]],ППД5[№],ППД5[Кухня],"-",0)</f>
        <v>13.15</v>
      </c>
      <c r="G355" s="72">
        <f>_xlfn.XLOOKUP(наценкад5[[#This Row],[№]],ППД5[№],ППД5[Ванная],"-",0)</f>
        <v>4.03</v>
      </c>
      <c r="H355" s="72">
        <f>_xlfn.XLOOKUP(наценкад5[[#This Row],[№]],ППД5[№],ППД5[Гардеробная],"-",0)</f>
        <v>0</v>
      </c>
      <c r="I355" s="72">
        <f>_xlfn.XLOOKUP(наценкад5[[#This Row],[№]],ППД5[№],ППД5[Лоджия 2],"-",0)</f>
        <v>2.68</v>
      </c>
      <c r="J355" s="72">
        <f>_xlfn.XLOOKUP(наценкад5[[#This Row],[№]],ППД5[№],ППД5[С\У],"-",0)</f>
        <v>1.76</v>
      </c>
      <c r="K355" s="72">
        <f>_xlfn.XLOOKUP(наценкад5[[#This Row],[№]],ППД5[№],ППД5[Расчетная проектная площадь],"-",0)</f>
        <v>80.97</v>
      </c>
      <c r="L355" s="12">
        <f t="shared" si="5"/>
        <v>63000</v>
      </c>
      <c r="M355" s="27">
        <f>коэффициенты!$E$2</f>
        <v>1.1330000000000002</v>
      </c>
      <c r="N355" s="13">
        <f>наценкад5[[#This Row],[Цена м2 базовая]]*наценкад5[[#This Row],[Базовой K]]</f>
        <v>71379.000000000015</v>
      </c>
      <c r="O355" s="74"/>
      <c r="P355" s="74">
        <f>коэффициенты!$E$5</f>
        <v>0</v>
      </c>
      <c r="Q355" s="74">
        <f>коэффициенты!$E$6</f>
        <v>0.01</v>
      </c>
      <c r="R355" s="74"/>
      <c r="S355" s="74">
        <f>коэффициенты!$E$9</f>
        <v>0</v>
      </c>
      <c r="T355" s="74">
        <f>коэффициенты!$E$7</f>
        <v>0</v>
      </c>
      <c r="U355" s="74"/>
      <c r="V355" s="74"/>
      <c r="W355" s="117">
        <f>коэффициенты!$A$22</f>
        <v>0.01</v>
      </c>
      <c r="X355" s="74"/>
      <c r="Y355" s="75"/>
      <c r="Z355" s="76">
        <f>коэффициенты!$A$16</f>
        <v>0.08</v>
      </c>
      <c r="AA355" s="74">
        <f>коэффициенты!$E$14</f>
        <v>0</v>
      </c>
      <c r="AB355" s="74">
        <f>коэффициенты!$E$17</f>
        <v>0</v>
      </c>
      <c r="AC355" s="74"/>
      <c r="AD355" s="74"/>
      <c r="AE355" s="74"/>
      <c r="AF355" s="74">
        <f>коэффициенты!$E$21</f>
        <v>0.01</v>
      </c>
      <c r="AG355" s="74"/>
      <c r="AH355" s="74"/>
      <c r="AI355" s="73">
        <f>SUM(наценкад5[[#This Row],[еврокухня]:[большая площадь]])*наценкад5[[#This Row],[Цена м2 с базовым K]]+наценкад5[[#This Row],[Цена м2 с базовым K]]</f>
        <v>79230.690000000017</v>
      </c>
      <c r="AJ355" s="72">
        <f>VLOOKUP(наценкад5[[#This Row],[№]],ППД5[],COLUMN(ППД5[[#This Row],[утв цена м2]]),0)</f>
        <v>85687.99</v>
      </c>
      <c r="AK355" s="3">
        <f>наценкад5[[#This Row],[утв цена м2]]*наценкад5[[#This Row],[Расчетная проектная площадь]]</f>
        <v>6938156.5503000002</v>
      </c>
      <c r="AL355" s="22" t="str">
        <f>VLOOKUP(наценкад5[[#This Row],[№]],ППД5[],COLUMN('Реестр ОН'!$DF$1),0)</f>
        <v>Продажа</v>
      </c>
    </row>
    <row r="356" spans="1:38" hidden="1" x14ac:dyDescent="0.25">
      <c r="A356" s="101">
        <v>354</v>
      </c>
      <c r="B356" s="2" t="str">
        <f>_xlfn.XLOOKUP(наценкад5[[#This Row],[№]],ППД5[№],ППД5[Секция],"-",0)</f>
        <v>В</v>
      </c>
      <c r="C356" s="2">
        <f>_xlfn.XLOOKUP(наценкад5[[#This Row],[№]],ППД5[№],ППД5[Этаж],"-",0)</f>
        <v>19</v>
      </c>
      <c r="D356" s="2">
        <f>_xlfn.XLOOKUP(наценкад5[[#This Row],[№]],ППД5[№],ППД5[№ на этаже],"-",0)</f>
        <v>7</v>
      </c>
      <c r="E356" s="2">
        <f>_xlfn.XLOOKUP(наценкад5[[#This Row],[№]],ППД5[№],ППД5[Тип кв],"-",0)</f>
        <v>1</v>
      </c>
      <c r="F356" s="72">
        <f>_xlfn.XLOOKUP(наценкад5[[#This Row],[№]],ППД5[№],ППД5[Кухня],"-",0)</f>
        <v>9.2799999999999994</v>
      </c>
      <c r="G356" s="72">
        <f>_xlfn.XLOOKUP(наценкад5[[#This Row],[№]],ППД5[№],ППД5[Ванная],"-",0)</f>
        <v>3.79</v>
      </c>
      <c r="H356" s="72">
        <f>_xlfn.XLOOKUP(наценкад5[[#This Row],[№]],ППД5[№],ППД5[Гардеробная],"-",0)</f>
        <v>0</v>
      </c>
      <c r="I356" s="72">
        <f>_xlfn.XLOOKUP(наценкад5[[#This Row],[№]],ППД5[№],ППД5[Лоджия 2],"-",0)</f>
        <v>0</v>
      </c>
      <c r="J356" s="72">
        <f>_xlfn.XLOOKUP(наценкад5[[#This Row],[№]],ППД5[№],ППД5[С\У],"-",0)</f>
        <v>0</v>
      </c>
      <c r="K356" s="72">
        <f>_xlfn.XLOOKUP(наценкад5[[#This Row],[№]],ППД5[№],ППД5[Расчетная проектная площадь],"-",0)</f>
        <v>34.81</v>
      </c>
      <c r="L356" s="12">
        <f t="shared" si="5"/>
        <v>63000</v>
      </c>
      <c r="M356" s="102">
        <f>коэффициенты!$G$2</f>
        <v>1.2875000000000001</v>
      </c>
      <c r="N356" s="13">
        <f>наценкад5[[#This Row],[Цена м2 базовая]]*наценкад5[[#This Row],[Базовой K]]</f>
        <v>81112.5</v>
      </c>
      <c r="O356" s="74"/>
      <c r="P356" s="74"/>
      <c r="Q356" s="74"/>
      <c r="R356" s="74"/>
      <c r="S356" s="74"/>
      <c r="T356" s="74"/>
      <c r="U356" s="74"/>
      <c r="V356" s="74">
        <f>коэффициенты!$G$11</f>
        <v>0.01</v>
      </c>
      <c r="W356" s="117">
        <f>коэффициенты!$G$22</f>
        <v>0.01</v>
      </c>
      <c r="X356" s="74"/>
      <c r="Y356" s="75"/>
      <c r="Z356" s="76">
        <f>коэффициенты!$G$16</f>
        <v>0.08</v>
      </c>
      <c r="AA356" s="74">
        <f>коэффициенты!$G$14</f>
        <v>0.01</v>
      </c>
      <c r="AB356" s="74"/>
      <c r="AC356" s="74"/>
      <c r="AD356" s="74">
        <f>коэффициенты!$G$19</f>
        <v>0.01</v>
      </c>
      <c r="AE356" s="74"/>
      <c r="AF356" s="74">
        <f>коэффициенты!$G$21</f>
        <v>0.01</v>
      </c>
      <c r="AG356" s="74">
        <f>коэффициенты!$A$24</f>
        <v>-5.0000000000000001E-3</v>
      </c>
      <c r="AH356" s="74"/>
      <c r="AI356" s="73">
        <f>SUM(наценкад5[[#This Row],[еврокухня]:[большая площадь]])*наценкад5[[#This Row],[Цена м2 с базовым K]]+наценкад5[[#This Row],[Цена м2 с базовым K]]</f>
        <v>91251.5625</v>
      </c>
      <c r="AJ356" s="72">
        <f>VLOOKUP(наценкад5[[#This Row],[№]],ППД5[],COLUMN(ППД5[[#This Row],[утв цена м2]]),0)</f>
        <v>156978.32999999999</v>
      </c>
      <c r="AK356" s="3">
        <f>наценкад5[[#This Row],[утв цена м2]]*наценкад5[[#This Row],[Расчетная проектная площадь]]</f>
        <v>5464415.6672999999</v>
      </c>
      <c r="AL356" s="22" t="str">
        <f>VLOOKUP(наценкад5[[#This Row],[№]],ППД5[],COLUMN('Реестр ОН'!$DF$1),0)</f>
        <v>Свободно</v>
      </c>
    </row>
    <row r="357" spans="1:38" hidden="1" x14ac:dyDescent="0.25">
      <c r="A357" s="101">
        <v>355</v>
      </c>
      <c r="B357" s="2" t="str">
        <f>_xlfn.XLOOKUP(наценкад5[[#This Row],[№]],ППД5[№],ППД5[Секция],"-",0)</f>
        <v>В</v>
      </c>
      <c r="C357" s="2">
        <f>_xlfn.XLOOKUP(наценкад5[[#This Row],[№]],ППД5[№],ППД5[Этаж],"-",0)</f>
        <v>20</v>
      </c>
      <c r="D357" s="2">
        <f>_xlfn.XLOOKUP(наценкад5[[#This Row],[№]],ППД5[№],ППД5[№ на этаже],"-",0)</f>
        <v>1</v>
      </c>
      <c r="E357" s="2">
        <f>_xlfn.XLOOKUP(наценкад5[[#This Row],[№]],ППД5[№],ППД5[Тип кв],"-",0)</f>
        <v>2</v>
      </c>
      <c r="F357" s="72">
        <f>_xlfn.XLOOKUP(наценкад5[[#This Row],[№]],ППД5[№],ППД5[Кухня],"-",0)</f>
        <v>20.05</v>
      </c>
      <c r="G357" s="72">
        <f>_xlfn.XLOOKUP(наценкад5[[#This Row],[№]],ППД5[№],ППД5[Ванная],"-",0)</f>
        <v>3.54</v>
      </c>
      <c r="H357" s="72">
        <f>_xlfn.XLOOKUP(наценкад5[[#This Row],[№]],ППД5[№],ППД5[Гардеробная],"-",0)</f>
        <v>0</v>
      </c>
      <c r="I357" s="72">
        <f>_xlfn.XLOOKUP(наценкад5[[#This Row],[№]],ППД5[№],ППД5[Лоджия 2],"-",0)</f>
        <v>2.68</v>
      </c>
      <c r="J357" s="72">
        <f>_xlfn.XLOOKUP(наценкад5[[#This Row],[№]],ППД5[№],ППД5[С\У],"-",0)</f>
        <v>2.93</v>
      </c>
      <c r="K357" s="72">
        <f>_xlfn.XLOOKUP(наценкад5[[#This Row],[№]],ППД5[№],ППД5[Расчетная проектная площадь],"-",0)</f>
        <v>73.7</v>
      </c>
      <c r="L357" s="12">
        <f t="shared" si="5"/>
        <v>63000</v>
      </c>
      <c r="M357" s="102">
        <f>коэффициенты!$F$2</f>
        <v>1.2257</v>
      </c>
      <c r="N357" s="13">
        <f>наценкад5[[#This Row],[Цена м2 базовая]]*наценкад5[[#This Row],[Базовой K]]</f>
        <v>77219.100000000006</v>
      </c>
      <c r="O357" s="74">
        <f>коэффициенты!$F$4</f>
        <v>1.4999999999999999E-2</v>
      </c>
      <c r="P357" s="74"/>
      <c r="Q357" s="76"/>
      <c r="R357" s="76"/>
      <c r="S357" s="76">
        <f>коэффициенты!$F$9</f>
        <v>0</v>
      </c>
      <c r="T357" s="74">
        <f>коэффициенты!$F$7</f>
        <v>0.03</v>
      </c>
      <c r="U357" s="74"/>
      <c r="V357" s="74"/>
      <c r="W357" s="75">
        <f>коэффициенты!$F$12</f>
        <v>0.02</v>
      </c>
      <c r="X357" s="74">
        <f>коэффициенты!$F$13</f>
        <v>0.02</v>
      </c>
      <c r="Y357" s="75"/>
      <c r="Z357" s="76">
        <f>коэффициенты!$F$16</f>
        <v>0.08</v>
      </c>
      <c r="AA357" s="74">
        <f>коэффициенты!$F$14</f>
        <v>0.02</v>
      </c>
      <c r="AB357" s="74"/>
      <c r="AC357" s="74"/>
      <c r="AD357" s="74">
        <f>коэффициенты!$F$19</f>
        <v>5.0000000000000001E-3</v>
      </c>
      <c r="AE357" s="74"/>
      <c r="AF357" s="74">
        <f>коэффициенты!$F$21</f>
        <v>0.01</v>
      </c>
      <c r="AG357" s="74"/>
      <c r="AH357" s="74">
        <f>'отрицательный кф'!$O$27</f>
        <v>-0.08</v>
      </c>
      <c r="AI357" s="73">
        <f>SUM(наценкад5[[#This Row],[еврокухня]:[большая площадь]])*наценкад5[[#This Row],[Цена м2 с базовым K]]+наценкад5[[#This Row],[Цена м2 с базовым K]]</f>
        <v>86485.392000000007</v>
      </c>
      <c r="AJ357" s="72">
        <f>VLOOKUP(наценкад5[[#This Row],[№]],ППД5[],COLUMN(ППД5[[#This Row],[утв цена м2]]),0)</f>
        <v>103716.14</v>
      </c>
      <c r="AK357" s="3">
        <f>наценкад5[[#This Row],[утв цена м2]]*наценкад5[[#This Row],[Расчетная проектная площадь]]</f>
        <v>7643879.5180000002</v>
      </c>
      <c r="AL357" s="22" t="str">
        <f>VLOOKUP(наценкад5[[#This Row],[№]],ППД5[],COLUMN('Реестр ОН'!$DF$1),0)</f>
        <v>Продажа</v>
      </c>
    </row>
    <row r="358" spans="1:38" hidden="1" x14ac:dyDescent="0.25">
      <c r="A358" s="101">
        <v>356</v>
      </c>
      <c r="B358" s="2" t="str">
        <f>_xlfn.XLOOKUP(наценкад5[[#This Row],[№]],ППД5[№],ППД5[Секция],"-",0)</f>
        <v>В</v>
      </c>
      <c r="C358" s="2">
        <f>_xlfn.XLOOKUP(наценкад5[[#This Row],[№]],ППД5[№],ППД5[Этаж],"-",0)</f>
        <v>20</v>
      </c>
      <c r="D358" s="2">
        <f>_xlfn.XLOOKUP(наценкад5[[#This Row],[№]],ППД5[№],ППД5[№ на этаже],"-",0)</f>
        <v>2</v>
      </c>
      <c r="E358" s="2">
        <f>_xlfn.XLOOKUP(наценкад5[[#This Row],[№]],ППД5[№],ППД5[Тип кв],"-",0)</f>
        <v>0</v>
      </c>
      <c r="F358" s="72">
        <f>_xlfn.XLOOKUP(наценкад5[[#This Row],[№]],ППД5[№],ППД5[Кухня],"-",0)</f>
        <v>5.17</v>
      </c>
      <c r="G358" s="72">
        <f>_xlfn.XLOOKUP(наценкад5[[#This Row],[№]],ППД5[№],ППД5[Ванная],"-",0)</f>
        <v>3.72</v>
      </c>
      <c r="H358" s="72">
        <f>_xlfn.XLOOKUP(наценкад5[[#This Row],[№]],ППД5[№],ППД5[Гардеробная],"-",0)</f>
        <v>0</v>
      </c>
      <c r="I358" s="72">
        <f>_xlfn.XLOOKUP(наценкад5[[#This Row],[№]],ППД5[№],ППД5[Лоджия 2],"-",0)</f>
        <v>0</v>
      </c>
      <c r="J358" s="72">
        <f>_xlfn.XLOOKUP(наценкад5[[#This Row],[№]],ППД5[№],ППД5[С\У],"-",0)</f>
        <v>0</v>
      </c>
      <c r="K358" s="72">
        <f>_xlfn.XLOOKUP(наценкад5[[#This Row],[№]],ППД5[№],ППД5[Расчетная проектная площадь],"-",0)</f>
        <v>24.53</v>
      </c>
      <c r="L358" s="12">
        <f t="shared" si="5"/>
        <v>63000</v>
      </c>
      <c r="M358" s="116">
        <f>коэффициенты!$H$2</f>
        <v>1.3905000000000001</v>
      </c>
      <c r="N358" s="13">
        <f>наценкад5[[#This Row],[Цена м2 базовая]]*наценкад5[[#This Row],[Базовой K]]</f>
        <v>87601.5</v>
      </c>
      <c r="O358" s="74"/>
      <c r="P358" s="74"/>
      <c r="Q358" s="74"/>
      <c r="R358" s="74"/>
      <c r="S358" s="74"/>
      <c r="T358" s="74"/>
      <c r="U358" s="74"/>
      <c r="V358" s="74">
        <f>коэффициенты!$H$11</f>
        <v>0.01</v>
      </c>
      <c r="W358" s="75">
        <f>коэффициенты!$H$12</f>
        <v>0.02</v>
      </c>
      <c r="X358" s="74">
        <f>коэффициенты!$H$13</f>
        <v>0.01</v>
      </c>
      <c r="Y358" s="75"/>
      <c r="Z358" s="76">
        <f>коэффициенты!$H$16</f>
        <v>0.08</v>
      </c>
      <c r="AA358" s="74"/>
      <c r="AB358" s="74"/>
      <c r="AC358" s="74"/>
      <c r="AD358" s="74">
        <f>коэффициенты!$H$19</f>
        <v>0.01</v>
      </c>
      <c r="AE358" s="74"/>
      <c r="AF358" s="74">
        <f>коэффициенты!$H$21</f>
        <v>0.01</v>
      </c>
      <c r="AG358" s="74"/>
      <c r="AH358" s="74"/>
      <c r="AI358" s="73">
        <f>SUM(наценкад5[[#This Row],[еврокухня]:[большая площадь]])*наценкад5[[#This Row],[Цена м2 с базовым K]]+наценкад5[[#This Row],[Цена м2 с базовым K]]</f>
        <v>99865.71</v>
      </c>
      <c r="AJ358" s="72">
        <f>VLOOKUP(наценкад5[[#This Row],[№]],ППД5[],COLUMN(ППД5[[#This Row],[утв цена м2]]),0)</f>
        <v>163060.63</v>
      </c>
      <c r="AK358" s="3">
        <f>наценкад5[[#This Row],[утв цена м2]]*наценкад5[[#This Row],[Расчетная проектная площадь]]</f>
        <v>3999877.2539000004</v>
      </c>
      <c r="AL358" s="22" t="str">
        <f>VLOOKUP(наценкад5[[#This Row],[№]],ППД5[],COLUMN('Реестр ОН'!$DF$1),0)</f>
        <v>Стр. Резерв</v>
      </c>
    </row>
    <row r="359" spans="1:38" hidden="1" x14ac:dyDescent="0.25">
      <c r="A359" s="101">
        <v>357</v>
      </c>
      <c r="B359" s="2" t="str">
        <f>_xlfn.XLOOKUP(наценкад5[[#This Row],[№]],ППД5[№],ППД5[Секция],"-",0)</f>
        <v>В</v>
      </c>
      <c r="C359" s="2">
        <f>_xlfn.XLOOKUP(наценкад5[[#This Row],[№]],ППД5[№],ППД5[Этаж],"-",0)</f>
        <v>20</v>
      </c>
      <c r="D359" s="2">
        <f>_xlfn.XLOOKUP(наценкад5[[#This Row],[№]],ППД5[№],ППД5[№ на этаже],"-",0)</f>
        <v>3</v>
      </c>
      <c r="E359" s="2">
        <f>_xlfn.XLOOKUP(наценкад5[[#This Row],[№]],ППД5[№],ППД5[Тип кв],"-",0)</f>
        <v>2</v>
      </c>
      <c r="F359" s="72">
        <f>_xlfn.XLOOKUP(наценкад5[[#This Row],[№]],ППД5[№],ППД5[Кухня],"-",0)</f>
        <v>18.71</v>
      </c>
      <c r="G359" s="72">
        <f>_xlfn.XLOOKUP(наценкад5[[#This Row],[№]],ППД5[№],ППД5[Ванная],"-",0)</f>
        <v>3.49</v>
      </c>
      <c r="H359" s="72">
        <f>_xlfn.XLOOKUP(наценкад5[[#This Row],[№]],ППД5[№],ППД5[Гардеробная],"-",0)</f>
        <v>0</v>
      </c>
      <c r="I359" s="72">
        <f>_xlfn.XLOOKUP(наценкад5[[#This Row],[№]],ППД5[№],ППД5[Лоджия 2],"-",0)</f>
        <v>0</v>
      </c>
      <c r="J359" s="72">
        <f>_xlfn.XLOOKUP(наценкад5[[#This Row],[№]],ППД5[№],ППД5[С\У],"-",0)</f>
        <v>2.11</v>
      </c>
      <c r="K359" s="72">
        <f>_xlfn.XLOOKUP(наценкад5[[#This Row],[№]],ППД5[№],ППД5[Расчетная проектная площадь],"-",0)</f>
        <v>56.58</v>
      </c>
      <c r="L359" s="12">
        <f t="shared" si="5"/>
        <v>63000</v>
      </c>
      <c r="M359" s="102">
        <f>коэффициенты!$F$2</f>
        <v>1.2257</v>
      </c>
      <c r="N359" s="13">
        <f>наценкад5[[#This Row],[Цена м2 базовая]]*наценкад5[[#This Row],[Базовой K]]</f>
        <v>77219.100000000006</v>
      </c>
      <c r="O359" s="74">
        <f>коэффициенты!$F$4</f>
        <v>1.4999999999999999E-2</v>
      </c>
      <c r="P359" s="74"/>
      <c r="Q359" s="76"/>
      <c r="R359" s="76">
        <f>коэффициенты!$F$10</f>
        <v>0</v>
      </c>
      <c r="S359" s="76">
        <f>коэффициенты!$F$9</f>
        <v>0</v>
      </c>
      <c r="T359" s="74"/>
      <c r="U359" s="74"/>
      <c r="V359" s="74"/>
      <c r="W359" s="75">
        <f>коэффициенты!$F$12</f>
        <v>0.02</v>
      </c>
      <c r="X359" s="74"/>
      <c r="Y359" s="75"/>
      <c r="Z359" s="76">
        <f>коэффициенты!$F$16</f>
        <v>0.08</v>
      </c>
      <c r="AA359" s="74"/>
      <c r="AB359" s="74"/>
      <c r="AC359" s="74"/>
      <c r="AD359" s="74">
        <f>коэффициенты!$F$19</f>
        <v>5.0000000000000001E-3</v>
      </c>
      <c r="AE359" s="74"/>
      <c r="AF359" s="74">
        <f>коэффициенты!$F$21</f>
        <v>0.01</v>
      </c>
      <c r="AG359" s="74"/>
      <c r="AH359" s="74"/>
      <c r="AI359" s="73">
        <f>SUM(наценкад5[[#This Row],[еврокухня]:[большая площадь]])*наценкад5[[#This Row],[Цена м2 с базовым K]]+наценкад5[[#This Row],[Цена м2 с базовым K]]</f>
        <v>87257.583000000013</v>
      </c>
      <c r="AJ359" s="72">
        <f>VLOOKUP(наценкад5[[#This Row],[№]],ППД5[],COLUMN(ППД5[[#This Row],[утв цена м2]]),0)</f>
        <v>136480.20000000001</v>
      </c>
      <c r="AK359" s="3">
        <f>наценкад5[[#This Row],[утв цена м2]]*наценкад5[[#This Row],[Расчетная проектная площадь]]</f>
        <v>7722049.716</v>
      </c>
      <c r="AL359" s="22" t="str">
        <f>VLOOKUP(наценкад5[[#This Row],[№]],ППД5[],COLUMN('Реестр ОН'!$DF$1),0)</f>
        <v>Свободно</v>
      </c>
    </row>
    <row r="360" spans="1:38" hidden="1" x14ac:dyDescent="0.25">
      <c r="A360" s="101">
        <v>358</v>
      </c>
      <c r="B360" s="2" t="str">
        <f>_xlfn.XLOOKUP(наценкад5[[#This Row],[№]],ППД5[№],ППД5[Секция],"-",0)</f>
        <v>В</v>
      </c>
      <c r="C360" s="2">
        <f>_xlfn.XLOOKUP(наценкад5[[#This Row],[№]],ППД5[№],ППД5[Этаж],"-",0)</f>
        <v>20</v>
      </c>
      <c r="D360" s="2">
        <f>_xlfn.XLOOKUP(наценкад5[[#This Row],[№]],ППД5[№],ППД5[№ на этаже],"-",0)</f>
        <v>4</v>
      </c>
      <c r="E360" s="2">
        <f>_xlfn.XLOOKUP(наценкад5[[#This Row],[№]],ППД5[№],ППД5[Тип кв],"-",0)</f>
        <v>2</v>
      </c>
      <c r="F360" s="72">
        <f>_xlfn.XLOOKUP(наценкад5[[#This Row],[№]],ППД5[№],ППД5[Кухня],"-",0)</f>
        <v>15.44</v>
      </c>
      <c r="G360" s="72">
        <f>_xlfn.XLOOKUP(наценкад5[[#This Row],[№]],ППД5[№],ППД5[Ванная],"-",0)</f>
        <v>4.59</v>
      </c>
      <c r="H360" s="72">
        <f>_xlfn.XLOOKUP(наценкад5[[#This Row],[№]],ППД5[№],ППД5[Гардеробная],"-",0)</f>
        <v>0</v>
      </c>
      <c r="I360" s="72">
        <f>_xlfn.XLOOKUP(наценкад5[[#This Row],[№]],ППД5[№],ППД5[Лоджия 2],"-",0)</f>
        <v>0</v>
      </c>
      <c r="J360" s="72">
        <f>_xlfn.XLOOKUP(наценкад5[[#This Row],[№]],ППД5[№],ППД5[С\У],"-",0)</f>
        <v>2.21</v>
      </c>
      <c r="K360" s="72">
        <f>_xlfn.XLOOKUP(наценкад5[[#This Row],[№]],ППД5[№],ППД5[Расчетная проектная площадь],"-",0)</f>
        <v>60.24</v>
      </c>
      <c r="L360" s="12">
        <f t="shared" si="5"/>
        <v>63000</v>
      </c>
      <c r="M360" s="102">
        <f>коэффициенты!$F$2</f>
        <v>1.2257</v>
      </c>
      <c r="N360" s="13">
        <f>наценкад5[[#This Row],[Цена м2 базовая]]*наценкад5[[#This Row],[Базовой K]]</f>
        <v>77219.100000000006</v>
      </c>
      <c r="O360" s="74">
        <f>коэффициенты!$F$4</f>
        <v>1.4999999999999999E-2</v>
      </c>
      <c r="P360" s="74"/>
      <c r="Q360" s="76">
        <f>коэффициенты!$F$6</f>
        <v>0.02</v>
      </c>
      <c r="R360" s="76"/>
      <c r="S360" s="76">
        <f>коэффициенты!$F$9</f>
        <v>0</v>
      </c>
      <c r="T360" s="74"/>
      <c r="U360" s="74"/>
      <c r="V360" s="74">
        <f>коэффициенты!$F$11</f>
        <v>5.0000000000000001E-3</v>
      </c>
      <c r="W360" s="75">
        <f>коэффициенты!$F$12</f>
        <v>0.02</v>
      </c>
      <c r="X360" s="74"/>
      <c r="Y360" s="75"/>
      <c r="Z360" s="76">
        <f>коэффициенты!$F$16</f>
        <v>0.08</v>
      </c>
      <c r="AA360" s="74"/>
      <c r="AB360" s="74"/>
      <c r="AC360" s="74"/>
      <c r="AD360" s="74">
        <f>коэффициенты!$F$19</f>
        <v>5.0000000000000001E-3</v>
      </c>
      <c r="AE360" s="74"/>
      <c r="AF360" s="74">
        <f>коэффициенты!$F$21</f>
        <v>0.01</v>
      </c>
      <c r="AG360" s="74"/>
      <c r="AH360" s="74"/>
      <c r="AI360" s="73">
        <f>SUM(наценкад5[[#This Row],[еврокухня]:[большая площадь]])*наценкад5[[#This Row],[Цена м2 с базовым K]]+наценкад5[[#This Row],[Цена м2 с базовым K]]</f>
        <v>89188.060500000007</v>
      </c>
      <c r="AJ360" s="72">
        <f>VLOOKUP(наценкад5[[#This Row],[№]],ППД5[],COLUMN(ППД5[[#This Row],[утв цена м2]]),0)</f>
        <v>133272.95999999999</v>
      </c>
      <c r="AK360" s="3">
        <f>наценкад5[[#This Row],[утв цена м2]]*наценкад5[[#This Row],[Расчетная проектная площадь]]</f>
        <v>8028363.1103999997</v>
      </c>
      <c r="AL360" s="22" t="str">
        <f>VLOOKUP(наценкад5[[#This Row],[№]],ППД5[],COLUMN('Реестр ОН'!$DF$1),0)</f>
        <v>Свободно</v>
      </c>
    </row>
    <row r="361" spans="1:38" hidden="1" x14ac:dyDescent="0.25">
      <c r="A361" s="101">
        <v>359</v>
      </c>
      <c r="B361" s="2" t="str">
        <f>_xlfn.XLOOKUP(наценкад5[[#This Row],[№]],ППД5[№],ППД5[Секция],"-",0)</f>
        <v>В</v>
      </c>
      <c r="C361" s="2">
        <f>_xlfn.XLOOKUP(наценкад5[[#This Row],[№]],ППД5[№],ППД5[Этаж],"-",0)</f>
        <v>20</v>
      </c>
      <c r="D361" s="2">
        <f>_xlfn.XLOOKUP(наценкад5[[#This Row],[№]],ППД5[№],ППД5[№ на этаже],"-",0)</f>
        <v>5</v>
      </c>
      <c r="E361" s="2">
        <f>_xlfn.XLOOKUP(наценкад5[[#This Row],[№]],ППД5[№],ППД5[Тип кв],"-",0)</f>
        <v>1</v>
      </c>
      <c r="F361" s="72">
        <f>_xlfn.XLOOKUP(наценкад5[[#This Row],[№]],ППД5[№],ППД5[Кухня],"-",0)</f>
        <v>12.74</v>
      </c>
      <c r="G361" s="72">
        <f>_xlfn.XLOOKUP(наценкад5[[#This Row],[№]],ППД5[№],ППД5[Ванная],"-",0)</f>
        <v>4.0199999999999996</v>
      </c>
      <c r="H361" s="72">
        <f>_xlfn.XLOOKUP(наценкад5[[#This Row],[№]],ППД5[№],ППД5[Гардеробная],"-",0)</f>
        <v>0</v>
      </c>
      <c r="I361" s="72">
        <f>_xlfn.XLOOKUP(наценкад5[[#This Row],[№]],ППД5[№],ППД5[Лоджия 2],"-",0)</f>
        <v>0</v>
      </c>
      <c r="J361" s="72">
        <f>_xlfn.XLOOKUP(наценкад5[[#This Row],[№]],ППД5[№],ППД5[С\У],"-",0)</f>
        <v>0</v>
      </c>
      <c r="K361" s="72">
        <f>_xlfn.XLOOKUP(наценкад5[[#This Row],[№]],ППД5[№],ППД5[Расчетная проектная площадь],"-",0)</f>
        <v>37.81</v>
      </c>
      <c r="L361" s="12">
        <f t="shared" si="5"/>
        <v>63000</v>
      </c>
      <c r="M361" s="102">
        <f>коэффициенты!$G$2</f>
        <v>1.2875000000000001</v>
      </c>
      <c r="N361" s="13">
        <f>наценкад5[[#This Row],[Цена м2 базовая]]*наценкад5[[#This Row],[Базовой K]]</f>
        <v>81112.5</v>
      </c>
      <c r="O361" s="74"/>
      <c r="P361" s="76">
        <f>коэффициенты!$G$5</f>
        <v>0.01</v>
      </c>
      <c r="Q361" s="74">
        <f>коэффициенты!$G$6</f>
        <v>0.03</v>
      </c>
      <c r="R361" s="74"/>
      <c r="S361" s="74"/>
      <c r="T361" s="74"/>
      <c r="U361" s="74"/>
      <c r="V361" s="74">
        <f>коэффициенты!$G$11</f>
        <v>0.01</v>
      </c>
      <c r="W361" s="75">
        <f>коэффициенты!$G$12</f>
        <v>0.02</v>
      </c>
      <c r="X361" s="74">
        <f>коэффициенты!$G$13</f>
        <v>0.01</v>
      </c>
      <c r="Y361" s="75"/>
      <c r="Z361" s="76">
        <f>коэффициенты!$G$16</f>
        <v>0.08</v>
      </c>
      <c r="AA361" s="74">
        <f>коэффициенты!$G$14</f>
        <v>0.01</v>
      </c>
      <c r="AB361" s="74"/>
      <c r="AC361" s="74"/>
      <c r="AD361" s="74">
        <f>коэффициенты!$G$19</f>
        <v>0.01</v>
      </c>
      <c r="AE361" s="74"/>
      <c r="AF361" s="74">
        <f>коэффициенты!$G$21</f>
        <v>0.01</v>
      </c>
      <c r="AG361" s="74"/>
      <c r="AH361" s="74"/>
      <c r="AI361" s="73">
        <f>SUM(наценкад5[[#This Row],[еврокухня]:[большая площадь]])*наценкад5[[#This Row],[Цена м2 с базовым K]]+наценкад5[[#This Row],[Цена м2 с базовым K]]</f>
        <v>96523.875</v>
      </c>
      <c r="AJ361" s="72">
        <f>VLOOKUP(наценкад5[[#This Row],[№]],ППД5[],COLUMN(ППД5[[#This Row],[утв цена м2]]),0)</f>
        <v>149904.34</v>
      </c>
      <c r="AK361" s="3">
        <f>наценкад5[[#This Row],[утв цена м2]]*наценкад5[[#This Row],[Расчетная проектная площадь]]</f>
        <v>5667883.0954</v>
      </c>
      <c r="AL361" s="22" t="str">
        <f>VLOOKUP(наценкад5[[#This Row],[№]],ППД5[],COLUMN('Реестр ОН'!$DF$1),0)</f>
        <v>Свободно</v>
      </c>
    </row>
    <row r="362" spans="1:38" hidden="1" x14ac:dyDescent="0.25">
      <c r="A362" s="101">
        <v>360</v>
      </c>
      <c r="B362" s="2" t="str">
        <f>_xlfn.XLOOKUP(наценкад5[[#This Row],[№]],ППД5[№],ППД5[Секция],"-",0)</f>
        <v>В</v>
      </c>
      <c r="C362" s="2">
        <f>_xlfn.XLOOKUP(наценкад5[[#This Row],[№]],ППД5[№],ППД5[Этаж],"-",0)</f>
        <v>20</v>
      </c>
      <c r="D362" s="2">
        <f>_xlfn.XLOOKUP(наценкад5[[#This Row],[№]],ППД5[№],ППД5[№ на этаже],"-",0)</f>
        <v>6</v>
      </c>
      <c r="E362" s="2">
        <f>_xlfn.XLOOKUP(наценкад5[[#This Row],[№]],ППД5[№],ППД5[Тип кв],"-",0)</f>
        <v>3</v>
      </c>
      <c r="F362" s="72">
        <f>_xlfn.XLOOKUP(наценкад5[[#This Row],[№]],ППД5[№],ППД5[Кухня],"-",0)</f>
        <v>13.15</v>
      </c>
      <c r="G362" s="72">
        <f>_xlfn.XLOOKUP(наценкад5[[#This Row],[№]],ППД5[№],ППД5[Ванная],"-",0)</f>
        <v>4.03</v>
      </c>
      <c r="H362" s="72">
        <f>_xlfn.XLOOKUP(наценкад5[[#This Row],[№]],ППД5[№],ППД5[Гардеробная],"-",0)</f>
        <v>0</v>
      </c>
      <c r="I362" s="72">
        <f>_xlfn.XLOOKUP(наценкад5[[#This Row],[№]],ППД5[№],ППД5[Лоджия 2],"-",0)</f>
        <v>2.68</v>
      </c>
      <c r="J362" s="72">
        <f>_xlfn.XLOOKUP(наценкад5[[#This Row],[№]],ППД5[№],ППД5[С\У],"-",0)</f>
        <v>1.76</v>
      </c>
      <c r="K362" s="72">
        <f>_xlfn.XLOOKUP(наценкад5[[#This Row],[№]],ППД5[№],ППД5[Расчетная проектная площадь],"-",0)</f>
        <v>80.97</v>
      </c>
      <c r="L362" s="12">
        <f t="shared" si="5"/>
        <v>63000</v>
      </c>
      <c r="M362" s="27">
        <f>коэффициенты!$E$2</f>
        <v>1.1330000000000002</v>
      </c>
      <c r="N362" s="13">
        <f>наценкад5[[#This Row],[Цена м2 базовая]]*наценкад5[[#This Row],[Базовой K]]</f>
        <v>71379.000000000015</v>
      </c>
      <c r="O362" s="74"/>
      <c r="P362" s="74">
        <f>коэффициенты!$E$5</f>
        <v>0</v>
      </c>
      <c r="Q362" s="74">
        <f>коэффициенты!$E$6</f>
        <v>0.01</v>
      </c>
      <c r="R362" s="74"/>
      <c r="S362" s="74">
        <f>коэффициенты!$E$9</f>
        <v>0</v>
      </c>
      <c r="T362" s="74">
        <f>коэффициенты!$E$7</f>
        <v>0</v>
      </c>
      <c r="U362" s="74"/>
      <c r="V362" s="74"/>
      <c r="W362" s="75">
        <f>коэффициенты!$E$12</f>
        <v>0.02</v>
      </c>
      <c r="X362" s="74"/>
      <c r="Y362" s="75"/>
      <c r="Z362" s="76">
        <f>коэффициенты!$A$16</f>
        <v>0.08</v>
      </c>
      <c r="AA362" s="74">
        <f>коэффициенты!$E$14</f>
        <v>0</v>
      </c>
      <c r="AB362" s="74">
        <f>коэффициенты!$E$17</f>
        <v>0</v>
      </c>
      <c r="AC362" s="74"/>
      <c r="AD362" s="74"/>
      <c r="AE362" s="74"/>
      <c r="AF362" s="74">
        <f>коэффициенты!$E$21</f>
        <v>0.01</v>
      </c>
      <c r="AG362" s="74"/>
      <c r="AH362" s="74"/>
      <c r="AI362" s="73">
        <f>SUM(наценкад5[[#This Row],[еврокухня]:[большая площадь]])*наценкад5[[#This Row],[Цена м2 с базовым K]]+наценкад5[[#This Row],[Цена м2 с базовым K]]</f>
        <v>79944.48000000001</v>
      </c>
      <c r="AJ362" s="72">
        <f>VLOOKUP(наценкад5[[#This Row],[№]],ППД5[],COLUMN(ППД5[[#This Row],[утв цена м2]]),0)</f>
        <v>123738.15</v>
      </c>
      <c r="AK362" s="3">
        <f>наценкад5[[#This Row],[утв цена м2]]*наценкад5[[#This Row],[Расчетная проектная площадь]]</f>
        <v>10019078.0055</v>
      </c>
      <c r="AL362" s="22" t="str">
        <f>VLOOKUP(наценкад5[[#This Row],[№]],ППД5[],COLUMN('Реестр ОН'!$DF$1),0)</f>
        <v>Свободно</v>
      </c>
    </row>
    <row r="363" spans="1:38" hidden="1" x14ac:dyDescent="0.25">
      <c r="A363" s="101">
        <v>361</v>
      </c>
      <c r="B363" s="2" t="str">
        <f>_xlfn.XLOOKUP(наценкад5[[#This Row],[№]],ППД5[№],ППД5[Секция],"-",0)</f>
        <v>В</v>
      </c>
      <c r="C363" s="2">
        <f>_xlfn.XLOOKUP(наценкад5[[#This Row],[№]],ППД5[№],ППД5[Этаж],"-",0)</f>
        <v>20</v>
      </c>
      <c r="D363" s="2">
        <f>_xlfn.XLOOKUP(наценкад5[[#This Row],[№]],ППД5[№],ППД5[№ на этаже],"-",0)</f>
        <v>7</v>
      </c>
      <c r="E363" s="2">
        <f>_xlfn.XLOOKUP(наценкад5[[#This Row],[№]],ППД5[№],ППД5[Тип кв],"-",0)</f>
        <v>1</v>
      </c>
      <c r="F363" s="72">
        <f>_xlfn.XLOOKUP(наценкад5[[#This Row],[№]],ППД5[№],ППД5[Кухня],"-",0)</f>
        <v>9.2799999999999994</v>
      </c>
      <c r="G363" s="72">
        <f>_xlfn.XLOOKUP(наценкад5[[#This Row],[№]],ППД5[№],ППД5[Ванная],"-",0)</f>
        <v>3.79</v>
      </c>
      <c r="H363" s="72">
        <f>_xlfn.XLOOKUP(наценкад5[[#This Row],[№]],ППД5[№],ППД5[Гардеробная],"-",0)</f>
        <v>0</v>
      </c>
      <c r="I363" s="72">
        <f>_xlfn.XLOOKUP(наценкад5[[#This Row],[№]],ППД5[№],ППД5[Лоджия 2],"-",0)</f>
        <v>0</v>
      </c>
      <c r="J363" s="72">
        <f>_xlfn.XLOOKUP(наценкад5[[#This Row],[№]],ППД5[№],ППД5[С\У],"-",0)</f>
        <v>0</v>
      </c>
      <c r="K363" s="72">
        <f>_xlfn.XLOOKUP(наценкад5[[#This Row],[№]],ППД5[№],ППД5[Расчетная проектная площадь],"-",0)</f>
        <v>34.81</v>
      </c>
      <c r="L363" s="12">
        <f t="shared" si="5"/>
        <v>63000</v>
      </c>
      <c r="M363" s="102">
        <f>коэффициенты!$G$2</f>
        <v>1.2875000000000001</v>
      </c>
      <c r="N363" s="13">
        <f>наценкад5[[#This Row],[Цена м2 базовая]]*наценкад5[[#This Row],[Базовой K]]</f>
        <v>81112.5</v>
      </c>
      <c r="O363" s="74"/>
      <c r="P363" s="74"/>
      <c r="Q363" s="74"/>
      <c r="R363" s="74"/>
      <c r="S363" s="74"/>
      <c r="T363" s="74"/>
      <c r="U363" s="74"/>
      <c r="V363" s="74">
        <f>коэффициенты!$G$11</f>
        <v>0.01</v>
      </c>
      <c r="W363" s="75">
        <f>коэффициенты!$G$12</f>
        <v>0.02</v>
      </c>
      <c r="X363" s="74"/>
      <c r="Y363" s="75"/>
      <c r="Z363" s="76">
        <f>коэффициенты!$G$16</f>
        <v>0.08</v>
      </c>
      <c r="AA363" s="74">
        <f>коэффициенты!$G$14</f>
        <v>0.01</v>
      </c>
      <c r="AB363" s="74"/>
      <c r="AC363" s="74"/>
      <c r="AD363" s="74">
        <f>коэффициенты!$G$19</f>
        <v>0.01</v>
      </c>
      <c r="AE363" s="74"/>
      <c r="AF363" s="74">
        <f>коэффициенты!$G$21</f>
        <v>0.01</v>
      </c>
      <c r="AG363" s="74">
        <f>коэффициенты!$A$24</f>
        <v>-5.0000000000000001E-3</v>
      </c>
      <c r="AH363" s="74"/>
      <c r="AI363" s="73">
        <f>SUM(наценкад5[[#This Row],[еврокухня]:[большая площадь]])*наценкад5[[#This Row],[Цена м2 с базовым K]]+наценкад5[[#This Row],[Цена м2 с базовым K]]</f>
        <v>92062.6875</v>
      </c>
      <c r="AJ363" s="72">
        <f>VLOOKUP(наценкад5[[#This Row],[№]],ППД5[],COLUMN(ППД5[[#This Row],[утв цена м2]]),0)</f>
        <v>158373.38</v>
      </c>
      <c r="AK363" s="3">
        <f>наценкад5[[#This Row],[утв цена м2]]*наценкад5[[#This Row],[Расчетная проектная площадь]]</f>
        <v>5512977.3578000003</v>
      </c>
      <c r="AL363" s="22" t="str">
        <f>VLOOKUP(наценкад5[[#This Row],[№]],ППД5[],COLUMN('Реестр ОН'!$DF$1),0)</f>
        <v>Свободно</v>
      </c>
    </row>
    <row r="364" spans="1:38" hidden="1" x14ac:dyDescent="0.25">
      <c r="A364" s="101">
        <v>362</v>
      </c>
      <c r="B364" s="2" t="str">
        <f>_xlfn.XLOOKUP(наценкад5[[#This Row],[№]],ППД5[№],ППД5[Секция],"-",0)</f>
        <v>В</v>
      </c>
      <c r="C364" s="2">
        <f>_xlfn.XLOOKUP(наценкад5[[#This Row],[№]],ППД5[№],ППД5[Этаж],"-",0)</f>
        <v>21</v>
      </c>
      <c r="D364" s="2">
        <f>_xlfn.XLOOKUP(наценкад5[[#This Row],[№]],ППД5[№],ППД5[№ на этаже],"-",0)</f>
        <v>1</v>
      </c>
      <c r="E364" s="2">
        <f>_xlfn.XLOOKUP(наценкад5[[#This Row],[№]],ППД5[№],ППД5[Тип кв],"-",0)</f>
        <v>2</v>
      </c>
      <c r="F364" s="72">
        <f>_xlfn.XLOOKUP(наценкад5[[#This Row],[№]],ППД5[№],ППД5[Кухня],"-",0)</f>
        <v>20.05</v>
      </c>
      <c r="G364" s="72">
        <f>_xlfn.XLOOKUP(наценкад5[[#This Row],[№]],ППД5[№],ППД5[Ванная],"-",0)</f>
        <v>3.54</v>
      </c>
      <c r="H364" s="72">
        <f>_xlfn.XLOOKUP(наценкад5[[#This Row],[№]],ППД5[№],ППД5[Гардеробная],"-",0)</f>
        <v>0</v>
      </c>
      <c r="I364" s="72">
        <f>_xlfn.XLOOKUP(наценкад5[[#This Row],[№]],ППД5[№],ППД5[Лоджия 2],"-",0)</f>
        <v>2.68</v>
      </c>
      <c r="J364" s="72">
        <f>_xlfn.XLOOKUP(наценкад5[[#This Row],[№]],ППД5[№],ППД5[С\У],"-",0)</f>
        <v>2.93</v>
      </c>
      <c r="K364" s="72">
        <f>_xlfn.XLOOKUP(наценкад5[[#This Row],[№]],ППД5[№],ППД5[Расчетная проектная площадь],"-",0)</f>
        <v>73.7</v>
      </c>
      <c r="L364" s="12">
        <f t="shared" si="5"/>
        <v>63000</v>
      </c>
      <c r="M364" s="102">
        <f>коэффициенты!$F$2</f>
        <v>1.2257</v>
      </c>
      <c r="N364" s="13">
        <f>наценкад5[[#This Row],[Цена м2 базовая]]*наценкад5[[#This Row],[Базовой K]]</f>
        <v>77219.100000000006</v>
      </c>
      <c r="O364" s="74">
        <f>коэффициенты!$F$4</f>
        <v>1.4999999999999999E-2</v>
      </c>
      <c r="P364" s="74"/>
      <c r="Q364" s="76"/>
      <c r="R364" s="76"/>
      <c r="S364" s="76">
        <f>коэффициенты!$F$9</f>
        <v>0</v>
      </c>
      <c r="T364" s="74">
        <f>коэффициенты!$F$7</f>
        <v>0.03</v>
      </c>
      <c r="U364" s="74"/>
      <c r="V364" s="74"/>
      <c r="W364" s="75"/>
      <c r="X364" s="74">
        <f>коэффициенты!$F$13</f>
        <v>0.02</v>
      </c>
      <c r="Y364" s="75"/>
      <c r="Z364" s="76">
        <f>коэффициенты!$F$16</f>
        <v>0.08</v>
      </c>
      <c r="AA364" s="74">
        <f>коэффициенты!$F$14</f>
        <v>0.02</v>
      </c>
      <c r="AB364" s="74"/>
      <c r="AC364" s="74"/>
      <c r="AD364" s="74">
        <f>коэффициенты!$F$19</f>
        <v>5.0000000000000001E-3</v>
      </c>
      <c r="AE364" s="74"/>
      <c r="AF364" s="74">
        <f>коэффициенты!$F$21</f>
        <v>0.01</v>
      </c>
      <c r="AG364" s="74"/>
      <c r="AH364" s="74">
        <f>'отрицательный кф'!$O$27</f>
        <v>-0.08</v>
      </c>
      <c r="AI364" s="73">
        <f>SUM(наценкад5[[#This Row],[еврокухня]:[большая площадь]])*наценкад5[[#This Row],[Цена м2 с базовым K]]+наценкад5[[#This Row],[Цена м2 с базовым K]]</f>
        <v>84941.010000000009</v>
      </c>
      <c r="AJ364" s="72">
        <f>VLOOKUP(наценкад5[[#This Row],[№]],ППД5[],COLUMN(ППД5[[#This Row],[утв цена м2]]),0)</f>
        <v>124349.91</v>
      </c>
      <c r="AK364" s="3">
        <f>наценкад5[[#This Row],[утв цена м2]]*наценкад5[[#This Row],[Расчетная проектная площадь]]</f>
        <v>9164588.3670000006</v>
      </c>
      <c r="AL364" s="22" t="str">
        <f>VLOOKUP(наценкад5[[#This Row],[№]],ППД5[],COLUMN('Реестр ОН'!$DF$1),0)</f>
        <v>Свободно</v>
      </c>
    </row>
    <row r="365" spans="1:38" hidden="1" x14ac:dyDescent="0.25">
      <c r="A365" s="101">
        <v>363</v>
      </c>
      <c r="B365" s="2" t="str">
        <f>_xlfn.XLOOKUP(наценкад5[[#This Row],[№]],ППД5[№],ППД5[Секция],"-",0)</f>
        <v>В</v>
      </c>
      <c r="C365" s="2">
        <f>_xlfn.XLOOKUP(наценкад5[[#This Row],[№]],ППД5[№],ППД5[Этаж],"-",0)</f>
        <v>21</v>
      </c>
      <c r="D365" s="2">
        <f>_xlfn.XLOOKUP(наценкад5[[#This Row],[№]],ППД5[№],ППД5[№ на этаже],"-",0)</f>
        <v>2</v>
      </c>
      <c r="E365" s="2">
        <f>_xlfn.XLOOKUP(наценкад5[[#This Row],[№]],ППД5[№],ППД5[Тип кв],"-",0)</f>
        <v>0</v>
      </c>
      <c r="F365" s="72">
        <f>_xlfn.XLOOKUP(наценкад5[[#This Row],[№]],ППД5[№],ППД5[Кухня],"-",0)</f>
        <v>5.17</v>
      </c>
      <c r="G365" s="72">
        <f>_xlfn.XLOOKUP(наценкад5[[#This Row],[№]],ППД5[№],ППД5[Ванная],"-",0)</f>
        <v>3.72</v>
      </c>
      <c r="H365" s="72">
        <f>_xlfn.XLOOKUP(наценкад5[[#This Row],[№]],ППД5[№],ППД5[Гардеробная],"-",0)</f>
        <v>0</v>
      </c>
      <c r="I365" s="72">
        <f>_xlfn.XLOOKUP(наценкад5[[#This Row],[№]],ППД5[№],ППД5[Лоджия 2],"-",0)</f>
        <v>0</v>
      </c>
      <c r="J365" s="72">
        <f>_xlfn.XLOOKUP(наценкад5[[#This Row],[№]],ППД5[№],ППД5[С\У],"-",0)</f>
        <v>0</v>
      </c>
      <c r="K365" s="72">
        <f>_xlfn.XLOOKUP(наценкад5[[#This Row],[№]],ППД5[№],ППД5[Расчетная проектная площадь],"-",0)</f>
        <v>24.53</v>
      </c>
      <c r="L365" s="12">
        <f t="shared" si="5"/>
        <v>63000</v>
      </c>
      <c r="M365" s="116">
        <f>коэффициенты!$H$2</f>
        <v>1.3905000000000001</v>
      </c>
      <c r="N365" s="13">
        <f>наценкад5[[#This Row],[Цена м2 базовая]]*наценкад5[[#This Row],[Базовой K]]</f>
        <v>87601.5</v>
      </c>
      <c r="O365" s="74"/>
      <c r="P365" s="74"/>
      <c r="Q365" s="74"/>
      <c r="R365" s="74"/>
      <c r="S365" s="74"/>
      <c r="T365" s="74"/>
      <c r="U365" s="74"/>
      <c r="V365" s="74">
        <f>коэффициенты!$H$11</f>
        <v>0.01</v>
      </c>
      <c r="W365" s="117">
        <f>коэффициенты!$H$22</f>
        <v>0.01</v>
      </c>
      <c r="X365" s="74">
        <f>коэффициенты!$H$13</f>
        <v>0.01</v>
      </c>
      <c r="Y365" s="75"/>
      <c r="Z365" s="76">
        <f>коэффициенты!$H$16</f>
        <v>0.08</v>
      </c>
      <c r="AA365" s="74"/>
      <c r="AB365" s="74"/>
      <c r="AC365" s="74"/>
      <c r="AD365" s="74">
        <f>коэффициенты!$H$19</f>
        <v>0.01</v>
      </c>
      <c r="AE365" s="74"/>
      <c r="AF365" s="74">
        <f>коэффициенты!$H$21</f>
        <v>0.01</v>
      </c>
      <c r="AG365" s="74"/>
      <c r="AH365" s="74"/>
      <c r="AI365" s="73">
        <f>SUM(наценкад5[[#This Row],[еврокухня]:[большая площадь]])*наценкад5[[#This Row],[Цена м2 с базовым K]]+наценкад5[[#This Row],[Цена м2 с базовым K]]</f>
        <v>98989.695000000007</v>
      </c>
      <c r="AJ365" s="72">
        <f>VLOOKUP(наценкад5[[#This Row],[№]],ППД5[],COLUMN(ППД5[[#This Row],[утв цена м2]]),0)</f>
        <v>161630.57999999999</v>
      </c>
      <c r="AK365" s="3">
        <f>наценкад5[[#This Row],[утв цена м2]]*наценкад5[[#This Row],[Расчетная проектная площадь]]</f>
        <v>3964798.1273999996</v>
      </c>
      <c r="AL365" s="22" t="str">
        <f>VLOOKUP(наценкад5[[#This Row],[№]],ППД5[],COLUMN('Реестр ОН'!$DF$1),0)</f>
        <v>Продажа</v>
      </c>
    </row>
    <row r="366" spans="1:38" hidden="1" x14ac:dyDescent="0.25">
      <c r="A366" s="101">
        <v>364</v>
      </c>
      <c r="B366" s="2" t="str">
        <f>_xlfn.XLOOKUP(наценкад5[[#This Row],[№]],ППД5[№],ППД5[Секция],"-",0)</f>
        <v>В</v>
      </c>
      <c r="C366" s="2">
        <f>_xlfn.XLOOKUP(наценкад5[[#This Row],[№]],ППД5[№],ППД5[Этаж],"-",0)</f>
        <v>21</v>
      </c>
      <c r="D366" s="2">
        <f>_xlfn.XLOOKUP(наценкад5[[#This Row],[№]],ППД5[№],ППД5[№ на этаже],"-",0)</f>
        <v>3</v>
      </c>
      <c r="E366" s="2">
        <f>_xlfn.XLOOKUP(наценкад5[[#This Row],[№]],ППД5[№],ППД5[Тип кв],"-",0)</f>
        <v>2</v>
      </c>
      <c r="F366" s="72">
        <f>_xlfn.XLOOKUP(наценкад5[[#This Row],[№]],ППД5[№],ППД5[Кухня],"-",0)</f>
        <v>18.71</v>
      </c>
      <c r="G366" s="72">
        <f>_xlfn.XLOOKUP(наценкад5[[#This Row],[№]],ППД5[№],ППД5[Ванная],"-",0)</f>
        <v>3.49</v>
      </c>
      <c r="H366" s="72">
        <f>_xlfn.XLOOKUP(наценкад5[[#This Row],[№]],ППД5[№],ППД5[Гардеробная],"-",0)</f>
        <v>0</v>
      </c>
      <c r="I366" s="72">
        <f>_xlfn.XLOOKUP(наценкад5[[#This Row],[№]],ППД5[№],ППД5[Лоджия 2],"-",0)</f>
        <v>0</v>
      </c>
      <c r="J366" s="72">
        <f>_xlfn.XLOOKUP(наценкад5[[#This Row],[№]],ППД5[№],ППД5[С\У],"-",0)</f>
        <v>2.11</v>
      </c>
      <c r="K366" s="72">
        <f>_xlfn.XLOOKUP(наценкад5[[#This Row],[№]],ППД5[№],ППД5[Расчетная проектная площадь],"-",0)</f>
        <v>56.58</v>
      </c>
      <c r="L366" s="12">
        <f t="shared" si="5"/>
        <v>63000</v>
      </c>
      <c r="M366" s="102">
        <f>коэффициенты!$F$2</f>
        <v>1.2257</v>
      </c>
      <c r="N366" s="13">
        <f>наценкад5[[#This Row],[Цена м2 базовая]]*наценкад5[[#This Row],[Базовой K]]</f>
        <v>77219.100000000006</v>
      </c>
      <c r="O366" s="74">
        <f>коэффициенты!$F$4</f>
        <v>1.4999999999999999E-2</v>
      </c>
      <c r="P366" s="74"/>
      <c r="Q366" s="76"/>
      <c r="R366" s="76">
        <f>коэффициенты!$F$10</f>
        <v>0</v>
      </c>
      <c r="S366" s="76">
        <f>коэффициенты!$F$9</f>
        <v>0</v>
      </c>
      <c r="T366" s="74"/>
      <c r="U366" s="74"/>
      <c r="V366" s="74"/>
      <c r="W366" s="117">
        <f>коэффициенты!$F$22</f>
        <v>0.01</v>
      </c>
      <c r="X366" s="74"/>
      <c r="Y366" s="75"/>
      <c r="Z366" s="76">
        <f>коэффициенты!$F$16</f>
        <v>0.08</v>
      </c>
      <c r="AA366" s="74"/>
      <c r="AB366" s="74"/>
      <c r="AC366" s="74"/>
      <c r="AD366" s="74">
        <f>коэффициенты!$F$19</f>
        <v>5.0000000000000001E-3</v>
      </c>
      <c r="AE366" s="74"/>
      <c r="AF366" s="74">
        <f>коэффициенты!$F$21</f>
        <v>0.01</v>
      </c>
      <c r="AG366" s="74"/>
      <c r="AH366" s="74"/>
      <c r="AI366" s="73">
        <f>SUM(наценкад5[[#This Row],[еврокухня]:[большая площадь]])*наценкад5[[#This Row],[Цена м2 с базовым K]]+наценкад5[[#This Row],[Цена м2 с базовым K]]</f>
        <v>86485.392000000007</v>
      </c>
      <c r="AJ366" s="72">
        <f>VLOOKUP(наценкад5[[#This Row],[№]],ППД5[],COLUMN(ППД5[[#This Row],[утв цена м2]]),0)</f>
        <v>135280.01999999999</v>
      </c>
      <c r="AK366" s="3">
        <f>наценкад5[[#This Row],[утв цена м2]]*наценкад5[[#This Row],[Расчетная проектная площадь]]</f>
        <v>7654143.5315999994</v>
      </c>
      <c r="AL366" s="22" t="str">
        <f>VLOOKUP(наценкад5[[#This Row],[№]],ППД5[],COLUMN('Реестр ОН'!$DF$1),0)</f>
        <v>Свободно</v>
      </c>
    </row>
    <row r="367" spans="1:38" hidden="1" x14ac:dyDescent="0.25">
      <c r="A367" s="101">
        <v>365</v>
      </c>
      <c r="B367" s="2" t="str">
        <f>_xlfn.XLOOKUP(наценкад5[[#This Row],[№]],ППД5[№],ППД5[Секция],"-",0)</f>
        <v>В</v>
      </c>
      <c r="C367" s="2">
        <f>_xlfn.XLOOKUP(наценкад5[[#This Row],[№]],ППД5[№],ППД5[Этаж],"-",0)</f>
        <v>21</v>
      </c>
      <c r="D367" s="2">
        <f>_xlfn.XLOOKUP(наценкад5[[#This Row],[№]],ППД5[№],ППД5[№ на этаже],"-",0)</f>
        <v>4</v>
      </c>
      <c r="E367" s="2">
        <f>_xlfn.XLOOKUP(наценкад5[[#This Row],[№]],ППД5[№],ППД5[Тип кв],"-",0)</f>
        <v>2</v>
      </c>
      <c r="F367" s="72">
        <f>_xlfn.XLOOKUP(наценкад5[[#This Row],[№]],ППД5[№],ППД5[Кухня],"-",0)</f>
        <v>15.44</v>
      </c>
      <c r="G367" s="72">
        <f>_xlfn.XLOOKUP(наценкад5[[#This Row],[№]],ППД5[№],ППД5[Ванная],"-",0)</f>
        <v>4.59</v>
      </c>
      <c r="H367" s="72">
        <f>_xlfn.XLOOKUP(наценкад5[[#This Row],[№]],ППД5[№],ППД5[Гардеробная],"-",0)</f>
        <v>0</v>
      </c>
      <c r="I367" s="72">
        <f>_xlfn.XLOOKUP(наценкад5[[#This Row],[№]],ППД5[№],ППД5[Лоджия 2],"-",0)</f>
        <v>0</v>
      </c>
      <c r="J367" s="72">
        <f>_xlfn.XLOOKUP(наценкад5[[#This Row],[№]],ППД5[№],ППД5[С\У],"-",0)</f>
        <v>2.21</v>
      </c>
      <c r="K367" s="21">
        <f>_xlfn.XLOOKUP(наценкад5[[#This Row],[№]],ППД5[№],ППД5[Расчетная проектная площадь],"-",0)</f>
        <v>60.24</v>
      </c>
      <c r="L367" s="12">
        <f t="shared" si="5"/>
        <v>63000</v>
      </c>
      <c r="M367" s="102">
        <f>коэффициенты!$F$2</f>
        <v>1.2257</v>
      </c>
      <c r="N367" s="13">
        <f>наценкад5[[#This Row],[Цена м2 базовая]]*наценкад5[[#This Row],[Базовой K]]</f>
        <v>77219.100000000006</v>
      </c>
      <c r="O367" s="74">
        <f>коэффициенты!$F$4</f>
        <v>1.4999999999999999E-2</v>
      </c>
      <c r="P367" s="74"/>
      <c r="Q367" s="76">
        <f>коэффициенты!$F$6</f>
        <v>0.02</v>
      </c>
      <c r="R367" s="76"/>
      <c r="S367" s="76">
        <f>коэффициенты!$F$9</f>
        <v>0</v>
      </c>
      <c r="T367" s="74"/>
      <c r="U367" s="74"/>
      <c r="V367" s="74">
        <f>коэффициенты!$F$11</f>
        <v>5.0000000000000001E-3</v>
      </c>
      <c r="W367" s="117">
        <f>коэффициенты!$F$22</f>
        <v>0.01</v>
      </c>
      <c r="X367" s="74"/>
      <c r="Y367" s="75"/>
      <c r="Z367" s="76">
        <f>коэффициенты!$F$16</f>
        <v>0.08</v>
      </c>
      <c r="AA367" s="74"/>
      <c r="AB367" s="74"/>
      <c r="AC367" s="74"/>
      <c r="AD367" s="74">
        <f>коэффициенты!$F$19</f>
        <v>5.0000000000000001E-3</v>
      </c>
      <c r="AE367" s="74"/>
      <c r="AF367" s="74">
        <f>коэффициенты!$F$21</f>
        <v>0.01</v>
      </c>
      <c r="AG367" s="74"/>
      <c r="AH367" s="74"/>
      <c r="AI367" s="73">
        <f>SUM(наценкад5[[#This Row],[еврокухня]:[большая площадь]])*наценкад5[[#This Row],[Цена м2 с базовым K]]+наценкад5[[#This Row],[Цена м2 с базовым K]]</f>
        <v>88415.869500000001</v>
      </c>
      <c r="AJ367" s="72">
        <f>VLOOKUP(наценкад5[[#This Row],[№]],ППД5[],COLUMN(ППД5[[#This Row],[утв цена м2]]),0)</f>
        <v>132119.38</v>
      </c>
      <c r="AK367" s="3">
        <f>наценкад5[[#This Row],[утв цена м2]]*наценкад5[[#This Row],[Расчетная проектная площадь]]</f>
        <v>7958871.4512000009</v>
      </c>
      <c r="AL367" s="22" t="str">
        <f>VLOOKUP(наценкад5[[#This Row],[№]],ППД5[],COLUMN('Реестр ОН'!$DF$1),0)</f>
        <v>Свободно</v>
      </c>
    </row>
    <row r="368" spans="1:38" hidden="1" x14ac:dyDescent="0.25">
      <c r="A368" s="101">
        <v>366</v>
      </c>
      <c r="B368" s="2" t="str">
        <f>_xlfn.XLOOKUP(наценкад5[[#This Row],[№]],ППД5[№],ППД5[Секция],"-",0)</f>
        <v>В</v>
      </c>
      <c r="C368" s="2">
        <f>_xlfn.XLOOKUP(наценкад5[[#This Row],[№]],ППД5[№],ППД5[Этаж],"-",0)</f>
        <v>21</v>
      </c>
      <c r="D368" s="2">
        <f>_xlfn.XLOOKUP(наценкад5[[#This Row],[№]],ППД5[№],ППД5[№ на этаже],"-",0)</f>
        <v>5</v>
      </c>
      <c r="E368" s="2">
        <f>_xlfn.XLOOKUP(наценкад5[[#This Row],[№]],ППД5[№],ППД5[Тип кв],"-",0)</f>
        <v>1</v>
      </c>
      <c r="F368" s="72">
        <f>_xlfn.XLOOKUP(наценкад5[[#This Row],[№]],ППД5[№],ППД5[Кухня],"-",0)</f>
        <v>12.74</v>
      </c>
      <c r="G368" s="72">
        <f>_xlfn.XLOOKUP(наценкад5[[#This Row],[№]],ППД5[№],ППД5[Ванная],"-",0)</f>
        <v>4.0199999999999996</v>
      </c>
      <c r="H368" s="72">
        <f>_xlfn.XLOOKUP(наценкад5[[#This Row],[№]],ППД5[№],ППД5[Гардеробная],"-",0)</f>
        <v>0</v>
      </c>
      <c r="I368" s="72">
        <f>_xlfn.XLOOKUP(наценкад5[[#This Row],[№]],ППД5[№],ППД5[Лоджия 2],"-",0)</f>
        <v>0</v>
      </c>
      <c r="J368" s="72">
        <f>_xlfn.XLOOKUP(наценкад5[[#This Row],[№]],ППД5[№],ППД5[С\У],"-",0)</f>
        <v>0</v>
      </c>
      <c r="K368" s="72">
        <f>_xlfn.XLOOKUP(наценкад5[[#This Row],[№]],ППД5[№],ППД5[Расчетная проектная площадь],"-",0)</f>
        <v>37.81</v>
      </c>
      <c r="L368" s="12">
        <f t="shared" si="5"/>
        <v>63000</v>
      </c>
      <c r="M368" s="102">
        <f>коэффициенты!$G$2</f>
        <v>1.2875000000000001</v>
      </c>
      <c r="N368" s="13">
        <f>наценкад5[[#This Row],[Цена м2 базовая]]*наценкад5[[#This Row],[Базовой K]]</f>
        <v>81112.5</v>
      </c>
      <c r="O368" s="74"/>
      <c r="P368" s="76">
        <f>коэффициенты!$G$5</f>
        <v>0.01</v>
      </c>
      <c r="Q368" s="74">
        <f>коэффициенты!$G$6</f>
        <v>0.03</v>
      </c>
      <c r="R368" s="74"/>
      <c r="S368" s="74"/>
      <c r="T368" s="74"/>
      <c r="U368" s="74"/>
      <c r="V368" s="74">
        <f>коэффициенты!$G$11</f>
        <v>0.01</v>
      </c>
      <c r="W368" s="117">
        <f>коэффициенты!$G$22</f>
        <v>0.01</v>
      </c>
      <c r="X368" s="74">
        <f>коэффициенты!$G$13</f>
        <v>0.01</v>
      </c>
      <c r="Y368" s="75"/>
      <c r="Z368" s="76">
        <f>коэффициенты!$G$16</f>
        <v>0.08</v>
      </c>
      <c r="AA368" s="74">
        <f>коэффициенты!$G$14</f>
        <v>0.01</v>
      </c>
      <c r="AB368" s="74"/>
      <c r="AC368" s="74"/>
      <c r="AD368" s="74">
        <f>коэффициенты!$G$19</f>
        <v>0.01</v>
      </c>
      <c r="AE368" s="74"/>
      <c r="AF368" s="74">
        <f>коэффициенты!$G$21</f>
        <v>0.01</v>
      </c>
      <c r="AG368" s="74"/>
      <c r="AH368" s="74"/>
      <c r="AI368" s="73">
        <f>SUM(наценкад5[[#This Row],[еврокухня]:[большая площадь]])*наценкад5[[#This Row],[Цена м2 с базовым K]]+наценкад5[[#This Row],[Цена м2 с базовым K]]</f>
        <v>95712.75</v>
      </c>
      <c r="AJ368" s="72">
        <f>VLOOKUP(наценкад5[[#This Row],[№]],ППД5[],COLUMN(ППД5[[#This Row],[утв цена м2]]),0)</f>
        <v>119794.09</v>
      </c>
      <c r="AK368" s="3">
        <f>наценкад5[[#This Row],[утв цена м2]]*наценкад5[[#This Row],[Расчетная проектная площадь]]</f>
        <v>4529414.5428999998</v>
      </c>
      <c r="AL368" s="22" t="str">
        <f>VLOOKUP(наценкад5[[#This Row],[№]],ППД5[],COLUMN('Реестр ОН'!$DF$1),0)</f>
        <v>Продажа</v>
      </c>
    </row>
    <row r="369" spans="1:38" hidden="1" x14ac:dyDescent="0.25">
      <c r="A369" s="101">
        <v>367</v>
      </c>
      <c r="B369" s="2" t="str">
        <f>_xlfn.XLOOKUP(наценкад5[[#This Row],[№]],ППД5[№],ППД5[Секция],"-",0)</f>
        <v>В</v>
      </c>
      <c r="C369" s="2">
        <f>_xlfn.XLOOKUP(наценкад5[[#This Row],[№]],ППД5[№],ППД5[Этаж],"-",0)</f>
        <v>21</v>
      </c>
      <c r="D369" s="2">
        <f>_xlfn.XLOOKUP(наценкад5[[#This Row],[№]],ППД5[№],ППД5[№ на этаже],"-",0)</f>
        <v>6</v>
      </c>
      <c r="E369" s="2">
        <f>_xlfn.XLOOKUP(наценкад5[[#This Row],[№]],ППД5[№],ППД5[Тип кв],"-",0)</f>
        <v>3</v>
      </c>
      <c r="F369" s="72">
        <f>_xlfn.XLOOKUP(наценкад5[[#This Row],[№]],ППД5[№],ППД5[Кухня],"-",0)</f>
        <v>13.15</v>
      </c>
      <c r="G369" s="72">
        <f>_xlfn.XLOOKUP(наценкад5[[#This Row],[№]],ППД5[№],ППД5[Ванная],"-",0)</f>
        <v>4.03</v>
      </c>
      <c r="H369" s="72">
        <f>_xlfn.XLOOKUP(наценкад5[[#This Row],[№]],ППД5[№],ППД5[Гардеробная],"-",0)</f>
        <v>0</v>
      </c>
      <c r="I369" s="72">
        <f>_xlfn.XLOOKUP(наценкад5[[#This Row],[№]],ППД5[№],ППД5[Лоджия 2],"-",0)</f>
        <v>2.68</v>
      </c>
      <c r="J369" s="72">
        <f>_xlfn.XLOOKUP(наценкад5[[#This Row],[№]],ППД5[№],ППД5[С\У],"-",0)</f>
        <v>1.76</v>
      </c>
      <c r="K369" s="72">
        <f>_xlfn.XLOOKUP(наценкад5[[#This Row],[№]],ППД5[№],ППД5[Расчетная проектная площадь],"-",0)</f>
        <v>80.97</v>
      </c>
      <c r="L369" s="12">
        <f t="shared" si="5"/>
        <v>63000</v>
      </c>
      <c r="M369" s="27">
        <f>коэффициенты!$E$2</f>
        <v>1.1330000000000002</v>
      </c>
      <c r="N369" s="13">
        <f>наценкад5[[#This Row],[Цена м2 базовая]]*наценкад5[[#This Row],[Базовой K]]</f>
        <v>71379.000000000015</v>
      </c>
      <c r="O369" s="74"/>
      <c r="P369" s="74">
        <f>коэффициенты!$E$5</f>
        <v>0</v>
      </c>
      <c r="Q369" s="74">
        <f>коэффициенты!$E$6</f>
        <v>0.01</v>
      </c>
      <c r="R369" s="74"/>
      <c r="S369" s="74">
        <f>коэффициенты!$E$9</f>
        <v>0</v>
      </c>
      <c r="T369" s="74">
        <f>коэффициенты!$E$7</f>
        <v>0</v>
      </c>
      <c r="U369" s="74"/>
      <c r="V369" s="74"/>
      <c r="W369" s="117">
        <f>коэффициенты!$A$22</f>
        <v>0.01</v>
      </c>
      <c r="X369" s="74"/>
      <c r="Y369" s="75"/>
      <c r="Z369" s="76">
        <f>коэффициенты!$A$16</f>
        <v>0.08</v>
      </c>
      <c r="AA369" s="74">
        <f>коэффициенты!$E$14</f>
        <v>0</v>
      </c>
      <c r="AB369" s="74">
        <f>коэффициенты!$E$17</f>
        <v>0</v>
      </c>
      <c r="AC369" s="74"/>
      <c r="AD369" s="74"/>
      <c r="AE369" s="74"/>
      <c r="AF369" s="74">
        <f>коэффициенты!$E$21</f>
        <v>0.01</v>
      </c>
      <c r="AG369" s="74"/>
      <c r="AH369" s="74"/>
      <c r="AI369" s="73">
        <f>SUM(наценкад5[[#This Row],[еврокухня]:[большая площадь]])*наценкад5[[#This Row],[Цена м2 с базовым K]]+наценкад5[[#This Row],[Цена м2 с базовым K]]</f>
        <v>79230.690000000017</v>
      </c>
      <c r="AJ369" s="72">
        <f>VLOOKUP(наценкад5[[#This Row],[№]],ППД5[],COLUMN(ППД5[[#This Row],[утв цена м2]]),0)</f>
        <v>97885.55</v>
      </c>
      <c r="AK369" s="3">
        <f>наценкад5[[#This Row],[утв цена м2]]*наценкад5[[#This Row],[Расчетная проектная площадь]]</f>
        <v>7925792.9835000001</v>
      </c>
      <c r="AL369" s="22" t="str">
        <f>VLOOKUP(наценкад5[[#This Row],[№]],ППД5[],COLUMN('Реестр ОН'!$DF$1),0)</f>
        <v>Продажа</v>
      </c>
    </row>
    <row r="370" spans="1:38" hidden="1" x14ac:dyDescent="0.25">
      <c r="A370" s="101">
        <v>368</v>
      </c>
      <c r="B370" s="2" t="str">
        <f>_xlfn.XLOOKUP(наценкад5[[#This Row],[№]],ППД5[№],ППД5[Секция],"-",0)</f>
        <v>В</v>
      </c>
      <c r="C370" s="2">
        <f>_xlfn.XLOOKUP(наценкад5[[#This Row],[№]],ППД5[№],ППД5[Этаж],"-",0)</f>
        <v>21</v>
      </c>
      <c r="D370" s="2">
        <f>_xlfn.XLOOKUP(наценкад5[[#This Row],[№]],ППД5[№],ППД5[№ на этаже],"-",0)</f>
        <v>7</v>
      </c>
      <c r="E370" s="2">
        <f>_xlfn.XLOOKUP(наценкад5[[#This Row],[№]],ППД5[№],ППД5[Тип кв],"-",0)</f>
        <v>1</v>
      </c>
      <c r="F370" s="72">
        <f>_xlfn.XLOOKUP(наценкад5[[#This Row],[№]],ППД5[№],ППД5[Кухня],"-",0)</f>
        <v>9.2799999999999994</v>
      </c>
      <c r="G370" s="72">
        <f>_xlfn.XLOOKUP(наценкад5[[#This Row],[№]],ППД5[№],ППД5[Ванная],"-",0)</f>
        <v>3.79</v>
      </c>
      <c r="H370" s="72">
        <f>_xlfn.XLOOKUP(наценкад5[[#This Row],[№]],ППД5[№],ППД5[Гардеробная],"-",0)</f>
        <v>0</v>
      </c>
      <c r="I370" s="72">
        <f>_xlfn.XLOOKUP(наценкад5[[#This Row],[№]],ППД5[№],ППД5[Лоджия 2],"-",0)</f>
        <v>0</v>
      </c>
      <c r="J370" s="72">
        <f>_xlfn.XLOOKUP(наценкад5[[#This Row],[№]],ППД5[№],ППД5[С\У],"-",0)</f>
        <v>0</v>
      </c>
      <c r="K370" s="72">
        <f>_xlfn.XLOOKUP(наценкад5[[#This Row],[№]],ППД5[№],ППД5[Расчетная проектная площадь],"-",0)</f>
        <v>34.81</v>
      </c>
      <c r="L370" s="12">
        <f t="shared" si="5"/>
        <v>63000</v>
      </c>
      <c r="M370" s="102">
        <f>коэффициенты!$G$2</f>
        <v>1.2875000000000001</v>
      </c>
      <c r="N370" s="13">
        <f>наценкад5[[#This Row],[Цена м2 базовая]]*наценкад5[[#This Row],[Базовой K]]</f>
        <v>81112.5</v>
      </c>
      <c r="O370" s="74"/>
      <c r="P370" s="74"/>
      <c r="Q370" s="74"/>
      <c r="R370" s="74"/>
      <c r="S370" s="74"/>
      <c r="T370" s="74"/>
      <c r="U370" s="74"/>
      <c r="V370" s="74">
        <f>коэффициенты!$G$11</f>
        <v>0.01</v>
      </c>
      <c r="W370" s="117">
        <f>коэффициенты!$G$22</f>
        <v>0.01</v>
      </c>
      <c r="X370" s="74"/>
      <c r="Y370" s="75"/>
      <c r="Z370" s="76">
        <f>коэффициенты!$G$16</f>
        <v>0.08</v>
      </c>
      <c r="AA370" s="74">
        <f>коэффициенты!$G$14</f>
        <v>0.01</v>
      </c>
      <c r="AB370" s="74"/>
      <c r="AC370" s="74"/>
      <c r="AD370" s="74">
        <f>коэффициенты!$G$19</f>
        <v>0.01</v>
      </c>
      <c r="AE370" s="74"/>
      <c r="AF370" s="74">
        <f>коэффициенты!$G$21</f>
        <v>0.01</v>
      </c>
      <c r="AG370" s="74">
        <f>коэффициенты!$A$24</f>
        <v>-5.0000000000000001E-3</v>
      </c>
      <c r="AH370" s="74"/>
      <c r="AI370" s="73">
        <f>SUM(наценкад5[[#This Row],[еврокухня]:[большая площадь]])*наценкад5[[#This Row],[Цена м2 с базовым K]]+наценкад5[[#This Row],[Цена м2 с базовым K]]</f>
        <v>91251.5625</v>
      </c>
      <c r="AJ370" s="72">
        <f>VLOOKUP(наценкад5[[#This Row],[№]],ППД5[],COLUMN(ППД5[[#This Row],[утв цена м2]]),0)</f>
        <v>156978.32999999999</v>
      </c>
      <c r="AK370" s="3">
        <f>наценкад5[[#This Row],[утв цена м2]]*наценкад5[[#This Row],[Расчетная проектная площадь]]</f>
        <v>5464415.6672999999</v>
      </c>
      <c r="AL370" s="22" t="str">
        <f>VLOOKUP(наценкад5[[#This Row],[№]],ППД5[],COLUMN('Реестр ОН'!$DF$1),0)</f>
        <v>Свободно</v>
      </c>
    </row>
    <row r="371" spans="1:38" hidden="1" x14ac:dyDescent="0.25">
      <c r="A371" s="101">
        <v>369</v>
      </c>
      <c r="B371" s="2" t="str">
        <f>_xlfn.XLOOKUP(наценкад5[[#This Row],[№]],ППД5[№],ППД5[Секция],"-",0)</f>
        <v>В</v>
      </c>
      <c r="C371" s="2">
        <f>_xlfn.XLOOKUP(наценкад5[[#This Row],[№]],ППД5[№],ППД5[Этаж],"-",0)</f>
        <v>22</v>
      </c>
      <c r="D371" s="2">
        <f>_xlfn.XLOOKUP(наценкад5[[#This Row],[№]],ППД5[№],ППД5[№ на этаже],"-",0)</f>
        <v>1</v>
      </c>
      <c r="E371" s="2">
        <f>_xlfn.XLOOKUP(наценкад5[[#This Row],[№]],ППД5[№],ППД5[Тип кв],"-",0)</f>
        <v>2</v>
      </c>
      <c r="F371" s="72">
        <f>_xlfn.XLOOKUP(наценкад5[[#This Row],[№]],ППД5[№],ППД5[Кухня],"-",0)</f>
        <v>20.05</v>
      </c>
      <c r="G371" s="72">
        <f>_xlfn.XLOOKUP(наценкад5[[#This Row],[№]],ППД5[№],ППД5[Ванная],"-",0)</f>
        <v>3.54</v>
      </c>
      <c r="H371" s="72">
        <f>_xlfn.XLOOKUP(наценкад5[[#This Row],[№]],ППД5[№],ППД5[Гардеробная],"-",0)</f>
        <v>0</v>
      </c>
      <c r="I371" s="72">
        <f>_xlfn.XLOOKUP(наценкад5[[#This Row],[№]],ППД5[№],ППД5[Лоджия 2],"-",0)</f>
        <v>2.68</v>
      </c>
      <c r="J371" s="72">
        <f>_xlfn.XLOOKUP(наценкад5[[#This Row],[№]],ППД5[№],ППД5[С\У],"-",0)</f>
        <v>2.93</v>
      </c>
      <c r="K371" s="72">
        <f>_xlfn.XLOOKUP(наценкад5[[#This Row],[№]],ППД5[№],ППД5[Расчетная проектная площадь],"-",0)</f>
        <v>73.7</v>
      </c>
      <c r="L371" s="12">
        <f t="shared" si="5"/>
        <v>63000</v>
      </c>
      <c r="M371" s="102">
        <f>коэффициенты!$F$2</f>
        <v>1.2257</v>
      </c>
      <c r="N371" s="13">
        <f>наценкад5[[#This Row],[Цена м2 базовая]]*наценкад5[[#This Row],[Базовой K]]</f>
        <v>77219.100000000006</v>
      </c>
      <c r="O371" s="74">
        <f>коэффициенты!$F$4</f>
        <v>1.4999999999999999E-2</v>
      </c>
      <c r="P371" s="74"/>
      <c r="Q371" s="76"/>
      <c r="R371" s="76"/>
      <c r="S371" s="76">
        <f>коэффициенты!$F$9</f>
        <v>0</v>
      </c>
      <c r="T371" s="74">
        <f>коэффициенты!$F$7</f>
        <v>0.03</v>
      </c>
      <c r="U371" s="74"/>
      <c r="V371" s="74"/>
      <c r="W371" s="75">
        <f>коэффициенты!$F$12</f>
        <v>0.02</v>
      </c>
      <c r="X371" s="74">
        <f>коэффициенты!$F$13</f>
        <v>0.02</v>
      </c>
      <c r="Y371" s="75"/>
      <c r="Z371" s="76">
        <f>коэффициенты!$F$16</f>
        <v>0.08</v>
      </c>
      <c r="AA371" s="74">
        <f>коэффициенты!$F$14</f>
        <v>0.02</v>
      </c>
      <c r="AB371" s="74"/>
      <c r="AC371" s="74"/>
      <c r="AD371" s="74">
        <f>коэффициенты!$F$19</f>
        <v>5.0000000000000001E-3</v>
      </c>
      <c r="AE371" s="74"/>
      <c r="AF371" s="74">
        <f>коэффициенты!$F$21</f>
        <v>0.01</v>
      </c>
      <c r="AG371" s="74"/>
      <c r="AH371" s="74">
        <f>'отрицательный кф'!$O$27</f>
        <v>-0.08</v>
      </c>
      <c r="AI371" s="73">
        <f>SUM(наценкад5[[#This Row],[еврокухня]:[большая площадь]])*наценкад5[[#This Row],[Цена м2 с базовым K]]+наценкад5[[#This Row],[Цена м2 с базовым K]]</f>
        <v>86485.392000000007</v>
      </c>
      <c r="AJ371" s="72">
        <f>VLOOKUP(наценкад5[[#This Row],[№]],ППД5[],COLUMN(ППД5[[#This Row],[утв цена м2]]),0)</f>
        <v>126610.18</v>
      </c>
      <c r="AK371" s="3">
        <f>наценкад5[[#This Row],[утв цена м2]]*наценкад5[[#This Row],[Расчетная проектная площадь]]</f>
        <v>9331170.2660000008</v>
      </c>
      <c r="AL371" s="22" t="str">
        <f>VLOOKUP(наценкад5[[#This Row],[№]],ППД5[],COLUMN('Реестр ОН'!$DF$1),0)</f>
        <v>Свободно</v>
      </c>
    </row>
    <row r="372" spans="1:38" hidden="1" x14ac:dyDescent="0.25">
      <c r="A372" s="101">
        <v>370</v>
      </c>
      <c r="B372" s="2" t="str">
        <f>_xlfn.XLOOKUP(наценкад5[[#This Row],[№]],ППД5[№],ППД5[Секция],"-",0)</f>
        <v>В</v>
      </c>
      <c r="C372" s="2">
        <f>_xlfn.XLOOKUP(наценкад5[[#This Row],[№]],ППД5[№],ППД5[Этаж],"-",0)</f>
        <v>22</v>
      </c>
      <c r="D372" s="2">
        <f>_xlfn.XLOOKUP(наценкад5[[#This Row],[№]],ППД5[№],ППД5[№ на этаже],"-",0)</f>
        <v>2</v>
      </c>
      <c r="E372" s="2">
        <f>_xlfn.XLOOKUP(наценкад5[[#This Row],[№]],ППД5[№],ППД5[Тип кв],"-",0)</f>
        <v>0</v>
      </c>
      <c r="F372" s="72">
        <f>_xlfn.XLOOKUP(наценкад5[[#This Row],[№]],ППД5[№],ППД5[Кухня],"-",0)</f>
        <v>5.17</v>
      </c>
      <c r="G372" s="72">
        <f>_xlfn.XLOOKUP(наценкад5[[#This Row],[№]],ППД5[№],ППД5[Ванная],"-",0)</f>
        <v>3.72</v>
      </c>
      <c r="H372" s="72">
        <f>_xlfn.XLOOKUP(наценкад5[[#This Row],[№]],ППД5[№],ППД5[Гардеробная],"-",0)</f>
        <v>0</v>
      </c>
      <c r="I372" s="72">
        <f>_xlfn.XLOOKUP(наценкад5[[#This Row],[№]],ППД5[№],ППД5[Лоджия 2],"-",0)</f>
        <v>0</v>
      </c>
      <c r="J372" s="72">
        <f>_xlfn.XLOOKUP(наценкад5[[#This Row],[№]],ППД5[№],ППД5[С\У],"-",0)</f>
        <v>0</v>
      </c>
      <c r="K372" s="72">
        <f>_xlfn.XLOOKUP(наценкад5[[#This Row],[№]],ППД5[№],ППД5[Расчетная проектная площадь],"-",0)</f>
        <v>24.53</v>
      </c>
      <c r="L372" s="12">
        <f t="shared" si="5"/>
        <v>63000</v>
      </c>
      <c r="M372" s="116">
        <f>коэффициенты!$H$2</f>
        <v>1.3905000000000001</v>
      </c>
      <c r="N372" s="13">
        <f>наценкад5[[#This Row],[Цена м2 базовая]]*наценкад5[[#This Row],[Базовой K]]</f>
        <v>87601.5</v>
      </c>
      <c r="O372" s="74"/>
      <c r="P372" s="74"/>
      <c r="Q372" s="74"/>
      <c r="R372" s="74"/>
      <c r="S372" s="74"/>
      <c r="T372" s="74"/>
      <c r="U372" s="74"/>
      <c r="V372" s="74">
        <f>коэффициенты!$H$11</f>
        <v>0.01</v>
      </c>
      <c r="W372" s="75">
        <f>коэффициенты!$H$12</f>
        <v>0.02</v>
      </c>
      <c r="X372" s="74">
        <f>коэффициенты!$H$13</f>
        <v>0.01</v>
      </c>
      <c r="Y372" s="75"/>
      <c r="Z372" s="76">
        <f>коэффициенты!$H$16</f>
        <v>0.08</v>
      </c>
      <c r="AA372" s="74"/>
      <c r="AB372" s="74"/>
      <c r="AC372" s="74"/>
      <c r="AD372" s="74">
        <f>коэффициенты!$H$19</f>
        <v>0.01</v>
      </c>
      <c r="AE372" s="74"/>
      <c r="AF372" s="74">
        <f>коэффициенты!$H$21</f>
        <v>0.01</v>
      </c>
      <c r="AG372" s="74"/>
      <c r="AH372" s="74"/>
      <c r="AI372" s="73">
        <f>SUM(наценкад5[[#This Row],[еврокухня]:[большая площадь]])*наценкад5[[#This Row],[Цена м2 с базовым K]]+наценкад5[[#This Row],[Цена м2 с базовым K]]</f>
        <v>99865.71</v>
      </c>
      <c r="AJ372" s="72">
        <f>VLOOKUP(наценкад5[[#This Row],[№]],ППД5[],COLUMN(ППД5[[#This Row],[утв цена м2]]),0)</f>
        <v>138721.60999999999</v>
      </c>
      <c r="AK372" s="3">
        <f>наценкад5[[#This Row],[утв цена м2]]*наценкад5[[#This Row],[Расчетная проектная площадь]]</f>
        <v>3402841.0932999998</v>
      </c>
      <c r="AL372" s="22" t="str">
        <f>VLOOKUP(наценкад5[[#This Row],[№]],ППД5[],COLUMN('Реестр ОН'!$DF$1),0)</f>
        <v>Продажа</v>
      </c>
    </row>
    <row r="373" spans="1:38" hidden="1" x14ac:dyDescent="0.25">
      <c r="A373" s="101">
        <v>371</v>
      </c>
      <c r="B373" s="2" t="str">
        <f>_xlfn.XLOOKUP(наценкад5[[#This Row],[№]],ППД5[№],ППД5[Секция],"-",0)</f>
        <v>В</v>
      </c>
      <c r="C373" s="2">
        <f>_xlfn.XLOOKUP(наценкад5[[#This Row],[№]],ППД5[№],ППД5[Этаж],"-",0)</f>
        <v>22</v>
      </c>
      <c r="D373" s="2">
        <f>_xlfn.XLOOKUP(наценкад5[[#This Row],[№]],ППД5[№],ППД5[№ на этаже],"-",0)</f>
        <v>3</v>
      </c>
      <c r="E373" s="2">
        <f>_xlfn.XLOOKUP(наценкад5[[#This Row],[№]],ППД5[№],ППД5[Тип кв],"-",0)</f>
        <v>2</v>
      </c>
      <c r="F373" s="3">
        <f>_xlfn.XLOOKUP(наценкад5[[#This Row],[№]],ППД5[№],ППД5[Кухня],"-",0)</f>
        <v>18.71</v>
      </c>
      <c r="G373" s="72">
        <f>_xlfn.XLOOKUP(наценкад5[[#This Row],[№]],ППД5[№],ППД5[Ванная],"-",0)</f>
        <v>3.49</v>
      </c>
      <c r="H373" s="72">
        <f>_xlfn.XLOOKUP(наценкад5[[#This Row],[№]],ППД5[№],ППД5[Гардеробная],"-",0)</f>
        <v>0</v>
      </c>
      <c r="I373" s="72">
        <f>_xlfn.XLOOKUP(наценкад5[[#This Row],[№]],ППД5[№],ППД5[Лоджия 2],"-",0)</f>
        <v>0</v>
      </c>
      <c r="J373" s="72">
        <f>_xlfn.XLOOKUP(наценкад5[[#This Row],[№]],ППД5[№],ППД5[С\У],"-",0)</f>
        <v>2.11</v>
      </c>
      <c r="K373" s="72">
        <f>_xlfn.XLOOKUP(наценкад5[[#This Row],[№]],ППД5[№],ППД5[Расчетная проектная площадь],"-",0)</f>
        <v>56.58</v>
      </c>
      <c r="L373" s="12">
        <f t="shared" si="5"/>
        <v>63000</v>
      </c>
      <c r="M373" s="102">
        <f>коэффициенты!$F$2</f>
        <v>1.2257</v>
      </c>
      <c r="N373" s="13">
        <f>наценкад5[[#This Row],[Цена м2 базовая]]*наценкад5[[#This Row],[Базовой K]]</f>
        <v>77219.100000000006</v>
      </c>
      <c r="O373" s="74">
        <f>коэффициенты!$F$4</f>
        <v>1.4999999999999999E-2</v>
      </c>
      <c r="P373" s="74"/>
      <c r="Q373" s="76"/>
      <c r="R373" s="76">
        <f>коэффициенты!$F$10</f>
        <v>0</v>
      </c>
      <c r="S373" s="76">
        <f>коэффициенты!$F$9</f>
        <v>0</v>
      </c>
      <c r="T373" s="74"/>
      <c r="U373" s="74"/>
      <c r="V373" s="74"/>
      <c r="W373" s="75">
        <f>коэффициенты!$F$12</f>
        <v>0.02</v>
      </c>
      <c r="X373" s="74"/>
      <c r="Y373" s="75"/>
      <c r="Z373" s="76">
        <f>коэффициенты!$F$16</f>
        <v>0.08</v>
      </c>
      <c r="AA373" s="74"/>
      <c r="AB373" s="74"/>
      <c r="AC373" s="74"/>
      <c r="AD373" s="74">
        <f>коэффициенты!$F$19</f>
        <v>5.0000000000000001E-3</v>
      </c>
      <c r="AE373" s="74"/>
      <c r="AF373" s="74">
        <f>коэффициенты!$F$21</f>
        <v>0.01</v>
      </c>
      <c r="AG373" s="74"/>
      <c r="AH373" s="74"/>
      <c r="AI373" s="73">
        <f>SUM(наценкад5[[#This Row],[еврокухня]:[большая площадь]])*наценкад5[[#This Row],[Цена м2 с базовым K]]+наценкад5[[#This Row],[Цена м2 с базовым K]]</f>
        <v>87257.583000000013</v>
      </c>
      <c r="AJ373" s="72">
        <f>VLOOKUP(наценкад5[[#This Row],[№]],ППД5[],COLUMN(ППД5[[#This Row],[утв цена м2]]),0)</f>
        <v>104271.57</v>
      </c>
      <c r="AK373" s="3">
        <f>наценкад5[[#This Row],[утв цена м2]]*наценкад5[[#This Row],[Расчетная проектная площадь]]</f>
        <v>5899685.4306000005</v>
      </c>
      <c r="AL373" s="22" t="str">
        <f>VLOOKUP(наценкад5[[#This Row],[№]],ППД5[],COLUMN('Реестр ОН'!$DF$1),0)</f>
        <v>Продажа</v>
      </c>
    </row>
    <row r="374" spans="1:38" hidden="1" x14ac:dyDescent="0.25">
      <c r="A374" s="101">
        <v>372</v>
      </c>
      <c r="B374" s="2" t="str">
        <f>_xlfn.XLOOKUP(наценкад5[[#This Row],[№]],ППД5[№],ППД5[Секция],"-",0)</f>
        <v>В</v>
      </c>
      <c r="C374" s="2">
        <f>_xlfn.XLOOKUP(наценкад5[[#This Row],[№]],ППД5[№],ППД5[Этаж],"-",0)</f>
        <v>22</v>
      </c>
      <c r="D374" s="2">
        <f>_xlfn.XLOOKUP(наценкад5[[#This Row],[№]],ППД5[№],ППД5[№ на этаже],"-",0)</f>
        <v>4</v>
      </c>
      <c r="E374" s="2">
        <f>_xlfn.XLOOKUP(наценкад5[[#This Row],[№]],ППД5[№],ППД5[Тип кв],"-",0)</f>
        <v>2</v>
      </c>
      <c r="F374" s="72">
        <f>_xlfn.XLOOKUP(наценкад5[[#This Row],[№]],ППД5[№],ППД5[Кухня],"-",0)</f>
        <v>15.44</v>
      </c>
      <c r="G374" s="72">
        <f>_xlfn.XLOOKUP(наценкад5[[#This Row],[№]],ППД5[№],ППД5[Ванная],"-",0)</f>
        <v>4.59</v>
      </c>
      <c r="H374" s="72">
        <f>_xlfn.XLOOKUP(наценкад5[[#This Row],[№]],ППД5[№],ППД5[Гардеробная],"-",0)</f>
        <v>0</v>
      </c>
      <c r="I374" s="72">
        <f>_xlfn.XLOOKUP(наценкад5[[#This Row],[№]],ППД5[№],ППД5[Лоджия 2],"-",0)</f>
        <v>0</v>
      </c>
      <c r="J374" s="72">
        <f>_xlfn.XLOOKUP(наценкад5[[#This Row],[№]],ППД5[№],ППД5[С\У],"-",0)</f>
        <v>2.21</v>
      </c>
      <c r="K374" s="72">
        <f>_xlfn.XLOOKUP(наценкад5[[#This Row],[№]],ППД5[№],ППД5[Расчетная проектная площадь],"-",0)</f>
        <v>60.24</v>
      </c>
      <c r="L374" s="12">
        <f t="shared" si="5"/>
        <v>63000</v>
      </c>
      <c r="M374" s="102">
        <f>коэффициенты!$F$2</f>
        <v>1.2257</v>
      </c>
      <c r="N374" s="13">
        <f>наценкад5[[#This Row],[Цена м2 базовая]]*наценкад5[[#This Row],[Базовой K]]</f>
        <v>77219.100000000006</v>
      </c>
      <c r="O374" s="74">
        <f>коэффициенты!$F$4</f>
        <v>1.4999999999999999E-2</v>
      </c>
      <c r="P374" s="74"/>
      <c r="Q374" s="76">
        <f>коэффициенты!$F$6</f>
        <v>0.02</v>
      </c>
      <c r="R374" s="76"/>
      <c r="S374" s="76">
        <f>коэффициенты!$F$9</f>
        <v>0</v>
      </c>
      <c r="T374" s="74"/>
      <c r="U374" s="74"/>
      <c r="V374" s="74">
        <f>коэффициенты!$F$11</f>
        <v>5.0000000000000001E-3</v>
      </c>
      <c r="W374" s="75">
        <f>коэффициенты!$F$12</f>
        <v>0.02</v>
      </c>
      <c r="X374" s="74"/>
      <c r="Y374" s="75"/>
      <c r="Z374" s="76">
        <f>коэффициенты!$F$16</f>
        <v>0.08</v>
      </c>
      <c r="AA374" s="74"/>
      <c r="AB374" s="74"/>
      <c r="AC374" s="74"/>
      <c r="AD374" s="74">
        <f>коэффициенты!$F$19</f>
        <v>5.0000000000000001E-3</v>
      </c>
      <c r="AE374" s="74"/>
      <c r="AF374" s="74">
        <f>коэффициенты!$F$21</f>
        <v>0.01</v>
      </c>
      <c r="AG374" s="74"/>
      <c r="AH374" s="74"/>
      <c r="AI374" s="73">
        <f>SUM(наценкад5[[#This Row],[еврокухня]:[большая площадь]])*наценкад5[[#This Row],[Цена м2 с базовым K]]+наценкад5[[#This Row],[Цена м2 с базовым K]]</f>
        <v>89188.060500000007</v>
      </c>
      <c r="AJ374" s="72">
        <f>VLOOKUP(наценкад5[[#This Row],[№]],ППД5[],COLUMN(ППД5[[#This Row],[утв цена м2]]),0)</f>
        <v>133272.95999999999</v>
      </c>
      <c r="AK374" s="3">
        <f>наценкад5[[#This Row],[утв цена м2]]*наценкад5[[#This Row],[Расчетная проектная площадь]]</f>
        <v>8028363.1103999997</v>
      </c>
      <c r="AL374" s="22" t="str">
        <f>VLOOKUP(наценкад5[[#This Row],[№]],ППД5[],COLUMN('Реестр ОН'!$DF$1),0)</f>
        <v>Стр. Резерв</v>
      </c>
    </row>
    <row r="375" spans="1:38" hidden="1" x14ac:dyDescent="0.25">
      <c r="A375" s="101">
        <v>373</v>
      </c>
      <c r="B375" s="2" t="str">
        <f>_xlfn.XLOOKUP(наценкад5[[#This Row],[№]],ППД5[№],ППД5[Секция],"-",0)</f>
        <v>В</v>
      </c>
      <c r="C375" s="2">
        <f>_xlfn.XLOOKUP(наценкад5[[#This Row],[№]],ППД5[№],ППД5[Этаж],"-",0)</f>
        <v>22</v>
      </c>
      <c r="D375" s="2">
        <f>_xlfn.XLOOKUP(наценкад5[[#This Row],[№]],ППД5[№],ППД5[№ на этаже],"-",0)</f>
        <v>5</v>
      </c>
      <c r="E375" s="2">
        <f>_xlfn.XLOOKUP(наценкад5[[#This Row],[№]],ППД5[№],ППД5[Тип кв],"-",0)</f>
        <v>1</v>
      </c>
      <c r="F375" s="72">
        <f>_xlfn.XLOOKUP(наценкад5[[#This Row],[№]],ППД5[№],ППД5[Кухня],"-",0)</f>
        <v>12.74</v>
      </c>
      <c r="G375" s="72">
        <f>_xlfn.XLOOKUP(наценкад5[[#This Row],[№]],ППД5[№],ППД5[Ванная],"-",0)</f>
        <v>4.0199999999999996</v>
      </c>
      <c r="H375" s="72">
        <f>_xlfn.XLOOKUP(наценкад5[[#This Row],[№]],ППД5[№],ППД5[Гардеробная],"-",0)</f>
        <v>0</v>
      </c>
      <c r="I375" s="72">
        <f>_xlfn.XLOOKUP(наценкад5[[#This Row],[№]],ППД5[№],ППД5[Лоджия 2],"-",0)</f>
        <v>0</v>
      </c>
      <c r="J375" s="72">
        <f>_xlfn.XLOOKUP(наценкад5[[#This Row],[№]],ППД5[№],ППД5[С\У],"-",0)</f>
        <v>0</v>
      </c>
      <c r="K375" s="72">
        <f>_xlfn.XLOOKUP(наценкад5[[#This Row],[№]],ППД5[№],ППД5[Расчетная проектная площадь],"-",0)</f>
        <v>37.81</v>
      </c>
      <c r="L375" s="12">
        <f t="shared" si="5"/>
        <v>63000</v>
      </c>
      <c r="M375" s="102">
        <f>коэффициенты!$G$2</f>
        <v>1.2875000000000001</v>
      </c>
      <c r="N375" s="13">
        <f>наценкад5[[#This Row],[Цена м2 базовая]]*наценкад5[[#This Row],[Базовой K]]</f>
        <v>81112.5</v>
      </c>
      <c r="O375" s="74"/>
      <c r="P375" s="76">
        <f>коэффициенты!$G$5</f>
        <v>0.01</v>
      </c>
      <c r="Q375" s="74">
        <f>коэффициенты!$G$6</f>
        <v>0.03</v>
      </c>
      <c r="R375" s="74"/>
      <c r="S375" s="74"/>
      <c r="T375" s="74"/>
      <c r="U375" s="74"/>
      <c r="V375" s="74">
        <f>коэффициенты!$G$11</f>
        <v>0.01</v>
      </c>
      <c r="W375" s="75">
        <f>коэффициенты!$G$12</f>
        <v>0.02</v>
      </c>
      <c r="X375" s="74">
        <f>коэффициенты!$G$13</f>
        <v>0.01</v>
      </c>
      <c r="Y375" s="75"/>
      <c r="Z375" s="76">
        <f>коэффициенты!$G$16</f>
        <v>0.08</v>
      </c>
      <c r="AA375" s="74">
        <f>коэффициенты!$G$14</f>
        <v>0.01</v>
      </c>
      <c r="AB375" s="74"/>
      <c r="AC375" s="74"/>
      <c r="AD375" s="74">
        <f>коэффициенты!$G$19</f>
        <v>0.01</v>
      </c>
      <c r="AE375" s="74"/>
      <c r="AF375" s="74">
        <f>коэффициенты!$G$21</f>
        <v>0.01</v>
      </c>
      <c r="AG375" s="74"/>
      <c r="AH375" s="74"/>
      <c r="AI375" s="73">
        <f>SUM(наценкад5[[#This Row],[еврокухня]:[большая площадь]])*наценкад5[[#This Row],[Цена м2 с базовым K]]+наценкад5[[#This Row],[Цена м2 с базовым K]]</f>
        <v>96523.875</v>
      </c>
      <c r="AJ375" s="72">
        <f>VLOOKUP(наценкад5[[#This Row],[№]],ППД5[],COLUMN(ППД5[[#This Row],[утв цена м2]]),0)</f>
        <v>149904.34</v>
      </c>
      <c r="AK375" s="3">
        <f>наценкад5[[#This Row],[утв цена м2]]*наценкад5[[#This Row],[Расчетная проектная площадь]]</f>
        <v>5667883.0954</v>
      </c>
      <c r="AL375" s="22" t="str">
        <f>VLOOKUP(наценкад5[[#This Row],[№]],ППД5[],COLUMN('Реестр ОН'!$DF$1),0)</f>
        <v>Свободно</v>
      </c>
    </row>
    <row r="376" spans="1:38" hidden="1" x14ac:dyDescent="0.25">
      <c r="A376" s="101">
        <v>374</v>
      </c>
      <c r="B376" s="2" t="str">
        <f>_xlfn.XLOOKUP(наценкад5[[#This Row],[№]],ППД5[№],ППД5[Секция],"-",0)</f>
        <v>В</v>
      </c>
      <c r="C376" s="2">
        <f>_xlfn.XLOOKUP(наценкад5[[#This Row],[№]],ППД5[№],ППД5[Этаж],"-",0)</f>
        <v>22</v>
      </c>
      <c r="D376" s="2">
        <f>_xlfn.XLOOKUP(наценкад5[[#This Row],[№]],ППД5[№],ППД5[№ на этаже],"-",0)</f>
        <v>6</v>
      </c>
      <c r="E376" s="2">
        <f>_xlfn.XLOOKUP(наценкад5[[#This Row],[№]],ППД5[№],ППД5[Тип кв],"-",0)</f>
        <v>3</v>
      </c>
      <c r="F376" s="72">
        <f>_xlfn.XLOOKUP(наценкад5[[#This Row],[№]],ППД5[№],ППД5[Кухня],"-",0)</f>
        <v>13.15</v>
      </c>
      <c r="G376" s="72">
        <f>_xlfn.XLOOKUP(наценкад5[[#This Row],[№]],ППД5[№],ППД5[Ванная],"-",0)</f>
        <v>4.03</v>
      </c>
      <c r="H376" s="72">
        <f>_xlfn.XLOOKUP(наценкад5[[#This Row],[№]],ППД5[№],ППД5[Гардеробная],"-",0)</f>
        <v>0</v>
      </c>
      <c r="I376" s="72">
        <f>_xlfn.XLOOKUP(наценкад5[[#This Row],[№]],ППД5[№],ППД5[Лоджия 2],"-",0)</f>
        <v>2.68</v>
      </c>
      <c r="J376" s="72">
        <f>_xlfn.XLOOKUP(наценкад5[[#This Row],[№]],ППД5[№],ППД5[С\У],"-",0)</f>
        <v>1.76</v>
      </c>
      <c r="K376" s="72">
        <f>_xlfn.XLOOKUP(наценкад5[[#This Row],[№]],ППД5[№],ППД5[Расчетная проектная площадь],"-",0)</f>
        <v>80.97</v>
      </c>
      <c r="L376" s="12">
        <f t="shared" si="5"/>
        <v>63000</v>
      </c>
      <c r="M376" s="27">
        <f>коэффициенты!$E$2</f>
        <v>1.1330000000000002</v>
      </c>
      <c r="N376" s="13">
        <f>наценкад5[[#This Row],[Цена м2 базовая]]*наценкад5[[#This Row],[Базовой K]]</f>
        <v>71379.000000000015</v>
      </c>
      <c r="O376" s="74"/>
      <c r="P376" s="74">
        <f>коэффициенты!$E$5</f>
        <v>0</v>
      </c>
      <c r="Q376" s="74">
        <f>коэффициенты!$E$6</f>
        <v>0.01</v>
      </c>
      <c r="R376" s="74"/>
      <c r="S376" s="74">
        <f>коэффициенты!$E$9</f>
        <v>0</v>
      </c>
      <c r="T376" s="74">
        <f>коэффициенты!$E$7</f>
        <v>0</v>
      </c>
      <c r="U376" s="74"/>
      <c r="V376" s="74"/>
      <c r="W376" s="75">
        <f>коэффициенты!$E$12</f>
        <v>0.02</v>
      </c>
      <c r="X376" s="74"/>
      <c r="Y376" s="75"/>
      <c r="Z376" s="76">
        <f>коэффициенты!$A$16</f>
        <v>0.08</v>
      </c>
      <c r="AA376" s="74">
        <f>коэффициенты!$E$14</f>
        <v>0</v>
      </c>
      <c r="AB376" s="74">
        <f>коэффициенты!$E$17</f>
        <v>0</v>
      </c>
      <c r="AC376" s="74"/>
      <c r="AD376" s="74"/>
      <c r="AE376" s="74"/>
      <c r="AF376" s="74">
        <f>коэффициенты!$E$21</f>
        <v>0.01</v>
      </c>
      <c r="AG376" s="74"/>
      <c r="AH376" s="74"/>
      <c r="AI376" s="73">
        <f>SUM(наценкад5[[#This Row],[еврокухня]:[большая площадь]])*наценкад5[[#This Row],[Цена м2 с базовым K]]+наценкад5[[#This Row],[Цена м2 с базовым K]]</f>
        <v>79944.48000000001</v>
      </c>
      <c r="AJ376" s="72">
        <f>VLOOKUP(наценкад5[[#This Row],[№]],ППД5[],COLUMN(ППД5[[#This Row],[утв цена м2]]),0)</f>
        <v>123738.15</v>
      </c>
      <c r="AK376" s="3">
        <f>наценкад5[[#This Row],[утв цена м2]]*наценкад5[[#This Row],[Расчетная проектная площадь]]</f>
        <v>10019078.0055</v>
      </c>
      <c r="AL376" s="22" t="str">
        <f>VLOOKUP(наценкад5[[#This Row],[№]],ППД5[],COLUMN('Реестр ОН'!$DF$1),0)</f>
        <v>Продажа</v>
      </c>
    </row>
    <row r="377" spans="1:38" hidden="1" x14ac:dyDescent="0.25">
      <c r="A377" s="101">
        <v>375</v>
      </c>
      <c r="B377" s="2" t="str">
        <f>_xlfn.XLOOKUP(наценкад5[[#This Row],[№]],ППД5[№],ППД5[Секция],"-",0)</f>
        <v>В</v>
      </c>
      <c r="C377" s="2">
        <f>_xlfn.XLOOKUP(наценкад5[[#This Row],[№]],ППД5[№],ППД5[Этаж],"-",0)</f>
        <v>22</v>
      </c>
      <c r="D377" s="2">
        <f>_xlfn.XLOOKUP(наценкад5[[#This Row],[№]],ППД5[№],ППД5[№ на этаже],"-",0)</f>
        <v>7</v>
      </c>
      <c r="E377" s="2">
        <f>_xlfn.XLOOKUP(наценкад5[[#This Row],[№]],ППД5[№],ППД5[Тип кв],"-",0)</f>
        <v>1</v>
      </c>
      <c r="F377" s="72">
        <f>_xlfn.XLOOKUP(наценкад5[[#This Row],[№]],ППД5[№],ППД5[Кухня],"-",0)</f>
        <v>9.2799999999999994</v>
      </c>
      <c r="G377" s="72">
        <f>_xlfn.XLOOKUP(наценкад5[[#This Row],[№]],ППД5[№],ППД5[Ванная],"-",0)</f>
        <v>3.79</v>
      </c>
      <c r="H377" s="72">
        <f>_xlfn.XLOOKUP(наценкад5[[#This Row],[№]],ППД5[№],ППД5[Гардеробная],"-",0)</f>
        <v>0</v>
      </c>
      <c r="I377" s="72">
        <f>_xlfn.XLOOKUP(наценкад5[[#This Row],[№]],ППД5[№],ППД5[Лоджия 2],"-",0)</f>
        <v>0</v>
      </c>
      <c r="J377" s="72">
        <f>_xlfn.XLOOKUP(наценкад5[[#This Row],[№]],ППД5[№],ППД5[С\У],"-",0)</f>
        <v>0</v>
      </c>
      <c r="K377" s="72">
        <f>_xlfn.XLOOKUP(наценкад5[[#This Row],[№]],ППД5[№],ППД5[Расчетная проектная площадь],"-",0)</f>
        <v>34.81</v>
      </c>
      <c r="L377" s="12">
        <f t="shared" si="5"/>
        <v>63000</v>
      </c>
      <c r="M377" s="102">
        <f>коэффициенты!$G$2</f>
        <v>1.2875000000000001</v>
      </c>
      <c r="N377" s="13">
        <f>наценкад5[[#This Row],[Цена м2 базовая]]*наценкад5[[#This Row],[Базовой K]]</f>
        <v>81112.5</v>
      </c>
      <c r="O377" s="74"/>
      <c r="P377" s="74"/>
      <c r="Q377" s="74"/>
      <c r="R377" s="74"/>
      <c r="S377" s="74"/>
      <c r="T377" s="74"/>
      <c r="U377" s="74"/>
      <c r="V377" s="74">
        <f>коэффициенты!$G$11</f>
        <v>0.01</v>
      </c>
      <c r="W377" s="75">
        <f>коэффициенты!$G$12</f>
        <v>0.02</v>
      </c>
      <c r="X377" s="74"/>
      <c r="Y377" s="75"/>
      <c r="Z377" s="76">
        <f>коэффициенты!$G$16</f>
        <v>0.08</v>
      </c>
      <c r="AA377" s="74">
        <f>коэффициенты!$G$14</f>
        <v>0.01</v>
      </c>
      <c r="AB377" s="74"/>
      <c r="AC377" s="74"/>
      <c r="AD377" s="74">
        <f>коэффициенты!$G$19</f>
        <v>0.01</v>
      </c>
      <c r="AE377" s="74"/>
      <c r="AF377" s="74">
        <f>коэффициенты!$G$21</f>
        <v>0.01</v>
      </c>
      <c r="AG377" s="74">
        <f>коэффициенты!$A$24</f>
        <v>-5.0000000000000001E-3</v>
      </c>
      <c r="AH377" s="74"/>
      <c r="AI377" s="73">
        <f>SUM(наценкад5[[#This Row],[еврокухня]:[большая площадь]])*наценкад5[[#This Row],[Цена м2 с базовым K]]+наценкад5[[#This Row],[Цена м2 с базовым K]]</f>
        <v>92062.6875</v>
      </c>
      <c r="AJ377" s="72">
        <f>VLOOKUP(наценкад5[[#This Row],[№]],ППД5[],COLUMN(ППД5[[#This Row],[утв цена м2]]),0)</f>
        <v>119180.26</v>
      </c>
      <c r="AK377" s="3">
        <f>наценкад5[[#This Row],[утв цена м2]]*наценкад5[[#This Row],[Расчетная проектная площадь]]</f>
        <v>4148664.8506</v>
      </c>
      <c r="AL377" s="22" t="str">
        <f>VLOOKUP(наценкад5[[#This Row],[№]],ППД5[],COLUMN('Реестр ОН'!$DF$1),0)</f>
        <v>Продажа</v>
      </c>
    </row>
    <row r="378" spans="1:38" hidden="1" x14ac:dyDescent="0.25">
      <c r="A378" s="101">
        <v>376</v>
      </c>
      <c r="B378" s="2" t="str">
        <f>_xlfn.XLOOKUP(наценкад5[[#This Row],[№]],ППД5[№],ППД5[Секция],"-",0)</f>
        <v>В</v>
      </c>
      <c r="C378" s="2">
        <f>_xlfn.XLOOKUP(наценкад5[[#This Row],[№]],ППД5[№],ППД5[Этаж],"-",0)</f>
        <v>23</v>
      </c>
      <c r="D378" s="2">
        <f>_xlfn.XLOOKUP(наценкад5[[#This Row],[№]],ППД5[№],ППД5[№ на этаже],"-",0)</f>
        <v>1</v>
      </c>
      <c r="E378" s="2">
        <f>_xlfn.XLOOKUP(наценкад5[[#This Row],[№]],ППД5[№],ППД5[Тип кв],"-",0)</f>
        <v>2</v>
      </c>
      <c r="F378" s="72">
        <f>_xlfn.XLOOKUP(наценкад5[[#This Row],[№]],ППД5[№],ППД5[Кухня],"-",0)</f>
        <v>20.05</v>
      </c>
      <c r="G378" s="72">
        <f>_xlfn.XLOOKUP(наценкад5[[#This Row],[№]],ППД5[№],ППД5[Ванная],"-",0)</f>
        <v>3.54</v>
      </c>
      <c r="H378" s="72">
        <f>_xlfn.XLOOKUP(наценкад5[[#This Row],[№]],ППД5[№],ППД5[Гардеробная],"-",0)</f>
        <v>0</v>
      </c>
      <c r="I378" s="72">
        <f>_xlfn.XLOOKUP(наценкад5[[#This Row],[№]],ППД5[№],ППД5[Лоджия 2],"-",0)</f>
        <v>2.68</v>
      </c>
      <c r="J378" s="72">
        <f>_xlfn.XLOOKUP(наценкад5[[#This Row],[№]],ППД5[№],ППД5[С\У],"-",0)</f>
        <v>2.93</v>
      </c>
      <c r="K378" s="72">
        <f>_xlfn.XLOOKUP(наценкад5[[#This Row],[№]],ППД5[№],ППД5[Расчетная проектная площадь],"-",0)</f>
        <v>73.7</v>
      </c>
      <c r="L378" s="12">
        <f t="shared" si="5"/>
        <v>63000</v>
      </c>
      <c r="M378" s="102">
        <f>коэффициенты!$F$2</f>
        <v>1.2257</v>
      </c>
      <c r="N378" s="13">
        <f>наценкад5[[#This Row],[Цена м2 базовая]]*наценкад5[[#This Row],[Базовой K]]</f>
        <v>77219.100000000006</v>
      </c>
      <c r="O378" s="74">
        <f>коэффициенты!$F$4</f>
        <v>1.4999999999999999E-2</v>
      </c>
      <c r="P378" s="74"/>
      <c r="Q378" s="76"/>
      <c r="R378" s="76"/>
      <c r="S378" s="76">
        <f>коэффициенты!$F$9</f>
        <v>0</v>
      </c>
      <c r="T378" s="74">
        <f>коэффициенты!$F$7</f>
        <v>0.03</v>
      </c>
      <c r="U378" s="74"/>
      <c r="V378" s="74"/>
      <c r="W378" s="75"/>
      <c r="X378" s="74">
        <f>коэффициенты!$F$13</f>
        <v>0.02</v>
      </c>
      <c r="Y378" s="75"/>
      <c r="Z378" s="76">
        <f>коэффициенты!$F$16</f>
        <v>0.08</v>
      </c>
      <c r="AA378" s="74">
        <f>коэффициенты!$F$14</f>
        <v>0.02</v>
      </c>
      <c r="AB378" s="74"/>
      <c r="AC378" s="74"/>
      <c r="AD378" s="74">
        <f>коэффициенты!$F$19</f>
        <v>5.0000000000000001E-3</v>
      </c>
      <c r="AE378" s="74"/>
      <c r="AF378" s="74">
        <f>коэффициенты!$F$21</f>
        <v>0.01</v>
      </c>
      <c r="AG378" s="74"/>
      <c r="AH378" s="74">
        <f>'отрицательный кф'!$O$27</f>
        <v>-0.08</v>
      </c>
      <c r="AI378" s="73">
        <f>SUM(наценкад5[[#This Row],[еврокухня]:[большая площадь]])*наценкад5[[#This Row],[Цена м2 с базовым K]]+наценкад5[[#This Row],[Цена м2 с базовым K]]</f>
        <v>84941.010000000009</v>
      </c>
      <c r="AJ378" s="72">
        <f>VLOOKUP(наценкад5[[#This Row],[№]],ППД5[],COLUMN(ППД5[[#This Row],[утв цена м2]]),0)</f>
        <v>101864.07</v>
      </c>
      <c r="AK378" s="3">
        <f>наценкад5[[#This Row],[утв цена м2]]*наценкад5[[#This Row],[Расчетная проектная площадь]]</f>
        <v>7507381.9590000007</v>
      </c>
      <c r="AL378" s="22" t="str">
        <f>VLOOKUP(наценкад5[[#This Row],[№]],ППД5[],COLUMN('Реестр ОН'!$DF$1),0)</f>
        <v>Продажа</v>
      </c>
    </row>
    <row r="379" spans="1:38" hidden="1" x14ac:dyDescent="0.25">
      <c r="A379" s="101">
        <v>377</v>
      </c>
      <c r="B379" s="2" t="str">
        <f>_xlfn.XLOOKUP(наценкад5[[#This Row],[№]],ППД5[№],ППД5[Секция],"-",0)</f>
        <v>В</v>
      </c>
      <c r="C379" s="2">
        <f>_xlfn.XLOOKUP(наценкад5[[#This Row],[№]],ППД5[№],ППД5[Этаж],"-",0)</f>
        <v>23</v>
      </c>
      <c r="D379" s="2">
        <f>_xlfn.XLOOKUP(наценкад5[[#This Row],[№]],ППД5[№],ППД5[№ на этаже],"-",0)</f>
        <v>2</v>
      </c>
      <c r="E379" s="2">
        <f>_xlfn.XLOOKUP(наценкад5[[#This Row],[№]],ППД5[№],ППД5[Тип кв],"-",0)</f>
        <v>0</v>
      </c>
      <c r="F379" s="72">
        <f>_xlfn.XLOOKUP(наценкад5[[#This Row],[№]],ППД5[№],ППД5[Кухня],"-",0)</f>
        <v>5.17</v>
      </c>
      <c r="G379" s="72">
        <f>_xlfn.XLOOKUP(наценкад5[[#This Row],[№]],ППД5[№],ППД5[Ванная],"-",0)</f>
        <v>3.72</v>
      </c>
      <c r="H379" s="72">
        <f>_xlfn.XLOOKUP(наценкад5[[#This Row],[№]],ППД5[№],ППД5[Гардеробная],"-",0)</f>
        <v>0</v>
      </c>
      <c r="I379" s="72">
        <f>_xlfn.XLOOKUP(наценкад5[[#This Row],[№]],ППД5[№],ППД5[Лоджия 2],"-",0)</f>
        <v>0</v>
      </c>
      <c r="J379" s="72">
        <f>_xlfn.XLOOKUP(наценкад5[[#This Row],[№]],ППД5[№],ППД5[С\У],"-",0)</f>
        <v>0</v>
      </c>
      <c r="K379" s="72">
        <f>_xlfn.XLOOKUP(наценкад5[[#This Row],[№]],ППД5[№],ППД5[Расчетная проектная площадь],"-",0)</f>
        <v>24.53</v>
      </c>
      <c r="L379" s="12">
        <f t="shared" si="5"/>
        <v>63000</v>
      </c>
      <c r="M379" s="116">
        <f>коэффициенты!$H$2</f>
        <v>1.3905000000000001</v>
      </c>
      <c r="N379" s="13">
        <f>наценкад5[[#This Row],[Цена м2 базовая]]*наценкад5[[#This Row],[Базовой K]]</f>
        <v>87601.5</v>
      </c>
      <c r="O379" s="74"/>
      <c r="P379" s="74"/>
      <c r="Q379" s="74"/>
      <c r="R379" s="74"/>
      <c r="S379" s="74"/>
      <c r="T379" s="74"/>
      <c r="U379" s="74"/>
      <c r="V379" s="74">
        <f>коэффициенты!$H$11</f>
        <v>0.01</v>
      </c>
      <c r="W379" s="117">
        <f>коэффициенты!$H$22</f>
        <v>0.01</v>
      </c>
      <c r="X379" s="74">
        <f>коэффициенты!$H$13</f>
        <v>0.01</v>
      </c>
      <c r="Y379" s="75"/>
      <c r="Z379" s="76">
        <f>коэффициенты!$H$16</f>
        <v>0.08</v>
      </c>
      <c r="AA379" s="74"/>
      <c r="AB379" s="74"/>
      <c r="AC379" s="74"/>
      <c r="AD379" s="74">
        <f>коэффициенты!$H$19</f>
        <v>0.01</v>
      </c>
      <c r="AE379" s="74"/>
      <c r="AF379" s="74">
        <f>коэффициенты!$H$21</f>
        <v>0.01</v>
      </c>
      <c r="AG379" s="74"/>
      <c r="AH379" s="74"/>
      <c r="AI379" s="73">
        <f>SUM(наценкад5[[#This Row],[еврокухня]:[большая площадь]])*наценкад5[[#This Row],[Цена м2 с базовым K]]+наценкад5[[#This Row],[Цена м2 с базовым K]]</f>
        <v>98989.695000000007</v>
      </c>
      <c r="AJ379" s="72">
        <f>VLOOKUP(наценкад5[[#This Row],[№]],ППД5[],COLUMN(ППД5[[#This Row],[утв цена м2]]),0)</f>
        <v>137504.75</v>
      </c>
      <c r="AK379" s="3">
        <f>наценкад5[[#This Row],[утв цена м2]]*наценкад5[[#This Row],[Расчетная проектная площадь]]</f>
        <v>3372991.5175000001</v>
      </c>
      <c r="AL379" s="22" t="str">
        <f>VLOOKUP(наценкад5[[#This Row],[№]],ППД5[],COLUMN('Реестр ОН'!$DF$1),0)</f>
        <v>Продажа</v>
      </c>
    </row>
    <row r="380" spans="1:38" hidden="1" x14ac:dyDescent="0.25">
      <c r="A380" s="101">
        <v>378</v>
      </c>
      <c r="B380" s="2" t="str">
        <f>_xlfn.XLOOKUP(наценкад5[[#This Row],[№]],ППД5[№],ППД5[Секция],"-",0)</f>
        <v>В</v>
      </c>
      <c r="C380" s="2">
        <f>_xlfn.XLOOKUP(наценкад5[[#This Row],[№]],ППД5[№],ППД5[Этаж],"-",0)</f>
        <v>23</v>
      </c>
      <c r="D380" s="2">
        <f>_xlfn.XLOOKUP(наценкад5[[#This Row],[№]],ППД5[№],ППД5[№ на этаже],"-",0)</f>
        <v>3</v>
      </c>
      <c r="E380" s="2">
        <f>_xlfn.XLOOKUP(наценкад5[[#This Row],[№]],ППД5[№],ППД5[Тип кв],"-",0)</f>
        <v>2</v>
      </c>
      <c r="F380" s="72">
        <f>_xlfn.XLOOKUP(наценкад5[[#This Row],[№]],ППД5[№],ППД5[Кухня],"-",0)</f>
        <v>18.71</v>
      </c>
      <c r="G380" s="72">
        <f>_xlfn.XLOOKUP(наценкад5[[#This Row],[№]],ППД5[№],ППД5[Ванная],"-",0)</f>
        <v>3.49</v>
      </c>
      <c r="H380" s="72">
        <f>_xlfn.XLOOKUP(наценкад5[[#This Row],[№]],ППД5[№],ППД5[Гардеробная],"-",0)</f>
        <v>0</v>
      </c>
      <c r="I380" s="72">
        <f>_xlfn.XLOOKUP(наценкад5[[#This Row],[№]],ППД5[№],ППД5[Лоджия 2],"-",0)</f>
        <v>0</v>
      </c>
      <c r="J380" s="72">
        <f>_xlfn.XLOOKUP(наценкад5[[#This Row],[№]],ППД5[№],ППД5[С\У],"-",0)</f>
        <v>2.11</v>
      </c>
      <c r="K380" s="72">
        <f>_xlfn.XLOOKUP(наценкад5[[#This Row],[№]],ППД5[№],ППД5[Расчетная проектная площадь],"-",0)</f>
        <v>56.58</v>
      </c>
      <c r="L380" s="12">
        <f t="shared" si="5"/>
        <v>63000</v>
      </c>
      <c r="M380" s="102">
        <f>коэффициенты!$F$2</f>
        <v>1.2257</v>
      </c>
      <c r="N380" s="13">
        <f>наценкад5[[#This Row],[Цена м2 базовая]]*наценкад5[[#This Row],[Базовой K]]</f>
        <v>77219.100000000006</v>
      </c>
      <c r="O380" s="74">
        <f>коэффициенты!$F$4</f>
        <v>1.4999999999999999E-2</v>
      </c>
      <c r="P380" s="74"/>
      <c r="Q380" s="76"/>
      <c r="R380" s="76">
        <f>коэффициенты!$F$10</f>
        <v>0</v>
      </c>
      <c r="S380" s="76">
        <f>коэффициенты!$F$9</f>
        <v>0</v>
      </c>
      <c r="T380" s="74"/>
      <c r="U380" s="74"/>
      <c r="V380" s="74"/>
      <c r="W380" s="117">
        <f>коэффициенты!$F$22</f>
        <v>0.01</v>
      </c>
      <c r="X380" s="74"/>
      <c r="Y380" s="75"/>
      <c r="Z380" s="76">
        <f>коэффициенты!$F$16</f>
        <v>0.08</v>
      </c>
      <c r="AA380" s="74"/>
      <c r="AB380" s="74"/>
      <c r="AC380" s="74"/>
      <c r="AD380" s="74">
        <f>коэффициенты!$F$19</f>
        <v>5.0000000000000001E-3</v>
      </c>
      <c r="AE380" s="74"/>
      <c r="AF380" s="74">
        <f>коэффициенты!$F$21</f>
        <v>0.01</v>
      </c>
      <c r="AG380" s="74"/>
      <c r="AH380" s="74"/>
      <c r="AI380" s="73">
        <f>SUM(наценкад5[[#This Row],[еврокухня]:[большая площадь]])*наценкад5[[#This Row],[Цена м2 с базовым K]]+наценкад5[[#This Row],[Цена м2 с базовым K]]</f>
        <v>86485.392000000007</v>
      </c>
      <c r="AJ380" s="72">
        <f>VLOOKUP(наценкад5[[#This Row],[№]],ППД5[],COLUMN(ППД5[[#This Row],[утв цена м2]]),0)</f>
        <v>135280.01999999999</v>
      </c>
      <c r="AK380" s="3">
        <f>наценкад5[[#This Row],[утв цена м2]]*наценкад5[[#This Row],[Расчетная проектная площадь]]</f>
        <v>7654143.5315999994</v>
      </c>
      <c r="AL380" s="22" t="str">
        <f>VLOOKUP(наценкад5[[#This Row],[№]],ППД5[],COLUMN('Реестр ОН'!$DF$1),0)</f>
        <v>Свободно</v>
      </c>
    </row>
    <row r="381" spans="1:38" hidden="1" x14ac:dyDescent="0.25">
      <c r="A381" s="101">
        <v>379</v>
      </c>
      <c r="B381" s="2" t="str">
        <f>_xlfn.XLOOKUP(наценкад5[[#This Row],[№]],ППД5[№],ППД5[Секция],"-",0)</f>
        <v>В</v>
      </c>
      <c r="C381" s="2">
        <f>_xlfn.XLOOKUP(наценкад5[[#This Row],[№]],ППД5[№],ППД5[Этаж],"-",0)</f>
        <v>23</v>
      </c>
      <c r="D381" s="2">
        <f>_xlfn.XLOOKUP(наценкад5[[#This Row],[№]],ППД5[№],ППД5[№ на этаже],"-",0)</f>
        <v>4</v>
      </c>
      <c r="E381" s="2">
        <f>_xlfn.XLOOKUP(наценкад5[[#This Row],[№]],ППД5[№],ППД5[Тип кв],"-",0)</f>
        <v>2</v>
      </c>
      <c r="F381" s="72">
        <f>_xlfn.XLOOKUP(наценкад5[[#This Row],[№]],ППД5[№],ППД5[Кухня],"-",0)</f>
        <v>15.44</v>
      </c>
      <c r="G381" s="72">
        <f>_xlfn.XLOOKUP(наценкад5[[#This Row],[№]],ППД5[№],ППД5[Ванная],"-",0)</f>
        <v>4.59</v>
      </c>
      <c r="H381" s="72">
        <f>_xlfn.XLOOKUP(наценкад5[[#This Row],[№]],ППД5[№],ППД5[Гардеробная],"-",0)</f>
        <v>0</v>
      </c>
      <c r="I381" s="72">
        <f>_xlfn.XLOOKUP(наценкад5[[#This Row],[№]],ППД5[№],ППД5[Лоджия 2],"-",0)</f>
        <v>0</v>
      </c>
      <c r="J381" s="72">
        <f>_xlfn.XLOOKUP(наценкад5[[#This Row],[№]],ППД5[№],ППД5[С\У],"-",0)</f>
        <v>2.21</v>
      </c>
      <c r="K381" s="72">
        <f>_xlfn.XLOOKUP(наценкад5[[#This Row],[№]],ППД5[№],ППД5[Расчетная проектная площадь],"-",0)</f>
        <v>60.24</v>
      </c>
      <c r="L381" s="12">
        <f t="shared" si="5"/>
        <v>63000</v>
      </c>
      <c r="M381" s="102">
        <f>коэффициенты!$F$2</f>
        <v>1.2257</v>
      </c>
      <c r="N381" s="13">
        <f>наценкад5[[#This Row],[Цена м2 базовая]]*наценкад5[[#This Row],[Базовой K]]</f>
        <v>77219.100000000006</v>
      </c>
      <c r="O381" s="74">
        <f>коэффициенты!$F$4</f>
        <v>1.4999999999999999E-2</v>
      </c>
      <c r="P381" s="74"/>
      <c r="Q381" s="76">
        <f>коэффициенты!$F$6</f>
        <v>0.02</v>
      </c>
      <c r="R381" s="76"/>
      <c r="S381" s="76">
        <f>коэффициенты!$F$9</f>
        <v>0</v>
      </c>
      <c r="T381" s="74"/>
      <c r="U381" s="74"/>
      <c r="V381" s="74">
        <f>коэффициенты!$F$11</f>
        <v>5.0000000000000001E-3</v>
      </c>
      <c r="W381" s="117">
        <f>коэффициенты!$F$22</f>
        <v>0.01</v>
      </c>
      <c r="X381" s="74"/>
      <c r="Y381" s="75"/>
      <c r="Z381" s="76">
        <f>коэффициенты!$F$16</f>
        <v>0.08</v>
      </c>
      <c r="AA381" s="74"/>
      <c r="AB381" s="74"/>
      <c r="AC381" s="74"/>
      <c r="AD381" s="74">
        <f>коэффициенты!$F$19</f>
        <v>5.0000000000000001E-3</v>
      </c>
      <c r="AE381" s="74"/>
      <c r="AF381" s="74">
        <f>коэффициенты!$F$21</f>
        <v>0.01</v>
      </c>
      <c r="AG381" s="74"/>
      <c r="AH381" s="74"/>
      <c r="AI381" s="73">
        <f>SUM(наценкад5[[#This Row],[еврокухня]:[большая площадь]])*наценкад5[[#This Row],[Цена м2 с базовым K]]+наценкад5[[#This Row],[Цена м2 с базовым K]]</f>
        <v>88415.869500000001</v>
      </c>
      <c r="AJ381" s="72">
        <f>VLOOKUP(наценкад5[[#This Row],[№]],ППД5[],COLUMN(ППД5[[#This Row],[утв цена м2]]),0)</f>
        <v>132119.38</v>
      </c>
      <c r="AK381" s="3">
        <f>наценкад5[[#This Row],[утв цена м2]]*наценкад5[[#This Row],[Расчетная проектная площадь]]</f>
        <v>7958871.4512000009</v>
      </c>
      <c r="AL381" s="22" t="str">
        <f>VLOOKUP(наценкад5[[#This Row],[№]],ППД5[],COLUMN('Реестр ОН'!$DF$1),0)</f>
        <v>Свободно</v>
      </c>
    </row>
    <row r="382" spans="1:38" hidden="1" x14ac:dyDescent="0.25">
      <c r="A382" s="101">
        <v>380</v>
      </c>
      <c r="B382" s="2" t="str">
        <f>_xlfn.XLOOKUP(наценкад5[[#This Row],[№]],ППД5[№],ППД5[Секция],"-",0)</f>
        <v>В</v>
      </c>
      <c r="C382" s="2">
        <f>_xlfn.XLOOKUP(наценкад5[[#This Row],[№]],ППД5[№],ППД5[Этаж],"-",0)</f>
        <v>23</v>
      </c>
      <c r="D382" s="2">
        <f>_xlfn.XLOOKUP(наценкад5[[#This Row],[№]],ППД5[№],ППД5[№ на этаже],"-",0)</f>
        <v>5</v>
      </c>
      <c r="E382" s="2">
        <f>_xlfn.XLOOKUP(наценкад5[[#This Row],[№]],ППД5[№],ППД5[Тип кв],"-",0)</f>
        <v>1</v>
      </c>
      <c r="F382" s="72">
        <f>_xlfn.XLOOKUP(наценкад5[[#This Row],[№]],ППД5[№],ППД5[Кухня],"-",0)</f>
        <v>12.74</v>
      </c>
      <c r="G382" s="72">
        <f>_xlfn.XLOOKUP(наценкад5[[#This Row],[№]],ППД5[№],ППД5[Ванная],"-",0)</f>
        <v>4.0199999999999996</v>
      </c>
      <c r="H382" s="72">
        <f>_xlfn.XLOOKUP(наценкад5[[#This Row],[№]],ППД5[№],ППД5[Гардеробная],"-",0)</f>
        <v>0</v>
      </c>
      <c r="I382" s="72">
        <f>_xlfn.XLOOKUP(наценкад5[[#This Row],[№]],ППД5[№],ППД5[Лоджия 2],"-",0)</f>
        <v>0</v>
      </c>
      <c r="J382" s="72">
        <f>_xlfn.XLOOKUP(наценкад5[[#This Row],[№]],ППД5[№],ППД5[С\У],"-",0)</f>
        <v>0</v>
      </c>
      <c r="K382" s="72">
        <f>_xlfn.XLOOKUP(наценкад5[[#This Row],[№]],ППД5[№],ППД5[Расчетная проектная площадь],"-",0)</f>
        <v>37.81</v>
      </c>
      <c r="L382" s="12">
        <f t="shared" si="5"/>
        <v>63000</v>
      </c>
      <c r="M382" s="102">
        <f>коэффициенты!$G$2</f>
        <v>1.2875000000000001</v>
      </c>
      <c r="N382" s="13">
        <f>наценкад5[[#This Row],[Цена м2 базовая]]*наценкад5[[#This Row],[Базовой K]]</f>
        <v>81112.5</v>
      </c>
      <c r="O382" s="74"/>
      <c r="P382" s="76">
        <f>коэффициенты!$G$5</f>
        <v>0.01</v>
      </c>
      <c r="Q382" s="74">
        <f>коэффициенты!$G$6</f>
        <v>0.03</v>
      </c>
      <c r="R382" s="74"/>
      <c r="S382" s="74"/>
      <c r="T382" s="74"/>
      <c r="U382" s="74"/>
      <c r="V382" s="74">
        <f>коэффициенты!$G$11</f>
        <v>0.01</v>
      </c>
      <c r="W382" s="117">
        <f>коэффициенты!$G$22</f>
        <v>0.01</v>
      </c>
      <c r="X382" s="74">
        <f>коэффициенты!$G$13</f>
        <v>0.01</v>
      </c>
      <c r="Y382" s="75"/>
      <c r="Z382" s="76">
        <f>коэффициенты!$G$16</f>
        <v>0.08</v>
      </c>
      <c r="AA382" s="74">
        <f>коэффициенты!$G$14</f>
        <v>0.01</v>
      </c>
      <c r="AB382" s="74"/>
      <c r="AC382" s="74"/>
      <c r="AD382" s="74">
        <f>коэффициенты!$G$19</f>
        <v>0.01</v>
      </c>
      <c r="AE382" s="74"/>
      <c r="AF382" s="74">
        <f>коэффициенты!$G$21</f>
        <v>0.01</v>
      </c>
      <c r="AG382" s="74"/>
      <c r="AH382" s="74"/>
      <c r="AI382" s="73">
        <f>SUM(наценкад5[[#This Row],[еврокухня]:[большая площадь]])*наценкад5[[#This Row],[Цена м2 с базовым K]]+наценкад5[[#This Row],[Цена м2 с базовым K]]</f>
        <v>95712.75</v>
      </c>
      <c r="AJ382" s="72">
        <f>VLOOKUP(наценкад5[[#This Row],[№]],ППД5[],COLUMN(ППД5[[#This Row],[утв цена м2]]),0)</f>
        <v>148638.07999999999</v>
      </c>
      <c r="AK382" s="3">
        <f>наценкад5[[#This Row],[утв цена м2]]*наценкад5[[#This Row],[Расчетная проектная площадь]]</f>
        <v>5620005.8048</v>
      </c>
      <c r="AL382" s="22" t="str">
        <f>VLOOKUP(наценкад5[[#This Row],[№]],ППД5[],COLUMN('Реестр ОН'!$DF$1),0)</f>
        <v>Свободно</v>
      </c>
    </row>
    <row r="383" spans="1:38" hidden="1" x14ac:dyDescent="0.25">
      <c r="A383" s="101">
        <v>381</v>
      </c>
      <c r="B383" s="2" t="str">
        <f>_xlfn.XLOOKUP(наценкад5[[#This Row],[№]],ППД5[№],ППД5[Секция],"-",0)</f>
        <v>В</v>
      </c>
      <c r="C383" s="2">
        <f>_xlfn.XLOOKUP(наценкад5[[#This Row],[№]],ППД5[№],ППД5[Этаж],"-",0)</f>
        <v>23</v>
      </c>
      <c r="D383" s="2">
        <f>_xlfn.XLOOKUP(наценкад5[[#This Row],[№]],ППД5[№],ППД5[№ на этаже],"-",0)</f>
        <v>6</v>
      </c>
      <c r="E383" s="2">
        <f>_xlfn.XLOOKUP(наценкад5[[#This Row],[№]],ППД5[№],ППД5[Тип кв],"-",0)</f>
        <v>3</v>
      </c>
      <c r="F383" s="72">
        <f>_xlfn.XLOOKUP(наценкад5[[#This Row],[№]],ППД5[№],ППД5[Кухня],"-",0)</f>
        <v>13.15</v>
      </c>
      <c r="G383" s="72">
        <f>_xlfn.XLOOKUP(наценкад5[[#This Row],[№]],ППД5[№],ППД5[Ванная],"-",0)</f>
        <v>4.03</v>
      </c>
      <c r="H383" s="72">
        <f>_xlfn.XLOOKUP(наценкад5[[#This Row],[№]],ППД5[№],ППД5[Гардеробная],"-",0)</f>
        <v>0</v>
      </c>
      <c r="I383" s="72">
        <f>_xlfn.XLOOKUP(наценкад5[[#This Row],[№]],ППД5[№],ППД5[Лоджия 2],"-",0)</f>
        <v>2.68</v>
      </c>
      <c r="J383" s="72">
        <f>_xlfn.XLOOKUP(наценкад5[[#This Row],[№]],ППД5[№],ППД5[С\У],"-",0)</f>
        <v>1.76</v>
      </c>
      <c r="K383" s="72">
        <f>_xlfn.XLOOKUP(наценкад5[[#This Row],[№]],ППД5[№],ППД5[Расчетная проектная площадь],"-",0)</f>
        <v>80.97</v>
      </c>
      <c r="L383" s="12">
        <f t="shared" si="5"/>
        <v>63000</v>
      </c>
      <c r="M383" s="27">
        <f>коэффициенты!$E$2</f>
        <v>1.1330000000000002</v>
      </c>
      <c r="N383" s="13">
        <f>наценкад5[[#This Row],[Цена м2 базовая]]*наценкад5[[#This Row],[Базовой K]]</f>
        <v>71379.000000000015</v>
      </c>
      <c r="O383" s="74"/>
      <c r="P383" s="74">
        <f>коэффициенты!$E$5</f>
        <v>0</v>
      </c>
      <c r="Q383" s="74">
        <f>коэффициенты!$E$6</f>
        <v>0.01</v>
      </c>
      <c r="R383" s="74"/>
      <c r="S383" s="74">
        <f>коэффициенты!$E$9</f>
        <v>0</v>
      </c>
      <c r="T383" s="74">
        <f>коэффициенты!$E$7</f>
        <v>0</v>
      </c>
      <c r="U383" s="74"/>
      <c r="V383" s="74"/>
      <c r="W383" s="117">
        <f>коэффициенты!$A$22</f>
        <v>0.01</v>
      </c>
      <c r="X383" s="74"/>
      <c r="Y383" s="75"/>
      <c r="Z383" s="76">
        <f>коэффициенты!$A$16</f>
        <v>0.08</v>
      </c>
      <c r="AA383" s="74">
        <f>коэффициенты!$E$14</f>
        <v>0</v>
      </c>
      <c r="AB383" s="74">
        <f>коэффициенты!$E$17</f>
        <v>0</v>
      </c>
      <c r="AC383" s="74"/>
      <c r="AD383" s="74"/>
      <c r="AE383" s="74"/>
      <c r="AF383" s="74">
        <f>коэффициенты!$E$21</f>
        <v>0.01</v>
      </c>
      <c r="AG383" s="74"/>
      <c r="AH383" s="74"/>
      <c r="AI383" s="73">
        <f>SUM(наценкад5[[#This Row],[еврокухня]:[большая площадь]])*наценкад5[[#This Row],[Цена м2 с базовым K]]+наценкад5[[#This Row],[Цена м2 с базовым K]]</f>
        <v>79230.690000000017</v>
      </c>
      <c r="AJ383" s="72">
        <f>VLOOKUP(наценкад5[[#This Row],[№]],ППД5[],COLUMN(ППД5[[#This Row],[утв цена м2]]),0)</f>
        <v>122633.66</v>
      </c>
      <c r="AK383" s="3">
        <f>наценкад5[[#This Row],[утв цена м2]]*наценкад5[[#This Row],[Расчетная проектная площадь]]</f>
        <v>9929647.4502000008</v>
      </c>
      <c r="AL383" s="22" t="str">
        <f>VLOOKUP(наценкад5[[#This Row],[№]],ППД5[],COLUMN('Реестр ОН'!$DF$1),0)</f>
        <v>Свободно</v>
      </c>
    </row>
    <row r="384" spans="1:38" hidden="1" x14ac:dyDescent="0.25">
      <c r="A384" s="101">
        <v>382</v>
      </c>
      <c r="B384" s="2" t="str">
        <f>_xlfn.XLOOKUP(наценкад5[[#This Row],[№]],ППД5[№],ППД5[Секция],"-",0)</f>
        <v>В</v>
      </c>
      <c r="C384" s="2">
        <f>_xlfn.XLOOKUP(наценкад5[[#This Row],[№]],ППД5[№],ППД5[Этаж],"-",0)</f>
        <v>23</v>
      </c>
      <c r="D384" s="2">
        <f>_xlfn.XLOOKUP(наценкад5[[#This Row],[№]],ППД5[№],ППД5[№ на этаже],"-",0)</f>
        <v>7</v>
      </c>
      <c r="E384" s="2">
        <f>_xlfn.XLOOKUP(наценкад5[[#This Row],[№]],ППД5[№],ППД5[Тип кв],"-",0)</f>
        <v>1</v>
      </c>
      <c r="F384" s="72">
        <f>_xlfn.XLOOKUP(наценкад5[[#This Row],[№]],ППД5[№],ППД5[Кухня],"-",0)</f>
        <v>9.2799999999999994</v>
      </c>
      <c r="G384" s="72">
        <f>_xlfn.XLOOKUP(наценкад5[[#This Row],[№]],ППД5[№],ППД5[Ванная],"-",0)</f>
        <v>3.79</v>
      </c>
      <c r="H384" s="72">
        <f>_xlfn.XLOOKUP(наценкад5[[#This Row],[№]],ППД5[№],ППД5[Гардеробная],"-",0)</f>
        <v>0</v>
      </c>
      <c r="I384" s="72">
        <f>_xlfn.XLOOKUP(наценкад5[[#This Row],[№]],ППД5[№],ППД5[Лоджия 2],"-",0)</f>
        <v>0</v>
      </c>
      <c r="J384" s="72">
        <f>_xlfn.XLOOKUP(наценкад5[[#This Row],[№]],ППД5[№],ППД5[С\У],"-",0)</f>
        <v>0</v>
      </c>
      <c r="K384" s="72">
        <f>_xlfn.XLOOKUP(наценкад5[[#This Row],[№]],ППД5[№],ППД5[Расчетная проектная площадь],"-",0)</f>
        <v>34.81</v>
      </c>
      <c r="L384" s="12">
        <f t="shared" si="5"/>
        <v>63000</v>
      </c>
      <c r="M384" s="102">
        <f>коэффициенты!$G$2</f>
        <v>1.2875000000000001</v>
      </c>
      <c r="N384" s="13">
        <f>наценкад5[[#This Row],[Цена м2 базовая]]*наценкад5[[#This Row],[Базовой K]]</f>
        <v>81112.5</v>
      </c>
      <c r="O384" s="74"/>
      <c r="P384" s="74"/>
      <c r="Q384" s="74"/>
      <c r="R384" s="74"/>
      <c r="S384" s="74"/>
      <c r="T384" s="74"/>
      <c r="U384" s="74"/>
      <c r="V384" s="74">
        <f>коэффициенты!$G$11</f>
        <v>0.01</v>
      </c>
      <c r="W384" s="117">
        <f>коэффициенты!$G$22</f>
        <v>0.01</v>
      </c>
      <c r="X384" s="74"/>
      <c r="Y384" s="75"/>
      <c r="Z384" s="76">
        <f>коэффициенты!$G$16</f>
        <v>0.08</v>
      </c>
      <c r="AA384" s="74">
        <f>коэффициенты!$G$14</f>
        <v>0.01</v>
      </c>
      <c r="AB384" s="74"/>
      <c r="AC384" s="74"/>
      <c r="AD384" s="74">
        <f>коэффициенты!$G$19</f>
        <v>0.01</v>
      </c>
      <c r="AE384" s="74"/>
      <c r="AF384" s="74">
        <f>коэффициенты!$G$21</f>
        <v>0.01</v>
      </c>
      <c r="AG384" s="74">
        <f>коэффициенты!$A$24</f>
        <v>-5.0000000000000001E-3</v>
      </c>
      <c r="AH384" s="74"/>
      <c r="AI384" s="73">
        <f>SUM(наценкад5[[#This Row],[еврокухня]:[большая площадь]])*наценкад5[[#This Row],[Цена м2 с базовым K]]+наценкад5[[#This Row],[Цена м2 с базовым K]]</f>
        <v>91251.5625</v>
      </c>
      <c r="AJ384" s="72">
        <f>VLOOKUP(наценкад5[[#This Row],[№]],ППД5[],COLUMN(ППД5[[#This Row],[утв цена м2]]),0)</f>
        <v>95814.14</v>
      </c>
      <c r="AK384" s="3">
        <f>наценкад5[[#This Row],[утв цена м2]]*наценкад5[[#This Row],[Расчетная проектная площадь]]</f>
        <v>3335290.2134000002</v>
      </c>
      <c r="AL384" s="22" t="str">
        <f>VLOOKUP(наценкад5[[#This Row],[№]],ППД5[],COLUMN('Реестр ОН'!$DF$1),0)</f>
        <v>Продажа</v>
      </c>
    </row>
    <row r="385" spans="1:38" hidden="1" x14ac:dyDescent="0.25">
      <c r="A385" s="101">
        <v>383</v>
      </c>
      <c r="B385" s="2" t="str">
        <f>_xlfn.XLOOKUP(наценкад5[[#This Row],[№]],ППД5[№],ППД5[Секция],"-",0)</f>
        <v>В</v>
      </c>
      <c r="C385" s="2">
        <f>_xlfn.XLOOKUP(наценкад5[[#This Row],[№]],ППД5[№],ППД5[Этаж],"-",0)</f>
        <v>24</v>
      </c>
      <c r="D385" s="2">
        <f>_xlfn.XLOOKUP(наценкад5[[#This Row],[№]],ППД5[№],ППД5[№ на этаже],"-",0)</f>
        <v>1</v>
      </c>
      <c r="E385" s="2">
        <f>_xlfn.XLOOKUP(наценкад5[[#This Row],[№]],ППД5[№],ППД5[Тип кв],"-",0)</f>
        <v>2</v>
      </c>
      <c r="F385" s="72">
        <f>_xlfn.XLOOKUP(наценкад5[[#This Row],[№]],ППД5[№],ППД5[Кухня],"-",0)</f>
        <v>20.05</v>
      </c>
      <c r="G385" s="72">
        <f>_xlfn.XLOOKUP(наценкад5[[#This Row],[№]],ППД5[№],ППД5[Ванная],"-",0)</f>
        <v>3.54</v>
      </c>
      <c r="H385" s="72">
        <f>_xlfn.XLOOKUP(наценкад5[[#This Row],[№]],ППД5[№],ППД5[Гардеробная],"-",0)</f>
        <v>0</v>
      </c>
      <c r="I385" s="72">
        <f>_xlfn.XLOOKUP(наценкад5[[#This Row],[№]],ППД5[№],ППД5[Лоджия 2],"-",0)</f>
        <v>2.68</v>
      </c>
      <c r="J385" s="72">
        <f>_xlfn.XLOOKUP(наценкад5[[#This Row],[№]],ППД5[№],ППД5[С\У],"-",0)</f>
        <v>2.93</v>
      </c>
      <c r="K385" s="72">
        <f>_xlfn.XLOOKUP(наценкад5[[#This Row],[№]],ППД5[№],ППД5[Расчетная проектная площадь],"-",0)</f>
        <v>73.7</v>
      </c>
      <c r="L385" s="12">
        <f t="shared" si="5"/>
        <v>63000</v>
      </c>
      <c r="M385" s="102">
        <f>коэффициенты!$F$2</f>
        <v>1.2257</v>
      </c>
      <c r="N385" s="13">
        <f>наценкад5[[#This Row],[Цена м2 базовая]]*наценкад5[[#This Row],[Базовой K]]</f>
        <v>77219.100000000006</v>
      </c>
      <c r="O385" s="74">
        <f>коэффициенты!$F$4</f>
        <v>1.4999999999999999E-2</v>
      </c>
      <c r="P385" s="74"/>
      <c r="Q385" s="76"/>
      <c r="R385" s="76"/>
      <c r="S385" s="76">
        <f>коэффициенты!$F$9</f>
        <v>0</v>
      </c>
      <c r="T385" s="74">
        <f>коэффициенты!$F$7</f>
        <v>0.03</v>
      </c>
      <c r="U385" s="74"/>
      <c r="V385" s="74"/>
      <c r="W385" s="75">
        <f>коэффициенты!$F$12</f>
        <v>0.02</v>
      </c>
      <c r="X385" s="74">
        <f>коэффициенты!$F$13</f>
        <v>0.02</v>
      </c>
      <c r="Y385" s="75"/>
      <c r="Z385" s="76">
        <f>коэффициенты!$F$16</f>
        <v>0.08</v>
      </c>
      <c r="AA385" s="74">
        <f>коэффициенты!$F$14</f>
        <v>0.02</v>
      </c>
      <c r="AB385" s="74"/>
      <c r="AC385" s="74"/>
      <c r="AD385" s="74">
        <f>коэффициенты!$F$19</f>
        <v>5.0000000000000001E-3</v>
      </c>
      <c r="AE385" s="74"/>
      <c r="AF385" s="74">
        <f>коэффициенты!$F$21</f>
        <v>0.01</v>
      </c>
      <c r="AG385" s="74"/>
      <c r="AH385" s="74">
        <f>'отрицательный кф'!$O$27</f>
        <v>-0.08</v>
      </c>
      <c r="AI385" s="73">
        <f>SUM(наценкад5[[#This Row],[еврокухня]:[большая площадь]])*наценкад5[[#This Row],[Цена м2 с базовым K]]+наценкад5[[#This Row],[Цена м2 с базовым K]]</f>
        <v>86485.392000000007</v>
      </c>
      <c r="AJ385" s="72">
        <f>VLOOKUP(наценкад5[[#This Row],[№]],ППД5[],COLUMN(ППД5[[#This Row],[утв цена м2]]),0)</f>
        <v>126610.18</v>
      </c>
      <c r="AK385" s="3">
        <f>наценкад5[[#This Row],[утв цена м2]]*наценкад5[[#This Row],[Расчетная проектная площадь]]</f>
        <v>9331170.2660000008</v>
      </c>
      <c r="AL385" s="22" t="str">
        <f>VLOOKUP(наценкад5[[#This Row],[№]],ППД5[],COLUMN('Реестр ОН'!$DF$1),0)</f>
        <v>Свободно</v>
      </c>
    </row>
    <row r="386" spans="1:38" hidden="1" x14ac:dyDescent="0.25">
      <c r="A386" s="101">
        <v>384</v>
      </c>
      <c r="B386" s="2" t="str">
        <f>_xlfn.XLOOKUP(наценкад5[[#This Row],[№]],ППД5[№],ППД5[Секция],"-",0)</f>
        <v>В</v>
      </c>
      <c r="C386" s="2">
        <f>_xlfn.XLOOKUP(наценкад5[[#This Row],[№]],ППД5[№],ППД5[Этаж],"-",0)</f>
        <v>24</v>
      </c>
      <c r="D386" s="2">
        <f>_xlfn.XLOOKUP(наценкад5[[#This Row],[№]],ППД5[№],ППД5[№ на этаже],"-",0)</f>
        <v>2</v>
      </c>
      <c r="E386" s="2">
        <f>_xlfn.XLOOKUP(наценкад5[[#This Row],[№]],ППД5[№],ППД5[Тип кв],"-",0)</f>
        <v>0</v>
      </c>
      <c r="F386" s="72">
        <f>_xlfn.XLOOKUP(наценкад5[[#This Row],[№]],ППД5[№],ППД5[Кухня],"-",0)</f>
        <v>5.17</v>
      </c>
      <c r="G386" s="72">
        <f>_xlfn.XLOOKUP(наценкад5[[#This Row],[№]],ППД5[№],ППД5[Ванная],"-",0)</f>
        <v>3.72</v>
      </c>
      <c r="H386" s="72">
        <f>_xlfn.XLOOKUP(наценкад5[[#This Row],[№]],ППД5[№],ППД5[Гардеробная],"-",0)</f>
        <v>0</v>
      </c>
      <c r="I386" s="72">
        <f>_xlfn.XLOOKUP(наценкад5[[#This Row],[№]],ППД5[№],ППД5[Лоджия 2],"-",0)</f>
        <v>0</v>
      </c>
      <c r="J386" s="72">
        <f>_xlfn.XLOOKUP(наценкад5[[#This Row],[№]],ППД5[№],ППД5[С\У],"-",0)</f>
        <v>0</v>
      </c>
      <c r="K386" s="72">
        <f>_xlfn.XLOOKUP(наценкад5[[#This Row],[№]],ППД5[№],ППД5[Расчетная проектная площадь],"-",0)</f>
        <v>24.53</v>
      </c>
      <c r="L386" s="12">
        <f t="shared" si="5"/>
        <v>63000</v>
      </c>
      <c r="M386" s="116">
        <f>коэффициенты!$H$2</f>
        <v>1.3905000000000001</v>
      </c>
      <c r="N386" s="13">
        <f>наценкад5[[#This Row],[Цена м2 базовая]]*наценкад5[[#This Row],[Базовой K]]</f>
        <v>87601.5</v>
      </c>
      <c r="O386" s="74"/>
      <c r="P386" s="74"/>
      <c r="Q386" s="74"/>
      <c r="R386" s="74"/>
      <c r="S386" s="74"/>
      <c r="T386" s="74"/>
      <c r="U386" s="74"/>
      <c r="V386" s="74">
        <f>коэффициенты!$H$11</f>
        <v>0.01</v>
      </c>
      <c r="W386" s="75">
        <f>коэффициенты!$H$12</f>
        <v>0.02</v>
      </c>
      <c r="X386" s="74">
        <f>коэффициенты!$H$13</f>
        <v>0.01</v>
      </c>
      <c r="Y386" s="75"/>
      <c r="Z386" s="76">
        <f>коэффициенты!$H$16</f>
        <v>0.08</v>
      </c>
      <c r="AA386" s="74"/>
      <c r="AB386" s="74"/>
      <c r="AC386" s="74"/>
      <c r="AD386" s="74">
        <f>коэффициенты!$H$19</f>
        <v>0.01</v>
      </c>
      <c r="AE386" s="74"/>
      <c r="AF386" s="74">
        <f>коэффициенты!$H$21</f>
        <v>0.01</v>
      </c>
      <c r="AG386" s="74"/>
      <c r="AH386" s="74"/>
      <c r="AI386" s="73">
        <f>SUM(наценкад5[[#This Row],[еврокухня]:[большая площадь]])*наценкад5[[#This Row],[Цена м2 с базовым K]]+наценкад5[[#This Row],[Цена м2 с базовым K]]</f>
        <v>99865.71</v>
      </c>
      <c r="AJ386" s="72">
        <f>VLOOKUP(наценкад5[[#This Row],[№]],ППД5[],COLUMN(ППД5[[#This Row],[утв цена м2]]),0)</f>
        <v>99865.71</v>
      </c>
      <c r="AK386" s="3">
        <f>наценкад5[[#This Row],[утв цена м2]]*наценкад5[[#This Row],[Расчетная проектная площадь]]</f>
        <v>2449705.8663000003</v>
      </c>
      <c r="AL386" s="22" t="str">
        <f>VLOOKUP(наценкад5[[#This Row],[№]],ППД5[],COLUMN('Реестр ОН'!$DF$1),0)</f>
        <v>Продажа</v>
      </c>
    </row>
    <row r="387" spans="1:38" hidden="1" x14ac:dyDescent="0.25">
      <c r="A387" s="101">
        <v>385</v>
      </c>
      <c r="B387" s="2" t="str">
        <f>_xlfn.XLOOKUP(наценкад5[[#This Row],[№]],ППД5[№],ППД5[Секция],"-",0)</f>
        <v>В</v>
      </c>
      <c r="C387" s="2">
        <f>_xlfn.XLOOKUP(наценкад5[[#This Row],[№]],ППД5[№],ППД5[Этаж],"-",0)</f>
        <v>24</v>
      </c>
      <c r="D387" s="2">
        <f>_xlfn.XLOOKUP(наценкад5[[#This Row],[№]],ППД5[№],ППД5[№ на этаже],"-",0)</f>
        <v>3</v>
      </c>
      <c r="E387" s="2">
        <f>_xlfn.XLOOKUP(наценкад5[[#This Row],[№]],ППД5[№],ППД5[Тип кв],"-",0)</f>
        <v>2</v>
      </c>
      <c r="F387" s="72">
        <f>_xlfn.XLOOKUP(наценкад5[[#This Row],[№]],ППД5[№],ППД5[Кухня],"-",0)</f>
        <v>18.71</v>
      </c>
      <c r="G387" s="72">
        <f>_xlfn.XLOOKUP(наценкад5[[#This Row],[№]],ППД5[№],ППД5[Ванная],"-",0)</f>
        <v>3.49</v>
      </c>
      <c r="H387" s="72">
        <f>_xlfn.XLOOKUP(наценкад5[[#This Row],[№]],ППД5[№],ППД5[Гардеробная],"-",0)</f>
        <v>0</v>
      </c>
      <c r="I387" s="72">
        <f>_xlfn.XLOOKUP(наценкад5[[#This Row],[№]],ППД5[№],ППД5[Лоджия 2],"-",0)</f>
        <v>0</v>
      </c>
      <c r="J387" s="72">
        <f>_xlfn.XLOOKUP(наценкад5[[#This Row],[№]],ППД5[№],ППД5[С\У],"-",0)</f>
        <v>2.11</v>
      </c>
      <c r="K387" s="72">
        <f>_xlfn.XLOOKUP(наценкад5[[#This Row],[№]],ППД5[№],ППД5[Расчетная проектная площадь],"-",0)</f>
        <v>56.58</v>
      </c>
      <c r="L387" s="12">
        <f t="shared" ref="L387:L450" si="6">$L$1</f>
        <v>63000</v>
      </c>
      <c r="M387" s="102">
        <f>коэффициенты!$F$2</f>
        <v>1.2257</v>
      </c>
      <c r="N387" s="13">
        <f>наценкад5[[#This Row],[Цена м2 базовая]]*наценкад5[[#This Row],[Базовой K]]</f>
        <v>77219.100000000006</v>
      </c>
      <c r="O387" s="74">
        <f>коэффициенты!$F$4</f>
        <v>1.4999999999999999E-2</v>
      </c>
      <c r="P387" s="74"/>
      <c r="Q387" s="76"/>
      <c r="R387" s="76">
        <f>коэффициенты!$F$10</f>
        <v>0</v>
      </c>
      <c r="S387" s="76">
        <f>коэффициенты!$F$9</f>
        <v>0</v>
      </c>
      <c r="T387" s="74"/>
      <c r="U387" s="74"/>
      <c r="V387" s="74"/>
      <c r="W387" s="75">
        <f>коэффициенты!$F$12</f>
        <v>0.02</v>
      </c>
      <c r="X387" s="74"/>
      <c r="Y387" s="75"/>
      <c r="Z387" s="76">
        <f>коэффициенты!$F$16</f>
        <v>0.08</v>
      </c>
      <c r="AA387" s="74"/>
      <c r="AB387" s="74"/>
      <c r="AC387" s="74"/>
      <c r="AD387" s="74">
        <f>коэффициенты!$F$19</f>
        <v>5.0000000000000001E-3</v>
      </c>
      <c r="AE387" s="74"/>
      <c r="AF387" s="74">
        <f>коэффициенты!$F$21</f>
        <v>0.01</v>
      </c>
      <c r="AG387" s="74"/>
      <c r="AH387" s="74"/>
      <c r="AI387" s="73">
        <f>SUM(наценкад5[[#This Row],[еврокухня]:[большая площадь]])*наценкад5[[#This Row],[Цена м2 с базовым K]]+наценкад5[[#This Row],[Цена м2 с базовым K]]</f>
        <v>87257.583000000013</v>
      </c>
      <c r="AJ387" s="72">
        <f>VLOOKUP(наценкад5[[#This Row],[№]],ППД5[],COLUMN(ППД5[[#This Row],[утв цена м2]]),0)</f>
        <v>94369.08</v>
      </c>
      <c r="AK387" s="3">
        <f>наценкад5[[#This Row],[утв цена м2]]*наценкад5[[#This Row],[Расчетная проектная площадь]]</f>
        <v>5339402.5464000003</v>
      </c>
      <c r="AL387" s="22" t="str">
        <f>VLOOKUP(наценкад5[[#This Row],[№]],ППД5[],COLUMN('Реестр ОН'!$DF$1),0)</f>
        <v>Продажа</v>
      </c>
    </row>
    <row r="388" spans="1:38" hidden="1" x14ac:dyDescent="0.25">
      <c r="A388" s="101">
        <v>386</v>
      </c>
      <c r="B388" s="2" t="str">
        <f>_xlfn.XLOOKUP(наценкад5[[#This Row],[№]],ППД5[№],ППД5[Секция],"-",0)</f>
        <v>В</v>
      </c>
      <c r="C388" s="2">
        <f>_xlfn.XLOOKUP(наценкад5[[#This Row],[№]],ППД5[№],ППД5[Этаж],"-",0)</f>
        <v>24</v>
      </c>
      <c r="D388" s="2">
        <f>_xlfn.XLOOKUP(наценкад5[[#This Row],[№]],ППД5[№],ППД5[№ на этаже],"-",0)</f>
        <v>4</v>
      </c>
      <c r="E388" s="2">
        <f>_xlfn.XLOOKUP(наценкад5[[#This Row],[№]],ППД5[№],ППД5[Тип кв],"-",0)</f>
        <v>2</v>
      </c>
      <c r="F388" s="72">
        <f>_xlfn.XLOOKUP(наценкад5[[#This Row],[№]],ППД5[№],ППД5[Кухня],"-",0)</f>
        <v>15.44</v>
      </c>
      <c r="G388" s="72">
        <f>_xlfn.XLOOKUP(наценкад5[[#This Row],[№]],ППД5[№],ППД5[Ванная],"-",0)</f>
        <v>4.59</v>
      </c>
      <c r="H388" s="72">
        <f>_xlfn.XLOOKUP(наценкад5[[#This Row],[№]],ППД5[№],ППД5[Гардеробная],"-",0)</f>
        <v>0</v>
      </c>
      <c r="I388" s="72">
        <f>_xlfn.XLOOKUP(наценкад5[[#This Row],[№]],ППД5[№],ППД5[Лоджия 2],"-",0)</f>
        <v>0</v>
      </c>
      <c r="J388" s="72">
        <f>_xlfn.XLOOKUP(наценкад5[[#This Row],[№]],ППД5[№],ППД5[С\У],"-",0)</f>
        <v>2.21</v>
      </c>
      <c r="K388" s="72">
        <f>_xlfn.XLOOKUP(наценкад5[[#This Row],[№]],ППД5[№],ППД5[Расчетная проектная площадь],"-",0)</f>
        <v>60.24</v>
      </c>
      <c r="L388" s="12">
        <f t="shared" si="6"/>
        <v>63000</v>
      </c>
      <c r="M388" s="102">
        <f>коэффициенты!$F$2</f>
        <v>1.2257</v>
      </c>
      <c r="N388" s="13">
        <f>наценкад5[[#This Row],[Цена м2 базовая]]*наценкад5[[#This Row],[Базовой K]]</f>
        <v>77219.100000000006</v>
      </c>
      <c r="O388" s="76">
        <f>коэффициенты!$F$4</f>
        <v>1.4999999999999999E-2</v>
      </c>
      <c r="P388" s="74"/>
      <c r="Q388" s="76">
        <f>коэффициенты!$F$6</f>
        <v>0.02</v>
      </c>
      <c r="R388" s="76"/>
      <c r="S388" s="76">
        <f>коэффициенты!$F$9</f>
        <v>0</v>
      </c>
      <c r="T388" s="74"/>
      <c r="U388" s="74"/>
      <c r="V388" s="74">
        <f>коэффициенты!$F$11</f>
        <v>5.0000000000000001E-3</v>
      </c>
      <c r="W388" s="75">
        <f>коэффициенты!$F$12</f>
        <v>0.02</v>
      </c>
      <c r="X388" s="74"/>
      <c r="Y388" s="75"/>
      <c r="Z388" s="76">
        <f>коэффициенты!$F$16</f>
        <v>0.08</v>
      </c>
      <c r="AA388" s="74"/>
      <c r="AB388" s="74"/>
      <c r="AC388" s="74"/>
      <c r="AD388" s="74">
        <f>коэффициенты!$F$19</f>
        <v>5.0000000000000001E-3</v>
      </c>
      <c r="AE388" s="74"/>
      <c r="AF388" s="74">
        <f>коэффициенты!$F$21</f>
        <v>0.01</v>
      </c>
      <c r="AG388" s="74"/>
      <c r="AH388" s="74"/>
      <c r="AI388" s="73">
        <f>SUM(наценкад5[[#This Row],[еврокухня]:[большая площадь]])*наценкад5[[#This Row],[Цена м2 с базовым K]]+наценкад5[[#This Row],[Цена м2 с базовым K]]</f>
        <v>89188.060500000007</v>
      </c>
      <c r="AJ388" s="72">
        <f>VLOOKUP(наценкад5[[#This Row],[№]],ППД5[],COLUMN(ППД5[[#This Row],[утв цена м2]]),0)</f>
        <v>133272.95999999999</v>
      </c>
      <c r="AK388" s="3">
        <f>наценкад5[[#This Row],[утв цена м2]]*наценкад5[[#This Row],[Расчетная проектная площадь]]</f>
        <v>8028363.1103999997</v>
      </c>
      <c r="AL388" s="22" t="str">
        <f>VLOOKUP(наценкад5[[#This Row],[№]],ППД5[],COLUMN('Реестр ОН'!$DF$1),0)</f>
        <v>Свободно</v>
      </c>
    </row>
    <row r="389" spans="1:38" hidden="1" x14ac:dyDescent="0.25">
      <c r="A389" s="101">
        <v>387</v>
      </c>
      <c r="B389" s="2" t="str">
        <f>_xlfn.XLOOKUP(наценкад5[[#This Row],[№]],ППД5[№],ППД5[Секция],"-",0)</f>
        <v>В</v>
      </c>
      <c r="C389" s="2">
        <f>_xlfn.XLOOKUP(наценкад5[[#This Row],[№]],ППД5[№],ППД5[Этаж],"-",0)</f>
        <v>24</v>
      </c>
      <c r="D389" s="2">
        <f>_xlfn.XLOOKUP(наценкад5[[#This Row],[№]],ППД5[№],ППД5[№ на этаже],"-",0)</f>
        <v>5</v>
      </c>
      <c r="E389" s="2">
        <f>_xlfn.XLOOKUP(наценкад5[[#This Row],[№]],ППД5[№],ППД5[Тип кв],"-",0)</f>
        <v>1</v>
      </c>
      <c r="F389" s="72">
        <f>_xlfn.XLOOKUP(наценкад5[[#This Row],[№]],ППД5[№],ППД5[Кухня],"-",0)</f>
        <v>12.74</v>
      </c>
      <c r="G389" s="72">
        <f>_xlfn.XLOOKUP(наценкад5[[#This Row],[№]],ППД5[№],ППД5[Ванная],"-",0)</f>
        <v>4.0199999999999996</v>
      </c>
      <c r="H389" s="72">
        <f>_xlfn.XLOOKUP(наценкад5[[#This Row],[№]],ППД5[№],ППД5[Гардеробная],"-",0)</f>
        <v>0</v>
      </c>
      <c r="I389" s="72">
        <f>_xlfn.XLOOKUP(наценкад5[[#This Row],[№]],ППД5[№],ППД5[Лоджия 2],"-",0)</f>
        <v>0</v>
      </c>
      <c r="J389" s="72">
        <f>_xlfn.XLOOKUP(наценкад5[[#This Row],[№]],ППД5[№],ППД5[С\У],"-",0)</f>
        <v>0</v>
      </c>
      <c r="K389" s="72">
        <f>_xlfn.XLOOKUP(наценкад5[[#This Row],[№]],ППД5[№],ППД5[Расчетная проектная площадь],"-",0)</f>
        <v>37.81</v>
      </c>
      <c r="L389" s="12">
        <f t="shared" si="6"/>
        <v>63000</v>
      </c>
      <c r="M389" s="102">
        <f>коэффициенты!$G$2</f>
        <v>1.2875000000000001</v>
      </c>
      <c r="N389" s="13">
        <f>наценкад5[[#This Row],[Цена м2 базовая]]*наценкад5[[#This Row],[Базовой K]]</f>
        <v>81112.5</v>
      </c>
      <c r="O389" s="74"/>
      <c r="P389" s="76">
        <f>коэффициенты!$G$5</f>
        <v>0.01</v>
      </c>
      <c r="Q389" s="74">
        <f>коэффициенты!$G$6</f>
        <v>0.03</v>
      </c>
      <c r="R389" s="74"/>
      <c r="S389" s="74"/>
      <c r="T389" s="74"/>
      <c r="U389" s="74"/>
      <c r="V389" s="74">
        <f>коэффициенты!$G$11</f>
        <v>0.01</v>
      </c>
      <c r="W389" s="75">
        <f>коэффициенты!$G$12</f>
        <v>0.02</v>
      </c>
      <c r="X389" s="74">
        <f>коэффициенты!$G$13</f>
        <v>0.01</v>
      </c>
      <c r="Y389" s="75"/>
      <c r="Z389" s="76">
        <f>коэффициенты!$G$16</f>
        <v>0.08</v>
      </c>
      <c r="AA389" s="74">
        <f>коэффициенты!$G$14</f>
        <v>0.01</v>
      </c>
      <c r="AB389" s="74"/>
      <c r="AC389" s="74"/>
      <c r="AD389" s="74">
        <f>коэффициенты!$G$19</f>
        <v>0.01</v>
      </c>
      <c r="AE389" s="74"/>
      <c r="AF389" s="74">
        <f>коэффициенты!$G$21</f>
        <v>0.01</v>
      </c>
      <c r="AG389" s="74"/>
      <c r="AH389" s="74"/>
      <c r="AI389" s="73">
        <f>SUM(наценкад5[[#This Row],[еврокухня]:[большая площадь]])*наценкад5[[#This Row],[Цена м2 с базовым K]]+наценкад5[[#This Row],[Цена м2 с базовым K]]</f>
        <v>96523.875</v>
      </c>
      <c r="AJ389" s="72">
        <f>VLOOKUP(наценкад5[[#This Row],[№]],ППД5[],COLUMN(ППД5[[#This Row],[утв цена м2]]),0)</f>
        <v>149904.34</v>
      </c>
      <c r="AK389" s="3">
        <f>наценкад5[[#This Row],[утв цена м2]]*наценкад5[[#This Row],[Расчетная проектная площадь]]</f>
        <v>5667883.0954</v>
      </c>
      <c r="AL389" s="22" t="str">
        <f>VLOOKUP(наценкад5[[#This Row],[№]],ППД5[],COLUMN('Реестр ОН'!$DF$1),0)</f>
        <v>Свободно</v>
      </c>
    </row>
    <row r="390" spans="1:38" hidden="1" x14ac:dyDescent="0.25">
      <c r="A390" s="101">
        <v>388</v>
      </c>
      <c r="B390" s="2" t="str">
        <f>_xlfn.XLOOKUP(наценкад5[[#This Row],[№]],ППД5[№],ППД5[Секция],"-",0)</f>
        <v>В</v>
      </c>
      <c r="C390" s="2">
        <f>_xlfn.XLOOKUP(наценкад5[[#This Row],[№]],ППД5[№],ППД5[Этаж],"-",0)</f>
        <v>24</v>
      </c>
      <c r="D390" s="2">
        <f>_xlfn.XLOOKUP(наценкад5[[#This Row],[№]],ППД5[№],ППД5[№ на этаже],"-",0)</f>
        <v>6</v>
      </c>
      <c r="E390" s="2">
        <f>_xlfn.XLOOKUP(наценкад5[[#This Row],[№]],ППД5[№],ППД5[Тип кв],"-",0)</f>
        <v>3</v>
      </c>
      <c r="F390" s="72">
        <f>_xlfn.XLOOKUP(наценкад5[[#This Row],[№]],ППД5[№],ППД5[Кухня],"-",0)</f>
        <v>13.15</v>
      </c>
      <c r="G390" s="72">
        <f>_xlfn.XLOOKUP(наценкад5[[#This Row],[№]],ППД5[№],ППД5[Ванная],"-",0)</f>
        <v>4.03</v>
      </c>
      <c r="H390" s="72">
        <f>_xlfn.XLOOKUP(наценкад5[[#This Row],[№]],ППД5[№],ППД5[Гардеробная],"-",0)</f>
        <v>0</v>
      </c>
      <c r="I390" s="72">
        <f>_xlfn.XLOOKUP(наценкад5[[#This Row],[№]],ППД5[№],ППД5[Лоджия 2],"-",0)</f>
        <v>2.68</v>
      </c>
      <c r="J390" s="72">
        <f>_xlfn.XLOOKUP(наценкад5[[#This Row],[№]],ППД5[№],ППД5[С\У],"-",0)</f>
        <v>1.76</v>
      </c>
      <c r="K390" s="72">
        <f>_xlfn.XLOOKUP(наценкад5[[#This Row],[№]],ППД5[№],ППД5[Расчетная проектная площадь],"-",0)</f>
        <v>80.97</v>
      </c>
      <c r="L390" s="12">
        <f t="shared" si="6"/>
        <v>63000</v>
      </c>
      <c r="M390" s="27">
        <f>коэффициенты!$E$2</f>
        <v>1.1330000000000002</v>
      </c>
      <c r="N390" s="13">
        <f>наценкад5[[#This Row],[Цена м2 базовая]]*наценкад5[[#This Row],[Базовой K]]</f>
        <v>71379.000000000015</v>
      </c>
      <c r="O390" s="76"/>
      <c r="P390" s="74">
        <f>коэффициенты!$E$5</f>
        <v>0</v>
      </c>
      <c r="Q390" s="74">
        <f>коэффициенты!$E$6</f>
        <v>0.01</v>
      </c>
      <c r="R390" s="74"/>
      <c r="S390" s="74">
        <f>коэффициенты!$E$9</f>
        <v>0</v>
      </c>
      <c r="T390" s="74">
        <f>коэффициенты!$E$7</f>
        <v>0</v>
      </c>
      <c r="U390" s="74"/>
      <c r="V390" s="74"/>
      <c r="W390" s="75">
        <f>коэффициенты!$E$12</f>
        <v>0.02</v>
      </c>
      <c r="X390" s="74"/>
      <c r="Y390" s="75"/>
      <c r="Z390" s="76">
        <f>коэффициенты!$A$16</f>
        <v>0.08</v>
      </c>
      <c r="AA390" s="74">
        <f>коэффициенты!$E$14</f>
        <v>0</v>
      </c>
      <c r="AB390" s="74">
        <f>коэффициенты!$E$17</f>
        <v>0</v>
      </c>
      <c r="AC390" s="74"/>
      <c r="AD390" s="74"/>
      <c r="AE390" s="74"/>
      <c r="AF390" s="74">
        <f>коэффициенты!$E$21</f>
        <v>0.01</v>
      </c>
      <c r="AG390" s="74"/>
      <c r="AH390" s="74"/>
      <c r="AI390" s="73">
        <f>SUM(наценкад5[[#This Row],[еврокухня]:[большая площадь]])*наценкад5[[#This Row],[Цена м2 с базовым K]]+наценкад5[[#This Row],[Цена м2 с базовым K]]</f>
        <v>79944.48000000001</v>
      </c>
      <c r="AJ390" s="72">
        <f>VLOOKUP(наценкад5[[#This Row],[№]],ППД5[],COLUMN(ППД5[[#This Row],[утв цена м2]]),0)</f>
        <v>95395.09</v>
      </c>
      <c r="AK390" s="3">
        <f>наценкад5[[#This Row],[утв цена м2]]*наценкад5[[#This Row],[Расчетная проектная площадь]]</f>
        <v>7724140.4372999994</v>
      </c>
      <c r="AL390" s="22" t="str">
        <f>VLOOKUP(наценкад5[[#This Row],[№]],ППД5[],COLUMN('Реестр ОН'!$DF$1),0)</f>
        <v>Продажа</v>
      </c>
    </row>
    <row r="391" spans="1:38" hidden="1" x14ac:dyDescent="0.25">
      <c r="A391" s="101">
        <v>389</v>
      </c>
      <c r="B391" s="2" t="str">
        <f>_xlfn.XLOOKUP(наценкад5[[#This Row],[№]],ППД5[№],ППД5[Секция],"-",0)</f>
        <v>В</v>
      </c>
      <c r="C391" s="2">
        <f>_xlfn.XLOOKUP(наценкад5[[#This Row],[№]],ППД5[№],ППД5[Этаж],"-",0)</f>
        <v>24</v>
      </c>
      <c r="D391" s="2">
        <f>_xlfn.XLOOKUP(наценкад5[[#This Row],[№]],ППД5[№],ППД5[№ на этаже],"-",0)</f>
        <v>7</v>
      </c>
      <c r="E391" s="2">
        <f>_xlfn.XLOOKUP(наценкад5[[#This Row],[№]],ППД5[№],ППД5[Тип кв],"-",0)</f>
        <v>1</v>
      </c>
      <c r="F391" s="72">
        <f>_xlfn.XLOOKUP(наценкад5[[#This Row],[№]],ППД5[№],ППД5[Кухня],"-",0)</f>
        <v>9.2799999999999994</v>
      </c>
      <c r="G391" s="72">
        <f>_xlfn.XLOOKUP(наценкад5[[#This Row],[№]],ППД5[№],ППД5[Ванная],"-",0)</f>
        <v>3.79</v>
      </c>
      <c r="H391" s="72">
        <f>_xlfn.XLOOKUP(наценкад5[[#This Row],[№]],ППД5[№],ППД5[Гардеробная],"-",0)</f>
        <v>0</v>
      </c>
      <c r="I391" s="72">
        <f>_xlfn.XLOOKUP(наценкад5[[#This Row],[№]],ППД5[№],ППД5[Лоджия 2],"-",0)</f>
        <v>0</v>
      </c>
      <c r="J391" s="72">
        <f>_xlfn.XLOOKUP(наценкад5[[#This Row],[№]],ППД5[№],ППД5[С\У],"-",0)</f>
        <v>0</v>
      </c>
      <c r="K391" s="72">
        <f>_xlfn.XLOOKUP(наценкад5[[#This Row],[№]],ППД5[№],ППД5[Расчетная проектная площадь],"-",0)</f>
        <v>34.81</v>
      </c>
      <c r="L391" s="12">
        <f t="shared" si="6"/>
        <v>63000</v>
      </c>
      <c r="M391" s="102">
        <f>коэффициенты!$G$2</f>
        <v>1.2875000000000001</v>
      </c>
      <c r="N391" s="13">
        <f>наценкад5[[#This Row],[Цена м2 базовая]]*наценкад5[[#This Row],[Базовой K]]</f>
        <v>81112.5</v>
      </c>
      <c r="O391" s="74"/>
      <c r="P391" s="74"/>
      <c r="Q391" s="74"/>
      <c r="R391" s="74"/>
      <c r="S391" s="74"/>
      <c r="T391" s="74"/>
      <c r="U391" s="74"/>
      <c r="V391" s="74">
        <f>коэффициенты!$G$11</f>
        <v>0.01</v>
      </c>
      <c r="W391" s="75">
        <f>коэффициенты!$G$12</f>
        <v>0.02</v>
      </c>
      <c r="X391" s="74"/>
      <c r="Y391" s="75"/>
      <c r="Z391" s="76">
        <f>коэффициенты!$G$16</f>
        <v>0.08</v>
      </c>
      <c r="AA391" s="74">
        <f>коэффициенты!$G$14</f>
        <v>0.01</v>
      </c>
      <c r="AB391" s="74"/>
      <c r="AC391" s="74"/>
      <c r="AD391" s="74">
        <f>коэффициенты!$G$19</f>
        <v>0.01</v>
      </c>
      <c r="AE391" s="74"/>
      <c r="AF391" s="74">
        <f>коэффициенты!$G$21</f>
        <v>0.01</v>
      </c>
      <c r="AG391" s="74">
        <f>коэффициенты!$A$24</f>
        <v>-5.0000000000000001E-3</v>
      </c>
      <c r="AH391" s="74"/>
      <c r="AI391" s="73">
        <f>SUM(наценкад5[[#This Row],[еврокухня]:[большая площадь]])*наценкад5[[#This Row],[Цена м2 с базовым K]]+наценкад5[[#This Row],[Цена м2 с базовым K]]</f>
        <v>92062.6875</v>
      </c>
      <c r="AJ391" s="72">
        <f>VLOOKUP(наценкад5[[#This Row],[№]],ППД5[],COLUMN(ППД5[[#This Row],[утв цена м2]]),0)</f>
        <v>158373.38</v>
      </c>
      <c r="AK391" s="3">
        <f>наценкад5[[#This Row],[утв цена м2]]*наценкад5[[#This Row],[Расчетная проектная площадь]]</f>
        <v>5512977.3578000003</v>
      </c>
      <c r="AL391" s="22" t="str">
        <f>VLOOKUP(наценкад5[[#This Row],[№]],ППД5[],COLUMN('Реестр ОН'!$DF$1),0)</f>
        <v>Свободно</v>
      </c>
    </row>
    <row r="392" spans="1:38" hidden="1" x14ac:dyDescent="0.25">
      <c r="A392" s="198">
        <v>390</v>
      </c>
      <c r="B392" s="2" t="str">
        <f>_xlfn.XLOOKUP(наценкад5[[#This Row],[№]],ППД5[№],ППД5[Секция],"-",0)</f>
        <v>Г</v>
      </c>
      <c r="C392" s="2">
        <f>_xlfn.XLOOKUP(наценкад5[[#This Row],[№]],ППД5[№],ППД5[Этаж],"-",0)</f>
        <v>1</v>
      </c>
      <c r="D392" s="2">
        <f>_xlfn.XLOOKUP(наценкад5[[#This Row],[№]],ППД5[№],ППД5[№ на этаже],"-",0)</f>
        <v>1</v>
      </c>
      <c r="E392" s="2">
        <f>_xlfn.XLOOKUP(наценкад5[[#This Row],[№]],ППД5[№],ППД5[Тип кв],"-",0)</f>
        <v>0</v>
      </c>
      <c r="F392" s="72">
        <f>_xlfn.XLOOKUP(наценкад5[[#This Row],[№]],ППД5[№],ППД5[Кухня],"-",0)</f>
        <v>5.84</v>
      </c>
      <c r="G392" s="72">
        <f>_xlfn.XLOOKUP(наценкад5[[#This Row],[№]],ППД5[№],ППД5[Ванная],"-",0)</f>
        <v>3.76</v>
      </c>
      <c r="H392" s="72">
        <f>_xlfn.XLOOKUP(наценкад5[[#This Row],[№]],ППД5[№],ППД5[Гардеробная],"-",0)</f>
        <v>0</v>
      </c>
      <c r="I392" s="72">
        <f>_xlfn.XLOOKUP(наценкад5[[#This Row],[№]],ППД5[№],ППД5[Лоджия 2],"-",0)</f>
        <v>0</v>
      </c>
      <c r="J392" s="72">
        <f>_xlfn.XLOOKUP(наценкад5[[#This Row],[№]],ППД5[№],ППД5[С\У],"-",0)</f>
        <v>0</v>
      </c>
      <c r="K392" s="72">
        <f>_xlfn.XLOOKUP(наценкад5[[#This Row],[№]],ППД5[№],ППД5[Расчетная проектная площадь],"-",0)</f>
        <v>29.4</v>
      </c>
      <c r="L392" s="12">
        <f t="shared" si="6"/>
        <v>63000</v>
      </c>
      <c r="M392" s="116">
        <f>коэффициенты!$H$2</f>
        <v>1.3905000000000001</v>
      </c>
      <c r="N392" s="13">
        <f>наценкад5[[#This Row],[Цена м2 базовая]]*наценкад5[[#This Row],[Базовой K]]</f>
        <v>87601.5</v>
      </c>
      <c r="O392" s="74"/>
      <c r="P392" s="74"/>
      <c r="Q392" s="74"/>
      <c r="R392" s="74"/>
      <c r="S392" s="74"/>
      <c r="T392" s="74"/>
      <c r="U392" s="74"/>
      <c r="V392" s="74"/>
      <c r="W392" s="74"/>
      <c r="X392" s="74"/>
      <c r="Y392" s="78"/>
      <c r="Z392" s="76"/>
      <c r="AA392" s="74"/>
      <c r="AB392" s="74"/>
      <c r="AC392" s="74"/>
      <c r="AD392" s="74">
        <f>коэффициенты!$H$19</f>
        <v>0.01</v>
      </c>
      <c r="AE392" s="74">
        <f>коэффициенты!$H$20</f>
        <v>0.1</v>
      </c>
      <c r="AF392" s="74">
        <f>коэффициенты!$H$21</f>
        <v>0.01</v>
      </c>
      <c r="AG392" s="74"/>
      <c r="AH392" s="74"/>
      <c r="AI392" s="73">
        <f>SUM(наценкад5[[#This Row],[еврокухня]:[большая площадь]])*наценкад5[[#This Row],[Цена м2 с базовым K]]+наценкад5[[#This Row],[Цена м2 с базовым K]]</f>
        <v>98113.68</v>
      </c>
      <c r="AJ392" s="72">
        <f>VLOOKUP(наценкад5[[#This Row],[№]],ППД5[],COLUMN(ППД5[[#This Row],[утв цена м2]]),0)</f>
        <v>167556.35999999999</v>
      </c>
      <c r="AK392" s="3">
        <f>наценкад5[[#This Row],[утв цена м2]]*наценкад5[[#This Row],[Расчетная проектная площадь]]</f>
        <v>4926156.9839999992</v>
      </c>
      <c r="AL392" s="22" t="str">
        <f>VLOOKUP(наценкад5[[#This Row],[№]],ППД5[],COLUMN('Реестр ОН'!$DF$1),0)</f>
        <v>Свободно</v>
      </c>
    </row>
    <row r="393" spans="1:38" hidden="1" x14ac:dyDescent="0.25">
      <c r="A393" s="101">
        <v>391</v>
      </c>
      <c r="B393" s="2" t="str">
        <f>_xlfn.XLOOKUP(наценкад5[[#This Row],[№]],ППД5[№],ППД5[Секция],"-",0)</f>
        <v>Г</v>
      </c>
      <c r="C393" s="2">
        <f>_xlfn.XLOOKUP(наценкад5[[#This Row],[№]],ППД5[№],ППД5[Этаж],"-",0)</f>
        <v>1</v>
      </c>
      <c r="D393" s="2">
        <f>_xlfn.XLOOKUP(наценкад5[[#This Row],[№]],ППД5[№],ППД5[№ на этаже],"-",0)</f>
        <v>2</v>
      </c>
      <c r="E393" s="2">
        <f>_xlfn.XLOOKUP(наценкад5[[#This Row],[№]],ППД5[№],ППД5[Тип кв],"-",0)</f>
        <v>1</v>
      </c>
      <c r="F393" s="72">
        <f>_xlfn.XLOOKUP(наценкад5[[#This Row],[№]],ППД5[№],ППД5[Кухня],"-",0)</f>
        <v>16.940000000000001</v>
      </c>
      <c r="G393" s="72">
        <f>_xlfn.XLOOKUP(наценкад5[[#This Row],[№]],ППД5[№],ППД5[Ванная],"-",0)</f>
        <v>3.55</v>
      </c>
      <c r="H393" s="72">
        <f>_xlfn.XLOOKUP(наценкад5[[#This Row],[№]],ППД5[№],ППД5[Гардеробная],"-",0)</f>
        <v>0</v>
      </c>
      <c r="I393" s="72">
        <f>_xlfn.XLOOKUP(наценкад5[[#This Row],[№]],ППД5[№],ППД5[Лоджия 2],"-",0)</f>
        <v>0</v>
      </c>
      <c r="J393" s="72">
        <f>_xlfn.XLOOKUP(наценкад5[[#This Row],[№]],ППД5[№],ППД5[С\У],"-",0)</f>
        <v>2.41</v>
      </c>
      <c r="K393" s="72">
        <f>_xlfn.XLOOKUP(наценкад5[[#This Row],[№]],ППД5[№],ППД5[Расчетная проектная площадь],"-",0)</f>
        <v>43.21</v>
      </c>
      <c r="L393" s="12">
        <f t="shared" si="6"/>
        <v>63000</v>
      </c>
      <c r="M393" s="102">
        <f>коэффициенты!$G$2</f>
        <v>1.2875000000000001</v>
      </c>
      <c r="N393" s="13">
        <f>наценкад5[[#This Row],[Цена м2 базовая]]*наценкад5[[#This Row],[Базовой K]]</f>
        <v>81112.5</v>
      </c>
      <c r="O393" s="76">
        <f>коэффициенты!$G$4</f>
        <v>0.02</v>
      </c>
      <c r="P393" s="74"/>
      <c r="Q393" s="74"/>
      <c r="R393" s="74">
        <f>коэффициенты!$G$10</f>
        <v>0.01</v>
      </c>
      <c r="S393" s="74">
        <f>коэффициенты!$G$9</f>
        <v>0</v>
      </c>
      <c r="T393" s="74"/>
      <c r="U393" s="74"/>
      <c r="V393" s="74"/>
      <c r="W393" s="74"/>
      <c r="X393" s="74"/>
      <c r="Y393" s="78"/>
      <c r="Z393" s="76"/>
      <c r="AA393" s="74"/>
      <c r="AB393" s="74"/>
      <c r="AC393" s="74"/>
      <c r="AD393" s="74">
        <f>коэффициенты!$G$19</f>
        <v>0.01</v>
      </c>
      <c r="AE393" s="76">
        <f>коэффициенты!$G$20</f>
        <v>0.05</v>
      </c>
      <c r="AF393" s="74">
        <f>коэффициенты!$G$21</f>
        <v>0.01</v>
      </c>
      <c r="AG393" s="74"/>
      <c r="AH393" s="74">
        <f>'отрицательный кф'!$O$14</f>
        <v>-0.05</v>
      </c>
      <c r="AI393" s="73">
        <f>SUM(наценкад5[[#This Row],[еврокухня]:[большая площадь]])*наценкад5[[#This Row],[Цена м2 с базовым K]]+наценкад5[[#This Row],[Цена м2 с базовым K]]</f>
        <v>85168.125</v>
      </c>
      <c r="AJ393" s="72">
        <f>VLOOKUP(наценкад5[[#This Row],[№]],ППД5[],COLUMN(ППД5[[#This Row],[утв цена м2]]),0)</f>
        <v>85168.13</v>
      </c>
      <c r="AK393" s="3">
        <f>наценкад5[[#This Row],[утв цена м2]]*наценкад5[[#This Row],[Расчетная проектная площадь]]</f>
        <v>3680114.8973000003</v>
      </c>
      <c r="AL393" s="22" t="str">
        <f>VLOOKUP(наценкад5[[#This Row],[№]],ППД5[],COLUMN('Реестр ОН'!$DF$1),0)</f>
        <v>Продажа</v>
      </c>
    </row>
    <row r="394" spans="1:38" hidden="1" x14ac:dyDescent="0.25">
      <c r="A394" s="101">
        <v>392</v>
      </c>
      <c r="B394" s="2" t="str">
        <f>_xlfn.XLOOKUP(наценкад5[[#This Row],[№]],ППД5[№],ППД5[Секция],"-",0)</f>
        <v>Г</v>
      </c>
      <c r="C394" s="2">
        <f>_xlfn.XLOOKUP(наценкад5[[#This Row],[№]],ППД5[№],ППД5[Этаж],"-",0)</f>
        <v>1</v>
      </c>
      <c r="D394" s="2">
        <f>_xlfn.XLOOKUP(наценкад5[[#This Row],[№]],ППД5[№],ППД5[№ на этаже],"-",0)</f>
        <v>3</v>
      </c>
      <c r="E394" s="2">
        <f>_xlfn.XLOOKUP(наценкад5[[#This Row],[№]],ППД5[№],ППД5[Тип кв],"-",0)</f>
        <v>0</v>
      </c>
      <c r="F394" s="72">
        <f>_xlfn.XLOOKUP(наценкад5[[#This Row],[№]],ППД5[№],ППД5[Кухня],"-",0)</f>
        <v>5.17</v>
      </c>
      <c r="G394" s="72">
        <f>_xlfn.XLOOKUP(наценкад5[[#This Row],[№]],ППД5[№],ППД5[Ванная],"-",0)</f>
        <v>3.71</v>
      </c>
      <c r="H394" s="72">
        <f>_xlfn.XLOOKUP(наценкад5[[#This Row],[№]],ППД5[№],ППД5[Гардеробная],"-",0)</f>
        <v>0</v>
      </c>
      <c r="I394" s="72">
        <f>_xlfn.XLOOKUP(наценкад5[[#This Row],[№]],ППД5[№],ППД5[Лоджия 2],"-",0)</f>
        <v>0</v>
      </c>
      <c r="J394" s="72">
        <f>_xlfn.XLOOKUP(наценкад5[[#This Row],[№]],ППД5[№],ППД5[С\У],"-",0)</f>
        <v>0</v>
      </c>
      <c r="K394" s="72">
        <f>_xlfn.XLOOKUP(наценкад5[[#This Row],[№]],ППД5[№],ППД5[Расчетная проектная площадь],"-",0)</f>
        <v>24.5</v>
      </c>
      <c r="L394" s="12">
        <f t="shared" si="6"/>
        <v>63000</v>
      </c>
      <c r="M394" s="116">
        <f>коэффициенты!$H$2</f>
        <v>1.3905000000000001</v>
      </c>
      <c r="N394" s="13">
        <f>наценкад5[[#This Row],[Цена м2 базовая]]*наценкад5[[#This Row],[Базовой K]]</f>
        <v>87601.5</v>
      </c>
      <c r="O394" s="74"/>
      <c r="P394" s="74"/>
      <c r="Q394" s="74"/>
      <c r="R394" s="74"/>
      <c r="S394" s="74"/>
      <c r="T394" s="74"/>
      <c r="U394" s="74"/>
      <c r="V394" s="74">
        <f>коэффициенты!$H$11</f>
        <v>0.01</v>
      </c>
      <c r="W394" s="74"/>
      <c r="X394" s="74">
        <f>коэффициенты!$H$13</f>
        <v>0.01</v>
      </c>
      <c r="Y394" s="78"/>
      <c r="Z394" s="76"/>
      <c r="AA394" s="74"/>
      <c r="AB394" s="74"/>
      <c r="AC394" s="74"/>
      <c r="AD394" s="74">
        <f>коэффициенты!$H$19</f>
        <v>0.01</v>
      </c>
      <c r="AE394" s="74">
        <f>коэффициенты!$H$20</f>
        <v>0.1</v>
      </c>
      <c r="AF394" s="74">
        <f>коэффициенты!$H$21</f>
        <v>0.01</v>
      </c>
      <c r="AG394" s="74"/>
      <c r="AH394" s="74"/>
      <c r="AI394" s="73">
        <f>SUM(наценкад5[[#This Row],[еврокухня]:[большая площадь]])*наценкад5[[#This Row],[Цена м2 с базовым K]]+наценкад5[[#This Row],[Цена м2 с базовым K]]</f>
        <v>99865.71</v>
      </c>
      <c r="AJ394" s="72">
        <f>VLOOKUP(наценкад5[[#This Row],[№]],ППД5[],COLUMN(ППД5[[#This Row],[утв цена м2]]),0)</f>
        <v>108004.77</v>
      </c>
      <c r="AK394" s="3">
        <f>наценкад5[[#This Row],[утв цена м2]]*наценкад5[[#This Row],[Расчетная проектная площадь]]</f>
        <v>2646116.8650000002</v>
      </c>
      <c r="AL394" s="22" t="str">
        <f>VLOOKUP(наценкад5[[#This Row],[№]],ППД5[],COLUMN('Реестр ОН'!$DF$1),0)</f>
        <v>Продажа</v>
      </c>
    </row>
    <row r="395" spans="1:38" hidden="1" x14ac:dyDescent="0.25">
      <c r="A395" s="101">
        <v>393</v>
      </c>
      <c r="B395" s="2" t="str">
        <f>_xlfn.XLOOKUP(наценкад5[[#This Row],[№]],ППД5[№],ППД5[Секция],"-",0)</f>
        <v>Г</v>
      </c>
      <c r="C395" s="2">
        <f>_xlfn.XLOOKUP(наценкад5[[#This Row],[№]],ППД5[№],ППД5[Этаж],"-",0)</f>
        <v>1</v>
      </c>
      <c r="D395" s="2">
        <f>_xlfn.XLOOKUP(наценкад5[[#This Row],[№]],ППД5[№],ППД5[№ на этаже],"-",0)</f>
        <v>4</v>
      </c>
      <c r="E395" s="2">
        <f>_xlfn.XLOOKUP(наценкад5[[#This Row],[№]],ППД5[№],ППД5[Тип кв],"-",0)</f>
        <v>2</v>
      </c>
      <c r="F395" s="72">
        <f>_xlfn.XLOOKUP(наценкад5[[#This Row],[№]],ППД5[№],ППД5[Кухня],"-",0)</f>
        <v>15.86</v>
      </c>
      <c r="G395" s="72">
        <f>_xlfn.XLOOKUP(наценкад5[[#This Row],[№]],ППД5[№],ППД5[Ванная],"-",0)</f>
        <v>3.01</v>
      </c>
      <c r="H395" s="72">
        <f>_xlfn.XLOOKUP(наценкад5[[#This Row],[№]],ППД5[№],ППД5[Гардеробная],"-",0)</f>
        <v>0</v>
      </c>
      <c r="I395" s="72">
        <f>_xlfn.XLOOKUP(наценкад5[[#This Row],[№]],ППД5[№],ППД5[Лоджия 2],"-",0)</f>
        <v>0</v>
      </c>
      <c r="J395" s="72">
        <f>_xlfn.XLOOKUP(наценкад5[[#This Row],[№]],ППД5[№],ППД5[С\У],"-",0)</f>
        <v>2.67</v>
      </c>
      <c r="K395" s="72">
        <f>_xlfn.XLOOKUP(наценкад5[[#This Row],[№]],ППД5[№],ППД5[Расчетная проектная площадь],"-",0)</f>
        <v>58.24</v>
      </c>
      <c r="L395" s="12">
        <f t="shared" si="6"/>
        <v>63000</v>
      </c>
      <c r="M395" s="102">
        <f>коэффициенты!$F$2</f>
        <v>1.2257</v>
      </c>
      <c r="N395" s="13">
        <f>наценкад5[[#This Row],[Цена м2 базовая]]*наценкад5[[#This Row],[Базовой K]]</f>
        <v>77219.100000000006</v>
      </c>
      <c r="O395" s="76">
        <f>коэффициенты!$F$4</f>
        <v>1.4999999999999999E-2</v>
      </c>
      <c r="P395" s="74"/>
      <c r="Q395" s="76"/>
      <c r="R395" s="76">
        <f>коэффициенты!$F$10</f>
        <v>0</v>
      </c>
      <c r="S395" s="76">
        <f>коэффициенты!$F$9</f>
        <v>0</v>
      </c>
      <c r="T395" s="74"/>
      <c r="U395" s="74"/>
      <c r="V395" s="74"/>
      <c r="W395" s="75"/>
      <c r="X395" s="74"/>
      <c r="Y395" s="78"/>
      <c r="Z395" s="76"/>
      <c r="AA395" s="74"/>
      <c r="AB395" s="74"/>
      <c r="AC395" s="74"/>
      <c r="AD395" s="74">
        <f>коэффициенты!$F$19</f>
        <v>5.0000000000000001E-3</v>
      </c>
      <c r="AE395" s="76">
        <f>коэффициенты!$F$20</f>
        <v>0.03</v>
      </c>
      <c r="AF395" s="74">
        <f>коэффициенты!$F$21</f>
        <v>0.01</v>
      </c>
      <c r="AG395" s="74"/>
      <c r="AH395" s="74">
        <f>'отрицательный кф'!$O$29</f>
        <v>-0.02</v>
      </c>
      <c r="AI395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395" s="72">
        <f>VLOOKUP(наценкад5[[#This Row],[№]],ППД5[],COLUMN(ППД5[[#This Row],[утв цена м2]]),0)</f>
        <v>105080.4</v>
      </c>
      <c r="AK395" s="3">
        <f>наценкад5[[#This Row],[утв цена м2]]*наценкад5[[#This Row],[Расчетная проектная площадь]]</f>
        <v>6119882.4960000003</v>
      </c>
      <c r="AL395" s="22" t="str">
        <f>VLOOKUP(наценкад5[[#This Row],[№]],ППД5[],COLUMN('Реестр ОН'!$DF$1),0)</f>
        <v>Продажа</v>
      </c>
    </row>
    <row r="396" spans="1:38" hidden="1" x14ac:dyDescent="0.25">
      <c r="A396" s="101">
        <v>394</v>
      </c>
      <c r="B396" s="2" t="str">
        <f>_xlfn.XLOOKUP(наценкад5[[#This Row],[№]],ППД5[№],ППД5[Секция],"-",0)</f>
        <v>Г</v>
      </c>
      <c r="C396" s="2">
        <f>_xlfn.XLOOKUP(наценкад5[[#This Row],[№]],ППД5[№],ППД5[Этаж],"-",0)</f>
        <v>1</v>
      </c>
      <c r="D396" s="2">
        <f>_xlfn.XLOOKUP(наценкад5[[#This Row],[№]],ППД5[№],ППД5[№ на этаже],"-",0)</f>
        <v>5</v>
      </c>
      <c r="E396" s="2">
        <f>_xlfn.XLOOKUP(наценкад5[[#This Row],[№]],ППД5[№],ППД5[Тип кв],"-",0)</f>
        <v>1</v>
      </c>
      <c r="F396" s="72">
        <f>_xlfn.XLOOKUP(наценкад5[[#This Row],[№]],ППД5[№],ППД5[Кухня],"-",0)</f>
        <v>25.96</v>
      </c>
      <c r="G396" s="72">
        <f>_xlfn.XLOOKUP(наценкад5[[#This Row],[№]],ППД5[№],ППД5[Ванная],"-",0)</f>
        <v>4.28</v>
      </c>
      <c r="H396" s="72">
        <f>_xlfn.XLOOKUP(наценкад5[[#This Row],[№]],ППД5[№],ППД5[Гардеробная],"-",0)</f>
        <v>0</v>
      </c>
      <c r="I396" s="72">
        <f>_xlfn.XLOOKUP(наценкад5[[#This Row],[№]],ППД5[№],ППД5[Лоджия 2],"-",0)</f>
        <v>0</v>
      </c>
      <c r="J396" s="72">
        <f>_xlfn.XLOOKUP(наценкад5[[#This Row],[№]],ППД5[№],ППД5[С\У],"-",0)</f>
        <v>0</v>
      </c>
      <c r="K396" s="72">
        <f>_xlfn.XLOOKUP(наценкад5[[#This Row],[№]],ППД5[№],ППД5[Расчетная проектная площадь],"-",0)</f>
        <v>51.71</v>
      </c>
      <c r="L396" s="12">
        <f t="shared" si="6"/>
        <v>63000</v>
      </c>
      <c r="M396" s="102">
        <f>коэффициенты!$G$2</f>
        <v>1.2875000000000001</v>
      </c>
      <c r="N396" s="13">
        <f>наценкад5[[#This Row],[Цена м2 базовая]]*наценкад5[[#This Row],[Базовой K]]</f>
        <v>81112.5</v>
      </c>
      <c r="O396" s="76">
        <f>коэффициенты!$G$4</f>
        <v>0.02</v>
      </c>
      <c r="P396" s="74"/>
      <c r="Q396" s="74">
        <f>коэффициенты!$G$6</f>
        <v>0.03</v>
      </c>
      <c r="R396" s="74"/>
      <c r="S396" s="74"/>
      <c r="T396" s="74"/>
      <c r="U396" s="74"/>
      <c r="V396" s="74">
        <f>коэффициенты!$G$11</f>
        <v>0.01</v>
      </c>
      <c r="W396" s="74"/>
      <c r="X396" s="74">
        <f>коэффициенты!$G$13</f>
        <v>0.01</v>
      </c>
      <c r="Y396" s="78"/>
      <c r="Z396" s="76"/>
      <c r="AA396" s="74"/>
      <c r="AB396" s="74"/>
      <c r="AC396" s="74"/>
      <c r="AD396" s="74">
        <f>коэффициенты!$G$19</f>
        <v>0.01</v>
      </c>
      <c r="AE396" s="76">
        <f>коэффициенты!$G$20</f>
        <v>0.05</v>
      </c>
      <c r="AF396" s="74">
        <f>коэффициенты!$G$21</f>
        <v>0.01</v>
      </c>
      <c r="AG396" s="74"/>
      <c r="AH396" s="74">
        <f>'отрицательный кф'!$O$15</f>
        <v>-0.09</v>
      </c>
      <c r="AI396" s="73">
        <f>SUM(наценкад5[[#This Row],[еврокухня]:[большая площадь]])*наценкад5[[#This Row],[Цена м2 с базовым K]]+наценкад5[[#This Row],[Цена м2 с базовым K]]</f>
        <v>85168.125</v>
      </c>
      <c r="AJ396" s="72">
        <f>VLOOKUP(наценкад5[[#This Row],[№]],ППД5[],COLUMN(ППД5[[#This Row],[утв цена м2]]),0)</f>
        <v>93030.42</v>
      </c>
      <c r="AK396" s="3">
        <f>наценкад5[[#This Row],[утв цена м2]]*наценкад5[[#This Row],[Расчетная проектная площадь]]</f>
        <v>4810603.0181999998</v>
      </c>
      <c r="AL396" s="22" t="str">
        <f>VLOOKUP(наценкад5[[#This Row],[№]],ППД5[],COLUMN('Реестр ОН'!$DF$1),0)</f>
        <v>Продажа</v>
      </c>
    </row>
    <row r="397" spans="1:38" hidden="1" x14ac:dyDescent="0.25">
      <c r="A397" s="101">
        <v>395</v>
      </c>
      <c r="B397" s="2" t="str">
        <f>_xlfn.XLOOKUP(наценкад5[[#This Row],[№]],ППД5[№],ППД5[Секция],"-",0)</f>
        <v>Г</v>
      </c>
      <c r="C397" s="2">
        <f>_xlfn.XLOOKUP(наценкад5[[#This Row],[№]],ППД5[№],ППД5[Этаж],"-",0)</f>
        <v>1</v>
      </c>
      <c r="D397" s="2">
        <f>_xlfn.XLOOKUP(наценкад5[[#This Row],[№]],ППД5[№],ППД5[№ на этаже],"-",0)</f>
        <v>6</v>
      </c>
      <c r="E397" s="2">
        <f>_xlfn.XLOOKUP(наценкад5[[#This Row],[№]],ППД5[№],ППД5[Тип кв],"-",0)</f>
        <v>3</v>
      </c>
      <c r="F397" s="72">
        <f>_xlfn.XLOOKUP(наценкад5[[#This Row],[№]],ППД5[№],ППД5[Кухня],"-",0)</f>
        <v>16.670000000000002</v>
      </c>
      <c r="G397" s="72">
        <f>_xlfn.XLOOKUP(наценкад5[[#This Row],[№]],ППД5[№],ППД5[Ванная],"-",0)</f>
        <v>4.1399999999999997</v>
      </c>
      <c r="H397" s="72">
        <f>_xlfn.XLOOKUP(наценкад5[[#This Row],[№]],ППД5[№],ППД5[Гардеробная],"-",0)</f>
        <v>0</v>
      </c>
      <c r="I397" s="72">
        <f>_xlfn.XLOOKUP(наценкад5[[#This Row],[№]],ППД5[№],ППД5[Лоджия 2],"-",0)</f>
        <v>2.86</v>
      </c>
      <c r="J397" s="72">
        <f>_xlfn.XLOOKUP(наценкад5[[#This Row],[№]],ППД5[№],ППД5[С\У],"-",0)</f>
        <v>1.89</v>
      </c>
      <c r="K397" s="72">
        <f>_xlfn.XLOOKUP(наценкад5[[#This Row],[№]],ППД5[№],ППД5[Расчетная проектная площадь],"-",0)</f>
        <v>79.44</v>
      </c>
      <c r="L397" s="12">
        <f t="shared" si="6"/>
        <v>63000</v>
      </c>
      <c r="M397" s="27">
        <f>коэффициенты!$E$2</f>
        <v>1.1330000000000002</v>
      </c>
      <c r="N397" s="13">
        <f>наценкад5[[#This Row],[Цена м2 базовая]]*наценкад5[[#This Row],[Базовой K]]</f>
        <v>71379.000000000015</v>
      </c>
      <c r="O397" s="74">
        <f>коэффициенты!$E$4</f>
        <v>0.03</v>
      </c>
      <c r="P397" s="74"/>
      <c r="Q397" s="74">
        <f>коэффициенты!$E$6</f>
        <v>0.01</v>
      </c>
      <c r="R397" s="74"/>
      <c r="S397" s="74">
        <f>коэффициенты!$E$9</f>
        <v>0</v>
      </c>
      <c r="T397" s="74">
        <f>коэффициенты!$E$7</f>
        <v>0</v>
      </c>
      <c r="U397" s="74">
        <f>коэффициенты!$E$8</f>
        <v>0.01</v>
      </c>
      <c r="V397" s="74"/>
      <c r="W397" s="74"/>
      <c r="X397" s="74"/>
      <c r="Y397" s="78"/>
      <c r="Z397" s="76"/>
      <c r="AA397" s="74">
        <f>коэффициенты!$E$14</f>
        <v>0</v>
      </c>
      <c r="AB397" s="74"/>
      <c r="AC397" s="74">
        <f>коэффициенты!$E$18</f>
        <v>0.01</v>
      </c>
      <c r="AD397" s="74"/>
      <c r="AE397" s="74">
        <f>коэффициенты!$E$20</f>
        <v>0.03</v>
      </c>
      <c r="AF397" s="74">
        <f>коэффициенты!$E$21</f>
        <v>0.01</v>
      </c>
      <c r="AG397" s="74"/>
      <c r="AH397" s="74">
        <f>'отрицательный кф'!$O$35</f>
        <v>-1.4999999999999999E-2</v>
      </c>
      <c r="AI397" s="73">
        <f>SUM(наценкад5[[#This Row],[еврокухня]:[большая площадь]])*наценкад5[[#This Row],[Цена м2 с базовым K]]+наценкад5[[#This Row],[Цена м2 с базовым K]]</f>
        <v>77446.215000000011</v>
      </c>
      <c r="AJ397" s="72">
        <f>VLOOKUP(наценкад5[[#This Row],[№]],ППД5[],COLUMN(ППД5[[#This Row],[утв цена м2]]),0)</f>
        <v>109283.62</v>
      </c>
      <c r="AK397" s="3">
        <f>наценкад5[[#This Row],[утв цена м2]]*наценкад5[[#This Row],[Расчетная проектная площадь]]</f>
        <v>8681490.7727999985</v>
      </c>
      <c r="AL397" s="22" t="str">
        <f>VLOOKUP(наценкад5[[#This Row],[№]],ППД5[],COLUMN('Реестр ОН'!$DF$1),0)</f>
        <v>Продажа</v>
      </c>
    </row>
    <row r="398" spans="1:38" hidden="1" x14ac:dyDescent="0.25">
      <c r="A398" s="101">
        <v>396</v>
      </c>
      <c r="B398" s="2" t="str">
        <f>_xlfn.XLOOKUP(наценкад5[[#This Row],[№]],ППД5[№],ППД5[Секция],"-",0)</f>
        <v>Г</v>
      </c>
      <c r="C398" s="2">
        <f>_xlfn.XLOOKUP(наценкад5[[#This Row],[№]],ППД5[№],ППД5[Этаж],"-",0)</f>
        <v>1</v>
      </c>
      <c r="D398" s="2">
        <f>_xlfn.XLOOKUP(наценкад5[[#This Row],[№]],ППД5[№],ППД5[№ на этаже],"-",0)</f>
        <v>7</v>
      </c>
      <c r="E398" s="2">
        <f>_xlfn.XLOOKUP(наценкад5[[#This Row],[№]],ППД5[№],ППД5[Тип кв],"-",0)</f>
        <v>1</v>
      </c>
      <c r="F398" s="72">
        <f>_xlfn.XLOOKUP(наценкад5[[#This Row],[№]],ППД5[№],ППД5[Кухня],"-",0)</f>
        <v>11.43</v>
      </c>
      <c r="G398" s="72">
        <f>_xlfn.XLOOKUP(наценкад5[[#This Row],[№]],ППД5[№],ППД5[Ванная],"-",0)</f>
        <v>3.56</v>
      </c>
      <c r="H398" s="72">
        <f>_xlfn.XLOOKUP(наценкад5[[#This Row],[№]],ППД5[№],ППД5[Гардеробная],"-",0)</f>
        <v>0</v>
      </c>
      <c r="I398" s="72">
        <f>_xlfn.XLOOKUP(наценкад5[[#This Row],[№]],ППД5[№],ППД5[Лоджия 2],"-",0)</f>
        <v>0</v>
      </c>
      <c r="J398" s="72">
        <f>_xlfn.XLOOKUP(наценкад5[[#This Row],[№]],ППД5[№],ППД5[С\У],"-",0)</f>
        <v>0</v>
      </c>
      <c r="K398" s="72">
        <f>_xlfn.XLOOKUP(наценкад5[[#This Row],[№]],ППД5[№],ППД5[Расчетная проектная площадь],"-",0)</f>
        <v>39.69</v>
      </c>
      <c r="L398" s="12">
        <f t="shared" si="6"/>
        <v>63000</v>
      </c>
      <c r="M398" s="102">
        <f>коэффициенты!$G$2</f>
        <v>1.2875000000000001</v>
      </c>
      <c r="N398" s="13">
        <f>наценкад5[[#This Row],[Цена м2 базовая]]*наценкад5[[#This Row],[Базовой K]]</f>
        <v>81112.5</v>
      </c>
      <c r="O398" s="74"/>
      <c r="P398" s="76">
        <f>коэффициенты!$G$5</f>
        <v>0.01</v>
      </c>
      <c r="Q398" s="74"/>
      <c r="R398" s="74"/>
      <c r="S398" s="74"/>
      <c r="T398" s="74"/>
      <c r="U398" s="74"/>
      <c r="V398" s="74">
        <f>коэффициенты!$G$11</f>
        <v>0.01</v>
      </c>
      <c r="W398" s="75"/>
      <c r="X398" s="74"/>
      <c r="Y398" s="78"/>
      <c r="Z398" s="76"/>
      <c r="AA398" s="74">
        <f>коэффициенты!$G$14</f>
        <v>0.01</v>
      </c>
      <c r="AB398" s="74"/>
      <c r="AC398" s="74"/>
      <c r="AD398" s="74">
        <f>коэффициенты!$G$19</f>
        <v>0.01</v>
      </c>
      <c r="AE398" s="76">
        <f>коэффициенты!$G$20</f>
        <v>0.05</v>
      </c>
      <c r="AF398" s="74">
        <f>коэффициенты!$G$21</f>
        <v>0.01</v>
      </c>
      <c r="AG398" s="74">
        <f>коэффициенты!$A$24</f>
        <v>-5.0000000000000001E-3</v>
      </c>
      <c r="AH398" s="74">
        <f>'отрицательный кф'!$O$16</f>
        <v>-0.02</v>
      </c>
      <c r="AI398" s="73">
        <f>SUM(наценкад5[[#This Row],[еврокухня]:[большая площадь]])*наценкад5[[#This Row],[Цена м2 с базовым K]]+наценкад5[[#This Row],[Цена м2 с базовым K]]</f>
        <v>87195.9375</v>
      </c>
      <c r="AJ398" s="72">
        <f>VLOOKUP(наценкад5[[#This Row],[№]],ППД5[],COLUMN(ППД5[[#This Row],[утв цена м2]]),0)</f>
        <v>151863.19</v>
      </c>
      <c r="AK398" s="3">
        <f>наценкад5[[#This Row],[утв цена м2]]*наценкад5[[#This Row],[Расчетная проектная площадь]]</f>
        <v>6027450.0110999998</v>
      </c>
      <c r="AL398" s="22" t="str">
        <f>VLOOKUP(наценкад5[[#This Row],[№]],ППД5[],COLUMN('Реестр ОН'!$DF$1),0)</f>
        <v>Свободно</v>
      </c>
    </row>
    <row r="399" spans="1:38" hidden="1" x14ac:dyDescent="0.25">
      <c r="A399" s="101">
        <v>397</v>
      </c>
      <c r="B399" s="2" t="str">
        <f>_xlfn.XLOOKUP(наценкад5[[#This Row],[№]],ППД5[№],ППД5[Секция],"-",0)</f>
        <v>Г</v>
      </c>
      <c r="C399" s="2">
        <f>_xlfn.XLOOKUP(наценкад5[[#This Row],[№]],ППД5[№],ППД5[Этаж],"-",0)</f>
        <v>2</v>
      </c>
      <c r="D399" s="2">
        <f>_xlfn.XLOOKUP(наценкад5[[#This Row],[№]],ППД5[№],ППД5[№ на этаже],"-",0)</f>
        <v>1</v>
      </c>
      <c r="E399" s="2">
        <f>_xlfn.XLOOKUP(наценкад5[[#This Row],[№]],ППД5[№],ППД5[Тип кв],"-",0)</f>
        <v>0</v>
      </c>
      <c r="F399" s="72">
        <f>_xlfn.XLOOKUP(наценкад5[[#This Row],[№]],ППД5[№],ППД5[Кухня],"-",0)</f>
        <v>5.84</v>
      </c>
      <c r="G399" s="72">
        <f>_xlfn.XLOOKUP(наценкад5[[#This Row],[№]],ППД5[№],ППД5[Ванная],"-",0)</f>
        <v>3.76</v>
      </c>
      <c r="H399" s="72">
        <f>_xlfn.XLOOKUP(наценкад5[[#This Row],[№]],ППД5[№],ППД5[Гардеробная],"-",0)</f>
        <v>0</v>
      </c>
      <c r="I399" s="72">
        <f>_xlfn.XLOOKUP(наценкад5[[#This Row],[№]],ППД5[№],ППД5[Лоджия 2],"-",0)</f>
        <v>0</v>
      </c>
      <c r="J399" s="72">
        <f>_xlfn.XLOOKUP(наценкад5[[#This Row],[№]],ППД5[№],ППД5[С\У],"-",0)</f>
        <v>0</v>
      </c>
      <c r="K399" s="72">
        <f>_xlfn.XLOOKUP(наценкад5[[#This Row],[№]],ППД5[№],ППД5[Расчетная проектная площадь],"-",0)</f>
        <v>29.4</v>
      </c>
      <c r="L399" s="12">
        <f t="shared" si="6"/>
        <v>63000</v>
      </c>
      <c r="M399" s="116">
        <f>коэффициенты!$H$2</f>
        <v>1.3905000000000001</v>
      </c>
      <c r="N399" s="13">
        <f>наценкад5[[#This Row],[Цена м2 базовая]]*наценкад5[[#This Row],[Базовой K]]</f>
        <v>87601.5</v>
      </c>
      <c r="O399" s="74"/>
      <c r="P399" s="74"/>
      <c r="Q399" s="74"/>
      <c r="R399" s="74"/>
      <c r="S399" s="74"/>
      <c r="T399" s="74"/>
      <c r="U399" s="74"/>
      <c r="V399" s="74"/>
      <c r="W399" s="74"/>
      <c r="X399" s="74"/>
      <c r="Y399" s="78">
        <f>коэффициенты!$H$15</f>
        <v>0.01</v>
      </c>
      <c r="Z399" s="74"/>
      <c r="AA399" s="74"/>
      <c r="AB399" s="74"/>
      <c r="AC399" s="74"/>
      <c r="AD399" s="74">
        <f>коэффициенты!$H$19</f>
        <v>0.01</v>
      </c>
      <c r="AE399" s="74"/>
      <c r="AF399" s="74">
        <f>коэффициенты!$H$21</f>
        <v>0.01</v>
      </c>
      <c r="AG399" s="74"/>
      <c r="AH399" s="74"/>
      <c r="AI399" s="73">
        <f>SUM(наценкад5[[#This Row],[еврокухня]:[большая площадь]])*наценкад5[[#This Row],[Цена м2 с базовым K]]+наценкад5[[#This Row],[Цена м2 с базовым K]]</f>
        <v>90229.544999999998</v>
      </c>
      <c r="AJ399" s="72">
        <f>VLOOKUP(наценкад5[[#This Row],[№]],ППД5[],COLUMN(ППД5[[#This Row],[утв цена м2]]),0)</f>
        <v>90229.55</v>
      </c>
      <c r="AK399" s="3">
        <f>наценкад5[[#This Row],[утв цена м2]]*наценкад5[[#This Row],[Расчетная проектная площадь]]</f>
        <v>2652748.77</v>
      </c>
      <c r="AL399" s="22" t="str">
        <f>VLOOKUP(наценкад5[[#This Row],[№]],ППД5[],COLUMN('Реестр ОН'!$DF$1),0)</f>
        <v>Продажа</v>
      </c>
    </row>
    <row r="400" spans="1:38" hidden="1" x14ac:dyDescent="0.25">
      <c r="A400" s="101">
        <v>398</v>
      </c>
      <c r="B400" s="2" t="str">
        <f>_xlfn.XLOOKUP(наценкад5[[#This Row],[№]],ППД5[№],ППД5[Секция],"-",0)</f>
        <v>Г</v>
      </c>
      <c r="C400" s="2">
        <f>_xlfn.XLOOKUP(наценкад5[[#This Row],[№]],ППД5[№],ППД5[Этаж],"-",0)</f>
        <v>2</v>
      </c>
      <c r="D400" s="2">
        <f>_xlfn.XLOOKUP(наценкад5[[#This Row],[№]],ППД5[№],ППД5[№ на этаже],"-",0)</f>
        <v>2</v>
      </c>
      <c r="E400" s="2">
        <f>_xlfn.XLOOKUP(наценкад5[[#This Row],[№]],ППД5[№],ППД5[Тип кв],"-",0)</f>
        <v>1</v>
      </c>
      <c r="F400" s="3">
        <f>_xlfn.XLOOKUP(наценкад5[[#This Row],[№]],ППД5[№],ППД5[Кухня],"-",0)</f>
        <v>16.940000000000001</v>
      </c>
      <c r="G400" s="72">
        <f>_xlfn.XLOOKUP(наценкад5[[#This Row],[№]],ППД5[№],ППД5[Ванная],"-",0)</f>
        <v>3.55</v>
      </c>
      <c r="H400" s="72">
        <f>_xlfn.XLOOKUP(наценкад5[[#This Row],[№]],ППД5[№],ППД5[Гардеробная],"-",0)</f>
        <v>0</v>
      </c>
      <c r="I400" s="72">
        <f>_xlfn.XLOOKUP(наценкад5[[#This Row],[№]],ППД5[№],ППД5[Лоджия 2],"-",0)</f>
        <v>0</v>
      </c>
      <c r="J400" s="72">
        <f>_xlfn.XLOOKUP(наценкад5[[#This Row],[№]],ППД5[№],ППД5[С\У],"-",0)</f>
        <v>2.41</v>
      </c>
      <c r="K400" s="72">
        <f>_xlfn.XLOOKUP(наценкад5[[#This Row],[№]],ППД5[№],ППД5[Расчетная проектная площадь],"-",0)</f>
        <v>43.21</v>
      </c>
      <c r="L400" s="12">
        <f t="shared" si="6"/>
        <v>63000</v>
      </c>
      <c r="M400" s="102">
        <f>коэффициенты!$G$2</f>
        <v>1.2875000000000001</v>
      </c>
      <c r="N400" s="13">
        <f>наценкад5[[#This Row],[Цена м2 базовая]]*наценкад5[[#This Row],[Базовой K]]</f>
        <v>81112.5</v>
      </c>
      <c r="O400" s="76">
        <f>коэффициенты!$G$4</f>
        <v>0.02</v>
      </c>
      <c r="P400" s="74"/>
      <c r="Q400" s="74"/>
      <c r="R400" s="74">
        <f>коэффициенты!$G$10</f>
        <v>0.01</v>
      </c>
      <c r="S400" s="74">
        <f>коэффициенты!$G$9</f>
        <v>0</v>
      </c>
      <c r="T400" s="74"/>
      <c r="U400" s="74"/>
      <c r="V400" s="74"/>
      <c r="W400" s="74"/>
      <c r="X400" s="74"/>
      <c r="Y400" s="78">
        <f>коэффициенты!$G$15</f>
        <v>0.01</v>
      </c>
      <c r="Z400" s="74"/>
      <c r="AA400" s="74"/>
      <c r="AB400" s="74"/>
      <c r="AC400" s="74"/>
      <c r="AD400" s="74">
        <f>коэффициенты!$G$19</f>
        <v>0.01</v>
      </c>
      <c r="AE400" s="74"/>
      <c r="AF400" s="74">
        <f>коэффициенты!$G$21</f>
        <v>0.01</v>
      </c>
      <c r="AG400" s="74"/>
      <c r="AH400" s="74"/>
      <c r="AI400" s="73">
        <f>SUM(наценкад5[[#This Row],[еврокухня]:[большая площадь]])*наценкад5[[#This Row],[Цена м2 с базовым K]]+наценкад5[[#This Row],[Цена м2 с базовым K]]</f>
        <v>85979.25</v>
      </c>
      <c r="AJ400" s="72">
        <f>VLOOKUP(наценкад5[[#This Row],[№]],ППД5[],COLUMN(ППД5[[#This Row],[утв цена м2]]),0)</f>
        <v>136756.70000000001</v>
      </c>
      <c r="AK400" s="3">
        <f>наценкад5[[#This Row],[утв цена м2]]*наценкад5[[#This Row],[Расчетная проектная площадь]]</f>
        <v>5909257.0070000002</v>
      </c>
      <c r="AL400" s="22" t="str">
        <f>VLOOKUP(наценкад5[[#This Row],[№]],ППД5[],COLUMN('Реестр ОН'!$DF$1),0)</f>
        <v>Продажа</v>
      </c>
    </row>
    <row r="401" spans="1:38" hidden="1" x14ac:dyDescent="0.25">
      <c r="A401" s="101">
        <v>399</v>
      </c>
      <c r="B401" s="2" t="str">
        <f>_xlfn.XLOOKUP(наценкад5[[#This Row],[№]],ППД5[№],ППД5[Секция],"-",0)</f>
        <v>Г</v>
      </c>
      <c r="C401" s="2">
        <f>_xlfn.XLOOKUP(наценкад5[[#This Row],[№]],ППД5[№],ППД5[Этаж],"-",0)</f>
        <v>2</v>
      </c>
      <c r="D401" s="2">
        <f>_xlfn.XLOOKUP(наценкад5[[#This Row],[№]],ППД5[№],ППД5[№ на этаже],"-",0)</f>
        <v>3</v>
      </c>
      <c r="E401" s="2">
        <f>_xlfn.XLOOKUP(наценкад5[[#This Row],[№]],ППД5[№],ППД5[Тип кв],"-",0)</f>
        <v>0</v>
      </c>
      <c r="F401" s="72">
        <f>_xlfn.XLOOKUP(наценкад5[[#This Row],[№]],ППД5[№],ППД5[Кухня],"-",0)</f>
        <v>5.17</v>
      </c>
      <c r="G401" s="72">
        <f>_xlfn.XLOOKUP(наценкад5[[#This Row],[№]],ППД5[№],ППД5[Ванная],"-",0)</f>
        <v>3.71</v>
      </c>
      <c r="H401" s="72">
        <f>_xlfn.XLOOKUP(наценкад5[[#This Row],[№]],ППД5[№],ППД5[Гардеробная],"-",0)</f>
        <v>0</v>
      </c>
      <c r="I401" s="72">
        <f>_xlfn.XLOOKUP(наценкад5[[#This Row],[№]],ППД5[№],ППД5[Лоджия 2],"-",0)</f>
        <v>0</v>
      </c>
      <c r="J401" s="72">
        <f>_xlfn.XLOOKUP(наценкад5[[#This Row],[№]],ППД5[№],ППД5[С\У],"-",0)</f>
        <v>0</v>
      </c>
      <c r="K401" s="72">
        <f>_xlfn.XLOOKUP(наценкад5[[#This Row],[№]],ППД5[№],ППД5[Расчетная проектная площадь],"-",0)</f>
        <v>24.5</v>
      </c>
      <c r="L401" s="12">
        <f t="shared" si="6"/>
        <v>63000</v>
      </c>
      <c r="M401" s="116">
        <f>коэффициенты!$H$2</f>
        <v>1.3905000000000001</v>
      </c>
      <c r="N401" s="13">
        <f>наценкад5[[#This Row],[Цена м2 базовая]]*наценкад5[[#This Row],[Базовой K]]</f>
        <v>87601.5</v>
      </c>
      <c r="O401" s="74"/>
      <c r="P401" s="74"/>
      <c r="Q401" s="74"/>
      <c r="R401" s="74"/>
      <c r="S401" s="74"/>
      <c r="T401" s="74"/>
      <c r="U401" s="74"/>
      <c r="V401" s="74">
        <f>коэффициенты!$H$11</f>
        <v>0.01</v>
      </c>
      <c r="W401" s="74"/>
      <c r="X401" s="74">
        <f>коэффициенты!$H$13</f>
        <v>0.01</v>
      </c>
      <c r="Y401" s="78">
        <f>коэффициенты!$H$15</f>
        <v>0.01</v>
      </c>
      <c r="Z401" s="74"/>
      <c r="AA401" s="74"/>
      <c r="AB401" s="74"/>
      <c r="AC401" s="74"/>
      <c r="AD401" s="74">
        <f>коэффициенты!$H$19</f>
        <v>0.01</v>
      </c>
      <c r="AE401" s="74"/>
      <c r="AF401" s="74">
        <f>коэффициенты!$H$21</f>
        <v>0.01</v>
      </c>
      <c r="AG401" s="74"/>
      <c r="AH401" s="74"/>
      <c r="AI401" s="73">
        <f>SUM(наценкад5[[#This Row],[еврокухня]:[большая площадь]])*наценкад5[[#This Row],[Цена м2 с базовым K]]+наценкад5[[#This Row],[Цена м2 с базовым K]]</f>
        <v>91981.574999999997</v>
      </c>
      <c r="AJ401" s="72">
        <f>VLOOKUP(наценкад5[[#This Row],[№]],ППД5[],COLUMN(ППД5[[#This Row],[утв цена м2]]),0)</f>
        <v>91981.58</v>
      </c>
      <c r="AK401" s="3">
        <f>наценкад5[[#This Row],[утв цена м2]]*наценкад5[[#This Row],[Расчетная проектная площадь]]</f>
        <v>2253548.71</v>
      </c>
      <c r="AL401" s="22" t="str">
        <f>VLOOKUP(наценкад5[[#This Row],[№]],ППД5[],COLUMN('Реестр ОН'!$DF$1),0)</f>
        <v>Продажа</v>
      </c>
    </row>
    <row r="402" spans="1:38" hidden="1" x14ac:dyDescent="0.25">
      <c r="A402" s="101">
        <v>400</v>
      </c>
      <c r="B402" s="2" t="str">
        <f>_xlfn.XLOOKUP(наценкад5[[#This Row],[№]],ППД5[№],ППД5[Секция],"-",0)</f>
        <v>Г</v>
      </c>
      <c r="C402" s="2">
        <f>_xlfn.XLOOKUP(наценкад5[[#This Row],[№]],ППД5[№],ППД5[Этаж],"-",0)</f>
        <v>2</v>
      </c>
      <c r="D402" s="2">
        <f>_xlfn.XLOOKUP(наценкад5[[#This Row],[№]],ППД5[№],ППД5[№ на этаже],"-",0)</f>
        <v>4</v>
      </c>
      <c r="E402" s="2">
        <f>_xlfn.XLOOKUP(наценкад5[[#This Row],[№]],ППД5[№],ППД5[Тип кв],"-",0)</f>
        <v>2</v>
      </c>
      <c r="F402" s="72">
        <f>_xlfn.XLOOKUP(наценкад5[[#This Row],[№]],ППД5[№],ППД5[Кухня],"-",0)</f>
        <v>15.86</v>
      </c>
      <c r="G402" s="72">
        <f>_xlfn.XLOOKUP(наценкад5[[#This Row],[№]],ППД5[№],ППД5[Ванная],"-",0)</f>
        <v>3.01</v>
      </c>
      <c r="H402" s="72">
        <f>_xlfn.XLOOKUP(наценкад5[[#This Row],[№]],ППД5[№],ППД5[Гардеробная],"-",0)</f>
        <v>0</v>
      </c>
      <c r="I402" s="72">
        <f>_xlfn.XLOOKUP(наценкад5[[#This Row],[№]],ППД5[№],ППД5[Лоджия 2],"-",0)</f>
        <v>0</v>
      </c>
      <c r="J402" s="72">
        <f>_xlfn.XLOOKUP(наценкад5[[#This Row],[№]],ППД5[№],ППД5[С\У],"-",0)</f>
        <v>2.67</v>
      </c>
      <c r="K402" s="72">
        <f>_xlfn.XLOOKUP(наценкад5[[#This Row],[№]],ППД5[№],ППД5[Расчетная проектная площадь],"-",0)</f>
        <v>58.24</v>
      </c>
      <c r="L402" s="12">
        <f t="shared" si="6"/>
        <v>63000</v>
      </c>
      <c r="M402" s="102">
        <f>коэффициенты!$F$2</f>
        <v>1.2257</v>
      </c>
      <c r="N402" s="13">
        <f>наценкад5[[#This Row],[Цена м2 базовая]]*наценкад5[[#This Row],[Базовой K]]</f>
        <v>77219.100000000006</v>
      </c>
      <c r="O402" s="76">
        <f>коэффициенты!$F$4</f>
        <v>1.4999999999999999E-2</v>
      </c>
      <c r="P402" s="74"/>
      <c r="Q402" s="76"/>
      <c r="R402" s="76">
        <f>коэффициенты!$F$10</f>
        <v>0</v>
      </c>
      <c r="S402" s="76">
        <f>коэффициенты!$F$9</f>
        <v>0</v>
      </c>
      <c r="T402" s="74"/>
      <c r="U402" s="74"/>
      <c r="V402" s="74"/>
      <c r="W402" s="74"/>
      <c r="X402" s="74"/>
      <c r="Y402" s="78">
        <f>коэффициенты!$F$15</f>
        <v>0.01</v>
      </c>
      <c r="Z402" s="74"/>
      <c r="AA402" s="74"/>
      <c r="AB402" s="74"/>
      <c r="AC402" s="74"/>
      <c r="AD402" s="74">
        <f>коэффициенты!$F$19</f>
        <v>5.0000000000000001E-3</v>
      </c>
      <c r="AE402" s="74"/>
      <c r="AF402" s="74">
        <f>коэффициенты!$F$21</f>
        <v>0.01</v>
      </c>
      <c r="AG402" s="74"/>
      <c r="AH402" s="74"/>
      <c r="AI402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402" s="72">
        <f>VLOOKUP(наценкад5[[#This Row],[№]],ППД5[],COLUMN(ППД5[[#This Row],[утв цена м2]]),0)</f>
        <v>122412.25</v>
      </c>
      <c r="AK402" s="3">
        <f>наценкад5[[#This Row],[утв цена м2]]*наценкад5[[#This Row],[Расчетная проектная площадь]]</f>
        <v>7129289.4400000004</v>
      </c>
      <c r="AL402" s="22" t="str">
        <f>VLOOKUP(наценкад5[[#This Row],[№]],ППД5[],COLUMN('Реестр ОН'!$DF$1),0)</f>
        <v>Продажа</v>
      </c>
    </row>
    <row r="403" spans="1:38" hidden="1" x14ac:dyDescent="0.25">
      <c r="A403" s="101">
        <v>401</v>
      </c>
      <c r="B403" s="2" t="str">
        <f>_xlfn.XLOOKUP(наценкад5[[#This Row],[№]],ППД5[№],ППД5[Секция],"-",0)</f>
        <v>Г</v>
      </c>
      <c r="C403" s="2">
        <f>_xlfn.XLOOKUP(наценкад5[[#This Row],[№]],ППД5[№],ППД5[Этаж],"-",0)</f>
        <v>2</v>
      </c>
      <c r="D403" s="2">
        <f>_xlfn.XLOOKUP(наценкад5[[#This Row],[№]],ППД5[№],ППД5[№ на этаже],"-",0)</f>
        <v>5</v>
      </c>
      <c r="E403" s="2">
        <f>_xlfn.XLOOKUP(наценкад5[[#This Row],[№]],ППД5[№],ППД5[Тип кв],"-",0)</f>
        <v>2</v>
      </c>
      <c r="F403" s="72">
        <f>_xlfn.XLOOKUP(наценкад5[[#This Row],[№]],ППД5[№],ППД5[Кухня],"-",0)</f>
        <v>13.45</v>
      </c>
      <c r="G403" s="72">
        <f>_xlfn.XLOOKUP(наценкад5[[#This Row],[№]],ППД5[№],ППД5[Ванная],"-",0)</f>
        <v>3.7</v>
      </c>
      <c r="H403" s="72">
        <f>_xlfn.XLOOKUP(наценкад5[[#This Row],[№]],ППД5[№],ППД5[Гардеробная],"-",0)</f>
        <v>0</v>
      </c>
      <c r="I403" s="72">
        <f>_xlfn.XLOOKUP(наценкад5[[#This Row],[№]],ППД5[№],ППД5[Лоджия 2],"-",0)</f>
        <v>0</v>
      </c>
      <c r="J403" s="72">
        <f>_xlfn.XLOOKUP(наценкад5[[#This Row],[№]],ППД5[№],ППД5[С\У],"-",0)</f>
        <v>2.72</v>
      </c>
      <c r="K403" s="72">
        <f>_xlfn.XLOOKUP(наценкад5[[#This Row],[№]],ППД5[№],ППД5[Расчетная проектная площадь],"-",0)</f>
        <v>57.8</v>
      </c>
      <c r="L403" s="12">
        <f t="shared" si="6"/>
        <v>63000</v>
      </c>
      <c r="M403" s="102">
        <f>коэффициенты!$F$2</f>
        <v>1.2257</v>
      </c>
      <c r="N403" s="13">
        <f>наценкад5[[#This Row],[Цена м2 базовая]]*наценкад5[[#This Row],[Базовой K]]</f>
        <v>77219.100000000006</v>
      </c>
      <c r="O403" s="74"/>
      <c r="P403" s="74">
        <f>коэффициенты!$F$5</f>
        <v>0.01</v>
      </c>
      <c r="Q403" s="76"/>
      <c r="R403" s="76"/>
      <c r="S403" s="76">
        <f>коэффициенты!$F$9</f>
        <v>0</v>
      </c>
      <c r="T403" s="74"/>
      <c r="U403" s="74"/>
      <c r="V403" s="74"/>
      <c r="W403" s="74"/>
      <c r="X403" s="74"/>
      <c r="Y403" s="78">
        <f>коэффициенты!$F$15</f>
        <v>0.01</v>
      </c>
      <c r="Z403" s="74"/>
      <c r="AA403" s="74"/>
      <c r="AB403" s="74"/>
      <c r="AC403" s="74"/>
      <c r="AD403" s="74">
        <f>коэффициенты!$F$19</f>
        <v>5.0000000000000001E-3</v>
      </c>
      <c r="AE403" s="74"/>
      <c r="AF403" s="74">
        <f>коэффициенты!$F$21</f>
        <v>0.01</v>
      </c>
      <c r="AG403" s="74"/>
      <c r="AH403" s="74"/>
      <c r="AI403" s="73">
        <f>SUM(наценкад5[[#This Row],[еврокухня]:[большая площадь]])*наценкад5[[#This Row],[Цена м2 с базовым K]]+наценкад5[[#This Row],[Цена м2 с базовым K]]</f>
        <v>79921.768500000006</v>
      </c>
      <c r="AJ403" s="72">
        <f>VLOOKUP(наценкад5[[#This Row],[№]],ППД5[],COLUMN(ППД5[[#This Row],[утв цена м2]]),0)</f>
        <v>98266.49</v>
      </c>
      <c r="AK403" s="3">
        <f>наценкад5[[#This Row],[утв цена м2]]*наценкад5[[#This Row],[Расчетная проектная площадь]]</f>
        <v>5679803.1220000004</v>
      </c>
      <c r="AL403" s="22" t="str">
        <f>VLOOKUP(наценкад5[[#This Row],[№]],ППД5[],COLUMN('Реестр ОН'!$DF$1),0)</f>
        <v>Продажа</v>
      </c>
    </row>
    <row r="404" spans="1:38" hidden="1" x14ac:dyDescent="0.25">
      <c r="A404" s="101">
        <v>402</v>
      </c>
      <c r="B404" s="2" t="str">
        <f>_xlfn.XLOOKUP(наценкад5[[#This Row],[№]],ППД5[№],ППД5[Секция],"-",0)</f>
        <v>Г</v>
      </c>
      <c r="C404" s="2">
        <f>_xlfn.XLOOKUP(наценкад5[[#This Row],[№]],ППД5[№],ППД5[Этаж],"-",0)</f>
        <v>2</v>
      </c>
      <c r="D404" s="2">
        <f>_xlfn.XLOOKUP(наценкад5[[#This Row],[№]],ППД5[№],ППД5[№ на этаже],"-",0)</f>
        <v>6</v>
      </c>
      <c r="E404" s="2">
        <f>_xlfn.XLOOKUP(наценкад5[[#This Row],[№]],ППД5[№],ППД5[Тип кв],"-",0)</f>
        <v>1</v>
      </c>
      <c r="F404" s="72">
        <f>_xlfn.XLOOKUP(наценкад5[[#This Row],[№]],ППД5[№],ППД5[Кухня],"-",0)</f>
        <v>12.55</v>
      </c>
      <c r="G404" s="72">
        <f>_xlfn.XLOOKUP(наценкад5[[#This Row],[№]],ППД5[№],ППД5[Ванная],"-",0)</f>
        <v>4.28</v>
      </c>
      <c r="H404" s="72">
        <f>_xlfn.XLOOKUP(наценкад5[[#This Row],[№]],ППД5[№],ППД5[Гардеробная],"-",0)</f>
        <v>0</v>
      </c>
      <c r="I404" s="72">
        <f>_xlfn.XLOOKUP(наценкад5[[#This Row],[№]],ППД5[№],ППД5[Лоджия 2],"-",0)</f>
        <v>0</v>
      </c>
      <c r="J404" s="72">
        <f>_xlfn.XLOOKUP(наценкад5[[#This Row],[№]],ППД5[№],ППД5[С\У],"-",0)</f>
        <v>0</v>
      </c>
      <c r="K404" s="72">
        <f>_xlfn.XLOOKUP(наценкад5[[#This Row],[№]],ППД5[№],ППД5[Расчетная проектная площадь],"-",0)</f>
        <v>38.299999999999997</v>
      </c>
      <c r="L404" s="12">
        <f t="shared" si="6"/>
        <v>63000</v>
      </c>
      <c r="M404" s="102">
        <f>коэффициенты!$G$2</f>
        <v>1.2875000000000001</v>
      </c>
      <c r="N404" s="13">
        <f>наценкад5[[#This Row],[Цена м2 базовая]]*наценкад5[[#This Row],[Базовой K]]</f>
        <v>81112.5</v>
      </c>
      <c r="O404" s="74"/>
      <c r="P404" s="76">
        <f>коэффициенты!$G$5</f>
        <v>0.01</v>
      </c>
      <c r="Q404" s="74">
        <f>коэффициенты!$G$6</f>
        <v>0.03</v>
      </c>
      <c r="R404" s="74"/>
      <c r="S404" s="74"/>
      <c r="T404" s="74"/>
      <c r="U404" s="74"/>
      <c r="V404" s="74">
        <f>коэффициенты!$G$11</f>
        <v>0.01</v>
      </c>
      <c r="W404" s="75"/>
      <c r="X404" s="74">
        <f>коэффициенты!$G$13</f>
        <v>0.01</v>
      </c>
      <c r="Y404" s="78">
        <f>коэффициенты!$G$15</f>
        <v>0.01</v>
      </c>
      <c r="Z404" s="74"/>
      <c r="AA404" s="74"/>
      <c r="AB404" s="74"/>
      <c r="AC404" s="74"/>
      <c r="AD404" s="74">
        <f>коэффициенты!$G$19</f>
        <v>0.01</v>
      </c>
      <c r="AE404" s="74"/>
      <c r="AF404" s="74">
        <f>коэффициенты!$G$21</f>
        <v>0.01</v>
      </c>
      <c r="AG404" s="74"/>
      <c r="AH404" s="74"/>
      <c r="AI404" s="73">
        <f>SUM(наценкад5[[#This Row],[еврокухня]:[большая площадь]])*наценкад5[[#This Row],[Цена м2 с базовым K]]+наценкад5[[#This Row],[Цена м2 с базовым K]]</f>
        <v>88412.625</v>
      </c>
      <c r="AJ404" s="72">
        <f>VLOOKUP(наценкад5[[#This Row],[№]],ППД5[],COLUMN(ППД5[[#This Row],[утв цена м2]]),0)</f>
        <v>117546.81</v>
      </c>
      <c r="AK404" s="3">
        <f>наценкад5[[#This Row],[утв цена м2]]*наценкад5[[#This Row],[Расчетная проектная площадь]]</f>
        <v>4502042.8229999999</v>
      </c>
      <c r="AL404" s="22" t="str">
        <f>VLOOKUP(наценкад5[[#This Row],[№]],ППД5[],COLUMN('Реестр ОН'!$DF$1),0)</f>
        <v>Продажа</v>
      </c>
    </row>
    <row r="405" spans="1:38" hidden="1" x14ac:dyDescent="0.25">
      <c r="A405" s="101">
        <v>403</v>
      </c>
      <c r="B405" s="2" t="str">
        <f>_xlfn.XLOOKUP(наценкад5[[#This Row],[№]],ППД5[№],ППД5[Секция],"-",0)</f>
        <v>Г</v>
      </c>
      <c r="C405" s="2">
        <f>_xlfn.XLOOKUP(наценкад5[[#This Row],[№]],ППД5[№],ППД5[Этаж],"-",0)</f>
        <v>2</v>
      </c>
      <c r="D405" s="2">
        <f>_xlfn.XLOOKUP(наценкад5[[#This Row],[№]],ППД5[№],ППД5[№ на этаже],"-",0)</f>
        <v>7</v>
      </c>
      <c r="E405" s="2">
        <f>_xlfn.XLOOKUP(наценкад5[[#This Row],[№]],ППД5[№],ППД5[Тип кв],"-",0)</f>
        <v>3</v>
      </c>
      <c r="F405" s="3">
        <f>_xlfn.XLOOKUP(наценкад5[[#This Row],[№]],ППД5[№],ППД5[Кухня],"-",0)</f>
        <v>16.670000000000002</v>
      </c>
      <c r="G405" s="72">
        <f>_xlfn.XLOOKUP(наценкад5[[#This Row],[№]],ППД5[№],ППД5[Ванная],"-",0)</f>
        <v>4.1399999999999997</v>
      </c>
      <c r="H405" s="72">
        <f>_xlfn.XLOOKUP(наценкад5[[#This Row],[№]],ППД5[№],ППД5[Гардеробная],"-",0)</f>
        <v>0</v>
      </c>
      <c r="I405" s="72">
        <f>_xlfn.XLOOKUP(наценкад5[[#This Row],[№]],ППД5[№],ППД5[Лоджия 2],"-",0)</f>
        <v>2.79</v>
      </c>
      <c r="J405" s="72">
        <f>_xlfn.XLOOKUP(наценкад5[[#This Row],[№]],ППД5[№],ППД5[С\У],"-",0)</f>
        <v>1.89</v>
      </c>
      <c r="K405" s="72">
        <f>_xlfn.XLOOKUP(наценкад5[[#This Row],[№]],ППД5[№],ППД5[Расчетная проектная площадь],"-",0)</f>
        <v>79.44</v>
      </c>
      <c r="L405" s="12">
        <f t="shared" si="6"/>
        <v>63000</v>
      </c>
      <c r="M405" s="27">
        <f>коэффициенты!$E$2</f>
        <v>1.1330000000000002</v>
      </c>
      <c r="N405" s="13">
        <f>наценкад5[[#This Row],[Цена м2 базовая]]*наценкад5[[#This Row],[Базовой K]]</f>
        <v>71379.000000000015</v>
      </c>
      <c r="O405" s="74">
        <f>коэффициенты!$E$4</f>
        <v>0.03</v>
      </c>
      <c r="P405" s="74"/>
      <c r="Q405" s="74">
        <f>коэффициенты!$E$6</f>
        <v>0.01</v>
      </c>
      <c r="R405" s="74"/>
      <c r="S405" s="74">
        <f>коэффициенты!$E$9</f>
        <v>0</v>
      </c>
      <c r="T405" s="74">
        <f>коэффициенты!$E$7</f>
        <v>0</v>
      </c>
      <c r="U405" s="74">
        <f>коэффициенты!$E$8</f>
        <v>0.01</v>
      </c>
      <c r="V405" s="74"/>
      <c r="W405" s="74"/>
      <c r="X405" s="74"/>
      <c r="Y405" s="78">
        <f>коэффициенты!$A$15</f>
        <v>0.01</v>
      </c>
      <c r="Z405" s="74"/>
      <c r="AA405" s="74">
        <f>коэффициенты!$E$14</f>
        <v>0</v>
      </c>
      <c r="AB405" s="74"/>
      <c r="AC405" s="74">
        <f>коэффициенты!$E$18</f>
        <v>0.01</v>
      </c>
      <c r="AD405" s="74"/>
      <c r="AE405" s="74"/>
      <c r="AF405" s="74">
        <f>коэффициенты!$E$21</f>
        <v>0.01</v>
      </c>
      <c r="AG405" s="74"/>
      <c r="AH405" s="74"/>
      <c r="AI405" s="73">
        <f>SUM(наценкад5[[#This Row],[еврокухня]:[большая площадь]])*наценкад5[[#This Row],[Цена м2 с базовым K]]+наценкад5[[#This Row],[Цена м2 с базовым K]]</f>
        <v>77089.320000000022</v>
      </c>
      <c r="AJ405" s="72">
        <f>VLOOKUP(наценкад5[[#This Row],[№]],ППД5[],COLUMN(ППД5[[#This Row],[утв цена м2]]),0)</f>
        <v>122398.75</v>
      </c>
      <c r="AK405" s="3">
        <f>наценкад5[[#This Row],[утв цена м2]]*наценкад5[[#This Row],[Расчетная проектная площадь]]</f>
        <v>9723356.6999999993</v>
      </c>
      <c r="AL405" s="22" t="str">
        <f>VLOOKUP(наценкад5[[#This Row],[№]],ППД5[],COLUMN('Реестр ОН'!$DF$1),0)</f>
        <v>Свободно</v>
      </c>
    </row>
    <row r="406" spans="1:38" hidden="1" x14ac:dyDescent="0.25">
      <c r="A406" s="101">
        <v>404</v>
      </c>
      <c r="B406" s="2" t="str">
        <f>_xlfn.XLOOKUP(наценкад5[[#This Row],[№]],ППД5[№],ППД5[Секция],"-",0)</f>
        <v>Г</v>
      </c>
      <c r="C406" s="2">
        <f>_xlfn.XLOOKUP(наценкад5[[#This Row],[№]],ППД5[№],ППД5[Этаж],"-",0)</f>
        <v>2</v>
      </c>
      <c r="D406" s="2">
        <f>_xlfn.XLOOKUP(наценкад5[[#This Row],[№]],ППД5[№],ППД5[№ на этаже],"-",0)</f>
        <v>8</v>
      </c>
      <c r="E406" s="2">
        <f>_xlfn.XLOOKUP(наценкад5[[#This Row],[№]],ППД5[№],ППД5[Тип кв],"-",0)</f>
        <v>1</v>
      </c>
      <c r="F406" s="72">
        <f>_xlfn.XLOOKUP(наценкад5[[#This Row],[№]],ППД5[№],ППД5[Кухня],"-",0)</f>
        <v>11.43</v>
      </c>
      <c r="G406" s="72">
        <f>_xlfn.XLOOKUP(наценкад5[[#This Row],[№]],ППД5[№],ППД5[Ванная],"-",0)</f>
        <v>3.56</v>
      </c>
      <c r="H406" s="72">
        <f>_xlfn.XLOOKUP(наценкад5[[#This Row],[№]],ППД5[№],ППД5[Гардеробная],"-",0)</f>
        <v>0</v>
      </c>
      <c r="I406" s="72">
        <f>_xlfn.XLOOKUP(наценкад5[[#This Row],[№]],ППД5[№],ППД5[Лоджия 2],"-",0)</f>
        <v>0</v>
      </c>
      <c r="J406" s="72">
        <f>_xlfn.XLOOKUP(наценкад5[[#This Row],[№]],ППД5[№],ППД5[С\У],"-",0)</f>
        <v>0</v>
      </c>
      <c r="K406" s="72">
        <f>_xlfn.XLOOKUP(наценкад5[[#This Row],[№]],ППД5[№],ППД5[Расчетная проектная площадь],"-",0)</f>
        <v>39.69</v>
      </c>
      <c r="L406" s="12">
        <f t="shared" si="6"/>
        <v>63000</v>
      </c>
      <c r="M406" s="102">
        <f>коэффициенты!$G$2</f>
        <v>1.2875000000000001</v>
      </c>
      <c r="N406" s="13">
        <f>наценкад5[[#This Row],[Цена м2 базовая]]*наценкад5[[#This Row],[Базовой K]]</f>
        <v>81112.5</v>
      </c>
      <c r="O406" s="74"/>
      <c r="P406" s="76">
        <f>коэффициенты!$G$5</f>
        <v>0.01</v>
      </c>
      <c r="Q406" s="74"/>
      <c r="R406" s="74"/>
      <c r="S406" s="74"/>
      <c r="T406" s="74"/>
      <c r="U406" s="74"/>
      <c r="V406" s="74">
        <f>коэффициенты!$G$11</f>
        <v>0.01</v>
      </c>
      <c r="W406" s="75"/>
      <c r="X406" s="74"/>
      <c r="Y406" s="78">
        <f>коэффициенты!$G$15</f>
        <v>0.01</v>
      </c>
      <c r="Z406" s="74"/>
      <c r="AA406" s="74">
        <f>коэффициенты!$G$14</f>
        <v>0.01</v>
      </c>
      <c r="AB406" s="74"/>
      <c r="AC406" s="74"/>
      <c r="AD406" s="74">
        <f>коэффициенты!$G$19</f>
        <v>0.01</v>
      </c>
      <c r="AE406" s="74"/>
      <c r="AF406" s="74">
        <f>коэффициенты!$G$21</f>
        <v>0.01</v>
      </c>
      <c r="AG406" s="74">
        <f>коэффициенты!$A$24</f>
        <v>-5.0000000000000001E-3</v>
      </c>
      <c r="AH406" s="74"/>
      <c r="AI406" s="73">
        <f>SUM(наценкад5[[#This Row],[еврокухня]:[большая площадь]])*наценкад5[[#This Row],[Цена м2 с базовым K]]+наценкад5[[#This Row],[Цена м2 с базовым K]]</f>
        <v>85573.6875</v>
      </c>
      <c r="AJ406" s="72">
        <f>VLOOKUP(наценкад5[[#This Row],[№]],ППД5[],COLUMN(ППД5[[#This Row],[утв цена м2]]),0)</f>
        <v>110922.66</v>
      </c>
      <c r="AK406" s="3">
        <f>наценкад5[[#This Row],[утв цена м2]]*наценкад5[[#This Row],[Расчетная проектная площадь]]</f>
        <v>4402520.3754000003</v>
      </c>
      <c r="AL406" s="22" t="str">
        <f>VLOOKUP(наценкад5[[#This Row],[№]],ППД5[],COLUMN('Реестр ОН'!$DF$1),0)</f>
        <v>Продажа</v>
      </c>
    </row>
    <row r="407" spans="1:38" hidden="1" x14ac:dyDescent="0.25">
      <c r="A407" s="101">
        <v>405</v>
      </c>
      <c r="B407" s="2" t="str">
        <f>_xlfn.XLOOKUP(наценкад5[[#This Row],[№]],ППД5[№],ППД5[Секция],"-",0)</f>
        <v>Г</v>
      </c>
      <c r="C407" s="2">
        <f>_xlfn.XLOOKUP(наценкад5[[#This Row],[№]],ППД5[№],ППД5[Этаж],"-",0)</f>
        <v>3</v>
      </c>
      <c r="D407" s="2">
        <f>_xlfn.XLOOKUP(наценкад5[[#This Row],[№]],ППД5[№],ППД5[№ на этаже],"-",0)</f>
        <v>1</v>
      </c>
      <c r="E407" s="2">
        <f>_xlfn.XLOOKUP(наценкад5[[#This Row],[№]],ППД5[№],ППД5[Тип кв],"-",0)</f>
        <v>0</v>
      </c>
      <c r="F407" s="72">
        <f>_xlfn.XLOOKUP(наценкад5[[#This Row],[№]],ППД5[№],ППД5[Кухня],"-",0)</f>
        <v>5.84</v>
      </c>
      <c r="G407" s="72">
        <f>_xlfn.XLOOKUP(наценкад5[[#This Row],[№]],ППД5[№],ППД5[Ванная],"-",0)</f>
        <v>3.76</v>
      </c>
      <c r="H407" s="72">
        <f>_xlfn.XLOOKUP(наценкад5[[#This Row],[№]],ППД5[№],ППД5[Гардеробная],"-",0)</f>
        <v>0</v>
      </c>
      <c r="I407" s="72">
        <f>_xlfn.XLOOKUP(наценкад5[[#This Row],[№]],ППД5[№],ППД5[Лоджия 2],"-",0)</f>
        <v>0</v>
      </c>
      <c r="J407" s="72">
        <f>_xlfn.XLOOKUP(наценкад5[[#This Row],[№]],ППД5[№],ППД5[С\У],"-",0)</f>
        <v>0</v>
      </c>
      <c r="K407" s="72">
        <f>_xlfn.XLOOKUP(наценкад5[[#This Row],[№]],ППД5[№],ППД5[Расчетная проектная площадь],"-",0)</f>
        <v>29.4</v>
      </c>
      <c r="L407" s="12">
        <f t="shared" si="6"/>
        <v>63000</v>
      </c>
      <c r="M407" s="116">
        <f>коэффициенты!$H$2</f>
        <v>1.3905000000000001</v>
      </c>
      <c r="N407" s="13">
        <f>наценкад5[[#This Row],[Цена м2 базовая]]*наценкад5[[#This Row],[Базовой K]]</f>
        <v>87601.5</v>
      </c>
      <c r="O407" s="74"/>
      <c r="P407" s="74"/>
      <c r="Q407" s="74"/>
      <c r="R407" s="74"/>
      <c r="S407" s="74"/>
      <c r="T407" s="74"/>
      <c r="U407" s="74"/>
      <c r="V407" s="74"/>
      <c r="W407" s="74"/>
      <c r="X407" s="74"/>
      <c r="Y407" s="78">
        <f>коэффициенты!$H$15</f>
        <v>0.01</v>
      </c>
      <c r="Z407" s="74"/>
      <c r="AA407" s="74"/>
      <c r="AB407" s="74"/>
      <c r="AC407" s="74"/>
      <c r="AD407" s="74">
        <f>коэффициенты!$H$19</f>
        <v>0.01</v>
      </c>
      <c r="AE407" s="74"/>
      <c r="AF407" s="74">
        <f>коэффициенты!$H$21</f>
        <v>0.01</v>
      </c>
      <c r="AG407" s="74"/>
      <c r="AH407" s="74"/>
      <c r="AI407" s="73">
        <f>SUM(наценкад5[[#This Row],[еврокухня]:[большая площадь]])*наценкад5[[#This Row],[Цена м2 с базовым K]]+наценкад5[[#This Row],[Цена м2 с базовым K]]</f>
        <v>90229.544999999998</v>
      </c>
      <c r="AJ407" s="72">
        <f>VLOOKUP(наценкад5[[#This Row],[№]],ППД5[],COLUMN(ППД5[[#This Row],[утв цена м2]]),0)</f>
        <v>117346.75</v>
      </c>
      <c r="AK407" s="3">
        <f>наценкад5[[#This Row],[утв цена м2]]*наценкад5[[#This Row],[Расчетная проектная площадь]]</f>
        <v>3449994.4499999997</v>
      </c>
      <c r="AL407" s="22" t="str">
        <f>VLOOKUP(наценкад5[[#This Row],[№]],ППД5[],COLUMN('Реестр ОН'!$DF$1),0)</f>
        <v>Продажа</v>
      </c>
    </row>
    <row r="408" spans="1:38" hidden="1" x14ac:dyDescent="0.25">
      <c r="A408" s="101">
        <v>406</v>
      </c>
      <c r="B408" s="2" t="str">
        <f>_xlfn.XLOOKUP(наценкад5[[#This Row],[№]],ППД5[№],ППД5[Секция],"-",0)</f>
        <v>Г</v>
      </c>
      <c r="C408" s="2">
        <f>_xlfn.XLOOKUP(наценкад5[[#This Row],[№]],ППД5[№],ППД5[Этаж],"-",0)</f>
        <v>3</v>
      </c>
      <c r="D408" s="2">
        <f>_xlfn.XLOOKUP(наценкад5[[#This Row],[№]],ППД5[№],ППД5[№ на этаже],"-",0)</f>
        <v>2</v>
      </c>
      <c r="E408" s="2">
        <f>_xlfn.XLOOKUP(наценкад5[[#This Row],[№]],ППД5[№],ППД5[Тип кв],"-",0)</f>
        <v>1</v>
      </c>
      <c r="F408" s="72">
        <f>_xlfn.XLOOKUP(наценкад5[[#This Row],[№]],ППД5[№],ППД5[Кухня],"-",0)</f>
        <v>16.940000000000001</v>
      </c>
      <c r="G408" s="72">
        <f>_xlfn.XLOOKUP(наценкад5[[#This Row],[№]],ППД5[№],ППД5[Ванная],"-",0)</f>
        <v>3.55</v>
      </c>
      <c r="H408" s="72">
        <f>_xlfn.XLOOKUP(наценкад5[[#This Row],[№]],ППД5[№],ППД5[Гардеробная],"-",0)</f>
        <v>0</v>
      </c>
      <c r="I408" s="72">
        <f>_xlfn.XLOOKUP(наценкад5[[#This Row],[№]],ППД5[№],ППД5[Лоджия 2],"-",0)</f>
        <v>0</v>
      </c>
      <c r="J408" s="72">
        <f>_xlfn.XLOOKUP(наценкад5[[#This Row],[№]],ППД5[№],ППД5[С\У],"-",0)</f>
        <v>2.41</v>
      </c>
      <c r="K408" s="72">
        <f>_xlfn.XLOOKUP(наценкад5[[#This Row],[№]],ППД5[№],ППД5[Расчетная проектная площадь],"-",0)</f>
        <v>43.21</v>
      </c>
      <c r="L408" s="12">
        <f t="shared" si="6"/>
        <v>63000</v>
      </c>
      <c r="M408" s="102">
        <f>коэффициенты!$G$2</f>
        <v>1.2875000000000001</v>
      </c>
      <c r="N408" s="13">
        <f>наценкад5[[#This Row],[Цена м2 базовая]]*наценкад5[[#This Row],[Базовой K]]</f>
        <v>81112.5</v>
      </c>
      <c r="O408" s="76">
        <f>коэффициенты!$G$4</f>
        <v>0.02</v>
      </c>
      <c r="P408" s="74"/>
      <c r="Q408" s="74"/>
      <c r="R408" s="74">
        <f>коэффициенты!$G$10</f>
        <v>0.01</v>
      </c>
      <c r="S408" s="74">
        <f>коэффициенты!$G$9</f>
        <v>0</v>
      </c>
      <c r="T408" s="74"/>
      <c r="U408" s="74"/>
      <c r="V408" s="74"/>
      <c r="W408" s="75"/>
      <c r="X408" s="74"/>
      <c r="Y408" s="78">
        <f>коэффициенты!$G$15</f>
        <v>0.01</v>
      </c>
      <c r="Z408" s="74"/>
      <c r="AA408" s="74"/>
      <c r="AB408" s="74"/>
      <c r="AC408" s="74"/>
      <c r="AD408" s="74">
        <f>коэффициенты!$G$19</f>
        <v>0.01</v>
      </c>
      <c r="AE408" s="74"/>
      <c r="AF408" s="74">
        <f>коэффициенты!$G$21</f>
        <v>0.01</v>
      </c>
      <c r="AG408" s="74"/>
      <c r="AH408" s="74"/>
      <c r="AI408" s="73">
        <f>SUM(наценкад5[[#This Row],[еврокухня]:[большая площадь]])*наценкад5[[#This Row],[Цена м2 с базовым K]]+наценкад5[[#This Row],[Цена м2 с базовым K]]</f>
        <v>85979.25</v>
      </c>
      <c r="AJ408" s="72">
        <f>VLOOKUP(наценкад5[[#This Row],[№]],ППД5[],COLUMN(ППД5[[#This Row],[утв цена м2]]),0)</f>
        <v>85979.25</v>
      </c>
      <c r="AK408" s="3">
        <f>наценкад5[[#This Row],[утв цена м2]]*наценкад5[[#This Row],[Расчетная проектная площадь]]</f>
        <v>3715163.3925000001</v>
      </c>
      <c r="AL408" s="22" t="str">
        <f>VLOOKUP(наценкад5[[#This Row],[№]],ППД5[],COLUMN('Реестр ОН'!$DF$1),0)</f>
        <v>Продажа</v>
      </c>
    </row>
    <row r="409" spans="1:38" hidden="1" x14ac:dyDescent="0.25">
      <c r="A409" s="101">
        <v>407</v>
      </c>
      <c r="B409" s="2" t="str">
        <f>_xlfn.XLOOKUP(наценкад5[[#This Row],[№]],ППД5[№],ППД5[Секция],"-",0)</f>
        <v>Г</v>
      </c>
      <c r="C409" s="2">
        <f>_xlfn.XLOOKUP(наценкад5[[#This Row],[№]],ППД5[№],ППД5[Этаж],"-",0)</f>
        <v>3</v>
      </c>
      <c r="D409" s="2">
        <f>_xlfn.XLOOKUP(наценкад5[[#This Row],[№]],ППД5[№],ППД5[№ на этаже],"-",0)</f>
        <v>3</v>
      </c>
      <c r="E409" s="2">
        <f>_xlfn.XLOOKUP(наценкад5[[#This Row],[№]],ППД5[№],ППД5[Тип кв],"-",0)</f>
        <v>0</v>
      </c>
      <c r="F409" s="72">
        <f>_xlfn.XLOOKUP(наценкад5[[#This Row],[№]],ППД5[№],ППД5[Кухня],"-",0)</f>
        <v>5.17</v>
      </c>
      <c r="G409" s="72">
        <f>_xlfn.XLOOKUP(наценкад5[[#This Row],[№]],ППД5[№],ППД5[Ванная],"-",0)</f>
        <v>3.71</v>
      </c>
      <c r="H409" s="72">
        <f>_xlfn.XLOOKUP(наценкад5[[#This Row],[№]],ППД5[№],ППД5[Гардеробная],"-",0)</f>
        <v>0</v>
      </c>
      <c r="I409" s="72">
        <f>_xlfn.XLOOKUP(наценкад5[[#This Row],[№]],ППД5[№],ППД5[Лоджия 2],"-",0)</f>
        <v>0</v>
      </c>
      <c r="J409" s="72">
        <f>_xlfn.XLOOKUP(наценкад5[[#This Row],[№]],ППД5[№],ППД5[С\У],"-",0)</f>
        <v>0</v>
      </c>
      <c r="K409" s="72">
        <f>_xlfn.XLOOKUP(наценкад5[[#This Row],[№]],ППД5[№],ППД5[Расчетная проектная площадь],"-",0)</f>
        <v>24.5</v>
      </c>
      <c r="L409" s="12">
        <f t="shared" si="6"/>
        <v>63000</v>
      </c>
      <c r="M409" s="116">
        <f>коэффициенты!$H$2</f>
        <v>1.3905000000000001</v>
      </c>
      <c r="N409" s="13">
        <f>наценкад5[[#This Row],[Цена м2 базовая]]*наценкад5[[#This Row],[Базовой K]]</f>
        <v>87601.5</v>
      </c>
      <c r="O409" s="74"/>
      <c r="P409" s="74"/>
      <c r="Q409" s="74"/>
      <c r="R409" s="74"/>
      <c r="S409" s="74"/>
      <c r="T409" s="74"/>
      <c r="U409" s="74"/>
      <c r="V409" s="74">
        <f>коэффициенты!$H$11</f>
        <v>0.01</v>
      </c>
      <c r="W409" s="75"/>
      <c r="X409" s="74">
        <f>коэффициенты!$H$13</f>
        <v>0.01</v>
      </c>
      <c r="Y409" s="78">
        <f>коэффициенты!$H$15</f>
        <v>0.01</v>
      </c>
      <c r="Z409" s="74"/>
      <c r="AA409" s="74"/>
      <c r="AB409" s="74"/>
      <c r="AC409" s="74"/>
      <c r="AD409" s="74">
        <f>коэффициенты!$H$19</f>
        <v>0.01</v>
      </c>
      <c r="AE409" s="74"/>
      <c r="AF409" s="74">
        <f>коэффициенты!$H$21</f>
        <v>0.01</v>
      </c>
      <c r="AG409" s="74"/>
      <c r="AH409" s="74"/>
      <c r="AI409" s="73">
        <f>SUM(наценкад5[[#This Row],[еврокухня]:[большая площадь]])*наценкад5[[#This Row],[Цена м2 с базовым K]]+наценкад5[[#This Row],[Цена м2 с базовым K]]</f>
        <v>91981.574999999997</v>
      </c>
      <c r="AJ409" s="72">
        <f>VLOOKUP(наценкад5[[#This Row],[№]],ППД5[],COLUMN(ППД5[[#This Row],[утв цена м2]]),0)</f>
        <v>91981.58</v>
      </c>
      <c r="AK409" s="3">
        <f>наценкад5[[#This Row],[утв цена м2]]*наценкад5[[#This Row],[Расчетная проектная площадь]]</f>
        <v>2253548.71</v>
      </c>
      <c r="AL409" s="22" t="str">
        <f>VLOOKUP(наценкад5[[#This Row],[№]],ППД5[],COLUMN('Реестр ОН'!$DF$1),0)</f>
        <v>Продажа</v>
      </c>
    </row>
    <row r="410" spans="1:38" hidden="1" x14ac:dyDescent="0.25">
      <c r="A410" s="101">
        <v>408</v>
      </c>
      <c r="B410" s="2" t="str">
        <f>_xlfn.XLOOKUP(наценкад5[[#This Row],[№]],ППД5[№],ППД5[Секция],"-",0)</f>
        <v>Г</v>
      </c>
      <c r="C410" s="2">
        <f>_xlfn.XLOOKUP(наценкад5[[#This Row],[№]],ППД5[№],ППД5[Этаж],"-",0)</f>
        <v>3</v>
      </c>
      <c r="D410" s="2">
        <f>_xlfn.XLOOKUP(наценкад5[[#This Row],[№]],ППД5[№],ППД5[№ на этаже],"-",0)</f>
        <v>4</v>
      </c>
      <c r="E410" s="2">
        <f>_xlfn.XLOOKUP(наценкад5[[#This Row],[№]],ППД5[№],ППД5[Тип кв],"-",0)</f>
        <v>2</v>
      </c>
      <c r="F410" s="72">
        <f>_xlfn.XLOOKUP(наценкад5[[#This Row],[№]],ППД5[№],ППД5[Кухня],"-",0)</f>
        <v>15.86</v>
      </c>
      <c r="G410" s="72">
        <f>_xlfn.XLOOKUP(наценкад5[[#This Row],[№]],ППД5[№],ППД5[Ванная],"-",0)</f>
        <v>3.01</v>
      </c>
      <c r="H410" s="72">
        <f>_xlfn.XLOOKUP(наценкад5[[#This Row],[№]],ППД5[№],ППД5[Гардеробная],"-",0)</f>
        <v>0</v>
      </c>
      <c r="I410" s="72">
        <f>_xlfn.XLOOKUP(наценкад5[[#This Row],[№]],ППД5[№],ППД5[Лоджия 2],"-",0)</f>
        <v>0</v>
      </c>
      <c r="J410" s="72">
        <f>_xlfn.XLOOKUP(наценкад5[[#This Row],[№]],ППД5[№],ППД5[С\У],"-",0)</f>
        <v>2.67</v>
      </c>
      <c r="K410" s="72">
        <f>_xlfn.XLOOKUP(наценкад5[[#This Row],[№]],ППД5[№],ППД5[Расчетная проектная площадь],"-",0)</f>
        <v>58.24</v>
      </c>
      <c r="L410" s="12">
        <f t="shared" si="6"/>
        <v>63000</v>
      </c>
      <c r="M410" s="102">
        <f>коэффициенты!$F$2</f>
        <v>1.2257</v>
      </c>
      <c r="N410" s="13">
        <f>наценкад5[[#This Row],[Цена м2 базовая]]*наценкад5[[#This Row],[Базовой K]]</f>
        <v>77219.100000000006</v>
      </c>
      <c r="O410" s="76">
        <f>коэффициенты!$F$4</f>
        <v>1.4999999999999999E-2</v>
      </c>
      <c r="P410" s="74"/>
      <c r="Q410" s="76"/>
      <c r="R410" s="76">
        <f>коэффициенты!$F$10</f>
        <v>0</v>
      </c>
      <c r="S410" s="76">
        <f>коэффициенты!$F$9</f>
        <v>0</v>
      </c>
      <c r="T410" s="74"/>
      <c r="U410" s="74"/>
      <c r="V410" s="74"/>
      <c r="W410" s="74"/>
      <c r="X410" s="74"/>
      <c r="Y410" s="78">
        <f>коэффициенты!$F$15</f>
        <v>0.01</v>
      </c>
      <c r="Z410" s="74"/>
      <c r="AA410" s="74"/>
      <c r="AB410" s="74"/>
      <c r="AC410" s="74"/>
      <c r="AD410" s="74">
        <f>коэффициенты!$F$19</f>
        <v>5.0000000000000001E-3</v>
      </c>
      <c r="AE410" s="74"/>
      <c r="AF410" s="74">
        <f>коэффициенты!$F$21</f>
        <v>0.01</v>
      </c>
      <c r="AG410" s="74"/>
      <c r="AH410" s="74"/>
      <c r="AI410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410" s="72">
        <f>VLOOKUP(наценкад5[[#This Row],[№]],ППД5[],COLUMN(ППД5[[#This Row],[утв цена м2]]),0)</f>
        <v>95828.7</v>
      </c>
      <c r="AK410" s="3">
        <f>наценкад5[[#This Row],[утв цена м2]]*наценкад5[[#This Row],[Расчетная проектная площадь]]</f>
        <v>5581063.4879999999</v>
      </c>
      <c r="AL410" s="22" t="str">
        <f>VLOOKUP(наценкад5[[#This Row],[№]],ППД5[],COLUMN('Реестр ОН'!$DF$1),0)</f>
        <v>Продажа</v>
      </c>
    </row>
    <row r="411" spans="1:38" hidden="1" x14ac:dyDescent="0.25">
      <c r="A411" s="101">
        <v>409</v>
      </c>
      <c r="B411" s="2" t="str">
        <f>_xlfn.XLOOKUP(наценкад5[[#This Row],[№]],ППД5[№],ППД5[Секция],"-",0)</f>
        <v>Г</v>
      </c>
      <c r="C411" s="2">
        <f>_xlfn.XLOOKUP(наценкад5[[#This Row],[№]],ППД5[№],ППД5[Этаж],"-",0)</f>
        <v>3</v>
      </c>
      <c r="D411" s="2">
        <f>_xlfn.XLOOKUP(наценкад5[[#This Row],[№]],ППД5[№],ППД5[№ на этаже],"-",0)</f>
        <v>5</v>
      </c>
      <c r="E411" s="2">
        <f>_xlfn.XLOOKUP(наценкад5[[#This Row],[№]],ППД5[№],ППД5[Тип кв],"-",0)</f>
        <v>2</v>
      </c>
      <c r="F411" s="72">
        <f>_xlfn.XLOOKUP(наценкад5[[#This Row],[№]],ППД5[№],ППД5[Кухня],"-",0)</f>
        <v>13.45</v>
      </c>
      <c r="G411" s="72">
        <f>_xlfn.XLOOKUP(наценкад5[[#This Row],[№]],ППД5[№],ППД5[Ванная],"-",0)</f>
        <v>3.7</v>
      </c>
      <c r="H411" s="72">
        <f>_xlfn.XLOOKUP(наценкад5[[#This Row],[№]],ППД5[№],ППД5[Гардеробная],"-",0)</f>
        <v>0</v>
      </c>
      <c r="I411" s="72">
        <f>_xlfn.XLOOKUP(наценкад5[[#This Row],[№]],ППД5[№],ППД5[Лоджия 2],"-",0)</f>
        <v>0</v>
      </c>
      <c r="J411" s="72">
        <f>_xlfn.XLOOKUP(наценкад5[[#This Row],[№]],ППД5[№],ППД5[С\У],"-",0)</f>
        <v>2.72</v>
      </c>
      <c r="K411" s="72">
        <f>_xlfn.XLOOKUP(наценкад5[[#This Row],[№]],ППД5[№],ППД5[Расчетная проектная площадь],"-",0)</f>
        <v>57.8</v>
      </c>
      <c r="L411" s="12">
        <f t="shared" si="6"/>
        <v>63000</v>
      </c>
      <c r="M411" s="102">
        <f>коэффициенты!$F$2</f>
        <v>1.2257</v>
      </c>
      <c r="N411" s="13">
        <f>наценкад5[[#This Row],[Цена м2 базовая]]*наценкад5[[#This Row],[Базовой K]]</f>
        <v>77219.100000000006</v>
      </c>
      <c r="O411" s="74"/>
      <c r="P411" s="74">
        <f>коэффициенты!$F$5</f>
        <v>0.01</v>
      </c>
      <c r="Q411" s="76"/>
      <c r="R411" s="76"/>
      <c r="S411" s="76">
        <f>коэффициенты!$F$9</f>
        <v>0</v>
      </c>
      <c r="T411" s="74"/>
      <c r="U411" s="74"/>
      <c r="V411" s="74"/>
      <c r="W411" s="74"/>
      <c r="X411" s="74"/>
      <c r="Y411" s="78">
        <f>коэффициенты!$F$15</f>
        <v>0.01</v>
      </c>
      <c r="Z411" s="74"/>
      <c r="AA411" s="74"/>
      <c r="AB411" s="74"/>
      <c r="AC411" s="74"/>
      <c r="AD411" s="74">
        <f>коэффициенты!$F$19</f>
        <v>5.0000000000000001E-3</v>
      </c>
      <c r="AE411" s="74"/>
      <c r="AF411" s="74">
        <f>коэффициенты!$F$21</f>
        <v>0.01</v>
      </c>
      <c r="AG411" s="74"/>
      <c r="AH411" s="74"/>
      <c r="AI411" s="73">
        <f>SUM(наценкад5[[#This Row],[еврокухня]:[большая площадь]])*наценкад5[[#This Row],[Цена м2 с базовым K]]+наценкад5[[#This Row],[Цена м2 с базовым K]]</f>
        <v>79921.768500000006</v>
      </c>
      <c r="AJ411" s="72">
        <f>VLOOKUP(наценкад5[[#This Row],[№]],ППД5[],COLUMN(ППД5[[#This Row],[утв цена м2]]),0)</f>
        <v>97766.49</v>
      </c>
      <c r="AK411" s="3">
        <f>наценкад5[[#This Row],[утв цена м2]]*наценкад5[[#This Row],[Расчетная проектная площадь]]</f>
        <v>5650903.1220000004</v>
      </c>
      <c r="AL411" s="22" t="str">
        <f>VLOOKUP(наценкад5[[#This Row],[№]],ППД5[],COLUMN('Реестр ОН'!$DF$1),0)</f>
        <v>Продажа</v>
      </c>
    </row>
    <row r="412" spans="1:38" hidden="1" x14ac:dyDescent="0.25">
      <c r="A412" s="101">
        <v>410</v>
      </c>
      <c r="B412" s="2" t="str">
        <f>_xlfn.XLOOKUP(наценкад5[[#This Row],[№]],ППД5[№],ППД5[Секция],"-",0)</f>
        <v>Г</v>
      </c>
      <c r="C412" s="2">
        <f>_xlfn.XLOOKUP(наценкад5[[#This Row],[№]],ППД5[№],ППД5[Этаж],"-",0)</f>
        <v>3</v>
      </c>
      <c r="D412" s="2">
        <f>_xlfn.XLOOKUP(наценкад5[[#This Row],[№]],ППД5[№],ППД5[№ на этаже],"-",0)</f>
        <v>6</v>
      </c>
      <c r="E412" s="2">
        <f>_xlfn.XLOOKUP(наценкад5[[#This Row],[№]],ППД5[№],ППД5[Тип кв],"-",0)</f>
        <v>1</v>
      </c>
      <c r="F412" s="72">
        <f>_xlfn.XLOOKUP(наценкад5[[#This Row],[№]],ППД5[№],ППД5[Кухня],"-",0)</f>
        <v>12.55</v>
      </c>
      <c r="G412" s="72">
        <f>_xlfn.XLOOKUP(наценкад5[[#This Row],[№]],ППД5[№],ППД5[Ванная],"-",0)</f>
        <v>4.28</v>
      </c>
      <c r="H412" s="72">
        <f>_xlfn.XLOOKUP(наценкад5[[#This Row],[№]],ППД5[№],ППД5[Гардеробная],"-",0)</f>
        <v>0</v>
      </c>
      <c r="I412" s="72">
        <f>_xlfn.XLOOKUP(наценкад5[[#This Row],[№]],ППД5[№],ППД5[Лоджия 2],"-",0)</f>
        <v>0</v>
      </c>
      <c r="J412" s="72">
        <f>_xlfn.XLOOKUP(наценкад5[[#This Row],[№]],ППД5[№],ППД5[С\У],"-",0)</f>
        <v>0</v>
      </c>
      <c r="K412" s="72">
        <f>_xlfn.XLOOKUP(наценкад5[[#This Row],[№]],ППД5[№],ППД5[Расчетная проектная площадь],"-",0)</f>
        <v>38.299999999999997</v>
      </c>
      <c r="L412" s="12">
        <f t="shared" si="6"/>
        <v>63000</v>
      </c>
      <c r="M412" s="102">
        <f>коэффициенты!$G$2</f>
        <v>1.2875000000000001</v>
      </c>
      <c r="N412" s="13">
        <f>наценкад5[[#This Row],[Цена м2 базовая]]*наценкад5[[#This Row],[Базовой K]]</f>
        <v>81112.5</v>
      </c>
      <c r="O412" s="74"/>
      <c r="P412" s="76">
        <f>коэффициенты!$G$5</f>
        <v>0.01</v>
      </c>
      <c r="Q412" s="74">
        <f>коэффициенты!$G$6</f>
        <v>0.03</v>
      </c>
      <c r="R412" s="74"/>
      <c r="S412" s="74"/>
      <c r="T412" s="74"/>
      <c r="U412" s="74"/>
      <c r="V412" s="74">
        <f>коэффициенты!$G$11</f>
        <v>0.01</v>
      </c>
      <c r="W412" s="74"/>
      <c r="X412" s="74">
        <f>коэффициенты!$G$13</f>
        <v>0.01</v>
      </c>
      <c r="Y412" s="78">
        <f>коэффициенты!$G$15</f>
        <v>0.01</v>
      </c>
      <c r="Z412" s="74"/>
      <c r="AA412" s="74"/>
      <c r="AB412" s="74"/>
      <c r="AC412" s="74"/>
      <c r="AD412" s="74">
        <f>коэффициенты!$G$19</f>
        <v>0.01</v>
      </c>
      <c r="AE412" s="74"/>
      <c r="AF412" s="74">
        <f>коэффициенты!$G$21</f>
        <v>0.01</v>
      </c>
      <c r="AG412" s="74"/>
      <c r="AH412" s="74"/>
      <c r="AI412" s="73">
        <f>SUM(наценкад5[[#This Row],[еврокухня]:[большая площадь]])*наценкад5[[#This Row],[Цена м2 с базовым K]]+наценкад5[[#This Row],[Цена м2 с базовым K]]</f>
        <v>88412.625</v>
      </c>
      <c r="AJ412" s="72">
        <f>VLOOKUP(наценкад5[[#This Row],[№]],ППД5[],COLUMN(ППД5[[#This Row],[утв цена м2]]),0)</f>
        <v>101403.16</v>
      </c>
      <c r="AK412" s="3">
        <f>наценкад5[[#This Row],[утв цена м2]]*наценкад5[[#This Row],[Расчетная проектная площадь]]</f>
        <v>3883741.0279999999</v>
      </c>
      <c r="AL412" s="22" t="str">
        <f>VLOOKUP(наценкад5[[#This Row],[№]],ППД5[],COLUMN('Реестр ОН'!$DF$1),0)</f>
        <v>Продажа</v>
      </c>
    </row>
    <row r="413" spans="1:38" hidden="1" x14ac:dyDescent="0.25">
      <c r="A413" s="101">
        <v>411</v>
      </c>
      <c r="B413" s="2" t="str">
        <f>_xlfn.XLOOKUP(наценкад5[[#This Row],[№]],ППД5[№],ППД5[Секция],"-",0)</f>
        <v>Г</v>
      </c>
      <c r="C413" s="2">
        <f>_xlfn.XLOOKUP(наценкад5[[#This Row],[№]],ППД5[№],ППД5[Этаж],"-",0)</f>
        <v>3</v>
      </c>
      <c r="D413" s="2">
        <f>_xlfn.XLOOKUP(наценкад5[[#This Row],[№]],ППД5[№],ППД5[№ на этаже],"-",0)</f>
        <v>7</v>
      </c>
      <c r="E413" s="2">
        <f>_xlfn.XLOOKUP(наценкад5[[#This Row],[№]],ППД5[№],ППД5[Тип кв],"-",0)</f>
        <v>3</v>
      </c>
      <c r="F413" s="72">
        <f>_xlfn.XLOOKUP(наценкад5[[#This Row],[№]],ППД5[№],ППД5[Кухня],"-",0)</f>
        <v>16.670000000000002</v>
      </c>
      <c r="G413" s="72">
        <f>_xlfn.XLOOKUP(наценкад5[[#This Row],[№]],ППД5[№],ППД5[Ванная],"-",0)</f>
        <v>4.1399999999999997</v>
      </c>
      <c r="H413" s="72">
        <f>_xlfn.XLOOKUP(наценкад5[[#This Row],[№]],ППД5[№],ППД5[Гардеробная],"-",0)</f>
        <v>0</v>
      </c>
      <c r="I413" s="72">
        <f>_xlfn.XLOOKUP(наценкад5[[#This Row],[№]],ППД5[№],ППД5[Лоджия 2],"-",0)</f>
        <v>2.79</v>
      </c>
      <c r="J413" s="72">
        <f>_xlfn.XLOOKUP(наценкад5[[#This Row],[№]],ППД5[№],ППД5[С\У],"-",0)</f>
        <v>1.89</v>
      </c>
      <c r="K413" s="72">
        <f>_xlfn.XLOOKUP(наценкад5[[#This Row],[№]],ППД5[№],ППД5[Расчетная проектная площадь],"-",0)</f>
        <v>79.44</v>
      </c>
      <c r="L413" s="12">
        <f t="shared" si="6"/>
        <v>63000</v>
      </c>
      <c r="M413" s="27">
        <f>коэффициенты!$E$2</f>
        <v>1.1330000000000002</v>
      </c>
      <c r="N413" s="13">
        <f>наценкад5[[#This Row],[Цена м2 базовая]]*наценкад5[[#This Row],[Базовой K]]</f>
        <v>71379.000000000015</v>
      </c>
      <c r="O413" s="74">
        <f>коэффициенты!$E$4</f>
        <v>0.03</v>
      </c>
      <c r="P413" s="74"/>
      <c r="Q413" s="74">
        <f>коэффициенты!$E$6</f>
        <v>0.01</v>
      </c>
      <c r="R413" s="74"/>
      <c r="S413" s="74">
        <f>коэффициенты!$E$9</f>
        <v>0</v>
      </c>
      <c r="T413" s="74">
        <f>коэффициенты!$E$7</f>
        <v>0</v>
      </c>
      <c r="U413" s="74">
        <f>коэффициенты!$E$8</f>
        <v>0.01</v>
      </c>
      <c r="V413" s="74"/>
      <c r="W413" s="75"/>
      <c r="X413" s="74"/>
      <c r="Y413" s="78">
        <f>коэффициенты!$A$15</f>
        <v>0.01</v>
      </c>
      <c r="Z413" s="74"/>
      <c r="AA413" s="74">
        <f>коэффициенты!$E$14</f>
        <v>0</v>
      </c>
      <c r="AB413" s="74"/>
      <c r="AC413" s="74">
        <f>коэффициенты!$E$18</f>
        <v>0.01</v>
      </c>
      <c r="AD413" s="74"/>
      <c r="AE413" s="74"/>
      <c r="AF413" s="74">
        <f>коэффициенты!$E$21</f>
        <v>0.01</v>
      </c>
      <c r="AG413" s="74"/>
      <c r="AH413" s="74"/>
      <c r="AI413" s="73">
        <f>SUM(наценкад5[[#This Row],[еврокухня]:[большая площадь]])*наценкад5[[#This Row],[Цена м2 с базовым K]]+наценкад5[[#This Row],[Цена м2 с базовым K]]</f>
        <v>77089.320000000022</v>
      </c>
      <c r="AJ413" s="72">
        <f>VLOOKUP(наценкад5[[#This Row],[№]],ППД5[],COLUMN(ППД5[[#This Row],[утв цена м2]]),0)</f>
        <v>123622.39</v>
      </c>
      <c r="AK413" s="3">
        <f>наценкад5[[#This Row],[утв цена м2]]*наценкад5[[#This Row],[Расчетная проектная площадь]]</f>
        <v>9820562.6615999993</v>
      </c>
      <c r="AL413" s="22" t="str">
        <f>VLOOKUP(наценкад5[[#This Row],[№]],ППД5[],COLUMN('Реестр ОН'!$DF$1),0)</f>
        <v>Свободно</v>
      </c>
    </row>
    <row r="414" spans="1:38" hidden="1" x14ac:dyDescent="0.25">
      <c r="A414" s="101">
        <v>412</v>
      </c>
      <c r="B414" s="2" t="str">
        <f>_xlfn.XLOOKUP(наценкад5[[#This Row],[№]],ППД5[№],ППД5[Секция],"-",0)</f>
        <v>Г</v>
      </c>
      <c r="C414" s="2">
        <f>_xlfn.XLOOKUP(наценкад5[[#This Row],[№]],ППД5[№],ППД5[Этаж],"-",0)</f>
        <v>3</v>
      </c>
      <c r="D414" s="2">
        <f>_xlfn.XLOOKUP(наценкад5[[#This Row],[№]],ППД5[№],ППД5[№ на этаже],"-",0)</f>
        <v>8</v>
      </c>
      <c r="E414" s="2">
        <f>_xlfn.XLOOKUP(наценкад5[[#This Row],[№]],ППД5[№],ППД5[Тип кв],"-",0)</f>
        <v>1</v>
      </c>
      <c r="F414" s="72">
        <f>_xlfn.XLOOKUP(наценкад5[[#This Row],[№]],ППД5[№],ППД5[Кухня],"-",0)</f>
        <v>11.43</v>
      </c>
      <c r="G414" s="72">
        <f>_xlfn.XLOOKUP(наценкад5[[#This Row],[№]],ППД5[№],ППД5[Ванная],"-",0)</f>
        <v>3.56</v>
      </c>
      <c r="H414" s="72">
        <f>_xlfn.XLOOKUP(наценкад5[[#This Row],[№]],ППД5[№],ППД5[Гардеробная],"-",0)</f>
        <v>0</v>
      </c>
      <c r="I414" s="72">
        <f>_xlfn.XLOOKUP(наценкад5[[#This Row],[№]],ППД5[№],ППД5[Лоджия 2],"-",0)</f>
        <v>0</v>
      </c>
      <c r="J414" s="72">
        <f>_xlfn.XLOOKUP(наценкад5[[#This Row],[№]],ППД5[№],ППД5[С\У],"-",0)</f>
        <v>0</v>
      </c>
      <c r="K414" s="72">
        <f>_xlfn.XLOOKUP(наценкад5[[#This Row],[№]],ППД5[№],ППД5[Расчетная проектная площадь],"-",0)</f>
        <v>39.69</v>
      </c>
      <c r="L414" s="12">
        <f t="shared" si="6"/>
        <v>63000</v>
      </c>
      <c r="M414" s="102">
        <f>коэффициенты!$G$2</f>
        <v>1.2875000000000001</v>
      </c>
      <c r="N414" s="13">
        <f>наценкад5[[#This Row],[Цена м2 базовая]]*наценкад5[[#This Row],[Базовой K]]</f>
        <v>81112.5</v>
      </c>
      <c r="O414" s="74"/>
      <c r="P414" s="76">
        <f>коэффициенты!$G$5</f>
        <v>0.01</v>
      </c>
      <c r="Q414" s="74"/>
      <c r="R414" s="74"/>
      <c r="S414" s="74"/>
      <c r="T414" s="74"/>
      <c r="U414" s="74"/>
      <c r="V414" s="74">
        <f>коэффициенты!$G$11</f>
        <v>0.01</v>
      </c>
      <c r="W414" s="74"/>
      <c r="X414" s="74"/>
      <c r="Y414" s="78">
        <f>коэффициенты!$G$15</f>
        <v>0.01</v>
      </c>
      <c r="Z414" s="74"/>
      <c r="AA414" s="74">
        <f>коэффициенты!$G$14</f>
        <v>0.01</v>
      </c>
      <c r="AB414" s="74"/>
      <c r="AC414" s="74"/>
      <c r="AD414" s="74">
        <f>коэффициенты!$G$19</f>
        <v>0.01</v>
      </c>
      <c r="AE414" s="74"/>
      <c r="AF414" s="74">
        <f>коэффициенты!$G$21</f>
        <v>0.01</v>
      </c>
      <c r="AG414" s="74">
        <f>коэффициенты!$A$24</f>
        <v>-5.0000000000000001E-3</v>
      </c>
      <c r="AH414" s="74"/>
      <c r="AI414" s="73">
        <f>SUM(наценкад5[[#This Row],[еврокухня]:[большая площадь]])*наценкад5[[#This Row],[Цена м2 с базовым K]]+наценкад5[[#This Row],[Цена м2 с базовым K]]</f>
        <v>85573.6875</v>
      </c>
      <c r="AJ414" s="72">
        <f>VLOOKUP(наценкад5[[#This Row],[№]],ППД5[],COLUMN(ППД5[[#This Row],[утв цена м2]]),0)</f>
        <v>92547.94</v>
      </c>
      <c r="AK414" s="3">
        <f>наценкад5[[#This Row],[утв цена м2]]*наценкад5[[#This Row],[Расчетная проектная площадь]]</f>
        <v>3673227.7385999998</v>
      </c>
      <c r="AL414" s="22" t="str">
        <f>VLOOKUP(наценкад5[[#This Row],[№]],ППД5[],COLUMN('Реестр ОН'!$DF$1),0)</f>
        <v>Продажа</v>
      </c>
    </row>
    <row r="415" spans="1:38" hidden="1" x14ac:dyDescent="0.25">
      <c r="A415" s="101">
        <v>413</v>
      </c>
      <c r="B415" s="2" t="str">
        <f>_xlfn.XLOOKUP(наценкад5[[#This Row],[№]],ППД5[№],ППД5[Секция],"-",0)</f>
        <v>Г</v>
      </c>
      <c r="C415" s="2">
        <f>_xlfn.XLOOKUP(наценкад5[[#This Row],[№]],ППД5[№],ППД5[Этаж],"-",0)</f>
        <v>4</v>
      </c>
      <c r="D415" s="2">
        <f>_xlfn.XLOOKUP(наценкад5[[#This Row],[№]],ППД5[№],ППД5[№ на этаже],"-",0)</f>
        <v>1</v>
      </c>
      <c r="E415" s="2">
        <f>_xlfn.XLOOKUP(наценкад5[[#This Row],[№]],ППД5[№],ППД5[Тип кв],"-",0)</f>
        <v>0</v>
      </c>
      <c r="F415" s="72">
        <f>_xlfn.XLOOKUP(наценкад5[[#This Row],[№]],ППД5[№],ППД5[Кухня],"-",0)</f>
        <v>5.84</v>
      </c>
      <c r="G415" s="72">
        <f>_xlfn.XLOOKUP(наценкад5[[#This Row],[№]],ППД5[№],ППД5[Ванная],"-",0)</f>
        <v>3.76</v>
      </c>
      <c r="H415" s="72">
        <f>_xlfn.XLOOKUP(наценкад5[[#This Row],[№]],ППД5[№],ППД5[Гардеробная],"-",0)</f>
        <v>0</v>
      </c>
      <c r="I415" s="72">
        <f>_xlfn.XLOOKUP(наценкад5[[#This Row],[№]],ППД5[№],ППД5[Лоджия 2],"-",0)</f>
        <v>0</v>
      </c>
      <c r="J415" s="72">
        <f>_xlfn.XLOOKUP(наценкад5[[#This Row],[№]],ППД5[№],ППД5[С\У],"-",0)</f>
        <v>0</v>
      </c>
      <c r="K415" s="72">
        <f>_xlfn.XLOOKUP(наценкад5[[#This Row],[№]],ППД5[№],ППД5[Расчетная проектная площадь],"-",0)</f>
        <v>29.4</v>
      </c>
      <c r="L415" s="12">
        <f t="shared" si="6"/>
        <v>63000</v>
      </c>
      <c r="M415" s="116">
        <f>коэффициенты!$H$2</f>
        <v>1.3905000000000001</v>
      </c>
      <c r="N415" s="13">
        <f>наценкад5[[#This Row],[Цена м2 базовая]]*наценкад5[[#This Row],[Базовой K]]</f>
        <v>87601.5</v>
      </c>
      <c r="O415" s="74"/>
      <c r="P415" s="74"/>
      <c r="Q415" s="74"/>
      <c r="R415" s="74"/>
      <c r="S415" s="74"/>
      <c r="T415" s="74"/>
      <c r="U415" s="74"/>
      <c r="V415" s="74"/>
      <c r="W415" s="75"/>
      <c r="X415" s="74"/>
      <c r="Y415" s="78">
        <f>коэффициенты!$H$15</f>
        <v>0.01</v>
      </c>
      <c r="Z415" s="74"/>
      <c r="AA415" s="74"/>
      <c r="AB415" s="74"/>
      <c r="AC415" s="74"/>
      <c r="AD415" s="74">
        <f>коэффициенты!$H$19</f>
        <v>0.01</v>
      </c>
      <c r="AE415" s="74"/>
      <c r="AF415" s="74">
        <f>коэффициенты!$H$21</f>
        <v>0.01</v>
      </c>
      <c r="AG415" s="74"/>
      <c r="AH415" s="74"/>
      <c r="AI415" s="73">
        <f>SUM(наценкад5[[#This Row],[еврокухня]:[большая площадь]])*наценкад5[[#This Row],[Цена м2 с базовым K]]+наценкад5[[#This Row],[Цена м2 с базовым K]]</f>
        <v>90229.544999999998</v>
      </c>
      <c r="AJ415" s="72">
        <f>VLOOKUP(наценкад5[[#This Row],[№]],ППД5[],COLUMN(ППД5[[#This Row],[утв цена м2]]),0)</f>
        <v>90229.55</v>
      </c>
      <c r="AK415" s="3">
        <f>наценкад5[[#This Row],[утв цена м2]]*наценкад5[[#This Row],[Расчетная проектная площадь]]</f>
        <v>2652748.77</v>
      </c>
      <c r="AL415" s="22" t="str">
        <f>VLOOKUP(наценкад5[[#This Row],[№]],ППД5[],COLUMN('Реестр ОН'!$DF$1),0)</f>
        <v>Продажа</v>
      </c>
    </row>
    <row r="416" spans="1:38" hidden="1" x14ac:dyDescent="0.25">
      <c r="A416" s="101">
        <v>414</v>
      </c>
      <c r="B416" s="2" t="str">
        <f>_xlfn.XLOOKUP(наценкад5[[#This Row],[№]],ППД5[№],ППД5[Секция],"-",0)</f>
        <v>Г</v>
      </c>
      <c r="C416" s="2">
        <f>_xlfn.XLOOKUP(наценкад5[[#This Row],[№]],ППД5[№],ППД5[Этаж],"-",0)</f>
        <v>4</v>
      </c>
      <c r="D416" s="2">
        <f>_xlfn.XLOOKUP(наценкад5[[#This Row],[№]],ППД5[№],ППД5[№ на этаже],"-",0)</f>
        <v>2</v>
      </c>
      <c r="E416" s="2">
        <f>_xlfn.XLOOKUP(наценкад5[[#This Row],[№]],ППД5[№],ППД5[Тип кв],"-",0)</f>
        <v>1</v>
      </c>
      <c r="F416" s="72">
        <f>_xlfn.XLOOKUP(наценкад5[[#This Row],[№]],ППД5[№],ППД5[Кухня],"-",0)</f>
        <v>16.940000000000001</v>
      </c>
      <c r="G416" s="72">
        <f>_xlfn.XLOOKUP(наценкад5[[#This Row],[№]],ППД5[№],ППД5[Ванная],"-",0)</f>
        <v>3.55</v>
      </c>
      <c r="H416" s="72">
        <f>_xlfn.XLOOKUP(наценкад5[[#This Row],[№]],ППД5[№],ППД5[Гардеробная],"-",0)</f>
        <v>0</v>
      </c>
      <c r="I416" s="72">
        <f>_xlfn.XLOOKUP(наценкад5[[#This Row],[№]],ППД5[№],ППД5[Лоджия 2],"-",0)</f>
        <v>0</v>
      </c>
      <c r="J416" s="72">
        <f>_xlfn.XLOOKUP(наценкад5[[#This Row],[№]],ППД5[№],ППД5[С\У],"-",0)</f>
        <v>2.41</v>
      </c>
      <c r="K416" s="72">
        <f>_xlfn.XLOOKUP(наценкад5[[#This Row],[№]],ППД5[№],ППД5[Расчетная проектная площадь],"-",0)</f>
        <v>43.21</v>
      </c>
      <c r="L416" s="12">
        <f t="shared" si="6"/>
        <v>63000</v>
      </c>
      <c r="M416" s="102">
        <f>коэффициенты!$G$2</f>
        <v>1.2875000000000001</v>
      </c>
      <c r="N416" s="13">
        <f>наценкад5[[#This Row],[Цена м2 базовая]]*наценкад5[[#This Row],[Базовой K]]</f>
        <v>81112.5</v>
      </c>
      <c r="O416" s="76">
        <f>коэффициенты!$G$4</f>
        <v>0.02</v>
      </c>
      <c r="P416" s="74"/>
      <c r="Q416" s="74"/>
      <c r="R416" s="74">
        <f>коэффициенты!$G$10</f>
        <v>0.01</v>
      </c>
      <c r="S416" s="74">
        <f>коэффициенты!$G$9</f>
        <v>0</v>
      </c>
      <c r="T416" s="74"/>
      <c r="U416" s="74"/>
      <c r="V416" s="74"/>
      <c r="W416" s="74"/>
      <c r="X416" s="74"/>
      <c r="Y416" s="78">
        <f>коэффициенты!$G$15</f>
        <v>0.01</v>
      </c>
      <c r="Z416" s="74"/>
      <c r="AA416" s="74"/>
      <c r="AB416" s="74"/>
      <c r="AC416" s="74"/>
      <c r="AD416" s="74">
        <f>коэффициенты!$G$19</f>
        <v>0.01</v>
      </c>
      <c r="AE416" s="74"/>
      <c r="AF416" s="74">
        <f>коэффициенты!$G$21</f>
        <v>0.01</v>
      </c>
      <c r="AG416" s="74"/>
      <c r="AH416" s="74"/>
      <c r="AI416" s="73">
        <f>SUM(наценкад5[[#This Row],[еврокухня]:[большая площадь]])*наценкад5[[#This Row],[Цена м2 с базовым K]]+наценкад5[[#This Row],[Цена м2 с базовым K]]</f>
        <v>85979.25</v>
      </c>
      <c r="AJ416" s="72">
        <f>VLOOKUP(наценкад5[[#This Row],[№]],ППД5[],COLUMN(ППД5[[#This Row],[утв цена м2]]),0)</f>
        <v>93916.42</v>
      </c>
      <c r="AK416" s="3">
        <f>наценкад5[[#This Row],[утв цена м2]]*наценкад5[[#This Row],[Расчетная проектная площадь]]</f>
        <v>4058128.5082</v>
      </c>
      <c r="AL416" s="22" t="str">
        <f>VLOOKUP(наценкад5[[#This Row],[№]],ППД5[],COLUMN('Реестр ОН'!$DF$1),0)</f>
        <v>Продажа</v>
      </c>
    </row>
    <row r="417" spans="1:38" hidden="1" x14ac:dyDescent="0.25">
      <c r="A417" s="101">
        <v>415</v>
      </c>
      <c r="B417" s="2" t="str">
        <f>_xlfn.XLOOKUP(наценкад5[[#This Row],[№]],ППД5[№],ППД5[Секция],"-",0)</f>
        <v>Г</v>
      </c>
      <c r="C417" s="2">
        <f>_xlfn.XLOOKUP(наценкад5[[#This Row],[№]],ППД5[№],ППД5[Этаж],"-",0)</f>
        <v>4</v>
      </c>
      <c r="D417" s="2">
        <f>_xlfn.XLOOKUP(наценкад5[[#This Row],[№]],ППД5[№],ППД5[№ на этаже],"-",0)</f>
        <v>3</v>
      </c>
      <c r="E417" s="2">
        <f>_xlfn.XLOOKUP(наценкад5[[#This Row],[№]],ППД5[№],ППД5[Тип кв],"-",0)</f>
        <v>0</v>
      </c>
      <c r="F417" s="72">
        <f>_xlfn.XLOOKUP(наценкад5[[#This Row],[№]],ППД5[№],ППД5[Кухня],"-",0)</f>
        <v>5.17</v>
      </c>
      <c r="G417" s="72">
        <f>_xlfn.XLOOKUP(наценкад5[[#This Row],[№]],ППД5[№],ППД5[Ванная],"-",0)</f>
        <v>3.71</v>
      </c>
      <c r="H417" s="72">
        <f>_xlfn.XLOOKUP(наценкад5[[#This Row],[№]],ППД5[№],ППД5[Гардеробная],"-",0)</f>
        <v>0</v>
      </c>
      <c r="I417" s="72">
        <f>_xlfn.XLOOKUP(наценкад5[[#This Row],[№]],ППД5[№],ППД5[Лоджия 2],"-",0)</f>
        <v>0</v>
      </c>
      <c r="J417" s="72">
        <f>_xlfn.XLOOKUP(наценкад5[[#This Row],[№]],ППД5[№],ППД5[С\У],"-",0)</f>
        <v>0</v>
      </c>
      <c r="K417" s="72">
        <f>_xlfn.XLOOKUP(наценкад5[[#This Row],[№]],ППД5[№],ППД5[Расчетная проектная площадь],"-",0)</f>
        <v>24.5</v>
      </c>
      <c r="L417" s="12">
        <f t="shared" si="6"/>
        <v>63000</v>
      </c>
      <c r="M417" s="116">
        <f>коэффициенты!$H$2</f>
        <v>1.3905000000000001</v>
      </c>
      <c r="N417" s="13">
        <f>наценкад5[[#This Row],[Цена м2 базовая]]*наценкад5[[#This Row],[Базовой K]]</f>
        <v>87601.5</v>
      </c>
      <c r="O417" s="74"/>
      <c r="P417" s="74"/>
      <c r="Q417" s="74"/>
      <c r="R417" s="74"/>
      <c r="S417" s="74"/>
      <c r="T417" s="74"/>
      <c r="U417" s="74"/>
      <c r="V417" s="74">
        <f>коэффициенты!$H$11</f>
        <v>0.01</v>
      </c>
      <c r="W417" s="74"/>
      <c r="X417" s="74">
        <f>коэффициенты!$H$13</f>
        <v>0.01</v>
      </c>
      <c r="Y417" s="78">
        <f>коэффициенты!$H$15</f>
        <v>0.01</v>
      </c>
      <c r="Z417" s="74"/>
      <c r="AA417" s="74"/>
      <c r="AB417" s="74"/>
      <c r="AC417" s="74"/>
      <c r="AD417" s="74">
        <f>коэффициенты!$H$19</f>
        <v>0.01</v>
      </c>
      <c r="AE417" s="74"/>
      <c r="AF417" s="74">
        <f>коэффициенты!$H$21</f>
        <v>0.01</v>
      </c>
      <c r="AG417" s="74"/>
      <c r="AH417" s="74"/>
      <c r="AI417" s="73">
        <f>SUM(наценкад5[[#This Row],[еврокухня]:[большая площадь]])*наценкад5[[#This Row],[Цена м2 с базовым K]]+наценкад5[[#This Row],[Цена м2 с базовым K]]</f>
        <v>91981.574999999997</v>
      </c>
      <c r="AJ417" s="72">
        <f>VLOOKUP(наценкад5[[#This Row],[№]],ППД5[],COLUMN(ППД5[[#This Row],[утв цена м2]]),0)</f>
        <v>119625.33</v>
      </c>
      <c r="AK417" s="3">
        <f>наценкад5[[#This Row],[утв цена м2]]*наценкад5[[#This Row],[Расчетная проектная площадь]]</f>
        <v>2930820.585</v>
      </c>
      <c r="AL417" s="22" t="str">
        <f>VLOOKUP(наценкад5[[#This Row],[№]],ППД5[],COLUMN('Реестр ОН'!$DF$1),0)</f>
        <v>Продажа</v>
      </c>
    </row>
    <row r="418" spans="1:38" hidden="1" x14ac:dyDescent="0.25">
      <c r="A418" s="101">
        <v>416</v>
      </c>
      <c r="B418" s="2" t="str">
        <f>_xlfn.XLOOKUP(наценкад5[[#This Row],[№]],ППД5[№],ППД5[Секция],"-",0)</f>
        <v>Г</v>
      </c>
      <c r="C418" s="2">
        <f>_xlfn.XLOOKUP(наценкад5[[#This Row],[№]],ППД5[№],ППД5[Этаж],"-",0)</f>
        <v>4</v>
      </c>
      <c r="D418" s="2">
        <f>_xlfn.XLOOKUP(наценкад5[[#This Row],[№]],ППД5[№],ППД5[№ на этаже],"-",0)</f>
        <v>4</v>
      </c>
      <c r="E418" s="2">
        <f>_xlfn.XLOOKUP(наценкад5[[#This Row],[№]],ППД5[№],ППД5[Тип кв],"-",0)</f>
        <v>2</v>
      </c>
      <c r="F418" s="72">
        <f>_xlfn.XLOOKUP(наценкад5[[#This Row],[№]],ППД5[№],ППД5[Кухня],"-",0)</f>
        <v>15.86</v>
      </c>
      <c r="G418" s="72">
        <f>_xlfn.XLOOKUP(наценкад5[[#This Row],[№]],ППД5[№],ППД5[Ванная],"-",0)</f>
        <v>3.01</v>
      </c>
      <c r="H418" s="72">
        <f>_xlfn.XLOOKUP(наценкад5[[#This Row],[№]],ППД5[№],ППД5[Гардеробная],"-",0)</f>
        <v>0</v>
      </c>
      <c r="I418" s="72">
        <f>_xlfn.XLOOKUP(наценкад5[[#This Row],[№]],ППД5[№],ППД5[Лоджия 2],"-",0)</f>
        <v>0</v>
      </c>
      <c r="J418" s="72">
        <f>_xlfn.XLOOKUP(наценкад5[[#This Row],[№]],ППД5[№],ППД5[С\У],"-",0)</f>
        <v>2.67</v>
      </c>
      <c r="K418" s="72">
        <f>_xlfn.XLOOKUP(наценкад5[[#This Row],[№]],ППД5[№],ППД5[Расчетная проектная площадь],"-",0)</f>
        <v>58.24</v>
      </c>
      <c r="L418" s="12">
        <f t="shared" si="6"/>
        <v>63000</v>
      </c>
      <c r="M418" s="102">
        <f>коэффициенты!$F$2</f>
        <v>1.2257</v>
      </c>
      <c r="N418" s="13">
        <f>наценкад5[[#This Row],[Цена м2 базовая]]*наценкад5[[#This Row],[Базовой K]]</f>
        <v>77219.100000000006</v>
      </c>
      <c r="O418" s="76">
        <f>коэффициенты!$F$4</f>
        <v>1.4999999999999999E-2</v>
      </c>
      <c r="P418" s="74"/>
      <c r="Q418" s="76"/>
      <c r="R418" s="76">
        <f>коэффициенты!$F$10</f>
        <v>0</v>
      </c>
      <c r="S418" s="76">
        <f>коэффициенты!$F$9</f>
        <v>0</v>
      </c>
      <c r="T418" s="74"/>
      <c r="U418" s="74"/>
      <c r="V418" s="74"/>
      <c r="W418" s="75"/>
      <c r="X418" s="74"/>
      <c r="Y418" s="78">
        <f>коэффициенты!$F$15</f>
        <v>0.01</v>
      </c>
      <c r="Z418" s="74"/>
      <c r="AA418" s="74"/>
      <c r="AB418" s="74"/>
      <c r="AC418" s="74"/>
      <c r="AD418" s="74">
        <f>коэффициенты!$F$19</f>
        <v>5.0000000000000001E-3</v>
      </c>
      <c r="AE418" s="74"/>
      <c r="AF418" s="74">
        <f>коэффициенты!$F$21</f>
        <v>0.01</v>
      </c>
      <c r="AG418" s="74"/>
      <c r="AH418" s="74"/>
      <c r="AI418" s="73">
        <f>SUM(наценкад5[[#This Row],[еврокухня]:[большая площадь]])*наценкад5[[#This Row],[Цена м2 с базовым K]]+наценкад5[[#This Row],[Цена м2 с базовым K]]</f>
        <v>80307.864000000001</v>
      </c>
      <c r="AJ418" s="72">
        <f>VLOOKUP(наценкад5[[#This Row],[№]],ППД5[],COLUMN(ППД5[[#This Row],[утв цена м2]]),0)</f>
        <v>93949.71</v>
      </c>
      <c r="AK418" s="3">
        <f>наценкад5[[#This Row],[утв цена м2]]*наценкад5[[#This Row],[Расчетная проектная площадь]]</f>
        <v>5471631.1104000006</v>
      </c>
      <c r="AL418" s="22" t="str">
        <f>VLOOKUP(наценкад5[[#This Row],[№]],ППД5[],COLUMN('Реестр ОН'!$DF$1),0)</f>
        <v>Продажа</v>
      </c>
    </row>
    <row r="419" spans="1:38" hidden="1" x14ac:dyDescent="0.25">
      <c r="A419" s="101">
        <v>417</v>
      </c>
      <c r="B419" s="2" t="str">
        <f>_xlfn.XLOOKUP(наценкад5[[#This Row],[№]],ППД5[№],ППД5[Секция],"-",0)</f>
        <v>Г</v>
      </c>
      <c r="C419" s="2">
        <f>_xlfn.XLOOKUP(наценкад5[[#This Row],[№]],ППД5[№],ППД5[Этаж],"-",0)</f>
        <v>4</v>
      </c>
      <c r="D419" s="2">
        <f>_xlfn.XLOOKUP(наценкад5[[#This Row],[№]],ППД5[№],ППД5[№ на этаже],"-",0)</f>
        <v>5</v>
      </c>
      <c r="E419" s="2">
        <f>_xlfn.XLOOKUP(наценкад5[[#This Row],[№]],ППД5[№],ППД5[Тип кв],"-",0)</f>
        <v>2</v>
      </c>
      <c r="F419" s="72">
        <f>_xlfn.XLOOKUP(наценкад5[[#This Row],[№]],ППД5[№],ППД5[Кухня],"-",0)</f>
        <v>13.45</v>
      </c>
      <c r="G419" s="72">
        <f>_xlfn.XLOOKUP(наценкад5[[#This Row],[№]],ППД5[№],ППД5[Ванная],"-",0)</f>
        <v>3.7</v>
      </c>
      <c r="H419" s="72">
        <f>_xlfn.XLOOKUP(наценкад5[[#This Row],[№]],ППД5[№],ППД5[Гардеробная],"-",0)</f>
        <v>0</v>
      </c>
      <c r="I419" s="72">
        <f>_xlfn.XLOOKUP(наценкад5[[#This Row],[№]],ППД5[№],ППД5[Лоджия 2],"-",0)</f>
        <v>0</v>
      </c>
      <c r="J419" s="72">
        <f>_xlfn.XLOOKUP(наценкад5[[#This Row],[№]],ППД5[№],ППД5[С\У],"-",0)</f>
        <v>2.72</v>
      </c>
      <c r="K419" s="72">
        <f>_xlfn.XLOOKUP(наценкад5[[#This Row],[№]],ППД5[№],ППД5[Расчетная проектная площадь],"-",0)</f>
        <v>57.8</v>
      </c>
      <c r="L419" s="12">
        <f t="shared" si="6"/>
        <v>63000</v>
      </c>
      <c r="M419" s="102">
        <f>коэффициенты!$F$2</f>
        <v>1.2257</v>
      </c>
      <c r="N419" s="13">
        <f>наценкад5[[#This Row],[Цена м2 базовая]]*наценкад5[[#This Row],[Базовой K]]</f>
        <v>77219.100000000006</v>
      </c>
      <c r="O419" s="74"/>
      <c r="P419" s="74">
        <f>коэффициенты!$F$5</f>
        <v>0.01</v>
      </c>
      <c r="Q419" s="76"/>
      <c r="R419" s="76"/>
      <c r="S419" s="76">
        <f>коэффициенты!$F$9</f>
        <v>0</v>
      </c>
      <c r="T419" s="74"/>
      <c r="U419" s="74"/>
      <c r="V419" s="74"/>
      <c r="W419" s="75"/>
      <c r="X419" s="74"/>
      <c r="Y419" s="78">
        <f>коэффициенты!$F$15</f>
        <v>0.01</v>
      </c>
      <c r="Z419" s="74"/>
      <c r="AA419" s="74"/>
      <c r="AB419" s="74"/>
      <c r="AC419" s="74"/>
      <c r="AD419" s="74">
        <f>коэффициенты!$F$19</f>
        <v>5.0000000000000001E-3</v>
      </c>
      <c r="AE419" s="74"/>
      <c r="AF419" s="74">
        <f>коэффициенты!$F$21</f>
        <v>0.01</v>
      </c>
      <c r="AG419" s="74"/>
      <c r="AH419" s="74"/>
      <c r="AI419" s="73">
        <f>SUM(наценкад5[[#This Row],[еврокухня]:[большая площадь]])*наценкад5[[#This Row],[Цена м2 с базовым K]]+наценкад5[[#This Row],[Цена м2 с базовым K]]</f>
        <v>79921.768500000006</v>
      </c>
      <c r="AJ419" s="72">
        <f>VLOOKUP(наценкад5[[#This Row],[№]],ППД5[],COLUMN(ППД5[[#This Row],[утв цена м2]]),0)</f>
        <v>79921.77</v>
      </c>
      <c r="AK419" s="3">
        <f>наценкад5[[#This Row],[утв цена м2]]*наценкад5[[#This Row],[Расчетная проектная площадь]]</f>
        <v>4619478.3059999999</v>
      </c>
      <c r="AL419" s="22" t="str">
        <f>VLOOKUP(наценкад5[[#This Row],[№]],ППД5[],COLUMN('Реестр ОН'!$DF$1),0)</f>
        <v>Продажа</v>
      </c>
    </row>
    <row r="420" spans="1:38" hidden="1" x14ac:dyDescent="0.25">
      <c r="A420" s="101">
        <v>418</v>
      </c>
      <c r="B420" s="2" t="str">
        <f>_xlfn.XLOOKUP(наценкад5[[#This Row],[№]],ППД5[№],ППД5[Секция],"-",0)</f>
        <v>Г</v>
      </c>
      <c r="C420" s="2">
        <f>_xlfn.XLOOKUP(наценкад5[[#This Row],[№]],ППД5[№],ППД5[Этаж],"-",0)</f>
        <v>4</v>
      </c>
      <c r="D420" s="2">
        <f>_xlfn.XLOOKUP(наценкад5[[#This Row],[№]],ППД5[№],ППД5[№ на этаже],"-",0)</f>
        <v>6</v>
      </c>
      <c r="E420" s="2">
        <f>_xlfn.XLOOKUP(наценкад5[[#This Row],[№]],ППД5[№],ППД5[Тип кв],"-",0)</f>
        <v>1</v>
      </c>
      <c r="F420" s="72">
        <f>_xlfn.XLOOKUP(наценкад5[[#This Row],[№]],ППД5[№],ППД5[Кухня],"-",0)</f>
        <v>12.55</v>
      </c>
      <c r="G420" s="72">
        <f>_xlfn.XLOOKUP(наценкад5[[#This Row],[№]],ППД5[№],ППД5[Ванная],"-",0)</f>
        <v>4.28</v>
      </c>
      <c r="H420" s="72">
        <f>_xlfn.XLOOKUP(наценкад5[[#This Row],[№]],ППД5[№],ППД5[Гардеробная],"-",0)</f>
        <v>0</v>
      </c>
      <c r="I420" s="72">
        <f>_xlfn.XLOOKUP(наценкад5[[#This Row],[№]],ППД5[№],ППД5[Лоджия 2],"-",0)</f>
        <v>0</v>
      </c>
      <c r="J420" s="72">
        <f>_xlfn.XLOOKUP(наценкад5[[#This Row],[№]],ППД5[№],ППД5[С\У],"-",0)</f>
        <v>0</v>
      </c>
      <c r="K420" s="72">
        <f>_xlfn.XLOOKUP(наценкад5[[#This Row],[№]],ППД5[№],ППД5[Расчетная проектная площадь],"-",0)</f>
        <v>38.299999999999997</v>
      </c>
      <c r="L420" s="12">
        <f t="shared" si="6"/>
        <v>63000</v>
      </c>
      <c r="M420" s="102">
        <f>коэффициенты!$G$2</f>
        <v>1.2875000000000001</v>
      </c>
      <c r="N420" s="13">
        <f>наценкад5[[#This Row],[Цена м2 базовая]]*наценкад5[[#This Row],[Базовой K]]</f>
        <v>81112.5</v>
      </c>
      <c r="O420" s="74"/>
      <c r="P420" s="76">
        <f>коэффициенты!$G$5</f>
        <v>0.01</v>
      </c>
      <c r="Q420" s="74">
        <f>коэффициенты!$G$6</f>
        <v>0.03</v>
      </c>
      <c r="R420" s="74"/>
      <c r="S420" s="74"/>
      <c r="T420" s="74"/>
      <c r="U420" s="74"/>
      <c r="V420" s="74">
        <f>коэффициенты!$G$11</f>
        <v>0.01</v>
      </c>
      <c r="W420" s="75"/>
      <c r="X420" s="74">
        <f>коэффициенты!$G$13</f>
        <v>0.01</v>
      </c>
      <c r="Y420" s="78">
        <f>коэффициенты!$G$15</f>
        <v>0.01</v>
      </c>
      <c r="Z420" s="74"/>
      <c r="AA420" s="74"/>
      <c r="AB420" s="74"/>
      <c r="AC420" s="74"/>
      <c r="AD420" s="74">
        <f>коэффициенты!$G$19</f>
        <v>0.01</v>
      </c>
      <c r="AE420" s="74"/>
      <c r="AF420" s="74">
        <f>коэффициенты!$G$21</f>
        <v>0.01</v>
      </c>
      <c r="AG420" s="74"/>
      <c r="AH420" s="74"/>
      <c r="AI420" s="73">
        <f>SUM(наценкад5[[#This Row],[еврокухня]:[большая площадь]])*наценкад5[[#This Row],[Цена м2 с базовым K]]+наценкад5[[#This Row],[Цена м2 с базовым K]]</f>
        <v>88412.625</v>
      </c>
      <c r="AJ420" s="72">
        <f>VLOOKUP(наценкад5[[#This Row],[№]],ППД5[],COLUMN(ППД5[[#This Row],[утв цена м2]]),0)</f>
        <v>95618.25</v>
      </c>
      <c r="AK420" s="3">
        <f>наценкад5[[#This Row],[утв цена м2]]*наценкад5[[#This Row],[Расчетная проектная площадь]]</f>
        <v>3662178.9749999996</v>
      </c>
      <c r="AL420" s="22" t="str">
        <f>VLOOKUP(наценкад5[[#This Row],[№]],ППД5[],COLUMN('Реестр ОН'!$DF$1),0)</f>
        <v>Продажа</v>
      </c>
    </row>
    <row r="421" spans="1:38" hidden="1" x14ac:dyDescent="0.25">
      <c r="A421" s="101">
        <v>419</v>
      </c>
      <c r="B421" s="2" t="str">
        <f>_xlfn.XLOOKUP(наценкад5[[#This Row],[№]],ППД5[№],ППД5[Секция],"-",0)</f>
        <v>Г</v>
      </c>
      <c r="C421" s="2">
        <f>_xlfn.XLOOKUP(наценкад5[[#This Row],[№]],ППД5[№],ППД5[Этаж],"-",0)</f>
        <v>4</v>
      </c>
      <c r="D421" s="2">
        <f>_xlfn.XLOOKUP(наценкад5[[#This Row],[№]],ППД5[№],ППД5[№ на этаже],"-",0)</f>
        <v>7</v>
      </c>
      <c r="E421" s="2">
        <f>_xlfn.XLOOKUP(наценкад5[[#This Row],[№]],ППД5[№],ППД5[Тип кв],"-",0)</f>
        <v>3</v>
      </c>
      <c r="F421" s="72">
        <f>_xlfn.XLOOKUP(наценкад5[[#This Row],[№]],ППД5[№],ППД5[Кухня],"-",0)</f>
        <v>16.670000000000002</v>
      </c>
      <c r="G421" s="72">
        <f>_xlfn.XLOOKUP(наценкад5[[#This Row],[№]],ППД5[№],ППД5[Ванная],"-",0)</f>
        <v>4.1399999999999997</v>
      </c>
      <c r="H421" s="72">
        <f>_xlfn.XLOOKUP(наценкад5[[#This Row],[№]],ППД5[№],ППД5[Гардеробная],"-",0)</f>
        <v>0</v>
      </c>
      <c r="I421" s="72">
        <f>_xlfn.XLOOKUP(наценкад5[[#This Row],[№]],ППД5[№],ППД5[Лоджия 2],"-",0)</f>
        <v>2.79</v>
      </c>
      <c r="J421" s="72">
        <f>_xlfn.XLOOKUP(наценкад5[[#This Row],[№]],ППД5[№],ППД5[С\У],"-",0)</f>
        <v>1.89</v>
      </c>
      <c r="K421" s="72">
        <f>_xlfn.XLOOKUP(наценкад5[[#This Row],[№]],ППД5[№],ППД5[Расчетная проектная площадь],"-",0)</f>
        <v>79.44</v>
      </c>
      <c r="L421" s="12">
        <f t="shared" si="6"/>
        <v>63000</v>
      </c>
      <c r="M421" s="27">
        <f>коэффициенты!$E$2</f>
        <v>1.1330000000000002</v>
      </c>
      <c r="N421" s="13">
        <f>наценкад5[[#This Row],[Цена м2 базовая]]*наценкад5[[#This Row],[Базовой K]]</f>
        <v>71379.000000000015</v>
      </c>
      <c r="O421" s="74">
        <f>коэффициенты!$E$4</f>
        <v>0.03</v>
      </c>
      <c r="P421" s="74"/>
      <c r="Q421" s="74">
        <f>коэффициенты!$E$6</f>
        <v>0.01</v>
      </c>
      <c r="R421" s="74"/>
      <c r="S421" s="74">
        <f>коэффициенты!$E$9</f>
        <v>0</v>
      </c>
      <c r="T421" s="74">
        <f>коэффициенты!$E$7</f>
        <v>0</v>
      </c>
      <c r="U421" s="74">
        <f>коэффициенты!$E$8</f>
        <v>0.01</v>
      </c>
      <c r="V421" s="74"/>
      <c r="W421" s="75"/>
      <c r="X421" s="74"/>
      <c r="Y421" s="78">
        <f>коэффициенты!$A$15</f>
        <v>0.01</v>
      </c>
      <c r="Z421" s="74"/>
      <c r="AA421" s="74">
        <f>коэффициенты!$E$14</f>
        <v>0</v>
      </c>
      <c r="AB421" s="74"/>
      <c r="AC421" s="74">
        <f>коэффициенты!$E$18</f>
        <v>0.01</v>
      </c>
      <c r="AD421" s="74"/>
      <c r="AE421" s="74"/>
      <c r="AF421" s="74">
        <f>коэффициенты!$E$21</f>
        <v>0.01</v>
      </c>
      <c r="AG421" s="74"/>
      <c r="AH421" s="74"/>
      <c r="AI421" s="73">
        <f>SUM(наценкад5[[#This Row],[еврокухня]:[большая площадь]])*наценкад5[[#This Row],[Цена м2 с базовым K]]+наценкад5[[#This Row],[Цена м2 с базовым K]]</f>
        <v>77089.320000000022</v>
      </c>
      <c r="AJ421" s="72">
        <f>VLOOKUP(наценкад5[[#This Row],[№]],ППД5[],COLUMN(ППД5[[#This Row],[утв цена м2]]),0)</f>
        <v>91988.12</v>
      </c>
      <c r="AK421" s="3">
        <f>наценкад5[[#This Row],[утв цена м2]]*наценкад5[[#This Row],[Расчетная проектная площадь]]</f>
        <v>7307536.252799999</v>
      </c>
      <c r="AL421" s="22" t="str">
        <f>VLOOKUP(наценкад5[[#This Row],[№]],ППД5[],COLUMN('Реестр ОН'!$DF$1),0)</f>
        <v>Продажа</v>
      </c>
    </row>
    <row r="422" spans="1:38" hidden="1" x14ac:dyDescent="0.25">
      <c r="A422" s="101">
        <v>420</v>
      </c>
      <c r="B422" s="2" t="str">
        <f>_xlfn.XLOOKUP(наценкад5[[#This Row],[№]],ППД5[№],ППД5[Секция],"-",0)</f>
        <v>Г</v>
      </c>
      <c r="C422" s="2">
        <f>_xlfn.XLOOKUP(наценкад5[[#This Row],[№]],ППД5[№],ППД5[Этаж],"-",0)</f>
        <v>4</v>
      </c>
      <c r="D422" s="2">
        <f>_xlfn.XLOOKUP(наценкад5[[#This Row],[№]],ППД5[№],ППД5[№ на этаже],"-",0)</f>
        <v>8</v>
      </c>
      <c r="E422" s="2">
        <f>_xlfn.XLOOKUP(наценкад5[[#This Row],[№]],ППД5[№],ППД5[Тип кв],"-",0)</f>
        <v>1</v>
      </c>
      <c r="F422" s="72">
        <f>_xlfn.XLOOKUP(наценкад5[[#This Row],[№]],ППД5[№],ППД5[Кухня],"-",0)</f>
        <v>11.43</v>
      </c>
      <c r="G422" s="72">
        <f>_xlfn.XLOOKUP(наценкад5[[#This Row],[№]],ППД5[№],ППД5[Ванная],"-",0)</f>
        <v>3.56</v>
      </c>
      <c r="H422" s="72">
        <f>_xlfn.XLOOKUP(наценкад5[[#This Row],[№]],ППД5[№],ППД5[Гардеробная],"-",0)</f>
        <v>0</v>
      </c>
      <c r="I422" s="72">
        <f>_xlfn.XLOOKUP(наценкад5[[#This Row],[№]],ППД5[№],ППД5[Лоджия 2],"-",0)</f>
        <v>0</v>
      </c>
      <c r="J422" s="72">
        <f>_xlfn.XLOOKUP(наценкад5[[#This Row],[№]],ППД5[№],ППД5[С\У],"-",0)</f>
        <v>0</v>
      </c>
      <c r="K422" s="72">
        <f>_xlfn.XLOOKUP(наценкад5[[#This Row],[№]],ППД5[№],ППД5[Расчетная проектная площадь],"-",0)</f>
        <v>39.69</v>
      </c>
      <c r="L422" s="12">
        <f t="shared" si="6"/>
        <v>63000</v>
      </c>
      <c r="M422" s="102">
        <f>коэффициенты!$G$2</f>
        <v>1.2875000000000001</v>
      </c>
      <c r="N422" s="13">
        <f>наценкад5[[#This Row],[Цена м2 базовая]]*наценкад5[[#This Row],[Базовой K]]</f>
        <v>81112.5</v>
      </c>
      <c r="O422" s="74"/>
      <c r="P422" s="76">
        <f>коэффициенты!$G$5</f>
        <v>0.01</v>
      </c>
      <c r="Q422" s="74"/>
      <c r="R422" s="74"/>
      <c r="S422" s="74"/>
      <c r="T422" s="74"/>
      <c r="U422" s="74"/>
      <c r="V422" s="74">
        <f>коэффициенты!$G$11</f>
        <v>0.01</v>
      </c>
      <c r="W422" s="74"/>
      <c r="X422" s="74"/>
      <c r="Y422" s="78">
        <f>коэффициенты!$G$15</f>
        <v>0.01</v>
      </c>
      <c r="Z422" s="74"/>
      <c r="AA422" s="74">
        <f>коэффициенты!$G$14</f>
        <v>0.01</v>
      </c>
      <c r="AB422" s="74"/>
      <c r="AC422" s="74"/>
      <c r="AD422" s="74">
        <f>коэффициенты!$G$19</f>
        <v>0.01</v>
      </c>
      <c r="AE422" s="74"/>
      <c r="AF422" s="74">
        <f>коэффициенты!$G$21</f>
        <v>0.01</v>
      </c>
      <c r="AG422" s="74">
        <f>коэффициенты!$A$24</f>
        <v>-5.0000000000000001E-3</v>
      </c>
      <c r="AH422" s="74"/>
      <c r="AI422" s="73">
        <f>SUM(наценкад5[[#This Row],[еврокухня]:[большая площадь]])*наценкад5[[#This Row],[Цена м2 с базовым K]]+наценкад5[[#This Row],[Цена м2 с базовым K]]</f>
        <v>85573.6875</v>
      </c>
      <c r="AJ422" s="72">
        <f>VLOOKUP(наценкад5[[#This Row],[№]],ППД5[],COLUMN(ППД5[[#This Row],[утв цена м2]]),0)</f>
        <v>113706.81</v>
      </c>
      <c r="AK422" s="3">
        <f>наценкад5[[#This Row],[утв цена м2]]*наценкад5[[#This Row],[Расчетная проектная площадь]]</f>
        <v>4513023.2889</v>
      </c>
      <c r="AL422" s="22" t="str">
        <f>VLOOKUP(наценкад5[[#This Row],[№]],ППД5[],COLUMN('Реестр ОН'!$DF$1),0)</f>
        <v>Продажа</v>
      </c>
    </row>
    <row r="423" spans="1:38" hidden="1" x14ac:dyDescent="0.25">
      <c r="A423" s="101">
        <v>421</v>
      </c>
      <c r="B423" s="2" t="str">
        <f>_xlfn.XLOOKUP(наценкад5[[#This Row],[№]],ППД5[№],ППД5[Секция],"-",0)</f>
        <v>Г</v>
      </c>
      <c r="C423" s="2">
        <f>_xlfn.XLOOKUP(наценкад5[[#This Row],[№]],ППД5[№],ППД5[Этаж],"-",0)</f>
        <v>5</v>
      </c>
      <c r="D423" s="2">
        <f>_xlfn.XLOOKUP(наценкад5[[#This Row],[№]],ППД5[№],ППД5[№ на этаже],"-",0)</f>
        <v>1</v>
      </c>
      <c r="E423" s="2">
        <f>_xlfn.XLOOKUP(наценкад5[[#This Row],[№]],ППД5[№],ППД5[Тип кв],"-",0)</f>
        <v>0</v>
      </c>
      <c r="F423" s="72">
        <f>_xlfn.XLOOKUP(наценкад5[[#This Row],[№]],ППД5[№],ППД5[Кухня],"-",0)</f>
        <v>5.84</v>
      </c>
      <c r="G423" s="72">
        <f>_xlfn.XLOOKUP(наценкад5[[#This Row],[№]],ППД5[№],ППД5[Ванная],"-",0)</f>
        <v>3.76</v>
      </c>
      <c r="H423" s="72">
        <f>_xlfn.XLOOKUP(наценкад5[[#This Row],[№]],ППД5[№],ППД5[Гардеробная],"-",0)</f>
        <v>0</v>
      </c>
      <c r="I423" s="72">
        <f>_xlfn.XLOOKUP(наценкад5[[#This Row],[№]],ППД5[№],ППД5[Лоджия 2],"-",0)</f>
        <v>0</v>
      </c>
      <c r="J423" s="72">
        <f>_xlfn.XLOOKUP(наценкад5[[#This Row],[№]],ППД5[№],ППД5[С\У],"-",0)</f>
        <v>0</v>
      </c>
      <c r="K423" s="72">
        <f>_xlfn.XLOOKUP(наценкад5[[#This Row],[№]],ППД5[№],ППД5[Расчетная проектная площадь],"-",0)</f>
        <v>29.4</v>
      </c>
      <c r="L423" s="12">
        <f t="shared" si="6"/>
        <v>63000</v>
      </c>
      <c r="M423" s="116">
        <f>коэффициенты!$H$2</f>
        <v>1.3905000000000001</v>
      </c>
      <c r="N423" s="13">
        <f>наценкад5[[#This Row],[Цена м2 базовая]]*наценкад5[[#This Row],[Базовой K]]</f>
        <v>87601.5</v>
      </c>
      <c r="O423" s="74"/>
      <c r="P423" s="74"/>
      <c r="Q423" s="74"/>
      <c r="R423" s="74"/>
      <c r="S423" s="74"/>
      <c r="T423" s="74"/>
      <c r="U423" s="74"/>
      <c r="V423" s="74"/>
      <c r="W423" s="75"/>
      <c r="X423" s="74"/>
      <c r="Y423" s="75"/>
      <c r="Z423" s="74"/>
      <c r="AA423" s="74"/>
      <c r="AB423" s="74"/>
      <c r="AC423" s="74"/>
      <c r="AD423" s="74">
        <f>коэффициенты!$H$19</f>
        <v>0.01</v>
      </c>
      <c r="AE423" s="74"/>
      <c r="AF423" s="74">
        <f>коэффициенты!$H$21</f>
        <v>0.01</v>
      </c>
      <c r="AG423" s="74"/>
      <c r="AH423" s="74"/>
      <c r="AI423" s="73">
        <f>SUM(наценкад5[[#This Row],[еврокухня]:[большая площадь]])*наценкад5[[#This Row],[Цена м2 с базовым K]]+наценкад5[[#This Row],[Цена м2 с базовым K]]</f>
        <v>89353.53</v>
      </c>
      <c r="AJ423" s="72">
        <f>VLOOKUP(наценкад5[[#This Row],[№]],ППД5[],COLUMN(ППД5[[#This Row],[утв цена м2]]),0)</f>
        <v>117950.57</v>
      </c>
      <c r="AK423" s="3">
        <f>наценкад5[[#This Row],[утв цена м2]]*наценкад5[[#This Row],[Расчетная проектная площадь]]</f>
        <v>3467746.7579999999</v>
      </c>
      <c r="AL423" s="22" t="str">
        <f>VLOOKUP(наценкад5[[#This Row],[№]],ППД5[],COLUMN('Реестр ОН'!$DF$1),0)</f>
        <v>Продажа</v>
      </c>
    </row>
    <row r="424" spans="1:38" hidden="1" x14ac:dyDescent="0.25">
      <c r="A424" s="101">
        <v>422</v>
      </c>
      <c r="B424" s="2" t="str">
        <f>_xlfn.XLOOKUP(наценкад5[[#This Row],[№]],ППД5[№],ППД5[Секция],"-",0)</f>
        <v>Г</v>
      </c>
      <c r="C424" s="2">
        <f>_xlfn.XLOOKUP(наценкад5[[#This Row],[№]],ППД5[№],ППД5[Этаж],"-",0)</f>
        <v>5</v>
      </c>
      <c r="D424" s="2">
        <f>_xlfn.XLOOKUP(наценкад5[[#This Row],[№]],ППД5[№],ППД5[№ на этаже],"-",0)</f>
        <v>2</v>
      </c>
      <c r="E424" s="2">
        <f>_xlfn.XLOOKUP(наценкад5[[#This Row],[№]],ППД5[№],ППД5[Тип кв],"-",0)</f>
        <v>1</v>
      </c>
      <c r="F424" s="72">
        <f>_xlfn.XLOOKUP(наценкад5[[#This Row],[№]],ППД5[№],ППД5[Кухня],"-",0)</f>
        <v>16.940000000000001</v>
      </c>
      <c r="G424" s="72">
        <f>_xlfn.XLOOKUP(наценкад5[[#This Row],[№]],ППД5[№],ППД5[Ванная],"-",0)</f>
        <v>3.55</v>
      </c>
      <c r="H424" s="72">
        <f>_xlfn.XLOOKUP(наценкад5[[#This Row],[№]],ППД5[№],ППД5[Гардеробная],"-",0)</f>
        <v>0</v>
      </c>
      <c r="I424" s="72">
        <f>_xlfn.XLOOKUP(наценкад5[[#This Row],[№]],ППД5[№],ППД5[Лоджия 2],"-",0)</f>
        <v>0</v>
      </c>
      <c r="J424" s="72">
        <f>_xlfn.XLOOKUP(наценкад5[[#This Row],[№]],ППД5[№],ППД5[С\У],"-",0)</f>
        <v>2.41</v>
      </c>
      <c r="K424" s="72">
        <f>_xlfn.XLOOKUP(наценкад5[[#This Row],[№]],ППД5[№],ППД5[Расчетная проектная площадь],"-",0)</f>
        <v>43.21</v>
      </c>
      <c r="L424" s="12">
        <f t="shared" si="6"/>
        <v>63000</v>
      </c>
      <c r="M424" s="102">
        <f>коэффициенты!$G$2</f>
        <v>1.2875000000000001</v>
      </c>
      <c r="N424" s="13">
        <f>наценкад5[[#This Row],[Цена м2 базовая]]*наценкад5[[#This Row],[Базовой K]]</f>
        <v>81112.5</v>
      </c>
      <c r="O424" s="76">
        <f>коэффициенты!$G$4</f>
        <v>0.02</v>
      </c>
      <c r="P424" s="74"/>
      <c r="Q424" s="74"/>
      <c r="R424" s="74">
        <f>коэффициенты!$G$10</f>
        <v>0.01</v>
      </c>
      <c r="S424" s="74">
        <f>коэффициенты!$G$9</f>
        <v>0</v>
      </c>
      <c r="T424" s="74"/>
      <c r="U424" s="74"/>
      <c r="V424" s="74"/>
      <c r="W424" s="75"/>
      <c r="X424" s="74"/>
      <c r="Y424" s="75"/>
      <c r="Z424" s="74"/>
      <c r="AA424" s="74"/>
      <c r="AB424" s="74"/>
      <c r="AC424" s="74"/>
      <c r="AD424" s="74">
        <f>коэффициенты!$G$19</f>
        <v>0.01</v>
      </c>
      <c r="AE424" s="74"/>
      <c r="AF424" s="74">
        <f>коэффициенты!$G$21</f>
        <v>0.01</v>
      </c>
      <c r="AG424" s="74"/>
      <c r="AH424" s="74"/>
      <c r="AI424" s="73">
        <f>SUM(наценкад5[[#This Row],[еврокухня]:[большая площадь]])*наценкад5[[#This Row],[Цена м2 с базовым K]]+наценкад5[[#This Row],[Цена м2 с базовым K]]</f>
        <v>85168.125</v>
      </c>
      <c r="AJ424" s="72">
        <f>VLOOKUP(наценкад5[[#This Row],[№]],ППД5[],COLUMN(ППД5[[#This Row],[утв цена м2]]),0)</f>
        <v>135472.82999999999</v>
      </c>
      <c r="AK424" s="3">
        <f>наценкад5[[#This Row],[утв цена м2]]*наценкад5[[#This Row],[Расчетная проектная площадь]]</f>
        <v>5853780.9842999997</v>
      </c>
      <c r="AL424" s="22" t="str">
        <f>VLOOKUP(наценкад5[[#This Row],[№]],ППД5[],COLUMN('Реестр ОН'!$DF$1),0)</f>
        <v>Продажа</v>
      </c>
    </row>
    <row r="425" spans="1:38" hidden="1" x14ac:dyDescent="0.25">
      <c r="A425" s="101">
        <v>423</v>
      </c>
      <c r="B425" s="2" t="str">
        <f>_xlfn.XLOOKUP(наценкад5[[#This Row],[№]],ППД5[№],ППД5[Секция],"-",0)</f>
        <v>Г</v>
      </c>
      <c r="C425" s="2">
        <f>_xlfn.XLOOKUP(наценкад5[[#This Row],[№]],ППД5[№],ППД5[Этаж],"-",0)</f>
        <v>5</v>
      </c>
      <c r="D425" s="2">
        <f>_xlfn.XLOOKUP(наценкад5[[#This Row],[№]],ППД5[№],ППД5[№ на этаже],"-",0)</f>
        <v>3</v>
      </c>
      <c r="E425" s="2">
        <f>_xlfn.XLOOKUP(наценкад5[[#This Row],[№]],ППД5[№],ППД5[Тип кв],"-",0)</f>
        <v>0</v>
      </c>
      <c r="F425" s="72">
        <f>_xlfn.XLOOKUP(наценкад5[[#This Row],[№]],ППД5[№],ППД5[Кухня],"-",0)</f>
        <v>5.17</v>
      </c>
      <c r="G425" s="72">
        <f>_xlfn.XLOOKUP(наценкад5[[#This Row],[№]],ППД5[№],ППД5[Ванная],"-",0)</f>
        <v>3.71</v>
      </c>
      <c r="H425" s="72">
        <f>_xlfn.XLOOKUP(наценкад5[[#This Row],[№]],ППД5[№],ППД5[Гардеробная],"-",0)</f>
        <v>0</v>
      </c>
      <c r="I425" s="72">
        <f>_xlfn.XLOOKUP(наценкад5[[#This Row],[№]],ППД5[№],ППД5[Лоджия 2],"-",0)</f>
        <v>0</v>
      </c>
      <c r="J425" s="72">
        <f>_xlfn.XLOOKUP(наценкад5[[#This Row],[№]],ППД5[№],ППД5[С\У],"-",0)</f>
        <v>0</v>
      </c>
      <c r="K425" s="72">
        <f>_xlfn.XLOOKUP(наценкад5[[#This Row],[№]],ППД5[№],ППД5[Расчетная проектная площадь],"-",0)</f>
        <v>24.5</v>
      </c>
      <c r="L425" s="12">
        <f t="shared" si="6"/>
        <v>63000</v>
      </c>
      <c r="M425" s="116">
        <f>коэффициенты!$H$2</f>
        <v>1.3905000000000001</v>
      </c>
      <c r="N425" s="13">
        <f>наценкад5[[#This Row],[Цена м2 базовая]]*наценкад5[[#This Row],[Базовой K]]</f>
        <v>87601.5</v>
      </c>
      <c r="O425" s="74"/>
      <c r="P425" s="74"/>
      <c r="Q425" s="74"/>
      <c r="R425" s="74"/>
      <c r="S425" s="74"/>
      <c r="T425" s="74"/>
      <c r="U425" s="74"/>
      <c r="V425" s="74">
        <f>коэффициенты!$H$11</f>
        <v>0.01</v>
      </c>
      <c r="W425" s="74"/>
      <c r="X425" s="74">
        <f>коэффициенты!$H$13</f>
        <v>0.01</v>
      </c>
      <c r="Y425" s="75"/>
      <c r="Z425" s="74"/>
      <c r="AA425" s="74"/>
      <c r="AB425" s="74"/>
      <c r="AC425" s="74"/>
      <c r="AD425" s="74">
        <f>коэффициенты!$H$19</f>
        <v>0.01</v>
      </c>
      <c r="AE425" s="74"/>
      <c r="AF425" s="74">
        <f>коэффициенты!$H$21</f>
        <v>0.01</v>
      </c>
      <c r="AG425" s="74"/>
      <c r="AH425" s="74"/>
      <c r="AI425" s="73">
        <f>SUM(наценкад5[[#This Row],[еврокухня]:[большая площадь]])*наценкад5[[#This Row],[Цена м2 с базовым K]]+наценкад5[[#This Row],[Цена м2 с базовым K]]</f>
        <v>91105.56</v>
      </c>
      <c r="AJ425" s="72">
        <f>VLOOKUP(наценкад5[[#This Row],[№]],ППД5[],COLUMN(ППД5[[#This Row],[утв цена м2]]),0)</f>
        <v>119078.47</v>
      </c>
      <c r="AK425" s="3">
        <f>наценкад5[[#This Row],[утв цена м2]]*наценкад5[[#This Row],[Расчетная проектная площадь]]</f>
        <v>2917422.5150000001</v>
      </c>
      <c r="AL425" s="22" t="str">
        <f>VLOOKUP(наценкад5[[#This Row],[№]],ППД5[],COLUMN('Реестр ОН'!$DF$1),0)</f>
        <v>Продажа</v>
      </c>
    </row>
    <row r="426" spans="1:38" hidden="1" x14ac:dyDescent="0.25">
      <c r="A426" s="101">
        <v>424</v>
      </c>
      <c r="B426" s="2" t="str">
        <f>_xlfn.XLOOKUP(наценкад5[[#This Row],[№]],ППД5[№],ППД5[Секция],"-",0)</f>
        <v>Г</v>
      </c>
      <c r="C426" s="2">
        <f>_xlfn.XLOOKUP(наценкад5[[#This Row],[№]],ППД5[№],ППД5[Этаж],"-",0)</f>
        <v>5</v>
      </c>
      <c r="D426" s="2">
        <f>_xlfn.XLOOKUP(наценкад5[[#This Row],[№]],ППД5[№],ППД5[№ на этаже],"-",0)</f>
        <v>4</v>
      </c>
      <c r="E426" s="2">
        <f>_xlfn.XLOOKUP(наценкад5[[#This Row],[№]],ППД5[№],ППД5[Тип кв],"-",0)</f>
        <v>2</v>
      </c>
      <c r="F426" s="72">
        <f>_xlfn.XLOOKUP(наценкад5[[#This Row],[№]],ППД5[№],ППД5[Кухня],"-",0)</f>
        <v>15.86</v>
      </c>
      <c r="G426" s="72">
        <f>_xlfn.XLOOKUP(наценкад5[[#This Row],[№]],ППД5[№],ППД5[Ванная],"-",0)</f>
        <v>3.01</v>
      </c>
      <c r="H426" s="72">
        <f>_xlfn.XLOOKUP(наценкад5[[#This Row],[№]],ППД5[№],ППД5[Гардеробная],"-",0)</f>
        <v>0</v>
      </c>
      <c r="I426" s="72">
        <f>_xlfn.XLOOKUP(наценкад5[[#This Row],[№]],ППД5[№],ППД5[Лоджия 2],"-",0)</f>
        <v>0</v>
      </c>
      <c r="J426" s="72">
        <f>_xlfn.XLOOKUP(наценкад5[[#This Row],[№]],ППД5[№],ППД5[С\У],"-",0)</f>
        <v>2.67</v>
      </c>
      <c r="K426" s="72">
        <f>_xlfn.XLOOKUP(наценкад5[[#This Row],[№]],ППД5[№],ППД5[Расчетная проектная площадь],"-",0)</f>
        <v>58.24</v>
      </c>
      <c r="L426" s="12">
        <f t="shared" si="6"/>
        <v>63000</v>
      </c>
      <c r="M426" s="102">
        <f>коэффициенты!$F$2</f>
        <v>1.2257</v>
      </c>
      <c r="N426" s="13">
        <f>наценкад5[[#This Row],[Цена м2 базовая]]*наценкад5[[#This Row],[Базовой K]]</f>
        <v>77219.100000000006</v>
      </c>
      <c r="O426" s="76">
        <f>коэффициенты!$F$4</f>
        <v>1.4999999999999999E-2</v>
      </c>
      <c r="P426" s="74"/>
      <c r="Q426" s="76"/>
      <c r="R426" s="76">
        <f>коэффициенты!$F$10</f>
        <v>0</v>
      </c>
      <c r="S426" s="76">
        <f>коэффициенты!$F$9</f>
        <v>0</v>
      </c>
      <c r="T426" s="74"/>
      <c r="U426" s="74"/>
      <c r="V426" s="74"/>
      <c r="W426" s="75"/>
      <c r="X426" s="74"/>
      <c r="Y426" s="75"/>
      <c r="Z426" s="74"/>
      <c r="AA426" s="74"/>
      <c r="AB426" s="74"/>
      <c r="AC426" s="74"/>
      <c r="AD426" s="74">
        <f>коэффициенты!$F$19</f>
        <v>5.0000000000000001E-3</v>
      </c>
      <c r="AE426" s="74"/>
      <c r="AF426" s="74">
        <f>коэффициенты!$F$21</f>
        <v>0.01</v>
      </c>
      <c r="AG426" s="74"/>
      <c r="AH426" s="74"/>
      <c r="AI426" s="73">
        <f>SUM(наценкад5[[#This Row],[еврокухня]:[большая площадь]])*наценкад5[[#This Row],[Цена м2 с базовым K]]+наценкад5[[#This Row],[Цена м2 с базовым K]]</f>
        <v>79535.67300000001</v>
      </c>
      <c r="AJ426" s="72">
        <f>VLOOKUP(наценкад5[[#This Row],[№]],ППД5[],COLUMN(ППД5[[#This Row],[утв цена м2]]),0)</f>
        <v>86017.83</v>
      </c>
      <c r="AK426" s="3">
        <f>наценкад5[[#This Row],[утв цена м2]]*наценкад5[[#This Row],[Расчетная проектная площадь]]</f>
        <v>5009678.4192000004</v>
      </c>
      <c r="AL426" s="22" t="str">
        <f>VLOOKUP(наценкад5[[#This Row],[№]],ППД5[],COLUMN('Реестр ОН'!$DF$1),0)</f>
        <v>Продажа</v>
      </c>
    </row>
    <row r="427" spans="1:38" hidden="1" x14ac:dyDescent="0.25">
      <c r="A427" s="101">
        <v>425</v>
      </c>
      <c r="B427" s="2" t="str">
        <f>_xlfn.XLOOKUP(наценкад5[[#This Row],[№]],ППД5[№],ППД5[Секция],"-",0)</f>
        <v>Г</v>
      </c>
      <c r="C427" s="2">
        <f>_xlfn.XLOOKUP(наценкад5[[#This Row],[№]],ППД5[№],ППД5[Этаж],"-",0)</f>
        <v>5</v>
      </c>
      <c r="D427" s="2">
        <f>_xlfn.XLOOKUP(наценкад5[[#This Row],[№]],ППД5[№],ППД5[№ на этаже],"-",0)</f>
        <v>5</v>
      </c>
      <c r="E427" s="2">
        <f>_xlfn.XLOOKUP(наценкад5[[#This Row],[№]],ППД5[№],ППД5[Тип кв],"-",0)</f>
        <v>2</v>
      </c>
      <c r="F427" s="72">
        <f>_xlfn.XLOOKUP(наценкад5[[#This Row],[№]],ППД5[№],ППД5[Кухня],"-",0)</f>
        <v>13.45</v>
      </c>
      <c r="G427" s="72">
        <f>_xlfn.XLOOKUP(наценкад5[[#This Row],[№]],ППД5[№],ППД5[Ванная],"-",0)</f>
        <v>3.7</v>
      </c>
      <c r="H427" s="72">
        <f>_xlfn.XLOOKUP(наценкад5[[#This Row],[№]],ППД5[№],ППД5[Гардеробная],"-",0)</f>
        <v>0</v>
      </c>
      <c r="I427" s="72">
        <f>_xlfn.XLOOKUP(наценкад5[[#This Row],[№]],ППД5[№],ППД5[Лоджия 2],"-",0)</f>
        <v>0</v>
      </c>
      <c r="J427" s="72">
        <f>_xlfn.XLOOKUP(наценкад5[[#This Row],[№]],ППД5[№],ППД5[С\У],"-",0)</f>
        <v>2.72</v>
      </c>
      <c r="K427" s="72">
        <f>_xlfn.XLOOKUP(наценкад5[[#This Row],[№]],ППД5[№],ППД5[Расчетная проектная площадь],"-",0)</f>
        <v>57.8</v>
      </c>
      <c r="L427" s="12">
        <f t="shared" si="6"/>
        <v>63000</v>
      </c>
      <c r="M427" s="102">
        <f>коэффициенты!$F$2</f>
        <v>1.2257</v>
      </c>
      <c r="N427" s="13">
        <f>наценкад5[[#This Row],[Цена м2 базовая]]*наценкад5[[#This Row],[Базовой K]]</f>
        <v>77219.100000000006</v>
      </c>
      <c r="O427" s="74"/>
      <c r="P427" s="74">
        <f>коэффициенты!$F$5</f>
        <v>0.01</v>
      </c>
      <c r="Q427" s="76"/>
      <c r="R427" s="76"/>
      <c r="S427" s="76">
        <f>коэффициенты!$F$9</f>
        <v>0</v>
      </c>
      <c r="T427" s="74"/>
      <c r="U427" s="74"/>
      <c r="V427" s="74"/>
      <c r="W427" s="74"/>
      <c r="X427" s="74"/>
      <c r="Y427" s="75"/>
      <c r="Z427" s="74"/>
      <c r="AA427" s="74"/>
      <c r="AB427" s="74"/>
      <c r="AC427" s="74"/>
      <c r="AD427" s="74">
        <f>коэффициенты!$F$19</f>
        <v>5.0000000000000001E-3</v>
      </c>
      <c r="AE427" s="74"/>
      <c r="AF427" s="74">
        <f>коэффициенты!$F$21</f>
        <v>0.01</v>
      </c>
      <c r="AG427" s="74"/>
      <c r="AH427" s="74"/>
      <c r="AI427" s="73">
        <f>SUM(наценкад5[[#This Row],[еврокухня]:[большая площадь]])*наценкад5[[#This Row],[Цена м2 с базовым K]]+наценкад5[[#This Row],[Цена м2 с базовым K]]</f>
        <v>79149.577499999999</v>
      </c>
      <c r="AJ427" s="72">
        <f>VLOOKUP(наценкад5[[#This Row],[№]],ППД5[],COLUMN(ППД5[[#This Row],[утв цена м2]]),0)</f>
        <v>96821.89</v>
      </c>
      <c r="AK427" s="3">
        <f>наценкад5[[#This Row],[утв цена м2]]*наценкад5[[#This Row],[Расчетная проектная площадь]]</f>
        <v>5596305.2419999996</v>
      </c>
      <c r="AL427" s="22" t="str">
        <f>VLOOKUP(наценкад5[[#This Row],[№]],ППД5[],COLUMN('Реестр ОН'!$DF$1),0)</f>
        <v>Продажа</v>
      </c>
    </row>
    <row r="428" spans="1:38" hidden="1" x14ac:dyDescent="0.25">
      <c r="A428" s="101">
        <v>426</v>
      </c>
      <c r="B428" s="2" t="str">
        <f>_xlfn.XLOOKUP(наценкад5[[#This Row],[№]],ППД5[№],ППД5[Секция],"-",0)</f>
        <v>Г</v>
      </c>
      <c r="C428" s="2">
        <f>_xlfn.XLOOKUP(наценкад5[[#This Row],[№]],ППД5[№],ППД5[Этаж],"-",0)</f>
        <v>5</v>
      </c>
      <c r="D428" s="2">
        <f>_xlfn.XLOOKUP(наценкад5[[#This Row],[№]],ППД5[№],ППД5[№ на этаже],"-",0)</f>
        <v>6</v>
      </c>
      <c r="E428" s="2">
        <f>_xlfn.XLOOKUP(наценкад5[[#This Row],[№]],ППД5[№],ППД5[Тип кв],"-",0)</f>
        <v>1</v>
      </c>
      <c r="F428" s="72">
        <f>_xlfn.XLOOKUP(наценкад5[[#This Row],[№]],ППД5[№],ППД5[Кухня],"-",0)</f>
        <v>12.55</v>
      </c>
      <c r="G428" s="72">
        <f>_xlfn.XLOOKUP(наценкад5[[#This Row],[№]],ППД5[№],ППД5[Ванная],"-",0)</f>
        <v>4.28</v>
      </c>
      <c r="H428" s="72">
        <f>_xlfn.XLOOKUP(наценкад5[[#This Row],[№]],ППД5[№],ППД5[Гардеробная],"-",0)</f>
        <v>0</v>
      </c>
      <c r="I428" s="72">
        <f>_xlfn.XLOOKUP(наценкад5[[#This Row],[№]],ППД5[№],ППД5[Лоджия 2],"-",0)</f>
        <v>0</v>
      </c>
      <c r="J428" s="72">
        <f>_xlfn.XLOOKUP(наценкад5[[#This Row],[№]],ППД5[№],ППД5[С\У],"-",0)</f>
        <v>0</v>
      </c>
      <c r="K428" s="72">
        <f>_xlfn.XLOOKUP(наценкад5[[#This Row],[№]],ППД5[№],ППД5[Расчетная проектная площадь],"-",0)</f>
        <v>38.299999999999997</v>
      </c>
      <c r="L428" s="12">
        <f t="shared" si="6"/>
        <v>63000</v>
      </c>
      <c r="M428" s="102">
        <f>коэффициенты!$G$2</f>
        <v>1.2875000000000001</v>
      </c>
      <c r="N428" s="13">
        <f>наценкад5[[#This Row],[Цена м2 базовая]]*наценкад5[[#This Row],[Базовой K]]</f>
        <v>81112.5</v>
      </c>
      <c r="O428" s="74"/>
      <c r="P428" s="76">
        <f>коэффициенты!$G$5</f>
        <v>0.01</v>
      </c>
      <c r="Q428" s="74">
        <f>коэффициенты!$G$6</f>
        <v>0.03</v>
      </c>
      <c r="R428" s="74"/>
      <c r="S428" s="74"/>
      <c r="T428" s="74"/>
      <c r="U428" s="74"/>
      <c r="V428" s="74">
        <f>коэффициенты!$G$11</f>
        <v>0.01</v>
      </c>
      <c r="W428" s="74"/>
      <c r="X428" s="74">
        <f>коэффициенты!$G$13</f>
        <v>0.01</v>
      </c>
      <c r="Y428" s="75"/>
      <c r="Z428" s="74"/>
      <c r="AA428" s="74"/>
      <c r="AB428" s="74"/>
      <c r="AC428" s="74"/>
      <c r="AD428" s="74">
        <f>коэффициенты!$G$19</f>
        <v>0.01</v>
      </c>
      <c r="AE428" s="74"/>
      <c r="AF428" s="74">
        <f>коэффициенты!$G$21</f>
        <v>0.01</v>
      </c>
      <c r="AG428" s="74"/>
      <c r="AH428" s="74"/>
      <c r="AI428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428" s="72">
        <f>VLOOKUP(наценкад5[[#This Row],[№]],ППД5[],COLUMN(ППД5[[#This Row],[утв цена м2]]),0)</f>
        <v>109748.01</v>
      </c>
      <c r="AK428" s="3">
        <f>наценкад5[[#This Row],[утв цена м2]]*наценкад5[[#This Row],[Расчетная проектная площадь]]</f>
        <v>4203348.7829999998</v>
      </c>
      <c r="AL428" s="22" t="str">
        <f>VLOOKUP(наценкад5[[#This Row],[№]],ППД5[],COLUMN('Реестр ОН'!$DF$1),0)</f>
        <v>Продажа</v>
      </c>
    </row>
    <row r="429" spans="1:38" hidden="1" x14ac:dyDescent="0.25">
      <c r="A429" s="101">
        <v>427</v>
      </c>
      <c r="B429" s="2" t="str">
        <f>_xlfn.XLOOKUP(наценкад5[[#This Row],[№]],ППД5[№],ППД5[Секция],"-",0)</f>
        <v>Г</v>
      </c>
      <c r="C429" s="2">
        <f>_xlfn.XLOOKUP(наценкад5[[#This Row],[№]],ППД5[№],ППД5[Этаж],"-",0)</f>
        <v>5</v>
      </c>
      <c r="D429" s="2">
        <f>_xlfn.XLOOKUP(наценкад5[[#This Row],[№]],ППД5[№],ППД5[№ на этаже],"-",0)</f>
        <v>7</v>
      </c>
      <c r="E429" s="2">
        <f>_xlfn.XLOOKUP(наценкад5[[#This Row],[№]],ППД5[№],ППД5[Тип кв],"-",0)</f>
        <v>3</v>
      </c>
      <c r="F429" s="72">
        <f>_xlfn.XLOOKUP(наценкад5[[#This Row],[№]],ППД5[№],ППД5[Кухня],"-",0)</f>
        <v>16.670000000000002</v>
      </c>
      <c r="G429" s="72">
        <f>_xlfn.XLOOKUP(наценкад5[[#This Row],[№]],ППД5[№],ППД5[Ванная],"-",0)</f>
        <v>4.1399999999999997</v>
      </c>
      <c r="H429" s="72">
        <f>_xlfn.XLOOKUP(наценкад5[[#This Row],[№]],ППД5[№],ППД5[Гардеробная],"-",0)</f>
        <v>0</v>
      </c>
      <c r="I429" s="72">
        <f>_xlfn.XLOOKUP(наценкад5[[#This Row],[№]],ППД5[№],ППД5[Лоджия 2],"-",0)</f>
        <v>2.79</v>
      </c>
      <c r="J429" s="72">
        <f>_xlfn.XLOOKUP(наценкад5[[#This Row],[№]],ППД5[№],ППД5[С\У],"-",0)</f>
        <v>1.89</v>
      </c>
      <c r="K429" s="72">
        <f>_xlfn.XLOOKUP(наценкад5[[#This Row],[№]],ППД5[№],ППД5[Расчетная проектная площадь],"-",0)</f>
        <v>79.44</v>
      </c>
      <c r="L429" s="12">
        <f t="shared" si="6"/>
        <v>63000</v>
      </c>
      <c r="M429" s="27">
        <f>коэффициенты!$E$2</f>
        <v>1.1330000000000002</v>
      </c>
      <c r="N429" s="13">
        <f>наценкад5[[#This Row],[Цена м2 базовая]]*наценкад5[[#This Row],[Базовой K]]</f>
        <v>71379.000000000015</v>
      </c>
      <c r="O429" s="74">
        <f>коэффициенты!$E$4</f>
        <v>0.03</v>
      </c>
      <c r="P429" s="74"/>
      <c r="Q429" s="74">
        <f>коэффициенты!$E$6</f>
        <v>0.01</v>
      </c>
      <c r="R429" s="74"/>
      <c r="S429" s="74">
        <f>коэффициенты!$E$9</f>
        <v>0</v>
      </c>
      <c r="T429" s="74">
        <f>коэффициенты!$E$7</f>
        <v>0</v>
      </c>
      <c r="U429" s="74">
        <f>коэффициенты!$E$8</f>
        <v>0.01</v>
      </c>
      <c r="V429" s="74"/>
      <c r="W429" s="75"/>
      <c r="X429" s="74"/>
      <c r="Y429" s="75"/>
      <c r="Z429" s="74"/>
      <c r="AA429" s="74">
        <f>коэффициенты!$E$14</f>
        <v>0</v>
      </c>
      <c r="AB429" s="74"/>
      <c r="AC429" s="74">
        <f>коэффициенты!$E$18</f>
        <v>0.01</v>
      </c>
      <c r="AD429" s="74"/>
      <c r="AE429" s="74"/>
      <c r="AF429" s="74">
        <f>коэффициенты!$E$21</f>
        <v>0.01</v>
      </c>
      <c r="AG429" s="74"/>
      <c r="AH429" s="74"/>
      <c r="AI429" s="73">
        <f>SUM(наценкад5[[#This Row],[еврокухня]:[большая площадь]])*наценкад5[[#This Row],[Цена м2 с базовым K]]+наценкад5[[#This Row],[Цена м2 с базовым K]]</f>
        <v>76375.530000000013</v>
      </c>
      <c r="AJ429" s="72">
        <f>VLOOKUP(наценкад5[[#This Row],[№]],ППД5[],COLUMN(ППД5[[#This Row],[утв цена м2]]),0)</f>
        <v>121277.93</v>
      </c>
      <c r="AK429" s="3">
        <f>наценкад5[[#This Row],[утв цена м2]]*наценкад5[[#This Row],[Расчетная проектная площадь]]</f>
        <v>9634318.7591999993</v>
      </c>
      <c r="AL429" s="22" t="str">
        <f>VLOOKUP(наценкад5[[#This Row],[№]],ППД5[],COLUMN('Реестр ОН'!$DF$1),0)</f>
        <v>Продажа</v>
      </c>
    </row>
    <row r="430" spans="1:38" hidden="1" x14ac:dyDescent="0.25">
      <c r="A430" s="101">
        <v>428</v>
      </c>
      <c r="B430" s="2" t="str">
        <f>_xlfn.XLOOKUP(наценкад5[[#This Row],[№]],ППД5[№],ППД5[Секция],"-",0)</f>
        <v>Г</v>
      </c>
      <c r="C430" s="2">
        <f>_xlfn.XLOOKUP(наценкад5[[#This Row],[№]],ППД5[№],ППД5[Этаж],"-",0)</f>
        <v>5</v>
      </c>
      <c r="D430" s="2">
        <f>_xlfn.XLOOKUP(наценкад5[[#This Row],[№]],ППД5[№],ППД5[№ на этаже],"-",0)</f>
        <v>8</v>
      </c>
      <c r="E430" s="2">
        <f>_xlfn.XLOOKUP(наценкад5[[#This Row],[№]],ППД5[№],ППД5[Тип кв],"-",0)</f>
        <v>1</v>
      </c>
      <c r="F430" s="72">
        <f>_xlfn.XLOOKUP(наценкад5[[#This Row],[№]],ППД5[№],ППД5[Кухня],"-",0)</f>
        <v>11.43</v>
      </c>
      <c r="G430" s="72">
        <f>_xlfn.XLOOKUP(наценкад5[[#This Row],[№]],ППД5[№],ППД5[Ванная],"-",0)</f>
        <v>3.56</v>
      </c>
      <c r="H430" s="72">
        <f>_xlfn.XLOOKUP(наценкад5[[#This Row],[№]],ППД5[№],ППД5[Гардеробная],"-",0)</f>
        <v>0</v>
      </c>
      <c r="I430" s="72">
        <f>_xlfn.XLOOKUP(наценкад5[[#This Row],[№]],ППД5[№],ППД5[Лоджия 2],"-",0)</f>
        <v>0</v>
      </c>
      <c r="J430" s="72">
        <f>_xlfn.XLOOKUP(наценкад5[[#This Row],[№]],ППД5[№],ППД5[С\У],"-",0)</f>
        <v>0</v>
      </c>
      <c r="K430" s="72">
        <f>_xlfn.XLOOKUP(наценкад5[[#This Row],[№]],ППД5[№],ППД5[Расчетная проектная площадь],"-",0)</f>
        <v>39.69</v>
      </c>
      <c r="L430" s="12">
        <f t="shared" si="6"/>
        <v>63000</v>
      </c>
      <c r="M430" s="102">
        <f>коэффициенты!$G$2</f>
        <v>1.2875000000000001</v>
      </c>
      <c r="N430" s="13">
        <f>наценкад5[[#This Row],[Цена м2 базовая]]*наценкад5[[#This Row],[Базовой K]]</f>
        <v>81112.5</v>
      </c>
      <c r="O430" s="74"/>
      <c r="P430" s="76">
        <f>коэффициенты!$G$5</f>
        <v>0.01</v>
      </c>
      <c r="Q430" s="74"/>
      <c r="R430" s="74"/>
      <c r="S430" s="74"/>
      <c r="T430" s="74"/>
      <c r="U430" s="74"/>
      <c r="V430" s="74">
        <f>коэффициенты!$G$11</f>
        <v>0.01</v>
      </c>
      <c r="W430" s="74"/>
      <c r="X430" s="74"/>
      <c r="Y430" s="75"/>
      <c r="Z430" s="74"/>
      <c r="AA430" s="74">
        <f>коэффициенты!$G$14</f>
        <v>0.01</v>
      </c>
      <c r="AB430" s="74"/>
      <c r="AC430" s="74"/>
      <c r="AD430" s="74">
        <f>коэффициенты!$G$19</f>
        <v>0.01</v>
      </c>
      <c r="AE430" s="74"/>
      <c r="AF430" s="74">
        <f>коэффициенты!$G$21</f>
        <v>0.01</v>
      </c>
      <c r="AG430" s="74">
        <f>коэффициенты!$A$24</f>
        <v>-5.0000000000000001E-3</v>
      </c>
      <c r="AH430" s="74"/>
      <c r="AI430" s="73">
        <f>SUM(наценкад5[[#This Row],[еврокухня]:[большая площадь]])*наценкад5[[#This Row],[Цена м2 с базовым K]]+наценкад5[[#This Row],[Цена м2 с базовым K]]</f>
        <v>84762.5625</v>
      </c>
      <c r="AJ430" s="72">
        <f>VLOOKUP(наценкад5[[#This Row],[№]],ППД5[],COLUMN(ППД5[[#This Row],[утв цена м2]]),0)</f>
        <v>109871.26</v>
      </c>
      <c r="AK430" s="3">
        <f>наценкад5[[#This Row],[утв цена м2]]*наценкад5[[#This Row],[Расчетная проектная площадь]]</f>
        <v>4360790.3093999997</v>
      </c>
      <c r="AL430" s="22" t="str">
        <f>VLOOKUP(наценкад5[[#This Row],[№]],ППД5[],COLUMN('Реестр ОН'!$DF$1),0)</f>
        <v>Продажа</v>
      </c>
    </row>
    <row r="431" spans="1:38" hidden="1" x14ac:dyDescent="0.25">
      <c r="A431" s="101">
        <v>429</v>
      </c>
      <c r="B431" s="2" t="str">
        <f>_xlfn.XLOOKUP(наценкад5[[#This Row],[№]],ППД5[№],ППД5[Секция],"-",0)</f>
        <v>Г</v>
      </c>
      <c r="C431" s="2">
        <f>_xlfn.XLOOKUP(наценкад5[[#This Row],[№]],ППД5[№],ППД5[Этаж],"-",0)</f>
        <v>6</v>
      </c>
      <c r="D431" s="2">
        <f>_xlfn.XLOOKUP(наценкад5[[#This Row],[№]],ППД5[№],ППД5[№ на этаже],"-",0)</f>
        <v>1</v>
      </c>
      <c r="E431" s="2">
        <f>_xlfn.XLOOKUP(наценкад5[[#This Row],[№]],ППД5[№],ППД5[Тип кв],"-",0)</f>
        <v>0</v>
      </c>
      <c r="F431" s="72">
        <f>_xlfn.XLOOKUP(наценкад5[[#This Row],[№]],ППД5[№],ППД5[Кухня],"-",0)</f>
        <v>5.84</v>
      </c>
      <c r="G431" s="72">
        <f>_xlfn.XLOOKUP(наценкад5[[#This Row],[№]],ППД5[№],ППД5[Ванная],"-",0)</f>
        <v>3.76</v>
      </c>
      <c r="H431" s="72">
        <f>_xlfn.XLOOKUP(наценкад5[[#This Row],[№]],ППД5[№],ППД5[Гардеробная],"-",0)</f>
        <v>0</v>
      </c>
      <c r="I431" s="72">
        <f>_xlfn.XLOOKUP(наценкад5[[#This Row],[№]],ППД5[№],ППД5[Лоджия 2],"-",0)</f>
        <v>0</v>
      </c>
      <c r="J431" s="72">
        <f>_xlfn.XLOOKUP(наценкад5[[#This Row],[№]],ППД5[№],ППД5[С\У],"-",0)</f>
        <v>0</v>
      </c>
      <c r="K431" s="72">
        <f>_xlfn.XLOOKUP(наценкад5[[#This Row],[№]],ППД5[№],ППД5[Расчетная проектная площадь],"-",0)</f>
        <v>29.4</v>
      </c>
      <c r="L431" s="12">
        <f t="shared" si="6"/>
        <v>63000</v>
      </c>
      <c r="M431" s="116">
        <f>коэффициенты!$H$2</f>
        <v>1.3905000000000001</v>
      </c>
      <c r="N431" s="13">
        <f>наценкад5[[#This Row],[Цена м2 базовая]]*наценкад5[[#This Row],[Базовой K]]</f>
        <v>87601.5</v>
      </c>
      <c r="O431" s="74"/>
      <c r="P431" s="74"/>
      <c r="Q431" s="74"/>
      <c r="R431" s="74"/>
      <c r="S431" s="74"/>
      <c r="T431" s="74"/>
      <c r="U431" s="74"/>
      <c r="V431" s="74"/>
      <c r="W431" s="74"/>
      <c r="X431" s="74"/>
      <c r="Y431" s="75"/>
      <c r="Z431" s="74"/>
      <c r="AA431" s="74"/>
      <c r="AB431" s="74"/>
      <c r="AC431" s="74"/>
      <c r="AD431" s="74">
        <f>коэффициенты!$H$19</f>
        <v>0.01</v>
      </c>
      <c r="AE431" s="74"/>
      <c r="AF431" s="74">
        <f>коэффициенты!$H$21</f>
        <v>0.01</v>
      </c>
      <c r="AG431" s="74"/>
      <c r="AH431" s="74"/>
      <c r="AI431" s="73">
        <f>SUM(наценкад5[[#This Row],[еврокухня]:[большая площадь]])*наценкад5[[#This Row],[Цена м2 с базовым K]]+наценкад5[[#This Row],[Цена м2 с базовым K]]</f>
        <v>89353.53</v>
      </c>
      <c r="AJ431" s="72">
        <f>VLOOKUP(наценкад5[[#This Row],[№]],ППД5[],COLUMN(ППД5[[#This Row],[утв цена м2]]),0)</f>
        <v>89353.53</v>
      </c>
      <c r="AK431" s="3">
        <f>наценкад5[[#This Row],[утв цена м2]]*наценкад5[[#This Row],[Расчетная проектная площадь]]</f>
        <v>2626993.7819999997</v>
      </c>
      <c r="AL431" s="22" t="str">
        <f>VLOOKUP(наценкад5[[#This Row],[№]],ППД5[],COLUMN('Реестр ОН'!$DF$1),0)</f>
        <v>Продажа</v>
      </c>
    </row>
    <row r="432" spans="1:38" hidden="1" x14ac:dyDescent="0.25">
      <c r="A432" s="101">
        <v>430</v>
      </c>
      <c r="B432" s="2" t="str">
        <f>_xlfn.XLOOKUP(наценкад5[[#This Row],[№]],ППД5[№],ППД5[Секция],"-",0)</f>
        <v>Г</v>
      </c>
      <c r="C432" s="2">
        <f>_xlfn.XLOOKUP(наценкад5[[#This Row],[№]],ППД5[№],ППД5[Этаж],"-",0)</f>
        <v>6</v>
      </c>
      <c r="D432" s="2">
        <f>_xlfn.XLOOKUP(наценкад5[[#This Row],[№]],ППД5[№],ППД5[№ на этаже],"-",0)</f>
        <v>2</v>
      </c>
      <c r="E432" s="2">
        <f>_xlfn.XLOOKUP(наценкад5[[#This Row],[№]],ППД5[№],ППД5[Тип кв],"-",0)</f>
        <v>1</v>
      </c>
      <c r="F432" s="72">
        <f>_xlfn.XLOOKUP(наценкад5[[#This Row],[№]],ППД5[№],ППД5[Кухня],"-",0)</f>
        <v>16.940000000000001</v>
      </c>
      <c r="G432" s="72">
        <f>_xlfn.XLOOKUP(наценкад5[[#This Row],[№]],ППД5[№],ППД5[Ванная],"-",0)</f>
        <v>3.55</v>
      </c>
      <c r="H432" s="72">
        <f>_xlfn.XLOOKUP(наценкад5[[#This Row],[№]],ППД5[№],ППД5[Гардеробная],"-",0)</f>
        <v>0</v>
      </c>
      <c r="I432" s="72">
        <f>_xlfn.XLOOKUP(наценкад5[[#This Row],[№]],ППД5[№],ППД5[Лоджия 2],"-",0)</f>
        <v>0</v>
      </c>
      <c r="J432" s="72">
        <f>_xlfn.XLOOKUP(наценкад5[[#This Row],[№]],ППД5[№],ППД5[С\У],"-",0)</f>
        <v>2.41</v>
      </c>
      <c r="K432" s="72">
        <f>_xlfn.XLOOKUP(наценкад5[[#This Row],[№]],ППД5[№],ППД5[Расчетная проектная площадь],"-",0)</f>
        <v>43.21</v>
      </c>
      <c r="L432" s="12">
        <f t="shared" si="6"/>
        <v>63000</v>
      </c>
      <c r="M432" s="102">
        <f>коэффициенты!$G$2</f>
        <v>1.2875000000000001</v>
      </c>
      <c r="N432" s="13">
        <f>наценкад5[[#This Row],[Цена м2 базовая]]*наценкад5[[#This Row],[Базовой K]]</f>
        <v>81112.5</v>
      </c>
      <c r="O432" s="76">
        <f>коэффициенты!$G$4</f>
        <v>0.02</v>
      </c>
      <c r="P432" s="74"/>
      <c r="Q432" s="74"/>
      <c r="R432" s="74">
        <f>коэффициенты!$G$10</f>
        <v>0.01</v>
      </c>
      <c r="S432" s="74">
        <f>коэффициенты!$G$9</f>
        <v>0</v>
      </c>
      <c r="T432" s="74"/>
      <c r="U432" s="74"/>
      <c r="V432" s="74"/>
      <c r="W432" s="75"/>
      <c r="X432" s="74"/>
      <c r="Y432" s="75"/>
      <c r="Z432" s="74"/>
      <c r="AA432" s="74"/>
      <c r="AB432" s="74"/>
      <c r="AC432" s="74"/>
      <c r="AD432" s="74">
        <f>коэффициенты!$G$19</f>
        <v>0.01</v>
      </c>
      <c r="AE432" s="74"/>
      <c r="AF432" s="74">
        <f>коэффициенты!$G$21</f>
        <v>0.01</v>
      </c>
      <c r="AG432" s="74"/>
      <c r="AH432" s="74"/>
      <c r="AI432" s="73">
        <f>SUM(наценкад5[[#This Row],[еврокухня]:[большая площадь]])*наценкад5[[#This Row],[Цена м2 с базовым K]]+наценкад5[[#This Row],[Цена м2 с базовым K]]</f>
        <v>85168.125</v>
      </c>
      <c r="AJ432" s="72">
        <f>VLOOKUP(наценкад5[[#This Row],[№]],ППД5[],COLUMN(ППД5[[#This Row],[утв цена м2]]),0)</f>
        <v>108271.44</v>
      </c>
      <c r="AK432" s="3">
        <f>наценкад5[[#This Row],[утв цена м2]]*наценкад5[[#This Row],[Расчетная проектная площадь]]</f>
        <v>4678408.9224000005</v>
      </c>
      <c r="AL432" s="22" t="str">
        <f>VLOOKUP(наценкад5[[#This Row],[№]],ППД5[],COLUMN('Реестр ОН'!$DF$1),0)</f>
        <v>Продажа</v>
      </c>
    </row>
    <row r="433" spans="1:38" hidden="1" x14ac:dyDescent="0.25">
      <c r="A433" s="101">
        <v>431</v>
      </c>
      <c r="B433" s="2" t="str">
        <f>_xlfn.XLOOKUP(наценкад5[[#This Row],[№]],ППД5[№],ППД5[Секция],"-",0)</f>
        <v>Г</v>
      </c>
      <c r="C433" s="2">
        <f>_xlfn.XLOOKUP(наценкад5[[#This Row],[№]],ППД5[№],ППД5[Этаж],"-",0)</f>
        <v>6</v>
      </c>
      <c r="D433" s="2">
        <f>_xlfn.XLOOKUP(наценкад5[[#This Row],[№]],ППД5[№],ППД5[№ на этаже],"-",0)</f>
        <v>3</v>
      </c>
      <c r="E433" s="2">
        <f>_xlfn.XLOOKUP(наценкад5[[#This Row],[№]],ППД5[№],ППД5[Тип кв],"-",0)</f>
        <v>0</v>
      </c>
      <c r="F433" s="72">
        <f>_xlfn.XLOOKUP(наценкад5[[#This Row],[№]],ППД5[№],ППД5[Кухня],"-",0)</f>
        <v>5.17</v>
      </c>
      <c r="G433" s="72">
        <f>_xlfn.XLOOKUP(наценкад5[[#This Row],[№]],ППД5[№],ППД5[Ванная],"-",0)</f>
        <v>3.71</v>
      </c>
      <c r="H433" s="72">
        <f>_xlfn.XLOOKUP(наценкад5[[#This Row],[№]],ППД5[№],ППД5[Гардеробная],"-",0)</f>
        <v>0</v>
      </c>
      <c r="I433" s="72">
        <f>_xlfn.XLOOKUP(наценкад5[[#This Row],[№]],ППД5[№],ППД5[Лоджия 2],"-",0)</f>
        <v>0</v>
      </c>
      <c r="J433" s="72">
        <f>_xlfn.XLOOKUP(наценкад5[[#This Row],[№]],ППД5[№],ППД5[С\У],"-",0)</f>
        <v>0</v>
      </c>
      <c r="K433" s="72">
        <f>_xlfn.XLOOKUP(наценкад5[[#This Row],[№]],ППД5[№],ППД5[Расчетная проектная площадь],"-",0)</f>
        <v>24.5</v>
      </c>
      <c r="L433" s="12">
        <f t="shared" si="6"/>
        <v>63000</v>
      </c>
      <c r="M433" s="116">
        <f>коэффициенты!$H$2</f>
        <v>1.3905000000000001</v>
      </c>
      <c r="N433" s="13">
        <f>наценкад5[[#This Row],[Цена м2 базовая]]*наценкад5[[#This Row],[Базовой K]]</f>
        <v>87601.5</v>
      </c>
      <c r="O433" s="74"/>
      <c r="P433" s="74"/>
      <c r="Q433" s="74"/>
      <c r="R433" s="74"/>
      <c r="S433" s="74"/>
      <c r="T433" s="74"/>
      <c r="U433" s="74"/>
      <c r="V433" s="74">
        <f>коэффициенты!$H$11</f>
        <v>0.01</v>
      </c>
      <c r="W433" s="75"/>
      <c r="X433" s="74">
        <f>коэффициенты!$H$13</f>
        <v>0.01</v>
      </c>
      <c r="Y433" s="75"/>
      <c r="Z433" s="74"/>
      <c r="AA433" s="74"/>
      <c r="AB433" s="74"/>
      <c r="AC433" s="74"/>
      <c r="AD433" s="74">
        <f>коэффициенты!$H$19</f>
        <v>0.01</v>
      </c>
      <c r="AE433" s="74"/>
      <c r="AF433" s="74">
        <f>коэффициенты!$H$21</f>
        <v>0.01</v>
      </c>
      <c r="AG433" s="74"/>
      <c r="AH433" s="74"/>
      <c r="AI433" s="73">
        <f>SUM(наценкад5[[#This Row],[еврокухня]:[большая площадь]])*наценкад5[[#This Row],[Цена м2 с базовым K]]+наценкад5[[#This Row],[Цена м2 с базовым K]]</f>
        <v>91105.56</v>
      </c>
      <c r="AJ433" s="72">
        <f>VLOOKUP(наценкад5[[#This Row],[№]],ППД5[],COLUMN(ППД5[[#This Row],[утв цена м2]]),0)</f>
        <v>91105.56</v>
      </c>
      <c r="AK433" s="3">
        <f>наценкад5[[#This Row],[утв цена м2]]*наценкад5[[#This Row],[Расчетная проектная площадь]]</f>
        <v>2232086.2199999997</v>
      </c>
      <c r="AL433" s="22" t="str">
        <f>VLOOKUP(наценкад5[[#This Row],[№]],ППД5[],COLUMN('Реестр ОН'!$DF$1),0)</f>
        <v>Продажа</v>
      </c>
    </row>
    <row r="434" spans="1:38" hidden="1" x14ac:dyDescent="0.25">
      <c r="A434" s="101">
        <v>432</v>
      </c>
      <c r="B434" s="2" t="str">
        <f>_xlfn.XLOOKUP(наценкад5[[#This Row],[№]],ППД5[№],ППД5[Секция],"-",0)</f>
        <v>Г</v>
      </c>
      <c r="C434" s="2">
        <f>_xlfn.XLOOKUP(наценкад5[[#This Row],[№]],ППД5[№],ППД5[Этаж],"-",0)</f>
        <v>6</v>
      </c>
      <c r="D434" s="2">
        <f>_xlfn.XLOOKUP(наценкад5[[#This Row],[№]],ППД5[№],ППД5[№ на этаже],"-",0)</f>
        <v>4</v>
      </c>
      <c r="E434" s="2">
        <f>_xlfn.XLOOKUP(наценкад5[[#This Row],[№]],ППД5[№],ППД5[Тип кв],"-",0)</f>
        <v>2</v>
      </c>
      <c r="F434" s="72">
        <f>_xlfn.XLOOKUP(наценкад5[[#This Row],[№]],ППД5[№],ППД5[Кухня],"-",0)</f>
        <v>15.86</v>
      </c>
      <c r="G434" s="72">
        <f>_xlfn.XLOOKUP(наценкад5[[#This Row],[№]],ППД5[№],ППД5[Ванная],"-",0)</f>
        <v>3.01</v>
      </c>
      <c r="H434" s="72">
        <f>_xlfn.XLOOKUP(наценкад5[[#This Row],[№]],ППД5[№],ППД5[Гардеробная],"-",0)</f>
        <v>0</v>
      </c>
      <c r="I434" s="72">
        <f>_xlfn.XLOOKUP(наценкад5[[#This Row],[№]],ППД5[№],ППД5[Лоджия 2],"-",0)</f>
        <v>0</v>
      </c>
      <c r="J434" s="72">
        <f>_xlfn.XLOOKUP(наценкад5[[#This Row],[№]],ППД5[№],ППД5[С\У],"-",0)</f>
        <v>2.67</v>
      </c>
      <c r="K434" s="72">
        <f>_xlfn.XLOOKUP(наценкад5[[#This Row],[№]],ППД5[№],ППД5[Расчетная проектная площадь],"-",0)</f>
        <v>58.24</v>
      </c>
      <c r="L434" s="12">
        <f t="shared" si="6"/>
        <v>63000</v>
      </c>
      <c r="M434" s="102">
        <f>коэффициенты!$F$2</f>
        <v>1.2257</v>
      </c>
      <c r="N434" s="13">
        <f>наценкад5[[#This Row],[Цена м2 базовая]]*наценкад5[[#This Row],[Базовой K]]</f>
        <v>77219.100000000006</v>
      </c>
      <c r="O434" s="76">
        <f>коэффициенты!$F$4</f>
        <v>1.4999999999999999E-2</v>
      </c>
      <c r="P434" s="74"/>
      <c r="Q434" s="76"/>
      <c r="R434" s="76">
        <f>коэффициенты!$F$10</f>
        <v>0</v>
      </c>
      <c r="S434" s="76">
        <f>коэффициенты!$F$9</f>
        <v>0</v>
      </c>
      <c r="T434" s="74"/>
      <c r="U434" s="74"/>
      <c r="V434" s="74"/>
      <c r="W434" s="74"/>
      <c r="X434" s="74"/>
      <c r="Y434" s="75"/>
      <c r="Z434" s="74"/>
      <c r="AA434" s="74"/>
      <c r="AB434" s="74"/>
      <c r="AC434" s="74"/>
      <c r="AD434" s="74">
        <f>коэффициенты!$F$19</f>
        <v>5.0000000000000001E-3</v>
      </c>
      <c r="AE434" s="74"/>
      <c r="AF434" s="74">
        <f>коэффициенты!$F$21</f>
        <v>0.01</v>
      </c>
      <c r="AG434" s="74"/>
      <c r="AH434" s="74"/>
      <c r="AI434" s="73">
        <f>SUM(наценкад5[[#This Row],[еврокухня]:[большая площадь]])*наценкад5[[#This Row],[Цена м2 с базовым K]]+наценкад5[[#This Row],[Цена м2 с базовым K]]</f>
        <v>79535.67300000001</v>
      </c>
      <c r="AJ434" s="72">
        <f>VLOOKUP(наценкад5[[#This Row],[№]],ППД5[],COLUMN(ППД5[[#This Row],[утв цена м2]]),0)</f>
        <v>91221.91</v>
      </c>
      <c r="AK434" s="3">
        <f>наценкад5[[#This Row],[утв цена м2]]*наценкад5[[#This Row],[Расчетная проектная площадь]]</f>
        <v>5312764.0384</v>
      </c>
      <c r="AL434" s="22" t="str">
        <f>VLOOKUP(наценкад5[[#This Row],[№]],ППД5[],COLUMN('Реестр ОН'!$DF$1),0)</f>
        <v>Продажа</v>
      </c>
    </row>
    <row r="435" spans="1:38" hidden="1" x14ac:dyDescent="0.25">
      <c r="A435" s="101">
        <v>433</v>
      </c>
      <c r="B435" s="2" t="str">
        <f>_xlfn.XLOOKUP(наценкад5[[#This Row],[№]],ППД5[№],ППД5[Секция],"-",0)</f>
        <v>Г</v>
      </c>
      <c r="C435" s="2">
        <f>_xlfn.XLOOKUP(наценкад5[[#This Row],[№]],ППД5[№],ППД5[Этаж],"-",0)</f>
        <v>6</v>
      </c>
      <c r="D435" s="2">
        <f>_xlfn.XLOOKUP(наценкад5[[#This Row],[№]],ППД5[№],ППД5[№ на этаже],"-",0)</f>
        <v>5</v>
      </c>
      <c r="E435" s="2">
        <f>_xlfn.XLOOKUP(наценкад5[[#This Row],[№]],ППД5[№],ППД5[Тип кв],"-",0)</f>
        <v>2</v>
      </c>
      <c r="F435" s="3">
        <f>_xlfn.XLOOKUP(наценкад5[[#This Row],[№]],ППД5[№],ППД5[Кухня],"-",0)</f>
        <v>13.45</v>
      </c>
      <c r="G435" s="72">
        <f>_xlfn.XLOOKUP(наценкад5[[#This Row],[№]],ППД5[№],ППД5[Ванная],"-",0)</f>
        <v>3.7</v>
      </c>
      <c r="H435" s="72">
        <f>_xlfn.XLOOKUP(наценкад5[[#This Row],[№]],ППД5[№],ППД5[Гардеробная],"-",0)</f>
        <v>0</v>
      </c>
      <c r="I435" s="72">
        <f>_xlfn.XLOOKUP(наценкад5[[#This Row],[№]],ППД5[№],ППД5[Лоджия 2],"-",0)</f>
        <v>0</v>
      </c>
      <c r="J435" s="72">
        <f>_xlfn.XLOOKUP(наценкад5[[#This Row],[№]],ППД5[№],ППД5[С\У],"-",0)</f>
        <v>2.72</v>
      </c>
      <c r="K435" s="72">
        <f>_xlfn.XLOOKUP(наценкад5[[#This Row],[№]],ППД5[№],ППД5[Расчетная проектная площадь],"-",0)</f>
        <v>57.8</v>
      </c>
      <c r="L435" s="12">
        <f t="shared" si="6"/>
        <v>63000</v>
      </c>
      <c r="M435" s="102">
        <f>коэффициенты!$F$2</f>
        <v>1.2257</v>
      </c>
      <c r="N435" s="13">
        <f>наценкад5[[#This Row],[Цена м2 базовая]]*наценкад5[[#This Row],[Базовой K]]</f>
        <v>77219.100000000006</v>
      </c>
      <c r="O435" s="74"/>
      <c r="P435" s="74">
        <f>коэффициенты!$F$5</f>
        <v>0.01</v>
      </c>
      <c r="Q435" s="76"/>
      <c r="R435" s="76"/>
      <c r="S435" s="76">
        <f>коэффициенты!$F$9</f>
        <v>0</v>
      </c>
      <c r="T435" s="74"/>
      <c r="U435" s="74"/>
      <c r="V435" s="74"/>
      <c r="W435" s="74"/>
      <c r="X435" s="74"/>
      <c r="Y435" s="75"/>
      <c r="Z435" s="74"/>
      <c r="AA435" s="74"/>
      <c r="AB435" s="74"/>
      <c r="AC435" s="74"/>
      <c r="AD435" s="74">
        <f>коэффициенты!$F$19</f>
        <v>5.0000000000000001E-3</v>
      </c>
      <c r="AE435" s="74"/>
      <c r="AF435" s="74">
        <f>коэффициенты!$F$21</f>
        <v>0.01</v>
      </c>
      <c r="AG435" s="74"/>
      <c r="AH435" s="74"/>
      <c r="AI435" s="73">
        <f>SUM(наценкад5[[#This Row],[еврокухня]:[большая площадь]])*наценкад5[[#This Row],[Цена м2 с базовым K]]+наценкад5[[#This Row],[Цена м2 с базовым K]]</f>
        <v>79149.577499999999</v>
      </c>
      <c r="AJ435" s="72">
        <f>VLOOKUP(наценкад5[[#This Row],[№]],ППД5[],COLUMN(ППД5[[#This Row],[утв цена м2]]),0)</f>
        <v>85600.27</v>
      </c>
      <c r="AK435" s="3">
        <f>наценкад5[[#This Row],[утв цена м2]]*наценкад5[[#This Row],[Расчетная проектная площадь]]</f>
        <v>4947695.6059999997</v>
      </c>
      <c r="AL435" s="22" t="str">
        <f>VLOOKUP(наценкад5[[#This Row],[№]],ППД5[],COLUMN('Реестр ОН'!$DF$1),0)</f>
        <v>Продажа</v>
      </c>
    </row>
    <row r="436" spans="1:38" hidden="1" x14ac:dyDescent="0.25">
      <c r="A436" s="101">
        <v>434</v>
      </c>
      <c r="B436" s="2" t="str">
        <f>_xlfn.XLOOKUP(наценкад5[[#This Row],[№]],ППД5[№],ППД5[Секция],"-",0)</f>
        <v>Г</v>
      </c>
      <c r="C436" s="2">
        <f>_xlfn.XLOOKUP(наценкад5[[#This Row],[№]],ППД5[№],ППД5[Этаж],"-",0)</f>
        <v>6</v>
      </c>
      <c r="D436" s="2">
        <f>_xlfn.XLOOKUP(наценкад5[[#This Row],[№]],ППД5[№],ППД5[№ на этаже],"-",0)</f>
        <v>6</v>
      </c>
      <c r="E436" s="2">
        <f>_xlfn.XLOOKUP(наценкад5[[#This Row],[№]],ППД5[№],ППД5[Тип кв],"-",0)</f>
        <v>1</v>
      </c>
      <c r="F436" s="72">
        <f>_xlfn.XLOOKUP(наценкад5[[#This Row],[№]],ППД5[№],ППД5[Кухня],"-",0)</f>
        <v>12.55</v>
      </c>
      <c r="G436" s="72">
        <f>_xlfn.XLOOKUP(наценкад5[[#This Row],[№]],ППД5[№],ППД5[Ванная],"-",0)</f>
        <v>4.28</v>
      </c>
      <c r="H436" s="72">
        <f>_xlfn.XLOOKUP(наценкад5[[#This Row],[№]],ППД5[№],ППД5[Гардеробная],"-",0)</f>
        <v>0</v>
      </c>
      <c r="I436" s="72">
        <f>_xlfn.XLOOKUP(наценкад5[[#This Row],[№]],ППД5[№],ППД5[Лоджия 2],"-",0)</f>
        <v>0</v>
      </c>
      <c r="J436" s="72">
        <f>_xlfn.XLOOKUP(наценкад5[[#This Row],[№]],ППД5[№],ППД5[С\У],"-",0)</f>
        <v>0</v>
      </c>
      <c r="K436" s="72">
        <f>_xlfn.XLOOKUP(наценкад5[[#This Row],[№]],ППД5[№],ППД5[Расчетная проектная площадь],"-",0)</f>
        <v>38.299999999999997</v>
      </c>
      <c r="L436" s="12">
        <f t="shared" si="6"/>
        <v>63000</v>
      </c>
      <c r="M436" s="102">
        <f>коэффициенты!$G$2</f>
        <v>1.2875000000000001</v>
      </c>
      <c r="N436" s="13">
        <f>наценкад5[[#This Row],[Цена м2 базовая]]*наценкад5[[#This Row],[Базовой K]]</f>
        <v>81112.5</v>
      </c>
      <c r="O436" s="74"/>
      <c r="P436" s="76">
        <f>коэффициенты!$G$5</f>
        <v>0.01</v>
      </c>
      <c r="Q436" s="74">
        <f>коэффициенты!$G$6</f>
        <v>0.03</v>
      </c>
      <c r="R436" s="74"/>
      <c r="S436" s="74"/>
      <c r="T436" s="74"/>
      <c r="U436" s="74"/>
      <c r="V436" s="74">
        <f>коэффициенты!$G$11</f>
        <v>0.01</v>
      </c>
      <c r="W436" s="74"/>
      <c r="X436" s="74">
        <f>коэффициенты!$G$13</f>
        <v>0.01</v>
      </c>
      <c r="Y436" s="75"/>
      <c r="Z436" s="74"/>
      <c r="AA436" s="74"/>
      <c r="AB436" s="74"/>
      <c r="AC436" s="74"/>
      <c r="AD436" s="74">
        <f>коэффициенты!$G$19</f>
        <v>0.01</v>
      </c>
      <c r="AE436" s="74"/>
      <c r="AF436" s="74">
        <f>коэффициенты!$G$21</f>
        <v>0.01</v>
      </c>
      <c r="AG436" s="74"/>
      <c r="AH436" s="74"/>
      <c r="AI436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436" s="72">
        <f>VLOOKUP(наценкад5[[#This Row],[№]],ППД5[],COLUMN(ППД5[[#This Row],[утв цена м2]]),0)</f>
        <v>91981.58</v>
      </c>
      <c r="AK436" s="3">
        <f>наценкад5[[#This Row],[утв цена м2]]*наценкад5[[#This Row],[Расчетная проектная площадь]]</f>
        <v>3522894.514</v>
      </c>
      <c r="AL436" s="22" t="str">
        <f>VLOOKUP(наценкад5[[#This Row],[№]],ППД5[],COLUMN('Реестр ОН'!$DF$1),0)</f>
        <v>Продажа</v>
      </c>
    </row>
    <row r="437" spans="1:38" hidden="1" x14ac:dyDescent="0.25">
      <c r="A437" s="101">
        <v>435</v>
      </c>
      <c r="B437" s="2" t="str">
        <f>_xlfn.XLOOKUP(наценкад5[[#This Row],[№]],ППД5[№],ППД5[Секция],"-",0)</f>
        <v>Г</v>
      </c>
      <c r="C437" s="2">
        <f>_xlfn.XLOOKUP(наценкад5[[#This Row],[№]],ППД5[№],ППД5[Этаж],"-",0)</f>
        <v>6</v>
      </c>
      <c r="D437" s="2">
        <f>_xlfn.XLOOKUP(наценкад5[[#This Row],[№]],ППД5[№],ППД5[№ на этаже],"-",0)</f>
        <v>7</v>
      </c>
      <c r="E437" s="2">
        <f>_xlfn.XLOOKUP(наценкад5[[#This Row],[№]],ППД5[№],ППД5[Тип кв],"-",0)</f>
        <v>3</v>
      </c>
      <c r="F437" s="72">
        <f>_xlfn.XLOOKUP(наценкад5[[#This Row],[№]],ППД5[№],ППД5[Кухня],"-",0)</f>
        <v>16.670000000000002</v>
      </c>
      <c r="G437" s="72">
        <f>_xlfn.XLOOKUP(наценкад5[[#This Row],[№]],ППД5[№],ППД5[Ванная],"-",0)</f>
        <v>4.1399999999999997</v>
      </c>
      <c r="H437" s="72">
        <f>_xlfn.XLOOKUP(наценкад5[[#This Row],[№]],ППД5[№],ППД5[Гардеробная],"-",0)</f>
        <v>0</v>
      </c>
      <c r="I437" s="72">
        <f>_xlfn.XLOOKUP(наценкад5[[#This Row],[№]],ППД5[№],ППД5[Лоджия 2],"-",0)</f>
        <v>2.79</v>
      </c>
      <c r="J437" s="72">
        <f>_xlfn.XLOOKUP(наценкад5[[#This Row],[№]],ППД5[№],ППД5[С\У],"-",0)</f>
        <v>1.89</v>
      </c>
      <c r="K437" s="72">
        <f>_xlfn.XLOOKUP(наценкад5[[#This Row],[№]],ППД5[№],ППД5[Расчетная проектная площадь],"-",0)</f>
        <v>79.44</v>
      </c>
      <c r="L437" s="12">
        <f t="shared" si="6"/>
        <v>63000</v>
      </c>
      <c r="M437" s="27">
        <f>коэффициенты!$E$2</f>
        <v>1.1330000000000002</v>
      </c>
      <c r="N437" s="13">
        <f>наценкад5[[#This Row],[Цена м2 базовая]]*наценкад5[[#This Row],[Базовой K]]</f>
        <v>71379.000000000015</v>
      </c>
      <c r="O437" s="74">
        <f>коэффициенты!$E$4</f>
        <v>0.03</v>
      </c>
      <c r="P437" s="74"/>
      <c r="Q437" s="74">
        <f>коэффициенты!$E$6</f>
        <v>0.01</v>
      </c>
      <c r="R437" s="74"/>
      <c r="S437" s="74">
        <f>коэффициенты!$E$9</f>
        <v>0</v>
      </c>
      <c r="T437" s="74">
        <f>коэффициенты!$E$7</f>
        <v>0</v>
      </c>
      <c r="U437" s="74">
        <f>коэффициенты!$E$8</f>
        <v>0.01</v>
      </c>
      <c r="V437" s="74"/>
      <c r="W437" s="75"/>
      <c r="X437" s="74"/>
      <c r="Y437" s="75"/>
      <c r="Z437" s="74"/>
      <c r="AA437" s="74">
        <f>коэффициенты!$E$14</f>
        <v>0</v>
      </c>
      <c r="AB437" s="74"/>
      <c r="AC437" s="74">
        <f>коэффициенты!$E$18</f>
        <v>0.01</v>
      </c>
      <c r="AD437" s="74"/>
      <c r="AE437" s="74"/>
      <c r="AF437" s="74">
        <f>коэффициенты!$E$21</f>
        <v>0.01</v>
      </c>
      <c r="AG437" s="74"/>
      <c r="AH437" s="74"/>
      <c r="AI437" s="73">
        <f>SUM(наценкад5[[#This Row],[еврокухня]:[большая площадь]])*наценкад5[[#This Row],[Цена м2 с базовым K]]+наценкад5[[#This Row],[Цена м2 с базовым K]]</f>
        <v>76375.530000000013</v>
      </c>
      <c r="AJ437" s="72">
        <f>VLOOKUP(наценкад5[[#This Row],[№]],ППД5[],COLUMN(ППД5[[#This Row],[утв цена м2]]),0)</f>
        <v>121277.93</v>
      </c>
      <c r="AK437" s="3">
        <f>наценкад5[[#This Row],[утв цена м2]]*наценкад5[[#This Row],[Расчетная проектная площадь]]</f>
        <v>9634318.7591999993</v>
      </c>
      <c r="AL437" s="22" t="str">
        <f>VLOOKUP(наценкад5[[#This Row],[№]],ППД5[],COLUMN('Реестр ОН'!$DF$1),0)</f>
        <v>Продажа</v>
      </c>
    </row>
    <row r="438" spans="1:38" hidden="1" x14ac:dyDescent="0.25">
      <c r="A438" s="101">
        <v>436</v>
      </c>
      <c r="B438" s="2" t="str">
        <f>_xlfn.XLOOKUP(наценкад5[[#This Row],[№]],ППД5[№],ППД5[Секция],"-",0)</f>
        <v>Г</v>
      </c>
      <c r="C438" s="2">
        <f>_xlfn.XLOOKUP(наценкад5[[#This Row],[№]],ППД5[№],ППД5[Этаж],"-",0)</f>
        <v>6</v>
      </c>
      <c r="D438" s="2">
        <f>_xlfn.XLOOKUP(наценкад5[[#This Row],[№]],ППД5[№],ППД5[№ на этаже],"-",0)</f>
        <v>8</v>
      </c>
      <c r="E438" s="2">
        <f>_xlfn.XLOOKUP(наценкад5[[#This Row],[№]],ППД5[№],ППД5[Тип кв],"-",0)</f>
        <v>1</v>
      </c>
      <c r="F438" s="72">
        <f>_xlfn.XLOOKUP(наценкад5[[#This Row],[№]],ППД5[№],ППД5[Кухня],"-",0)</f>
        <v>11.43</v>
      </c>
      <c r="G438" s="72">
        <f>_xlfn.XLOOKUP(наценкад5[[#This Row],[№]],ППД5[№],ППД5[Ванная],"-",0)</f>
        <v>3.56</v>
      </c>
      <c r="H438" s="72">
        <f>_xlfn.XLOOKUP(наценкад5[[#This Row],[№]],ППД5[№],ППД5[Гардеробная],"-",0)</f>
        <v>0</v>
      </c>
      <c r="I438" s="72">
        <f>_xlfn.XLOOKUP(наценкад5[[#This Row],[№]],ППД5[№],ППД5[Лоджия 2],"-",0)</f>
        <v>0</v>
      </c>
      <c r="J438" s="72">
        <f>_xlfn.XLOOKUP(наценкад5[[#This Row],[№]],ППД5[№],ППД5[С\У],"-",0)</f>
        <v>0</v>
      </c>
      <c r="K438" s="72">
        <f>_xlfn.XLOOKUP(наценкад5[[#This Row],[№]],ППД5[№],ППД5[Расчетная проектная площадь],"-",0)</f>
        <v>39.69</v>
      </c>
      <c r="L438" s="12">
        <f t="shared" si="6"/>
        <v>63000</v>
      </c>
      <c r="M438" s="102">
        <f>коэффициенты!$G$2</f>
        <v>1.2875000000000001</v>
      </c>
      <c r="N438" s="13">
        <f>наценкад5[[#This Row],[Цена м2 базовая]]*наценкад5[[#This Row],[Базовой K]]</f>
        <v>81112.5</v>
      </c>
      <c r="O438" s="74"/>
      <c r="P438" s="76">
        <f>коэффициенты!$G$5</f>
        <v>0.01</v>
      </c>
      <c r="Q438" s="74"/>
      <c r="R438" s="74"/>
      <c r="S438" s="74"/>
      <c r="T438" s="74"/>
      <c r="U438" s="74"/>
      <c r="V438" s="74">
        <f>коэффициенты!$G$11</f>
        <v>0.01</v>
      </c>
      <c r="W438" s="74"/>
      <c r="X438" s="74"/>
      <c r="Y438" s="75"/>
      <c r="Z438" s="74"/>
      <c r="AA438" s="74">
        <f>коэффициенты!$G$14</f>
        <v>0.01</v>
      </c>
      <c r="AB438" s="74"/>
      <c r="AC438" s="74"/>
      <c r="AD438" s="74">
        <f>коэффициенты!$G$19</f>
        <v>0.01</v>
      </c>
      <c r="AE438" s="74"/>
      <c r="AF438" s="74">
        <f>коэффициенты!$G$21</f>
        <v>0.01</v>
      </c>
      <c r="AG438" s="74">
        <f>коэффициенты!$A$24</f>
        <v>-5.0000000000000001E-3</v>
      </c>
      <c r="AH438" s="74"/>
      <c r="AI438" s="73">
        <f>SUM(наценкад5[[#This Row],[еврокухня]:[большая площадь]])*наценкад5[[#This Row],[Цена м2 с базовым K]]+наценкад5[[#This Row],[Цена м2 с базовым K]]</f>
        <v>84762.5625</v>
      </c>
      <c r="AJ438" s="72">
        <f>VLOOKUP(наценкад5[[#This Row],[№]],ППД5[],COLUMN(ППД5[[#This Row],[утв цена м2]]),0)</f>
        <v>109871.26</v>
      </c>
      <c r="AK438" s="3">
        <f>наценкад5[[#This Row],[утв цена м2]]*наценкад5[[#This Row],[Расчетная проектная площадь]]</f>
        <v>4360790.3093999997</v>
      </c>
      <c r="AL438" s="22" t="str">
        <f>VLOOKUP(наценкад5[[#This Row],[№]],ППД5[],COLUMN('Реестр ОН'!$DF$1),0)</f>
        <v>Продажа</v>
      </c>
    </row>
    <row r="439" spans="1:38" hidden="1" x14ac:dyDescent="0.25">
      <c r="A439" s="101">
        <v>437</v>
      </c>
      <c r="B439" s="2" t="str">
        <f>_xlfn.XLOOKUP(наценкад5[[#This Row],[№]],ППД5[№],ППД5[Секция],"-",0)</f>
        <v>Г</v>
      </c>
      <c r="C439" s="2">
        <f>_xlfn.XLOOKUP(наценкад5[[#This Row],[№]],ППД5[№],ППД5[Этаж],"-",0)</f>
        <v>7</v>
      </c>
      <c r="D439" s="2">
        <f>_xlfn.XLOOKUP(наценкад5[[#This Row],[№]],ППД5[№],ППД5[№ на этаже],"-",0)</f>
        <v>1</v>
      </c>
      <c r="E439" s="2">
        <f>_xlfn.XLOOKUP(наценкад5[[#This Row],[№]],ППД5[№],ППД5[Тип кв],"-",0)</f>
        <v>0</v>
      </c>
      <c r="F439" s="72">
        <f>_xlfn.XLOOKUP(наценкад5[[#This Row],[№]],ППД5[№],ППД5[Кухня],"-",0)</f>
        <v>5.84</v>
      </c>
      <c r="G439" s="72">
        <f>_xlfn.XLOOKUP(наценкад5[[#This Row],[№]],ППД5[№],ППД5[Ванная],"-",0)</f>
        <v>3.76</v>
      </c>
      <c r="H439" s="72">
        <f>_xlfn.XLOOKUP(наценкад5[[#This Row],[№]],ППД5[№],ППД5[Гардеробная],"-",0)</f>
        <v>0</v>
      </c>
      <c r="I439" s="72">
        <f>_xlfn.XLOOKUP(наценкад5[[#This Row],[№]],ППД5[№],ППД5[Лоджия 2],"-",0)</f>
        <v>0</v>
      </c>
      <c r="J439" s="72">
        <f>_xlfn.XLOOKUP(наценкад5[[#This Row],[№]],ППД5[№],ППД5[С\У],"-",0)</f>
        <v>0</v>
      </c>
      <c r="K439" s="72">
        <f>_xlfn.XLOOKUP(наценкад5[[#This Row],[№]],ППД5[№],ППД5[Расчетная проектная площадь],"-",0)</f>
        <v>29.4</v>
      </c>
      <c r="L439" s="12">
        <f t="shared" si="6"/>
        <v>63000</v>
      </c>
      <c r="M439" s="116">
        <f>коэффициенты!$H$2</f>
        <v>1.3905000000000001</v>
      </c>
      <c r="N439" s="13">
        <f>наценкад5[[#This Row],[Цена м2 базовая]]*наценкад5[[#This Row],[Базовой K]]</f>
        <v>87601.5</v>
      </c>
      <c r="O439" s="74"/>
      <c r="P439" s="74"/>
      <c r="Q439" s="74"/>
      <c r="R439" s="74"/>
      <c r="S439" s="74"/>
      <c r="T439" s="74"/>
      <c r="U439" s="74"/>
      <c r="V439" s="74"/>
      <c r="W439" s="74"/>
      <c r="X439" s="74"/>
      <c r="Y439" s="75"/>
      <c r="Z439" s="74"/>
      <c r="AA439" s="74"/>
      <c r="AB439" s="74"/>
      <c r="AC439" s="74"/>
      <c r="AD439" s="74">
        <f>коэффициенты!$H$19</f>
        <v>0.01</v>
      </c>
      <c r="AE439" s="74"/>
      <c r="AF439" s="74">
        <f>коэффициенты!$H$21</f>
        <v>0.01</v>
      </c>
      <c r="AG439" s="74"/>
      <c r="AH439" s="74"/>
      <c r="AI439" s="73">
        <f>SUM(наценкад5[[#This Row],[еврокухня]:[большая площадь]])*наценкад5[[#This Row],[Цена м2 с базовым K]]+наценкад5[[#This Row],[Цена м2 с базовым K]]</f>
        <v>89353.53</v>
      </c>
      <c r="AJ439" s="72">
        <f>VLOOKUP(наценкад5[[#This Row],[№]],ППД5[],COLUMN(ППД5[[#This Row],[утв цена м2]]),0)</f>
        <v>138650.51</v>
      </c>
      <c r="AK439" s="3">
        <f>наценкад5[[#This Row],[утв цена м2]]*наценкад5[[#This Row],[Расчетная проектная площадь]]</f>
        <v>4076324.9939999999</v>
      </c>
      <c r="AL439" s="22" t="str">
        <f>VLOOKUP(наценкад5[[#This Row],[№]],ППД5[],COLUMN('Реестр ОН'!$DF$1),0)</f>
        <v>Продажа</v>
      </c>
    </row>
    <row r="440" spans="1:38" hidden="1" x14ac:dyDescent="0.25">
      <c r="A440" s="101">
        <v>438</v>
      </c>
      <c r="B440" s="2" t="str">
        <f>_xlfn.XLOOKUP(наценкад5[[#This Row],[№]],ППД5[№],ППД5[Секция],"-",0)</f>
        <v>Г</v>
      </c>
      <c r="C440" s="2">
        <f>_xlfn.XLOOKUP(наценкад5[[#This Row],[№]],ППД5[№],ППД5[Этаж],"-",0)</f>
        <v>7</v>
      </c>
      <c r="D440" s="2">
        <f>_xlfn.XLOOKUP(наценкад5[[#This Row],[№]],ППД5[№],ППД5[№ на этаже],"-",0)</f>
        <v>2</v>
      </c>
      <c r="E440" s="2">
        <f>_xlfn.XLOOKUP(наценкад5[[#This Row],[№]],ППД5[№],ППД5[Тип кв],"-",0)</f>
        <v>1</v>
      </c>
      <c r="F440" s="72">
        <f>_xlfn.XLOOKUP(наценкад5[[#This Row],[№]],ППД5[№],ППД5[Кухня],"-",0)</f>
        <v>16.940000000000001</v>
      </c>
      <c r="G440" s="72">
        <f>_xlfn.XLOOKUP(наценкад5[[#This Row],[№]],ППД5[№],ППД5[Ванная],"-",0)</f>
        <v>3.55</v>
      </c>
      <c r="H440" s="72">
        <f>_xlfn.XLOOKUP(наценкад5[[#This Row],[№]],ППД5[№],ППД5[Гардеробная],"-",0)</f>
        <v>0</v>
      </c>
      <c r="I440" s="72">
        <f>_xlfn.XLOOKUP(наценкад5[[#This Row],[№]],ППД5[№],ППД5[Лоджия 2],"-",0)</f>
        <v>0</v>
      </c>
      <c r="J440" s="72">
        <f>_xlfn.XLOOKUP(наценкад5[[#This Row],[№]],ППД5[№],ППД5[С\У],"-",0)</f>
        <v>2.41</v>
      </c>
      <c r="K440" s="72">
        <f>_xlfn.XLOOKUP(наценкад5[[#This Row],[№]],ППД5[№],ППД5[Расчетная проектная площадь],"-",0)</f>
        <v>43.21</v>
      </c>
      <c r="L440" s="12">
        <f t="shared" si="6"/>
        <v>63000</v>
      </c>
      <c r="M440" s="102">
        <f>коэффициенты!$G$2</f>
        <v>1.2875000000000001</v>
      </c>
      <c r="N440" s="13">
        <f>наценкад5[[#This Row],[Цена м2 базовая]]*наценкад5[[#This Row],[Базовой K]]</f>
        <v>81112.5</v>
      </c>
      <c r="O440" s="76">
        <f>коэффициенты!$G$4</f>
        <v>0.02</v>
      </c>
      <c r="P440" s="74"/>
      <c r="Q440" s="74"/>
      <c r="R440" s="74">
        <f>коэффициенты!$G$10</f>
        <v>0.01</v>
      </c>
      <c r="S440" s="74">
        <f>коэффициенты!$G$9</f>
        <v>0</v>
      </c>
      <c r="T440" s="74"/>
      <c r="U440" s="74"/>
      <c r="V440" s="74"/>
      <c r="W440" s="74"/>
      <c r="X440" s="74"/>
      <c r="Y440" s="75"/>
      <c r="Z440" s="74"/>
      <c r="AA440" s="74"/>
      <c r="AB440" s="74"/>
      <c r="AC440" s="74"/>
      <c r="AD440" s="74">
        <f>коэффициенты!$G$19</f>
        <v>0.01</v>
      </c>
      <c r="AE440" s="74"/>
      <c r="AF440" s="74">
        <f>коэффициенты!$G$21</f>
        <v>0.01</v>
      </c>
      <c r="AG440" s="74"/>
      <c r="AH440" s="74"/>
      <c r="AI440" s="73">
        <f>SUM(наценкад5[[#This Row],[еврокухня]:[большая площадь]])*наценкад5[[#This Row],[Цена м2 с базовым K]]+наценкад5[[#This Row],[Цена м2 с базовым K]]</f>
        <v>85168.125</v>
      </c>
      <c r="AJ440" s="72">
        <f>VLOOKUP(наценкад5[[#This Row],[№]],ППД5[],COLUMN(ППД5[[#This Row],[утв цена м2]]),0)</f>
        <v>97681.94</v>
      </c>
      <c r="AK440" s="3">
        <f>наценкад5[[#This Row],[утв цена м2]]*наценкад5[[#This Row],[Расчетная проектная площадь]]</f>
        <v>4220836.6274000006</v>
      </c>
      <c r="AL440" s="22" t="str">
        <f>VLOOKUP(наценкад5[[#This Row],[№]],ППД5[],COLUMN('Реестр ОН'!$DF$1),0)</f>
        <v>Продажа</v>
      </c>
    </row>
    <row r="441" spans="1:38" hidden="1" x14ac:dyDescent="0.25">
      <c r="A441" s="101">
        <v>439</v>
      </c>
      <c r="B441" s="2" t="str">
        <f>_xlfn.XLOOKUP(наценкад5[[#This Row],[№]],ППД5[№],ППД5[Секция],"-",0)</f>
        <v>Г</v>
      </c>
      <c r="C441" s="2">
        <f>_xlfn.XLOOKUP(наценкад5[[#This Row],[№]],ППД5[№],ППД5[Этаж],"-",0)</f>
        <v>7</v>
      </c>
      <c r="D441" s="2">
        <f>_xlfn.XLOOKUP(наценкад5[[#This Row],[№]],ППД5[№],ППД5[№ на этаже],"-",0)</f>
        <v>3</v>
      </c>
      <c r="E441" s="2">
        <f>_xlfn.XLOOKUP(наценкад5[[#This Row],[№]],ППД5[№],ППД5[Тип кв],"-",0)</f>
        <v>0</v>
      </c>
      <c r="F441" s="72">
        <f>_xlfn.XLOOKUP(наценкад5[[#This Row],[№]],ППД5[№],ППД5[Кухня],"-",0)</f>
        <v>5.17</v>
      </c>
      <c r="G441" s="72">
        <f>_xlfn.XLOOKUP(наценкад5[[#This Row],[№]],ППД5[№],ППД5[Ванная],"-",0)</f>
        <v>3.71</v>
      </c>
      <c r="H441" s="72">
        <f>_xlfn.XLOOKUP(наценкад5[[#This Row],[№]],ППД5[№],ППД5[Гардеробная],"-",0)</f>
        <v>0</v>
      </c>
      <c r="I441" s="72">
        <f>_xlfn.XLOOKUP(наценкад5[[#This Row],[№]],ППД5[№],ППД5[Лоджия 2],"-",0)</f>
        <v>0</v>
      </c>
      <c r="J441" s="72">
        <f>_xlfn.XLOOKUP(наценкад5[[#This Row],[№]],ППД5[№],ППД5[С\У],"-",0)</f>
        <v>0</v>
      </c>
      <c r="K441" s="72">
        <f>_xlfn.XLOOKUP(наценкад5[[#This Row],[№]],ППД5[№],ППД5[Расчетная проектная площадь],"-",0)</f>
        <v>24.5</v>
      </c>
      <c r="L441" s="12">
        <f t="shared" si="6"/>
        <v>63000</v>
      </c>
      <c r="M441" s="116">
        <f>коэффициенты!$H$2</f>
        <v>1.3905000000000001</v>
      </c>
      <c r="N441" s="13">
        <f>наценкад5[[#This Row],[Цена м2 базовая]]*наценкад5[[#This Row],[Базовой K]]</f>
        <v>87601.5</v>
      </c>
      <c r="O441" s="74"/>
      <c r="P441" s="74"/>
      <c r="Q441" s="74"/>
      <c r="R441" s="74"/>
      <c r="S441" s="74"/>
      <c r="T441" s="74"/>
      <c r="U441" s="74"/>
      <c r="V441" s="74">
        <f>коэффициенты!$H$11</f>
        <v>0.01</v>
      </c>
      <c r="W441" s="74"/>
      <c r="X441" s="74">
        <f>коэффициенты!$H$13</f>
        <v>0.01</v>
      </c>
      <c r="Y441" s="75"/>
      <c r="Z441" s="74"/>
      <c r="AA441" s="74"/>
      <c r="AB441" s="74"/>
      <c r="AC441" s="74"/>
      <c r="AD441" s="74">
        <f>коэффициенты!$H$19</f>
        <v>0.01</v>
      </c>
      <c r="AE441" s="74"/>
      <c r="AF441" s="74">
        <f>коэффициенты!$H$21</f>
        <v>0.01</v>
      </c>
      <c r="AG441" s="74"/>
      <c r="AH441" s="74"/>
      <c r="AI441" s="73">
        <f>SUM(наценкад5[[#This Row],[еврокухня]:[большая площадь]])*наценкад5[[#This Row],[Цена м2 с базовым K]]+наценкад5[[#This Row],[Цена м2 с базовым K]]</f>
        <v>91105.56</v>
      </c>
      <c r="AJ441" s="72">
        <f>VLOOKUP(наценкад5[[#This Row],[№]],ППД5[],COLUMN(ППД5[[#This Row],[утв цена м2]]),0)</f>
        <v>143474.54</v>
      </c>
      <c r="AK441" s="3">
        <f>наценкад5[[#This Row],[утв цена м2]]*наценкад5[[#This Row],[Расчетная проектная площадь]]</f>
        <v>3515126.23</v>
      </c>
      <c r="AL441" s="22" t="str">
        <f>VLOOKUP(наценкад5[[#This Row],[№]],ППД5[],COLUMN('Реестр ОН'!$DF$1),0)</f>
        <v>Продажа</v>
      </c>
    </row>
    <row r="442" spans="1:38" hidden="1" x14ac:dyDescent="0.25">
      <c r="A442" s="101">
        <v>440</v>
      </c>
      <c r="B442" s="2" t="str">
        <f>_xlfn.XLOOKUP(наценкад5[[#This Row],[№]],ППД5[№],ППД5[Секция],"-",0)</f>
        <v>Г</v>
      </c>
      <c r="C442" s="2">
        <f>_xlfn.XLOOKUP(наценкад5[[#This Row],[№]],ППД5[№],ППД5[Этаж],"-",0)</f>
        <v>7</v>
      </c>
      <c r="D442" s="2">
        <f>_xlfn.XLOOKUP(наценкад5[[#This Row],[№]],ППД5[№],ППД5[№ на этаже],"-",0)</f>
        <v>4</v>
      </c>
      <c r="E442" s="2">
        <f>_xlfn.XLOOKUP(наценкад5[[#This Row],[№]],ППД5[№],ППД5[Тип кв],"-",0)</f>
        <v>2</v>
      </c>
      <c r="F442" s="72">
        <f>_xlfn.XLOOKUP(наценкад5[[#This Row],[№]],ППД5[№],ППД5[Кухня],"-",0)</f>
        <v>15.86</v>
      </c>
      <c r="G442" s="72">
        <f>_xlfn.XLOOKUP(наценкад5[[#This Row],[№]],ППД5[№],ППД5[Ванная],"-",0)</f>
        <v>3.01</v>
      </c>
      <c r="H442" s="72">
        <f>_xlfn.XLOOKUP(наценкад5[[#This Row],[№]],ППД5[№],ППД5[Гардеробная],"-",0)</f>
        <v>0</v>
      </c>
      <c r="I442" s="72">
        <f>_xlfn.XLOOKUP(наценкад5[[#This Row],[№]],ППД5[№],ППД5[Лоджия 2],"-",0)</f>
        <v>0</v>
      </c>
      <c r="J442" s="72">
        <f>_xlfn.XLOOKUP(наценкад5[[#This Row],[№]],ППД5[№],ППД5[С\У],"-",0)</f>
        <v>2.67</v>
      </c>
      <c r="K442" s="72">
        <f>_xlfn.XLOOKUP(наценкад5[[#This Row],[№]],ППД5[№],ППД5[Расчетная проектная площадь],"-",0)</f>
        <v>58.24</v>
      </c>
      <c r="L442" s="12">
        <f t="shared" si="6"/>
        <v>63000</v>
      </c>
      <c r="M442" s="102">
        <f>коэффициенты!$F$2</f>
        <v>1.2257</v>
      </c>
      <c r="N442" s="13">
        <f>наценкад5[[#This Row],[Цена м2 базовая]]*наценкад5[[#This Row],[Базовой K]]</f>
        <v>77219.100000000006</v>
      </c>
      <c r="O442" s="76">
        <f>коэффициенты!$F$4</f>
        <v>1.4999999999999999E-2</v>
      </c>
      <c r="P442" s="74"/>
      <c r="Q442" s="76"/>
      <c r="R442" s="76">
        <f>коэффициенты!$F$10</f>
        <v>0</v>
      </c>
      <c r="S442" s="76">
        <f>коэффициенты!$F$9</f>
        <v>0</v>
      </c>
      <c r="T442" s="74"/>
      <c r="U442" s="74"/>
      <c r="V442" s="74"/>
      <c r="W442" s="74"/>
      <c r="X442" s="74"/>
      <c r="Y442" s="75"/>
      <c r="Z442" s="74"/>
      <c r="AA442" s="74"/>
      <c r="AB442" s="74"/>
      <c r="AC442" s="74"/>
      <c r="AD442" s="74">
        <f>коэффициенты!$F$19</f>
        <v>5.0000000000000001E-3</v>
      </c>
      <c r="AE442" s="74"/>
      <c r="AF442" s="74">
        <f>коэффициенты!$F$21</f>
        <v>0.01</v>
      </c>
      <c r="AG442" s="74"/>
      <c r="AH442" s="74"/>
      <c r="AI442" s="73">
        <f>SUM(наценкад5[[#This Row],[еврокухня]:[большая площадь]])*наценкад5[[#This Row],[Цена м2 с базовым K]]+наценкад5[[#This Row],[Цена м2 с базовым K]]</f>
        <v>79535.67300000001</v>
      </c>
      <c r="AJ442" s="72">
        <f>VLOOKUP(наценкад5[[#This Row],[№]],ППД5[],COLUMN(ППД5[[#This Row],[утв цена м2]]),0)</f>
        <v>121200.54</v>
      </c>
      <c r="AK442" s="3">
        <f>наценкад5[[#This Row],[утв цена м2]]*наценкад5[[#This Row],[Расчетная проектная площадь]]</f>
        <v>7058719.4495999999</v>
      </c>
      <c r="AL442" s="22" t="str">
        <f>VLOOKUP(наценкад5[[#This Row],[№]],ППД5[],COLUMN('Реестр ОН'!$DF$1),0)</f>
        <v>Продажа</v>
      </c>
    </row>
    <row r="443" spans="1:38" hidden="1" x14ac:dyDescent="0.25">
      <c r="A443" s="101">
        <v>441</v>
      </c>
      <c r="B443" s="2" t="str">
        <f>_xlfn.XLOOKUP(наценкад5[[#This Row],[№]],ППД5[№],ППД5[Секция],"-",0)</f>
        <v>Г</v>
      </c>
      <c r="C443" s="2">
        <f>_xlfn.XLOOKUP(наценкад5[[#This Row],[№]],ППД5[№],ППД5[Этаж],"-",0)</f>
        <v>7</v>
      </c>
      <c r="D443" s="2">
        <f>_xlfn.XLOOKUP(наценкад5[[#This Row],[№]],ППД5[№],ППД5[№ на этаже],"-",0)</f>
        <v>5</v>
      </c>
      <c r="E443" s="2">
        <f>_xlfn.XLOOKUP(наценкад5[[#This Row],[№]],ППД5[№],ППД5[Тип кв],"-",0)</f>
        <v>2</v>
      </c>
      <c r="F443" s="72">
        <f>_xlfn.XLOOKUP(наценкад5[[#This Row],[№]],ППД5[№],ППД5[Кухня],"-",0)</f>
        <v>13.45</v>
      </c>
      <c r="G443" s="72">
        <f>_xlfn.XLOOKUP(наценкад5[[#This Row],[№]],ППД5[№],ППД5[Ванная],"-",0)</f>
        <v>3.7</v>
      </c>
      <c r="H443" s="72">
        <f>_xlfn.XLOOKUP(наценкад5[[#This Row],[№]],ППД5[№],ППД5[Гардеробная],"-",0)</f>
        <v>0</v>
      </c>
      <c r="I443" s="72">
        <f>_xlfn.XLOOKUP(наценкад5[[#This Row],[№]],ППД5[№],ППД5[Лоджия 2],"-",0)</f>
        <v>0</v>
      </c>
      <c r="J443" s="72">
        <f>_xlfn.XLOOKUP(наценкад5[[#This Row],[№]],ППД5[№],ППД5[С\У],"-",0)</f>
        <v>2.72</v>
      </c>
      <c r="K443" s="72">
        <f>_xlfn.XLOOKUP(наценкад5[[#This Row],[№]],ППД5[№],ППД5[Расчетная проектная площадь],"-",0)</f>
        <v>57.8</v>
      </c>
      <c r="L443" s="12">
        <f t="shared" si="6"/>
        <v>63000</v>
      </c>
      <c r="M443" s="102">
        <f>коэффициенты!$F$2</f>
        <v>1.2257</v>
      </c>
      <c r="N443" s="13">
        <f>наценкад5[[#This Row],[Цена м2 базовая]]*наценкад5[[#This Row],[Базовой K]]</f>
        <v>77219.100000000006</v>
      </c>
      <c r="O443" s="74"/>
      <c r="P443" s="74">
        <f>коэффициенты!$F$5</f>
        <v>0.01</v>
      </c>
      <c r="Q443" s="76"/>
      <c r="R443" s="76"/>
      <c r="S443" s="76">
        <f>коэффициенты!$F$9</f>
        <v>0</v>
      </c>
      <c r="T443" s="74"/>
      <c r="U443" s="74"/>
      <c r="V443" s="74"/>
      <c r="W443" s="75"/>
      <c r="X443" s="74"/>
      <c r="Y443" s="75"/>
      <c r="Z443" s="74"/>
      <c r="AA443" s="74"/>
      <c r="AB443" s="74"/>
      <c r="AC443" s="74"/>
      <c r="AD443" s="74">
        <f>коэффициенты!$F$19</f>
        <v>5.0000000000000001E-3</v>
      </c>
      <c r="AE443" s="74"/>
      <c r="AF443" s="74">
        <f>коэффициенты!$F$21</f>
        <v>0.01</v>
      </c>
      <c r="AG443" s="74"/>
      <c r="AH443" s="74"/>
      <c r="AI443" s="73">
        <f>SUM(наценкад5[[#This Row],[еврокухня]:[большая площадь]])*наценкад5[[#This Row],[Цена м2 с базовым K]]+наценкад5[[#This Row],[Цена м2 с базовым K]]</f>
        <v>79149.577499999999</v>
      </c>
      <c r="AJ443" s="72">
        <f>VLOOKUP(наценкад5[[#This Row],[№]],ППД5[],COLUMN(ППД5[[#This Row],[утв цена м2]]),0)</f>
        <v>96821.89</v>
      </c>
      <c r="AK443" s="3">
        <f>наценкад5[[#This Row],[утв цена м2]]*наценкад5[[#This Row],[Расчетная проектная площадь]]</f>
        <v>5596305.2419999996</v>
      </c>
      <c r="AL443" s="22" t="str">
        <f>VLOOKUP(наценкад5[[#This Row],[№]],ППД5[],COLUMN('Реестр ОН'!$DF$1),0)</f>
        <v>Продажа</v>
      </c>
    </row>
    <row r="444" spans="1:38" hidden="1" x14ac:dyDescent="0.25">
      <c r="A444" s="101">
        <v>442</v>
      </c>
      <c r="B444" s="2" t="str">
        <f>_xlfn.XLOOKUP(наценкад5[[#This Row],[№]],ППД5[№],ППД5[Секция],"-",0)</f>
        <v>Г</v>
      </c>
      <c r="C444" s="2">
        <f>_xlfn.XLOOKUP(наценкад5[[#This Row],[№]],ППД5[№],ППД5[Этаж],"-",0)</f>
        <v>7</v>
      </c>
      <c r="D444" s="2">
        <f>_xlfn.XLOOKUP(наценкад5[[#This Row],[№]],ППД5[№],ППД5[№ на этаже],"-",0)</f>
        <v>6</v>
      </c>
      <c r="E444" s="2">
        <f>_xlfn.XLOOKUP(наценкад5[[#This Row],[№]],ППД5[№],ППД5[Тип кв],"-",0)</f>
        <v>1</v>
      </c>
      <c r="F444" s="72">
        <f>_xlfn.XLOOKUP(наценкад5[[#This Row],[№]],ППД5[№],ППД5[Кухня],"-",0)</f>
        <v>12.55</v>
      </c>
      <c r="G444" s="72">
        <f>_xlfn.XLOOKUP(наценкад5[[#This Row],[№]],ППД5[№],ППД5[Ванная],"-",0)</f>
        <v>4.28</v>
      </c>
      <c r="H444" s="72">
        <f>_xlfn.XLOOKUP(наценкад5[[#This Row],[№]],ППД5[№],ППД5[Гардеробная],"-",0)</f>
        <v>0</v>
      </c>
      <c r="I444" s="72">
        <f>_xlfn.XLOOKUP(наценкад5[[#This Row],[№]],ППД5[№],ППД5[Лоджия 2],"-",0)</f>
        <v>0</v>
      </c>
      <c r="J444" s="72">
        <f>_xlfn.XLOOKUP(наценкад5[[#This Row],[№]],ППД5[№],ППД5[С\У],"-",0)</f>
        <v>0</v>
      </c>
      <c r="K444" s="72">
        <f>_xlfn.XLOOKUP(наценкад5[[#This Row],[№]],ППД5[№],ППД5[Расчетная проектная площадь],"-",0)</f>
        <v>38.299999999999997</v>
      </c>
      <c r="L444" s="12">
        <f t="shared" si="6"/>
        <v>63000</v>
      </c>
      <c r="M444" s="102">
        <f>коэффициенты!$G$2</f>
        <v>1.2875000000000001</v>
      </c>
      <c r="N444" s="13">
        <f>наценкад5[[#This Row],[Цена м2 базовая]]*наценкад5[[#This Row],[Базовой K]]</f>
        <v>81112.5</v>
      </c>
      <c r="O444" s="74"/>
      <c r="P444" s="76">
        <f>коэффициенты!$G$5</f>
        <v>0.01</v>
      </c>
      <c r="Q444" s="74">
        <f>коэффициенты!$G$6</f>
        <v>0.03</v>
      </c>
      <c r="R444" s="74"/>
      <c r="S444" s="74"/>
      <c r="T444" s="74"/>
      <c r="U444" s="74"/>
      <c r="V444" s="74">
        <f>коэффициенты!$G$11</f>
        <v>0.01</v>
      </c>
      <c r="W444" s="75"/>
      <c r="X444" s="74">
        <f>коэффициенты!$G$13</f>
        <v>0.01</v>
      </c>
      <c r="Y444" s="75"/>
      <c r="Z444" s="74"/>
      <c r="AA444" s="74"/>
      <c r="AB444" s="74"/>
      <c r="AC444" s="74"/>
      <c r="AD444" s="74">
        <f>коэффициенты!$G$19</f>
        <v>0.01</v>
      </c>
      <c r="AE444" s="74"/>
      <c r="AF444" s="74">
        <f>коэффициенты!$G$21</f>
        <v>0.01</v>
      </c>
      <c r="AG444" s="74"/>
      <c r="AH444" s="74"/>
      <c r="AI444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444" s="72">
        <f>VLOOKUP(наценкад5[[#This Row],[№]],ППД5[],COLUMN(ППД5[[#This Row],[утв цена м2]]),0)</f>
        <v>106551.46</v>
      </c>
      <c r="AK444" s="3">
        <f>наценкад5[[#This Row],[утв цена м2]]*наценкад5[[#This Row],[Расчетная проектная площадь]]</f>
        <v>4080920.9180000001</v>
      </c>
      <c r="AL444" s="22" t="str">
        <f>VLOOKUP(наценкад5[[#This Row],[№]],ППД5[],COLUMN('Реестр ОН'!$DF$1),0)</f>
        <v>Продажа</v>
      </c>
    </row>
    <row r="445" spans="1:38" hidden="1" x14ac:dyDescent="0.25">
      <c r="A445" s="101">
        <v>443</v>
      </c>
      <c r="B445" s="2" t="str">
        <f>_xlfn.XLOOKUP(наценкад5[[#This Row],[№]],ППД5[№],ППД5[Секция],"-",0)</f>
        <v>Г</v>
      </c>
      <c r="C445" s="2">
        <f>_xlfn.XLOOKUP(наценкад5[[#This Row],[№]],ППД5[№],ППД5[Этаж],"-",0)</f>
        <v>7</v>
      </c>
      <c r="D445" s="2">
        <f>_xlfn.XLOOKUP(наценкад5[[#This Row],[№]],ППД5[№],ППД5[№ на этаже],"-",0)</f>
        <v>7</v>
      </c>
      <c r="E445" s="2">
        <f>_xlfn.XLOOKUP(наценкад5[[#This Row],[№]],ППД5[№],ППД5[Тип кв],"-",0)</f>
        <v>3</v>
      </c>
      <c r="F445" s="72">
        <f>_xlfn.XLOOKUP(наценкад5[[#This Row],[№]],ППД5[№],ППД5[Кухня],"-",0)</f>
        <v>16.670000000000002</v>
      </c>
      <c r="G445" s="72">
        <f>_xlfn.XLOOKUP(наценкад5[[#This Row],[№]],ППД5[№],ППД5[Ванная],"-",0)</f>
        <v>4.1399999999999997</v>
      </c>
      <c r="H445" s="72">
        <f>_xlfn.XLOOKUP(наценкад5[[#This Row],[№]],ППД5[№],ППД5[Гардеробная],"-",0)</f>
        <v>0</v>
      </c>
      <c r="I445" s="72">
        <f>_xlfn.XLOOKUP(наценкад5[[#This Row],[№]],ППД5[№],ППД5[Лоджия 2],"-",0)</f>
        <v>2.79</v>
      </c>
      <c r="J445" s="72">
        <f>_xlfn.XLOOKUP(наценкад5[[#This Row],[№]],ППД5[№],ППД5[С\У],"-",0)</f>
        <v>1.89</v>
      </c>
      <c r="K445" s="72">
        <f>_xlfn.XLOOKUP(наценкад5[[#This Row],[№]],ППД5[№],ППД5[Расчетная проектная площадь],"-",0)</f>
        <v>79.44</v>
      </c>
      <c r="L445" s="12">
        <f t="shared" si="6"/>
        <v>63000</v>
      </c>
      <c r="M445" s="27">
        <f>коэффициенты!$E$2</f>
        <v>1.1330000000000002</v>
      </c>
      <c r="N445" s="13">
        <f>наценкад5[[#This Row],[Цена м2 базовая]]*наценкад5[[#This Row],[Базовой K]]</f>
        <v>71379.000000000015</v>
      </c>
      <c r="O445" s="74">
        <f>коэффициенты!$E$4</f>
        <v>0.03</v>
      </c>
      <c r="P445" s="74"/>
      <c r="Q445" s="74">
        <f>коэффициенты!$E$6</f>
        <v>0.01</v>
      </c>
      <c r="R445" s="74"/>
      <c r="S445" s="74">
        <f>коэффициенты!$E$9</f>
        <v>0</v>
      </c>
      <c r="T445" s="74">
        <f>коэффициенты!$E$7</f>
        <v>0</v>
      </c>
      <c r="U445" s="74">
        <f>коэффициенты!$E$8</f>
        <v>0.01</v>
      </c>
      <c r="V445" s="74"/>
      <c r="W445" s="75"/>
      <c r="X445" s="74"/>
      <c r="Y445" s="75"/>
      <c r="Z445" s="74"/>
      <c r="AA445" s="74">
        <f>коэффициенты!$E$14</f>
        <v>0</v>
      </c>
      <c r="AB445" s="74"/>
      <c r="AC445" s="74">
        <f>коэффициенты!$E$18</f>
        <v>0.01</v>
      </c>
      <c r="AD445" s="74"/>
      <c r="AE445" s="74"/>
      <c r="AF445" s="74">
        <f>коэффициенты!$E$21</f>
        <v>0.01</v>
      </c>
      <c r="AG445" s="74"/>
      <c r="AH445" s="74"/>
      <c r="AI445" s="73">
        <f>SUM(наценкад5[[#This Row],[еврокухня]:[большая площадь]])*наценкад5[[#This Row],[Цена м2 с базовым K]]+наценкад5[[#This Row],[Цена м2 с базовым K]]</f>
        <v>76375.530000000013</v>
      </c>
      <c r="AJ445" s="72">
        <f>VLOOKUP(наценкад5[[#This Row],[№]],ППД5[],COLUMN(ППД5[[#This Row],[утв цена м2]]),0)</f>
        <v>91136.38</v>
      </c>
      <c r="AK445" s="3">
        <f>наценкад5[[#This Row],[утв цена м2]]*наценкад5[[#This Row],[Расчетная проектная площадь]]</f>
        <v>7239874.0272000004</v>
      </c>
      <c r="AL445" s="22" t="str">
        <f>VLOOKUP(наценкад5[[#This Row],[№]],ППД5[],COLUMN('Реестр ОН'!$DF$1),0)</f>
        <v>Продажа</v>
      </c>
    </row>
    <row r="446" spans="1:38" hidden="1" x14ac:dyDescent="0.25">
      <c r="A446" s="101">
        <v>444</v>
      </c>
      <c r="B446" s="2" t="str">
        <f>_xlfn.XLOOKUP(наценкад5[[#This Row],[№]],ППД5[№],ППД5[Секция],"-",0)</f>
        <v>Г</v>
      </c>
      <c r="C446" s="2">
        <f>_xlfn.XLOOKUP(наценкад5[[#This Row],[№]],ППД5[№],ППД5[Этаж],"-",0)</f>
        <v>7</v>
      </c>
      <c r="D446" s="2">
        <f>_xlfn.XLOOKUP(наценкад5[[#This Row],[№]],ППД5[№],ППД5[№ на этаже],"-",0)</f>
        <v>8</v>
      </c>
      <c r="E446" s="2">
        <f>_xlfn.XLOOKUP(наценкад5[[#This Row],[№]],ППД5[№],ППД5[Тип кв],"-",0)</f>
        <v>1</v>
      </c>
      <c r="F446" s="72">
        <f>_xlfn.XLOOKUP(наценкад5[[#This Row],[№]],ППД5[№],ППД5[Кухня],"-",0)</f>
        <v>11.43</v>
      </c>
      <c r="G446" s="72">
        <f>_xlfn.XLOOKUP(наценкад5[[#This Row],[№]],ППД5[№],ППД5[Ванная],"-",0)</f>
        <v>3.56</v>
      </c>
      <c r="H446" s="72">
        <f>_xlfn.XLOOKUP(наценкад5[[#This Row],[№]],ППД5[№],ППД5[Гардеробная],"-",0)</f>
        <v>0</v>
      </c>
      <c r="I446" s="72">
        <f>_xlfn.XLOOKUP(наценкад5[[#This Row],[№]],ППД5[№],ППД5[Лоджия 2],"-",0)</f>
        <v>0</v>
      </c>
      <c r="J446" s="72">
        <f>_xlfn.XLOOKUP(наценкад5[[#This Row],[№]],ППД5[№],ППД5[С\У],"-",0)</f>
        <v>0</v>
      </c>
      <c r="K446" s="72">
        <f>_xlfn.XLOOKUP(наценкад5[[#This Row],[№]],ППД5[№],ППД5[Расчетная проектная площадь],"-",0)</f>
        <v>39.69</v>
      </c>
      <c r="L446" s="12">
        <f t="shared" si="6"/>
        <v>63000</v>
      </c>
      <c r="M446" s="102">
        <f>коэффициенты!$G$2</f>
        <v>1.2875000000000001</v>
      </c>
      <c r="N446" s="13">
        <f>наценкад5[[#This Row],[Цена м2 базовая]]*наценкад5[[#This Row],[Базовой K]]</f>
        <v>81112.5</v>
      </c>
      <c r="O446" s="74"/>
      <c r="P446" s="76">
        <f>коэффициенты!$G$5</f>
        <v>0.01</v>
      </c>
      <c r="Q446" s="74"/>
      <c r="R446" s="74"/>
      <c r="S446" s="74"/>
      <c r="T446" s="74"/>
      <c r="U446" s="74"/>
      <c r="V446" s="74">
        <f>коэффициенты!$G$11</f>
        <v>0.01</v>
      </c>
      <c r="W446" s="75"/>
      <c r="X446" s="74"/>
      <c r="Y446" s="75"/>
      <c r="Z446" s="74"/>
      <c r="AA446" s="74">
        <f>коэффициенты!$G$14</f>
        <v>0.01</v>
      </c>
      <c r="AB446" s="74"/>
      <c r="AC446" s="74"/>
      <c r="AD446" s="74">
        <f>коэффициенты!$G$19</f>
        <v>0.01</v>
      </c>
      <c r="AE446" s="74"/>
      <c r="AF446" s="74">
        <f>коэффициенты!$G$21</f>
        <v>0.01</v>
      </c>
      <c r="AG446" s="74">
        <f>коэффициенты!$A$24</f>
        <v>-5.0000000000000001E-3</v>
      </c>
      <c r="AH446" s="74"/>
      <c r="AI446" s="73">
        <f>SUM(наценкад5[[#This Row],[еврокухня]:[большая площадь]])*наценкад5[[#This Row],[Цена м2 с базовым K]]+наценкад5[[#This Row],[Цена м2 с базовым K]]</f>
        <v>84762.5625</v>
      </c>
      <c r="AJ446" s="72">
        <f>VLOOKUP(наценкад5[[#This Row],[№]],ППД5[],COLUMN(ППД5[[#This Row],[утв цена м2]]),0)</f>
        <v>109871.26</v>
      </c>
      <c r="AK446" s="3">
        <f>наценкад5[[#This Row],[утв цена м2]]*наценкад5[[#This Row],[Расчетная проектная площадь]]</f>
        <v>4360790.3093999997</v>
      </c>
      <c r="AL446" s="22" t="str">
        <f>VLOOKUP(наценкад5[[#This Row],[№]],ППД5[],COLUMN('Реестр ОН'!$DF$1),0)</f>
        <v>Продажа</v>
      </c>
    </row>
    <row r="447" spans="1:38" hidden="1" x14ac:dyDescent="0.25">
      <c r="A447" s="101">
        <v>445</v>
      </c>
      <c r="B447" s="2" t="str">
        <f>_xlfn.XLOOKUP(наценкад5[[#This Row],[№]],ППД5[№],ППД5[Секция],"-",0)</f>
        <v>Г</v>
      </c>
      <c r="C447" s="2">
        <f>_xlfn.XLOOKUP(наценкад5[[#This Row],[№]],ППД5[№],ППД5[Этаж],"-",0)</f>
        <v>8</v>
      </c>
      <c r="D447" s="2">
        <f>_xlfn.XLOOKUP(наценкад5[[#This Row],[№]],ППД5[№],ППД5[№ на этаже],"-",0)</f>
        <v>1</v>
      </c>
      <c r="E447" s="2">
        <f>_xlfn.XLOOKUP(наценкад5[[#This Row],[№]],ППД5[№],ППД5[Тип кв],"-",0)</f>
        <v>0</v>
      </c>
      <c r="F447" s="72">
        <f>_xlfn.XLOOKUP(наценкад5[[#This Row],[№]],ППД5[№],ППД5[Кухня],"-",0)</f>
        <v>5.84</v>
      </c>
      <c r="G447" s="72">
        <f>_xlfn.XLOOKUP(наценкад5[[#This Row],[№]],ППД5[№],ППД5[Ванная],"-",0)</f>
        <v>3.76</v>
      </c>
      <c r="H447" s="72">
        <f>_xlfn.XLOOKUP(наценкад5[[#This Row],[№]],ППД5[№],ППД5[Гардеробная],"-",0)</f>
        <v>0</v>
      </c>
      <c r="I447" s="72">
        <f>_xlfn.XLOOKUP(наценкад5[[#This Row],[№]],ППД5[№],ППД5[Лоджия 2],"-",0)</f>
        <v>0</v>
      </c>
      <c r="J447" s="72">
        <f>_xlfn.XLOOKUP(наценкад5[[#This Row],[№]],ППД5[№],ППД5[С\У],"-",0)</f>
        <v>0</v>
      </c>
      <c r="K447" s="72">
        <f>_xlfn.XLOOKUP(наценкад5[[#This Row],[№]],ППД5[№],ППД5[Расчетная проектная площадь],"-",0)</f>
        <v>29.4</v>
      </c>
      <c r="L447" s="12">
        <f t="shared" si="6"/>
        <v>63000</v>
      </c>
      <c r="M447" s="116">
        <f>коэффициенты!$H$2</f>
        <v>1.3905000000000001</v>
      </c>
      <c r="N447" s="13">
        <f>наценкад5[[#This Row],[Цена м2 базовая]]*наценкад5[[#This Row],[Базовой K]]</f>
        <v>87601.5</v>
      </c>
      <c r="O447" s="74"/>
      <c r="P447" s="74"/>
      <c r="Q447" s="74"/>
      <c r="R447" s="74"/>
      <c r="S447" s="74"/>
      <c r="T447" s="74"/>
      <c r="U447" s="74"/>
      <c r="V447" s="74"/>
      <c r="W447" s="75"/>
      <c r="X447" s="74"/>
      <c r="Y447" s="75"/>
      <c r="Z447" s="74"/>
      <c r="AA447" s="74"/>
      <c r="AB447" s="74"/>
      <c r="AC447" s="74"/>
      <c r="AD447" s="74">
        <f>коэффициенты!$H$19</f>
        <v>0.01</v>
      </c>
      <c r="AE447" s="74"/>
      <c r="AF447" s="74">
        <f>коэффициенты!$H$21</f>
        <v>0.01</v>
      </c>
      <c r="AG447" s="74"/>
      <c r="AH447" s="74"/>
      <c r="AI447" s="73">
        <f>SUM(наценкад5[[#This Row],[еврокухня]:[большая площадь]])*наценкад5[[#This Row],[Цена м2 с базовым K]]+наценкад5[[#This Row],[Цена м2 с базовым K]]</f>
        <v>89353.53</v>
      </c>
      <c r="AJ447" s="72">
        <f>VLOOKUP(наценкад5[[#This Row],[№]],ППД5[],COLUMN(ППД5[[#This Row],[утв цена м2]]),0)</f>
        <v>117950.57</v>
      </c>
      <c r="AK447" s="3">
        <f>наценкад5[[#This Row],[утв цена м2]]*наценкад5[[#This Row],[Расчетная проектная площадь]]</f>
        <v>3467746.7579999999</v>
      </c>
      <c r="AL447" s="22" t="str">
        <f>VLOOKUP(наценкад5[[#This Row],[№]],ППД5[],COLUMN('Реестр ОН'!$DF$1),0)</f>
        <v>Продажа</v>
      </c>
    </row>
    <row r="448" spans="1:38" hidden="1" x14ac:dyDescent="0.25">
      <c r="A448" s="101">
        <v>446</v>
      </c>
      <c r="B448" s="2" t="str">
        <f>_xlfn.XLOOKUP(наценкад5[[#This Row],[№]],ППД5[№],ППД5[Секция],"-",0)</f>
        <v>Г</v>
      </c>
      <c r="C448" s="2">
        <f>_xlfn.XLOOKUP(наценкад5[[#This Row],[№]],ППД5[№],ППД5[Этаж],"-",0)</f>
        <v>8</v>
      </c>
      <c r="D448" s="2">
        <f>_xlfn.XLOOKUP(наценкад5[[#This Row],[№]],ППД5[№],ППД5[№ на этаже],"-",0)</f>
        <v>2</v>
      </c>
      <c r="E448" s="2">
        <f>_xlfn.XLOOKUP(наценкад5[[#This Row],[№]],ППД5[№],ППД5[Тип кв],"-",0)</f>
        <v>1</v>
      </c>
      <c r="F448" s="72">
        <f>_xlfn.XLOOKUP(наценкад5[[#This Row],[№]],ППД5[№],ППД5[Кухня],"-",0)</f>
        <v>16.940000000000001</v>
      </c>
      <c r="G448" s="72">
        <f>_xlfn.XLOOKUP(наценкад5[[#This Row],[№]],ППД5[№],ППД5[Ванная],"-",0)</f>
        <v>3.55</v>
      </c>
      <c r="H448" s="72">
        <f>_xlfn.XLOOKUP(наценкад5[[#This Row],[№]],ППД5[№],ППД5[Гардеробная],"-",0)</f>
        <v>0</v>
      </c>
      <c r="I448" s="72">
        <f>_xlfn.XLOOKUP(наценкад5[[#This Row],[№]],ППД5[№],ППД5[Лоджия 2],"-",0)</f>
        <v>0</v>
      </c>
      <c r="J448" s="72">
        <f>_xlfn.XLOOKUP(наценкад5[[#This Row],[№]],ППД5[№],ППД5[С\У],"-",0)</f>
        <v>2.41</v>
      </c>
      <c r="K448" s="72">
        <f>_xlfn.XLOOKUP(наценкад5[[#This Row],[№]],ППД5[№],ППД5[Расчетная проектная площадь],"-",0)</f>
        <v>43.21</v>
      </c>
      <c r="L448" s="12">
        <f t="shared" si="6"/>
        <v>63000</v>
      </c>
      <c r="M448" s="102">
        <f>коэффициенты!$G$2</f>
        <v>1.2875000000000001</v>
      </c>
      <c r="N448" s="13">
        <f>наценкад5[[#This Row],[Цена м2 базовая]]*наценкад5[[#This Row],[Базовой K]]</f>
        <v>81112.5</v>
      </c>
      <c r="O448" s="76">
        <f>коэффициенты!$G$4</f>
        <v>0.02</v>
      </c>
      <c r="P448" s="74"/>
      <c r="Q448" s="74"/>
      <c r="R448" s="74">
        <f>коэффициенты!$G$10</f>
        <v>0.01</v>
      </c>
      <c r="S448" s="74">
        <f>коэффициенты!$G$9</f>
        <v>0</v>
      </c>
      <c r="T448" s="74"/>
      <c r="U448" s="74"/>
      <c r="V448" s="74"/>
      <c r="W448" s="75"/>
      <c r="X448" s="74"/>
      <c r="Y448" s="75"/>
      <c r="Z448" s="74"/>
      <c r="AA448" s="74"/>
      <c r="AB448" s="74"/>
      <c r="AC448" s="74"/>
      <c r="AD448" s="74">
        <f>коэффициенты!$G$19</f>
        <v>0.01</v>
      </c>
      <c r="AE448" s="74"/>
      <c r="AF448" s="74">
        <f>коэффициенты!$G$21</f>
        <v>0.01</v>
      </c>
      <c r="AG448" s="74"/>
      <c r="AH448" s="74"/>
      <c r="AI448" s="73">
        <f>SUM(наценкад5[[#This Row],[еврокухня]:[большая площадь]])*наценкад5[[#This Row],[Цена м2 с базовым K]]+наценкад5[[#This Row],[Цена м2 с базовым K]]</f>
        <v>85168.125</v>
      </c>
      <c r="AJ448" s="72">
        <f>VLOOKUP(наценкад5[[#This Row],[№]],ППД5[],COLUMN(ППД5[[#This Row],[утв цена м2]]),0)</f>
        <v>110978.23</v>
      </c>
      <c r="AK448" s="3">
        <f>наценкад5[[#This Row],[утв цена м2]]*наценкад5[[#This Row],[Расчетная проектная площадь]]</f>
        <v>4795369.3182999995</v>
      </c>
      <c r="AL448" s="22" t="str">
        <f>VLOOKUP(наценкад5[[#This Row],[№]],ППД5[],COLUMN('Реестр ОН'!$DF$1),0)</f>
        <v>Продажа</v>
      </c>
    </row>
    <row r="449" spans="1:38" hidden="1" x14ac:dyDescent="0.25">
      <c r="A449" s="101">
        <v>447</v>
      </c>
      <c r="B449" s="2" t="str">
        <f>_xlfn.XLOOKUP(наценкад5[[#This Row],[№]],ППД5[№],ППД5[Секция],"-",0)</f>
        <v>Г</v>
      </c>
      <c r="C449" s="2">
        <f>_xlfn.XLOOKUP(наценкад5[[#This Row],[№]],ППД5[№],ППД5[Этаж],"-",0)</f>
        <v>8</v>
      </c>
      <c r="D449" s="2">
        <f>_xlfn.XLOOKUP(наценкад5[[#This Row],[№]],ППД5[№],ППД5[№ на этаже],"-",0)</f>
        <v>3</v>
      </c>
      <c r="E449" s="2">
        <f>_xlfn.XLOOKUP(наценкад5[[#This Row],[№]],ППД5[№],ППД5[Тип кв],"-",0)</f>
        <v>0</v>
      </c>
      <c r="F449" s="72">
        <f>_xlfn.XLOOKUP(наценкад5[[#This Row],[№]],ППД5[№],ППД5[Кухня],"-",0)</f>
        <v>5.17</v>
      </c>
      <c r="G449" s="72">
        <f>_xlfn.XLOOKUP(наценкад5[[#This Row],[№]],ППД5[№],ППД5[Ванная],"-",0)</f>
        <v>3.71</v>
      </c>
      <c r="H449" s="72">
        <f>_xlfn.XLOOKUP(наценкад5[[#This Row],[№]],ППД5[№],ППД5[Гардеробная],"-",0)</f>
        <v>0</v>
      </c>
      <c r="I449" s="72">
        <f>_xlfn.XLOOKUP(наценкад5[[#This Row],[№]],ППД5[№],ППД5[Лоджия 2],"-",0)</f>
        <v>0</v>
      </c>
      <c r="J449" s="72">
        <f>_xlfn.XLOOKUP(наценкад5[[#This Row],[№]],ППД5[№],ППД5[С\У],"-",0)</f>
        <v>0</v>
      </c>
      <c r="K449" s="72">
        <f>_xlfn.XLOOKUP(наценкад5[[#This Row],[№]],ППД5[№],ППД5[Расчетная проектная площадь],"-",0)</f>
        <v>24.5</v>
      </c>
      <c r="L449" s="12">
        <f t="shared" si="6"/>
        <v>63000</v>
      </c>
      <c r="M449" s="116">
        <f>коэффициенты!$H$2</f>
        <v>1.3905000000000001</v>
      </c>
      <c r="N449" s="13">
        <f>наценкад5[[#This Row],[Цена м2 базовая]]*наценкад5[[#This Row],[Базовой K]]</f>
        <v>87601.5</v>
      </c>
      <c r="O449" s="74"/>
      <c r="P449" s="74"/>
      <c r="Q449" s="74"/>
      <c r="R449" s="74"/>
      <c r="S449" s="74"/>
      <c r="T449" s="74"/>
      <c r="U449" s="74"/>
      <c r="V449" s="74">
        <f>коэффициенты!$H$11</f>
        <v>0.01</v>
      </c>
      <c r="W449" s="75"/>
      <c r="X449" s="74">
        <f>коэффициенты!$H$13</f>
        <v>0.01</v>
      </c>
      <c r="Y449" s="75"/>
      <c r="Z449" s="74"/>
      <c r="AA449" s="74"/>
      <c r="AB449" s="74"/>
      <c r="AC449" s="74"/>
      <c r="AD449" s="74">
        <f>коэффициенты!$H$19</f>
        <v>0.01</v>
      </c>
      <c r="AE449" s="74"/>
      <c r="AF449" s="74">
        <f>коэффициенты!$H$21</f>
        <v>0.01</v>
      </c>
      <c r="AG449" s="74"/>
      <c r="AH449" s="74"/>
      <c r="AI449" s="73">
        <f>SUM(наценкад5[[#This Row],[еврокухня]:[большая площадь]])*наценкад5[[#This Row],[Цена м2 с базовым K]]+наценкад5[[#This Row],[Цена м2 с базовым K]]</f>
        <v>91105.56</v>
      </c>
      <c r="AJ449" s="72">
        <f>VLOOKUP(наценкад5[[#This Row],[№]],ППД5[],COLUMN(ППД5[[#This Row],[утв цена м2]]),0)</f>
        <v>117312.91</v>
      </c>
      <c r="AK449" s="3">
        <f>наценкад5[[#This Row],[утв цена м2]]*наценкад5[[#This Row],[Расчетная проектная площадь]]</f>
        <v>2874166.2949999999</v>
      </c>
      <c r="AL449" s="22" t="str">
        <f>VLOOKUP(наценкад5[[#This Row],[№]],ППД5[],COLUMN('Реестр ОН'!$DF$1),0)</f>
        <v>Продажа</v>
      </c>
    </row>
    <row r="450" spans="1:38" hidden="1" x14ac:dyDescent="0.25">
      <c r="A450" s="101">
        <v>448</v>
      </c>
      <c r="B450" s="2" t="str">
        <f>_xlfn.XLOOKUP(наценкад5[[#This Row],[№]],ППД5[№],ППД5[Секция],"-",0)</f>
        <v>Г</v>
      </c>
      <c r="C450" s="2">
        <f>_xlfn.XLOOKUP(наценкад5[[#This Row],[№]],ППД5[№],ППД5[Этаж],"-",0)</f>
        <v>8</v>
      </c>
      <c r="D450" s="2">
        <f>_xlfn.XLOOKUP(наценкад5[[#This Row],[№]],ППД5[№],ППД5[№ на этаже],"-",0)</f>
        <v>4</v>
      </c>
      <c r="E450" s="2">
        <f>_xlfn.XLOOKUP(наценкад5[[#This Row],[№]],ППД5[№],ППД5[Тип кв],"-",0)</f>
        <v>2</v>
      </c>
      <c r="F450" s="72">
        <f>_xlfn.XLOOKUP(наценкад5[[#This Row],[№]],ППД5[№],ППД5[Кухня],"-",0)</f>
        <v>15.86</v>
      </c>
      <c r="G450" s="72">
        <f>_xlfn.XLOOKUP(наценкад5[[#This Row],[№]],ППД5[№],ППД5[Ванная],"-",0)</f>
        <v>3.01</v>
      </c>
      <c r="H450" s="72">
        <f>_xlfn.XLOOKUP(наценкад5[[#This Row],[№]],ППД5[№],ППД5[Гардеробная],"-",0)</f>
        <v>0</v>
      </c>
      <c r="I450" s="72">
        <f>_xlfn.XLOOKUP(наценкад5[[#This Row],[№]],ППД5[№],ППД5[Лоджия 2],"-",0)</f>
        <v>0</v>
      </c>
      <c r="J450" s="72">
        <f>_xlfn.XLOOKUP(наценкад5[[#This Row],[№]],ППД5[№],ППД5[С\У],"-",0)</f>
        <v>2.67</v>
      </c>
      <c r="K450" s="72">
        <f>_xlfn.XLOOKUP(наценкад5[[#This Row],[№]],ППД5[№],ППД5[Расчетная проектная площадь],"-",0)</f>
        <v>58.24</v>
      </c>
      <c r="L450" s="12">
        <f t="shared" si="6"/>
        <v>63000</v>
      </c>
      <c r="M450" s="102">
        <f>коэффициенты!$F$2</f>
        <v>1.2257</v>
      </c>
      <c r="N450" s="13">
        <f>наценкад5[[#This Row],[Цена м2 базовая]]*наценкад5[[#This Row],[Базовой K]]</f>
        <v>77219.100000000006</v>
      </c>
      <c r="O450" s="76">
        <f>коэффициенты!$F$4</f>
        <v>1.4999999999999999E-2</v>
      </c>
      <c r="P450" s="74"/>
      <c r="Q450" s="76"/>
      <c r="R450" s="76">
        <f>коэффициенты!$F$10</f>
        <v>0</v>
      </c>
      <c r="S450" s="76">
        <f>коэффициенты!$F$9</f>
        <v>0</v>
      </c>
      <c r="T450" s="74"/>
      <c r="U450" s="74"/>
      <c r="V450" s="74"/>
      <c r="W450" s="75"/>
      <c r="X450" s="74"/>
      <c r="Y450" s="75"/>
      <c r="Z450" s="74"/>
      <c r="AA450" s="74"/>
      <c r="AB450" s="74"/>
      <c r="AC450" s="74"/>
      <c r="AD450" s="74">
        <f>коэффициенты!$F$19</f>
        <v>5.0000000000000001E-3</v>
      </c>
      <c r="AE450" s="74"/>
      <c r="AF450" s="74">
        <f>коэффициенты!$F$21</f>
        <v>0.01</v>
      </c>
      <c r="AG450" s="74"/>
      <c r="AH450" s="74"/>
      <c r="AI450" s="73">
        <f>SUM(наценкад5[[#This Row],[еврокухня]:[большая площадь]])*наценкад5[[#This Row],[Цена м2 с базовым K]]+наценкад5[[#This Row],[Цена м2 с базовым K]]</f>
        <v>79535.67300000001</v>
      </c>
      <c r="AJ450" s="72">
        <f>VLOOKUP(наценкад5[[#This Row],[№]],ППД5[],COLUMN(ППД5[[#This Row],[утв цена м2]]),0)</f>
        <v>79535.67</v>
      </c>
      <c r="AK450" s="3">
        <f>наценкад5[[#This Row],[утв цена м2]]*наценкад5[[#This Row],[Расчетная проектная площадь]]</f>
        <v>4632157.4208000004</v>
      </c>
      <c r="AL450" s="22" t="str">
        <f>VLOOKUP(наценкад5[[#This Row],[№]],ППД5[],COLUMN('Реестр ОН'!$DF$1),0)</f>
        <v>Продажа</v>
      </c>
    </row>
    <row r="451" spans="1:38" hidden="1" x14ac:dyDescent="0.25">
      <c r="A451" s="101">
        <v>449</v>
      </c>
      <c r="B451" s="2" t="str">
        <f>_xlfn.XLOOKUP(наценкад5[[#This Row],[№]],ППД5[№],ППД5[Секция],"-",0)</f>
        <v>Г</v>
      </c>
      <c r="C451" s="2">
        <f>_xlfn.XLOOKUP(наценкад5[[#This Row],[№]],ППД5[№],ППД5[Этаж],"-",0)</f>
        <v>8</v>
      </c>
      <c r="D451" s="2">
        <f>_xlfn.XLOOKUP(наценкад5[[#This Row],[№]],ППД5[№],ППД5[№ на этаже],"-",0)</f>
        <v>5</v>
      </c>
      <c r="E451" s="2">
        <f>_xlfn.XLOOKUP(наценкад5[[#This Row],[№]],ППД5[№],ППД5[Тип кв],"-",0)</f>
        <v>2</v>
      </c>
      <c r="F451" s="72">
        <f>_xlfn.XLOOKUP(наценкад5[[#This Row],[№]],ППД5[№],ППД5[Кухня],"-",0)</f>
        <v>13.45</v>
      </c>
      <c r="G451" s="72">
        <f>_xlfn.XLOOKUP(наценкад5[[#This Row],[№]],ППД5[№],ППД5[Ванная],"-",0)</f>
        <v>3.7</v>
      </c>
      <c r="H451" s="72">
        <f>_xlfn.XLOOKUP(наценкад5[[#This Row],[№]],ППД5[№],ППД5[Гардеробная],"-",0)</f>
        <v>0</v>
      </c>
      <c r="I451" s="72">
        <f>_xlfn.XLOOKUP(наценкад5[[#This Row],[№]],ППД5[№],ППД5[Лоджия 2],"-",0)</f>
        <v>0</v>
      </c>
      <c r="J451" s="72">
        <f>_xlfn.XLOOKUP(наценкад5[[#This Row],[№]],ППД5[№],ППД5[С\У],"-",0)</f>
        <v>2.72</v>
      </c>
      <c r="K451" s="72">
        <f>_xlfn.XLOOKUP(наценкад5[[#This Row],[№]],ППД5[№],ППД5[Расчетная проектная площадь],"-",0)</f>
        <v>57.8</v>
      </c>
      <c r="L451" s="12">
        <f t="shared" ref="L451:L514" si="7">$L$1</f>
        <v>63000</v>
      </c>
      <c r="M451" s="102">
        <f>коэффициенты!$F$2</f>
        <v>1.2257</v>
      </c>
      <c r="N451" s="13">
        <f>наценкад5[[#This Row],[Цена м2 базовая]]*наценкад5[[#This Row],[Базовой K]]</f>
        <v>77219.100000000006</v>
      </c>
      <c r="O451" s="74"/>
      <c r="P451" s="74">
        <f>коэффициенты!$F$5</f>
        <v>0.01</v>
      </c>
      <c r="Q451" s="76"/>
      <c r="R451" s="76"/>
      <c r="S451" s="76">
        <f>коэффициенты!$F$9</f>
        <v>0</v>
      </c>
      <c r="T451" s="74"/>
      <c r="U451" s="74"/>
      <c r="V451" s="74"/>
      <c r="W451" s="75"/>
      <c r="X451" s="74"/>
      <c r="Y451" s="75"/>
      <c r="Z451" s="74"/>
      <c r="AA451" s="74"/>
      <c r="AB451" s="74"/>
      <c r="AC451" s="74"/>
      <c r="AD451" s="74">
        <f>коэффициенты!$F$19</f>
        <v>5.0000000000000001E-3</v>
      </c>
      <c r="AE451" s="74"/>
      <c r="AF451" s="74">
        <f>коэффициенты!$F$21</f>
        <v>0.01</v>
      </c>
      <c r="AG451" s="74"/>
      <c r="AH451" s="74"/>
      <c r="AI451" s="73">
        <f>SUM(наценкад5[[#This Row],[еврокухня]:[большая площадь]])*наценкад5[[#This Row],[Цена м2 с базовым K]]+наценкад5[[#This Row],[Цена м2 с базовым K]]</f>
        <v>79149.577499999999</v>
      </c>
      <c r="AJ451" s="72">
        <f>VLOOKUP(наценкад5[[#This Row],[№]],ППД5[],COLUMN(ППД5[[#This Row],[утв цена м2]]),0)</f>
        <v>79149.58</v>
      </c>
      <c r="AK451" s="3">
        <f>наценкад5[[#This Row],[утв цена м2]]*наценкад5[[#This Row],[Расчетная проектная площадь]]</f>
        <v>4574845.7239999995</v>
      </c>
      <c r="AL451" s="22" t="str">
        <f>VLOOKUP(наценкад5[[#This Row],[№]],ППД5[],COLUMN('Реестр ОН'!$DF$1),0)</f>
        <v>Продажа</v>
      </c>
    </row>
    <row r="452" spans="1:38" hidden="1" x14ac:dyDescent="0.25">
      <c r="A452" s="101">
        <v>450</v>
      </c>
      <c r="B452" s="2" t="str">
        <f>_xlfn.XLOOKUP(наценкад5[[#This Row],[№]],ППД5[№],ППД5[Секция],"-",0)</f>
        <v>Г</v>
      </c>
      <c r="C452" s="2">
        <f>_xlfn.XLOOKUP(наценкад5[[#This Row],[№]],ППД5[№],ППД5[Этаж],"-",0)</f>
        <v>8</v>
      </c>
      <c r="D452" s="2">
        <f>_xlfn.XLOOKUP(наценкад5[[#This Row],[№]],ППД5[№],ППД5[№ на этаже],"-",0)</f>
        <v>6</v>
      </c>
      <c r="E452" s="2">
        <f>_xlfn.XLOOKUP(наценкад5[[#This Row],[№]],ППД5[№],ППД5[Тип кв],"-",0)</f>
        <v>1</v>
      </c>
      <c r="F452" s="72">
        <f>_xlfn.XLOOKUP(наценкад5[[#This Row],[№]],ППД5[№],ППД5[Кухня],"-",0)</f>
        <v>12.55</v>
      </c>
      <c r="G452" s="72">
        <f>_xlfn.XLOOKUP(наценкад5[[#This Row],[№]],ППД5[№],ППД5[Ванная],"-",0)</f>
        <v>4.28</v>
      </c>
      <c r="H452" s="72">
        <f>_xlfn.XLOOKUP(наценкад5[[#This Row],[№]],ППД5[№],ППД5[Гардеробная],"-",0)</f>
        <v>0</v>
      </c>
      <c r="I452" s="72">
        <f>_xlfn.XLOOKUP(наценкад5[[#This Row],[№]],ППД5[№],ППД5[Лоджия 2],"-",0)</f>
        <v>0</v>
      </c>
      <c r="J452" s="72">
        <f>_xlfn.XLOOKUP(наценкад5[[#This Row],[№]],ППД5[№],ППД5[С\У],"-",0)</f>
        <v>0</v>
      </c>
      <c r="K452" s="72">
        <f>_xlfn.XLOOKUP(наценкад5[[#This Row],[№]],ППД5[№],ППД5[Расчетная проектная площадь],"-",0)</f>
        <v>38.299999999999997</v>
      </c>
      <c r="L452" s="12">
        <f t="shared" si="7"/>
        <v>63000</v>
      </c>
      <c r="M452" s="102">
        <f>коэффициенты!$G$2</f>
        <v>1.2875000000000001</v>
      </c>
      <c r="N452" s="13">
        <f>наценкад5[[#This Row],[Цена м2 базовая]]*наценкад5[[#This Row],[Базовой K]]</f>
        <v>81112.5</v>
      </c>
      <c r="O452" s="74"/>
      <c r="P452" s="76">
        <f>коэффициенты!$G$5</f>
        <v>0.01</v>
      </c>
      <c r="Q452" s="74">
        <f>коэффициенты!$G$6</f>
        <v>0.03</v>
      </c>
      <c r="R452" s="74"/>
      <c r="S452" s="74"/>
      <c r="T452" s="74"/>
      <c r="U452" s="74"/>
      <c r="V452" s="74">
        <f>коэффициенты!$G$11</f>
        <v>0.01</v>
      </c>
      <c r="W452" s="75"/>
      <c r="X452" s="74">
        <f>коэффициенты!$G$13</f>
        <v>0.01</v>
      </c>
      <c r="Y452" s="75"/>
      <c r="Z452" s="74"/>
      <c r="AA452" s="74"/>
      <c r="AB452" s="74"/>
      <c r="AC452" s="74"/>
      <c r="AD452" s="74">
        <f>коэффициенты!$G$19</f>
        <v>0.01</v>
      </c>
      <c r="AE452" s="74"/>
      <c r="AF452" s="74">
        <f>коэффициенты!$G$21</f>
        <v>0.01</v>
      </c>
      <c r="AG452" s="74"/>
      <c r="AH452" s="74"/>
      <c r="AI452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452" s="72">
        <f>VLOOKUP(наценкад5[[#This Row],[№]],ППД5[],COLUMN(ППД5[[#This Row],[утв цена м2]]),0)</f>
        <v>95688.43</v>
      </c>
      <c r="AK452" s="3">
        <f>наценкад5[[#This Row],[утв цена м2]]*наценкад5[[#This Row],[Расчетная проектная площадь]]</f>
        <v>3664866.8689999995</v>
      </c>
      <c r="AL452" s="22" t="str">
        <f>VLOOKUP(наценкад5[[#This Row],[№]],ППД5[],COLUMN('Реестр ОН'!$DF$1),0)</f>
        <v>Продажа</v>
      </c>
    </row>
    <row r="453" spans="1:38" hidden="1" x14ac:dyDescent="0.25">
      <c r="A453" s="101">
        <v>451</v>
      </c>
      <c r="B453" s="2" t="str">
        <f>_xlfn.XLOOKUP(наценкад5[[#This Row],[№]],ППД5[№],ППД5[Секция],"-",0)</f>
        <v>Г</v>
      </c>
      <c r="C453" s="2">
        <f>_xlfn.XLOOKUP(наценкад5[[#This Row],[№]],ППД5[№],ППД5[Этаж],"-",0)</f>
        <v>8</v>
      </c>
      <c r="D453" s="2">
        <f>_xlfn.XLOOKUP(наценкад5[[#This Row],[№]],ППД5[№],ППД5[№ на этаже],"-",0)</f>
        <v>7</v>
      </c>
      <c r="E453" s="2">
        <f>_xlfn.XLOOKUP(наценкад5[[#This Row],[№]],ППД5[№],ППД5[Тип кв],"-",0)</f>
        <v>3</v>
      </c>
      <c r="F453" s="72">
        <f>_xlfn.XLOOKUP(наценкад5[[#This Row],[№]],ППД5[№],ППД5[Кухня],"-",0)</f>
        <v>16.670000000000002</v>
      </c>
      <c r="G453" s="72">
        <f>_xlfn.XLOOKUP(наценкад5[[#This Row],[№]],ППД5[№],ППД5[Ванная],"-",0)</f>
        <v>4.1399999999999997</v>
      </c>
      <c r="H453" s="72">
        <f>_xlfn.XLOOKUP(наценкад5[[#This Row],[№]],ППД5[№],ППД5[Гардеробная],"-",0)</f>
        <v>0</v>
      </c>
      <c r="I453" s="72">
        <f>_xlfn.XLOOKUP(наценкад5[[#This Row],[№]],ППД5[№],ППД5[Лоджия 2],"-",0)</f>
        <v>2.79</v>
      </c>
      <c r="J453" s="72">
        <f>_xlfn.XLOOKUP(наценкад5[[#This Row],[№]],ППД5[№],ППД5[С\У],"-",0)</f>
        <v>1.89</v>
      </c>
      <c r="K453" s="72">
        <f>_xlfn.XLOOKUP(наценкад5[[#This Row],[№]],ППД5[№],ППД5[Расчетная проектная площадь],"-",0)</f>
        <v>79.44</v>
      </c>
      <c r="L453" s="12">
        <f t="shared" si="7"/>
        <v>63000</v>
      </c>
      <c r="M453" s="27">
        <f>коэффициенты!$E$2</f>
        <v>1.1330000000000002</v>
      </c>
      <c r="N453" s="13">
        <f>наценкад5[[#This Row],[Цена м2 базовая]]*наценкад5[[#This Row],[Базовой K]]</f>
        <v>71379.000000000015</v>
      </c>
      <c r="O453" s="74">
        <f>коэффициенты!$E$4</f>
        <v>0.03</v>
      </c>
      <c r="P453" s="74"/>
      <c r="Q453" s="74">
        <f>коэффициенты!$E$6</f>
        <v>0.01</v>
      </c>
      <c r="R453" s="74"/>
      <c r="S453" s="74">
        <f>коэффициенты!$E$9</f>
        <v>0</v>
      </c>
      <c r="T453" s="74">
        <f>коэффициенты!$E$7</f>
        <v>0</v>
      </c>
      <c r="U453" s="74">
        <f>коэффициенты!$E$8</f>
        <v>0.01</v>
      </c>
      <c r="V453" s="74"/>
      <c r="W453" s="75">
        <f>коэффициенты!$E$12</f>
        <v>0.02</v>
      </c>
      <c r="X453" s="74"/>
      <c r="Y453" s="75"/>
      <c r="Z453" s="74"/>
      <c r="AA453" s="74">
        <f>коэффициенты!$E$14</f>
        <v>0</v>
      </c>
      <c r="AB453" s="74"/>
      <c r="AC453" s="74">
        <f>коэффициенты!$E$18</f>
        <v>0.01</v>
      </c>
      <c r="AD453" s="74"/>
      <c r="AE453" s="74"/>
      <c r="AF453" s="74">
        <f>коэффициенты!$E$21</f>
        <v>0.01</v>
      </c>
      <c r="AG453" s="74"/>
      <c r="AH453" s="74"/>
      <c r="AI453" s="73">
        <f>SUM(наценкад5[[#This Row],[еврокухня]:[большая площадь]])*наценкад5[[#This Row],[Цена м2 с базовым K]]+наценкад5[[#This Row],[Цена м2 с базовым K]]</f>
        <v>77803.110000000015</v>
      </c>
      <c r="AJ453" s="72">
        <f>VLOOKUP(наценкад5[[#This Row],[№]],ППД5[],COLUMN(ППД5[[#This Row],[утв цена м2]]),0)</f>
        <v>84144.06</v>
      </c>
      <c r="AK453" s="3">
        <f>наценкад5[[#This Row],[утв цена м2]]*наценкад5[[#This Row],[Расчетная проектная площадь]]</f>
        <v>6684404.1263999995</v>
      </c>
      <c r="AL453" s="22" t="str">
        <f>VLOOKUP(наценкад5[[#This Row],[№]],ППД5[],COLUMN('Реестр ОН'!$DF$1),0)</f>
        <v>Продажа</v>
      </c>
    </row>
    <row r="454" spans="1:38" hidden="1" x14ac:dyDescent="0.25">
      <c r="A454" s="198">
        <v>452</v>
      </c>
      <c r="B454" s="247" t="str">
        <f>_xlfn.XLOOKUP(наценкад5[[#This Row],[№]],ППД5[№],ППД5[Секция],"-",0)</f>
        <v>Г</v>
      </c>
      <c r="C454" s="247">
        <f>_xlfn.XLOOKUP(наценкад5[[#This Row],[№]],ППД5[№],ППД5[Этаж],"-",0)</f>
        <v>8</v>
      </c>
      <c r="D454" s="247">
        <f>_xlfn.XLOOKUP(наценкад5[[#This Row],[№]],ППД5[№],ППД5[№ на этаже],"-",0)</f>
        <v>8</v>
      </c>
      <c r="E454" s="247">
        <f>_xlfn.XLOOKUP(наценкад5[[#This Row],[№]],ППД5[№],ППД5[Тип кв],"-",0)</f>
        <v>1</v>
      </c>
      <c r="F454" s="249">
        <f>_xlfn.XLOOKUP(наценкад5[[#This Row],[№]],ППД5[№],ППД5[Кухня],"-",0)</f>
        <v>11.43</v>
      </c>
      <c r="G454" s="249">
        <f>_xlfn.XLOOKUP(наценкад5[[#This Row],[№]],ППД5[№],ППД5[Ванная],"-",0)</f>
        <v>3.56</v>
      </c>
      <c r="H454" s="249">
        <f>_xlfn.XLOOKUP(наценкад5[[#This Row],[№]],ППД5[№],ППД5[Гардеробная],"-",0)</f>
        <v>0</v>
      </c>
      <c r="I454" s="249">
        <f>_xlfn.XLOOKUP(наценкад5[[#This Row],[№]],ППД5[№],ППД5[Лоджия 2],"-",0)</f>
        <v>0</v>
      </c>
      <c r="J454" s="249">
        <f>_xlfn.XLOOKUP(наценкад5[[#This Row],[№]],ППД5[№],ППД5[С\У],"-",0)</f>
        <v>0</v>
      </c>
      <c r="K454" s="249">
        <f>_xlfn.XLOOKUP(наценкад5[[#This Row],[№]],ППД5[№],ППД5[Расчетная проектная площадь],"-",0)</f>
        <v>39.69</v>
      </c>
      <c r="L454" s="250">
        <f t="shared" si="7"/>
        <v>63000</v>
      </c>
      <c r="M454" s="251">
        <f>коэффициенты!$G$2</f>
        <v>1.2875000000000001</v>
      </c>
      <c r="N454" s="252">
        <f>наценкад5[[#This Row],[Цена м2 базовая]]*наценкад5[[#This Row],[Базовой K]]</f>
        <v>81112.5</v>
      </c>
      <c r="O454" s="253"/>
      <c r="P454" s="253">
        <f>коэффициенты!$G$5</f>
        <v>0.01</v>
      </c>
      <c r="Q454" s="253"/>
      <c r="R454" s="253"/>
      <c r="S454" s="253"/>
      <c r="T454" s="253"/>
      <c r="U454" s="253"/>
      <c r="V454" s="253">
        <f>коэффициенты!$G$11</f>
        <v>0.01</v>
      </c>
      <c r="W454" s="254">
        <f>коэффициенты!$G$12</f>
        <v>0.02</v>
      </c>
      <c r="X454" s="253"/>
      <c r="Y454" s="254"/>
      <c r="Z454" s="253"/>
      <c r="AA454" s="253">
        <f>коэффициенты!$G$14</f>
        <v>0.01</v>
      </c>
      <c r="AB454" s="253"/>
      <c r="AC454" s="253"/>
      <c r="AD454" s="253">
        <f>коэффициенты!$G$19</f>
        <v>0.01</v>
      </c>
      <c r="AE454" s="253"/>
      <c r="AF454" s="253">
        <f>коэффициенты!$G$21</f>
        <v>0.01</v>
      </c>
      <c r="AG454" s="253">
        <f>коэффициенты!$A$24</f>
        <v>-5.0000000000000001E-3</v>
      </c>
      <c r="AH454" s="253"/>
      <c r="AI454" s="255">
        <f>SUM(наценкад5[[#This Row],[еврокухня]:[большая площадь]])*наценкад5[[#This Row],[Цена м2 с базовым K]]+наценкад5[[#This Row],[Цена м2 с базовым K]]</f>
        <v>86384.8125</v>
      </c>
      <c r="AJ454" s="249">
        <f>VLOOKUP(наценкад5[[#This Row],[№]],ППД5[],COLUMN(ППД5[[#This Row],[утв цена м2]]),0)</f>
        <v>136226.93</v>
      </c>
      <c r="AK454" s="248">
        <f>наценкад5[[#This Row],[утв цена м2]]*наценкад5[[#This Row],[Расчетная проектная площадь]]</f>
        <v>5406846.8516999995</v>
      </c>
      <c r="AL454" s="256" t="str">
        <f>VLOOKUP(наценкад5[[#This Row],[№]],ППД5[],COLUMN('Реестр ОН'!$DF$1),0)</f>
        <v>Свободно</v>
      </c>
    </row>
    <row r="455" spans="1:38" hidden="1" x14ac:dyDescent="0.25">
      <c r="A455" s="101">
        <v>453</v>
      </c>
      <c r="B455" s="2" t="str">
        <f>_xlfn.XLOOKUP(наценкад5[[#This Row],[№]],ППД5[№],ППД5[Секция],"-",0)</f>
        <v>Г</v>
      </c>
      <c r="C455" s="2">
        <f>_xlfn.XLOOKUP(наценкад5[[#This Row],[№]],ППД5[№],ППД5[Этаж],"-",0)</f>
        <v>9</v>
      </c>
      <c r="D455" s="2">
        <f>_xlfn.XLOOKUP(наценкад5[[#This Row],[№]],ППД5[№],ППД5[№ на этаже],"-",0)</f>
        <v>1</v>
      </c>
      <c r="E455" s="2">
        <f>_xlfn.XLOOKUP(наценкад5[[#This Row],[№]],ППД5[№],ППД5[Тип кв],"-",0)</f>
        <v>0</v>
      </c>
      <c r="F455" s="72">
        <f>_xlfn.XLOOKUP(наценкад5[[#This Row],[№]],ППД5[№],ППД5[Кухня],"-",0)</f>
        <v>5.84</v>
      </c>
      <c r="G455" s="72">
        <f>_xlfn.XLOOKUP(наценкад5[[#This Row],[№]],ППД5[№],ППД5[Ванная],"-",0)</f>
        <v>3.76</v>
      </c>
      <c r="H455" s="72">
        <f>_xlfn.XLOOKUP(наценкад5[[#This Row],[№]],ППД5[№],ППД5[Гардеробная],"-",0)</f>
        <v>0</v>
      </c>
      <c r="I455" s="72">
        <f>_xlfn.XLOOKUP(наценкад5[[#This Row],[№]],ППД5[№],ППД5[Лоджия 2],"-",0)</f>
        <v>0</v>
      </c>
      <c r="J455" s="72">
        <f>_xlfn.XLOOKUP(наценкад5[[#This Row],[№]],ППД5[№],ППД5[С\У],"-",0)</f>
        <v>0</v>
      </c>
      <c r="K455" s="72">
        <f>_xlfn.XLOOKUP(наценкад5[[#This Row],[№]],ППД5[№],ППД5[Расчетная проектная площадь],"-",0)</f>
        <v>29.4</v>
      </c>
      <c r="L455" s="12">
        <f t="shared" si="7"/>
        <v>63000</v>
      </c>
      <c r="M455" s="116">
        <f>коэффициенты!$H$2</f>
        <v>1.3905000000000001</v>
      </c>
      <c r="N455" s="13">
        <f>наценкад5[[#This Row],[Цена м2 базовая]]*наценкад5[[#This Row],[Базовой K]]</f>
        <v>87601.5</v>
      </c>
      <c r="O455" s="74"/>
      <c r="P455" s="74"/>
      <c r="Q455" s="74"/>
      <c r="R455" s="74"/>
      <c r="S455" s="74"/>
      <c r="T455" s="74"/>
      <c r="U455" s="74"/>
      <c r="V455" s="74"/>
      <c r="W455" s="75"/>
      <c r="X455" s="74"/>
      <c r="Y455" s="75"/>
      <c r="Z455" s="74"/>
      <c r="AA455" s="74"/>
      <c r="AB455" s="74"/>
      <c r="AC455" s="74"/>
      <c r="AD455" s="74">
        <f>коэффициенты!$H$19</f>
        <v>0.01</v>
      </c>
      <c r="AE455" s="74"/>
      <c r="AF455" s="74">
        <f>коэффициенты!$H$21</f>
        <v>0.01</v>
      </c>
      <c r="AG455" s="74"/>
      <c r="AH455" s="74"/>
      <c r="AI455" s="73">
        <f>SUM(наценкад5[[#This Row],[еврокухня]:[большая площадь]])*наценкад5[[#This Row],[Цена м2 с базовым K]]+наценкад5[[#This Row],[Цена м2 с базовым K]]</f>
        <v>89353.53</v>
      </c>
      <c r="AJ455" s="72">
        <f>VLOOKUP(наценкад5[[#This Row],[№]],ППД5[],COLUMN(ППД5[[#This Row],[утв цена м2]]),0)</f>
        <v>89353.53</v>
      </c>
      <c r="AK455" s="3">
        <f>наценкад5[[#This Row],[утв цена м2]]*наценкад5[[#This Row],[Расчетная проектная площадь]]</f>
        <v>2626993.7819999997</v>
      </c>
      <c r="AL455" s="22" t="str">
        <f>VLOOKUP(наценкад5[[#This Row],[№]],ППД5[],COLUMN('Реестр ОН'!$DF$1),0)</f>
        <v>Продажа</v>
      </c>
    </row>
    <row r="456" spans="1:38" hidden="1" x14ac:dyDescent="0.25">
      <c r="A456" s="101">
        <v>454</v>
      </c>
      <c r="B456" s="2" t="str">
        <f>_xlfn.XLOOKUP(наценкад5[[#This Row],[№]],ППД5[№],ППД5[Секция],"-",0)</f>
        <v>Г</v>
      </c>
      <c r="C456" s="2">
        <f>_xlfn.XLOOKUP(наценкад5[[#This Row],[№]],ППД5[№],ППД5[Этаж],"-",0)</f>
        <v>9</v>
      </c>
      <c r="D456" s="2">
        <f>_xlfn.XLOOKUP(наценкад5[[#This Row],[№]],ППД5[№],ППД5[№ на этаже],"-",0)</f>
        <v>2</v>
      </c>
      <c r="E456" s="2">
        <f>_xlfn.XLOOKUP(наценкад5[[#This Row],[№]],ППД5[№],ППД5[Тип кв],"-",0)</f>
        <v>1</v>
      </c>
      <c r="F456" s="72">
        <f>_xlfn.XLOOKUP(наценкад5[[#This Row],[№]],ППД5[№],ППД5[Кухня],"-",0)</f>
        <v>16.940000000000001</v>
      </c>
      <c r="G456" s="72">
        <f>_xlfn.XLOOKUP(наценкад5[[#This Row],[№]],ППД5[№],ППД5[Ванная],"-",0)</f>
        <v>3.55</v>
      </c>
      <c r="H456" s="72">
        <f>_xlfn.XLOOKUP(наценкад5[[#This Row],[№]],ППД5[№],ППД5[Гардеробная],"-",0)</f>
        <v>0</v>
      </c>
      <c r="I456" s="72">
        <f>_xlfn.XLOOKUP(наценкад5[[#This Row],[№]],ППД5[№],ППД5[Лоджия 2],"-",0)</f>
        <v>0</v>
      </c>
      <c r="J456" s="72">
        <f>_xlfn.XLOOKUP(наценкад5[[#This Row],[№]],ППД5[№],ППД5[С\У],"-",0)</f>
        <v>2.41</v>
      </c>
      <c r="K456" s="72">
        <f>_xlfn.XLOOKUP(наценкад5[[#This Row],[№]],ППД5[№],ППД5[Расчетная проектная площадь],"-",0)</f>
        <v>43.21</v>
      </c>
      <c r="L456" s="12">
        <f t="shared" si="7"/>
        <v>63000</v>
      </c>
      <c r="M456" s="102">
        <f>коэффициенты!$G$2</f>
        <v>1.2875000000000001</v>
      </c>
      <c r="N456" s="13">
        <f>наценкад5[[#This Row],[Цена м2 базовая]]*наценкад5[[#This Row],[Базовой K]]</f>
        <v>81112.5</v>
      </c>
      <c r="O456" s="76">
        <f>коэффициенты!$G$4</f>
        <v>0.02</v>
      </c>
      <c r="P456" s="74"/>
      <c r="Q456" s="74"/>
      <c r="R456" s="74">
        <f>коэффициенты!$G$10</f>
        <v>0.01</v>
      </c>
      <c r="S456" s="74">
        <f>коэффициенты!$G$9</f>
        <v>0</v>
      </c>
      <c r="T456" s="74"/>
      <c r="U456" s="74"/>
      <c r="V456" s="74"/>
      <c r="W456" s="75"/>
      <c r="X456" s="74"/>
      <c r="Y456" s="75"/>
      <c r="Z456" s="74"/>
      <c r="AA456" s="74"/>
      <c r="AB456" s="74"/>
      <c r="AC456" s="74"/>
      <c r="AD456" s="74">
        <f>коэффициенты!$G$19</f>
        <v>0.01</v>
      </c>
      <c r="AE456" s="74"/>
      <c r="AF456" s="74">
        <f>коэффициенты!$G$21</f>
        <v>0.01</v>
      </c>
      <c r="AG456" s="74"/>
      <c r="AH456" s="74"/>
      <c r="AI456" s="73">
        <f>SUM(наценкад5[[#This Row],[еврокухня]:[большая площадь]])*наценкад5[[#This Row],[Цена м2 с базовым K]]+наценкад5[[#This Row],[Цена м2 с базовым K]]</f>
        <v>85168.125</v>
      </c>
      <c r="AJ456" s="72">
        <f>VLOOKUP(наценкад5[[#This Row],[№]],ППД5[],COLUMN(ППД5[[#This Row],[утв цена м2]]),0)</f>
        <v>85168.13</v>
      </c>
      <c r="AK456" s="3">
        <f>наценкад5[[#This Row],[утв цена м2]]*наценкад5[[#This Row],[Расчетная проектная площадь]]</f>
        <v>3680114.8973000003</v>
      </c>
      <c r="AL456" s="22" t="str">
        <f>VLOOKUP(наценкад5[[#This Row],[№]],ППД5[],COLUMN('Реестр ОН'!$DF$1),0)</f>
        <v>Продажа</v>
      </c>
    </row>
    <row r="457" spans="1:38" hidden="1" x14ac:dyDescent="0.25">
      <c r="A457" s="101">
        <v>455</v>
      </c>
      <c r="B457" s="2" t="str">
        <f>_xlfn.XLOOKUP(наценкад5[[#This Row],[№]],ППД5[№],ППД5[Секция],"-",0)</f>
        <v>Г</v>
      </c>
      <c r="C457" s="2">
        <f>_xlfn.XLOOKUP(наценкад5[[#This Row],[№]],ППД5[№],ППД5[Этаж],"-",0)</f>
        <v>9</v>
      </c>
      <c r="D457" s="2">
        <f>_xlfn.XLOOKUP(наценкад5[[#This Row],[№]],ППД5[№],ППД5[№ на этаже],"-",0)</f>
        <v>3</v>
      </c>
      <c r="E457" s="2">
        <f>_xlfn.XLOOKUP(наценкад5[[#This Row],[№]],ППД5[№],ППД5[Тип кв],"-",0)</f>
        <v>0</v>
      </c>
      <c r="F457" s="72">
        <f>_xlfn.XLOOKUP(наценкад5[[#This Row],[№]],ППД5[№],ППД5[Кухня],"-",0)</f>
        <v>5.17</v>
      </c>
      <c r="G457" s="72">
        <f>_xlfn.XLOOKUP(наценкад5[[#This Row],[№]],ППД5[№],ППД5[Ванная],"-",0)</f>
        <v>3.71</v>
      </c>
      <c r="H457" s="72">
        <f>_xlfn.XLOOKUP(наценкад5[[#This Row],[№]],ППД5[№],ППД5[Гардеробная],"-",0)</f>
        <v>0</v>
      </c>
      <c r="I457" s="72">
        <f>_xlfn.XLOOKUP(наценкад5[[#This Row],[№]],ППД5[№],ППД5[Лоджия 2],"-",0)</f>
        <v>0</v>
      </c>
      <c r="J457" s="72">
        <f>_xlfn.XLOOKUP(наценкад5[[#This Row],[№]],ППД5[№],ППД5[С\У],"-",0)</f>
        <v>0</v>
      </c>
      <c r="K457" s="72">
        <f>_xlfn.XLOOKUP(наценкад5[[#This Row],[№]],ППД5[№],ППД5[Расчетная проектная площадь],"-",0)</f>
        <v>24.5</v>
      </c>
      <c r="L457" s="12">
        <f t="shared" si="7"/>
        <v>63000</v>
      </c>
      <c r="M457" s="116">
        <f>коэффициенты!$H$2</f>
        <v>1.3905000000000001</v>
      </c>
      <c r="N457" s="13">
        <f>наценкад5[[#This Row],[Цена м2 базовая]]*наценкад5[[#This Row],[Базовой K]]</f>
        <v>87601.5</v>
      </c>
      <c r="O457" s="74"/>
      <c r="P457" s="74"/>
      <c r="Q457" s="74"/>
      <c r="R457" s="74"/>
      <c r="S457" s="74"/>
      <c r="T457" s="74"/>
      <c r="U457" s="74"/>
      <c r="V457" s="74">
        <f>коэффициенты!$H$11</f>
        <v>0.01</v>
      </c>
      <c r="W457" s="75"/>
      <c r="X457" s="74">
        <f>коэффициенты!$H$13</f>
        <v>0.01</v>
      </c>
      <c r="Y457" s="75"/>
      <c r="Z457" s="74"/>
      <c r="AA457" s="74"/>
      <c r="AB457" s="74"/>
      <c r="AC457" s="74"/>
      <c r="AD457" s="74">
        <f>коэффициенты!$H$19</f>
        <v>0.01</v>
      </c>
      <c r="AE457" s="74"/>
      <c r="AF457" s="74">
        <f>коэффициенты!$H$21</f>
        <v>0.01</v>
      </c>
      <c r="AG457" s="74"/>
      <c r="AH457" s="74"/>
      <c r="AI457" s="73">
        <f>SUM(наценкад5[[#This Row],[еврокухня]:[большая площадь]])*наценкад5[[#This Row],[Цена м2 с базовым K]]+наценкад5[[#This Row],[Цена м2 с базовым K]]</f>
        <v>91105.56</v>
      </c>
      <c r="AJ457" s="72">
        <f>VLOOKUP(наценкад5[[#This Row],[№]],ППД5[],COLUMN(ППД5[[#This Row],[утв цена м2]]),0)</f>
        <v>117312.91</v>
      </c>
      <c r="AK457" s="3">
        <f>наценкад5[[#This Row],[утв цена м2]]*наценкад5[[#This Row],[Расчетная проектная площадь]]</f>
        <v>2874166.2949999999</v>
      </c>
      <c r="AL457" s="22" t="str">
        <f>VLOOKUP(наценкад5[[#This Row],[№]],ППД5[],COLUMN('Реестр ОН'!$DF$1),0)</f>
        <v>Продажа</v>
      </c>
    </row>
    <row r="458" spans="1:38" hidden="1" x14ac:dyDescent="0.25">
      <c r="A458" s="101">
        <v>456</v>
      </c>
      <c r="B458" s="2" t="str">
        <f>_xlfn.XLOOKUP(наценкад5[[#This Row],[№]],ППД5[№],ППД5[Секция],"-",0)</f>
        <v>Г</v>
      </c>
      <c r="C458" s="2">
        <f>_xlfn.XLOOKUP(наценкад5[[#This Row],[№]],ППД5[№],ППД5[Этаж],"-",0)</f>
        <v>9</v>
      </c>
      <c r="D458" s="2">
        <f>_xlfn.XLOOKUP(наценкад5[[#This Row],[№]],ППД5[№],ППД5[№ на этаже],"-",0)</f>
        <v>4</v>
      </c>
      <c r="E458" s="2">
        <f>_xlfn.XLOOKUP(наценкад5[[#This Row],[№]],ППД5[№],ППД5[Тип кв],"-",0)</f>
        <v>2</v>
      </c>
      <c r="F458" s="72">
        <f>_xlfn.XLOOKUP(наценкад5[[#This Row],[№]],ППД5[№],ППД5[Кухня],"-",0)</f>
        <v>15.86</v>
      </c>
      <c r="G458" s="72">
        <f>_xlfn.XLOOKUP(наценкад5[[#This Row],[№]],ППД5[№],ППД5[Ванная],"-",0)</f>
        <v>3.01</v>
      </c>
      <c r="H458" s="72">
        <f>_xlfn.XLOOKUP(наценкад5[[#This Row],[№]],ППД5[№],ППД5[Гардеробная],"-",0)</f>
        <v>0</v>
      </c>
      <c r="I458" s="72">
        <f>_xlfn.XLOOKUP(наценкад5[[#This Row],[№]],ППД5[№],ППД5[Лоджия 2],"-",0)</f>
        <v>0</v>
      </c>
      <c r="J458" s="72">
        <f>_xlfn.XLOOKUP(наценкад5[[#This Row],[№]],ППД5[№],ППД5[С\У],"-",0)</f>
        <v>2.67</v>
      </c>
      <c r="K458" s="72">
        <f>_xlfn.XLOOKUP(наценкад5[[#This Row],[№]],ППД5[№],ППД5[Расчетная проектная площадь],"-",0)</f>
        <v>58.24</v>
      </c>
      <c r="L458" s="12">
        <f t="shared" si="7"/>
        <v>63000</v>
      </c>
      <c r="M458" s="102">
        <f>коэффициенты!$F$2</f>
        <v>1.2257</v>
      </c>
      <c r="N458" s="13">
        <f>наценкад5[[#This Row],[Цена м2 базовая]]*наценкад5[[#This Row],[Базовой K]]</f>
        <v>77219.100000000006</v>
      </c>
      <c r="O458" s="76">
        <f>коэффициенты!$F$4</f>
        <v>1.4999999999999999E-2</v>
      </c>
      <c r="P458" s="74"/>
      <c r="Q458" s="76"/>
      <c r="R458" s="76">
        <f>коэффициенты!$F$10</f>
        <v>0</v>
      </c>
      <c r="S458" s="76">
        <f>коэффициенты!$F$9</f>
        <v>0</v>
      </c>
      <c r="T458" s="74"/>
      <c r="U458" s="74"/>
      <c r="V458" s="74"/>
      <c r="W458" s="75"/>
      <c r="X458" s="74"/>
      <c r="Y458" s="75"/>
      <c r="Z458" s="74"/>
      <c r="AA458" s="74"/>
      <c r="AB458" s="74"/>
      <c r="AC458" s="74"/>
      <c r="AD458" s="74">
        <f>коэффициенты!$F$19</f>
        <v>5.0000000000000001E-3</v>
      </c>
      <c r="AE458" s="74"/>
      <c r="AF458" s="74">
        <f>коэффициенты!$F$21</f>
        <v>0.01</v>
      </c>
      <c r="AG458" s="74"/>
      <c r="AH458" s="74"/>
      <c r="AI458" s="73">
        <f>SUM(наценкад5[[#This Row],[еврокухня]:[большая площадь]])*наценкад5[[#This Row],[Цена м2 с базовым K]]+наценкад5[[#This Row],[Цена м2 с базовым K]]</f>
        <v>79535.67300000001</v>
      </c>
      <c r="AJ458" s="72">
        <f>VLOOKUP(наценкад5[[#This Row],[№]],ППД5[],COLUMN(ППД5[[#This Row],[утв цена м2]]),0)</f>
        <v>95856.35</v>
      </c>
      <c r="AK458" s="3">
        <f>наценкад5[[#This Row],[утв цена м2]]*наценкад5[[#This Row],[Расчетная проектная площадь]]</f>
        <v>5582673.824000001</v>
      </c>
      <c r="AL458" s="22" t="str">
        <f>VLOOKUP(наценкад5[[#This Row],[№]],ППД5[],COLUMN('Реестр ОН'!$DF$1),0)</f>
        <v>Продажа</v>
      </c>
    </row>
    <row r="459" spans="1:38" hidden="1" x14ac:dyDescent="0.25">
      <c r="A459" s="101">
        <v>457</v>
      </c>
      <c r="B459" s="2" t="str">
        <f>_xlfn.XLOOKUP(наценкад5[[#This Row],[№]],ППД5[№],ППД5[Секция],"-",0)</f>
        <v>Г</v>
      </c>
      <c r="C459" s="2">
        <f>_xlfn.XLOOKUP(наценкад5[[#This Row],[№]],ППД5[№],ППД5[Этаж],"-",0)</f>
        <v>9</v>
      </c>
      <c r="D459" s="2">
        <f>_xlfn.XLOOKUP(наценкад5[[#This Row],[№]],ППД5[№],ППД5[№ на этаже],"-",0)</f>
        <v>5</v>
      </c>
      <c r="E459" s="2">
        <f>_xlfn.XLOOKUP(наценкад5[[#This Row],[№]],ППД5[№],ППД5[Тип кв],"-",0)</f>
        <v>2</v>
      </c>
      <c r="F459" s="72">
        <f>_xlfn.XLOOKUP(наценкад5[[#This Row],[№]],ППД5[№],ППД5[Кухня],"-",0)</f>
        <v>13.45</v>
      </c>
      <c r="G459" s="72">
        <f>_xlfn.XLOOKUP(наценкад5[[#This Row],[№]],ППД5[№],ППД5[Ванная],"-",0)</f>
        <v>3.7</v>
      </c>
      <c r="H459" s="72">
        <f>_xlfn.XLOOKUP(наценкад5[[#This Row],[№]],ППД5[№],ППД5[Гардеробная],"-",0)</f>
        <v>0</v>
      </c>
      <c r="I459" s="72">
        <f>_xlfn.XLOOKUP(наценкад5[[#This Row],[№]],ППД5[№],ППД5[Лоджия 2],"-",0)</f>
        <v>0</v>
      </c>
      <c r="J459" s="72">
        <f>_xlfn.XLOOKUP(наценкад5[[#This Row],[№]],ППД5[№],ППД5[С\У],"-",0)</f>
        <v>2.72</v>
      </c>
      <c r="K459" s="72">
        <f>_xlfn.XLOOKUP(наценкад5[[#This Row],[№]],ППД5[№],ППД5[Расчетная проектная площадь],"-",0)</f>
        <v>57.8</v>
      </c>
      <c r="L459" s="12">
        <f t="shared" si="7"/>
        <v>63000</v>
      </c>
      <c r="M459" s="102">
        <f>коэффициенты!$F$2</f>
        <v>1.2257</v>
      </c>
      <c r="N459" s="13">
        <f>наценкад5[[#This Row],[Цена м2 базовая]]*наценкад5[[#This Row],[Базовой K]]</f>
        <v>77219.100000000006</v>
      </c>
      <c r="O459" s="74"/>
      <c r="P459" s="74">
        <f>коэффициенты!$F$5</f>
        <v>0.01</v>
      </c>
      <c r="Q459" s="76"/>
      <c r="R459" s="76"/>
      <c r="S459" s="76">
        <f>коэффициенты!$F$9</f>
        <v>0</v>
      </c>
      <c r="T459" s="74"/>
      <c r="U459" s="74"/>
      <c r="V459" s="74"/>
      <c r="W459" s="74"/>
      <c r="X459" s="74"/>
      <c r="Y459" s="75"/>
      <c r="Z459" s="74"/>
      <c r="AA459" s="74"/>
      <c r="AB459" s="74"/>
      <c r="AC459" s="74"/>
      <c r="AD459" s="74">
        <f>коэффициенты!$F$19</f>
        <v>5.0000000000000001E-3</v>
      </c>
      <c r="AE459" s="74"/>
      <c r="AF459" s="74">
        <f>коэффициенты!$F$21</f>
        <v>0.01</v>
      </c>
      <c r="AG459" s="74"/>
      <c r="AH459" s="74"/>
      <c r="AI459" s="73">
        <f>SUM(наценкад5[[#This Row],[еврокухня]:[большая площадь]])*наценкад5[[#This Row],[Цена м2 с базовым K]]+наценкад5[[#This Row],[Цена м2 с базовым K]]</f>
        <v>79149.577499999999</v>
      </c>
      <c r="AJ459" s="72">
        <f>VLOOKUP(наценкад5[[#This Row],[№]],ППД5[],COLUMN(ППД5[[#This Row],[утв цена м2]]),0)</f>
        <v>121270.05</v>
      </c>
      <c r="AK459" s="3">
        <f>наценкад5[[#This Row],[утв цена м2]]*наценкад5[[#This Row],[Расчетная проектная площадь]]</f>
        <v>7009408.8899999997</v>
      </c>
      <c r="AL459" s="22" t="str">
        <f>VLOOKUP(наценкад5[[#This Row],[№]],ППД5[],COLUMN('Реестр ОН'!$DF$1),0)</f>
        <v>Продажа</v>
      </c>
    </row>
    <row r="460" spans="1:38" hidden="1" x14ac:dyDescent="0.25">
      <c r="A460" s="101">
        <v>458</v>
      </c>
      <c r="B460" s="2" t="str">
        <f>_xlfn.XLOOKUP(наценкад5[[#This Row],[№]],ППД5[№],ППД5[Секция],"-",0)</f>
        <v>Г</v>
      </c>
      <c r="C460" s="2">
        <f>_xlfn.XLOOKUP(наценкад5[[#This Row],[№]],ППД5[№],ППД5[Этаж],"-",0)</f>
        <v>9</v>
      </c>
      <c r="D460" s="2">
        <f>_xlfn.XLOOKUP(наценкад5[[#This Row],[№]],ППД5[№],ППД5[№ на этаже],"-",0)</f>
        <v>6</v>
      </c>
      <c r="E460" s="2">
        <f>_xlfn.XLOOKUP(наценкад5[[#This Row],[№]],ППД5[№],ППД5[Тип кв],"-",0)</f>
        <v>1</v>
      </c>
      <c r="F460" s="72">
        <f>_xlfn.XLOOKUP(наценкад5[[#This Row],[№]],ППД5[№],ППД5[Кухня],"-",0)</f>
        <v>12.55</v>
      </c>
      <c r="G460" s="72">
        <f>_xlfn.XLOOKUP(наценкад5[[#This Row],[№]],ППД5[№],ППД5[Ванная],"-",0)</f>
        <v>4.28</v>
      </c>
      <c r="H460" s="72">
        <f>_xlfn.XLOOKUP(наценкад5[[#This Row],[№]],ППД5[№],ППД5[Гардеробная],"-",0)</f>
        <v>0</v>
      </c>
      <c r="I460" s="72">
        <f>_xlfn.XLOOKUP(наценкад5[[#This Row],[№]],ППД5[№],ППД5[Лоджия 2],"-",0)</f>
        <v>0</v>
      </c>
      <c r="J460" s="72">
        <f>_xlfn.XLOOKUP(наценкад5[[#This Row],[№]],ППД5[№],ППД5[С\У],"-",0)</f>
        <v>0</v>
      </c>
      <c r="K460" s="72">
        <f>_xlfn.XLOOKUP(наценкад5[[#This Row],[№]],ППД5[№],ППД5[Расчетная проектная площадь],"-",0)</f>
        <v>38.299999999999997</v>
      </c>
      <c r="L460" s="12">
        <f t="shared" si="7"/>
        <v>63000</v>
      </c>
      <c r="M460" s="102">
        <f>коэффициенты!$G$2</f>
        <v>1.2875000000000001</v>
      </c>
      <c r="N460" s="13">
        <f>наценкад5[[#This Row],[Цена м2 базовая]]*наценкад5[[#This Row],[Базовой K]]</f>
        <v>81112.5</v>
      </c>
      <c r="O460" s="74"/>
      <c r="P460" s="76">
        <f>коэффициенты!$G$5</f>
        <v>0.01</v>
      </c>
      <c r="Q460" s="74">
        <f>коэффициенты!$G$6</f>
        <v>0.03</v>
      </c>
      <c r="R460" s="74"/>
      <c r="S460" s="74"/>
      <c r="T460" s="74"/>
      <c r="U460" s="74"/>
      <c r="V460" s="74">
        <f>коэффициенты!$G$11</f>
        <v>0.01</v>
      </c>
      <c r="W460" s="75"/>
      <c r="X460" s="74">
        <f>коэффициенты!$G$13</f>
        <v>0.01</v>
      </c>
      <c r="Y460" s="75"/>
      <c r="Z460" s="74"/>
      <c r="AA460" s="74"/>
      <c r="AB460" s="74"/>
      <c r="AC460" s="74"/>
      <c r="AD460" s="74">
        <f>коэффициенты!$G$19</f>
        <v>0.01</v>
      </c>
      <c r="AE460" s="74"/>
      <c r="AF460" s="74">
        <f>коэффициенты!$G$21</f>
        <v>0.01</v>
      </c>
      <c r="AG460" s="74"/>
      <c r="AH460" s="74"/>
      <c r="AI460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460" s="72">
        <f>VLOOKUP(наценкад5[[#This Row],[№]],ППД5[],COLUMN(ППД5[[#This Row],[утв цена м2]]),0)</f>
        <v>110845.49</v>
      </c>
      <c r="AK460" s="3">
        <f>наценкад5[[#This Row],[утв цена м2]]*наценкад5[[#This Row],[Расчетная проектная площадь]]</f>
        <v>4245382.267</v>
      </c>
      <c r="AL460" s="22" t="str">
        <f>VLOOKUP(наценкад5[[#This Row],[№]],ППД5[],COLUMN('Реестр ОН'!$DF$1),0)</f>
        <v>Продажа</v>
      </c>
    </row>
    <row r="461" spans="1:38" hidden="1" x14ac:dyDescent="0.25">
      <c r="A461" s="101">
        <v>459</v>
      </c>
      <c r="B461" s="2" t="str">
        <f>_xlfn.XLOOKUP(наценкад5[[#This Row],[№]],ППД5[№],ППД5[Секция],"-",0)</f>
        <v>Г</v>
      </c>
      <c r="C461" s="2">
        <f>_xlfn.XLOOKUP(наценкад5[[#This Row],[№]],ППД5[№],ППД5[Этаж],"-",0)</f>
        <v>9</v>
      </c>
      <c r="D461" s="2">
        <f>_xlfn.XLOOKUP(наценкад5[[#This Row],[№]],ППД5[№],ППД5[№ на этаже],"-",0)</f>
        <v>7</v>
      </c>
      <c r="E461" s="2">
        <f>_xlfn.XLOOKUP(наценкад5[[#This Row],[№]],ППД5[№],ППД5[Тип кв],"-",0)</f>
        <v>3</v>
      </c>
      <c r="F461" s="72">
        <f>_xlfn.XLOOKUP(наценкад5[[#This Row],[№]],ППД5[№],ППД5[Кухня],"-",0)</f>
        <v>16.670000000000002</v>
      </c>
      <c r="G461" s="72">
        <f>_xlfn.XLOOKUP(наценкад5[[#This Row],[№]],ППД5[№],ППД5[Ванная],"-",0)</f>
        <v>4.1399999999999997</v>
      </c>
      <c r="H461" s="72">
        <f>_xlfn.XLOOKUP(наценкад5[[#This Row],[№]],ППД5[№],ППД5[Гардеробная],"-",0)</f>
        <v>0</v>
      </c>
      <c r="I461" s="72">
        <f>_xlfn.XLOOKUP(наценкад5[[#This Row],[№]],ППД5[№],ППД5[Лоджия 2],"-",0)</f>
        <v>2.79</v>
      </c>
      <c r="J461" s="72">
        <f>_xlfn.XLOOKUP(наценкад5[[#This Row],[№]],ППД5[№],ППД5[С\У],"-",0)</f>
        <v>1.89</v>
      </c>
      <c r="K461" s="72">
        <f>_xlfn.XLOOKUP(наценкад5[[#This Row],[№]],ППД5[№],ППД5[Расчетная проектная площадь],"-",0)</f>
        <v>79.44</v>
      </c>
      <c r="L461" s="12">
        <f t="shared" si="7"/>
        <v>63000</v>
      </c>
      <c r="M461" s="27">
        <f>коэффициенты!$E$2</f>
        <v>1.1330000000000002</v>
      </c>
      <c r="N461" s="13">
        <f>наценкад5[[#This Row],[Цена м2 базовая]]*наценкад5[[#This Row],[Базовой K]]</f>
        <v>71379.000000000015</v>
      </c>
      <c r="O461" s="74">
        <f>коэффициенты!$E$4</f>
        <v>0.03</v>
      </c>
      <c r="P461" s="74"/>
      <c r="Q461" s="74">
        <f>коэффициенты!$E$6</f>
        <v>0.01</v>
      </c>
      <c r="R461" s="74"/>
      <c r="S461" s="74">
        <f>коэффициенты!$E$9</f>
        <v>0</v>
      </c>
      <c r="T461" s="74">
        <f>коэффициенты!$E$7</f>
        <v>0</v>
      </c>
      <c r="U461" s="74">
        <f>коэффициенты!$E$8</f>
        <v>0.01</v>
      </c>
      <c r="V461" s="74"/>
      <c r="W461" s="75">
        <f>коэффициенты!$E$12</f>
        <v>0.02</v>
      </c>
      <c r="X461" s="74"/>
      <c r="Y461" s="75"/>
      <c r="Z461" s="74"/>
      <c r="AA461" s="74">
        <f>коэффициенты!$E$14</f>
        <v>0</v>
      </c>
      <c r="AB461" s="74"/>
      <c r="AC461" s="74">
        <f>коэффициенты!$E$18</f>
        <v>0.01</v>
      </c>
      <c r="AD461" s="74"/>
      <c r="AE461" s="74"/>
      <c r="AF461" s="74">
        <f>коэффициенты!$E$21</f>
        <v>0.01</v>
      </c>
      <c r="AG461" s="74"/>
      <c r="AH461" s="74"/>
      <c r="AI461" s="73">
        <f>SUM(наценкад5[[#This Row],[еврокухня]:[большая площадь]])*наценкад5[[#This Row],[Цена м2 с базовым K]]+наценкад5[[#This Row],[Цена м2 с базовым K]]</f>
        <v>77803.110000000015</v>
      </c>
      <c r="AJ461" s="72">
        <f>VLOOKUP(наценкад5[[#This Row],[№]],ППД5[],COLUMN(ППД5[[#This Row],[утв цена м2]]),0)</f>
        <v>95716.66</v>
      </c>
      <c r="AK461" s="3">
        <f>наценкад5[[#This Row],[утв цена м2]]*наценкад5[[#This Row],[Расчетная проектная площадь]]</f>
        <v>7603731.4704</v>
      </c>
      <c r="AL461" s="22" t="str">
        <f>VLOOKUP(наценкад5[[#This Row],[№]],ППД5[],COLUMN('Реестр ОН'!$DF$1),0)</f>
        <v>Продажа</v>
      </c>
    </row>
    <row r="462" spans="1:38" hidden="1" x14ac:dyDescent="0.25">
      <c r="A462" s="101">
        <v>460</v>
      </c>
      <c r="B462" s="2" t="str">
        <f>_xlfn.XLOOKUP(наценкад5[[#This Row],[№]],ППД5[№],ППД5[Секция],"-",0)</f>
        <v>Г</v>
      </c>
      <c r="C462" s="2">
        <f>_xlfn.XLOOKUP(наценкад5[[#This Row],[№]],ППД5[№],ППД5[Этаж],"-",0)</f>
        <v>9</v>
      </c>
      <c r="D462" s="2">
        <f>_xlfn.XLOOKUP(наценкад5[[#This Row],[№]],ППД5[№],ППД5[№ на этаже],"-",0)</f>
        <v>8</v>
      </c>
      <c r="E462" s="2">
        <f>_xlfn.XLOOKUP(наценкад5[[#This Row],[№]],ППД5[№],ППД5[Тип кв],"-",0)</f>
        <v>1</v>
      </c>
      <c r="F462" s="72">
        <f>_xlfn.XLOOKUP(наценкад5[[#This Row],[№]],ППД5[№],ППД5[Кухня],"-",0)</f>
        <v>11.43</v>
      </c>
      <c r="G462" s="72">
        <f>_xlfn.XLOOKUP(наценкад5[[#This Row],[№]],ППД5[№],ППД5[Ванная],"-",0)</f>
        <v>3.56</v>
      </c>
      <c r="H462" s="72">
        <f>_xlfn.XLOOKUP(наценкад5[[#This Row],[№]],ППД5[№],ППД5[Гардеробная],"-",0)</f>
        <v>0</v>
      </c>
      <c r="I462" s="72">
        <f>_xlfn.XLOOKUP(наценкад5[[#This Row],[№]],ППД5[№],ППД5[Лоджия 2],"-",0)</f>
        <v>0</v>
      </c>
      <c r="J462" s="72">
        <f>_xlfn.XLOOKUP(наценкад5[[#This Row],[№]],ППД5[№],ППД5[С\У],"-",0)</f>
        <v>0</v>
      </c>
      <c r="K462" s="72">
        <f>_xlfn.XLOOKUP(наценкад5[[#This Row],[№]],ППД5[№],ППД5[Расчетная проектная площадь],"-",0)</f>
        <v>39.69</v>
      </c>
      <c r="L462" s="12">
        <f t="shared" si="7"/>
        <v>63000</v>
      </c>
      <c r="M462" s="102">
        <f>коэффициенты!$G$2</f>
        <v>1.2875000000000001</v>
      </c>
      <c r="N462" s="13">
        <f>наценкад5[[#This Row],[Цена м2 базовая]]*наценкад5[[#This Row],[Базовой K]]</f>
        <v>81112.5</v>
      </c>
      <c r="O462" s="74"/>
      <c r="P462" s="76">
        <f>коэффициенты!$G$5</f>
        <v>0.01</v>
      </c>
      <c r="Q462" s="74"/>
      <c r="R462" s="74"/>
      <c r="S462" s="74"/>
      <c r="T462" s="74"/>
      <c r="U462" s="74"/>
      <c r="V462" s="74">
        <f>коэффициенты!$G$11</f>
        <v>0.01</v>
      </c>
      <c r="W462" s="75">
        <f>коэффициенты!$G$12</f>
        <v>0.02</v>
      </c>
      <c r="X462" s="74"/>
      <c r="Y462" s="75"/>
      <c r="Z462" s="74"/>
      <c r="AA462" s="74">
        <f>коэффициенты!$G$14</f>
        <v>0.01</v>
      </c>
      <c r="AB462" s="74"/>
      <c r="AC462" s="74"/>
      <c r="AD462" s="74">
        <f>коэффициенты!$G$19</f>
        <v>0.01</v>
      </c>
      <c r="AE462" s="74"/>
      <c r="AF462" s="74">
        <f>коэффициенты!$G$21</f>
        <v>0.01</v>
      </c>
      <c r="AG462" s="74">
        <f>коэффициенты!$A$24</f>
        <v>-5.0000000000000001E-3</v>
      </c>
      <c r="AH462" s="74"/>
      <c r="AI462" s="73">
        <f>SUM(наценкад5[[#This Row],[еврокухня]:[большая площадь]])*наценкад5[[#This Row],[Цена м2 с базовым K]]+наценкад5[[#This Row],[Цена м2 с базовым K]]</f>
        <v>86384.8125</v>
      </c>
      <c r="AJ462" s="72">
        <f>VLOOKUP(наценкад5[[#This Row],[№]],ППД5[],COLUMN(ППД5[[#This Row],[утв цена м2]]),0)</f>
        <v>102510.77</v>
      </c>
      <c r="AK462" s="3">
        <f>наценкад5[[#This Row],[утв цена м2]]*наценкад5[[#This Row],[Расчетная проектная площадь]]</f>
        <v>4068652.4613000001</v>
      </c>
      <c r="AL462" s="22" t="str">
        <f>VLOOKUP(наценкад5[[#This Row],[№]],ППД5[],COLUMN('Реестр ОН'!$DF$1),0)</f>
        <v>Продажа</v>
      </c>
    </row>
    <row r="463" spans="1:38" hidden="1" x14ac:dyDescent="0.25">
      <c r="A463" s="101">
        <v>461</v>
      </c>
      <c r="B463" s="2" t="str">
        <f>_xlfn.XLOOKUP(наценкад5[[#This Row],[№]],ППД5[№],ППД5[Секция],"-",0)</f>
        <v>Г</v>
      </c>
      <c r="C463" s="2">
        <f>_xlfn.XLOOKUP(наценкад5[[#This Row],[№]],ППД5[№],ППД5[Этаж],"-",0)</f>
        <v>10</v>
      </c>
      <c r="D463" s="2">
        <f>_xlfn.XLOOKUP(наценкад5[[#This Row],[№]],ППД5[№],ППД5[№ на этаже],"-",0)</f>
        <v>1</v>
      </c>
      <c r="E463" s="2">
        <f>_xlfn.XLOOKUP(наценкад5[[#This Row],[№]],ППД5[№],ППД5[Тип кв],"-",0)</f>
        <v>0</v>
      </c>
      <c r="F463" s="72">
        <f>_xlfn.XLOOKUP(наценкад5[[#This Row],[№]],ППД5[№],ППД5[Кухня],"-",0)</f>
        <v>5.84</v>
      </c>
      <c r="G463" s="72">
        <f>_xlfn.XLOOKUP(наценкад5[[#This Row],[№]],ППД5[№],ППД5[Ванная],"-",0)</f>
        <v>3.76</v>
      </c>
      <c r="H463" s="72">
        <f>_xlfn.XLOOKUP(наценкад5[[#This Row],[№]],ППД5[№],ППД5[Гардеробная],"-",0)</f>
        <v>0</v>
      </c>
      <c r="I463" s="72">
        <f>_xlfn.XLOOKUP(наценкад5[[#This Row],[№]],ППД5[№],ППД5[Лоджия 2],"-",0)</f>
        <v>0</v>
      </c>
      <c r="J463" s="72">
        <f>_xlfn.XLOOKUP(наценкад5[[#This Row],[№]],ППД5[№],ППД5[С\У],"-",0)</f>
        <v>0</v>
      </c>
      <c r="K463" s="72">
        <f>_xlfn.XLOOKUP(наценкад5[[#This Row],[№]],ППД5[№],ППД5[Расчетная проектная площадь],"-",0)</f>
        <v>29.4</v>
      </c>
      <c r="L463" s="12">
        <f t="shared" si="7"/>
        <v>63000</v>
      </c>
      <c r="M463" s="116">
        <f>коэффициенты!$H$2</f>
        <v>1.3905000000000001</v>
      </c>
      <c r="N463" s="13">
        <f>наценкад5[[#This Row],[Цена м2 базовая]]*наценкад5[[#This Row],[Базовой K]]</f>
        <v>87601.5</v>
      </c>
      <c r="O463" s="74"/>
      <c r="P463" s="74"/>
      <c r="Q463" s="74"/>
      <c r="R463" s="74"/>
      <c r="S463" s="74"/>
      <c r="T463" s="74"/>
      <c r="U463" s="74"/>
      <c r="V463" s="74"/>
      <c r="W463" s="74"/>
      <c r="X463" s="74"/>
      <c r="Y463" s="75"/>
      <c r="Z463" s="74"/>
      <c r="AA463" s="74"/>
      <c r="AB463" s="74"/>
      <c r="AC463" s="74"/>
      <c r="AD463" s="74">
        <f>коэффициенты!$H$19</f>
        <v>0.01</v>
      </c>
      <c r="AE463" s="74"/>
      <c r="AF463" s="74">
        <f>коэффициенты!$H$21</f>
        <v>0.01</v>
      </c>
      <c r="AG463" s="74"/>
      <c r="AH463" s="74"/>
      <c r="AI463" s="73">
        <f>SUM(наценкад5[[#This Row],[еврокухня]:[большая площадь]])*наценкад5[[#This Row],[Цена м2 с базовым K]]+наценкад5[[#This Row],[Цена м2 с базовым K]]</f>
        <v>89353.53</v>
      </c>
      <c r="AJ463" s="72">
        <f>VLOOKUP(наценкад5[[#This Row],[№]],ППД5[],COLUMN(ППД5[[#This Row],[утв цена м2]]),0)</f>
        <v>118207.46</v>
      </c>
      <c r="AK463" s="3">
        <f>наценкад5[[#This Row],[утв цена м2]]*наценкад5[[#This Row],[Расчетная проектная площадь]]</f>
        <v>3475299.324</v>
      </c>
      <c r="AL463" s="22" t="str">
        <f>VLOOKUP(наценкад5[[#This Row],[№]],ППД5[],COLUMN('Реестр ОН'!$DF$1),0)</f>
        <v>Продажа</v>
      </c>
    </row>
    <row r="464" spans="1:38" hidden="1" x14ac:dyDescent="0.25">
      <c r="A464" s="101">
        <v>462</v>
      </c>
      <c r="B464" s="2" t="str">
        <f>_xlfn.XLOOKUP(наценкад5[[#This Row],[№]],ППД5[№],ППД5[Секция],"-",0)</f>
        <v>Г</v>
      </c>
      <c r="C464" s="2">
        <f>_xlfn.XLOOKUP(наценкад5[[#This Row],[№]],ППД5[№],ППД5[Этаж],"-",0)</f>
        <v>10</v>
      </c>
      <c r="D464" s="2">
        <f>_xlfn.XLOOKUP(наценкад5[[#This Row],[№]],ППД5[№],ППД5[№ на этаже],"-",0)</f>
        <v>2</v>
      </c>
      <c r="E464" s="2">
        <f>_xlfn.XLOOKUP(наценкад5[[#This Row],[№]],ППД5[№],ППД5[Тип кв],"-",0)</f>
        <v>1</v>
      </c>
      <c r="F464" s="72">
        <f>_xlfn.XLOOKUP(наценкад5[[#This Row],[№]],ППД5[№],ППД5[Кухня],"-",0)</f>
        <v>16.940000000000001</v>
      </c>
      <c r="G464" s="72">
        <f>_xlfn.XLOOKUP(наценкад5[[#This Row],[№]],ППД5[№],ППД5[Ванная],"-",0)</f>
        <v>3.55</v>
      </c>
      <c r="H464" s="72">
        <f>_xlfn.XLOOKUP(наценкад5[[#This Row],[№]],ППД5[№],ППД5[Гардеробная],"-",0)</f>
        <v>0</v>
      </c>
      <c r="I464" s="72">
        <f>_xlfn.XLOOKUP(наценкад5[[#This Row],[№]],ППД5[№],ППД5[Лоджия 2],"-",0)</f>
        <v>0</v>
      </c>
      <c r="J464" s="72">
        <f>_xlfn.XLOOKUP(наценкад5[[#This Row],[№]],ППД5[№],ППД5[С\У],"-",0)</f>
        <v>2.41</v>
      </c>
      <c r="K464" s="72">
        <f>_xlfn.XLOOKUP(наценкад5[[#This Row],[№]],ППД5[№],ППД5[Расчетная проектная площадь],"-",0)</f>
        <v>43.21</v>
      </c>
      <c r="L464" s="12">
        <f t="shared" si="7"/>
        <v>63000</v>
      </c>
      <c r="M464" s="102">
        <f>коэффициенты!$G$2</f>
        <v>1.2875000000000001</v>
      </c>
      <c r="N464" s="13">
        <f>наценкад5[[#This Row],[Цена м2 базовая]]*наценкад5[[#This Row],[Базовой K]]</f>
        <v>81112.5</v>
      </c>
      <c r="O464" s="76">
        <f>коэффициенты!$G$4</f>
        <v>0.02</v>
      </c>
      <c r="P464" s="74"/>
      <c r="Q464" s="74"/>
      <c r="R464" s="74">
        <f>коэффициенты!$G$10</f>
        <v>0.01</v>
      </c>
      <c r="S464" s="74">
        <f>коэффициенты!$G$9</f>
        <v>0</v>
      </c>
      <c r="T464" s="74"/>
      <c r="U464" s="74"/>
      <c r="V464" s="74"/>
      <c r="W464" s="74"/>
      <c r="X464" s="74"/>
      <c r="Y464" s="75"/>
      <c r="Z464" s="74"/>
      <c r="AA464" s="74"/>
      <c r="AB464" s="74"/>
      <c r="AC464" s="74"/>
      <c r="AD464" s="74">
        <f>коэффициенты!$G$19</f>
        <v>0.01</v>
      </c>
      <c r="AE464" s="74"/>
      <c r="AF464" s="74">
        <f>коэффициенты!$G$21</f>
        <v>0.01</v>
      </c>
      <c r="AG464" s="74"/>
      <c r="AH464" s="74"/>
      <c r="AI464" s="73">
        <f>SUM(наценкад5[[#This Row],[еврокухня]:[большая площадь]])*наценкад5[[#This Row],[Цена м2 с базовым K]]+наценкад5[[#This Row],[Цена м2 с базовым K]]</f>
        <v>85168.125</v>
      </c>
      <c r="AJ464" s="72">
        <f>VLOOKUP(наценкад5[[#This Row],[№]],ППД5[],COLUMN(ППД5[[#This Row],[утв цена м2]]),0)</f>
        <v>103591.7</v>
      </c>
      <c r="AK464" s="3">
        <f>наценкад5[[#This Row],[утв цена м2]]*наценкад5[[#This Row],[Расчетная проектная площадь]]</f>
        <v>4476197.3569999998</v>
      </c>
      <c r="AL464" s="22" t="str">
        <f>VLOOKUP(наценкад5[[#This Row],[№]],ППД5[],COLUMN('Реестр ОН'!$DF$1),0)</f>
        <v>Продажа</v>
      </c>
    </row>
    <row r="465" spans="1:38" hidden="1" x14ac:dyDescent="0.25">
      <c r="A465" s="101">
        <v>463</v>
      </c>
      <c r="B465" s="2" t="str">
        <f>_xlfn.XLOOKUP(наценкад5[[#This Row],[№]],ППД5[№],ППД5[Секция],"-",0)</f>
        <v>Г</v>
      </c>
      <c r="C465" s="2">
        <f>_xlfn.XLOOKUP(наценкад5[[#This Row],[№]],ППД5[№],ППД5[Этаж],"-",0)</f>
        <v>10</v>
      </c>
      <c r="D465" s="2">
        <f>_xlfn.XLOOKUP(наценкад5[[#This Row],[№]],ППД5[№],ППД5[№ на этаже],"-",0)</f>
        <v>3</v>
      </c>
      <c r="E465" s="2">
        <f>_xlfn.XLOOKUP(наценкад5[[#This Row],[№]],ППД5[№],ППД5[Тип кв],"-",0)</f>
        <v>0</v>
      </c>
      <c r="F465" s="72">
        <f>_xlfn.XLOOKUP(наценкад5[[#This Row],[№]],ППД5[№],ППД5[Кухня],"-",0)</f>
        <v>5.17</v>
      </c>
      <c r="G465" s="72">
        <f>_xlfn.XLOOKUP(наценкад5[[#This Row],[№]],ППД5[№],ППД5[Ванная],"-",0)</f>
        <v>3.71</v>
      </c>
      <c r="H465" s="72">
        <f>_xlfn.XLOOKUP(наценкад5[[#This Row],[№]],ППД5[№],ППД5[Гардеробная],"-",0)</f>
        <v>0</v>
      </c>
      <c r="I465" s="72">
        <f>_xlfn.XLOOKUP(наценкад5[[#This Row],[№]],ППД5[№],ППД5[Лоджия 2],"-",0)</f>
        <v>0</v>
      </c>
      <c r="J465" s="72">
        <f>_xlfn.XLOOKUP(наценкад5[[#This Row],[№]],ППД5[№],ППД5[С\У],"-",0)</f>
        <v>0</v>
      </c>
      <c r="K465" s="72">
        <f>_xlfn.XLOOKUP(наценкад5[[#This Row],[№]],ППД5[№],ППД5[Расчетная проектная площадь],"-",0)</f>
        <v>24.5</v>
      </c>
      <c r="L465" s="12">
        <f t="shared" si="7"/>
        <v>63000</v>
      </c>
      <c r="M465" s="116">
        <f>коэффициенты!$H$2</f>
        <v>1.3905000000000001</v>
      </c>
      <c r="N465" s="13">
        <f>наценкад5[[#This Row],[Цена м2 базовая]]*наценкад5[[#This Row],[Базовой K]]</f>
        <v>87601.5</v>
      </c>
      <c r="O465" s="74"/>
      <c r="P465" s="74"/>
      <c r="Q465" s="74"/>
      <c r="R465" s="74"/>
      <c r="S465" s="74"/>
      <c r="T465" s="74"/>
      <c r="U465" s="74"/>
      <c r="V465" s="74">
        <f>коэффициенты!$H$11</f>
        <v>0.01</v>
      </c>
      <c r="W465" s="74"/>
      <c r="X465" s="74">
        <f>коэффициенты!$H$13</f>
        <v>0.01</v>
      </c>
      <c r="Y465" s="75"/>
      <c r="Z465" s="74"/>
      <c r="AA465" s="74"/>
      <c r="AB465" s="74"/>
      <c r="AC465" s="74"/>
      <c r="AD465" s="74">
        <f>коэффициенты!$H$19</f>
        <v>0.01</v>
      </c>
      <c r="AE465" s="74"/>
      <c r="AF465" s="74">
        <f>коэффициенты!$H$21</f>
        <v>0.01</v>
      </c>
      <c r="AG465" s="74"/>
      <c r="AH465" s="74"/>
      <c r="AI465" s="73">
        <f>SUM(наценкад5[[#This Row],[еврокухня]:[большая площадь]])*наценкад5[[#This Row],[Цена м2 с базовым K]]+наценкад5[[#This Row],[Цена м2 с базовым K]]</f>
        <v>91105.56</v>
      </c>
      <c r="AJ465" s="72">
        <f>VLOOKUP(наценкад5[[#This Row],[№]],ППД5[],COLUMN(ППД5[[#This Row],[утв цена м2]]),0)</f>
        <v>95660.84</v>
      </c>
      <c r="AK465" s="3">
        <f>наценкад5[[#This Row],[утв цена м2]]*наценкад5[[#This Row],[Расчетная проектная площадь]]</f>
        <v>2343690.58</v>
      </c>
      <c r="AL465" s="22" t="str">
        <f>VLOOKUP(наценкад5[[#This Row],[№]],ППД5[],COLUMN('Реестр ОН'!$DF$1),0)</f>
        <v>Продажа</v>
      </c>
    </row>
    <row r="466" spans="1:38" hidden="1" x14ac:dyDescent="0.25">
      <c r="A466" s="101">
        <v>464</v>
      </c>
      <c r="B466" s="2" t="str">
        <f>_xlfn.XLOOKUP(наценкад5[[#This Row],[№]],ППД5[№],ППД5[Секция],"-",0)</f>
        <v>Г</v>
      </c>
      <c r="C466" s="2">
        <f>_xlfn.XLOOKUP(наценкад5[[#This Row],[№]],ППД5[№],ППД5[Этаж],"-",0)</f>
        <v>10</v>
      </c>
      <c r="D466" s="2">
        <f>_xlfn.XLOOKUP(наценкад5[[#This Row],[№]],ППД5[№],ППД5[№ на этаже],"-",0)</f>
        <v>4</v>
      </c>
      <c r="E466" s="2">
        <f>_xlfn.XLOOKUP(наценкад5[[#This Row],[№]],ППД5[№],ППД5[Тип кв],"-",0)</f>
        <v>2</v>
      </c>
      <c r="F466" s="72">
        <f>_xlfn.XLOOKUP(наценкад5[[#This Row],[№]],ППД5[№],ППД5[Кухня],"-",0)</f>
        <v>15.86</v>
      </c>
      <c r="G466" s="72">
        <f>_xlfn.XLOOKUP(наценкад5[[#This Row],[№]],ППД5[№],ППД5[Ванная],"-",0)</f>
        <v>3.01</v>
      </c>
      <c r="H466" s="72">
        <f>_xlfn.XLOOKUP(наценкад5[[#This Row],[№]],ППД5[№],ППД5[Гардеробная],"-",0)</f>
        <v>0</v>
      </c>
      <c r="I466" s="72">
        <f>_xlfn.XLOOKUP(наценкад5[[#This Row],[№]],ППД5[№],ППД5[Лоджия 2],"-",0)</f>
        <v>0</v>
      </c>
      <c r="J466" s="72">
        <f>_xlfn.XLOOKUP(наценкад5[[#This Row],[№]],ППД5[№],ППД5[С\У],"-",0)</f>
        <v>2.67</v>
      </c>
      <c r="K466" s="72">
        <f>_xlfn.XLOOKUP(наценкад5[[#This Row],[№]],ППД5[№],ППД5[Расчетная проектная площадь],"-",0)</f>
        <v>58.24</v>
      </c>
      <c r="L466" s="12">
        <f t="shared" si="7"/>
        <v>63000</v>
      </c>
      <c r="M466" s="102">
        <f>коэффициенты!$F$2</f>
        <v>1.2257</v>
      </c>
      <c r="N466" s="13">
        <f>наценкад5[[#This Row],[Цена м2 базовая]]*наценкад5[[#This Row],[Базовой K]]</f>
        <v>77219.100000000006</v>
      </c>
      <c r="O466" s="76">
        <f>коэффициенты!$F$4</f>
        <v>1.4999999999999999E-2</v>
      </c>
      <c r="P466" s="74"/>
      <c r="Q466" s="76"/>
      <c r="R466" s="76">
        <f>коэффициенты!$F$10</f>
        <v>0</v>
      </c>
      <c r="S466" s="76">
        <f>коэффициенты!$F$9</f>
        <v>0</v>
      </c>
      <c r="T466" s="74"/>
      <c r="U466" s="74"/>
      <c r="V466" s="74"/>
      <c r="W466" s="74"/>
      <c r="X466" s="74"/>
      <c r="Y466" s="75"/>
      <c r="Z466" s="74"/>
      <c r="AA466" s="74"/>
      <c r="AB466" s="74"/>
      <c r="AC466" s="74"/>
      <c r="AD466" s="74">
        <f>коэффициенты!$F$19</f>
        <v>5.0000000000000001E-3</v>
      </c>
      <c r="AE466" s="74"/>
      <c r="AF466" s="74">
        <f>коэффициенты!$F$21</f>
        <v>0.01</v>
      </c>
      <c r="AG466" s="74"/>
      <c r="AH466" s="74"/>
      <c r="AI466" s="73">
        <f>SUM(наценкад5[[#This Row],[еврокухня]:[большая площадь]])*наценкад5[[#This Row],[Цена м2 с базовым K]]+наценкад5[[#This Row],[Цена м2 с базовым K]]</f>
        <v>79535.67300000001</v>
      </c>
      <c r="AJ466" s="72">
        <f>VLOOKUP(наценкад5[[#This Row],[№]],ППД5[],COLUMN(ППД5[[#This Row],[утв цена м2]]),0)</f>
        <v>97294.19</v>
      </c>
      <c r="AK466" s="3">
        <f>наценкад5[[#This Row],[утв цена м2]]*наценкад5[[#This Row],[Расчетная проектная площадь]]</f>
        <v>5666413.6255999999</v>
      </c>
      <c r="AL466" s="22" t="str">
        <f>VLOOKUP(наценкад5[[#This Row],[№]],ППД5[],COLUMN('Реестр ОН'!$DF$1),0)</f>
        <v>Продажа</v>
      </c>
    </row>
    <row r="467" spans="1:38" s="257" customFormat="1" hidden="1" x14ac:dyDescent="0.25">
      <c r="A467" s="198">
        <v>465</v>
      </c>
      <c r="B467" s="247" t="str">
        <f>_xlfn.XLOOKUP(наценкад5[[#This Row],[№]],ППД5[№],ППД5[Секция],"-",0)</f>
        <v>Г</v>
      </c>
      <c r="C467" s="247">
        <f>_xlfn.XLOOKUP(наценкад5[[#This Row],[№]],ППД5[№],ППД5[Этаж],"-",0)</f>
        <v>10</v>
      </c>
      <c r="D467" s="247">
        <f>_xlfn.XLOOKUP(наценкад5[[#This Row],[№]],ППД5[№],ППД5[№ на этаже],"-",0)</f>
        <v>5</v>
      </c>
      <c r="E467" s="247">
        <f>_xlfn.XLOOKUP(наценкад5[[#This Row],[№]],ППД5[№],ППД5[Тип кв],"-",0)</f>
        <v>2</v>
      </c>
      <c r="F467" s="249">
        <f>_xlfn.XLOOKUP(наценкад5[[#This Row],[№]],ППД5[№],ППД5[Кухня],"-",0)</f>
        <v>13.45</v>
      </c>
      <c r="G467" s="249">
        <f>_xlfn.XLOOKUP(наценкад5[[#This Row],[№]],ППД5[№],ППД5[Ванная],"-",0)</f>
        <v>3.7</v>
      </c>
      <c r="H467" s="249">
        <f>_xlfn.XLOOKUP(наценкад5[[#This Row],[№]],ППД5[№],ППД5[Гардеробная],"-",0)</f>
        <v>0</v>
      </c>
      <c r="I467" s="249">
        <f>_xlfn.XLOOKUP(наценкад5[[#This Row],[№]],ППД5[№],ППД5[Лоджия 2],"-",0)</f>
        <v>0</v>
      </c>
      <c r="J467" s="249">
        <f>_xlfn.XLOOKUP(наценкад5[[#This Row],[№]],ППД5[№],ППД5[С\У],"-",0)</f>
        <v>2.72</v>
      </c>
      <c r="K467" s="249">
        <f>_xlfn.XLOOKUP(наценкад5[[#This Row],[№]],ППД5[№],ППД5[Расчетная проектная площадь],"-",0)</f>
        <v>57.8</v>
      </c>
      <c r="L467" s="250">
        <f t="shared" si="7"/>
        <v>63000</v>
      </c>
      <c r="M467" s="251">
        <f>коэффициенты!$F$2</f>
        <v>1.2257</v>
      </c>
      <c r="N467" s="252">
        <f>наценкад5[[#This Row],[Цена м2 базовая]]*наценкад5[[#This Row],[Базовой K]]</f>
        <v>77219.100000000006</v>
      </c>
      <c r="O467" s="253"/>
      <c r="P467" s="253">
        <f>коэффициенты!$F$5</f>
        <v>0.01</v>
      </c>
      <c r="Q467" s="253"/>
      <c r="R467" s="253"/>
      <c r="S467" s="253">
        <f>коэффициенты!$F$9</f>
        <v>0</v>
      </c>
      <c r="T467" s="253"/>
      <c r="U467" s="253"/>
      <c r="V467" s="253"/>
      <c r="W467" s="254"/>
      <c r="X467" s="253"/>
      <c r="Y467" s="254"/>
      <c r="Z467" s="253"/>
      <c r="AA467" s="253"/>
      <c r="AB467" s="253"/>
      <c r="AC467" s="253"/>
      <c r="AD467" s="253">
        <f>коэффициенты!$F$19</f>
        <v>5.0000000000000001E-3</v>
      </c>
      <c r="AE467" s="253"/>
      <c r="AF467" s="253">
        <f>коэффициенты!$F$21</f>
        <v>0.01</v>
      </c>
      <c r="AG467" s="253"/>
      <c r="AH467" s="253"/>
      <c r="AI467" s="255">
        <f>SUM(наценкад5[[#This Row],[еврокухня]:[большая площадь]])*наценкад5[[#This Row],[Цена м2 с базовым K]]+наценкад5[[#This Row],[Цена м2 с базовым K]]</f>
        <v>79149.577499999999</v>
      </c>
      <c r="AJ467" s="249">
        <f>VLOOKUP(наценкад5[[#This Row],[№]],ППД5[],COLUMN(ППД5[[#This Row],[утв цена м2]]),0)</f>
        <v>121270.05</v>
      </c>
      <c r="AK467" s="248">
        <f>наценкад5[[#This Row],[утв цена м2]]*наценкад5[[#This Row],[Расчетная проектная площадь]]</f>
        <v>7009408.8899999997</v>
      </c>
      <c r="AL467" s="256" t="str">
        <f>VLOOKUP(наценкад5[[#This Row],[№]],ППД5[],COLUMN('Реестр ОН'!$DF$1),0)</f>
        <v>Продажа</v>
      </c>
    </row>
    <row r="468" spans="1:38" hidden="1" x14ac:dyDescent="0.25">
      <c r="A468" s="101">
        <v>466</v>
      </c>
      <c r="B468" s="2" t="str">
        <f>_xlfn.XLOOKUP(наценкад5[[#This Row],[№]],ППД5[№],ППД5[Секция],"-",0)</f>
        <v>Г</v>
      </c>
      <c r="C468" s="2">
        <f>_xlfn.XLOOKUP(наценкад5[[#This Row],[№]],ППД5[№],ППД5[Этаж],"-",0)</f>
        <v>10</v>
      </c>
      <c r="D468" s="2">
        <f>_xlfn.XLOOKUP(наценкад5[[#This Row],[№]],ППД5[№],ППД5[№ на этаже],"-",0)</f>
        <v>6</v>
      </c>
      <c r="E468" s="2">
        <f>_xlfn.XLOOKUP(наценкад5[[#This Row],[№]],ППД5[№],ППД5[Тип кв],"-",0)</f>
        <v>1</v>
      </c>
      <c r="F468" s="72">
        <f>_xlfn.XLOOKUP(наценкад5[[#This Row],[№]],ППД5[№],ППД5[Кухня],"-",0)</f>
        <v>12.55</v>
      </c>
      <c r="G468" s="72">
        <f>_xlfn.XLOOKUP(наценкад5[[#This Row],[№]],ППД5[№],ППД5[Ванная],"-",0)</f>
        <v>4.28</v>
      </c>
      <c r="H468" s="72">
        <f>_xlfn.XLOOKUP(наценкад5[[#This Row],[№]],ППД5[№],ППД5[Гардеробная],"-",0)</f>
        <v>0</v>
      </c>
      <c r="I468" s="72">
        <f>_xlfn.XLOOKUP(наценкад5[[#This Row],[№]],ППД5[№],ППД5[Лоджия 2],"-",0)</f>
        <v>0</v>
      </c>
      <c r="J468" s="72">
        <f>_xlfn.XLOOKUP(наценкад5[[#This Row],[№]],ППД5[№],ППД5[С\У],"-",0)</f>
        <v>0</v>
      </c>
      <c r="K468" s="72">
        <f>_xlfn.XLOOKUP(наценкад5[[#This Row],[№]],ППД5[№],ППД5[Расчетная проектная площадь],"-",0)</f>
        <v>38.299999999999997</v>
      </c>
      <c r="L468" s="12">
        <f t="shared" si="7"/>
        <v>63000</v>
      </c>
      <c r="M468" s="102">
        <f>коэффициенты!$G$2</f>
        <v>1.2875000000000001</v>
      </c>
      <c r="N468" s="13">
        <f>наценкад5[[#This Row],[Цена м2 базовая]]*наценкад5[[#This Row],[Базовой K]]</f>
        <v>81112.5</v>
      </c>
      <c r="O468" s="74"/>
      <c r="P468" s="76">
        <f>коэффициенты!$G$5</f>
        <v>0.01</v>
      </c>
      <c r="Q468" s="74">
        <f>коэффициенты!$G$6</f>
        <v>0.03</v>
      </c>
      <c r="R468" s="74"/>
      <c r="S468" s="74"/>
      <c r="T468" s="74"/>
      <c r="U468" s="74"/>
      <c r="V468" s="74">
        <f>коэффициенты!$G$11</f>
        <v>0.01</v>
      </c>
      <c r="W468" s="75"/>
      <c r="X468" s="74">
        <f>коэффициенты!$G$13</f>
        <v>0.01</v>
      </c>
      <c r="Y468" s="75"/>
      <c r="Z468" s="74"/>
      <c r="AA468" s="74"/>
      <c r="AB468" s="74"/>
      <c r="AC468" s="74"/>
      <c r="AD468" s="74">
        <f>коэффициенты!$G$19</f>
        <v>0.01</v>
      </c>
      <c r="AE468" s="74"/>
      <c r="AF468" s="74">
        <f>коэффициенты!$G$21</f>
        <v>0.01</v>
      </c>
      <c r="AG468" s="74"/>
      <c r="AH468" s="74"/>
      <c r="AI468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468" s="72">
        <f>VLOOKUP(наценкад5[[#This Row],[№]],ППД5[],COLUMN(ППД5[[#This Row],[утв цена м2]]),0)</f>
        <v>91981.58</v>
      </c>
      <c r="AK468" s="3">
        <f>наценкад5[[#This Row],[утв цена м2]]*наценкад5[[#This Row],[Расчетная проектная площадь]]</f>
        <v>3522894.514</v>
      </c>
      <c r="AL468" s="22" t="str">
        <f>VLOOKUP(наценкад5[[#This Row],[№]],ППД5[],COLUMN('Реестр ОН'!$DF$1),0)</f>
        <v>Продажа</v>
      </c>
    </row>
    <row r="469" spans="1:38" hidden="1" x14ac:dyDescent="0.25">
      <c r="A469" s="101">
        <v>467</v>
      </c>
      <c r="B469" s="2" t="str">
        <f>_xlfn.XLOOKUP(наценкад5[[#This Row],[№]],ППД5[№],ППД5[Секция],"-",0)</f>
        <v>Г</v>
      </c>
      <c r="C469" s="2">
        <f>_xlfn.XLOOKUP(наценкад5[[#This Row],[№]],ППД5[№],ППД5[Этаж],"-",0)</f>
        <v>10</v>
      </c>
      <c r="D469" s="2">
        <f>_xlfn.XLOOKUP(наценкад5[[#This Row],[№]],ППД5[№],ППД5[№ на этаже],"-",0)</f>
        <v>7</v>
      </c>
      <c r="E469" s="2">
        <f>_xlfn.XLOOKUP(наценкад5[[#This Row],[№]],ППД5[№],ППД5[Тип кв],"-",0)</f>
        <v>3</v>
      </c>
      <c r="F469" s="72">
        <f>_xlfn.XLOOKUP(наценкад5[[#This Row],[№]],ППД5[№],ППД5[Кухня],"-",0)</f>
        <v>16.670000000000002</v>
      </c>
      <c r="G469" s="72">
        <f>_xlfn.XLOOKUP(наценкад5[[#This Row],[№]],ППД5[№],ППД5[Ванная],"-",0)</f>
        <v>4.1399999999999997</v>
      </c>
      <c r="H469" s="72">
        <f>_xlfn.XLOOKUP(наценкад5[[#This Row],[№]],ППД5[№],ППД5[Гардеробная],"-",0)</f>
        <v>0</v>
      </c>
      <c r="I469" s="72">
        <f>_xlfn.XLOOKUP(наценкад5[[#This Row],[№]],ППД5[№],ППД5[Лоджия 2],"-",0)</f>
        <v>2.79</v>
      </c>
      <c r="J469" s="72">
        <f>_xlfn.XLOOKUP(наценкад5[[#This Row],[№]],ППД5[№],ППД5[С\У],"-",0)</f>
        <v>1.89</v>
      </c>
      <c r="K469" s="72">
        <f>_xlfn.XLOOKUP(наценкад5[[#This Row],[№]],ППД5[№],ППД5[Расчетная проектная площадь],"-",0)</f>
        <v>79.44</v>
      </c>
      <c r="L469" s="12">
        <f t="shared" si="7"/>
        <v>63000</v>
      </c>
      <c r="M469" s="27">
        <f>коэффициенты!$E$2</f>
        <v>1.1330000000000002</v>
      </c>
      <c r="N469" s="13">
        <f>наценкад5[[#This Row],[Цена м2 базовая]]*наценкад5[[#This Row],[Базовой K]]</f>
        <v>71379.000000000015</v>
      </c>
      <c r="O469" s="74">
        <f>коэффициенты!$E$4</f>
        <v>0.03</v>
      </c>
      <c r="P469" s="74"/>
      <c r="Q469" s="74">
        <f>коэффициенты!$E$6</f>
        <v>0.01</v>
      </c>
      <c r="R469" s="74"/>
      <c r="S469" s="74">
        <f>коэффициенты!$E$9</f>
        <v>0</v>
      </c>
      <c r="T469" s="74">
        <f>коэффициенты!$E$7</f>
        <v>0</v>
      </c>
      <c r="U469" s="74">
        <f>коэффициенты!$E$8</f>
        <v>0.01</v>
      </c>
      <c r="V469" s="74"/>
      <c r="W469" s="75"/>
      <c r="X469" s="74"/>
      <c r="Y469" s="75"/>
      <c r="Z469" s="74"/>
      <c r="AA469" s="74">
        <f>коэффициенты!$E$14</f>
        <v>0</v>
      </c>
      <c r="AB469" s="74"/>
      <c r="AC469" s="74">
        <f>коэффициенты!$E$18</f>
        <v>0.01</v>
      </c>
      <c r="AD469" s="74"/>
      <c r="AE469" s="74"/>
      <c r="AF469" s="74">
        <f>коэффициенты!$E$21</f>
        <v>0.01</v>
      </c>
      <c r="AG469" s="74"/>
      <c r="AH469" s="74"/>
      <c r="AI469" s="73">
        <f>SUM(наценкад5[[#This Row],[еврокухня]:[большая площадь]])*наценкад5[[#This Row],[Цена м2 с базовым K]]+наценкад5[[#This Row],[Цена м2 с базовым K]]</f>
        <v>76375.530000000013</v>
      </c>
      <c r="AJ469" s="72">
        <f>VLOOKUP(наценкад5[[#This Row],[№]],ППД5[],COLUMN(ППД5[[#This Row],[утв цена м2]]),0)</f>
        <v>82600.14</v>
      </c>
      <c r="AK469" s="3">
        <f>наценкад5[[#This Row],[утв цена м2]]*наценкад5[[#This Row],[Расчетная проектная площадь]]</f>
        <v>6561755.1216000002</v>
      </c>
      <c r="AL469" s="22" t="str">
        <f>VLOOKUP(наценкад5[[#This Row],[№]],ППД5[],COLUMN('Реестр ОН'!$DF$1),0)</f>
        <v>Продажа</v>
      </c>
    </row>
    <row r="470" spans="1:38" hidden="1" x14ac:dyDescent="0.25">
      <c r="A470" s="101">
        <v>468</v>
      </c>
      <c r="B470" s="2" t="str">
        <f>_xlfn.XLOOKUP(наценкад5[[#This Row],[№]],ППД5[№],ППД5[Секция],"-",0)</f>
        <v>Г</v>
      </c>
      <c r="C470" s="2">
        <f>_xlfn.XLOOKUP(наценкад5[[#This Row],[№]],ППД5[№],ППД5[Этаж],"-",0)</f>
        <v>10</v>
      </c>
      <c r="D470" s="2">
        <f>_xlfn.XLOOKUP(наценкад5[[#This Row],[№]],ППД5[№],ППД5[№ на этаже],"-",0)</f>
        <v>8</v>
      </c>
      <c r="E470" s="2">
        <f>_xlfn.XLOOKUP(наценкад5[[#This Row],[№]],ППД5[№],ППД5[Тип кв],"-",0)</f>
        <v>1</v>
      </c>
      <c r="F470" s="72">
        <f>_xlfn.XLOOKUP(наценкад5[[#This Row],[№]],ППД5[№],ППД5[Кухня],"-",0)</f>
        <v>11.43</v>
      </c>
      <c r="G470" s="72">
        <f>_xlfn.XLOOKUP(наценкад5[[#This Row],[№]],ППД5[№],ППД5[Ванная],"-",0)</f>
        <v>3.56</v>
      </c>
      <c r="H470" s="72">
        <f>_xlfn.XLOOKUP(наценкад5[[#This Row],[№]],ППД5[№],ППД5[Гардеробная],"-",0)</f>
        <v>0</v>
      </c>
      <c r="I470" s="72">
        <f>_xlfn.XLOOKUP(наценкад5[[#This Row],[№]],ППД5[№],ППД5[Лоджия 2],"-",0)</f>
        <v>0</v>
      </c>
      <c r="J470" s="72">
        <f>_xlfn.XLOOKUP(наценкад5[[#This Row],[№]],ППД5[№],ППД5[С\У],"-",0)</f>
        <v>0</v>
      </c>
      <c r="K470" s="72">
        <f>_xlfn.XLOOKUP(наценкад5[[#This Row],[№]],ППД5[№],ППД5[Расчетная проектная площадь],"-",0)</f>
        <v>39.69</v>
      </c>
      <c r="L470" s="12">
        <f t="shared" si="7"/>
        <v>63000</v>
      </c>
      <c r="M470" s="102">
        <f>коэффициенты!$G$2</f>
        <v>1.2875000000000001</v>
      </c>
      <c r="N470" s="13">
        <f>наценкад5[[#This Row],[Цена м2 базовая]]*наценкад5[[#This Row],[Базовой K]]</f>
        <v>81112.5</v>
      </c>
      <c r="O470" s="74"/>
      <c r="P470" s="76">
        <f>коэффициенты!$G$5</f>
        <v>0.01</v>
      </c>
      <c r="Q470" s="74"/>
      <c r="R470" s="74"/>
      <c r="S470" s="74"/>
      <c r="T470" s="74"/>
      <c r="U470" s="74"/>
      <c r="V470" s="74">
        <f>коэффициенты!$G$11</f>
        <v>0.01</v>
      </c>
      <c r="W470" s="75"/>
      <c r="X470" s="74"/>
      <c r="Y470" s="75"/>
      <c r="Z470" s="74"/>
      <c r="AA470" s="74">
        <f>коэффициенты!$G$14</f>
        <v>0.01</v>
      </c>
      <c r="AB470" s="74"/>
      <c r="AC470" s="74"/>
      <c r="AD470" s="74">
        <f>коэффициенты!$G$19</f>
        <v>0.01</v>
      </c>
      <c r="AE470" s="74"/>
      <c r="AF470" s="74">
        <f>коэффициенты!$G$21</f>
        <v>0.01</v>
      </c>
      <c r="AG470" s="74">
        <f>коэффициенты!$A$24</f>
        <v>-5.0000000000000001E-3</v>
      </c>
      <c r="AH470" s="74"/>
      <c r="AI470" s="73">
        <f>SUM(наценкад5[[#This Row],[еврокухня]:[большая площадь]])*наценкад5[[#This Row],[Цена м2 с базовым K]]+наценкад5[[#This Row],[Цена м2 с базовым K]]</f>
        <v>84762.5625</v>
      </c>
      <c r="AJ470" s="72">
        <f>VLOOKUP(наценкад5[[#This Row],[№]],ППД5[],COLUMN(ППД5[[#This Row],[утв цена м2]]),0)</f>
        <v>133669.34</v>
      </c>
      <c r="AK470" s="3">
        <f>наценкад5[[#This Row],[утв цена м2]]*наценкад5[[#This Row],[Расчетная проектная площадь]]</f>
        <v>5305336.1045999993</v>
      </c>
      <c r="AL470" s="22" t="str">
        <f>VLOOKUP(наценкад5[[#This Row],[№]],ППД5[],COLUMN('Реестр ОН'!$DF$1),0)</f>
        <v>Продажа</v>
      </c>
    </row>
    <row r="471" spans="1:38" hidden="1" x14ac:dyDescent="0.25">
      <c r="A471" s="101">
        <v>469</v>
      </c>
      <c r="B471" s="2" t="str">
        <f>_xlfn.XLOOKUP(наценкад5[[#This Row],[№]],ППД5[№],ППД5[Секция],"-",0)</f>
        <v>Г</v>
      </c>
      <c r="C471" s="2">
        <f>_xlfn.XLOOKUP(наценкад5[[#This Row],[№]],ППД5[№],ППД5[Этаж],"-",0)</f>
        <v>11</v>
      </c>
      <c r="D471" s="2">
        <f>_xlfn.XLOOKUP(наценкад5[[#This Row],[№]],ППД5[№],ППД5[№ на этаже],"-",0)</f>
        <v>1</v>
      </c>
      <c r="E471" s="2">
        <f>_xlfn.XLOOKUP(наценкад5[[#This Row],[№]],ППД5[№],ППД5[Тип кв],"-",0)</f>
        <v>0</v>
      </c>
      <c r="F471" s="72">
        <f>_xlfn.XLOOKUP(наценкад5[[#This Row],[№]],ППД5[№],ППД5[Кухня],"-",0)</f>
        <v>5.84</v>
      </c>
      <c r="G471" s="72">
        <f>_xlfn.XLOOKUP(наценкад5[[#This Row],[№]],ППД5[№],ППД5[Ванная],"-",0)</f>
        <v>3.76</v>
      </c>
      <c r="H471" s="72">
        <f>_xlfn.XLOOKUP(наценкад5[[#This Row],[№]],ППД5[№],ППД5[Гардеробная],"-",0)</f>
        <v>0</v>
      </c>
      <c r="I471" s="72">
        <f>_xlfn.XLOOKUP(наценкад5[[#This Row],[№]],ППД5[№],ППД5[Лоджия 2],"-",0)</f>
        <v>0</v>
      </c>
      <c r="J471" s="72">
        <f>_xlfn.XLOOKUP(наценкад5[[#This Row],[№]],ППД5[№],ППД5[С\У],"-",0)</f>
        <v>0</v>
      </c>
      <c r="K471" s="72">
        <f>_xlfn.XLOOKUP(наценкад5[[#This Row],[№]],ППД5[№],ППД5[Расчетная проектная площадь],"-",0)</f>
        <v>29.4</v>
      </c>
      <c r="L471" s="12">
        <f t="shared" si="7"/>
        <v>63000</v>
      </c>
      <c r="M471" s="116">
        <f>коэффициенты!$H$2</f>
        <v>1.3905000000000001</v>
      </c>
      <c r="N471" s="13">
        <f>наценкад5[[#This Row],[Цена м2 базовая]]*наценкад5[[#This Row],[Базовой K]]</f>
        <v>87601.5</v>
      </c>
      <c r="O471" s="74"/>
      <c r="P471" s="74"/>
      <c r="Q471" s="74"/>
      <c r="R471" s="74"/>
      <c r="S471" s="74"/>
      <c r="T471" s="74"/>
      <c r="U471" s="74"/>
      <c r="V471" s="74"/>
      <c r="W471" s="75"/>
      <c r="X471" s="74"/>
      <c r="Y471" s="75"/>
      <c r="Z471" s="74"/>
      <c r="AA471" s="74"/>
      <c r="AB471" s="74"/>
      <c r="AC471" s="74"/>
      <c r="AD471" s="74">
        <f>коэффициенты!$H$19</f>
        <v>0.01</v>
      </c>
      <c r="AE471" s="74"/>
      <c r="AF471" s="74">
        <f>коэффициенты!$H$21</f>
        <v>0.01</v>
      </c>
      <c r="AG471" s="74"/>
      <c r="AH471" s="74"/>
      <c r="AI471" s="73">
        <f>SUM(наценкад5[[#This Row],[еврокухня]:[большая площадь]])*наценкад5[[#This Row],[Цена м2 с базовым K]]+наценкад5[[#This Row],[Цена м2 с базовым K]]</f>
        <v>89353.53</v>
      </c>
      <c r="AJ471" s="72">
        <f>VLOOKUP(наценкад5[[#This Row],[№]],ППД5[],COLUMN(ППД5[[#This Row],[утв цена м2]]),0)</f>
        <v>138615.51</v>
      </c>
      <c r="AK471" s="3">
        <f>наценкад5[[#This Row],[утв цена м2]]*наценкад5[[#This Row],[Расчетная проектная площадь]]</f>
        <v>4075295.9939999999</v>
      </c>
      <c r="AL471" s="22" t="str">
        <f>VLOOKUP(наценкад5[[#This Row],[№]],ППД5[],COLUMN('Реестр ОН'!$DF$1),0)</f>
        <v>Продажа</v>
      </c>
    </row>
    <row r="472" spans="1:38" hidden="1" x14ac:dyDescent="0.25">
      <c r="A472" s="101">
        <v>470</v>
      </c>
      <c r="B472" s="2" t="str">
        <f>_xlfn.XLOOKUP(наценкад5[[#This Row],[№]],ППД5[№],ППД5[Секция],"-",0)</f>
        <v>Г</v>
      </c>
      <c r="C472" s="2">
        <f>_xlfn.XLOOKUP(наценкад5[[#This Row],[№]],ППД5[№],ППД5[Этаж],"-",0)</f>
        <v>11</v>
      </c>
      <c r="D472" s="2">
        <f>_xlfn.XLOOKUP(наценкад5[[#This Row],[№]],ППД5[№],ППД5[№ на этаже],"-",0)</f>
        <v>2</v>
      </c>
      <c r="E472" s="2">
        <f>_xlfn.XLOOKUP(наценкад5[[#This Row],[№]],ППД5[№],ППД5[Тип кв],"-",0)</f>
        <v>1</v>
      </c>
      <c r="F472" s="72">
        <f>_xlfn.XLOOKUP(наценкад5[[#This Row],[№]],ППД5[№],ППД5[Кухня],"-",0)</f>
        <v>16.940000000000001</v>
      </c>
      <c r="G472" s="72">
        <f>_xlfn.XLOOKUP(наценкад5[[#This Row],[№]],ППД5[№],ППД5[Ванная],"-",0)</f>
        <v>3.55</v>
      </c>
      <c r="H472" s="72">
        <f>_xlfn.XLOOKUP(наценкад5[[#This Row],[№]],ППД5[№],ППД5[Гардеробная],"-",0)</f>
        <v>0</v>
      </c>
      <c r="I472" s="72">
        <f>_xlfn.XLOOKUP(наценкад5[[#This Row],[№]],ППД5[№],ППД5[Лоджия 2],"-",0)</f>
        <v>0</v>
      </c>
      <c r="J472" s="72">
        <f>_xlfn.XLOOKUP(наценкад5[[#This Row],[№]],ППД5[№],ППД5[С\У],"-",0)</f>
        <v>2.41</v>
      </c>
      <c r="K472" s="72">
        <f>_xlfn.XLOOKUP(наценкад5[[#This Row],[№]],ППД5[№],ППД5[Расчетная проектная площадь],"-",0)</f>
        <v>43.21</v>
      </c>
      <c r="L472" s="12">
        <f t="shared" si="7"/>
        <v>63000</v>
      </c>
      <c r="M472" s="102">
        <f>коэффициенты!$G$2</f>
        <v>1.2875000000000001</v>
      </c>
      <c r="N472" s="13">
        <f>наценкад5[[#This Row],[Цена м2 базовая]]*наценкад5[[#This Row],[Базовой K]]</f>
        <v>81112.5</v>
      </c>
      <c r="O472" s="76">
        <f>коэффициенты!$G$4</f>
        <v>0.02</v>
      </c>
      <c r="P472" s="74"/>
      <c r="Q472" s="74"/>
      <c r="R472" s="74">
        <f>коэффициенты!$G$10</f>
        <v>0.01</v>
      </c>
      <c r="S472" s="74">
        <f>коэффициенты!$G$9</f>
        <v>0</v>
      </c>
      <c r="T472" s="74"/>
      <c r="U472" s="74"/>
      <c r="V472" s="74"/>
      <c r="W472" s="75"/>
      <c r="X472" s="74"/>
      <c r="Y472" s="75"/>
      <c r="Z472" s="74"/>
      <c r="AA472" s="74"/>
      <c r="AB472" s="74"/>
      <c r="AC472" s="74"/>
      <c r="AD472" s="74">
        <f>коэффициенты!$G$19</f>
        <v>0.01</v>
      </c>
      <c r="AE472" s="74"/>
      <c r="AF472" s="74">
        <f>коэффициенты!$G$21</f>
        <v>0.01</v>
      </c>
      <c r="AG472" s="74"/>
      <c r="AH472" s="74"/>
      <c r="AI472" s="73">
        <f>SUM(наценкад5[[#This Row],[еврокухня]:[большая площадь]])*наценкад5[[#This Row],[Цена м2 с базовым K]]+наценкад5[[#This Row],[Цена м2 с базовым K]]</f>
        <v>85168.125</v>
      </c>
      <c r="AJ472" s="72">
        <f>VLOOKUP(наценкад5[[#This Row],[№]],ППД5[],COLUMN(ППД5[[#This Row],[утв цена м2]]),0)</f>
        <v>135472.82999999999</v>
      </c>
      <c r="AK472" s="3">
        <f>наценкад5[[#This Row],[утв цена м2]]*наценкад5[[#This Row],[Расчетная проектная площадь]]</f>
        <v>5853780.9842999997</v>
      </c>
      <c r="AL472" s="22" t="str">
        <f>VLOOKUP(наценкад5[[#This Row],[№]],ППД5[],COLUMN('Реестр ОН'!$DF$1),0)</f>
        <v>Пл. Бронь</v>
      </c>
    </row>
    <row r="473" spans="1:38" hidden="1" x14ac:dyDescent="0.25">
      <c r="A473" s="101">
        <v>471</v>
      </c>
      <c r="B473" s="2" t="str">
        <f>_xlfn.XLOOKUP(наценкад5[[#This Row],[№]],ППД5[№],ППД5[Секция],"-",0)</f>
        <v>Г</v>
      </c>
      <c r="C473" s="2">
        <f>_xlfn.XLOOKUP(наценкад5[[#This Row],[№]],ППД5[№],ППД5[Этаж],"-",0)</f>
        <v>11</v>
      </c>
      <c r="D473" s="2">
        <f>_xlfn.XLOOKUP(наценкад5[[#This Row],[№]],ППД5[№],ППД5[№ на этаже],"-",0)</f>
        <v>3</v>
      </c>
      <c r="E473" s="2">
        <f>_xlfn.XLOOKUP(наценкад5[[#This Row],[№]],ППД5[№],ППД5[Тип кв],"-",0)</f>
        <v>0</v>
      </c>
      <c r="F473" s="72">
        <f>_xlfn.XLOOKUP(наценкад5[[#This Row],[№]],ППД5[№],ППД5[Кухня],"-",0)</f>
        <v>5.17</v>
      </c>
      <c r="G473" s="72">
        <f>_xlfn.XLOOKUP(наценкад5[[#This Row],[№]],ППД5[№],ППД5[Ванная],"-",0)</f>
        <v>3.71</v>
      </c>
      <c r="H473" s="72">
        <f>_xlfn.XLOOKUP(наценкад5[[#This Row],[№]],ППД5[№],ППД5[Гардеробная],"-",0)</f>
        <v>0</v>
      </c>
      <c r="I473" s="72">
        <f>_xlfn.XLOOKUP(наценкад5[[#This Row],[№]],ППД5[№],ППД5[Лоджия 2],"-",0)</f>
        <v>0</v>
      </c>
      <c r="J473" s="72">
        <f>_xlfn.XLOOKUP(наценкад5[[#This Row],[№]],ППД5[№],ППД5[С\У],"-",0)</f>
        <v>0</v>
      </c>
      <c r="K473" s="72">
        <f>_xlfn.XLOOKUP(наценкад5[[#This Row],[№]],ППД5[№],ППД5[Расчетная проектная площадь],"-",0)</f>
        <v>24.5</v>
      </c>
      <c r="L473" s="12">
        <f t="shared" si="7"/>
        <v>63000</v>
      </c>
      <c r="M473" s="116">
        <f>коэффициенты!$H$2</f>
        <v>1.3905000000000001</v>
      </c>
      <c r="N473" s="13">
        <f>наценкад5[[#This Row],[Цена м2 базовая]]*наценкад5[[#This Row],[Базовой K]]</f>
        <v>87601.5</v>
      </c>
      <c r="O473" s="74"/>
      <c r="P473" s="74"/>
      <c r="Q473" s="74"/>
      <c r="R473" s="74"/>
      <c r="S473" s="74"/>
      <c r="T473" s="74"/>
      <c r="U473" s="74"/>
      <c r="V473" s="74">
        <f>коэффициенты!$H$11</f>
        <v>0.01</v>
      </c>
      <c r="W473" s="75"/>
      <c r="X473" s="74">
        <f>коэффициенты!$H$13</f>
        <v>0.01</v>
      </c>
      <c r="Y473" s="75"/>
      <c r="Z473" s="74"/>
      <c r="AA473" s="74"/>
      <c r="AB473" s="74"/>
      <c r="AC473" s="74"/>
      <c r="AD473" s="74">
        <f>коэффициенты!$H$19</f>
        <v>0.01</v>
      </c>
      <c r="AE473" s="74"/>
      <c r="AF473" s="74">
        <f>коэффициенты!$H$21</f>
        <v>0.01</v>
      </c>
      <c r="AG473" s="74"/>
      <c r="AH473" s="74"/>
      <c r="AI473" s="73">
        <f>SUM(наценкад5[[#This Row],[еврокухня]:[большая площадь]])*наценкад5[[#This Row],[Цена м2 с базовым K]]+наценкад5[[#This Row],[Цена м2 с базовым K]]</f>
        <v>91105.56</v>
      </c>
      <c r="AJ473" s="72">
        <f>VLOOKUP(наценкад5[[#This Row],[№]],ППД5[],COLUMN(ППД5[[#This Row],[утв цена м2]]),0)</f>
        <v>91105.56</v>
      </c>
      <c r="AK473" s="3">
        <f>наценкад5[[#This Row],[утв цена м2]]*наценкад5[[#This Row],[Расчетная проектная площадь]]</f>
        <v>2232086.2199999997</v>
      </c>
      <c r="AL473" s="22" t="str">
        <f>VLOOKUP(наценкад5[[#This Row],[№]],ППД5[],COLUMN('Реестр ОН'!$DF$1),0)</f>
        <v>Продажа</v>
      </c>
    </row>
    <row r="474" spans="1:38" hidden="1" x14ac:dyDescent="0.25">
      <c r="A474" s="101">
        <v>472</v>
      </c>
      <c r="B474" s="2" t="str">
        <f>_xlfn.XLOOKUP(наценкад5[[#This Row],[№]],ППД5[№],ППД5[Секция],"-",0)</f>
        <v>Г</v>
      </c>
      <c r="C474" s="2">
        <f>_xlfn.XLOOKUP(наценкад5[[#This Row],[№]],ППД5[№],ППД5[Этаж],"-",0)</f>
        <v>11</v>
      </c>
      <c r="D474" s="2">
        <f>_xlfn.XLOOKUP(наценкад5[[#This Row],[№]],ППД5[№],ППД5[№ на этаже],"-",0)</f>
        <v>4</v>
      </c>
      <c r="E474" s="2">
        <f>_xlfn.XLOOKUP(наценкад5[[#This Row],[№]],ППД5[№],ППД5[Тип кв],"-",0)</f>
        <v>2</v>
      </c>
      <c r="F474" s="72">
        <f>_xlfn.XLOOKUP(наценкад5[[#This Row],[№]],ППД5[№],ППД5[Кухня],"-",0)</f>
        <v>15.86</v>
      </c>
      <c r="G474" s="72">
        <f>_xlfn.XLOOKUP(наценкад5[[#This Row],[№]],ППД5[№],ППД5[Ванная],"-",0)</f>
        <v>3.01</v>
      </c>
      <c r="H474" s="72">
        <f>_xlfn.XLOOKUP(наценкад5[[#This Row],[№]],ППД5[№],ППД5[Гардеробная],"-",0)</f>
        <v>0</v>
      </c>
      <c r="I474" s="72">
        <f>_xlfn.XLOOKUP(наценкад5[[#This Row],[№]],ППД5[№],ППД5[Лоджия 2],"-",0)</f>
        <v>0</v>
      </c>
      <c r="J474" s="72">
        <f>_xlfn.XLOOKUP(наценкад5[[#This Row],[№]],ППД5[№],ППД5[С\У],"-",0)</f>
        <v>2.67</v>
      </c>
      <c r="K474" s="72">
        <f>_xlfn.XLOOKUP(наценкад5[[#This Row],[№]],ППД5[№],ППД5[Расчетная проектная площадь],"-",0)</f>
        <v>58.24</v>
      </c>
      <c r="L474" s="12">
        <f t="shared" si="7"/>
        <v>63000</v>
      </c>
      <c r="M474" s="102">
        <f>коэффициенты!$F$2</f>
        <v>1.2257</v>
      </c>
      <c r="N474" s="13">
        <f>наценкад5[[#This Row],[Цена м2 базовая]]*наценкад5[[#This Row],[Базовой K]]</f>
        <v>77219.100000000006</v>
      </c>
      <c r="O474" s="76">
        <f>коэффициенты!$F$4</f>
        <v>1.4999999999999999E-2</v>
      </c>
      <c r="P474" s="74"/>
      <c r="Q474" s="76"/>
      <c r="R474" s="76">
        <f>коэффициенты!$F$10</f>
        <v>0</v>
      </c>
      <c r="S474" s="76">
        <f>коэффициенты!$F$9</f>
        <v>0</v>
      </c>
      <c r="T474" s="74"/>
      <c r="U474" s="74"/>
      <c r="V474" s="74"/>
      <c r="W474" s="75"/>
      <c r="X474" s="74"/>
      <c r="Y474" s="75"/>
      <c r="Z474" s="74"/>
      <c r="AA474" s="74"/>
      <c r="AB474" s="74"/>
      <c r="AC474" s="74"/>
      <c r="AD474" s="74">
        <f>коэффициенты!$F$19</f>
        <v>5.0000000000000001E-3</v>
      </c>
      <c r="AE474" s="74"/>
      <c r="AF474" s="74">
        <f>коэффициенты!$F$21</f>
        <v>0.01</v>
      </c>
      <c r="AG474" s="74"/>
      <c r="AH474" s="74"/>
      <c r="AI474" s="73">
        <f>SUM(наценкад5[[#This Row],[еврокухня]:[большая площадь]])*наценкад5[[#This Row],[Цена м2 с базовым K]]+наценкад5[[#This Row],[Цена м2 с базовым K]]</f>
        <v>79535.67300000001</v>
      </c>
      <c r="AJ474" s="72">
        <f>VLOOKUP(наценкад5[[#This Row],[№]],ППД5[],COLUMN(ППД5[[#This Row],[утв цена м2]]),0)</f>
        <v>86017.83</v>
      </c>
      <c r="AK474" s="3">
        <f>наценкад5[[#This Row],[утв цена м2]]*наценкад5[[#This Row],[Расчетная проектная площадь]]</f>
        <v>5009678.4192000004</v>
      </c>
      <c r="AL474" s="22" t="str">
        <f>VLOOKUP(наценкад5[[#This Row],[№]],ППД5[],COLUMN('Реестр ОН'!$DF$1),0)</f>
        <v>Продажа</v>
      </c>
    </row>
    <row r="475" spans="1:38" hidden="1" x14ac:dyDescent="0.25">
      <c r="A475" s="101">
        <v>473</v>
      </c>
      <c r="B475" s="2" t="str">
        <f>_xlfn.XLOOKUP(наценкад5[[#This Row],[№]],ППД5[№],ППД5[Секция],"-",0)</f>
        <v>Г</v>
      </c>
      <c r="C475" s="2">
        <f>_xlfn.XLOOKUP(наценкад5[[#This Row],[№]],ППД5[№],ППД5[Этаж],"-",0)</f>
        <v>11</v>
      </c>
      <c r="D475" s="2">
        <f>_xlfn.XLOOKUP(наценкад5[[#This Row],[№]],ППД5[№],ППД5[№ на этаже],"-",0)</f>
        <v>5</v>
      </c>
      <c r="E475" s="2">
        <f>_xlfn.XLOOKUP(наценкад5[[#This Row],[№]],ППД5[№],ППД5[Тип кв],"-",0)</f>
        <v>2</v>
      </c>
      <c r="F475" s="72">
        <f>_xlfn.XLOOKUP(наценкад5[[#This Row],[№]],ППД5[№],ППД5[Кухня],"-",0)</f>
        <v>13.45</v>
      </c>
      <c r="G475" s="72">
        <f>_xlfn.XLOOKUP(наценкад5[[#This Row],[№]],ППД5[№],ППД5[Ванная],"-",0)</f>
        <v>3.7</v>
      </c>
      <c r="H475" s="72">
        <f>_xlfn.XLOOKUP(наценкад5[[#This Row],[№]],ППД5[№],ППД5[Гардеробная],"-",0)</f>
        <v>0</v>
      </c>
      <c r="I475" s="72">
        <f>_xlfn.XLOOKUP(наценкад5[[#This Row],[№]],ППД5[№],ППД5[Лоджия 2],"-",0)</f>
        <v>0</v>
      </c>
      <c r="J475" s="72">
        <f>_xlfn.XLOOKUP(наценкад5[[#This Row],[№]],ППД5[№],ППД5[С\У],"-",0)</f>
        <v>2.72</v>
      </c>
      <c r="K475" s="72">
        <f>_xlfn.XLOOKUP(наценкад5[[#This Row],[№]],ППД5[№],ППД5[Расчетная проектная площадь],"-",0)</f>
        <v>57.8</v>
      </c>
      <c r="L475" s="12">
        <f t="shared" si="7"/>
        <v>63000</v>
      </c>
      <c r="M475" s="102">
        <f>коэффициенты!$F$2</f>
        <v>1.2257</v>
      </c>
      <c r="N475" s="13">
        <f>наценкад5[[#This Row],[Цена м2 базовая]]*наценкад5[[#This Row],[Базовой K]]</f>
        <v>77219.100000000006</v>
      </c>
      <c r="O475" s="74"/>
      <c r="P475" s="74">
        <f>коэффициенты!$F$5</f>
        <v>0.01</v>
      </c>
      <c r="Q475" s="76"/>
      <c r="R475" s="76"/>
      <c r="S475" s="76">
        <f>коэффициенты!$F$9</f>
        <v>0</v>
      </c>
      <c r="T475" s="74"/>
      <c r="U475" s="74"/>
      <c r="V475" s="74"/>
      <c r="W475" s="75"/>
      <c r="X475" s="74"/>
      <c r="Y475" s="75"/>
      <c r="Z475" s="74"/>
      <c r="AA475" s="74"/>
      <c r="AB475" s="74"/>
      <c r="AC475" s="74"/>
      <c r="AD475" s="74">
        <f>коэффициенты!$F$19</f>
        <v>5.0000000000000001E-3</v>
      </c>
      <c r="AE475" s="74"/>
      <c r="AF475" s="74">
        <f>коэффициенты!$F$21</f>
        <v>0.01</v>
      </c>
      <c r="AG475" s="74"/>
      <c r="AH475" s="74"/>
      <c r="AI475" s="73">
        <f>SUM(наценкад5[[#This Row],[еврокухня]:[большая площадь]])*наценкад5[[#This Row],[Цена м2 с базовым K]]+наценкад5[[#This Row],[Цена м2 с базовым K]]</f>
        <v>79149.577499999999</v>
      </c>
      <c r="AJ475" s="72">
        <f>VLOOKUP(наценкад5[[#This Row],[№]],ППД5[],COLUMN(ППД5[[#This Row],[утв цена м2]]),0)</f>
        <v>90779.08</v>
      </c>
      <c r="AK475" s="3">
        <f>наценкад5[[#This Row],[утв цена м2]]*наценкад5[[#This Row],[Расчетная проектная площадь]]</f>
        <v>5247030.824</v>
      </c>
      <c r="AL475" s="22" t="str">
        <f>VLOOKUP(наценкад5[[#This Row],[№]],ППД5[],COLUMN('Реестр ОН'!$DF$1),0)</f>
        <v>Продажа</v>
      </c>
    </row>
    <row r="476" spans="1:38" hidden="1" x14ac:dyDescent="0.25">
      <c r="A476" s="101">
        <v>474</v>
      </c>
      <c r="B476" s="2" t="str">
        <f>_xlfn.XLOOKUP(наценкад5[[#This Row],[№]],ППД5[№],ППД5[Секция],"-",0)</f>
        <v>Г</v>
      </c>
      <c r="C476" s="2">
        <f>_xlfn.XLOOKUP(наценкад5[[#This Row],[№]],ППД5[№],ППД5[Этаж],"-",0)</f>
        <v>11</v>
      </c>
      <c r="D476" s="2">
        <f>_xlfn.XLOOKUP(наценкад5[[#This Row],[№]],ППД5[№],ППД5[№ на этаже],"-",0)</f>
        <v>6</v>
      </c>
      <c r="E476" s="2">
        <f>_xlfn.XLOOKUP(наценкад5[[#This Row],[№]],ППД5[№],ППД5[Тип кв],"-",0)</f>
        <v>1</v>
      </c>
      <c r="F476" s="72">
        <f>_xlfn.XLOOKUP(наценкад5[[#This Row],[№]],ППД5[№],ППД5[Кухня],"-",0)</f>
        <v>12.55</v>
      </c>
      <c r="G476" s="72">
        <f>_xlfn.XLOOKUP(наценкад5[[#This Row],[№]],ППД5[№],ППД5[Ванная],"-",0)</f>
        <v>4.28</v>
      </c>
      <c r="H476" s="72">
        <f>_xlfn.XLOOKUP(наценкад5[[#This Row],[№]],ППД5[№],ППД5[Гардеробная],"-",0)</f>
        <v>0</v>
      </c>
      <c r="I476" s="72">
        <f>_xlfn.XLOOKUP(наценкад5[[#This Row],[№]],ППД5[№],ППД5[Лоджия 2],"-",0)</f>
        <v>0</v>
      </c>
      <c r="J476" s="72">
        <f>_xlfn.XLOOKUP(наценкад5[[#This Row],[№]],ППД5[№],ППД5[С\У],"-",0)</f>
        <v>0</v>
      </c>
      <c r="K476" s="72">
        <f>_xlfn.XLOOKUP(наценкад5[[#This Row],[№]],ППД5[№],ППД5[Расчетная проектная площадь],"-",0)</f>
        <v>38.299999999999997</v>
      </c>
      <c r="L476" s="12">
        <f t="shared" si="7"/>
        <v>63000</v>
      </c>
      <c r="M476" s="102">
        <f>коэффициенты!$G$2</f>
        <v>1.2875000000000001</v>
      </c>
      <c r="N476" s="13">
        <f>наценкад5[[#This Row],[Цена м2 базовая]]*наценкад5[[#This Row],[Базовой K]]</f>
        <v>81112.5</v>
      </c>
      <c r="O476" s="74"/>
      <c r="P476" s="76">
        <f>коэффициенты!$G$5</f>
        <v>0.01</v>
      </c>
      <c r="Q476" s="74">
        <f>коэффициенты!$G$6</f>
        <v>0.03</v>
      </c>
      <c r="R476" s="74"/>
      <c r="S476" s="74"/>
      <c r="T476" s="74"/>
      <c r="U476" s="74"/>
      <c r="V476" s="74">
        <f>коэффициенты!$G$11</f>
        <v>0.01</v>
      </c>
      <c r="W476" s="75"/>
      <c r="X476" s="74">
        <f>коэффициенты!$G$13</f>
        <v>0.01</v>
      </c>
      <c r="Y476" s="75"/>
      <c r="Z476" s="74"/>
      <c r="AA476" s="74"/>
      <c r="AB476" s="74"/>
      <c r="AC476" s="74"/>
      <c r="AD476" s="74">
        <f>коэффициенты!$G$19</f>
        <v>0.01</v>
      </c>
      <c r="AE476" s="74"/>
      <c r="AF476" s="74">
        <f>коэффициенты!$G$21</f>
        <v>0.01</v>
      </c>
      <c r="AG476" s="74"/>
      <c r="AH476" s="74"/>
      <c r="AI476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476" s="72">
        <f>VLOOKUP(наценкад5[[#This Row],[№]],ППД5[],COLUMN(ППД5[[#This Row],[утв цена м2]]),0)</f>
        <v>100472.85</v>
      </c>
      <c r="AK476" s="3">
        <f>наценкад5[[#This Row],[утв цена м2]]*наценкад5[[#This Row],[Расчетная проектная площадь]]</f>
        <v>3848110.1549999998</v>
      </c>
      <c r="AL476" s="22" t="str">
        <f>VLOOKUP(наценкад5[[#This Row],[№]],ППД5[],COLUMN('Реестр ОН'!$DF$1),0)</f>
        <v>Продажа</v>
      </c>
    </row>
    <row r="477" spans="1:38" hidden="1" x14ac:dyDescent="0.25">
      <c r="A477" s="101">
        <v>475</v>
      </c>
      <c r="B477" s="2" t="str">
        <f>_xlfn.XLOOKUP(наценкад5[[#This Row],[№]],ППД5[№],ППД5[Секция],"-",0)</f>
        <v>Г</v>
      </c>
      <c r="C477" s="2">
        <f>_xlfn.XLOOKUP(наценкад5[[#This Row],[№]],ППД5[№],ППД5[Этаж],"-",0)</f>
        <v>11</v>
      </c>
      <c r="D477" s="2">
        <f>_xlfn.XLOOKUP(наценкад5[[#This Row],[№]],ППД5[№],ППД5[№ на этаже],"-",0)</f>
        <v>7</v>
      </c>
      <c r="E477" s="2">
        <f>_xlfn.XLOOKUP(наценкад5[[#This Row],[№]],ППД5[№],ППД5[Тип кв],"-",0)</f>
        <v>3</v>
      </c>
      <c r="F477" s="72">
        <f>_xlfn.XLOOKUP(наценкад5[[#This Row],[№]],ППД5[№],ППД5[Кухня],"-",0)</f>
        <v>16.670000000000002</v>
      </c>
      <c r="G477" s="72">
        <f>_xlfn.XLOOKUP(наценкад5[[#This Row],[№]],ППД5[№],ППД5[Ванная],"-",0)</f>
        <v>4.1399999999999997</v>
      </c>
      <c r="H477" s="72">
        <f>_xlfn.XLOOKUP(наценкад5[[#This Row],[№]],ППД5[№],ППД5[Гардеробная],"-",0)</f>
        <v>0</v>
      </c>
      <c r="I477" s="72">
        <f>_xlfn.XLOOKUP(наценкад5[[#This Row],[№]],ППД5[№],ППД5[Лоджия 2],"-",0)</f>
        <v>2.79</v>
      </c>
      <c r="J477" s="72">
        <f>_xlfn.XLOOKUP(наценкад5[[#This Row],[№]],ППД5[№],ППД5[С\У],"-",0)</f>
        <v>1.89</v>
      </c>
      <c r="K477" s="72">
        <f>_xlfn.XLOOKUP(наценкад5[[#This Row],[№]],ППД5[№],ППД5[Расчетная проектная площадь],"-",0)</f>
        <v>79.44</v>
      </c>
      <c r="L477" s="12">
        <f t="shared" si="7"/>
        <v>63000</v>
      </c>
      <c r="M477" s="27">
        <f>коэффициенты!$E$2</f>
        <v>1.1330000000000002</v>
      </c>
      <c r="N477" s="13">
        <f>наценкад5[[#This Row],[Цена м2 базовая]]*наценкад5[[#This Row],[Базовой K]]</f>
        <v>71379.000000000015</v>
      </c>
      <c r="O477" s="74">
        <f>коэффициенты!$E$4</f>
        <v>0.03</v>
      </c>
      <c r="P477" s="74"/>
      <c r="Q477" s="74">
        <f>коэффициенты!$E$6</f>
        <v>0.01</v>
      </c>
      <c r="R477" s="74"/>
      <c r="S477" s="74">
        <f>коэффициенты!$E$9</f>
        <v>0</v>
      </c>
      <c r="T477" s="74">
        <f>коэффициенты!$E$7</f>
        <v>0</v>
      </c>
      <c r="U477" s="74">
        <f>коэффициенты!$E$8</f>
        <v>0.01</v>
      </c>
      <c r="V477" s="74"/>
      <c r="W477" s="75">
        <f>коэффициенты!$E$12</f>
        <v>0.02</v>
      </c>
      <c r="X477" s="74"/>
      <c r="Y477" s="75"/>
      <c r="Z477" s="74"/>
      <c r="AA477" s="74">
        <f>коэффициенты!$E$14</f>
        <v>0</v>
      </c>
      <c r="AB477" s="74"/>
      <c r="AC477" s="74">
        <f>коэффициенты!$E$18</f>
        <v>0.01</v>
      </c>
      <c r="AD477" s="74"/>
      <c r="AE477" s="74"/>
      <c r="AF477" s="74">
        <f>коэффициенты!$E$21</f>
        <v>0.01</v>
      </c>
      <c r="AG477" s="74"/>
      <c r="AH477" s="74"/>
      <c r="AI477" s="73">
        <f>SUM(наценкад5[[#This Row],[еврокухня]:[большая площадь]])*наценкад5[[#This Row],[Цена м2 с базовым K]]+наценкад5[[#This Row],[Цена м2 с базовым K]]</f>
        <v>77803.110000000015</v>
      </c>
      <c r="AJ477" s="72">
        <f>VLOOKUP(наценкад5[[#This Row],[№]],ППД5[],COLUMN(ППД5[[#This Row],[утв цена м2]]),0)</f>
        <v>100071.77</v>
      </c>
      <c r="AK477" s="3">
        <f>наценкад5[[#This Row],[утв цена м2]]*наценкад5[[#This Row],[Расчетная проектная площадь]]</f>
        <v>7949701.4088000003</v>
      </c>
      <c r="AL477" s="22" t="str">
        <f>VLOOKUP(наценкад5[[#This Row],[№]],ППД5[],COLUMN('Реестр ОН'!$DF$1),0)</f>
        <v>Продажа</v>
      </c>
    </row>
    <row r="478" spans="1:38" hidden="1" x14ac:dyDescent="0.25">
      <c r="A478" s="101">
        <v>476</v>
      </c>
      <c r="B478" s="2" t="str">
        <f>_xlfn.XLOOKUP(наценкад5[[#This Row],[№]],ППД5[№],ППД5[Секция],"-",0)</f>
        <v>Г</v>
      </c>
      <c r="C478" s="2">
        <f>_xlfn.XLOOKUP(наценкад5[[#This Row],[№]],ППД5[№],ППД5[Этаж],"-",0)</f>
        <v>11</v>
      </c>
      <c r="D478" s="2">
        <f>_xlfn.XLOOKUP(наценкад5[[#This Row],[№]],ППД5[№],ППД5[№ на этаже],"-",0)</f>
        <v>8</v>
      </c>
      <c r="E478" s="2">
        <f>_xlfn.XLOOKUP(наценкад5[[#This Row],[№]],ППД5[№],ППД5[Тип кв],"-",0)</f>
        <v>1</v>
      </c>
      <c r="F478" s="72">
        <f>_xlfn.XLOOKUP(наценкад5[[#This Row],[№]],ППД5[№],ППД5[Кухня],"-",0)</f>
        <v>11.43</v>
      </c>
      <c r="G478" s="72">
        <f>_xlfn.XLOOKUP(наценкад5[[#This Row],[№]],ППД5[№],ППД5[Ванная],"-",0)</f>
        <v>3.56</v>
      </c>
      <c r="H478" s="72">
        <f>_xlfn.XLOOKUP(наценкад5[[#This Row],[№]],ППД5[№],ППД5[Гардеробная],"-",0)</f>
        <v>0</v>
      </c>
      <c r="I478" s="72">
        <f>_xlfn.XLOOKUP(наценкад5[[#This Row],[№]],ППД5[№],ППД5[Лоджия 2],"-",0)</f>
        <v>0</v>
      </c>
      <c r="J478" s="72">
        <f>_xlfn.XLOOKUP(наценкад5[[#This Row],[№]],ППД5[№],ППД5[С\У],"-",0)</f>
        <v>0</v>
      </c>
      <c r="K478" s="72">
        <f>_xlfn.XLOOKUP(наценкад5[[#This Row],[№]],ППД5[№],ППД5[Расчетная проектная площадь],"-",0)</f>
        <v>39.69</v>
      </c>
      <c r="L478" s="12">
        <f t="shared" si="7"/>
        <v>63000</v>
      </c>
      <c r="M478" s="102">
        <f>коэффициенты!$G$2</f>
        <v>1.2875000000000001</v>
      </c>
      <c r="N478" s="13">
        <f>наценкад5[[#This Row],[Цена м2 базовая]]*наценкад5[[#This Row],[Базовой K]]</f>
        <v>81112.5</v>
      </c>
      <c r="O478" s="74"/>
      <c r="P478" s="76">
        <f>коэффициенты!$G$5</f>
        <v>0.01</v>
      </c>
      <c r="Q478" s="74"/>
      <c r="R478" s="74"/>
      <c r="S478" s="74"/>
      <c r="T478" s="74"/>
      <c r="U478" s="74"/>
      <c r="V478" s="74">
        <f>коэффициенты!$G$11</f>
        <v>0.01</v>
      </c>
      <c r="W478" s="75">
        <f>коэффициенты!$G$12</f>
        <v>0.02</v>
      </c>
      <c r="X478" s="74"/>
      <c r="Y478" s="75"/>
      <c r="Z478" s="74"/>
      <c r="AA478" s="74">
        <f>коэффициенты!$G$14</f>
        <v>0.01</v>
      </c>
      <c r="AB478" s="74"/>
      <c r="AC478" s="74"/>
      <c r="AD478" s="74">
        <f>коэффициенты!$G$19</f>
        <v>0.01</v>
      </c>
      <c r="AE478" s="74"/>
      <c r="AF478" s="74">
        <f>коэффициенты!$G$21</f>
        <v>0.01</v>
      </c>
      <c r="AG478" s="74">
        <f>коэффициенты!$A$24</f>
        <v>-5.0000000000000001E-3</v>
      </c>
      <c r="AH478" s="74"/>
      <c r="AI478" s="73">
        <f>SUM(наценкад5[[#This Row],[еврокухня]:[большая площадь]])*наценкад5[[#This Row],[Цена м2 с базовым K]]+наценкад5[[#This Row],[Цена м2 с базовым K]]</f>
        <v>86384.8125</v>
      </c>
      <c r="AJ478" s="72">
        <f>VLOOKUP(наценкад5[[#This Row],[№]],ППД5[],COLUMN(ППД5[[#This Row],[утв цена м2]]),0)</f>
        <v>136191.93</v>
      </c>
      <c r="AK478" s="3">
        <f>наценкад5[[#This Row],[утв цена м2]]*наценкад5[[#This Row],[Расчетная проектная площадь]]</f>
        <v>5405457.7016999992</v>
      </c>
      <c r="AL478" s="22" t="str">
        <f>VLOOKUP(наценкад5[[#This Row],[№]],ППД5[],COLUMN('Реестр ОН'!$DF$1),0)</f>
        <v>Продажа</v>
      </c>
    </row>
    <row r="479" spans="1:38" hidden="1" x14ac:dyDescent="0.25">
      <c r="A479" s="101">
        <v>477</v>
      </c>
      <c r="B479" s="2" t="str">
        <f>_xlfn.XLOOKUP(наценкад5[[#This Row],[№]],ППД5[№],ППД5[Секция],"-",0)</f>
        <v>Г</v>
      </c>
      <c r="C479" s="2">
        <f>_xlfn.XLOOKUP(наценкад5[[#This Row],[№]],ППД5[№],ППД5[Этаж],"-",0)</f>
        <v>12</v>
      </c>
      <c r="D479" s="2">
        <f>_xlfn.XLOOKUP(наценкад5[[#This Row],[№]],ППД5[№],ППД5[№ на этаже],"-",0)</f>
        <v>1</v>
      </c>
      <c r="E479" s="2">
        <f>_xlfn.XLOOKUP(наценкад5[[#This Row],[№]],ППД5[№],ППД5[Тип кв],"-",0)</f>
        <v>0</v>
      </c>
      <c r="F479" s="72">
        <f>_xlfn.XLOOKUP(наценкад5[[#This Row],[№]],ППД5[№],ППД5[Кухня],"-",0)</f>
        <v>5.84</v>
      </c>
      <c r="G479" s="72">
        <f>_xlfn.XLOOKUP(наценкад5[[#This Row],[№]],ППД5[№],ППД5[Ванная],"-",0)</f>
        <v>3.76</v>
      </c>
      <c r="H479" s="72">
        <f>_xlfn.XLOOKUP(наценкад5[[#This Row],[№]],ППД5[№],ППД5[Гардеробная],"-",0)</f>
        <v>0</v>
      </c>
      <c r="I479" s="72">
        <f>_xlfn.XLOOKUP(наценкад5[[#This Row],[№]],ППД5[№],ППД5[Лоджия 2],"-",0)</f>
        <v>0</v>
      </c>
      <c r="J479" s="72">
        <f>_xlfn.XLOOKUP(наценкад5[[#This Row],[№]],ППД5[№],ППД5[С\У],"-",0)</f>
        <v>0</v>
      </c>
      <c r="K479" s="72">
        <f>_xlfn.XLOOKUP(наценкад5[[#This Row],[№]],ППД5[№],ППД5[Расчетная проектная площадь],"-",0)</f>
        <v>29.4</v>
      </c>
      <c r="L479" s="12">
        <f t="shared" si="7"/>
        <v>63000</v>
      </c>
      <c r="M479" s="116">
        <f>коэффициенты!$H$2</f>
        <v>1.3905000000000001</v>
      </c>
      <c r="N479" s="13">
        <f>наценкад5[[#This Row],[Цена м2 базовая]]*наценкад5[[#This Row],[Базовой K]]</f>
        <v>87601.5</v>
      </c>
      <c r="O479" s="74"/>
      <c r="P479" s="74"/>
      <c r="Q479" s="74"/>
      <c r="R479" s="74"/>
      <c r="S479" s="74"/>
      <c r="T479" s="74"/>
      <c r="U479" s="74"/>
      <c r="V479" s="74"/>
      <c r="W479" s="75"/>
      <c r="X479" s="74"/>
      <c r="Y479" s="75"/>
      <c r="Z479" s="74"/>
      <c r="AA479" s="74"/>
      <c r="AB479" s="74"/>
      <c r="AC479" s="74"/>
      <c r="AD479" s="74">
        <f>коэффициенты!$H$19</f>
        <v>0.01</v>
      </c>
      <c r="AE479" s="74"/>
      <c r="AF479" s="74">
        <f>коэффициенты!$H$21</f>
        <v>0.01</v>
      </c>
      <c r="AG479" s="74"/>
      <c r="AH479" s="74"/>
      <c r="AI479" s="73">
        <f>SUM(наценкад5[[#This Row],[еврокухня]:[большая площадь]])*наценкад5[[#This Row],[Цена м2 с базовым K]]+наценкад5[[#This Row],[Цена м2 с базовым K]]</f>
        <v>89353.53</v>
      </c>
      <c r="AJ479" s="72">
        <f>VLOOKUP(наценкад5[[#This Row],[№]],ППД5[],COLUMN(ППД5[[#This Row],[утв цена м2]]),0)</f>
        <v>105333.07</v>
      </c>
      <c r="AK479" s="3">
        <f>наценкад5[[#This Row],[утв цена м2]]*наценкад5[[#This Row],[Расчетная проектная площадь]]</f>
        <v>3096792.2579999999</v>
      </c>
      <c r="AL479" s="22" t="str">
        <f>VLOOKUP(наценкад5[[#This Row],[№]],ППД5[],COLUMN('Реестр ОН'!$DF$1),0)</f>
        <v>Продажа</v>
      </c>
    </row>
    <row r="480" spans="1:38" hidden="1" x14ac:dyDescent="0.25">
      <c r="A480" s="101">
        <v>478</v>
      </c>
      <c r="B480" s="2" t="str">
        <f>_xlfn.XLOOKUP(наценкад5[[#This Row],[№]],ППД5[№],ППД5[Секция],"-",0)</f>
        <v>Г</v>
      </c>
      <c r="C480" s="2">
        <f>_xlfn.XLOOKUP(наценкад5[[#This Row],[№]],ППД5[№],ППД5[Этаж],"-",0)</f>
        <v>12</v>
      </c>
      <c r="D480" s="2">
        <f>_xlfn.XLOOKUP(наценкад5[[#This Row],[№]],ППД5[№],ППД5[№ на этаже],"-",0)</f>
        <v>2</v>
      </c>
      <c r="E480" s="2">
        <f>_xlfn.XLOOKUP(наценкад5[[#This Row],[№]],ППД5[№],ППД5[Тип кв],"-",0)</f>
        <v>1</v>
      </c>
      <c r="F480" s="72">
        <f>_xlfn.XLOOKUP(наценкад5[[#This Row],[№]],ППД5[№],ППД5[Кухня],"-",0)</f>
        <v>16.940000000000001</v>
      </c>
      <c r="G480" s="72">
        <f>_xlfn.XLOOKUP(наценкад5[[#This Row],[№]],ППД5[№],ППД5[Ванная],"-",0)</f>
        <v>3.55</v>
      </c>
      <c r="H480" s="72">
        <f>_xlfn.XLOOKUP(наценкад5[[#This Row],[№]],ППД5[№],ППД5[Гардеробная],"-",0)</f>
        <v>0</v>
      </c>
      <c r="I480" s="72">
        <f>_xlfn.XLOOKUP(наценкад5[[#This Row],[№]],ППД5[№],ППД5[Лоджия 2],"-",0)</f>
        <v>0</v>
      </c>
      <c r="J480" s="72">
        <f>_xlfn.XLOOKUP(наценкад5[[#This Row],[№]],ППД5[№],ППД5[С\У],"-",0)</f>
        <v>2.41</v>
      </c>
      <c r="K480" s="72">
        <f>_xlfn.XLOOKUP(наценкад5[[#This Row],[№]],ППД5[№],ППД5[Расчетная проектная площадь],"-",0)</f>
        <v>43.21</v>
      </c>
      <c r="L480" s="12">
        <f t="shared" si="7"/>
        <v>63000</v>
      </c>
      <c r="M480" s="102">
        <f>коэффициенты!$G$2</f>
        <v>1.2875000000000001</v>
      </c>
      <c r="N480" s="13">
        <f>наценкад5[[#This Row],[Цена м2 базовая]]*наценкад5[[#This Row],[Базовой K]]</f>
        <v>81112.5</v>
      </c>
      <c r="O480" s="76">
        <f>коэффициенты!$G$4</f>
        <v>0.02</v>
      </c>
      <c r="P480" s="74"/>
      <c r="Q480" s="74"/>
      <c r="R480" s="74">
        <f>коэффициенты!$G$10</f>
        <v>0.01</v>
      </c>
      <c r="S480" s="74">
        <f>коэффициенты!$G$9</f>
        <v>0</v>
      </c>
      <c r="T480" s="74"/>
      <c r="U480" s="74"/>
      <c r="V480" s="74"/>
      <c r="W480" s="75"/>
      <c r="X480" s="74"/>
      <c r="Y480" s="75"/>
      <c r="Z480" s="74"/>
      <c r="AA480" s="74"/>
      <c r="AB480" s="74"/>
      <c r="AC480" s="74"/>
      <c r="AD480" s="74">
        <f>коэффициенты!$G$19</f>
        <v>0.01</v>
      </c>
      <c r="AE480" s="74"/>
      <c r="AF480" s="74">
        <f>коэффициенты!$G$21</f>
        <v>0.01</v>
      </c>
      <c r="AG480" s="74"/>
      <c r="AH480" s="74"/>
      <c r="AI480" s="73">
        <f>SUM(наценкад5[[#This Row],[еврокухня]:[большая площадь]])*наценкад5[[#This Row],[Цена м2 с базовым K]]+наценкад5[[#This Row],[Цена м2 с базовым K]]</f>
        <v>85168.125</v>
      </c>
      <c r="AJ480" s="72">
        <f>VLOOKUP(наценкад5[[#This Row],[№]],ППД5[],COLUMN(ППД5[[#This Row],[утв цена м2]]),0)</f>
        <v>106699.45</v>
      </c>
      <c r="AK480" s="3">
        <f>наценкад5[[#This Row],[утв цена м2]]*наценкад5[[#This Row],[Расчетная проектная площадь]]</f>
        <v>4610483.2345000003</v>
      </c>
      <c r="AL480" s="22" t="str">
        <f>VLOOKUP(наценкад5[[#This Row],[№]],ППД5[],COLUMN('Реестр ОН'!$DF$1),0)</f>
        <v>Продажа</v>
      </c>
    </row>
    <row r="481" spans="1:38" hidden="1" x14ac:dyDescent="0.25">
      <c r="A481" s="101">
        <v>479</v>
      </c>
      <c r="B481" s="2" t="str">
        <f>_xlfn.XLOOKUP(наценкад5[[#This Row],[№]],ППД5[№],ППД5[Секция],"-",0)</f>
        <v>Г</v>
      </c>
      <c r="C481" s="2">
        <f>_xlfn.XLOOKUP(наценкад5[[#This Row],[№]],ППД5[№],ППД5[Этаж],"-",0)</f>
        <v>12</v>
      </c>
      <c r="D481" s="2">
        <f>_xlfn.XLOOKUP(наценкад5[[#This Row],[№]],ППД5[№],ППД5[№ на этаже],"-",0)</f>
        <v>3</v>
      </c>
      <c r="E481" s="2">
        <f>_xlfn.XLOOKUP(наценкад5[[#This Row],[№]],ППД5[№],ППД5[Тип кв],"-",0)</f>
        <v>0</v>
      </c>
      <c r="F481" s="72">
        <f>_xlfn.XLOOKUP(наценкад5[[#This Row],[№]],ППД5[№],ППД5[Кухня],"-",0)</f>
        <v>5.17</v>
      </c>
      <c r="G481" s="72">
        <f>_xlfn.XLOOKUP(наценкад5[[#This Row],[№]],ППД5[№],ППД5[Ванная],"-",0)</f>
        <v>3.71</v>
      </c>
      <c r="H481" s="72">
        <f>_xlfn.XLOOKUP(наценкад5[[#This Row],[№]],ППД5[№],ППД5[Гардеробная],"-",0)</f>
        <v>0</v>
      </c>
      <c r="I481" s="72">
        <f>_xlfn.XLOOKUP(наценкад5[[#This Row],[№]],ППД5[№],ППД5[Лоджия 2],"-",0)</f>
        <v>0</v>
      </c>
      <c r="J481" s="72">
        <f>_xlfn.XLOOKUP(наценкад5[[#This Row],[№]],ППД5[№],ППД5[С\У],"-",0)</f>
        <v>0</v>
      </c>
      <c r="K481" s="72">
        <f>_xlfn.XLOOKUP(наценкад5[[#This Row],[№]],ППД5[№],ППД5[Расчетная проектная площадь],"-",0)</f>
        <v>24.5</v>
      </c>
      <c r="L481" s="12">
        <f t="shared" si="7"/>
        <v>63000</v>
      </c>
      <c r="M481" s="116">
        <f>коэффициенты!$H$2</f>
        <v>1.3905000000000001</v>
      </c>
      <c r="N481" s="13">
        <f>наценкад5[[#This Row],[Цена м2 базовая]]*наценкад5[[#This Row],[Базовой K]]</f>
        <v>87601.5</v>
      </c>
      <c r="O481" s="74"/>
      <c r="P481" s="74"/>
      <c r="Q481" s="74"/>
      <c r="R481" s="74"/>
      <c r="S481" s="74"/>
      <c r="T481" s="74"/>
      <c r="U481" s="74"/>
      <c r="V481" s="74">
        <f>коэффициенты!$H$11</f>
        <v>0.01</v>
      </c>
      <c r="W481" s="75"/>
      <c r="X481" s="74">
        <f>коэффициенты!$H$13</f>
        <v>0.01</v>
      </c>
      <c r="Y481" s="75"/>
      <c r="Z481" s="74"/>
      <c r="AA481" s="74"/>
      <c r="AB481" s="74"/>
      <c r="AC481" s="74"/>
      <c r="AD481" s="74">
        <f>коэффициенты!$H$19</f>
        <v>0.01</v>
      </c>
      <c r="AE481" s="74"/>
      <c r="AF481" s="74">
        <f>коэффициенты!$H$21</f>
        <v>0.01</v>
      </c>
      <c r="AG481" s="74"/>
      <c r="AH481" s="74"/>
      <c r="AI481" s="73">
        <f>SUM(наценкад5[[#This Row],[еврокухня]:[большая площадь]])*наценкад5[[#This Row],[Цена м2 с базовым K]]+наценкад5[[#This Row],[Цена м2 с базовым K]]</f>
        <v>91105.56</v>
      </c>
      <c r="AJ481" s="72">
        <f>VLOOKUP(наценкад5[[#This Row],[№]],ППД5[],COLUMN(ППД5[[#This Row],[утв цена м2]]),0)</f>
        <v>143474.54</v>
      </c>
      <c r="AK481" s="3">
        <f>наценкад5[[#This Row],[утв цена м2]]*наценкад5[[#This Row],[Расчетная проектная площадь]]</f>
        <v>3515126.23</v>
      </c>
      <c r="AL481" s="22" t="str">
        <f>VLOOKUP(наценкад5[[#This Row],[№]],ППД5[],COLUMN('Реестр ОН'!$DF$1),0)</f>
        <v>Продажа</v>
      </c>
    </row>
    <row r="482" spans="1:38" hidden="1" x14ac:dyDescent="0.25">
      <c r="A482" s="101">
        <v>480</v>
      </c>
      <c r="B482" s="2" t="str">
        <f>_xlfn.XLOOKUP(наценкад5[[#This Row],[№]],ППД5[№],ППД5[Секция],"-",0)</f>
        <v>Г</v>
      </c>
      <c r="C482" s="2">
        <f>_xlfn.XLOOKUP(наценкад5[[#This Row],[№]],ППД5[№],ППД5[Этаж],"-",0)</f>
        <v>12</v>
      </c>
      <c r="D482" s="2">
        <f>_xlfn.XLOOKUP(наценкад5[[#This Row],[№]],ППД5[№],ППД5[№ на этаже],"-",0)</f>
        <v>4</v>
      </c>
      <c r="E482" s="2">
        <f>_xlfn.XLOOKUP(наценкад5[[#This Row],[№]],ППД5[№],ППД5[Тип кв],"-",0)</f>
        <v>2</v>
      </c>
      <c r="F482" s="72">
        <f>_xlfn.XLOOKUP(наценкад5[[#This Row],[№]],ППД5[№],ППД5[Кухня],"-",0)</f>
        <v>15.86</v>
      </c>
      <c r="G482" s="72">
        <f>_xlfn.XLOOKUP(наценкад5[[#This Row],[№]],ППД5[№],ППД5[Ванная],"-",0)</f>
        <v>3.01</v>
      </c>
      <c r="H482" s="72">
        <f>_xlfn.XLOOKUP(наценкад5[[#This Row],[№]],ППД5[№],ППД5[Гардеробная],"-",0)</f>
        <v>0</v>
      </c>
      <c r="I482" s="72">
        <f>_xlfn.XLOOKUP(наценкад5[[#This Row],[№]],ППД5[№],ППД5[Лоджия 2],"-",0)</f>
        <v>0</v>
      </c>
      <c r="J482" s="72">
        <f>_xlfn.XLOOKUP(наценкад5[[#This Row],[№]],ППД5[№],ППД5[С\У],"-",0)</f>
        <v>2.67</v>
      </c>
      <c r="K482" s="72">
        <f>_xlfn.XLOOKUP(наценкад5[[#This Row],[№]],ППД5[№],ППД5[Расчетная проектная площадь],"-",0)</f>
        <v>58.24</v>
      </c>
      <c r="L482" s="12">
        <f t="shared" si="7"/>
        <v>63000</v>
      </c>
      <c r="M482" s="102">
        <f>коэффициенты!$F$2</f>
        <v>1.2257</v>
      </c>
      <c r="N482" s="13">
        <f>наценкад5[[#This Row],[Цена м2 базовая]]*наценкад5[[#This Row],[Базовой K]]</f>
        <v>77219.100000000006</v>
      </c>
      <c r="O482" s="76">
        <f>коэффициенты!$F$4</f>
        <v>1.4999999999999999E-2</v>
      </c>
      <c r="P482" s="74"/>
      <c r="Q482" s="76"/>
      <c r="R482" s="76">
        <f>коэффициенты!$F$10</f>
        <v>0</v>
      </c>
      <c r="S482" s="76">
        <f>коэффициенты!$F$9</f>
        <v>0</v>
      </c>
      <c r="T482" s="74"/>
      <c r="U482" s="74"/>
      <c r="V482" s="74"/>
      <c r="W482" s="75"/>
      <c r="X482" s="74"/>
      <c r="Y482" s="75"/>
      <c r="Z482" s="74"/>
      <c r="AA482" s="74"/>
      <c r="AB482" s="74"/>
      <c r="AC482" s="74"/>
      <c r="AD482" s="74">
        <f>коэффициенты!$F$19</f>
        <v>5.0000000000000001E-3</v>
      </c>
      <c r="AE482" s="74"/>
      <c r="AF482" s="74">
        <f>коэффициенты!$F$21</f>
        <v>0.01</v>
      </c>
      <c r="AG482" s="74"/>
      <c r="AH482" s="74"/>
      <c r="AI482" s="73">
        <f>SUM(наценкад5[[#This Row],[еврокухня]:[большая площадь]])*наценкад5[[#This Row],[Цена м2 с базовым K]]+наценкад5[[#This Row],[Цена м2 с базовым K]]</f>
        <v>79535.67300000001</v>
      </c>
      <c r="AJ482" s="72">
        <f>VLOOKUP(наценкад5[[#This Row],[№]],ППД5[],COLUMN(ППД5[[#This Row],[утв цена м2]]),0)</f>
        <v>101185.96</v>
      </c>
      <c r="AK482" s="3">
        <f>наценкад5[[#This Row],[утв цена м2]]*наценкад5[[#This Row],[Расчетная проектная площадь]]</f>
        <v>5893070.3104000008</v>
      </c>
      <c r="AL482" s="22" t="str">
        <f>VLOOKUP(наценкад5[[#This Row],[№]],ППД5[],COLUMN('Реестр ОН'!$DF$1),0)</f>
        <v>Продажа</v>
      </c>
    </row>
    <row r="483" spans="1:38" hidden="1" x14ac:dyDescent="0.25">
      <c r="A483" s="101">
        <v>481</v>
      </c>
      <c r="B483" s="2" t="str">
        <f>_xlfn.XLOOKUP(наценкад5[[#This Row],[№]],ППД5[№],ППД5[Секция],"-",0)</f>
        <v>Г</v>
      </c>
      <c r="C483" s="2">
        <f>_xlfn.XLOOKUP(наценкад5[[#This Row],[№]],ППД5[№],ППД5[Этаж],"-",0)</f>
        <v>12</v>
      </c>
      <c r="D483" s="2">
        <f>_xlfn.XLOOKUP(наценкад5[[#This Row],[№]],ППД5[№],ППД5[№ на этаже],"-",0)</f>
        <v>5</v>
      </c>
      <c r="E483" s="2">
        <f>_xlfn.XLOOKUP(наценкад5[[#This Row],[№]],ППД5[№],ППД5[Тип кв],"-",0)</f>
        <v>2</v>
      </c>
      <c r="F483" s="3">
        <f>_xlfn.XLOOKUP(наценкад5[[#This Row],[№]],ППД5[№],ППД5[Кухня],"-",0)</f>
        <v>13.45</v>
      </c>
      <c r="G483" s="72">
        <f>_xlfn.XLOOKUP(наценкад5[[#This Row],[№]],ППД5[№],ППД5[Ванная],"-",0)</f>
        <v>3.7</v>
      </c>
      <c r="H483" s="72">
        <f>_xlfn.XLOOKUP(наценкад5[[#This Row],[№]],ППД5[№],ППД5[Гардеробная],"-",0)</f>
        <v>0</v>
      </c>
      <c r="I483" s="72">
        <f>_xlfn.XLOOKUP(наценкад5[[#This Row],[№]],ППД5[№],ППД5[Лоджия 2],"-",0)</f>
        <v>0</v>
      </c>
      <c r="J483" s="72">
        <f>_xlfn.XLOOKUP(наценкад5[[#This Row],[№]],ППД5[№],ППД5[С\У],"-",0)</f>
        <v>2.72</v>
      </c>
      <c r="K483" s="72">
        <f>_xlfn.XLOOKUP(наценкад5[[#This Row],[№]],ППД5[№],ППД5[Расчетная проектная площадь],"-",0)</f>
        <v>57.8</v>
      </c>
      <c r="L483" s="12">
        <f t="shared" si="7"/>
        <v>63000</v>
      </c>
      <c r="M483" s="102">
        <f>коэффициенты!$F$2</f>
        <v>1.2257</v>
      </c>
      <c r="N483" s="13">
        <f>наценкад5[[#This Row],[Цена м2 базовая]]*наценкад5[[#This Row],[Базовой K]]</f>
        <v>77219.100000000006</v>
      </c>
      <c r="O483" s="74"/>
      <c r="P483" s="74">
        <f>коэффициенты!$F$5</f>
        <v>0.01</v>
      </c>
      <c r="Q483" s="76"/>
      <c r="R483" s="76"/>
      <c r="S483" s="76">
        <f>коэффициенты!$F$9</f>
        <v>0</v>
      </c>
      <c r="T483" s="74"/>
      <c r="U483" s="74"/>
      <c r="V483" s="74"/>
      <c r="W483" s="74"/>
      <c r="X483" s="74"/>
      <c r="Y483" s="75"/>
      <c r="Z483" s="74"/>
      <c r="AA483" s="74"/>
      <c r="AB483" s="74"/>
      <c r="AC483" s="74"/>
      <c r="AD483" s="74">
        <f>коэффициенты!$F$19</f>
        <v>5.0000000000000001E-3</v>
      </c>
      <c r="AE483" s="74"/>
      <c r="AF483" s="74">
        <f>коэффициенты!$F$21</f>
        <v>0.01</v>
      </c>
      <c r="AG483" s="74"/>
      <c r="AH483" s="74"/>
      <c r="AI483" s="73">
        <f>SUM(наценкад5[[#This Row],[еврокухня]:[большая площадь]])*наценкад5[[#This Row],[Цена м2 с базовым K]]+наценкад5[[#This Row],[Цена м2 с базовым K]]</f>
        <v>79149.577499999999</v>
      </c>
      <c r="AJ483" s="72">
        <f>VLOOKUP(наценкад5[[#This Row],[№]],ППД5[],COLUMN(ППД5[[#This Row],[утв цена м2]]),0)</f>
        <v>95391.02</v>
      </c>
      <c r="AK483" s="3">
        <f>наценкад5[[#This Row],[утв цена м2]]*наценкад5[[#This Row],[Расчетная проектная площадь]]</f>
        <v>5513600.9560000002</v>
      </c>
      <c r="AL483" s="22" t="str">
        <f>VLOOKUP(наценкад5[[#This Row],[№]],ППД5[],COLUMN('Реестр ОН'!$DF$1),0)</f>
        <v>Продажа</v>
      </c>
    </row>
    <row r="484" spans="1:38" hidden="1" x14ac:dyDescent="0.25">
      <c r="A484" s="101">
        <v>482</v>
      </c>
      <c r="B484" s="2" t="str">
        <f>_xlfn.XLOOKUP(наценкад5[[#This Row],[№]],ППД5[№],ППД5[Секция],"-",0)</f>
        <v>Г</v>
      </c>
      <c r="C484" s="2">
        <f>_xlfn.XLOOKUP(наценкад5[[#This Row],[№]],ППД5[№],ППД5[Этаж],"-",0)</f>
        <v>12</v>
      </c>
      <c r="D484" s="2">
        <f>_xlfn.XLOOKUP(наценкад5[[#This Row],[№]],ППД5[№],ППД5[№ на этаже],"-",0)</f>
        <v>6</v>
      </c>
      <c r="E484" s="2">
        <f>_xlfn.XLOOKUP(наценкад5[[#This Row],[№]],ППД5[№],ППД5[Тип кв],"-",0)</f>
        <v>1</v>
      </c>
      <c r="F484" s="72">
        <f>_xlfn.XLOOKUP(наценкад5[[#This Row],[№]],ППД5[№],ППД5[Кухня],"-",0)</f>
        <v>12.55</v>
      </c>
      <c r="G484" s="72">
        <f>_xlfn.XLOOKUP(наценкад5[[#This Row],[№]],ППД5[№],ППД5[Ванная],"-",0)</f>
        <v>4.28</v>
      </c>
      <c r="H484" s="72">
        <f>_xlfn.XLOOKUP(наценкад5[[#This Row],[№]],ППД5[№],ППД5[Гардеробная],"-",0)</f>
        <v>0</v>
      </c>
      <c r="I484" s="72">
        <f>_xlfn.XLOOKUP(наценкад5[[#This Row],[№]],ППД5[№],ППД5[Лоджия 2],"-",0)</f>
        <v>0</v>
      </c>
      <c r="J484" s="72">
        <f>_xlfn.XLOOKUP(наценкад5[[#This Row],[№]],ППД5[№],ППД5[С\У],"-",0)</f>
        <v>0</v>
      </c>
      <c r="K484" s="72">
        <f>_xlfn.XLOOKUP(наценкад5[[#This Row],[№]],ППД5[№],ППД5[Расчетная проектная площадь],"-",0)</f>
        <v>38.299999999999997</v>
      </c>
      <c r="L484" s="12">
        <f t="shared" si="7"/>
        <v>63000</v>
      </c>
      <c r="M484" s="102">
        <f>коэффициенты!$G$2</f>
        <v>1.2875000000000001</v>
      </c>
      <c r="N484" s="13">
        <f>наценкад5[[#This Row],[Цена м2 базовая]]*наценкад5[[#This Row],[Базовой K]]</f>
        <v>81112.5</v>
      </c>
      <c r="O484" s="74"/>
      <c r="P484" s="76">
        <f>коэффициенты!$G$5</f>
        <v>0.01</v>
      </c>
      <c r="Q484" s="74">
        <f>коэффициенты!$G$6</f>
        <v>0.03</v>
      </c>
      <c r="R484" s="74"/>
      <c r="S484" s="74"/>
      <c r="T484" s="74"/>
      <c r="U484" s="74"/>
      <c r="V484" s="74">
        <f>коэффициенты!$G$11</f>
        <v>0.01</v>
      </c>
      <c r="W484" s="74"/>
      <c r="X484" s="74">
        <f>коэффициенты!$G$13</f>
        <v>0.01</v>
      </c>
      <c r="Y484" s="75"/>
      <c r="Z484" s="74"/>
      <c r="AA484" s="74"/>
      <c r="AB484" s="74"/>
      <c r="AC484" s="74"/>
      <c r="AD484" s="74">
        <f>коэффициенты!$G$19</f>
        <v>0.01</v>
      </c>
      <c r="AE484" s="74"/>
      <c r="AF484" s="74">
        <f>коэффициенты!$G$21</f>
        <v>0.01</v>
      </c>
      <c r="AG484" s="74"/>
      <c r="AH484" s="74"/>
      <c r="AI484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484" s="72">
        <f>VLOOKUP(наценкад5[[#This Row],[№]],ППД5[],COLUMN(ППД5[[#This Row],[утв цена м2]]),0)</f>
        <v>138224.76</v>
      </c>
      <c r="AK484" s="3">
        <f>наценкад5[[#This Row],[утв цена м2]]*наценкад5[[#This Row],[Расчетная проектная площадь]]</f>
        <v>5294008.3080000002</v>
      </c>
      <c r="AL484" s="22" t="str">
        <f>VLOOKUP(наценкад5[[#This Row],[№]],ППД5[],COLUMN('Реестр ОН'!$DF$1),0)</f>
        <v>Свободно</v>
      </c>
    </row>
    <row r="485" spans="1:38" hidden="1" x14ac:dyDescent="0.25">
      <c r="A485" s="101">
        <v>483</v>
      </c>
      <c r="B485" s="2" t="str">
        <f>_xlfn.XLOOKUP(наценкад5[[#This Row],[№]],ППД5[№],ППД5[Секция],"-",0)</f>
        <v>Г</v>
      </c>
      <c r="C485" s="2">
        <f>_xlfn.XLOOKUP(наценкад5[[#This Row],[№]],ППД5[№],ППД5[Этаж],"-",0)</f>
        <v>12</v>
      </c>
      <c r="D485" s="2">
        <f>_xlfn.XLOOKUP(наценкад5[[#This Row],[№]],ППД5[№],ППД5[№ на этаже],"-",0)</f>
        <v>7</v>
      </c>
      <c r="E485" s="2">
        <f>_xlfn.XLOOKUP(наценкад5[[#This Row],[№]],ППД5[№],ППД5[Тип кв],"-",0)</f>
        <v>3</v>
      </c>
      <c r="F485" s="72">
        <f>_xlfn.XLOOKUP(наценкад5[[#This Row],[№]],ППД5[№],ППД5[Кухня],"-",0)</f>
        <v>16.670000000000002</v>
      </c>
      <c r="G485" s="72">
        <f>_xlfn.XLOOKUP(наценкад5[[#This Row],[№]],ППД5[№],ППД5[Ванная],"-",0)</f>
        <v>4.1399999999999997</v>
      </c>
      <c r="H485" s="72">
        <f>_xlfn.XLOOKUP(наценкад5[[#This Row],[№]],ППД5[№],ППД5[Гардеробная],"-",0)</f>
        <v>0</v>
      </c>
      <c r="I485" s="72">
        <f>_xlfn.XLOOKUP(наценкад5[[#This Row],[№]],ППД5[№],ППД5[Лоджия 2],"-",0)</f>
        <v>2.79</v>
      </c>
      <c r="J485" s="72">
        <f>_xlfn.XLOOKUP(наценкад5[[#This Row],[№]],ППД5[№],ППД5[С\У],"-",0)</f>
        <v>1.89</v>
      </c>
      <c r="K485" s="72">
        <f>_xlfn.XLOOKUP(наценкад5[[#This Row],[№]],ППД5[№],ППД5[Расчетная проектная площадь],"-",0)</f>
        <v>79.44</v>
      </c>
      <c r="L485" s="12">
        <f t="shared" si="7"/>
        <v>63000</v>
      </c>
      <c r="M485" s="27">
        <f>коэффициенты!$E$2</f>
        <v>1.1330000000000002</v>
      </c>
      <c r="N485" s="13">
        <f>наценкад5[[#This Row],[Цена м2 базовая]]*наценкад5[[#This Row],[Базовой K]]</f>
        <v>71379.000000000015</v>
      </c>
      <c r="O485" s="74">
        <f>коэффициенты!$E$4</f>
        <v>0.03</v>
      </c>
      <c r="P485" s="74"/>
      <c r="Q485" s="74">
        <f>коэффициенты!$E$6</f>
        <v>0.01</v>
      </c>
      <c r="R485" s="74"/>
      <c r="S485" s="74">
        <f>коэффициенты!$E$9</f>
        <v>0</v>
      </c>
      <c r="T485" s="74">
        <f>коэффициенты!$E$7</f>
        <v>0</v>
      </c>
      <c r="U485" s="74">
        <f>коэффициенты!$E$8</f>
        <v>0.01</v>
      </c>
      <c r="V485" s="74"/>
      <c r="W485" s="75">
        <f>коэффициенты!$E$12</f>
        <v>0.02</v>
      </c>
      <c r="X485" s="74"/>
      <c r="Y485" s="75"/>
      <c r="Z485" s="74"/>
      <c r="AA485" s="74">
        <f>коэффициенты!$E$14</f>
        <v>0</v>
      </c>
      <c r="AB485" s="74"/>
      <c r="AC485" s="74">
        <f>коэффициенты!$E$18</f>
        <v>0.01</v>
      </c>
      <c r="AD485" s="74"/>
      <c r="AE485" s="74"/>
      <c r="AF485" s="74">
        <f>коэффициенты!$E$21</f>
        <v>0.01</v>
      </c>
      <c r="AG485" s="74"/>
      <c r="AH485" s="74"/>
      <c r="AI485" s="73">
        <f>SUM(наценкад5[[#This Row],[еврокухня]:[большая площадь]])*наценкад5[[#This Row],[Цена м2 с базовым K]]+наценкад5[[#This Row],[Цена м2 с базовым K]]</f>
        <v>77803.110000000015</v>
      </c>
      <c r="AJ485" s="72">
        <f>VLOOKUP(наценкад5[[#This Row],[№]],ППД5[],COLUMN(ППД5[[#This Row],[утв цена м2]]),0)</f>
        <v>92839.86</v>
      </c>
      <c r="AK485" s="3">
        <f>наценкад5[[#This Row],[утв цена м2]]*наценкад5[[#This Row],[Расчетная проектная площадь]]</f>
        <v>7375198.4783999994</v>
      </c>
      <c r="AL485" s="22" t="str">
        <f>VLOOKUP(наценкад5[[#This Row],[№]],ППД5[],COLUMN('Реестр ОН'!$DF$1),0)</f>
        <v>Продажа</v>
      </c>
    </row>
    <row r="486" spans="1:38" hidden="1" x14ac:dyDescent="0.25">
      <c r="A486" s="101">
        <v>484</v>
      </c>
      <c r="B486" s="2" t="str">
        <f>_xlfn.XLOOKUP(наценкад5[[#This Row],[№]],ППД5[№],ППД5[Секция],"-",0)</f>
        <v>Г</v>
      </c>
      <c r="C486" s="2">
        <f>_xlfn.XLOOKUP(наценкад5[[#This Row],[№]],ППД5[№],ППД5[Этаж],"-",0)</f>
        <v>12</v>
      </c>
      <c r="D486" s="2">
        <f>_xlfn.XLOOKUP(наценкад5[[#This Row],[№]],ППД5[№],ППД5[№ на этаже],"-",0)</f>
        <v>8</v>
      </c>
      <c r="E486" s="2">
        <f>_xlfn.XLOOKUP(наценкад5[[#This Row],[№]],ППД5[№],ППД5[Тип кв],"-",0)</f>
        <v>1</v>
      </c>
      <c r="F486" s="72">
        <f>_xlfn.XLOOKUP(наценкад5[[#This Row],[№]],ППД5[№],ППД5[Кухня],"-",0)</f>
        <v>11.43</v>
      </c>
      <c r="G486" s="72">
        <f>_xlfn.XLOOKUP(наценкад5[[#This Row],[№]],ППД5[№],ППД5[Ванная],"-",0)</f>
        <v>3.56</v>
      </c>
      <c r="H486" s="72">
        <f>_xlfn.XLOOKUP(наценкад5[[#This Row],[№]],ППД5[№],ППД5[Гардеробная],"-",0)</f>
        <v>0</v>
      </c>
      <c r="I486" s="72">
        <f>_xlfn.XLOOKUP(наценкад5[[#This Row],[№]],ППД5[№],ППД5[Лоджия 2],"-",0)</f>
        <v>0</v>
      </c>
      <c r="J486" s="72">
        <f>_xlfn.XLOOKUP(наценкад5[[#This Row],[№]],ППД5[№],ППД5[С\У],"-",0)</f>
        <v>0</v>
      </c>
      <c r="K486" s="72">
        <f>_xlfn.XLOOKUP(наценкад5[[#This Row],[№]],ППД5[№],ППД5[Расчетная проектная площадь],"-",0)</f>
        <v>39.69</v>
      </c>
      <c r="L486" s="12">
        <f t="shared" si="7"/>
        <v>63000</v>
      </c>
      <c r="M486" s="102">
        <f>коэффициенты!$G$2</f>
        <v>1.2875000000000001</v>
      </c>
      <c r="N486" s="13">
        <f>наценкад5[[#This Row],[Цена м2 базовая]]*наценкад5[[#This Row],[Базовой K]]</f>
        <v>81112.5</v>
      </c>
      <c r="O486" s="74"/>
      <c r="P486" s="76">
        <f>коэффициенты!$G$5</f>
        <v>0.01</v>
      </c>
      <c r="Q486" s="74"/>
      <c r="R486" s="74"/>
      <c r="S486" s="74"/>
      <c r="T486" s="74"/>
      <c r="U486" s="74"/>
      <c r="V486" s="74">
        <f>коэффициенты!$G$11</f>
        <v>0.01</v>
      </c>
      <c r="W486" s="75">
        <f>коэффициенты!$G$12</f>
        <v>0.02</v>
      </c>
      <c r="X486" s="74"/>
      <c r="Y486" s="75"/>
      <c r="Z486" s="74"/>
      <c r="AA486" s="74">
        <f>коэффициенты!$G$14</f>
        <v>0.01</v>
      </c>
      <c r="AB486" s="74"/>
      <c r="AC486" s="74"/>
      <c r="AD486" s="74">
        <f>коэффициенты!$G$19</f>
        <v>0.01</v>
      </c>
      <c r="AE486" s="74"/>
      <c r="AF486" s="74">
        <f>коэффициенты!$G$21</f>
        <v>0.01</v>
      </c>
      <c r="AG486" s="74">
        <f>коэффициенты!$A$24</f>
        <v>-5.0000000000000001E-3</v>
      </c>
      <c r="AH486" s="74"/>
      <c r="AI486" s="73">
        <f>SUM(наценкад5[[#This Row],[еврокухня]:[большая площадь]])*наценкад5[[#This Row],[Цена м2 с базовым K]]+наценкад5[[#This Row],[Цена м2 с базовым K]]</f>
        <v>86384.8125</v>
      </c>
      <c r="AJ486" s="72">
        <f>VLOOKUP(наценкад5[[#This Row],[№]],ППД5[],COLUMN(ППД5[[#This Row],[утв цена м2]]),0)</f>
        <v>97629.31</v>
      </c>
      <c r="AK486" s="3">
        <f>наценкад5[[#This Row],[утв цена м2]]*наценкад5[[#This Row],[Расчетная проектная площадь]]</f>
        <v>3874907.3138999995</v>
      </c>
      <c r="AL486" s="22" t="str">
        <f>VLOOKUP(наценкад5[[#This Row],[№]],ППД5[],COLUMN('Реестр ОН'!$DF$1),0)</f>
        <v>Продажа</v>
      </c>
    </row>
    <row r="487" spans="1:38" hidden="1" x14ac:dyDescent="0.25">
      <c r="A487" s="101">
        <v>485</v>
      </c>
      <c r="B487" s="2" t="str">
        <f>_xlfn.XLOOKUP(наценкад5[[#This Row],[№]],ППД5[№],ППД5[Секция],"-",0)</f>
        <v>Г</v>
      </c>
      <c r="C487" s="2">
        <f>_xlfn.XLOOKUP(наценкад5[[#This Row],[№]],ППД5[№],ППД5[Этаж],"-",0)</f>
        <v>13</v>
      </c>
      <c r="D487" s="2">
        <f>_xlfn.XLOOKUP(наценкад5[[#This Row],[№]],ППД5[№],ППД5[№ на этаже],"-",0)</f>
        <v>1</v>
      </c>
      <c r="E487" s="2">
        <f>_xlfn.XLOOKUP(наценкад5[[#This Row],[№]],ППД5[№],ППД5[Тип кв],"-",0)</f>
        <v>0</v>
      </c>
      <c r="F487" s="72">
        <f>_xlfn.XLOOKUP(наценкад5[[#This Row],[№]],ППД5[№],ППД5[Кухня],"-",0)</f>
        <v>5.84</v>
      </c>
      <c r="G487" s="72">
        <f>_xlfn.XLOOKUP(наценкад5[[#This Row],[№]],ППД5[№],ППД5[Ванная],"-",0)</f>
        <v>3.76</v>
      </c>
      <c r="H487" s="72">
        <f>_xlfn.XLOOKUP(наценкад5[[#This Row],[№]],ППД5[№],ППД5[Гардеробная],"-",0)</f>
        <v>0</v>
      </c>
      <c r="I487" s="72">
        <f>_xlfn.XLOOKUP(наценкад5[[#This Row],[№]],ППД5[№],ППД5[Лоджия 2],"-",0)</f>
        <v>0</v>
      </c>
      <c r="J487" s="72">
        <f>_xlfn.XLOOKUP(наценкад5[[#This Row],[№]],ППД5[№],ППД5[С\У],"-",0)</f>
        <v>0</v>
      </c>
      <c r="K487" s="72">
        <f>_xlfn.XLOOKUP(наценкад5[[#This Row],[№]],ППД5[№],ППД5[Расчетная проектная площадь],"-",0)</f>
        <v>29.4</v>
      </c>
      <c r="L487" s="12">
        <f t="shared" si="7"/>
        <v>63000</v>
      </c>
      <c r="M487" s="116">
        <f>коэффициенты!$H$2</f>
        <v>1.3905000000000001</v>
      </c>
      <c r="N487" s="13">
        <f>наценкад5[[#This Row],[Цена м2 базовая]]*наценкад5[[#This Row],[Базовой K]]</f>
        <v>87601.5</v>
      </c>
      <c r="O487" s="74"/>
      <c r="P487" s="74"/>
      <c r="Q487" s="74"/>
      <c r="R487" s="74"/>
      <c r="S487" s="74"/>
      <c r="T487" s="74"/>
      <c r="U487" s="74"/>
      <c r="V487" s="74"/>
      <c r="W487" s="74"/>
      <c r="X487" s="74"/>
      <c r="Y487" s="75"/>
      <c r="Z487" s="74"/>
      <c r="AA487" s="74"/>
      <c r="AB487" s="74"/>
      <c r="AC487" s="74"/>
      <c r="AD487" s="74">
        <f>коэффициенты!$H$19</f>
        <v>0.01</v>
      </c>
      <c r="AE487" s="74"/>
      <c r="AF487" s="74">
        <f>коэффициенты!$H$21</f>
        <v>0.01</v>
      </c>
      <c r="AG487" s="74"/>
      <c r="AH487" s="74"/>
      <c r="AI487" s="73">
        <f>SUM(наценкад5[[#This Row],[еврокухня]:[большая площадь]])*наценкад5[[#This Row],[Цена м2 с базовым K]]+наценкад5[[#This Row],[Цена м2 с базовым K]]</f>
        <v>89353.53</v>
      </c>
      <c r="AJ487" s="72">
        <f>VLOOKUP(наценкад5[[#This Row],[№]],ППД5[],COLUMN(ППД5[[#This Row],[утв цена м2]]),0)</f>
        <v>89353.53</v>
      </c>
      <c r="AK487" s="3">
        <f>наценкад5[[#This Row],[утв цена м2]]*наценкад5[[#This Row],[Расчетная проектная площадь]]</f>
        <v>2626993.7819999997</v>
      </c>
      <c r="AL487" s="22" t="str">
        <f>VLOOKUP(наценкад5[[#This Row],[№]],ППД5[],COLUMN('Реестр ОН'!$DF$1),0)</f>
        <v>Продажа</v>
      </c>
    </row>
    <row r="488" spans="1:38" hidden="1" x14ac:dyDescent="0.25">
      <c r="A488" s="101">
        <v>486</v>
      </c>
      <c r="B488" s="2" t="str">
        <f>_xlfn.XLOOKUP(наценкад5[[#This Row],[№]],ППД5[№],ППД5[Секция],"-",0)</f>
        <v>Г</v>
      </c>
      <c r="C488" s="2">
        <f>_xlfn.XLOOKUP(наценкад5[[#This Row],[№]],ППД5[№],ППД5[Этаж],"-",0)</f>
        <v>13</v>
      </c>
      <c r="D488" s="2">
        <f>_xlfn.XLOOKUP(наценкад5[[#This Row],[№]],ППД5[№],ППД5[№ на этаже],"-",0)</f>
        <v>2</v>
      </c>
      <c r="E488" s="2">
        <f>_xlfn.XLOOKUP(наценкад5[[#This Row],[№]],ППД5[№],ППД5[Тип кв],"-",0)</f>
        <v>1</v>
      </c>
      <c r="F488" s="72">
        <f>_xlfn.XLOOKUP(наценкад5[[#This Row],[№]],ППД5[№],ППД5[Кухня],"-",0)</f>
        <v>16.940000000000001</v>
      </c>
      <c r="G488" s="72">
        <f>_xlfn.XLOOKUP(наценкад5[[#This Row],[№]],ППД5[№],ППД5[Ванная],"-",0)</f>
        <v>3.55</v>
      </c>
      <c r="H488" s="72">
        <f>_xlfn.XLOOKUP(наценкад5[[#This Row],[№]],ППД5[№],ППД5[Гардеробная],"-",0)</f>
        <v>0</v>
      </c>
      <c r="I488" s="72">
        <f>_xlfn.XLOOKUP(наценкад5[[#This Row],[№]],ППД5[№],ППД5[Лоджия 2],"-",0)</f>
        <v>0</v>
      </c>
      <c r="J488" s="72">
        <f>_xlfn.XLOOKUP(наценкад5[[#This Row],[№]],ППД5[№],ППД5[С\У],"-",0)</f>
        <v>2.41</v>
      </c>
      <c r="K488" s="72">
        <f>_xlfn.XLOOKUP(наценкад5[[#This Row],[№]],ППД5[№],ППД5[Расчетная проектная площадь],"-",0)</f>
        <v>43.21</v>
      </c>
      <c r="L488" s="12">
        <f t="shared" si="7"/>
        <v>63000</v>
      </c>
      <c r="M488" s="102">
        <f>коэффициенты!$G$2</f>
        <v>1.2875000000000001</v>
      </c>
      <c r="N488" s="13">
        <f>наценкад5[[#This Row],[Цена м2 базовая]]*наценкад5[[#This Row],[Базовой K]]</f>
        <v>81112.5</v>
      </c>
      <c r="O488" s="76">
        <f>коэффициенты!$G$4</f>
        <v>0.02</v>
      </c>
      <c r="P488" s="74"/>
      <c r="Q488" s="74"/>
      <c r="R488" s="74">
        <f>коэффициенты!$G$10</f>
        <v>0.01</v>
      </c>
      <c r="S488" s="74">
        <f>коэффициенты!$G$9</f>
        <v>0</v>
      </c>
      <c r="T488" s="74"/>
      <c r="U488" s="74"/>
      <c r="V488" s="74"/>
      <c r="W488" s="74"/>
      <c r="X488" s="74"/>
      <c r="Y488" s="75"/>
      <c r="Z488" s="74"/>
      <c r="AA488" s="74"/>
      <c r="AB488" s="74"/>
      <c r="AC488" s="74"/>
      <c r="AD488" s="74">
        <f>коэффициенты!$G$19</f>
        <v>0.01</v>
      </c>
      <c r="AE488" s="74"/>
      <c r="AF488" s="74">
        <f>коэффициенты!$G$21</f>
        <v>0.01</v>
      </c>
      <c r="AG488" s="74"/>
      <c r="AH488" s="74"/>
      <c r="AI488" s="73">
        <f>SUM(наценкад5[[#This Row],[еврокухня]:[большая площадь]])*наценкад5[[#This Row],[Цена м2 с базовым K]]+наценкад5[[#This Row],[Цена м2 с базовым K]]</f>
        <v>85168.125</v>
      </c>
      <c r="AJ488" s="72">
        <f>VLOOKUP(наценкад5[[#This Row],[№]],ППД5[],COLUMN(ППД5[[#This Row],[утв цена м2]]),0)</f>
        <v>110978.23</v>
      </c>
      <c r="AK488" s="3">
        <f>наценкад5[[#This Row],[утв цена м2]]*наценкад5[[#This Row],[Расчетная проектная площадь]]</f>
        <v>4795369.3182999995</v>
      </c>
      <c r="AL488" s="22" t="str">
        <f>VLOOKUP(наценкад5[[#This Row],[№]],ППД5[],COLUMN('Реестр ОН'!$DF$1),0)</f>
        <v>Продажа</v>
      </c>
    </row>
    <row r="489" spans="1:38" hidden="1" x14ac:dyDescent="0.25">
      <c r="A489" s="101">
        <v>487</v>
      </c>
      <c r="B489" s="2" t="str">
        <f>_xlfn.XLOOKUP(наценкад5[[#This Row],[№]],ППД5[№],ППД5[Секция],"-",0)</f>
        <v>Г</v>
      </c>
      <c r="C489" s="2">
        <f>_xlfn.XLOOKUP(наценкад5[[#This Row],[№]],ППД5[№],ППД5[Этаж],"-",0)</f>
        <v>13</v>
      </c>
      <c r="D489" s="2">
        <f>_xlfn.XLOOKUP(наценкад5[[#This Row],[№]],ППД5[№],ППД5[№ на этаже],"-",0)</f>
        <v>3</v>
      </c>
      <c r="E489" s="2">
        <f>_xlfn.XLOOKUP(наценкад5[[#This Row],[№]],ППД5[№],ППД5[Тип кв],"-",0)</f>
        <v>0</v>
      </c>
      <c r="F489" s="72">
        <f>_xlfn.XLOOKUP(наценкад5[[#This Row],[№]],ППД5[№],ППД5[Кухня],"-",0)</f>
        <v>5.17</v>
      </c>
      <c r="G489" s="72">
        <f>_xlfn.XLOOKUP(наценкад5[[#This Row],[№]],ППД5[№],ППД5[Ванная],"-",0)</f>
        <v>3.71</v>
      </c>
      <c r="H489" s="72">
        <f>_xlfn.XLOOKUP(наценкад5[[#This Row],[№]],ППД5[№],ППД5[Гардеробная],"-",0)</f>
        <v>0</v>
      </c>
      <c r="I489" s="72">
        <f>_xlfn.XLOOKUP(наценкад5[[#This Row],[№]],ППД5[№],ППД5[Лоджия 2],"-",0)</f>
        <v>0</v>
      </c>
      <c r="J489" s="72">
        <f>_xlfn.XLOOKUP(наценкад5[[#This Row],[№]],ППД5[№],ППД5[С\У],"-",0)</f>
        <v>0</v>
      </c>
      <c r="K489" s="72">
        <f>_xlfn.XLOOKUP(наценкад5[[#This Row],[№]],ППД5[№],ППД5[Расчетная проектная площадь],"-",0)</f>
        <v>24.5</v>
      </c>
      <c r="L489" s="12">
        <f t="shared" si="7"/>
        <v>63000</v>
      </c>
      <c r="M489" s="116">
        <f>коэффициенты!$H$2</f>
        <v>1.3905000000000001</v>
      </c>
      <c r="N489" s="13">
        <f>наценкад5[[#This Row],[Цена м2 базовая]]*наценкад5[[#This Row],[Базовой K]]</f>
        <v>87601.5</v>
      </c>
      <c r="O489" s="74"/>
      <c r="P489" s="74"/>
      <c r="Q489" s="74"/>
      <c r="R489" s="74"/>
      <c r="S489" s="74"/>
      <c r="T489" s="74"/>
      <c r="U489" s="74"/>
      <c r="V489" s="74">
        <f>коэффициенты!$H$11</f>
        <v>0.01</v>
      </c>
      <c r="W489" s="74"/>
      <c r="X489" s="74">
        <f>коэффициенты!$H$13</f>
        <v>0.01</v>
      </c>
      <c r="Y489" s="75"/>
      <c r="Z489" s="74"/>
      <c r="AA489" s="74"/>
      <c r="AB489" s="74"/>
      <c r="AC489" s="74"/>
      <c r="AD489" s="74">
        <f>коэффициенты!$H$19</f>
        <v>0.01</v>
      </c>
      <c r="AE489" s="74"/>
      <c r="AF489" s="74">
        <f>коэффициенты!$H$21</f>
        <v>0.01</v>
      </c>
      <c r="AG489" s="74"/>
      <c r="AH489" s="74"/>
      <c r="AI489" s="73">
        <f>SUM(наценкад5[[#This Row],[еврокухня]:[большая площадь]])*наценкад5[[#This Row],[Цена м2 с базовым K]]+наценкад5[[#This Row],[Цена м2 с базовым K]]</f>
        <v>91105.56</v>
      </c>
      <c r="AJ489" s="72">
        <f>VLOOKUP(наценкад5[[#This Row],[№]],ППД5[],COLUMN(ППД5[[#This Row],[утв цена м2]]),0)</f>
        <v>135000</v>
      </c>
      <c r="AK489" s="3">
        <f>наценкад5[[#This Row],[утв цена м2]]*наценкад5[[#This Row],[Расчетная проектная площадь]]</f>
        <v>3307500</v>
      </c>
      <c r="AL489" s="22" t="str">
        <f>VLOOKUP(наценкад5[[#This Row],[№]],ППД5[],COLUMN('Реестр ОН'!$DF$1),0)</f>
        <v>Продажа</v>
      </c>
    </row>
    <row r="490" spans="1:38" hidden="1" x14ac:dyDescent="0.25">
      <c r="A490" s="101">
        <v>488</v>
      </c>
      <c r="B490" s="2" t="str">
        <f>_xlfn.XLOOKUP(наценкад5[[#This Row],[№]],ППД5[№],ППД5[Секция],"-",0)</f>
        <v>Г</v>
      </c>
      <c r="C490" s="2">
        <f>_xlfn.XLOOKUP(наценкад5[[#This Row],[№]],ППД5[№],ППД5[Этаж],"-",0)</f>
        <v>13</v>
      </c>
      <c r="D490" s="2">
        <f>_xlfn.XLOOKUP(наценкад5[[#This Row],[№]],ППД5[№],ППД5[№ на этаже],"-",0)</f>
        <v>4</v>
      </c>
      <c r="E490" s="2">
        <f>_xlfn.XLOOKUP(наценкад5[[#This Row],[№]],ППД5[№],ППД5[Тип кв],"-",0)</f>
        <v>2</v>
      </c>
      <c r="F490" s="72">
        <f>_xlfn.XLOOKUP(наценкад5[[#This Row],[№]],ППД5[№],ППД5[Кухня],"-",0)</f>
        <v>15.86</v>
      </c>
      <c r="G490" s="72">
        <f>_xlfn.XLOOKUP(наценкад5[[#This Row],[№]],ППД5[№],ППД5[Ванная],"-",0)</f>
        <v>3.01</v>
      </c>
      <c r="H490" s="72">
        <f>_xlfn.XLOOKUP(наценкад5[[#This Row],[№]],ППД5[№],ППД5[Гардеробная],"-",0)</f>
        <v>0</v>
      </c>
      <c r="I490" s="72">
        <f>_xlfn.XLOOKUP(наценкад5[[#This Row],[№]],ППД5[№],ППД5[Лоджия 2],"-",0)</f>
        <v>0</v>
      </c>
      <c r="J490" s="72">
        <f>_xlfn.XLOOKUP(наценкад5[[#This Row],[№]],ППД5[№],ППД5[С\У],"-",0)</f>
        <v>2.67</v>
      </c>
      <c r="K490" s="72">
        <f>_xlfn.XLOOKUP(наценкад5[[#This Row],[№]],ППД5[№],ППД5[Расчетная проектная площадь],"-",0)</f>
        <v>58.24</v>
      </c>
      <c r="L490" s="12">
        <f t="shared" si="7"/>
        <v>63000</v>
      </c>
      <c r="M490" s="102">
        <f>коэффициенты!$F$2</f>
        <v>1.2257</v>
      </c>
      <c r="N490" s="13">
        <f>наценкад5[[#This Row],[Цена м2 базовая]]*наценкад5[[#This Row],[Базовой K]]</f>
        <v>77219.100000000006</v>
      </c>
      <c r="O490" s="76">
        <f>коэффициенты!$F$4</f>
        <v>1.4999999999999999E-2</v>
      </c>
      <c r="P490" s="74"/>
      <c r="Q490" s="76"/>
      <c r="R490" s="76">
        <f>коэффициенты!$F$10</f>
        <v>0</v>
      </c>
      <c r="S490" s="76">
        <f>коэффициенты!$F$9</f>
        <v>0</v>
      </c>
      <c r="T490" s="74"/>
      <c r="U490" s="74"/>
      <c r="V490" s="74"/>
      <c r="W490" s="74"/>
      <c r="X490" s="74"/>
      <c r="Y490" s="75"/>
      <c r="Z490" s="74"/>
      <c r="AA490" s="74"/>
      <c r="AB490" s="74"/>
      <c r="AC490" s="74"/>
      <c r="AD490" s="74">
        <f>коэффициенты!$F$19</f>
        <v>5.0000000000000001E-3</v>
      </c>
      <c r="AE490" s="74"/>
      <c r="AF490" s="74">
        <f>коэффициенты!$F$21</f>
        <v>0.01</v>
      </c>
      <c r="AG490" s="74"/>
      <c r="AH490" s="74"/>
      <c r="AI490" s="73">
        <f>SUM(наценкад5[[#This Row],[еврокухня]:[большая площадь]])*наценкад5[[#This Row],[Цена м2 с базовым K]]+наценкад5[[#This Row],[Цена м2 с базовым K]]</f>
        <v>79535.67300000001</v>
      </c>
      <c r="AJ490" s="72">
        <f>VLOOKUP(наценкад5[[#This Row],[№]],ППД5[],COLUMN(ППД5[[#This Row],[утв цена м2]]),0)</f>
        <v>94907.27</v>
      </c>
      <c r="AK490" s="3">
        <f>наценкад5[[#This Row],[утв цена м2]]*наценкад5[[#This Row],[Расчетная проектная площадь]]</f>
        <v>5527399.4048000006</v>
      </c>
      <c r="AL490" s="22" t="str">
        <f>VLOOKUP(наценкад5[[#This Row],[№]],ППД5[],COLUMN('Реестр ОН'!$DF$1),0)</f>
        <v>Продажа</v>
      </c>
    </row>
    <row r="491" spans="1:38" hidden="1" x14ac:dyDescent="0.25">
      <c r="A491" s="101">
        <v>489</v>
      </c>
      <c r="B491" s="2" t="str">
        <f>_xlfn.XLOOKUP(наценкад5[[#This Row],[№]],ППД5[№],ППД5[Секция],"-",0)</f>
        <v>Г</v>
      </c>
      <c r="C491" s="2">
        <f>_xlfn.XLOOKUP(наценкад5[[#This Row],[№]],ППД5[№],ППД5[Этаж],"-",0)</f>
        <v>13</v>
      </c>
      <c r="D491" s="2">
        <f>_xlfn.XLOOKUP(наценкад5[[#This Row],[№]],ППД5[№],ППД5[№ на этаже],"-",0)</f>
        <v>5</v>
      </c>
      <c r="E491" s="2">
        <f>_xlfn.XLOOKUP(наценкад5[[#This Row],[№]],ППД5[№],ППД5[Тип кв],"-",0)</f>
        <v>2</v>
      </c>
      <c r="F491" s="3">
        <f>_xlfn.XLOOKUP(наценкад5[[#This Row],[№]],ППД5[№],ППД5[Кухня],"-",0)</f>
        <v>13.45</v>
      </c>
      <c r="G491" s="72">
        <f>_xlfn.XLOOKUP(наценкад5[[#This Row],[№]],ППД5[№],ППД5[Ванная],"-",0)</f>
        <v>3.7</v>
      </c>
      <c r="H491" s="72">
        <f>_xlfn.XLOOKUP(наценкад5[[#This Row],[№]],ППД5[№],ППД5[Гардеробная],"-",0)</f>
        <v>0</v>
      </c>
      <c r="I491" s="72">
        <f>_xlfn.XLOOKUP(наценкад5[[#This Row],[№]],ППД5[№],ППД5[Лоджия 2],"-",0)</f>
        <v>0</v>
      </c>
      <c r="J491" s="72">
        <f>_xlfn.XLOOKUP(наценкад5[[#This Row],[№]],ППД5[№],ППД5[С\У],"-",0)</f>
        <v>2.72</v>
      </c>
      <c r="K491" s="72">
        <f>_xlfn.XLOOKUP(наценкад5[[#This Row],[№]],ППД5[№],ППД5[Расчетная проектная площадь],"-",0)</f>
        <v>57.8</v>
      </c>
      <c r="L491" s="12">
        <f t="shared" si="7"/>
        <v>63000</v>
      </c>
      <c r="M491" s="102">
        <f>коэффициенты!$F$2</f>
        <v>1.2257</v>
      </c>
      <c r="N491" s="13">
        <f>наценкад5[[#This Row],[Цена м2 базовая]]*наценкад5[[#This Row],[Базовой K]]</f>
        <v>77219.100000000006</v>
      </c>
      <c r="O491" s="74"/>
      <c r="P491" s="74">
        <f>коэффициенты!$F$5</f>
        <v>0.01</v>
      </c>
      <c r="Q491" s="76"/>
      <c r="R491" s="76"/>
      <c r="S491" s="76">
        <f>коэффициенты!$F$9</f>
        <v>0</v>
      </c>
      <c r="T491" s="74"/>
      <c r="U491" s="74"/>
      <c r="V491" s="74"/>
      <c r="W491" s="75"/>
      <c r="X491" s="74"/>
      <c r="Y491" s="75"/>
      <c r="Z491" s="74"/>
      <c r="AA491" s="74"/>
      <c r="AB491" s="74"/>
      <c r="AC491" s="74"/>
      <c r="AD491" s="74">
        <f>коэффициенты!$F$19</f>
        <v>5.0000000000000001E-3</v>
      </c>
      <c r="AE491" s="74"/>
      <c r="AF491" s="74">
        <f>коэффициенты!$F$21</f>
        <v>0.01</v>
      </c>
      <c r="AG491" s="74"/>
      <c r="AH491" s="74"/>
      <c r="AI491" s="73">
        <f>SUM(наценкад5[[#This Row],[еврокухня]:[большая площадь]])*наценкад5[[#This Row],[Цена м2 с базовым K]]+наценкад5[[#This Row],[Цена м2 с базовым K]]</f>
        <v>79149.577499999999</v>
      </c>
      <c r="AJ491" s="72">
        <f>VLOOKUP(наценкад5[[#This Row],[№]],ППД5[],COLUMN(ППД5[[#This Row],[утв цена м2]]),0)</f>
        <v>85600.27</v>
      </c>
      <c r="AK491" s="3">
        <f>наценкад5[[#This Row],[утв цена м2]]*наценкад5[[#This Row],[Расчетная проектная площадь]]</f>
        <v>4947695.6059999997</v>
      </c>
      <c r="AL491" s="22" t="str">
        <f>VLOOKUP(наценкад5[[#This Row],[№]],ППД5[],COLUMN('Реестр ОН'!$DF$1),0)</f>
        <v>Продажа</v>
      </c>
    </row>
    <row r="492" spans="1:38" hidden="1" x14ac:dyDescent="0.25">
      <c r="A492" s="101">
        <v>490</v>
      </c>
      <c r="B492" s="2" t="str">
        <f>_xlfn.XLOOKUP(наценкад5[[#This Row],[№]],ППД5[№],ППД5[Секция],"-",0)</f>
        <v>Г</v>
      </c>
      <c r="C492" s="2">
        <f>_xlfn.XLOOKUP(наценкад5[[#This Row],[№]],ППД5[№],ППД5[Этаж],"-",0)</f>
        <v>13</v>
      </c>
      <c r="D492" s="2">
        <f>_xlfn.XLOOKUP(наценкад5[[#This Row],[№]],ППД5[№],ППД5[№ на этаже],"-",0)</f>
        <v>6</v>
      </c>
      <c r="E492" s="2">
        <f>_xlfn.XLOOKUP(наценкад5[[#This Row],[№]],ППД5[№],ППД5[Тип кв],"-",0)</f>
        <v>1</v>
      </c>
      <c r="F492" s="72">
        <f>_xlfn.XLOOKUP(наценкад5[[#This Row],[№]],ППД5[№],ППД5[Кухня],"-",0)</f>
        <v>12.55</v>
      </c>
      <c r="G492" s="72">
        <f>_xlfn.XLOOKUP(наценкад5[[#This Row],[№]],ППД5[№],ППД5[Ванная],"-",0)</f>
        <v>4.28</v>
      </c>
      <c r="H492" s="72">
        <f>_xlfn.XLOOKUP(наценкад5[[#This Row],[№]],ППД5[№],ППД5[Гардеробная],"-",0)</f>
        <v>0</v>
      </c>
      <c r="I492" s="72">
        <f>_xlfn.XLOOKUP(наценкад5[[#This Row],[№]],ППД5[№],ППД5[Лоджия 2],"-",0)</f>
        <v>0</v>
      </c>
      <c r="J492" s="72">
        <f>_xlfn.XLOOKUP(наценкад5[[#This Row],[№]],ППД5[№],ППД5[С\У],"-",0)</f>
        <v>0</v>
      </c>
      <c r="K492" s="72">
        <f>_xlfn.XLOOKUP(наценкад5[[#This Row],[№]],ППД5[№],ППД5[Расчетная проектная площадь],"-",0)</f>
        <v>38.299999999999997</v>
      </c>
      <c r="L492" s="12">
        <f t="shared" si="7"/>
        <v>63000</v>
      </c>
      <c r="M492" s="102">
        <f>коэффициенты!$G$2</f>
        <v>1.2875000000000001</v>
      </c>
      <c r="N492" s="13">
        <f>наценкад5[[#This Row],[Цена м2 базовая]]*наценкад5[[#This Row],[Базовой K]]</f>
        <v>81112.5</v>
      </c>
      <c r="O492" s="74"/>
      <c r="P492" s="76">
        <f>коэффициенты!$G$5</f>
        <v>0.01</v>
      </c>
      <c r="Q492" s="74">
        <f>коэффициенты!$G$6</f>
        <v>0.03</v>
      </c>
      <c r="R492" s="74"/>
      <c r="S492" s="74"/>
      <c r="T492" s="74"/>
      <c r="U492" s="74"/>
      <c r="V492" s="74">
        <f>коэффициенты!$G$11</f>
        <v>0.01</v>
      </c>
      <c r="W492" s="75"/>
      <c r="X492" s="74">
        <f>коэффициенты!$G$13</f>
        <v>0.01</v>
      </c>
      <c r="Y492" s="75"/>
      <c r="Z492" s="74"/>
      <c r="AA492" s="74"/>
      <c r="AB492" s="74"/>
      <c r="AC492" s="74"/>
      <c r="AD492" s="74">
        <f>коэффициенты!$G$19</f>
        <v>0.01</v>
      </c>
      <c r="AE492" s="74"/>
      <c r="AF492" s="74">
        <f>коэффициенты!$G$21</f>
        <v>0.01</v>
      </c>
      <c r="AG492" s="74"/>
      <c r="AH492" s="74"/>
      <c r="AI492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492" s="72">
        <f>VLOOKUP(наценкад5[[#This Row],[№]],ППД5[],COLUMN(ППД5[[#This Row],[утв цена м2]]),0)</f>
        <v>138224.76</v>
      </c>
      <c r="AK492" s="3">
        <f>наценкад5[[#This Row],[утв цена м2]]*наценкад5[[#This Row],[Расчетная проектная площадь]]</f>
        <v>5294008.3080000002</v>
      </c>
      <c r="AL492" s="22" t="str">
        <f>VLOOKUP(наценкад5[[#This Row],[№]],ППД5[],COLUMN('Реестр ОН'!$DF$1),0)</f>
        <v>Свободно</v>
      </c>
    </row>
    <row r="493" spans="1:38" hidden="1" x14ac:dyDescent="0.25">
      <c r="A493" s="101">
        <v>491</v>
      </c>
      <c r="B493" s="2" t="str">
        <f>_xlfn.XLOOKUP(наценкад5[[#This Row],[№]],ППД5[№],ППД5[Секция],"-",0)</f>
        <v>Г</v>
      </c>
      <c r="C493" s="2">
        <f>_xlfn.XLOOKUP(наценкад5[[#This Row],[№]],ППД5[№],ППД5[Этаж],"-",0)</f>
        <v>13</v>
      </c>
      <c r="D493" s="2">
        <f>_xlfn.XLOOKUP(наценкад5[[#This Row],[№]],ППД5[№],ППД5[№ на этаже],"-",0)</f>
        <v>7</v>
      </c>
      <c r="E493" s="2">
        <f>_xlfn.XLOOKUP(наценкад5[[#This Row],[№]],ППД5[№],ППД5[Тип кв],"-",0)</f>
        <v>3</v>
      </c>
      <c r="F493" s="72">
        <f>_xlfn.XLOOKUP(наценкад5[[#This Row],[№]],ППД5[№],ППД5[Кухня],"-",0)</f>
        <v>16.670000000000002</v>
      </c>
      <c r="G493" s="72">
        <f>_xlfn.XLOOKUP(наценкад5[[#This Row],[№]],ППД5[№],ППД5[Ванная],"-",0)</f>
        <v>4.1399999999999997</v>
      </c>
      <c r="H493" s="72">
        <f>_xlfn.XLOOKUP(наценкад5[[#This Row],[№]],ППД5[№],ППД5[Гардеробная],"-",0)</f>
        <v>0</v>
      </c>
      <c r="I493" s="72">
        <f>_xlfn.XLOOKUP(наценкад5[[#This Row],[№]],ППД5[№],ППД5[Лоджия 2],"-",0)</f>
        <v>2.79</v>
      </c>
      <c r="J493" s="72">
        <f>_xlfn.XLOOKUP(наценкад5[[#This Row],[№]],ППД5[№],ППД5[С\У],"-",0)</f>
        <v>1.89</v>
      </c>
      <c r="K493" s="72">
        <f>_xlfn.XLOOKUP(наценкад5[[#This Row],[№]],ППД5[№],ППД5[Расчетная проектная площадь],"-",0)</f>
        <v>79.44</v>
      </c>
      <c r="L493" s="12">
        <f t="shared" si="7"/>
        <v>63000</v>
      </c>
      <c r="M493" s="27">
        <f>коэффициенты!$E$2</f>
        <v>1.1330000000000002</v>
      </c>
      <c r="N493" s="13">
        <f>наценкад5[[#This Row],[Цена м2 базовая]]*наценкад5[[#This Row],[Базовой K]]</f>
        <v>71379.000000000015</v>
      </c>
      <c r="O493" s="74">
        <f>коэффициенты!$E$4</f>
        <v>0.03</v>
      </c>
      <c r="P493" s="74"/>
      <c r="Q493" s="74">
        <f>коэффициенты!$E$6</f>
        <v>0.01</v>
      </c>
      <c r="R493" s="74"/>
      <c r="S493" s="74">
        <f>коэффициенты!$E$9</f>
        <v>0</v>
      </c>
      <c r="T493" s="74">
        <f>коэффициенты!$E$7</f>
        <v>0</v>
      </c>
      <c r="U493" s="74">
        <f>коэффициенты!$E$8</f>
        <v>0.01</v>
      </c>
      <c r="V493" s="74"/>
      <c r="W493" s="75"/>
      <c r="X493" s="74"/>
      <c r="Y493" s="75"/>
      <c r="Z493" s="74"/>
      <c r="AA493" s="74">
        <f>коэффициенты!$E$14</f>
        <v>0</v>
      </c>
      <c r="AB493" s="74"/>
      <c r="AC493" s="74">
        <f>коэффициенты!$E$18</f>
        <v>0.01</v>
      </c>
      <c r="AD493" s="74"/>
      <c r="AE493" s="74"/>
      <c r="AF493" s="74">
        <f>коэффициенты!$E$21</f>
        <v>0.01</v>
      </c>
      <c r="AG493" s="74"/>
      <c r="AH493" s="74"/>
      <c r="AI493" s="73">
        <f>SUM(наценкад5[[#This Row],[еврокухня]:[большая площадь]])*наценкад5[[#This Row],[Цена м2 с базовым K]]+наценкад5[[#This Row],[Цена м2 с базовым K]]</f>
        <v>76375.530000000013</v>
      </c>
      <c r="AJ493" s="72">
        <f>VLOOKUP(наценкад5[[#This Row],[№]],ППД5[],COLUMN(ППД5[[#This Row],[утв цена м2]]),0)</f>
        <v>82600.14</v>
      </c>
      <c r="AK493" s="3">
        <f>наценкад5[[#This Row],[утв цена м2]]*наценкад5[[#This Row],[Расчетная проектная площадь]]</f>
        <v>6561755.1216000002</v>
      </c>
      <c r="AL493" s="22" t="str">
        <f>VLOOKUP(наценкад5[[#This Row],[№]],ППД5[],COLUMN('Реестр ОН'!$DF$1),0)</f>
        <v>Продажа</v>
      </c>
    </row>
    <row r="494" spans="1:38" hidden="1" x14ac:dyDescent="0.25">
      <c r="A494" s="198">
        <v>492</v>
      </c>
      <c r="B494" s="247" t="str">
        <f>_xlfn.XLOOKUP(наценкад5[[#This Row],[№]],ППД5[№],ППД5[Секция],"-",0)</f>
        <v>Г</v>
      </c>
      <c r="C494" s="247">
        <f>_xlfn.XLOOKUP(наценкад5[[#This Row],[№]],ППД5[№],ППД5[Этаж],"-",0)</f>
        <v>13</v>
      </c>
      <c r="D494" s="247">
        <f>_xlfn.XLOOKUP(наценкад5[[#This Row],[№]],ППД5[№],ППД5[№ на этаже],"-",0)</f>
        <v>8</v>
      </c>
      <c r="E494" s="247">
        <f>_xlfn.XLOOKUP(наценкад5[[#This Row],[№]],ППД5[№],ППД5[Тип кв],"-",0)</f>
        <v>1</v>
      </c>
      <c r="F494" s="249">
        <f>_xlfn.XLOOKUP(наценкад5[[#This Row],[№]],ППД5[№],ППД5[Кухня],"-",0)</f>
        <v>11.43</v>
      </c>
      <c r="G494" s="249">
        <f>_xlfn.XLOOKUP(наценкад5[[#This Row],[№]],ППД5[№],ППД5[Ванная],"-",0)</f>
        <v>3.56</v>
      </c>
      <c r="H494" s="249">
        <f>_xlfn.XLOOKUP(наценкад5[[#This Row],[№]],ППД5[№],ППД5[Гардеробная],"-",0)</f>
        <v>0</v>
      </c>
      <c r="I494" s="249">
        <f>_xlfn.XLOOKUP(наценкад5[[#This Row],[№]],ППД5[№],ППД5[Лоджия 2],"-",0)</f>
        <v>0</v>
      </c>
      <c r="J494" s="249">
        <f>_xlfn.XLOOKUP(наценкад5[[#This Row],[№]],ППД5[№],ППД5[С\У],"-",0)</f>
        <v>0</v>
      </c>
      <c r="K494" s="249">
        <f>_xlfn.XLOOKUP(наценкад5[[#This Row],[№]],ППД5[№],ППД5[Расчетная проектная площадь],"-",0)</f>
        <v>39.69</v>
      </c>
      <c r="L494" s="250">
        <f t="shared" si="7"/>
        <v>63000</v>
      </c>
      <c r="M494" s="251">
        <f>коэффициенты!$G$2</f>
        <v>1.2875000000000001</v>
      </c>
      <c r="N494" s="252">
        <f>наценкад5[[#This Row],[Цена м2 базовая]]*наценкад5[[#This Row],[Базовой K]]</f>
        <v>81112.5</v>
      </c>
      <c r="O494" s="253"/>
      <c r="P494" s="253">
        <f>коэффициенты!$G$5</f>
        <v>0.01</v>
      </c>
      <c r="Q494" s="253"/>
      <c r="R494" s="253"/>
      <c r="S494" s="253"/>
      <c r="T494" s="253"/>
      <c r="U494" s="253"/>
      <c r="V494" s="253">
        <f>коэффициенты!$G$11</f>
        <v>0.01</v>
      </c>
      <c r="W494" s="254"/>
      <c r="X494" s="253"/>
      <c r="Y494" s="254"/>
      <c r="Z494" s="253"/>
      <c r="AA494" s="253">
        <f>коэффициенты!$G$14</f>
        <v>0.01</v>
      </c>
      <c r="AB494" s="253"/>
      <c r="AC494" s="253"/>
      <c r="AD494" s="253">
        <f>коэффициенты!$G$19</f>
        <v>0.01</v>
      </c>
      <c r="AE494" s="253"/>
      <c r="AF494" s="253">
        <f>коэффициенты!$G$21</f>
        <v>0.01</v>
      </c>
      <c r="AG494" s="253">
        <f>коэффициенты!$A$24</f>
        <v>-5.0000000000000001E-3</v>
      </c>
      <c r="AH494" s="253"/>
      <c r="AI494" s="255">
        <f>SUM(наценкад5[[#This Row],[еврокухня]:[большая площадь]])*наценкад5[[#This Row],[Цена м2 с базовым K]]+наценкад5[[#This Row],[Цена м2 с базовым K]]</f>
        <v>84762.5625</v>
      </c>
      <c r="AJ494" s="249">
        <f>VLOOKUP(наценкад5[[#This Row],[№]],ППД5[],COLUMN(ППД5[[#This Row],[утв цена м2]]),0)</f>
        <v>133669.34</v>
      </c>
      <c r="AK494" s="248">
        <f>наценкад5[[#This Row],[утв цена м2]]*наценкад5[[#This Row],[Расчетная проектная площадь]]</f>
        <v>5305336.1045999993</v>
      </c>
      <c r="AL494" s="256" t="str">
        <f>VLOOKUP(наценкад5[[#This Row],[№]],ППД5[],COLUMN('Реестр ОН'!$DF$1),0)</f>
        <v>Ус. Бронь</v>
      </c>
    </row>
    <row r="495" spans="1:38" hidden="1" x14ac:dyDescent="0.25">
      <c r="A495" s="101">
        <v>493</v>
      </c>
      <c r="B495" s="2" t="str">
        <f>_xlfn.XLOOKUP(наценкад5[[#This Row],[№]],ППД5[№],ППД5[Секция],"-",0)</f>
        <v>Г</v>
      </c>
      <c r="C495" s="2">
        <f>_xlfn.XLOOKUP(наценкад5[[#This Row],[№]],ППД5[№],ППД5[Этаж],"-",0)</f>
        <v>14</v>
      </c>
      <c r="D495" s="2">
        <f>_xlfn.XLOOKUP(наценкад5[[#This Row],[№]],ППД5[№],ППД5[№ на этаже],"-",0)</f>
        <v>1</v>
      </c>
      <c r="E495" s="2">
        <f>_xlfn.XLOOKUP(наценкад5[[#This Row],[№]],ППД5[№],ППД5[Тип кв],"-",0)</f>
        <v>0</v>
      </c>
      <c r="F495" s="72">
        <f>_xlfn.XLOOKUP(наценкад5[[#This Row],[№]],ППД5[№],ППД5[Кухня],"-",0)</f>
        <v>5.84</v>
      </c>
      <c r="G495" s="72">
        <f>_xlfn.XLOOKUP(наценкад5[[#This Row],[№]],ППД5[№],ППД5[Ванная],"-",0)</f>
        <v>3.76</v>
      </c>
      <c r="H495" s="72">
        <f>_xlfn.XLOOKUP(наценкад5[[#This Row],[№]],ППД5[№],ППД5[Гардеробная],"-",0)</f>
        <v>0</v>
      </c>
      <c r="I495" s="72">
        <f>_xlfn.XLOOKUP(наценкад5[[#This Row],[№]],ППД5[№],ППД5[Лоджия 2],"-",0)</f>
        <v>0</v>
      </c>
      <c r="J495" s="72">
        <f>_xlfn.XLOOKUP(наценкад5[[#This Row],[№]],ППД5[№],ППД5[С\У],"-",0)</f>
        <v>0</v>
      </c>
      <c r="K495" s="72">
        <f>_xlfn.XLOOKUP(наценкад5[[#This Row],[№]],ППД5[№],ППД5[Расчетная проектная площадь],"-",0)</f>
        <v>29.4</v>
      </c>
      <c r="L495" s="12">
        <f t="shared" si="7"/>
        <v>63000</v>
      </c>
      <c r="M495" s="116">
        <f>коэффициенты!$H$2</f>
        <v>1.3905000000000001</v>
      </c>
      <c r="N495" s="13">
        <f>наценкад5[[#This Row],[Цена м2 базовая]]*наценкад5[[#This Row],[Базовой K]]</f>
        <v>87601.5</v>
      </c>
      <c r="O495" s="74"/>
      <c r="P495" s="74"/>
      <c r="Q495" s="74"/>
      <c r="R495" s="74"/>
      <c r="S495" s="74"/>
      <c r="T495" s="74"/>
      <c r="U495" s="74"/>
      <c r="V495" s="74"/>
      <c r="W495" s="75"/>
      <c r="X495" s="74"/>
      <c r="Y495" s="75"/>
      <c r="Z495" s="74"/>
      <c r="AA495" s="74"/>
      <c r="AB495" s="74"/>
      <c r="AC495" s="74"/>
      <c r="AD495" s="74">
        <f>коэффициенты!$H$19</f>
        <v>0.01</v>
      </c>
      <c r="AE495" s="74"/>
      <c r="AF495" s="74">
        <f>коэффициенты!$H$21</f>
        <v>0.01</v>
      </c>
      <c r="AG495" s="74"/>
      <c r="AH495" s="74"/>
      <c r="AI495" s="73">
        <f>SUM(наценкад5[[#This Row],[еврокухня]:[большая площадь]])*наценкад5[[#This Row],[Цена м2 с базовым K]]+наценкад5[[#This Row],[Цена м2 с базовым K]]</f>
        <v>89353.53</v>
      </c>
      <c r="AJ495" s="72">
        <f>VLOOKUP(наценкад5[[#This Row],[№]],ППД5[],COLUMN(ППД5[[#This Row],[утв цена м2]]),0)</f>
        <v>138615.51</v>
      </c>
      <c r="AK495" s="3">
        <f>наценкад5[[#This Row],[утв цена м2]]*наценкад5[[#This Row],[Расчетная проектная площадь]]</f>
        <v>4075295.9939999999</v>
      </c>
      <c r="AL495" s="22" t="str">
        <f>VLOOKUP(наценкад5[[#This Row],[№]],ППД5[],COLUMN('Реестр ОН'!$DF$1),0)</f>
        <v>Продажа</v>
      </c>
    </row>
    <row r="496" spans="1:38" hidden="1" x14ac:dyDescent="0.25">
      <c r="A496" s="101">
        <v>494</v>
      </c>
      <c r="B496" s="2" t="str">
        <f>_xlfn.XLOOKUP(наценкад5[[#This Row],[№]],ППД5[№],ППД5[Секция],"-",0)</f>
        <v>Г</v>
      </c>
      <c r="C496" s="2">
        <f>_xlfn.XLOOKUP(наценкад5[[#This Row],[№]],ППД5[№],ППД5[Этаж],"-",0)</f>
        <v>14</v>
      </c>
      <c r="D496" s="2">
        <f>_xlfn.XLOOKUP(наценкад5[[#This Row],[№]],ППД5[№],ППД5[№ на этаже],"-",0)</f>
        <v>2</v>
      </c>
      <c r="E496" s="2">
        <f>_xlfn.XLOOKUP(наценкад5[[#This Row],[№]],ППД5[№],ППД5[Тип кв],"-",0)</f>
        <v>1</v>
      </c>
      <c r="F496" s="72">
        <f>_xlfn.XLOOKUP(наценкад5[[#This Row],[№]],ППД5[№],ППД5[Кухня],"-",0)</f>
        <v>16.940000000000001</v>
      </c>
      <c r="G496" s="72">
        <f>_xlfn.XLOOKUP(наценкад5[[#This Row],[№]],ППД5[№],ППД5[Ванная],"-",0)</f>
        <v>3.55</v>
      </c>
      <c r="H496" s="72">
        <f>_xlfn.XLOOKUP(наценкад5[[#This Row],[№]],ППД5[№],ППД5[Гардеробная],"-",0)</f>
        <v>0</v>
      </c>
      <c r="I496" s="72">
        <f>_xlfn.XLOOKUP(наценкад5[[#This Row],[№]],ППД5[№],ППД5[Лоджия 2],"-",0)</f>
        <v>0</v>
      </c>
      <c r="J496" s="72">
        <f>_xlfn.XLOOKUP(наценкад5[[#This Row],[№]],ППД5[№],ППД5[С\У],"-",0)</f>
        <v>2.41</v>
      </c>
      <c r="K496" s="72">
        <f>_xlfn.XLOOKUP(наценкад5[[#This Row],[№]],ППД5[№],ППД5[Расчетная проектная площадь],"-",0)</f>
        <v>43.21</v>
      </c>
      <c r="L496" s="12">
        <f t="shared" si="7"/>
        <v>63000</v>
      </c>
      <c r="M496" s="102">
        <f>коэффициенты!$G$2</f>
        <v>1.2875000000000001</v>
      </c>
      <c r="N496" s="13">
        <f>наценкад5[[#This Row],[Цена м2 базовая]]*наценкад5[[#This Row],[Базовой K]]</f>
        <v>81112.5</v>
      </c>
      <c r="O496" s="76">
        <f>коэффициенты!$G$4</f>
        <v>0.02</v>
      </c>
      <c r="P496" s="74"/>
      <c r="Q496" s="74"/>
      <c r="R496" s="74">
        <f>коэффициенты!$G$10</f>
        <v>0.01</v>
      </c>
      <c r="S496" s="74">
        <f>коэффициенты!$G$9</f>
        <v>0</v>
      </c>
      <c r="T496" s="74"/>
      <c r="U496" s="74"/>
      <c r="V496" s="74"/>
      <c r="W496" s="75"/>
      <c r="X496" s="74"/>
      <c r="Y496" s="75"/>
      <c r="Z496" s="74"/>
      <c r="AA496" s="74"/>
      <c r="AB496" s="74"/>
      <c r="AC496" s="74"/>
      <c r="AD496" s="74">
        <f>коэффициенты!$G$19</f>
        <v>0.01</v>
      </c>
      <c r="AE496" s="74"/>
      <c r="AF496" s="74">
        <f>коэффициенты!$G$21</f>
        <v>0.01</v>
      </c>
      <c r="AG496" s="74"/>
      <c r="AH496" s="74"/>
      <c r="AI496" s="73">
        <f>SUM(наценкад5[[#This Row],[еврокухня]:[большая площадь]])*наценкад5[[#This Row],[Цена м2 с базовым K]]+наценкад5[[#This Row],[Цена м2 с базовым K]]</f>
        <v>85168.125</v>
      </c>
      <c r="AJ496" s="72">
        <f>VLOOKUP(наценкад5[[#This Row],[№]],ППД5[],COLUMN(ППД5[[#This Row],[утв цена м2]]),0)</f>
        <v>97681.94</v>
      </c>
      <c r="AK496" s="3">
        <f>наценкад5[[#This Row],[утв цена м2]]*наценкад5[[#This Row],[Расчетная проектная площадь]]</f>
        <v>4220836.6274000006</v>
      </c>
      <c r="AL496" s="22" t="str">
        <f>VLOOKUP(наценкад5[[#This Row],[№]],ППД5[],COLUMN('Реестр ОН'!$DF$1),0)</f>
        <v>Продажа</v>
      </c>
    </row>
    <row r="497" spans="1:38" hidden="1" x14ac:dyDescent="0.25">
      <c r="A497" s="101">
        <v>495</v>
      </c>
      <c r="B497" s="2" t="str">
        <f>_xlfn.XLOOKUP(наценкад5[[#This Row],[№]],ППД5[№],ППД5[Секция],"-",0)</f>
        <v>Г</v>
      </c>
      <c r="C497" s="2">
        <f>_xlfn.XLOOKUP(наценкад5[[#This Row],[№]],ППД5[№],ППД5[Этаж],"-",0)</f>
        <v>14</v>
      </c>
      <c r="D497" s="2">
        <f>_xlfn.XLOOKUP(наценкад5[[#This Row],[№]],ППД5[№],ППД5[№ на этаже],"-",0)</f>
        <v>3</v>
      </c>
      <c r="E497" s="2">
        <f>_xlfn.XLOOKUP(наценкад5[[#This Row],[№]],ППД5[№],ППД5[Тип кв],"-",0)</f>
        <v>0</v>
      </c>
      <c r="F497" s="72">
        <f>_xlfn.XLOOKUP(наценкад5[[#This Row],[№]],ППД5[№],ППД5[Кухня],"-",0)</f>
        <v>5.17</v>
      </c>
      <c r="G497" s="72">
        <f>_xlfn.XLOOKUP(наценкад5[[#This Row],[№]],ППД5[№],ППД5[Ванная],"-",0)</f>
        <v>3.71</v>
      </c>
      <c r="H497" s="72">
        <f>_xlfn.XLOOKUP(наценкад5[[#This Row],[№]],ППД5[№],ППД5[Гардеробная],"-",0)</f>
        <v>0</v>
      </c>
      <c r="I497" s="72">
        <f>_xlfn.XLOOKUP(наценкад5[[#This Row],[№]],ППД5[№],ППД5[Лоджия 2],"-",0)</f>
        <v>0</v>
      </c>
      <c r="J497" s="72">
        <f>_xlfn.XLOOKUP(наценкад5[[#This Row],[№]],ППД5[№],ППД5[С\У],"-",0)</f>
        <v>0</v>
      </c>
      <c r="K497" s="72">
        <f>_xlfn.XLOOKUP(наценкад5[[#This Row],[№]],ППД5[№],ППД5[Расчетная проектная площадь],"-",0)</f>
        <v>24.5</v>
      </c>
      <c r="L497" s="12">
        <f t="shared" si="7"/>
        <v>63000</v>
      </c>
      <c r="M497" s="116">
        <f>коэффициенты!$H$2</f>
        <v>1.3905000000000001</v>
      </c>
      <c r="N497" s="13">
        <f>наценкад5[[#This Row],[Цена м2 базовая]]*наценкад5[[#This Row],[Базовой K]]</f>
        <v>87601.5</v>
      </c>
      <c r="O497" s="74"/>
      <c r="P497" s="74"/>
      <c r="Q497" s="74"/>
      <c r="R497" s="74"/>
      <c r="S497" s="74"/>
      <c r="T497" s="74"/>
      <c r="U497" s="74"/>
      <c r="V497" s="74">
        <f>коэффициенты!$H$11</f>
        <v>0.01</v>
      </c>
      <c r="W497" s="75"/>
      <c r="X497" s="74">
        <f>коэффициенты!$H$13</f>
        <v>0.01</v>
      </c>
      <c r="Y497" s="75"/>
      <c r="Z497" s="74"/>
      <c r="AA497" s="74"/>
      <c r="AB497" s="74"/>
      <c r="AC497" s="74"/>
      <c r="AD497" s="74">
        <f>коэффициенты!$H$19</f>
        <v>0.01</v>
      </c>
      <c r="AE497" s="74"/>
      <c r="AF497" s="74">
        <f>коэффициенты!$H$21</f>
        <v>0.01</v>
      </c>
      <c r="AG497" s="74"/>
      <c r="AH497" s="74"/>
      <c r="AI497" s="73">
        <f>SUM(наценкад5[[#This Row],[еврокухня]:[большая площадь]])*наценкад5[[#This Row],[Цена м2 с базовым K]]+наценкад5[[#This Row],[Цена м2 с базовым K]]</f>
        <v>91105.56</v>
      </c>
      <c r="AJ497" s="72">
        <f>VLOOKUP(наценкад5[[#This Row],[№]],ППД5[],COLUMN(ППД5[[#This Row],[утв цена м2]]),0)</f>
        <v>143439.54</v>
      </c>
      <c r="AK497" s="3">
        <f>наценкад5[[#This Row],[утв цена м2]]*наценкад5[[#This Row],[Расчетная проектная площадь]]</f>
        <v>3514268.73</v>
      </c>
      <c r="AL497" s="22" t="str">
        <f>VLOOKUP(наценкад5[[#This Row],[№]],ППД5[],COLUMN('Реестр ОН'!$DF$1),0)</f>
        <v>Продажа</v>
      </c>
    </row>
    <row r="498" spans="1:38" hidden="1" x14ac:dyDescent="0.25">
      <c r="A498" s="101">
        <v>496</v>
      </c>
      <c r="B498" s="2" t="str">
        <f>_xlfn.XLOOKUP(наценкад5[[#This Row],[№]],ППД5[№],ППД5[Секция],"-",0)</f>
        <v>Г</v>
      </c>
      <c r="C498" s="2">
        <f>_xlfn.XLOOKUP(наценкад5[[#This Row],[№]],ППД5[№],ППД5[Этаж],"-",0)</f>
        <v>14</v>
      </c>
      <c r="D498" s="2">
        <f>_xlfn.XLOOKUP(наценкад5[[#This Row],[№]],ППД5[№],ППД5[№ на этаже],"-",0)</f>
        <v>4</v>
      </c>
      <c r="E498" s="2">
        <f>_xlfn.XLOOKUP(наценкад5[[#This Row],[№]],ППД5[№],ППД5[Тип кв],"-",0)</f>
        <v>2</v>
      </c>
      <c r="F498" s="72">
        <f>_xlfn.XLOOKUP(наценкад5[[#This Row],[№]],ППД5[№],ППД5[Кухня],"-",0)</f>
        <v>15.86</v>
      </c>
      <c r="G498" s="72">
        <f>_xlfn.XLOOKUP(наценкад5[[#This Row],[№]],ППД5[№],ППД5[Ванная],"-",0)</f>
        <v>3.01</v>
      </c>
      <c r="H498" s="72">
        <f>_xlfn.XLOOKUP(наценкад5[[#This Row],[№]],ППД5[№],ППД5[Гардеробная],"-",0)</f>
        <v>0</v>
      </c>
      <c r="I498" s="72">
        <f>_xlfn.XLOOKUP(наценкад5[[#This Row],[№]],ППД5[№],ППД5[Лоджия 2],"-",0)</f>
        <v>0</v>
      </c>
      <c r="J498" s="72">
        <f>_xlfn.XLOOKUP(наценкад5[[#This Row],[№]],ППД5[№],ППД5[С\У],"-",0)</f>
        <v>2.67</v>
      </c>
      <c r="K498" s="72">
        <f>_xlfn.XLOOKUP(наценкад5[[#This Row],[№]],ППД5[№],ППД5[Расчетная проектная площадь],"-",0)</f>
        <v>58.24</v>
      </c>
      <c r="L498" s="12">
        <f t="shared" si="7"/>
        <v>63000</v>
      </c>
      <c r="M498" s="102">
        <f>коэффициенты!$F$2</f>
        <v>1.2257</v>
      </c>
      <c r="N498" s="13">
        <f>наценкад5[[#This Row],[Цена м2 базовая]]*наценкад5[[#This Row],[Базовой K]]</f>
        <v>77219.100000000006</v>
      </c>
      <c r="O498" s="76">
        <f>коэффициенты!$F$4</f>
        <v>1.4999999999999999E-2</v>
      </c>
      <c r="P498" s="74"/>
      <c r="Q498" s="76"/>
      <c r="R498" s="76">
        <f>коэффициенты!$F$10</f>
        <v>0</v>
      </c>
      <c r="S498" s="76">
        <f>коэффициенты!$F$9</f>
        <v>0</v>
      </c>
      <c r="T498" s="74"/>
      <c r="U498" s="74"/>
      <c r="V498" s="74"/>
      <c r="W498" s="75"/>
      <c r="X498" s="74"/>
      <c r="Y498" s="75"/>
      <c r="Z498" s="74"/>
      <c r="AA498" s="74"/>
      <c r="AB498" s="74"/>
      <c r="AC498" s="74"/>
      <c r="AD498" s="74">
        <f>коэффициенты!$F$19</f>
        <v>5.0000000000000001E-3</v>
      </c>
      <c r="AE498" s="74"/>
      <c r="AF498" s="74">
        <f>коэффициенты!$F$21</f>
        <v>0.01</v>
      </c>
      <c r="AG498" s="74"/>
      <c r="AH498" s="74"/>
      <c r="AI498" s="73">
        <f>SUM(наценкад5[[#This Row],[еврокухня]:[большая площадь]])*наценкад5[[#This Row],[Цена м2 с базовым K]]+наценкад5[[#This Row],[Цена м2 с базовым K]]</f>
        <v>79535.67300000001</v>
      </c>
      <c r="AJ498" s="72">
        <f>VLOOKUP(наценкад5[[#This Row],[№]],ППД5[],COLUMN(ППД5[[#This Row],[утв цена м2]]),0)</f>
        <v>121235.54</v>
      </c>
      <c r="AK498" s="3">
        <f>наценкад5[[#This Row],[утв цена м2]]*наценкад5[[#This Row],[Расчетная проектная площадь]]</f>
        <v>7060757.8496000003</v>
      </c>
      <c r="AL498" s="22" t="str">
        <f>VLOOKUP(наценкад5[[#This Row],[№]],ППД5[],COLUMN('Реестр ОН'!$DF$1),0)</f>
        <v>Свободно</v>
      </c>
    </row>
    <row r="499" spans="1:38" hidden="1" x14ac:dyDescent="0.25">
      <c r="A499" s="101">
        <v>497</v>
      </c>
      <c r="B499" s="2" t="str">
        <f>_xlfn.XLOOKUP(наценкад5[[#This Row],[№]],ППД5[№],ППД5[Секция],"-",0)</f>
        <v>Г</v>
      </c>
      <c r="C499" s="2">
        <f>_xlfn.XLOOKUP(наценкад5[[#This Row],[№]],ППД5[№],ППД5[Этаж],"-",0)</f>
        <v>14</v>
      </c>
      <c r="D499" s="2">
        <f>_xlfn.XLOOKUP(наценкад5[[#This Row],[№]],ППД5[№],ППД5[№ на этаже],"-",0)</f>
        <v>5</v>
      </c>
      <c r="E499" s="2">
        <f>_xlfn.XLOOKUP(наценкад5[[#This Row],[№]],ППД5[№],ППД5[Тип кв],"-",0)</f>
        <v>2</v>
      </c>
      <c r="F499" s="72">
        <f>_xlfn.XLOOKUP(наценкад5[[#This Row],[№]],ППД5[№],ППД5[Кухня],"-",0)</f>
        <v>13.45</v>
      </c>
      <c r="G499" s="72">
        <f>_xlfn.XLOOKUP(наценкад5[[#This Row],[№]],ППД5[№],ППД5[Ванная],"-",0)</f>
        <v>3.7</v>
      </c>
      <c r="H499" s="72">
        <f>_xlfn.XLOOKUP(наценкад5[[#This Row],[№]],ППД5[№],ППД5[Гардеробная],"-",0)</f>
        <v>0</v>
      </c>
      <c r="I499" s="72">
        <f>_xlfn.XLOOKUP(наценкад5[[#This Row],[№]],ППД5[№],ППД5[Лоджия 2],"-",0)</f>
        <v>0</v>
      </c>
      <c r="J499" s="72">
        <f>_xlfn.XLOOKUP(наценкад5[[#This Row],[№]],ППД5[№],ППД5[С\У],"-",0)</f>
        <v>2.72</v>
      </c>
      <c r="K499" s="72">
        <f>_xlfn.XLOOKUP(наценкад5[[#This Row],[№]],ППД5[№],ППД5[Расчетная проектная площадь],"-",0)</f>
        <v>57.8</v>
      </c>
      <c r="L499" s="12">
        <f t="shared" si="7"/>
        <v>63000</v>
      </c>
      <c r="M499" s="102">
        <f>коэффициенты!$F$2</f>
        <v>1.2257</v>
      </c>
      <c r="N499" s="13">
        <f>наценкад5[[#This Row],[Цена м2 базовая]]*наценкад5[[#This Row],[Базовой K]]</f>
        <v>77219.100000000006</v>
      </c>
      <c r="O499" s="74"/>
      <c r="P499" s="74">
        <f>коэффициенты!$F$5</f>
        <v>0.01</v>
      </c>
      <c r="Q499" s="76"/>
      <c r="R499" s="76"/>
      <c r="S499" s="76">
        <f>коэффициенты!$F$9</f>
        <v>0</v>
      </c>
      <c r="T499" s="74"/>
      <c r="U499" s="74"/>
      <c r="V499" s="74"/>
      <c r="W499" s="75"/>
      <c r="X499" s="74"/>
      <c r="Y499" s="75"/>
      <c r="Z499" s="74"/>
      <c r="AA499" s="74"/>
      <c r="AB499" s="74"/>
      <c r="AC499" s="74"/>
      <c r="AD499" s="74">
        <f>коэффициенты!$F$19</f>
        <v>5.0000000000000001E-3</v>
      </c>
      <c r="AE499" s="74"/>
      <c r="AF499" s="74">
        <f>коэффициенты!$F$21</f>
        <v>0.01</v>
      </c>
      <c r="AG499" s="74"/>
      <c r="AH499" s="74"/>
      <c r="AI499" s="73">
        <f>SUM(наценкад5[[#This Row],[еврокухня]:[большая площадь]])*наценкад5[[#This Row],[Цена м2 с базовым K]]+наценкад5[[#This Row],[Цена м2 с базовым K]]</f>
        <v>79149.577499999999</v>
      </c>
      <c r="AJ499" s="72">
        <f>VLOOKUP(наценкад5[[#This Row],[№]],ППД5[],COLUMN(ППД5[[#This Row],[утв цена м2]]),0)</f>
        <v>85600.27</v>
      </c>
      <c r="AK499" s="3">
        <f>наценкад5[[#This Row],[утв цена м2]]*наценкад5[[#This Row],[Расчетная проектная площадь]]</f>
        <v>4947695.6059999997</v>
      </c>
      <c r="AL499" s="22" t="str">
        <f>VLOOKUP(наценкад5[[#This Row],[№]],ППД5[],COLUMN('Реестр ОН'!$DF$1),0)</f>
        <v>Продажа</v>
      </c>
    </row>
    <row r="500" spans="1:38" hidden="1" x14ac:dyDescent="0.25">
      <c r="A500" s="101">
        <v>498</v>
      </c>
      <c r="B500" s="2" t="str">
        <f>_xlfn.XLOOKUP(наценкад5[[#This Row],[№]],ППД5[№],ППД5[Секция],"-",0)</f>
        <v>Г</v>
      </c>
      <c r="C500" s="2">
        <f>_xlfn.XLOOKUP(наценкад5[[#This Row],[№]],ППД5[№],ППД5[Этаж],"-",0)</f>
        <v>14</v>
      </c>
      <c r="D500" s="2">
        <f>_xlfn.XLOOKUP(наценкад5[[#This Row],[№]],ППД5[№],ППД5[№ на этаже],"-",0)</f>
        <v>6</v>
      </c>
      <c r="E500" s="2">
        <f>_xlfn.XLOOKUP(наценкад5[[#This Row],[№]],ППД5[№],ППД5[Тип кв],"-",0)</f>
        <v>1</v>
      </c>
      <c r="F500" s="72">
        <f>_xlfn.XLOOKUP(наценкад5[[#This Row],[№]],ППД5[№],ППД5[Кухня],"-",0)</f>
        <v>12.55</v>
      </c>
      <c r="G500" s="72">
        <f>_xlfn.XLOOKUP(наценкад5[[#This Row],[№]],ППД5[№],ППД5[Ванная],"-",0)</f>
        <v>4.28</v>
      </c>
      <c r="H500" s="72">
        <f>_xlfn.XLOOKUP(наценкад5[[#This Row],[№]],ППД5[№],ППД5[Гардеробная],"-",0)</f>
        <v>0</v>
      </c>
      <c r="I500" s="72">
        <f>_xlfn.XLOOKUP(наценкад5[[#This Row],[№]],ППД5[№],ППД5[Лоджия 2],"-",0)</f>
        <v>0</v>
      </c>
      <c r="J500" s="72">
        <f>_xlfn.XLOOKUP(наценкад5[[#This Row],[№]],ППД5[№],ППД5[С\У],"-",0)</f>
        <v>0</v>
      </c>
      <c r="K500" s="72">
        <f>_xlfn.XLOOKUP(наценкад5[[#This Row],[№]],ППД5[№],ППД5[Расчетная проектная площадь],"-",0)</f>
        <v>38.299999999999997</v>
      </c>
      <c r="L500" s="12">
        <f t="shared" si="7"/>
        <v>63000</v>
      </c>
      <c r="M500" s="102">
        <f>коэффициенты!$G$2</f>
        <v>1.2875000000000001</v>
      </c>
      <c r="N500" s="13">
        <f>наценкад5[[#This Row],[Цена м2 базовая]]*наценкад5[[#This Row],[Базовой K]]</f>
        <v>81112.5</v>
      </c>
      <c r="O500" s="74"/>
      <c r="P500" s="76">
        <f>коэффициенты!$G$5</f>
        <v>0.01</v>
      </c>
      <c r="Q500" s="74">
        <f>коэффициенты!$G$6</f>
        <v>0.03</v>
      </c>
      <c r="R500" s="74"/>
      <c r="S500" s="74"/>
      <c r="T500" s="74"/>
      <c r="U500" s="74"/>
      <c r="V500" s="74">
        <f>коэффициенты!$G$11</f>
        <v>0.01</v>
      </c>
      <c r="W500" s="75"/>
      <c r="X500" s="74">
        <f>коэффициенты!$G$13</f>
        <v>0.01</v>
      </c>
      <c r="Y500" s="75"/>
      <c r="Z500" s="74"/>
      <c r="AA500" s="74"/>
      <c r="AB500" s="74"/>
      <c r="AC500" s="74"/>
      <c r="AD500" s="74">
        <f>коэффициенты!$G$19</f>
        <v>0.01</v>
      </c>
      <c r="AE500" s="74"/>
      <c r="AF500" s="74">
        <f>коэффициенты!$G$21</f>
        <v>0.01</v>
      </c>
      <c r="AG500" s="74"/>
      <c r="AH500" s="74"/>
      <c r="AI500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500" s="72">
        <f>VLOOKUP(наценкад5[[#This Row],[№]],ППД5[],COLUMN(ППД5[[#This Row],[утв цена м2]]),0)</f>
        <v>109748.01</v>
      </c>
      <c r="AK500" s="3">
        <f>наценкад5[[#This Row],[утв цена м2]]*наценкад5[[#This Row],[Расчетная проектная площадь]]</f>
        <v>4203348.7829999998</v>
      </c>
      <c r="AL500" s="22" t="str">
        <f>VLOOKUP(наценкад5[[#This Row],[№]],ППД5[],COLUMN('Реестр ОН'!$DF$1),0)</f>
        <v>Продажа</v>
      </c>
    </row>
    <row r="501" spans="1:38" hidden="1" x14ac:dyDescent="0.25">
      <c r="A501" s="101">
        <v>499</v>
      </c>
      <c r="B501" s="2" t="str">
        <f>_xlfn.XLOOKUP(наценкад5[[#This Row],[№]],ППД5[№],ППД5[Секция],"-",0)</f>
        <v>Г</v>
      </c>
      <c r="C501" s="2">
        <f>_xlfn.XLOOKUP(наценкад5[[#This Row],[№]],ППД5[№],ППД5[Этаж],"-",0)</f>
        <v>14</v>
      </c>
      <c r="D501" s="2">
        <f>_xlfn.XLOOKUP(наценкад5[[#This Row],[№]],ППД5[№],ППД5[№ на этаже],"-",0)</f>
        <v>7</v>
      </c>
      <c r="E501" s="2">
        <f>_xlfn.XLOOKUP(наценкад5[[#This Row],[№]],ППД5[№],ППД5[Тип кв],"-",0)</f>
        <v>3</v>
      </c>
      <c r="F501" s="72">
        <f>_xlfn.XLOOKUP(наценкад5[[#This Row],[№]],ППД5[№],ППД5[Кухня],"-",0)</f>
        <v>16.670000000000002</v>
      </c>
      <c r="G501" s="72">
        <f>_xlfn.XLOOKUP(наценкад5[[#This Row],[№]],ППД5[№],ППД5[Ванная],"-",0)</f>
        <v>4.1399999999999997</v>
      </c>
      <c r="H501" s="72">
        <f>_xlfn.XLOOKUP(наценкад5[[#This Row],[№]],ППД5[№],ППД5[Гардеробная],"-",0)</f>
        <v>0</v>
      </c>
      <c r="I501" s="72">
        <f>_xlfn.XLOOKUP(наценкад5[[#This Row],[№]],ППД5[№],ППД5[Лоджия 2],"-",0)</f>
        <v>2.79</v>
      </c>
      <c r="J501" s="72">
        <f>_xlfn.XLOOKUP(наценкад5[[#This Row],[№]],ППД5[№],ППД5[С\У],"-",0)</f>
        <v>1.89</v>
      </c>
      <c r="K501" s="72">
        <f>_xlfn.XLOOKUP(наценкад5[[#This Row],[№]],ППД5[№],ППД5[Расчетная проектная площадь],"-",0)</f>
        <v>79.44</v>
      </c>
      <c r="L501" s="12">
        <f t="shared" si="7"/>
        <v>63000</v>
      </c>
      <c r="M501" s="27">
        <f>коэффициенты!$E$2</f>
        <v>1.1330000000000002</v>
      </c>
      <c r="N501" s="13">
        <f>наценкад5[[#This Row],[Цена м2 базовая]]*наценкад5[[#This Row],[Базовой K]]</f>
        <v>71379.000000000015</v>
      </c>
      <c r="O501" s="74">
        <f>коэффициенты!$E$4</f>
        <v>0.03</v>
      </c>
      <c r="P501" s="74"/>
      <c r="Q501" s="74">
        <f>коэффициенты!$E$6</f>
        <v>0.01</v>
      </c>
      <c r="R501" s="74"/>
      <c r="S501" s="74">
        <f>коэффициенты!$E$9</f>
        <v>0</v>
      </c>
      <c r="T501" s="74">
        <f>коэффициенты!$E$7</f>
        <v>0</v>
      </c>
      <c r="U501" s="74">
        <f>коэффициенты!$E$8</f>
        <v>0.01</v>
      </c>
      <c r="V501" s="74"/>
      <c r="W501" s="75">
        <f>коэффициенты!$E$12</f>
        <v>0.02</v>
      </c>
      <c r="X501" s="74"/>
      <c r="Y501" s="75"/>
      <c r="Z501" s="74"/>
      <c r="AA501" s="74">
        <f>коэффициенты!$E$14</f>
        <v>0</v>
      </c>
      <c r="AB501" s="74"/>
      <c r="AC501" s="74">
        <f>коэффициенты!$E$18</f>
        <v>0.01</v>
      </c>
      <c r="AD501" s="74"/>
      <c r="AE501" s="74"/>
      <c r="AF501" s="74">
        <f>коэффициенты!$E$21</f>
        <v>0.01</v>
      </c>
      <c r="AG501" s="74"/>
      <c r="AH501" s="74"/>
      <c r="AI501" s="73">
        <f>SUM(наценкад5[[#This Row],[еврокухня]:[большая площадь]])*наценкад5[[#This Row],[Цена м2 с базовым K]]+наценкад5[[#This Row],[Цена м2 с базовым K]]</f>
        <v>77803.110000000015</v>
      </c>
      <c r="AJ501" s="72">
        <f>VLOOKUP(наценкад5[[#This Row],[№]],ППД5[],COLUMN(ППД5[[#This Row],[утв цена м2]]),0)</f>
        <v>89234.78</v>
      </c>
      <c r="AK501" s="3">
        <f>наценкад5[[#This Row],[утв цена м2]]*наценкад5[[#This Row],[Расчетная проектная площадь]]</f>
        <v>7088810.9232000001</v>
      </c>
      <c r="AL501" s="22" t="str">
        <f>VLOOKUP(наценкад5[[#This Row],[№]],ППД5[],COLUMN('Реестр ОН'!$DF$1),0)</f>
        <v>Продажа</v>
      </c>
    </row>
    <row r="502" spans="1:38" hidden="1" x14ac:dyDescent="0.25">
      <c r="A502" s="101">
        <v>500</v>
      </c>
      <c r="B502" s="2" t="str">
        <f>_xlfn.XLOOKUP(наценкад5[[#This Row],[№]],ППД5[№],ППД5[Секция],"-",0)</f>
        <v>Г</v>
      </c>
      <c r="C502" s="2">
        <f>_xlfn.XLOOKUP(наценкад5[[#This Row],[№]],ППД5[№],ППД5[Этаж],"-",0)</f>
        <v>14</v>
      </c>
      <c r="D502" s="2">
        <f>_xlfn.XLOOKUP(наценкад5[[#This Row],[№]],ППД5[№],ППД5[№ на этаже],"-",0)</f>
        <v>8</v>
      </c>
      <c r="E502" s="2">
        <f>_xlfn.XLOOKUP(наценкад5[[#This Row],[№]],ППД5[№],ППД5[Тип кв],"-",0)</f>
        <v>1</v>
      </c>
      <c r="F502" s="72">
        <f>_xlfn.XLOOKUP(наценкад5[[#This Row],[№]],ППД5[№],ППД5[Кухня],"-",0)</f>
        <v>11.43</v>
      </c>
      <c r="G502" s="72">
        <f>_xlfn.XLOOKUP(наценкад5[[#This Row],[№]],ППД5[№],ППД5[Ванная],"-",0)</f>
        <v>3.56</v>
      </c>
      <c r="H502" s="72">
        <f>_xlfn.XLOOKUP(наценкад5[[#This Row],[№]],ППД5[№],ППД5[Гардеробная],"-",0)</f>
        <v>0</v>
      </c>
      <c r="I502" s="72">
        <f>_xlfn.XLOOKUP(наценкад5[[#This Row],[№]],ППД5[№],ППД5[Лоджия 2],"-",0)</f>
        <v>0</v>
      </c>
      <c r="J502" s="72">
        <f>_xlfn.XLOOKUP(наценкад5[[#This Row],[№]],ППД5[№],ППД5[С\У],"-",0)</f>
        <v>0</v>
      </c>
      <c r="K502" s="72">
        <f>_xlfn.XLOOKUP(наценкад5[[#This Row],[№]],ППД5[№],ППД5[Расчетная проектная площадь],"-",0)</f>
        <v>39.69</v>
      </c>
      <c r="L502" s="12">
        <f t="shared" si="7"/>
        <v>63000</v>
      </c>
      <c r="M502" s="102">
        <f>коэффициенты!$G$2</f>
        <v>1.2875000000000001</v>
      </c>
      <c r="N502" s="13">
        <f>наценкад5[[#This Row],[Цена м2 базовая]]*наценкад5[[#This Row],[Базовой K]]</f>
        <v>81112.5</v>
      </c>
      <c r="O502" s="74"/>
      <c r="P502" s="76">
        <f>коэффициенты!$G$5</f>
        <v>0.01</v>
      </c>
      <c r="Q502" s="74"/>
      <c r="R502" s="74"/>
      <c r="S502" s="74"/>
      <c r="T502" s="74"/>
      <c r="U502" s="74"/>
      <c r="V502" s="74">
        <f>коэффициенты!$G$11</f>
        <v>0.01</v>
      </c>
      <c r="W502" s="75">
        <f>коэффициенты!$G$12</f>
        <v>0.02</v>
      </c>
      <c r="X502" s="74"/>
      <c r="Y502" s="75"/>
      <c r="Z502" s="74"/>
      <c r="AA502" s="74">
        <f>коэффициенты!$G$14</f>
        <v>0.01</v>
      </c>
      <c r="AB502" s="74"/>
      <c r="AC502" s="74"/>
      <c r="AD502" s="74">
        <f>коэффициенты!$G$19</f>
        <v>0.01</v>
      </c>
      <c r="AE502" s="74"/>
      <c r="AF502" s="74">
        <f>коэффициенты!$G$21</f>
        <v>0.01</v>
      </c>
      <c r="AG502" s="74">
        <f>коэффициенты!$A$24</f>
        <v>-5.0000000000000001E-3</v>
      </c>
      <c r="AH502" s="74"/>
      <c r="AI502" s="73">
        <f>SUM(наценкад5[[#This Row],[еврокухня]:[большая площадь]])*наценкад5[[#This Row],[Цена м2 с базовым K]]+наценкад5[[#This Row],[Цена м2 с базовым K]]</f>
        <v>86384.8125</v>
      </c>
      <c r="AJ502" s="72">
        <f>VLOOKUP(наценкад5[[#This Row],[№]],ППД5[],COLUMN(ППД5[[#This Row],[утв цена м2]]),0)</f>
        <v>114784.6</v>
      </c>
      <c r="AK502" s="3">
        <f>наценкад5[[#This Row],[утв цена м2]]*наценкад5[[#This Row],[Расчетная проектная площадь]]</f>
        <v>4555800.7740000002</v>
      </c>
      <c r="AL502" s="22" t="str">
        <f>VLOOKUP(наценкад5[[#This Row],[№]],ППД5[],COLUMN('Реестр ОН'!$DF$1),0)</f>
        <v>Продажа</v>
      </c>
    </row>
    <row r="503" spans="1:38" hidden="1" x14ac:dyDescent="0.25">
      <c r="A503" s="101">
        <v>501</v>
      </c>
      <c r="B503" s="2" t="str">
        <f>_xlfn.XLOOKUP(наценкад5[[#This Row],[№]],ППД5[№],ППД5[Секция],"-",0)</f>
        <v>Г</v>
      </c>
      <c r="C503" s="2">
        <f>_xlfn.XLOOKUP(наценкад5[[#This Row],[№]],ППД5[№],ППД5[Этаж],"-",0)</f>
        <v>15</v>
      </c>
      <c r="D503" s="2">
        <f>_xlfn.XLOOKUP(наценкад5[[#This Row],[№]],ППД5[№],ППД5[№ на этаже],"-",0)</f>
        <v>1</v>
      </c>
      <c r="E503" s="2">
        <f>_xlfn.XLOOKUP(наценкад5[[#This Row],[№]],ППД5[№],ППД5[Тип кв],"-",0)</f>
        <v>0</v>
      </c>
      <c r="F503" s="72">
        <f>_xlfn.XLOOKUP(наценкад5[[#This Row],[№]],ППД5[№],ППД5[Кухня],"-",0)</f>
        <v>5.84</v>
      </c>
      <c r="G503" s="72">
        <f>_xlfn.XLOOKUP(наценкад5[[#This Row],[№]],ППД5[№],ППД5[Ванная],"-",0)</f>
        <v>3.76</v>
      </c>
      <c r="H503" s="72">
        <f>_xlfn.XLOOKUP(наценкад5[[#This Row],[№]],ППД5[№],ППД5[Гардеробная],"-",0)</f>
        <v>0</v>
      </c>
      <c r="I503" s="72">
        <f>_xlfn.XLOOKUP(наценкад5[[#This Row],[№]],ППД5[№],ППД5[Лоджия 2],"-",0)</f>
        <v>0</v>
      </c>
      <c r="J503" s="72">
        <f>_xlfn.XLOOKUP(наценкад5[[#This Row],[№]],ППД5[№],ППД5[С\У],"-",0)</f>
        <v>0</v>
      </c>
      <c r="K503" s="72">
        <f>_xlfn.XLOOKUP(наценкад5[[#This Row],[№]],ППД5[№],ППД5[Расчетная проектная площадь],"-",0)</f>
        <v>29.4</v>
      </c>
      <c r="L503" s="12">
        <f t="shared" si="7"/>
        <v>63000</v>
      </c>
      <c r="M503" s="116">
        <f>коэффициенты!$H$2</f>
        <v>1.3905000000000001</v>
      </c>
      <c r="N503" s="13">
        <f>наценкад5[[#This Row],[Цена м2 базовая]]*наценкад5[[#This Row],[Базовой K]]</f>
        <v>87601.5</v>
      </c>
      <c r="O503" s="74"/>
      <c r="P503" s="74"/>
      <c r="Q503" s="74"/>
      <c r="R503" s="74"/>
      <c r="S503" s="74"/>
      <c r="T503" s="74"/>
      <c r="U503" s="74"/>
      <c r="V503" s="74"/>
      <c r="W503" s="75"/>
      <c r="X503" s="74"/>
      <c r="Y503" s="75"/>
      <c r="Z503" s="74"/>
      <c r="AA503" s="74"/>
      <c r="AB503" s="74"/>
      <c r="AC503" s="74"/>
      <c r="AD503" s="74">
        <f>коэффициенты!$H$19</f>
        <v>0.01</v>
      </c>
      <c r="AE503" s="74"/>
      <c r="AF503" s="74">
        <f>коэффициенты!$H$21</f>
        <v>0.01</v>
      </c>
      <c r="AG503" s="74"/>
      <c r="AH503" s="74"/>
      <c r="AI503" s="73">
        <f>SUM(наценкад5[[#This Row],[еврокухня]:[большая площадь]])*наценкад5[[#This Row],[Цена м2 с базовым K]]+наценкад5[[#This Row],[Цена м2 с базовым K]]</f>
        <v>89353.53</v>
      </c>
      <c r="AJ503" s="72">
        <f>VLOOKUP(наценкад5[[#This Row],[№]],ППД5[],COLUMN(ППД5[[#This Row],[утв цена м2]]),0)</f>
        <v>117950.57</v>
      </c>
      <c r="AK503" s="3">
        <f>наценкад5[[#This Row],[утв цена м2]]*наценкад5[[#This Row],[Расчетная проектная площадь]]</f>
        <v>3467746.7579999999</v>
      </c>
      <c r="AL503" s="22" t="str">
        <f>VLOOKUP(наценкад5[[#This Row],[№]],ППД5[],COLUMN('Реестр ОН'!$DF$1),0)</f>
        <v>Продажа</v>
      </c>
    </row>
    <row r="504" spans="1:38" hidden="1" x14ac:dyDescent="0.25">
      <c r="A504" s="101">
        <v>502</v>
      </c>
      <c r="B504" s="2" t="str">
        <f>_xlfn.XLOOKUP(наценкад5[[#This Row],[№]],ППД5[№],ППД5[Секция],"-",0)</f>
        <v>Г</v>
      </c>
      <c r="C504" s="2">
        <f>_xlfn.XLOOKUP(наценкад5[[#This Row],[№]],ППД5[№],ППД5[Этаж],"-",0)</f>
        <v>15</v>
      </c>
      <c r="D504" s="2">
        <f>_xlfn.XLOOKUP(наценкад5[[#This Row],[№]],ППД5[№],ППД5[№ на этаже],"-",0)</f>
        <v>2</v>
      </c>
      <c r="E504" s="2">
        <f>_xlfn.XLOOKUP(наценкад5[[#This Row],[№]],ППД5[№],ППД5[Тип кв],"-",0)</f>
        <v>1</v>
      </c>
      <c r="F504" s="72">
        <f>_xlfn.XLOOKUP(наценкад5[[#This Row],[№]],ППД5[№],ППД5[Кухня],"-",0)</f>
        <v>16.940000000000001</v>
      </c>
      <c r="G504" s="72">
        <f>_xlfn.XLOOKUP(наценкад5[[#This Row],[№]],ППД5[№],ППД5[Ванная],"-",0)</f>
        <v>3.55</v>
      </c>
      <c r="H504" s="72">
        <f>_xlfn.XLOOKUP(наценкад5[[#This Row],[№]],ППД5[№],ППД5[Гардеробная],"-",0)</f>
        <v>0</v>
      </c>
      <c r="I504" s="72">
        <f>_xlfn.XLOOKUP(наценкад5[[#This Row],[№]],ППД5[№],ППД5[Лоджия 2],"-",0)</f>
        <v>0</v>
      </c>
      <c r="J504" s="72">
        <f>_xlfn.XLOOKUP(наценкад5[[#This Row],[№]],ППД5[№],ППД5[С\У],"-",0)</f>
        <v>2.41</v>
      </c>
      <c r="K504" s="72">
        <f>_xlfn.XLOOKUP(наценкад5[[#This Row],[№]],ППД5[№],ППД5[Расчетная проектная площадь],"-",0)</f>
        <v>43.21</v>
      </c>
      <c r="L504" s="12">
        <f t="shared" si="7"/>
        <v>63000</v>
      </c>
      <c r="M504" s="102">
        <f>коэффициенты!$G$2</f>
        <v>1.2875000000000001</v>
      </c>
      <c r="N504" s="13">
        <f>наценкад5[[#This Row],[Цена м2 базовая]]*наценкад5[[#This Row],[Базовой K]]</f>
        <v>81112.5</v>
      </c>
      <c r="O504" s="76">
        <f>коэффициенты!$G$4</f>
        <v>0.02</v>
      </c>
      <c r="P504" s="74"/>
      <c r="Q504" s="74"/>
      <c r="R504" s="74">
        <f>коэффициенты!$G$10</f>
        <v>0.01</v>
      </c>
      <c r="S504" s="74">
        <f>коэффициенты!$G$9</f>
        <v>0</v>
      </c>
      <c r="T504" s="74"/>
      <c r="U504" s="74"/>
      <c r="V504" s="74"/>
      <c r="W504" s="75"/>
      <c r="X504" s="74"/>
      <c r="Y504" s="75"/>
      <c r="Z504" s="74"/>
      <c r="AA504" s="74"/>
      <c r="AB504" s="74"/>
      <c r="AC504" s="74"/>
      <c r="AD504" s="74">
        <f>коэффициенты!$G$19</f>
        <v>0.01</v>
      </c>
      <c r="AE504" s="74"/>
      <c r="AF504" s="74">
        <f>коэффициенты!$G$21</f>
        <v>0.01</v>
      </c>
      <c r="AG504" s="74"/>
      <c r="AH504" s="74"/>
      <c r="AI504" s="73">
        <f>SUM(наценкад5[[#This Row],[еврокухня]:[большая площадь]])*наценкад5[[#This Row],[Цена м2 с базовым K]]+наценкад5[[#This Row],[Цена м2 с базовым K]]</f>
        <v>85168.125</v>
      </c>
      <c r="AJ504" s="72">
        <f>VLOOKUP(наценкад5[[#This Row],[№]],ППД5[],COLUMN(ППД5[[#This Row],[утв цена м2]]),0)</f>
        <v>106699.45</v>
      </c>
      <c r="AK504" s="3">
        <f>наценкад5[[#This Row],[утв цена м2]]*наценкад5[[#This Row],[Расчетная проектная площадь]]</f>
        <v>4610483.2345000003</v>
      </c>
      <c r="AL504" s="22" t="str">
        <f>VLOOKUP(наценкад5[[#This Row],[№]],ППД5[],COLUMN('Реестр ОН'!$DF$1),0)</f>
        <v>Продажа</v>
      </c>
    </row>
    <row r="505" spans="1:38" hidden="1" x14ac:dyDescent="0.25">
      <c r="A505" s="101">
        <v>503</v>
      </c>
      <c r="B505" s="2" t="str">
        <f>_xlfn.XLOOKUP(наценкад5[[#This Row],[№]],ППД5[№],ППД5[Секция],"-",0)</f>
        <v>Г</v>
      </c>
      <c r="C505" s="2">
        <f>_xlfn.XLOOKUP(наценкад5[[#This Row],[№]],ППД5[№],ППД5[Этаж],"-",0)</f>
        <v>15</v>
      </c>
      <c r="D505" s="2">
        <f>_xlfn.XLOOKUP(наценкад5[[#This Row],[№]],ППД5[№],ППД5[№ на этаже],"-",0)</f>
        <v>3</v>
      </c>
      <c r="E505" s="2">
        <f>_xlfn.XLOOKUP(наценкад5[[#This Row],[№]],ППД5[№],ППД5[Тип кв],"-",0)</f>
        <v>0</v>
      </c>
      <c r="F505" s="72">
        <f>_xlfn.XLOOKUP(наценкад5[[#This Row],[№]],ППД5[№],ППД5[Кухня],"-",0)</f>
        <v>5.17</v>
      </c>
      <c r="G505" s="72">
        <f>_xlfn.XLOOKUP(наценкад5[[#This Row],[№]],ППД5[№],ППД5[Ванная],"-",0)</f>
        <v>3.71</v>
      </c>
      <c r="H505" s="72">
        <f>_xlfn.XLOOKUP(наценкад5[[#This Row],[№]],ППД5[№],ППД5[Гардеробная],"-",0)</f>
        <v>0</v>
      </c>
      <c r="I505" s="72">
        <f>_xlfn.XLOOKUP(наценкад5[[#This Row],[№]],ППД5[№],ППД5[Лоджия 2],"-",0)</f>
        <v>0</v>
      </c>
      <c r="J505" s="72">
        <f>_xlfn.XLOOKUP(наценкад5[[#This Row],[№]],ППД5[№],ППД5[С\У],"-",0)</f>
        <v>0</v>
      </c>
      <c r="K505" s="72">
        <f>_xlfn.XLOOKUP(наценкад5[[#This Row],[№]],ППД5[№],ППД5[Расчетная проектная площадь],"-",0)</f>
        <v>24.5</v>
      </c>
      <c r="L505" s="12">
        <f t="shared" si="7"/>
        <v>63000</v>
      </c>
      <c r="M505" s="116">
        <f>коэффициенты!$H$2</f>
        <v>1.3905000000000001</v>
      </c>
      <c r="N505" s="13">
        <f>наценкад5[[#This Row],[Цена м2 базовая]]*наценкад5[[#This Row],[Базовой K]]</f>
        <v>87601.5</v>
      </c>
      <c r="O505" s="74"/>
      <c r="P505" s="74"/>
      <c r="Q505" s="74"/>
      <c r="R505" s="74"/>
      <c r="S505" s="74"/>
      <c r="T505" s="74"/>
      <c r="U505" s="74"/>
      <c r="V505" s="74">
        <f>коэффициенты!$H$11</f>
        <v>0.01</v>
      </c>
      <c r="W505" s="75"/>
      <c r="X505" s="74">
        <f>коэффициенты!$H$13</f>
        <v>0.01</v>
      </c>
      <c r="Y505" s="75"/>
      <c r="Z505" s="74"/>
      <c r="AA505" s="74"/>
      <c r="AB505" s="74"/>
      <c r="AC505" s="74"/>
      <c r="AD505" s="74">
        <f>коэффициенты!$H$19</f>
        <v>0.01</v>
      </c>
      <c r="AE505" s="74"/>
      <c r="AF505" s="74">
        <f>коэффициенты!$H$21</f>
        <v>0.01</v>
      </c>
      <c r="AG505" s="74"/>
      <c r="AH505" s="74"/>
      <c r="AI505" s="73">
        <f>SUM(наценкад5[[#This Row],[еврокухня]:[большая площадь]])*наценкад5[[#This Row],[Цена м2 с базовым K]]+наценкад5[[#This Row],[Цена м2 с базовым K]]</f>
        <v>91105.56</v>
      </c>
      <c r="AJ505" s="72">
        <f>VLOOKUP(наценкад5[[#This Row],[№]],ППД5[],COLUMN(ППД5[[#This Row],[утв цена м2]]),0)</f>
        <v>143474.54</v>
      </c>
      <c r="AK505" s="3">
        <f>наценкад5[[#This Row],[утв цена м2]]*наценкад5[[#This Row],[Расчетная проектная площадь]]</f>
        <v>3515126.23</v>
      </c>
      <c r="AL505" s="22" t="str">
        <f>VLOOKUP(наценкад5[[#This Row],[№]],ППД5[],COLUMN('Реестр ОН'!$DF$1),0)</f>
        <v>Продажа</v>
      </c>
    </row>
    <row r="506" spans="1:38" hidden="1" x14ac:dyDescent="0.25">
      <c r="A506" s="101">
        <v>504</v>
      </c>
      <c r="B506" s="2" t="str">
        <f>_xlfn.XLOOKUP(наценкад5[[#This Row],[№]],ППД5[№],ППД5[Секция],"-",0)</f>
        <v>Г</v>
      </c>
      <c r="C506" s="2">
        <f>_xlfn.XLOOKUP(наценкад5[[#This Row],[№]],ППД5[№],ППД5[Этаж],"-",0)</f>
        <v>15</v>
      </c>
      <c r="D506" s="2">
        <f>_xlfn.XLOOKUP(наценкад5[[#This Row],[№]],ППД5[№],ППД5[№ на этаже],"-",0)</f>
        <v>4</v>
      </c>
      <c r="E506" s="2">
        <f>_xlfn.XLOOKUP(наценкад5[[#This Row],[№]],ППД5[№],ППД5[Тип кв],"-",0)</f>
        <v>2</v>
      </c>
      <c r="F506" s="72">
        <f>_xlfn.XLOOKUP(наценкад5[[#This Row],[№]],ППД5[№],ППД5[Кухня],"-",0)</f>
        <v>15.86</v>
      </c>
      <c r="G506" s="72">
        <f>_xlfn.XLOOKUP(наценкад5[[#This Row],[№]],ППД5[№],ППД5[Ванная],"-",0)</f>
        <v>3.01</v>
      </c>
      <c r="H506" s="72">
        <f>_xlfn.XLOOKUP(наценкад5[[#This Row],[№]],ППД5[№],ППД5[Гардеробная],"-",0)</f>
        <v>0</v>
      </c>
      <c r="I506" s="72">
        <f>_xlfn.XLOOKUP(наценкад5[[#This Row],[№]],ППД5[№],ППД5[Лоджия 2],"-",0)</f>
        <v>0</v>
      </c>
      <c r="J506" s="72">
        <f>_xlfn.XLOOKUP(наценкад5[[#This Row],[№]],ППД5[№],ППД5[С\У],"-",0)</f>
        <v>2.67</v>
      </c>
      <c r="K506" s="72">
        <f>_xlfn.XLOOKUP(наценкад5[[#This Row],[№]],ППД5[№],ППД5[Расчетная проектная площадь],"-",0)</f>
        <v>58.24</v>
      </c>
      <c r="L506" s="12">
        <f t="shared" si="7"/>
        <v>63000</v>
      </c>
      <c r="M506" s="102">
        <f>коэффициенты!$F$2</f>
        <v>1.2257</v>
      </c>
      <c r="N506" s="13">
        <f>наценкад5[[#This Row],[Цена м2 базовая]]*наценкад5[[#This Row],[Базовой K]]</f>
        <v>77219.100000000006</v>
      </c>
      <c r="O506" s="76">
        <f>коэффициенты!$F$4</f>
        <v>1.4999999999999999E-2</v>
      </c>
      <c r="P506" s="74"/>
      <c r="Q506" s="76"/>
      <c r="R506" s="76">
        <f>коэффициенты!$F$10</f>
        <v>0</v>
      </c>
      <c r="S506" s="76">
        <f>коэффициенты!$F$9</f>
        <v>0</v>
      </c>
      <c r="T506" s="74"/>
      <c r="U506" s="74"/>
      <c r="V506" s="74"/>
      <c r="W506" s="75"/>
      <c r="X506" s="74"/>
      <c r="Y506" s="75"/>
      <c r="Z506" s="74"/>
      <c r="AA506" s="74"/>
      <c r="AB506" s="74"/>
      <c r="AC506" s="74"/>
      <c r="AD506" s="74">
        <f>коэффициенты!$F$19</f>
        <v>5.0000000000000001E-3</v>
      </c>
      <c r="AE506" s="74"/>
      <c r="AF506" s="74">
        <f>коэффициенты!$F$21</f>
        <v>0.01</v>
      </c>
      <c r="AG506" s="74"/>
      <c r="AH506" s="74"/>
      <c r="AI506" s="73">
        <f>SUM(наценкад5[[#This Row],[еврокухня]:[большая площадь]])*наценкад5[[#This Row],[Цена м2 с базовым K]]+наценкад5[[#This Row],[Цена м2 с базовым K]]</f>
        <v>79535.67300000001</v>
      </c>
      <c r="AJ506" s="72">
        <f>VLOOKUP(наценкад5[[#This Row],[№]],ППД5[],COLUMN(ППД5[[#This Row],[утв цена м2]]),0)</f>
        <v>86017.83</v>
      </c>
      <c r="AK506" s="3">
        <f>наценкад5[[#This Row],[утв цена м2]]*наценкад5[[#This Row],[Расчетная проектная площадь]]</f>
        <v>5009678.4192000004</v>
      </c>
      <c r="AL506" s="22" t="str">
        <f>VLOOKUP(наценкад5[[#This Row],[№]],ППД5[],COLUMN('Реестр ОН'!$DF$1),0)</f>
        <v>Продажа</v>
      </c>
    </row>
    <row r="507" spans="1:38" hidden="1" x14ac:dyDescent="0.25">
      <c r="A507" s="101">
        <v>505</v>
      </c>
      <c r="B507" s="2" t="str">
        <f>_xlfn.XLOOKUP(наценкад5[[#This Row],[№]],ППД5[№],ППД5[Секция],"-",0)</f>
        <v>Г</v>
      </c>
      <c r="C507" s="2">
        <f>_xlfn.XLOOKUP(наценкад5[[#This Row],[№]],ППД5[№],ППД5[Этаж],"-",0)</f>
        <v>15</v>
      </c>
      <c r="D507" s="2">
        <f>_xlfn.XLOOKUP(наценкад5[[#This Row],[№]],ППД5[№],ППД5[№ на этаже],"-",0)</f>
        <v>5</v>
      </c>
      <c r="E507" s="2">
        <f>_xlfn.XLOOKUP(наценкад5[[#This Row],[№]],ППД5[№],ППД5[Тип кв],"-",0)</f>
        <v>2</v>
      </c>
      <c r="F507" s="72">
        <f>_xlfn.XLOOKUP(наценкад5[[#This Row],[№]],ППД5[№],ППД5[Кухня],"-",0)</f>
        <v>13.45</v>
      </c>
      <c r="G507" s="72">
        <f>_xlfn.XLOOKUP(наценкад5[[#This Row],[№]],ППД5[№],ППД5[Ванная],"-",0)</f>
        <v>3.7</v>
      </c>
      <c r="H507" s="72">
        <f>_xlfn.XLOOKUP(наценкад5[[#This Row],[№]],ППД5[№],ППД5[Гардеробная],"-",0)</f>
        <v>0</v>
      </c>
      <c r="I507" s="72">
        <f>_xlfn.XLOOKUP(наценкад5[[#This Row],[№]],ППД5[№],ППД5[Лоджия 2],"-",0)</f>
        <v>0</v>
      </c>
      <c r="J507" s="72">
        <f>_xlfn.XLOOKUP(наценкад5[[#This Row],[№]],ППД5[№],ППД5[С\У],"-",0)</f>
        <v>2.72</v>
      </c>
      <c r="K507" s="72">
        <f>_xlfn.XLOOKUP(наценкад5[[#This Row],[№]],ППД5[№],ППД5[Расчетная проектная площадь],"-",0)</f>
        <v>57.8</v>
      </c>
      <c r="L507" s="12">
        <f t="shared" si="7"/>
        <v>63000</v>
      </c>
      <c r="M507" s="102">
        <f>коэффициенты!$F$2</f>
        <v>1.2257</v>
      </c>
      <c r="N507" s="13">
        <f>наценкад5[[#This Row],[Цена м2 базовая]]*наценкад5[[#This Row],[Базовой K]]</f>
        <v>77219.100000000006</v>
      </c>
      <c r="O507" s="74"/>
      <c r="P507" s="74">
        <f>коэффициенты!$F$5</f>
        <v>0.01</v>
      </c>
      <c r="Q507" s="76"/>
      <c r="R507" s="76"/>
      <c r="S507" s="76">
        <f>коэффициенты!$F$9</f>
        <v>0</v>
      </c>
      <c r="T507" s="74"/>
      <c r="U507" s="74"/>
      <c r="V507" s="74"/>
      <c r="W507" s="74"/>
      <c r="X507" s="74"/>
      <c r="Y507" s="75"/>
      <c r="Z507" s="74"/>
      <c r="AA507" s="74"/>
      <c r="AB507" s="74"/>
      <c r="AC507" s="74"/>
      <c r="AD507" s="74">
        <f>коэффициенты!$F$19</f>
        <v>5.0000000000000001E-3</v>
      </c>
      <c r="AE507" s="74"/>
      <c r="AF507" s="74">
        <f>коэффициенты!$F$21</f>
        <v>0.01</v>
      </c>
      <c r="AG507" s="74"/>
      <c r="AH507" s="74"/>
      <c r="AI507" s="73">
        <f>SUM(наценкад5[[#This Row],[еврокухня]:[большая площадь]])*наценкад5[[#This Row],[Цена м2 с базовым K]]+наценкад5[[#This Row],[Цена м2 с базовым K]]</f>
        <v>79149.577499999999</v>
      </c>
      <c r="AJ507" s="72">
        <f>VLOOKUP(наценкад5[[#This Row],[№]],ППД5[],COLUMN(ППД5[[#This Row],[утв цена м2]]),0)</f>
        <v>85600.27</v>
      </c>
      <c r="AK507" s="3">
        <f>наценкад5[[#This Row],[утв цена м2]]*наценкад5[[#This Row],[Расчетная проектная площадь]]</f>
        <v>4947695.6059999997</v>
      </c>
      <c r="AL507" s="22" t="str">
        <f>VLOOKUP(наценкад5[[#This Row],[№]],ППД5[],COLUMN('Реестр ОН'!$DF$1),0)</f>
        <v>Продажа</v>
      </c>
    </row>
    <row r="508" spans="1:38" hidden="1" x14ac:dyDescent="0.25">
      <c r="A508" s="101">
        <v>506</v>
      </c>
      <c r="B508" s="2" t="str">
        <f>_xlfn.XLOOKUP(наценкад5[[#This Row],[№]],ППД5[№],ППД5[Секция],"-",0)</f>
        <v>Г</v>
      </c>
      <c r="C508" s="2">
        <f>_xlfn.XLOOKUP(наценкад5[[#This Row],[№]],ППД5[№],ППД5[Этаж],"-",0)</f>
        <v>15</v>
      </c>
      <c r="D508" s="2">
        <f>_xlfn.XLOOKUP(наценкад5[[#This Row],[№]],ППД5[№],ППД5[№ на этаже],"-",0)</f>
        <v>6</v>
      </c>
      <c r="E508" s="2">
        <f>_xlfn.XLOOKUP(наценкад5[[#This Row],[№]],ППД5[№],ППД5[Тип кв],"-",0)</f>
        <v>1</v>
      </c>
      <c r="F508" s="72">
        <f>_xlfn.XLOOKUP(наценкад5[[#This Row],[№]],ППД5[№],ППД5[Кухня],"-",0)</f>
        <v>12.55</v>
      </c>
      <c r="G508" s="72">
        <f>_xlfn.XLOOKUP(наценкад5[[#This Row],[№]],ППД5[№],ППД5[Ванная],"-",0)</f>
        <v>4.28</v>
      </c>
      <c r="H508" s="72">
        <f>_xlfn.XLOOKUP(наценкад5[[#This Row],[№]],ППД5[№],ППД5[Гардеробная],"-",0)</f>
        <v>0</v>
      </c>
      <c r="I508" s="72">
        <f>_xlfn.XLOOKUP(наценкад5[[#This Row],[№]],ППД5[№],ППД5[Лоджия 2],"-",0)</f>
        <v>0</v>
      </c>
      <c r="J508" s="72">
        <f>_xlfn.XLOOKUP(наценкад5[[#This Row],[№]],ППД5[№],ППД5[С\У],"-",0)</f>
        <v>0</v>
      </c>
      <c r="K508" s="72">
        <f>_xlfn.XLOOKUP(наценкад5[[#This Row],[№]],ППД5[№],ППД5[Расчетная проектная площадь],"-",0)</f>
        <v>38.299999999999997</v>
      </c>
      <c r="L508" s="12">
        <f t="shared" si="7"/>
        <v>63000</v>
      </c>
      <c r="M508" s="102">
        <f>коэффициенты!$G$2</f>
        <v>1.2875000000000001</v>
      </c>
      <c r="N508" s="13">
        <f>наценкад5[[#This Row],[Цена м2 базовая]]*наценкад5[[#This Row],[Базовой K]]</f>
        <v>81112.5</v>
      </c>
      <c r="O508" s="74"/>
      <c r="P508" s="76">
        <f>коэффициенты!$G$5</f>
        <v>0.01</v>
      </c>
      <c r="Q508" s="74">
        <f>коэффициенты!$G$6</f>
        <v>0.03</v>
      </c>
      <c r="R508" s="74"/>
      <c r="S508" s="74"/>
      <c r="T508" s="74"/>
      <c r="U508" s="74"/>
      <c r="V508" s="74">
        <f>коэффициенты!$G$11</f>
        <v>0.01</v>
      </c>
      <c r="W508" s="74"/>
      <c r="X508" s="74">
        <f>коэффициенты!$G$13</f>
        <v>0.01</v>
      </c>
      <c r="Y508" s="75"/>
      <c r="Z508" s="74"/>
      <c r="AA508" s="74"/>
      <c r="AB508" s="74"/>
      <c r="AC508" s="74"/>
      <c r="AD508" s="74">
        <f>коэффициенты!$G$19</f>
        <v>0.01</v>
      </c>
      <c r="AE508" s="74"/>
      <c r="AF508" s="74">
        <f>коэффициенты!$G$21</f>
        <v>0.01</v>
      </c>
      <c r="AG508" s="74"/>
      <c r="AH508" s="74"/>
      <c r="AI508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508" s="72">
        <f>VLOOKUP(наценкад5[[#This Row],[№]],ППД5[],COLUMN(ППД5[[#This Row],[утв цена м2]]),0)</f>
        <v>111399.71</v>
      </c>
      <c r="AK508" s="3">
        <f>наценкад5[[#This Row],[утв цена м2]]*наценкад5[[#This Row],[Расчетная проектная площадь]]</f>
        <v>4266608.8930000002</v>
      </c>
      <c r="AL508" s="22" t="str">
        <f>VLOOKUP(наценкад5[[#This Row],[№]],ППД5[],COLUMN('Реестр ОН'!$DF$1),0)</f>
        <v>Продажа</v>
      </c>
    </row>
    <row r="509" spans="1:38" hidden="1" x14ac:dyDescent="0.25">
      <c r="A509" s="101">
        <v>507</v>
      </c>
      <c r="B509" s="2" t="str">
        <f>_xlfn.XLOOKUP(наценкад5[[#This Row],[№]],ППД5[№],ППД5[Секция],"-",0)</f>
        <v>Г</v>
      </c>
      <c r="C509" s="2">
        <f>_xlfn.XLOOKUP(наценкад5[[#This Row],[№]],ППД5[№],ППД5[Этаж],"-",0)</f>
        <v>15</v>
      </c>
      <c r="D509" s="2">
        <f>_xlfn.XLOOKUP(наценкад5[[#This Row],[№]],ППД5[№],ППД5[№ на этаже],"-",0)</f>
        <v>7</v>
      </c>
      <c r="E509" s="2">
        <f>_xlfn.XLOOKUP(наценкад5[[#This Row],[№]],ППД5[№],ППД5[Тип кв],"-",0)</f>
        <v>3</v>
      </c>
      <c r="F509" s="72">
        <f>_xlfn.XLOOKUP(наценкад5[[#This Row],[№]],ППД5[№],ППД5[Кухня],"-",0)</f>
        <v>16.670000000000002</v>
      </c>
      <c r="G509" s="72">
        <f>_xlfn.XLOOKUP(наценкад5[[#This Row],[№]],ППД5[№],ППД5[Ванная],"-",0)</f>
        <v>4.1399999999999997</v>
      </c>
      <c r="H509" s="72">
        <f>_xlfn.XLOOKUP(наценкад5[[#This Row],[№]],ППД5[№],ППД5[Гардеробная],"-",0)</f>
        <v>0</v>
      </c>
      <c r="I509" s="72">
        <f>_xlfn.XLOOKUP(наценкад5[[#This Row],[№]],ППД5[№],ППД5[Лоджия 2],"-",0)</f>
        <v>2.79</v>
      </c>
      <c r="J509" s="72">
        <f>_xlfn.XLOOKUP(наценкад5[[#This Row],[№]],ППД5[№],ППД5[С\У],"-",0)</f>
        <v>1.89</v>
      </c>
      <c r="K509" s="72">
        <f>_xlfn.XLOOKUP(наценкад5[[#This Row],[№]],ППД5[№],ППД5[Расчетная проектная площадь],"-",0)</f>
        <v>79.44</v>
      </c>
      <c r="L509" s="12">
        <f t="shared" si="7"/>
        <v>63000</v>
      </c>
      <c r="M509" s="27">
        <f>коэффициенты!$E$2</f>
        <v>1.1330000000000002</v>
      </c>
      <c r="N509" s="13">
        <f>наценкад5[[#This Row],[Цена м2 базовая]]*наценкад5[[#This Row],[Базовой K]]</f>
        <v>71379.000000000015</v>
      </c>
      <c r="O509" s="74">
        <f>коэффициенты!$E$4</f>
        <v>0.03</v>
      </c>
      <c r="P509" s="74"/>
      <c r="Q509" s="74">
        <f>коэффициенты!$E$6</f>
        <v>0.01</v>
      </c>
      <c r="R509" s="74"/>
      <c r="S509" s="74">
        <f>коэффициенты!$E$9</f>
        <v>0</v>
      </c>
      <c r="T509" s="74">
        <f>коэффициенты!$E$7</f>
        <v>0</v>
      </c>
      <c r="U509" s="74">
        <f>коэффициенты!$E$8</f>
        <v>0.01</v>
      </c>
      <c r="V509" s="74"/>
      <c r="W509" s="75">
        <f>коэффициенты!$E$12</f>
        <v>0.02</v>
      </c>
      <c r="X509" s="74"/>
      <c r="Y509" s="75"/>
      <c r="Z509" s="74"/>
      <c r="AA509" s="74">
        <f>коэффициенты!$E$14</f>
        <v>0</v>
      </c>
      <c r="AB509" s="74"/>
      <c r="AC509" s="74">
        <f>коэффициенты!$E$18</f>
        <v>0.01</v>
      </c>
      <c r="AD509" s="74"/>
      <c r="AE509" s="74"/>
      <c r="AF509" s="74">
        <f>коэффициенты!$E$21</f>
        <v>0.01</v>
      </c>
      <c r="AG509" s="74"/>
      <c r="AH509" s="74"/>
      <c r="AI509" s="73">
        <f>SUM(наценкад5[[#This Row],[еврокухня]:[большая площадь]])*наценкад5[[#This Row],[Цена м2 с базовым K]]+наценкад5[[#This Row],[Цена м2 с базовым K]]</f>
        <v>77803.110000000015</v>
      </c>
      <c r="AJ509" s="72">
        <f>VLOOKUP(наценкад5[[#This Row],[№]],ППД5[],COLUMN(ППД5[[#This Row],[утв цена м2]]),0)</f>
        <v>100071.77</v>
      </c>
      <c r="AK509" s="3">
        <f>наценкад5[[#This Row],[утв цена м2]]*наценкад5[[#This Row],[Расчетная проектная площадь]]</f>
        <v>7949701.4088000003</v>
      </c>
      <c r="AL509" s="22" t="str">
        <f>VLOOKUP(наценкад5[[#This Row],[№]],ППД5[],COLUMN('Реестр ОН'!$DF$1),0)</f>
        <v>Продажа</v>
      </c>
    </row>
    <row r="510" spans="1:38" hidden="1" x14ac:dyDescent="0.25">
      <c r="A510" s="101">
        <v>508</v>
      </c>
      <c r="B510" s="2" t="str">
        <f>_xlfn.XLOOKUP(наценкад5[[#This Row],[№]],ППД5[№],ППД5[Секция],"-",0)</f>
        <v>Г</v>
      </c>
      <c r="C510" s="2">
        <f>_xlfn.XLOOKUP(наценкад5[[#This Row],[№]],ППД5[№],ППД5[Этаж],"-",0)</f>
        <v>15</v>
      </c>
      <c r="D510" s="2">
        <f>_xlfn.XLOOKUP(наценкад5[[#This Row],[№]],ППД5[№],ППД5[№ на этаже],"-",0)</f>
        <v>8</v>
      </c>
      <c r="E510" s="2">
        <f>_xlfn.XLOOKUP(наценкад5[[#This Row],[№]],ППД5[№],ППД5[Тип кв],"-",0)</f>
        <v>1</v>
      </c>
      <c r="F510" s="72">
        <f>_xlfn.XLOOKUP(наценкад5[[#This Row],[№]],ППД5[№],ППД5[Кухня],"-",0)</f>
        <v>11.43</v>
      </c>
      <c r="G510" s="72">
        <f>_xlfn.XLOOKUP(наценкад5[[#This Row],[№]],ППД5[№],ППД5[Ванная],"-",0)</f>
        <v>3.56</v>
      </c>
      <c r="H510" s="72">
        <f>_xlfn.XLOOKUP(наценкад5[[#This Row],[№]],ППД5[№],ППД5[Гардеробная],"-",0)</f>
        <v>0</v>
      </c>
      <c r="I510" s="72">
        <f>_xlfn.XLOOKUP(наценкад5[[#This Row],[№]],ППД5[№],ППД5[Лоджия 2],"-",0)</f>
        <v>0</v>
      </c>
      <c r="J510" s="72">
        <f>_xlfn.XLOOKUP(наценкад5[[#This Row],[№]],ППД5[№],ППД5[С\У],"-",0)</f>
        <v>0</v>
      </c>
      <c r="K510" s="72">
        <f>_xlfn.XLOOKUP(наценкад5[[#This Row],[№]],ППД5[№],ППД5[Расчетная проектная площадь],"-",0)</f>
        <v>39.69</v>
      </c>
      <c r="L510" s="12">
        <f t="shared" si="7"/>
        <v>63000</v>
      </c>
      <c r="M510" s="102">
        <f>коэффициенты!$G$2</f>
        <v>1.2875000000000001</v>
      </c>
      <c r="N510" s="13">
        <f>наценкад5[[#This Row],[Цена м2 базовая]]*наценкад5[[#This Row],[Базовой K]]</f>
        <v>81112.5</v>
      </c>
      <c r="O510" s="74"/>
      <c r="P510" s="76">
        <f>коэффициенты!$G$5</f>
        <v>0.01</v>
      </c>
      <c r="Q510" s="74"/>
      <c r="R510" s="74"/>
      <c r="S510" s="74"/>
      <c r="T510" s="74"/>
      <c r="U510" s="74"/>
      <c r="V510" s="74">
        <f>коэффициенты!$G$11</f>
        <v>0.01</v>
      </c>
      <c r="W510" s="75">
        <f>коэффициенты!$G$12</f>
        <v>0.02</v>
      </c>
      <c r="X510" s="74"/>
      <c r="Y510" s="75"/>
      <c r="Z510" s="74"/>
      <c r="AA510" s="74">
        <f>коэффициенты!$G$14</f>
        <v>0.01</v>
      </c>
      <c r="AB510" s="74"/>
      <c r="AC510" s="74"/>
      <c r="AD510" s="74">
        <f>коэффициенты!$G$19</f>
        <v>0.01</v>
      </c>
      <c r="AE510" s="74"/>
      <c r="AF510" s="74">
        <f>коэффициенты!$G$21</f>
        <v>0.01</v>
      </c>
      <c r="AG510" s="74">
        <f>коэффициенты!$A$24</f>
        <v>-5.0000000000000001E-3</v>
      </c>
      <c r="AH510" s="74"/>
      <c r="AI510" s="73">
        <f>SUM(наценкад5[[#This Row],[еврокухня]:[большая площадь]])*наценкад5[[#This Row],[Цена м2 с базовым K]]+наценкад5[[#This Row],[Цена м2 с базовым K]]</f>
        <v>86384.8125</v>
      </c>
      <c r="AJ510" s="72">
        <f>VLOOKUP(наценкад5[[#This Row],[№]],ППД5[],COLUMN(ППД5[[#This Row],[утв цена м2]]),0)</f>
        <v>93425.17</v>
      </c>
      <c r="AK510" s="3">
        <f>наценкад5[[#This Row],[утв цена м2]]*наценкад5[[#This Row],[Расчетная проектная площадь]]</f>
        <v>3708044.9972999999</v>
      </c>
      <c r="AL510" s="22" t="str">
        <f>VLOOKUP(наценкад5[[#This Row],[№]],ППД5[],COLUMN('Реестр ОН'!$DF$1),0)</f>
        <v>Продажа</v>
      </c>
    </row>
    <row r="511" spans="1:38" hidden="1" x14ac:dyDescent="0.25">
      <c r="A511" s="101">
        <v>509</v>
      </c>
      <c r="B511" s="2" t="str">
        <f>_xlfn.XLOOKUP(наценкад5[[#This Row],[№]],ППД5[№],ППД5[Секция],"-",0)</f>
        <v>Г</v>
      </c>
      <c r="C511" s="2">
        <f>_xlfn.XLOOKUP(наценкад5[[#This Row],[№]],ППД5[№],ППД5[Этаж],"-",0)</f>
        <v>16</v>
      </c>
      <c r="D511" s="2">
        <f>_xlfn.XLOOKUP(наценкад5[[#This Row],[№]],ППД5[№],ППД5[№ на этаже],"-",0)</f>
        <v>1</v>
      </c>
      <c r="E511" s="2">
        <f>_xlfn.XLOOKUP(наценкад5[[#This Row],[№]],ППД5[№],ППД5[Тип кв],"-",0)</f>
        <v>0</v>
      </c>
      <c r="F511" s="72">
        <f>_xlfn.XLOOKUP(наценкад5[[#This Row],[№]],ППД5[№],ППД5[Кухня],"-",0)</f>
        <v>5.84</v>
      </c>
      <c r="G511" s="72">
        <f>_xlfn.XLOOKUP(наценкад5[[#This Row],[№]],ППД5[№],ППД5[Ванная],"-",0)</f>
        <v>3.76</v>
      </c>
      <c r="H511" s="72">
        <f>_xlfn.XLOOKUP(наценкад5[[#This Row],[№]],ППД5[№],ППД5[Гардеробная],"-",0)</f>
        <v>0</v>
      </c>
      <c r="I511" s="72">
        <f>_xlfn.XLOOKUP(наценкад5[[#This Row],[№]],ППД5[№],ППД5[Лоджия 2],"-",0)</f>
        <v>0</v>
      </c>
      <c r="J511" s="72">
        <f>_xlfn.XLOOKUP(наценкад5[[#This Row],[№]],ППД5[№],ППД5[С\У],"-",0)</f>
        <v>0</v>
      </c>
      <c r="K511" s="72">
        <f>_xlfn.XLOOKUP(наценкад5[[#This Row],[№]],ППД5[№],ППД5[Расчетная проектная площадь],"-",0)</f>
        <v>29.4</v>
      </c>
      <c r="L511" s="12">
        <f t="shared" si="7"/>
        <v>63000</v>
      </c>
      <c r="M511" s="116">
        <f>коэффициенты!$H$2</f>
        <v>1.3905000000000001</v>
      </c>
      <c r="N511" s="13">
        <f>наценкад5[[#This Row],[Цена м2 базовая]]*наценкад5[[#This Row],[Базовой K]]</f>
        <v>87601.5</v>
      </c>
      <c r="O511" s="74"/>
      <c r="P511" s="74"/>
      <c r="Q511" s="74"/>
      <c r="R511" s="74"/>
      <c r="S511" s="74"/>
      <c r="T511" s="74"/>
      <c r="U511" s="74"/>
      <c r="V511" s="74"/>
      <c r="W511" s="75"/>
      <c r="X511" s="74"/>
      <c r="Y511" s="75"/>
      <c r="Z511" s="74"/>
      <c r="AA511" s="74"/>
      <c r="AB511" s="74"/>
      <c r="AC511" s="74"/>
      <c r="AD511" s="74">
        <f>коэффициенты!$H$19</f>
        <v>0.01</v>
      </c>
      <c r="AE511" s="74"/>
      <c r="AF511" s="74">
        <f>коэффициенты!$H$21</f>
        <v>0.01</v>
      </c>
      <c r="AG511" s="74"/>
      <c r="AH511" s="74"/>
      <c r="AI511" s="73">
        <f>SUM(наценкад5[[#This Row],[еврокухня]:[большая площадь]])*наценкад5[[#This Row],[Цена м2 с базовым K]]+наценкад5[[#This Row],[Цена м2 с базовым K]]</f>
        <v>89353.53</v>
      </c>
      <c r="AJ511" s="72">
        <f>VLOOKUP(наценкад5[[#This Row],[№]],ППД5[],COLUMN(ППД5[[#This Row],[утв цена м2]]),0)</f>
        <v>115056.89</v>
      </c>
      <c r="AK511" s="3">
        <f>наценкад5[[#This Row],[утв цена м2]]*наценкад5[[#This Row],[Расчетная проектная площадь]]</f>
        <v>3382672.5659999996</v>
      </c>
      <c r="AL511" s="22" t="str">
        <f>VLOOKUP(наценкад5[[#This Row],[№]],ППД5[],COLUMN('Реестр ОН'!$DF$1),0)</f>
        <v>Продажа</v>
      </c>
    </row>
    <row r="512" spans="1:38" hidden="1" x14ac:dyDescent="0.25">
      <c r="A512" s="101">
        <v>510</v>
      </c>
      <c r="B512" s="2" t="str">
        <f>_xlfn.XLOOKUP(наценкад5[[#This Row],[№]],ППД5[№],ППД5[Секция],"-",0)</f>
        <v>Г</v>
      </c>
      <c r="C512" s="2">
        <f>_xlfn.XLOOKUP(наценкад5[[#This Row],[№]],ППД5[№],ППД5[Этаж],"-",0)</f>
        <v>16</v>
      </c>
      <c r="D512" s="2">
        <f>_xlfn.XLOOKUP(наценкад5[[#This Row],[№]],ППД5[№],ППД5[№ на этаже],"-",0)</f>
        <v>2</v>
      </c>
      <c r="E512" s="2">
        <f>_xlfn.XLOOKUP(наценкад5[[#This Row],[№]],ППД5[№],ППД5[Тип кв],"-",0)</f>
        <v>1</v>
      </c>
      <c r="F512" s="72">
        <f>_xlfn.XLOOKUP(наценкад5[[#This Row],[№]],ППД5[№],ППД5[Кухня],"-",0)</f>
        <v>16.940000000000001</v>
      </c>
      <c r="G512" s="72">
        <f>_xlfn.XLOOKUP(наценкад5[[#This Row],[№]],ППД5[№],ППД5[Ванная],"-",0)</f>
        <v>3.55</v>
      </c>
      <c r="H512" s="72">
        <f>_xlfn.XLOOKUP(наценкад5[[#This Row],[№]],ППД5[№],ППД5[Гардеробная],"-",0)</f>
        <v>0</v>
      </c>
      <c r="I512" s="72">
        <f>_xlfn.XLOOKUP(наценкад5[[#This Row],[№]],ППД5[№],ППД5[Лоджия 2],"-",0)</f>
        <v>0</v>
      </c>
      <c r="J512" s="72">
        <f>_xlfn.XLOOKUP(наценкад5[[#This Row],[№]],ППД5[№],ППД5[С\У],"-",0)</f>
        <v>2.41</v>
      </c>
      <c r="K512" s="72">
        <f>_xlfn.XLOOKUP(наценкад5[[#This Row],[№]],ППД5[№],ППД5[Расчетная проектная площадь],"-",0)</f>
        <v>43.21</v>
      </c>
      <c r="L512" s="12">
        <f t="shared" si="7"/>
        <v>63000</v>
      </c>
      <c r="M512" s="102">
        <f>коэффициенты!$G$2</f>
        <v>1.2875000000000001</v>
      </c>
      <c r="N512" s="13">
        <f>наценкад5[[#This Row],[Цена м2 базовая]]*наценкад5[[#This Row],[Базовой K]]</f>
        <v>81112.5</v>
      </c>
      <c r="O512" s="76">
        <f>коэффициенты!$G$4</f>
        <v>0.02</v>
      </c>
      <c r="P512" s="74"/>
      <c r="Q512" s="74"/>
      <c r="R512" s="74">
        <f>коэффициенты!$G$10</f>
        <v>0.01</v>
      </c>
      <c r="S512" s="74">
        <f>коэффициенты!$G$9</f>
        <v>0</v>
      </c>
      <c r="T512" s="74"/>
      <c r="U512" s="74"/>
      <c r="V512" s="74"/>
      <c r="W512" s="75"/>
      <c r="X512" s="74"/>
      <c r="Y512" s="75"/>
      <c r="Z512" s="74"/>
      <c r="AA512" s="74"/>
      <c r="AB512" s="74"/>
      <c r="AC512" s="74"/>
      <c r="AD512" s="74">
        <f>коэффициенты!$G$19</f>
        <v>0.01</v>
      </c>
      <c r="AE512" s="74"/>
      <c r="AF512" s="74">
        <f>коэффициенты!$G$21</f>
        <v>0.01</v>
      </c>
      <c r="AG512" s="74"/>
      <c r="AH512" s="74"/>
      <c r="AI512" s="73">
        <f>SUM(наценкад5[[#This Row],[еврокухня]:[большая площадь]])*наценкад5[[#This Row],[Цена м2 с базовым K]]+наценкад5[[#This Row],[Цена м2 с базовым K]]</f>
        <v>85168.125</v>
      </c>
      <c r="AJ512" s="72">
        <f>VLOOKUP(наценкад5[[#This Row],[№]],ППД5[],COLUMN(ППД5[[#This Row],[утв цена м2]]),0)</f>
        <v>135472.82999999999</v>
      </c>
      <c r="AK512" s="3">
        <f>наценкад5[[#This Row],[утв цена м2]]*наценкад5[[#This Row],[Расчетная проектная площадь]]</f>
        <v>5853780.9842999997</v>
      </c>
      <c r="AL512" s="22" t="str">
        <f>VLOOKUP(наценкад5[[#This Row],[№]],ППД5[],COLUMN('Реестр ОН'!$DF$1),0)</f>
        <v>Свободно</v>
      </c>
    </row>
    <row r="513" spans="1:38" hidden="1" x14ac:dyDescent="0.25">
      <c r="A513" s="101">
        <v>511</v>
      </c>
      <c r="B513" s="2" t="str">
        <f>_xlfn.XLOOKUP(наценкад5[[#This Row],[№]],ППД5[№],ППД5[Секция],"-",0)</f>
        <v>Г</v>
      </c>
      <c r="C513" s="2">
        <f>_xlfn.XLOOKUP(наценкад5[[#This Row],[№]],ППД5[№],ППД5[Этаж],"-",0)</f>
        <v>16</v>
      </c>
      <c r="D513" s="2">
        <f>_xlfn.XLOOKUP(наценкад5[[#This Row],[№]],ППД5[№],ППД5[№ на этаже],"-",0)</f>
        <v>3</v>
      </c>
      <c r="E513" s="2">
        <f>_xlfn.XLOOKUP(наценкад5[[#This Row],[№]],ППД5[№],ППД5[Тип кв],"-",0)</f>
        <v>0</v>
      </c>
      <c r="F513" s="72">
        <f>_xlfn.XLOOKUP(наценкад5[[#This Row],[№]],ППД5[№],ППД5[Кухня],"-",0)</f>
        <v>5.17</v>
      </c>
      <c r="G513" s="72">
        <f>_xlfn.XLOOKUP(наценкад5[[#This Row],[№]],ППД5[№],ППД5[Ванная],"-",0)</f>
        <v>3.71</v>
      </c>
      <c r="H513" s="72">
        <f>_xlfn.XLOOKUP(наценкад5[[#This Row],[№]],ППД5[№],ППД5[Гардеробная],"-",0)</f>
        <v>0</v>
      </c>
      <c r="I513" s="72">
        <f>_xlfn.XLOOKUP(наценкад5[[#This Row],[№]],ППД5[№],ППД5[Лоджия 2],"-",0)</f>
        <v>0</v>
      </c>
      <c r="J513" s="72">
        <f>_xlfn.XLOOKUP(наценкад5[[#This Row],[№]],ППД5[№],ППД5[С\У],"-",0)</f>
        <v>0</v>
      </c>
      <c r="K513" s="72">
        <f>_xlfn.XLOOKUP(наценкад5[[#This Row],[№]],ППД5[№],ППД5[Расчетная проектная площадь],"-",0)</f>
        <v>24.5</v>
      </c>
      <c r="L513" s="12">
        <f t="shared" si="7"/>
        <v>63000</v>
      </c>
      <c r="M513" s="116">
        <f>коэффициенты!$H$2</f>
        <v>1.3905000000000001</v>
      </c>
      <c r="N513" s="13">
        <f>наценкад5[[#This Row],[Цена м2 базовая]]*наценкад5[[#This Row],[Базовой K]]</f>
        <v>87601.5</v>
      </c>
      <c r="O513" s="74"/>
      <c r="P513" s="74"/>
      <c r="Q513" s="74"/>
      <c r="R513" s="74"/>
      <c r="S513" s="74"/>
      <c r="T513" s="74"/>
      <c r="U513" s="74"/>
      <c r="V513" s="74">
        <f>коэффициенты!$H$11</f>
        <v>0.01</v>
      </c>
      <c r="W513" s="75"/>
      <c r="X513" s="74">
        <f>коэффициенты!$H$13</f>
        <v>0.01</v>
      </c>
      <c r="Y513" s="75"/>
      <c r="Z513" s="74"/>
      <c r="AA513" s="74"/>
      <c r="AB513" s="74"/>
      <c r="AC513" s="74"/>
      <c r="AD513" s="74">
        <f>коэффициенты!$H$19</f>
        <v>0.01</v>
      </c>
      <c r="AE513" s="74"/>
      <c r="AF513" s="74">
        <f>коэффициенты!$H$21</f>
        <v>0.01</v>
      </c>
      <c r="AG513" s="74"/>
      <c r="AH513" s="74"/>
      <c r="AI513" s="73">
        <f>SUM(наценкад5[[#This Row],[еврокухня]:[большая площадь]])*наценкад5[[#This Row],[Цена м2 с базовым K]]+наценкад5[[#This Row],[Цена м2 с базовым K]]</f>
        <v>91105.56</v>
      </c>
      <c r="AJ513" s="72">
        <f>VLOOKUP(наценкад5[[#This Row],[№]],ППД5[],COLUMN(ППД5[[#This Row],[утв цена м2]]),0)</f>
        <v>107398.42</v>
      </c>
      <c r="AK513" s="3">
        <f>наценкад5[[#This Row],[утв цена м2]]*наценкад5[[#This Row],[Расчетная проектная площадь]]</f>
        <v>2631261.29</v>
      </c>
      <c r="AL513" s="22" t="str">
        <f>VLOOKUP(наценкад5[[#This Row],[№]],ППД5[],COLUMN('Реестр ОН'!$DF$1),0)</f>
        <v>Продажа</v>
      </c>
    </row>
    <row r="514" spans="1:38" hidden="1" x14ac:dyDescent="0.25">
      <c r="A514" s="101">
        <v>512</v>
      </c>
      <c r="B514" s="2" t="str">
        <f>_xlfn.XLOOKUP(наценкад5[[#This Row],[№]],ППД5[№],ППД5[Секция],"-",0)</f>
        <v>Г</v>
      </c>
      <c r="C514" s="2">
        <f>_xlfn.XLOOKUP(наценкад5[[#This Row],[№]],ППД5[№],ППД5[Этаж],"-",0)</f>
        <v>16</v>
      </c>
      <c r="D514" s="2">
        <f>_xlfn.XLOOKUP(наценкад5[[#This Row],[№]],ППД5[№],ППД5[№ на этаже],"-",0)</f>
        <v>4</v>
      </c>
      <c r="E514" s="2">
        <f>_xlfn.XLOOKUP(наценкад5[[#This Row],[№]],ППД5[№],ППД5[Тип кв],"-",0)</f>
        <v>2</v>
      </c>
      <c r="F514" s="72">
        <f>_xlfn.XLOOKUP(наценкад5[[#This Row],[№]],ППД5[№],ППД5[Кухня],"-",0)</f>
        <v>15.86</v>
      </c>
      <c r="G514" s="72">
        <f>_xlfn.XLOOKUP(наценкад5[[#This Row],[№]],ППД5[№],ППД5[Ванная],"-",0)</f>
        <v>3.01</v>
      </c>
      <c r="H514" s="72">
        <f>_xlfn.XLOOKUP(наценкад5[[#This Row],[№]],ППД5[№],ППД5[Гардеробная],"-",0)</f>
        <v>0</v>
      </c>
      <c r="I514" s="72">
        <f>_xlfn.XLOOKUP(наценкад5[[#This Row],[№]],ППД5[№],ППД5[Лоджия 2],"-",0)</f>
        <v>0</v>
      </c>
      <c r="J514" s="72">
        <f>_xlfn.XLOOKUP(наценкад5[[#This Row],[№]],ППД5[№],ППД5[С\У],"-",0)</f>
        <v>2.67</v>
      </c>
      <c r="K514" s="72">
        <f>_xlfn.XLOOKUP(наценкад5[[#This Row],[№]],ППД5[№],ППД5[Расчетная проектная площадь],"-",0)</f>
        <v>58.24</v>
      </c>
      <c r="L514" s="12">
        <f t="shared" si="7"/>
        <v>63000</v>
      </c>
      <c r="M514" s="102">
        <f>коэффициенты!$F$2</f>
        <v>1.2257</v>
      </c>
      <c r="N514" s="13">
        <f>наценкад5[[#This Row],[Цена м2 базовая]]*наценкад5[[#This Row],[Базовой K]]</f>
        <v>77219.100000000006</v>
      </c>
      <c r="O514" s="76">
        <f>коэффициенты!$F$4</f>
        <v>1.4999999999999999E-2</v>
      </c>
      <c r="P514" s="74"/>
      <c r="Q514" s="76"/>
      <c r="R514" s="76">
        <f>коэффициенты!$F$10</f>
        <v>0</v>
      </c>
      <c r="S514" s="76">
        <f>коэффициенты!$F$9</f>
        <v>0</v>
      </c>
      <c r="T514" s="74"/>
      <c r="U514" s="74"/>
      <c r="V514" s="74"/>
      <c r="W514" s="75"/>
      <c r="X514" s="74"/>
      <c r="Y514" s="75"/>
      <c r="Z514" s="74"/>
      <c r="AA514" s="74"/>
      <c r="AB514" s="74"/>
      <c r="AC514" s="74"/>
      <c r="AD514" s="74">
        <f>коэффициенты!$F$19</f>
        <v>5.0000000000000001E-3</v>
      </c>
      <c r="AE514" s="74"/>
      <c r="AF514" s="74">
        <f>коэффициенты!$F$21</f>
        <v>0.01</v>
      </c>
      <c r="AG514" s="74"/>
      <c r="AH514" s="74"/>
      <c r="AI514" s="73">
        <f>SUM(наценкад5[[#This Row],[еврокухня]:[большая площадь]])*наценкад5[[#This Row],[Цена м2 с базовым K]]+наценкад5[[#This Row],[Цена м2 с базовым K]]</f>
        <v>79535.67300000001</v>
      </c>
      <c r="AJ514" s="72">
        <f>VLOOKUP(наценкад5[[#This Row],[№]],ППД5[],COLUMN(ППД5[[#This Row],[утв цена м2]]),0)</f>
        <v>97294.19</v>
      </c>
      <c r="AK514" s="3">
        <f>наценкад5[[#This Row],[утв цена м2]]*наценкад5[[#This Row],[Расчетная проектная площадь]]</f>
        <v>5666413.6255999999</v>
      </c>
      <c r="AL514" s="22" t="str">
        <f>VLOOKUP(наценкад5[[#This Row],[№]],ППД5[],COLUMN('Реестр ОН'!$DF$1),0)</f>
        <v>Продажа</v>
      </c>
    </row>
    <row r="515" spans="1:38" hidden="1" x14ac:dyDescent="0.25">
      <c r="A515" s="101">
        <v>513</v>
      </c>
      <c r="B515" s="2" t="str">
        <f>_xlfn.XLOOKUP(наценкад5[[#This Row],[№]],ППД5[№],ППД5[Секция],"-",0)</f>
        <v>Г</v>
      </c>
      <c r="C515" s="2">
        <f>_xlfn.XLOOKUP(наценкад5[[#This Row],[№]],ППД5[№],ППД5[Этаж],"-",0)</f>
        <v>16</v>
      </c>
      <c r="D515" s="2">
        <f>_xlfn.XLOOKUP(наценкад5[[#This Row],[№]],ППД5[№],ППД5[№ на этаже],"-",0)</f>
        <v>5</v>
      </c>
      <c r="E515" s="2">
        <f>_xlfn.XLOOKUP(наценкад5[[#This Row],[№]],ППД5[№],ППД5[Тип кв],"-",0)</f>
        <v>2</v>
      </c>
      <c r="F515" s="72">
        <f>_xlfn.XLOOKUP(наценкад5[[#This Row],[№]],ППД5[№],ППД5[Кухня],"-",0)</f>
        <v>13.45</v>
      </c>
      <c r="G515" s="72">
        <f>_xlfn.XLOOKUP(наценкад5[[#This Row],[№]],ППД5[№],ППД5[Ванная],"-",0)</f>
        <v>3.7</v>
      </c>
      <c r="H515" s="72">
        <f>_xlfn.XLOOKUP(наценкад5[[#This Row],[№]],ППД5[№],ППД5[Гардеробная],"-",0)</f>
        <v>0</v>
      </c>
      <c r="I515" s="72">
        <f>_xlfn.XLOOKUP(наценкад5[[#This Row],[№]],ППД5[№],ППД5[Лоджия 2],"-",0)</f>
        <v>0</v>
      </c>
      <c r="J515" s="72">
        <f>_xlfn.XLOOKUP(наценкад5[[#This Row],[№]],ППД5[№],ППД5[С\У],"-",0)</f>
        <v>2.72</v>
      </c>
      <c r="K515" s="72">
        <f>_xlfn.XLOOKUP(наценкад5[[#This Row],[№]],ППД5[№],ППД5[Расчетная проектная площадь],"-",0)</f>
        <v>57.8</v>
      </c>
      <c r="L515" s="12">
        <f t="shared" ref="L515:L582" si="8">$L$1</f>
        <v>63000</v>
      </c>
      <c r="M515" s="102">
        <f>коэффициенты!$F$2</f>
        <v>1.2257</v>
      </c>
      <c r="N515" s="13">
        <f>наценкад5[[#This Row],[Цена м2 базовая]]*наценкад5[[#This Row],[Базовой K]]</f>
        <v>77219.100000000006</v>
      </c>
      <c r="O515" s="74"/>
      <c r="P515" s="74">
        <f>коэффициенты!$F$5</f>
        <v>0.01</v>
      </c>
      <c r="Q515" s="76"/>
      <c r="R515" s="76"/>
      <c r="S515" s="76">
        <f>коэффициенты!$F$9</f>
        <v>0</v>
      </c>
      <c r="T515" s="74"/>
      <c r="U515" s="74"/>
      <c r="V515" s="74"/>
      <c r="W515" s="75"/>
      <c r="X515" s="74"/>
      <c r="Y515" s="75"/>
      <c r="Z515" s="74"/>
      <c r="AA515" s="74"/>
      <c r="AB515" s="74"/>
      <c r="AC515" s="74"/>
      <c r="AD515" s="74">
        <f>коэффициенты!$F$19</f>
        <v>5.0000000000000001E-3</v>
      </c>
      <c r="AE515" s="74"/>
      <c r="AF515" s="74">
        <f>коэффициенты!$F$21</f>
        <v>0.01</v>
      </c>
      <c r="AG515" s="74"/>
      <c r="AH515" s="74"/>
      <c r="AI515" s="73">
        <f>SUM(наценкад5[[#This Row],[еврокухня]:[большая площадь]])*наценкад5[[#This Row],[Цена м2 с базовым K]]+наценкад5[[#This Row],[Цена м2 с базовым K]]</f>
        <v>79149.577499999999</v>
      </c>
      <c r="AJ515" s="72">
        <f>VLOOKUP(наценкад5[[#This Row],[№]],ППД5[],COLUMN(ППД5[[#This Row],[утв цена м2]]),0)</f>
        <v>121235.05</v>
      </c>
      <c r="AK515" s="3">
        <f>наценкад5[[#This Row],[утв цена м2]]*наценкад5[[#This Row],[Расчетная проектная площадь]]</f>
        <v>7007385.8899999997</v>
      </c>
      <c r="AL515" s="22" t="str">
        <f>VLOOKUP(наценкад5[[#This Row],[№]],ППД5[],COLUMN('Реестр ОН'!$DF$1),0)</f>
        <v>Продажа</v>
      </c>
    </row>
    <row r="516" spans="1:38" hidden="1" x14ac:dyDescent="0.25">
      <c r="A516" s="101">
        <v>514</v>
      </c>
      <c r="B516" s="2" t="str">
        <f>_xlfn.XLOOKUP(наценкад5[[#This Row],[№]],ППД5[№],ППД5[Секция],"-",0)</f>
        <v>Г</v>
      </c>
      <c r="C516" s="2">
        <f>_xlfn.XLOOKUP(наценкад5[[#This Row],[№]],ППД5[№],ППД5[Этаж],"-",0)</f>
        <v>16</v>
      </c>
      <c r="D516" s="2">
        <f>_xlfn.XLOOKUP(наценкад5[[#This Row],[№]],ППД5[№],ППД5[№ на этаже],"-",0)</f>
        <v>6</v>
      </c>
      <c r="E516" s="2">
        <f>_xlfn.XLOOKUP(наценкад5[[#This Row],[№]],ППД5[№],ППД5[Тип кв],"-",0)</f>
        <v>1</v>
      </c>
      <c r="F516" s="72">
        <f>_xlfn.XLOOKUP(наценкад5[[#This Row],[№]],ППД5[№],ППД5[Кухня],"-",0)</f>
        <v>12.55</v>
      </c>
      <c r="G516" s="72">
        <f>_xlfn.XLOOKUP(наценкад5[[#This Row],[№]],ППД5[№],ППД5[Ванная],"-",0)</f>
        <v>4.28</v>
      </c>
      <c r="H516" s="72">
        <f>_xlfn.XLOOKUP(наценкад5[[#This Row],[№]],ППД5[№],ППД5[Гардеробная],"-",0)</f>
        <v>0</v>
      </c>
      <c r="I516" s="72">
        <f>_xlfn.XLOOKUP(наценкад5[[#This Row],[№]],ППД5[№],ППД5[Лоджия 2],"-",0)</f>
        <v>0</v>
      </c>
      <c r="J516" s="72">
        <f>_xlfn.XLOOKUP(наценкад5[[#This Row],[№]],ППД5[№],ППД5[С\У],"-",0)</f>
        <v>0</v>
      </c>
      <c r="K516" s="72">
        <f>_xlfn.XLOOKUP(наценкад5[[#This Row],[№]],ППД5[№],ППД5[Расчетная проектная площадь],"-",0)</f>
        <v>38.299999999999997</v>
      </c>
      <c r="L516" s="12">
        <f t="shared" si="8"/>
        <v>63000</v>
      </c>
      <c r="M516" s="102">
        <f>коэффициенты!$G$2</f>
        <v>1.2875000000000001</v>
      </c>
      <c r="N516" s="13">
        <f>наценкад5[[#This Row],[Цена м2 базовая]]*наценкад5[[#This Row],[Базовой K]]</f>
        <v>81112.5</v>
      </c>
      <c r="O516" s="74"/>
      <c r="P516" s="76">
        <f>коэффициенты!$G$5</f>
        <v>0.01</v>
      </c>
      <c r="Q516" s="74">
        <f>коэффициенты!$G$6</f>
        <v>0.03</v>
      </c>
      <c r="R516" s="74"/>
      <c r="S516" s="74"/>
      <c r="T516" s="74"/>
      <c r="U516" s="74"/>
      <c r="V516" s="74">
        <f>коэффициенты!$G$11</f>
        <v>0.01</v>
      </c>
      <c r="W516" s="75"/>
      <c r="X516" s="74">
        <f>коэффициенты!$G$13</f>
        <v>0.01</v>
      </c>
      <c r="Y516" s="75"/>
      <c r="Z516" s="74"/>
      <c r="AA516" s="74"/>
      <c r="AB516" s="74"/>
      <c r="AC516" s="74"/>
      <c r="AD516" s="74">
        <f>коэффициенты!$G$19</f>
        <v>0.01</v>
      </c>
      <c r="AE516" s="74"/>
      <c r="AF516" s="74">
        <f>коэффициенты!$G$21</f>
        <v>0.01</v>
      </c>
      <c r="AG516" s="74"/>
      <c r="AH516" s="74"/>
      <c r="AI516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516" s="72">
        <f>VLOOKUP(наценкад5[[#This Row],[№]],ППД5[],COLUMN(ППД5[[#This Row],[утв цена м2]]),0)</f>
        <v>138224.76</v>
      </c>
      <c r="AK516" s="3">
        <f>наценкад5[[#This Row],[утв цена м2]]*наценкад5[[#This Row],[Расчетная проектная площадь]]</f>
        <v>5294008.3080000002</v>
      </c>
      <c r="AL516" s="22" t="str">
        <f>VLOOKUP(наценкад5[[#This Row],[№]],ППД5[],COLUMN('Реестр ОН'!$DF$1),0)</f>
        <v>Свободно</v>
      </c>
    </row>
    <row r="517" spans="1:38" hidden="1" x14ac:dyDescent="0.25">
      <c r="A517" s="101">
        <v>515</v>
      </c>
      <c r="B517" s="2" t="str">
        <f>_xlfn.XLOOKUP(наценкад5[[#This Row],[№]],ППД5[№],ППД5[Секция],"-",0)</f>
        <v>Г</v>
      </c>
      <c r="C517" s="2">
        <f>_xlfn.XLOOKUP(наценкад5[[#This Row],[№]],ППД5[№],ППД5[Этаж],"-",0)</f>
        <v>16</v>
      </c>
      <c r="D517" s="2">
        <f>_xlfn.XLOOKUP(наценкад5[[#This Row],[№]],ППД5[№],ППД5[№ на этаже],"-",0)</f>
        <v>7</v>
      </c>
      <c r="E517" s="2">
        <f>_xlfn.XLOOKUP(наценкад5[[#This Row],[№]],ППД5[№],ППД5[Тип кв],"-",0)</f>
        <v>3</v>
      </c>
      <c r="F517" s="72">
        <f>_xlfn.XLOOKUP(наценкад5[[#This Row],[№]],ППД5[№],ППД5[Кухня],"-",0)</f>
        <v>16.670000000000002</v>
      </c>
      <c r="G517" s="72">
        <f>_xlfn.XLOOKUP(наценкад5[[#This Row],[№]],ППД5[№],ППД5[Ванная],"-",0)</f>
        <v>4.1399999999999997</v>
      </c>
      <c r="H517" s="72">
        <f>_xlfn.XLOOKUP(наценкад5[[#This Row],[№]],ППД5[№],ППД5[Гардеробная],"-",0)</f>
        <v>0</v>
      </c>
      <c r="I517" s="72">
        <f>_xlfn.XLOOKUP(наценкад5[[#This Row],[№]],ППД5[№],ППД5[Лоджия 2],"-",0)</f>
        <v>2.79</v>
      </c>
      <c r="J517" s="72">
        <f>_xlfn.XLOOKUP(наценкад5[[#This Row],[№]],ППД5[№],ППД5[С\У],"-",0)</f>
        <v>1.89</v>
      </c>
      <c r="K517" s="72">
        <f>_xlfn.XLOOKUP(наценкад5[[#This Row],[№]],ППД5[№],ППД5[Расчетная проектная площадь],"-",0)</f>
        <v>79.44</v>
      </c>
      <c r="L517" s="12">
        <f t="shared" si="8"/>
        <v>63000</v>
      </c>
      <c r="M517" s="27">
        <f>коэффициенты!$E$2</f>
        <v>1.1330000000000002</v>
      </c>
      <c r="N517" s="13">
        <f>наценкад5[[#This Row],[Цена м2 базовая]]*наценкад5[[#This Row],[Базовой K]]</f>
        <v>71379.000000000015</v>
      </c>
      <c r="O517" s="74">
        <f>коэффициенты!$E$4</f>
        <v>0.03</v>
      </c>
      <c r="P517" s="74"/>
      <c r="Q517" s="74">
        <f>коэффициенты!$E$6</f>
        <v>0.01</v>
      </c>
      <c r="R517" s="74"/>
      <c r="S517" s="74">
        <f>коэффициенты!$E$9</f>
        <v>0</v>
      </c>
      <c r="T517" s="74">
        <f>коэффициенты!$E$7</f>
        <v>0</v>
      </c>
      <c r="U517" s="74">
        <f>коэффициенты!$E$8</f>
        <v>0.01</v>
      </c>
      <c r="V517" s="74"/>
      <c r="W517" s="75"/>
      <c r="X517" s="74"/>
      <c r="Y517" s="75"/>
      <c r="Z517" s="74"/>
      <c r="AA517" s="74">
        <f>коэффициенты!$E$14</f>
        <v>0</v>
      </c>
      <c r="AB517" s="74"/>
      <c r="AC517" s="74">
        <f>коэффициенты!$E$18</f>
        <v>0.01</v>
      </c>
      <c r="AD517" s="74"/>
      <c r="AE517" s="74"/>
      <c r="AF517" s="74">
        <f>коэффициенты!$E$21</f>
        <v>0.01</v>
      </c>
      <c r="AG517" s="74"/>
      <c r="AH517" s="74"/>
      <c r="AI517" s="73">
        <f>SUM(наценкад5[[#This Row],[еврокухня]:[большая площадь]])*наценкад5[[#This Row],[Цена м2 с базовым K]]+наценкад5[[#This Row],[Цена м2 с базовым K]]</f>
        <v>76375.530000000013</v>
      </c>
      <c r="AJ517" s="72">
        <f>VLOOKUP(наценкад5[[#This Row],[№]],ППД5[],COLUMN(ППД5[[#This Row],[утв цена м2]]),0)</f>
        <v>91136.38</v>
      </c>
      <c r="AK517" s="3">
        <f>наценкад5[[#This Row],[утв цена м2]]*наценкад5[[#This Row],[Расчетная проектная площадь]]</f>
        <v>7239874.0272000004</v>
      </c>
      <c r="AL517" s="22" t="str">
        <f>VLOOKUP(наценкад5[[#This Row],[№]],ППД5[],COLUMN('Реестр ОН'!$DF$1),0)</f>
        <v>Продажа</v>
      </c>
    </row>
    <row r="518" spans="1:38" hidden="1" x14ac:dyDescent="0.25">
      <c r="A518" s="101">
        <v>516</v>
      </c>
      <c r="B518" s="2" t="str">
        <f>_xlfn.XLOOKUP(наценкад5[[#This Row],[№]],ППД5[№],ППД5[Секция],"-",0)</f>
        <v>Г</v>
      </c>
      <c r="C518" s="2">
        <f>_xlfn.XLOOKUP(наценкад5[[#This Row],[№]],ППД5[№],ППД5[Этаж],"-",0)</f>
        <v>16</v>
      </c>
      <c r="D518" s="2">
        <f>_xlfn.XLOOKUP(наценкад5[[#This Row],[№]],ППД5[№],ППД5[№ на этаже],"-",0)</f>
        <v>8</v>
      </c>
      <c r="E518" s="2">
        <f>_xlfn.XLOOKUP(наценкад5[[#This Row],[№]],ППД5[№],ППД5[Тип кв],"-",0)</f>
        <v>1</v>
      </c>
      <c r="F518" s="72">
        <f>_xlfn.XLOOKUP(наценкад5[[#This Row],[№]],ППД5[№],ППД5[Кухня],"-",0)</f>
        <v>11.43</v>
      </c>
      <c r="G518" s="72">
        <f>_xlfn.XLOOKUP(наценкад5[[#This Row],[№]],ППД5[№],ППД5[Ванная],"-",0)</f>
        <v>3.56</v>
      </c>
      <c r="H518" s="72">
        <f>_xlfn.XLOOKUP(наценкад5[[#This Row],[№]],ППД5[№],ППД5[Гардеробная],"-",0)</f>
        <v>0</v>
      </c>
      <c r="I518" s="72">
        <f>_xlfn.XLOOKUP(наценкад5[[#This Row],[№]],ППД5[№],ППД5[Лоджия 2],"-",0)</f>
        <v>0</v>
      </c>
      <c r="J518" s="72">
        <f>_xlfn.XLOOKUP(наценкад5[[#This Row],[№]],ППД5[№],ППД5[С\У],"-",0)</f>
        <v>0</v>
      </c>
      <c r="K518" s="72">
        <f>_xlfn.XLOOKUP(наценкад5[[#This Row],[№]],ППД5[№],ППД5[Расчетная проектная площадь],"-",0)</f>
        <v>39.69</v>
      </c>
      <c r="L518" s="12">
        <f t="shared" si="8"/>
        <v>63000</v>
      </c>
      <c r="M518" s="102">
        <f>коэффициенты!$G$2</f>
        <v>1.2875000000000001</v>
      </c>
      <c r="N518" s="13">
        <f>наценкад5[[#This Row],[Цена м2 базовая]]*наценкад5[[#This Row],[Базовой K]]</f>
        <v>81112.5</v>
      </c>
      <c r="O518" s="74"/>
      <c r="P518" s="76">
        <f>коэффициенты!$G$5</f>
        <v>0.01</v>
      </c>
      <c r="Q518" s="74"/>
      <c r="R518" s="74"/>
      <c r="S518" s="74"/>
      <c r="T518" s="74"/>
      <c r="U518" s="74"/>
      <c r="V518" s="74">
        <f>коэффициенты!$G$11</f>
        <v>0.01</v>
      </c>
      <c r="W518" s="75"/>
      <c r="X518" s="74"/>
      <c r="Y518" s="75"/>
      <c r="Z518" s="74"/>
      <c r="AA518" s="74">
        <f>коэффициенты!$G$14</f>
        <v>0.01</v>
      </c>
      <c r="AB518" s="74"/>
      <c r="AC518" s="74"/>
      <c r="AD518" s="74">
        <f>коэффициенты!$G$19</f>
        <v>0.01</v>
      </c>
      <c r="AE518" s="74"/>
      <c r="AF518" s="74">
        <f>коэффициенты!$G$21</f>
        <v>0.01</v>
      </c>
      <c r="AG518" s="74">
        <f>коэффициенты!$A$24</f>
        <v>-5.0000000000000001E-3</v>
      </c>
      <c r="AH518" s="74"/>
      <c r="AI518" s="73">
        <f>SUM(наценкад5[[#This Row],[еврокухня]:[большая площадь]])*наценкад5[[#This Row],[Цена м2 с базовым K]]+наценкад5[[#This Row],[Цена м2 с базовым K]]</f>
        <v>84762.5625</v>
      </c>
      <c r="AJ518" s="72">
        <f>VLOOKUP(наценкад5[[#This Row],[№]],ППД5[],COLUMN(ППД5[[#This Row],[утв цена м2]]),0)</f>
        <v>110420.61</v>
      </c>
      <c r="AK518" s="3">
        <f>наценкад5[[#This Row],[утв цена м2]]*наценкад5[[#This Row],[Расчетная проектная площадь]]</f>
        <v>4382594.0109000001</v>
      </c>
      <c r="AL518" s="22" t="str">
        <f>VLOOKUP(наценкад5[[#This Row],[№]],ППД5[],COLUMN('Реестр ОН'!$DF$1),0)</f>
        <v>Продажа</v>
      </c>
    </row>
    <row r="519" spans="1:38" hidden="1" x14ac:dyDescent="0.25">
      <c r="A519" s="101">
        <v>517</v>
      </c>
      <c r="B519" s="2" t="str">
        <f>_xlfn.XLOOKUP(наценкад5[[#This Row],[№]],ППД5[№],ППД5[Секция],"-",0)</f>
        <v>Г</v>
      </c>
      <c r="C519" s="2">
        <f>_xlfn.XLOOKUP(наценкад5[[#This Row],[№]],ППД5[№],ППД5[Этаж],"-",0)</f>
        <v>17</v>
      </c>
      <c r="D519" s="2">
        <f>_xlfn.XLOOKUP(наценкад5[[#This Row],[№]],ППД5[№],ППД5[№ на этаже],"-",0)</f>
        <v>1</v>
      </c>
      <c r="E519" s="2">
        <f>_xlfn.XLOOKUP(наценкад5[[#This Row],[№]],ППД5[№],ППД5[Тип кв],"-",0)</f>
        <v>0</v>
      </c>
      <c r="F519" s="72">
        <f>_xlfn.XLOOKUP(наценкад5[[#This Row],[№]],ППД5[№],ППД5[Кухня],"-",0)</f>
        <v>5.84</v>
      </c>
      <c r="G519" s="72">
        <f>_xlfn.XLOOKUP(наценкад5[[#This Row],[№]],ППД5[№],ППД5[Ванная],"-",0)</f>
        <v>3.76</v>
      </c>
      <c r="H519" s="72">
        <f>_xlfn.XLOOKUP(наценкад5[[#This Row],[№]],ППД5[№],ППД5[Гардеробная],"-",0)</f>
        <v>0</v>
      </c>
      <c r="I519" s="72">
        <f>_xlfn.XLOOKUP(наценкад5[[#This Row],[№]],ППД5[№],ППД5[Лоджия 2],"-",0)</f>
        <v>0</v>
      </c>
      <c r="J519" s="72">
        <f>_xlfn.XLOOKUP(наценкад5[[#This Row],[№]],ППД5[№],ППД5[С\У],"-",0)</f>
        <v>0</v>
      </c>
      <c r="K519" s="72">
        <f>_xlfn.XLOOKUP(наценкад5[[#This Row],[№]],ППД5[№],ППД5[Расчетная проектная площадь],"-",0)</f>
        <v>29.4</v>
      </c>
      <c r="L519" s="12">
        <f t="shared" si="8"/>
        <v>63000</v>
      </c>
      <c r="M519" s="116">
        <f>коэффициенты!$H$2</f>
        <v>1.3905000000000001</v>
      </c>
      <c r="N519" s="13">
        <f>наценкад5[[#This Row],[Цена м2 базовая]]*наценкад5[[#This Row],[Базовой K]]</f>
        <v>87601.5</v>
      </c>
      <c r="O519" s="74"/>
      <c r="P519" s="74"/>
      <c r="Q519" s="74"/>
      <c r="R519" s="74"/>
      <c r="S519" s="74"/>
      <c r="T519" s="74"/>
      <c r="U519" s="74"/>
      <c r="V519" s="74"/>
      <c r="W519" s="75"/>
      <c r="X519" s="74"/>
      <c r="Y519" s="75"/>
      <c r="Z519" s="74"/>
      <c r="AA519" s="74"/>
      <c r="AB519" s="74"/>
      <c r="AC519" s="74"/>
      <c r="AD519" s="74">
        <f>коэффициенты!$H$19</f>
        <v>0.01</v>
      </c>
      <c r="AE519" s="74"/>
      <c r="AF519" s="74">
        <f>коэффициенты!$H$21</f>
        <v>0.01</v>
      </c>
      <c r="AG519" s="74"/>
      <c r="AH519" s="74"/>
      <c r="AI519" s="73">
        <f>SUM(наценкад5[[#This Row],[еврокухня]:[большая площадь]])*наценкад5[[#This Row],[Цена м2 с базовым K]]+наценкад5[[#This Row],[Цена м2 с базовым K]]</f>
        <v>89353.53</v>
      </c>
      <c r="AJ519" s="72">
        <f>VLOOKUP(наценкад5[[#This Row],[№]],ППД5[],COLUMN(ППД5[[#This Row],[утв цена м2]]),0)</f>
        <v>138650.51</v>
      </c>
      <c r="AK519" s="3">
        <f>наценкад5[[#This Row],[утв цена м2]]*наценкад5[[#This Row],[Расчетная проектная площадь]]</f>
        <v>4076324.9939999999</v>
      </c>
      <c r="AL519" s="22" t="str">
        <f>VLOOKUP(наценкад5[[#This Row],[№]],ППД5[],COLUMN('Реестр ОН'!$DF$1),0)</f>
        <v>Стр. Резерв</v>
      </c>
    </row>
    <row r="520" spans="1:38" hidden="1" x14ac:dyDescent="0.25">
      <c r="A520" s="101">
        <v>518</v>
      </c>
      <c r="B520" s="2" t="str">
        <f>_xlfn.XLOOKUP(наценкад5[[#This Row],[№]],ППД5[№],ППД5[Секция],"-",0)</f>
        <v>Г</v>
      </c>
      <c r="C520" s="2">
        <f>_xlfn.XLOOKUP(наценкад5[[#This Row],[№]],ППД5[№],ППД5[Этаж],"-",0)</f>
        <v>17</v>
      </c>
      <c r="D520" s="2">
        <f>_xlfn.XLOOKUP(наценкад5[[#This Row],[№]],ППД5[№],ППД5[№ на этаже],"-",0)</f>
        <v>2</v>
      </c>
      <c r="E520" s="2">
        <f>_xlfn.XLOOKUP(наценкад5[[#This Row],[№]],ППД5[№],ППД5[Тип кв],"-",0)</f>
        <v>1</v>
      </c>
      <c r="F520" s="72">
        <f>_xlfn.XLOOKUP(наценкад5[[#This Row],[№]],ППД5[№],ППД5[Кухня],"-",0)</f>
        <v>16.940000000000001</v>
      </c>
      <c r="G520" s="72">
        <f>_xlfn.XLOOKUP(наценкад5[[#This Row],[№]],ППД5[№],ППД5[Ванная],"-",0)</f>
        <v>3.55</v>
      </c>
      <c r="H520" s="72">
        <f>_xlfn.XLOOKUP(наценкад5[[#This Row],[№]],ППД5[№],ППД5[Гардеробная],"-",0)</f>
        <v>0</v>
      </c>
      <c r="I520" s="72">
        <f>_xlfn.XLOOKUP(наценкад5[[#This Row],[№]],ППД5[№],ППД5[Лоджия 2],"-",0)</f>
        <v>0</v>
      </c>
      <c r="J520" s="72">
        <f>_xlfn.XLOOKUP(наценкад5[[#This Row],[№]],ППД5[№],ППД5[С\У],"-",0)</f>
        <v>2.41</v>
      </c>
      <c r="K520" s="72">
        <f>_xlfn.XLOOKUP(наценкад5[[#This Row],[№]],ППД5[№],ППД5[Расчетная проектная площадь],"-",0)</f>
        <v>43.21</v>
      </c>
      <c r="L520" s="12">
        <f t="shared" si="8"/>
        <v>63000</v>
      </c>
      <c r="M520" s="102">
        <f>коэффициенты!$G$2</f>
        <v>1.2875000000000001</v>
      </c>
      <c r="N520" s="13">
        <f>наценкад5[[#This Row],[Цена м2 базовая]]*наценкад5[[#This Row],[Базовой K]]</f>
        <v>81112.5</v>
      </c>
      <c r="O520" s="76">
        <f>коэффициенты!$G$4</f>
        <v>0.02</v>
      </c>
      <c r="P520" s="74"/>
      <c r="Q520" s="74"/>
      <c r="R520" s="74">
        <f>коэффициенты!$G$10</f>
        <v>0.01</v>
      </c>
      <c r="S520" s="74">
        <f>коэффициенты!$G$9</f>
        <v>0</v>
      </c>
      <c r="T520" s="74"/>
      <c r="U520" s="74"/>
      <c r="V520" s="74"/>
      <c r="W520" s="75"/>
      <c r="X520" s="74"/>
      <c r="Y520" s="75"/>
      <c r="Z520" s="74"/>
      <c r="AA520" s="74"/>
      <c r="AB520" s="74"/>
      <c r="AC520" s="74"/>
      <c r="AD520" s="74">
        <f>коэффициенты!$G$19</f>
        <v>0.01</v>
      </c>
      <c r="AE520" s="74"/>
      <c r="AF520" s="74">
        <f>коэффициенты!$G$21</f>
        <v>0.01</v>
      </c>
      <c r="AG520" s="74"/>
      <c r="AH520" s="74"/>
      <c r="AI520" s="73">
        <f>SUM(наценкад5[[#This Row],[еврокухня]:[большая площадь]])*наценкад5[[#This Row],[Цена м2 с базовым K]]+наценкад5[[#This Row],[Цена м2 с базовым K]]</f>
        <v>85168.125</v>
      </c>
      <c r="AJ520" s="72">
        <f>VLOOKUP(наценкад5[[#This Row],[№]],ППД5[],COLUMN(ППД5[[#This Row],[утв цена м2]]),0)</f>
        <v>135437.82999999999</v>
      </c>
      <c r="AK520" s="3">
        <f>наценкад5[[#This Row],[утв цена м2]]*наценкад5[[#This Row],[Расчетная проектная площадь]]</f>
        <v>5852268.6342999991</v>
      </c>
      <c r="AL520" s="22" t="str">
        <f>VLOOKUP(наценкад5[[#This Row],[№]],ППД5[],COLUMN('Реестр ОН'!$DF$1),0)</f>
        <v>Продажа</v>
      </c>
    </row>
    <row r="521" spans="1:38" hidden="1" x14ac:dyDescent="0.25">
      <c r="A521" s="101">
        <v>519</v>
      </c>
      <c r="B521" s="2" t="str">
        <f>_xlfn.XLOOKUP(наценкад5[[#This Row],[№]],ППД5[№],ППД5[Секция],"-",0)</f>
        <v>Г</v>
      </c>
      <c r="C521" s="2">
        <f>_xlfn.XLOOKUP(наценкад5[[#This Row],[№]],ППД5[№],ППД5[Этаж],"-",0)</f>
        <v>17</v>
      </c>
      <c r="D521" s="2">
        <f>_xlfn.XLOOKUP(наценкад5[[#This Row],[№]],ППД5[№],ППД5[№ на этаже],"-",0)</f>
        <v>3</v>
      </c>
      <c r="E521" s="2">
        <f>_xlfn.XLOOKUP(наценкад5[[#This Row],[№]],ППД5[№],ППД5[Тип кв],"-",0)</f>
        <v>0</v>
      </c>
      <c r="F521" s="72">
        <f>_xlfn.XLOOKUP(наценкад5[[#This Row],[№]],ППД5[№],ППД5[Кухня],"-",0)</f>
        <v>5.17</v>
      </c>
      <c r="G521" s="72">
        <f>_xlfn.XLOOKUP(наценкад5[[#This Row],[№]],ППД5[№],ППД5[Ванная],"-",0)</f>
        <v>3.71</v>
      </c>
      <c r="H521" s="72">
        <f>_xlfn.XLOOKUP(наценкад5[[#This Row],[№]],ППД5[№],ППД5[Гардеробная],"-",0)</f>
        <v>0</v>
      </c>
      <c r="I521" s="72">
        <f>_xlfn.XLOOKUP(наценкад5[[#This Row],[№]],ППД5[№],ППД5[Лоджия 2],"-",0)</f>
        <v>0</v>
      </c>
      <c r="J521" s="72">
        <f>_xlfn.XLOOKUP(наценкад5[[#This Row],[№]],ППД5[№],ППД5[С\У],"-",0)</f>
        <v>0</v>
      </c>
      <c r="K521" s="72">
        <f>_xlfn.XLOOKUP(наценкад5[[#This Row],[№]],ППД5[№],ППД5[Расчетная проектная площадь],"-",0)</f>
        <v>24.5</v>
      </c>
      <c r="L521" s="12">
        <f t="shared" si="8"/>
        <v>63000</v>
      </c>
      <c r="M521" s="116">
        <f>коэффициенты!$H$2</f>
        <v>1.3905000000000001</v>
      </c>
      <c r="N521" s="13">
        <f>наценкад5[[#This Row],[Цена м2 базовая]]*наценкад5[[#This Row],[Базовой K]]</f>
        <v>87601.5</v>
      </c>
      <c r="O521" s="74"/>
      <c r="P521" s="74"/>
      <c r="Q521" s="74"/>
      <c r="R521" s="74"/>
      <c r="S521" s="74"/>
      <c r="T521" s="74"/>
      <c r="U521" s="74"/>
      <c r="V521" s="74">
        <f>коэффициенты!$H$11</f>
        <v>0.01</v>
      </c>
      <c r="W521" s="75"/>
      <c r="X521" s="74">
        <f>коэффициенты!$H$13</f>
        <v>0.01</v>
      </c>
      <c r="Y521" s="75"/>
      <c r="Z521" s="74"/>
      <c r="AA521" s="74"/>
      <c r="AB521" s="74"/>
      <c r="AC521" s="74"/>
      <c r="AD521" s="74">
        <f>коэффициенты!$H$19</f>
        <v>0.01</v>
      </c>
      <c r="AE521" s="74"/>
      <c r="AF521" s="74">
        <f>коэффициенты!$H$21</f>
        <v>0.01</v>
      </c>
      <c r="AG521" s="74"/>
      <c r="AH521" s="74"/>
      <c r="AI521" s="73">
        <f>SUM(наценкад5[[#This Row],[еврокухня]:[большая площадь]])*наценкад5[[#This Row],[Цена м2 с базовым K]]+наценкад5[[#This Row],[Цена м2 с базовым K]]</f>
        <v>91105.56</v>
      </c>
      <c r="AJ521" s="72">
        <f>VLOOKUP(наценкад5[[#This Row],[№]],ППД5[],COLUMN(ППД5[[#This Row],[утв цена м2]]),0)</f>
        <v>113896.03</v>
      </c>
      <c r="AK521" s="3">
        <f>наценкад5[[#This Row],[утв цена м2]]*наценкад5[[#This Row],[Расчетная проектная площадь]]</f>
        <v>2790452.7349999999</v>
      </c>
      <c r="AL521" s="22" t="str">
        <f>VLOOKUP(наценкад5[[#This Row],[№]],ППД5[],COLUMN('Реестр ОН'!$DF$1),0)</f>
        <v>Продажа</v>
      </c>
    </row>
    <row r="522" spans="1:38" hidden="1" x14ac:dyDescent="0.25">
      <c r="A522" s="101">
        <v>520</v>
      </c>
      <c r="B522" s="2" t="str">
        <f>_xlfn.XLOOKUP(наценкад5[[#This Row],[№]],ППД5[№],ППД5[Секция],"-",0)</f>
        <v>Г</v>
      </c>
      <c r="C522" s="2">
        <f>_xlfn.XLOOKUP(наценкад5[[#This Row],[№]],ППД5[№],ППД5[Этаж],"-",0)</f>
        <v>17</v>
      </c>
      <c r="D522" s="2">
        <f>_xlfn.XLOOKUP(наценкад5[[#This Row],[№]],ППД5[№],ППД5[№ на этаже],"-",0)</f>
        <v>4</v>
      </c>
      <c r="E522" s="2">
        <f>_xlfn.XLOOKUP(наценкад5[[#This Row],[№]],ППД5[№],ППД5[Тип кв],"-",0)</f>
        <v>2</v>
      </c>
      <c r="F522" s="72">
        <f>_xlfn.XLOOKUP(наценкад5[[#This Row],[№]],ППД5[№],ППД5[Кухня],"-",0)</f>
        <v>15.86</v>
      </c>
      <c r="G522" s="72">
        <f>_xlfn.XLOOKUP(наценкад5[[#This Row],[№]],ППД5[№],ППД5[Ванная],"-",0)</f>
        <v>3.01</v>
      </c>
      <c r="H522" s="72">
        <f>_xlfn.XLOOKUP(наценкад5[[#This Row],[№]],ППД5[№],ППД5[Гардеробная],"-",0)</f>
        <v>0</v>
      </c>
      <c r="I522" s="72">
        <f>_xlfn.XLOOKUP(наценкад5[[#This Row],[№]],ППД5[№],ППД5[Лоджия 2],"-",0)</f>
        <v>0</v>
      </c>
      <c r="J522" s="72">
        <f>_xlfn.XLOOKUP(наценкад5[[#This Row],[№]],ППД5[№],ППД5[С\У],"-",0)</f>
        <v>2.67</v>
      </c>
      <c r="K522" s="72">
        <f>_xlfn.XLOOKUP(наценкад5[[#This Row],[№]],ППД5[№],ППД5[Расчетная проектная площадь],"-",0)</f>
        <v>58.24</v>
      </c>
      <c r="L522" s="12">
        <f t="shared" si="8"/>
        <v>63000</v>
      </c>
      <c r="M522" s="102">
        <f>коэффициенты!$F$2</f>
        <v>1.2257</v>
      </c>
      <c r="N522" s="13">
        <f>наценкад5[[#This Row],[Цена м2 базовая]]*наценкад5[[#This Row],[Базовой K]]</f>
        <v>77219.100000000006</v>
      </c>
      <c r="O522" s="76">
        <f>коэффициенты!$F$4</f>
        <v>1.4999999999999999E-2</v>
      </c>
      <c r="P522" s="74"/>
      <c r="Q522" s="76"/>
      <c r="R522" s="76">
        <f>коэффициенты!$F$10</f>
        <v>0</v>
      </c>
      <c r="S522" s="76">
        <f>коэффициенты!$F$9</f>
        <v>0</v>
      </c>
      <c r="T522" s="74"/>
      <c r="U522" s="74"/>
      <c r="V522" s="74"/>
      <c r="W522" s="75"/>
      <c r="X522" s="74"/>
      <c r="Y522" s="75"/>
      <c r="Z522" s="74"/>
      <c r="AA522" s="74"/>
      <c r="AB522" s="74"/>
      <c r="AC522" s="74"/>
      <c r="AD522" s="74">
        <f>коэффициенты!$F$19</f>
        <v>5.0000000000000001E-3</v>
      </c>
      <c r="AE522" s="74"/>
      <c r="AF522" s="74">
        <f>коэффициенты!$F$21</f>
        <v>0.01</v>
      </c>
      <c r="AG522" s="74"/>
      <c r="AH522" s="74"/>
      <c r="AI522" s="73">
        <f>SUM(наценкад5[[#This Row],[еврокухня]:[большая площадь]])*наценкад5[[#This Row],[Цена м2 с базовым K]]+наценкад5[[#This Row],[Цена м2 с базовым K]]</f>
        <v>79535.67300000001</v>
      </c>
      <c r="AJ522" s="72">
        <f>VLOOKUP(наценкад5[[#This Row],[№]],ППД5[],COLUMN(ППД5[[#This Row],[утв цена м2]]),0)</f>
        <v>97294.19</v>
      </c>
      <c r="AK522" s="3">
        <f>наценкад5[[#This Row],[утв цена м2]]*наценкад5[[#This Row],[Расчетная проектная площадь]]</f>
        <v>5666413.6255999999</v>
      </c>
      <c r="AL522" s="22" t="str">
        <f>VLOOKUP(наценкад5[[#This Row],[№]],ППД5[],COLUMN('Реестр ОН'!$DF$1),0)</f>
        <v>Продажа</v>
      </c>
    </row>
    <row r="523" spans="1:38" hidden="1" x14ac:dyDescent="0.25">
      <c r="A523" s="101">
        <v>521</v>
      </c>
      <c r="B523" s="2" t="str">
        <f>_xlfn.XLOOKUP(наценкад5[[#This Row],[№]],ППД5[№],ППД5[Секция],"-",0)</f>
        <v>Г</v>
      </c>
      <c r="C523" s="2">
        <f>_xlfn.XLOOKUP(наценкад5[[#This Row],[№]],ППД5[№],ППД5[Этаж],"-",0)</f>
        <v>17</v>
      </c>
      <c r="D523" s="2">
        <f>_xlfn.XLOOKUP(наценкад5[[#This Row],[№]],ППД5[№],ППД5[№ на этаже],"-",0)</f>
        <v>5</v>
      </c>
      <c r="E523" s="2">
        <f>_xlfn.XLOOKUP(наценкад5[[#This Row],[№]],ППД5[№],ППД5[Тип кв],"-",0)</f>
        <v>2</v>
      </c>
      <c r="F523" s="72">
        <f>_xlfn.XLOOKUP(наценкад5[[#This Row],[№]],ППД5[№],ППД5[Кухня],"-",0)</f>
        <v>13.45</v>
      </c>
      <c r="G523" s="72">
        <f>_xlfn.XLOOKUP(наценкад5[[#This Row],[№]],ППД5[№],ППД5[Ванная],"-",0)</f>
        <v>3.7</v>
      </c>
      <c r="H523" s="72">
        <f>_xlfn.XLOOKUP(наценкад5[[#This Row],[№]],ППД5[№],ППД5[Гардеробная],"-",0)</f>
        <v>0</v>
      </c>
      <c r="I523" s="72">
        <f>_xlfn.XLOOKUP(наценкад5[[#This Row],[№]],ППД5[№],ППД5[Лоджия 2],"-",0)</f>
        <v>0</v>
      </c>
      <c r="J523" s="72">
        <f>_xlfn.XLOOKUP(наценкад5[[#This Row],[№]],ППД5[№],ППД5[С\У],"-",0)</f>
        <v>2.72</v>
      </c>
      <c r="K523" s="72">
        <f>_xlfn.XLOOKUP(наценкад5[[#This Row],[№]],ППД5[№],ППД5[Расчетная проектная площадь],"-",0)</f>
        <v>57.8</v>
      </c>
      <c r="L523" s="12">
        <f t="shared" si="8"/>
        <v>63000</v>
      </c>
      <c r="M523" s="102">
        <f>коэффициенты!$F$2</f>
        <v>1.2257</v>
      </c>
      <c r="N523" s="13">
        <f>наценкад5[[#This Row],[Цена м2 базовая]]*наценкад5[[#This Row],[Базовой K]]</f>
        <v>77219.100000000006</v>
      </c>
      <c r="O523" s="74"/>
      <c r="P523" s="74">
        <f>коэффициенты!$F$5</f>
        <v>0.01</v>
      </c>
      <c r="Q523" s="76"/>
      <c r="R523" s="76"/>
      <c r="S523" s="76">
        <f>коэффициенты!$F$9</f>
        <v>0</v>
      </c>
      <c r="T523" s="74"/>
      <c r="U523" s="74"/>
      <c r="V523" s="74"/>
      <c r="W523" s="75"/>
      <c r="X523" s="74"/>
      <c r="Y523" s="75"/>
      <c r="Z523" s="74"/>
      <c r="AA523" s="74"/>
      <c r="AB523" s="74"/>
      <c r="AC523" s="74"/>
      <c r="AD523" s="74">
        <f>коэффициенты!$F$19</f>
        <v>5.0000000000000001E-3</v>
      </c>
      <c r="AE523" s="74"/>
      <c r="AF523" s="74">
        <f>коэффициенты!$F$21</f>
        <v>0.01</v>
      </c>
      <c r="AG523" s="74"/>
      <c r="AH523" s="74"/>
      <c r="AI523" s="73">
        <f>SUM(наценкад5[[#This Row],[еврокухня]:[большая площадь]])*наценкад5[[#This Row],[Цена м2 с базовым K]]+наценкад5[[#This Row],[Цена м2 с базовым K]]</f>
        <v>79149.577499999999</v>
      </c>
      <c r="AJ523" s="72">
        <f>VLOOKUP(наценкад5[[#This Row],[№]],ППД5[],COLUMN(ППД5[[#This Row],[утв цена м2]]),0)</f>
        <v>95391.02</v>
      </c>
      <c r="AK523" s="3">
        <f>наценкад5[[#This Row],[утв цена м2]]*наценкад5[[#This Row],[Расчетная проектная площадь]]</f>
        <v>5513600.9560000002</v>
      </c>
      <c r="AL523" s="22" t="str">
        <f>VLOOKUP(наценкад5[[#This Row],[№]],ППД5[],COLUMN('Реестр ОН'!$DF$1),0)</f>
        <v>Продажа</v>
      </c>
    </row>
    <row r="524" spans="1:38" hidden="1" x14ac:dyDescent="0.25">
      <c r="A524" s="101">
        <v>522</v>
      </c>
      <c r="B524" s="2" t="str">
        <f>_xlfn.XLOOKUP(наценкад5[[#This Row],[№]],ППД5[№],ППД5[Секция],"-",0)</f>
        <v>Г</v>
      </c>
      <c r="C524" s="2">
        <f>_xlfn.XLOOKUP(наценкад5[[#This Row],[№]],ППД5[№],ППД5[Этаж],"-",0)</f>
        <v>17</v>
      </c>
      <c r="D524" s="2">
        <f>_xlfn.XLOOKUP(наценкад5[[#This Row],[№]],ППД5[№],ППД5[№ на этаже],"-",0)</f>
        <v>6</v>
      </c>
      <c r="E524" s="2">
        <f>_xlfn.XLOOKUP(наценкад5[[#This Row],[№]],ППД5[№],ППД5[Тип кв],"-",0)</f>
        <v>1</v>
      </c>
      <c r="F524" s="72">
        <f>_xlfn.XLOOKUP(наценкад5[[#This Row],[№]],ППД5[№],ППД5[Кухня],"-",0)</f>
        <v>12.55</v>
      </c>
      <c r="G524" s="72">
        <f>_xlfn.XLOOKUP(наценкад5[[#This Row],[№]],ППД5[№],ППД5[Ванная],"-",0)</f>
        <v>4.28</v>
      </c>
      <c r="H524" s="72">
        <f>_xlfn.XLOOKUP(наценкад5[[#This Row],[№]],ППД5[№],ППД5[Гардеробная],"-",0)</f>
        <v>0</v>
      </c>
      <c r="I524" s="72">
        <f>_xlfn.XLOOKUP(наценкад5[[#This Row],[№]],ППД5[№],ППД5[Лоджия 2],"-",0)</f>
        <v>0</v>
      </c>
      <c r="J524" s="72">
        <f>_xlfn.XLOOKUP(наценкад5[[#This Row],[№]],ППД5[№],ППД5[С\У],"-",0)</f>
        <v>0</v>
      </c>
      <c r="K524" s="72">
        <f>_xlfn.XLOOKUP(наценкад5[[#This Row],[№]],ППД5[№],ППД5[Расчетная проектная площадь],"-",0)</f>
        <v>38.299999999999997</v>
      </c>
      <c r="L524" s="12">
        <f t="shared" si="8"/>
        <v>63000</v>
      </c>
      <c r="M524" s="102">
        <f>коэффициенты!$G$2</f>
        <v>1.2875000000000001</v>
      </c>
      <c r="N524" s="13">
        <f>наценкад5[[#This Row],[Цена м2 базовая]]*наценкад5[[#This Row],[Базовой K]]</f>
        <v>81112.5</v>
      </c>
      <c r="O524" s="74"/>
      <c r="P524" s="76">
        <f>коэффициенты!$G$5</f>
        <v>0.01</v>
      </c>
      <c r="Q524" s="74">
        <f>коэффициенты!$G$6</f>
        <v>0.03</v>
      </c>
      <c r="R524" s="74"/>
      <c r="S524" s="74"/>
      <c r="T524" s="74"/>
      <c r="U524" s="74"/>
      <c r="V524" s="74">
        <f>коэффициенты!$G$11</f>
        <v>0.01</v>
      </c>
      <c r="W524" s="75"/>
      <c r="X524" s="74">
        <f>коэффициенты!$G$13</f>
        <v>0.01</v>
      </c>
      <c r="Y524" s="75"/>
      <c r="Z524" s="74"/>
      <c r="AA524" s="74"/>
      <c r="AB524" s="74"/>
      <c r="AC524" s="74"/>
      <c r="AD524" s="74">
        <f>коэффициенты!$G$19</f>
        <v>0.01</v>
      </c>
      <c r="AE524" s="74"/>
      <c r="AF524" s="74">
        <f>коэффициенты!$G$21</f>
        <v>0.01</v>
      </c>
      <c r="AG524" s="74"/>
      <c r="AH524" s="74"/>
      <c r="AI524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524" s="72">
        <f>VLOOKUP(наценкад5[[#This Row],[№]],ППД5[],COLUMN(ППД5[[#This Row],[утв цена м2]]),0)</f>
        <v>100472.85</v>
      </c>
      <c r="AK524" s="3">
        <f>наценкад5[[#This Row],[утв цена м2]]*наценкад5[[#This Row],[Расчетная проектная площадь]]</f>
        <v>3848110.1549999998</v>
      </c>
      <c r="AL524" s="22" t="str">
        <f>VLOOKUP(наценкад5[[#This Row],[№]],ППД5[],COLUMN('Реестр ОН'!$DF$1),0)</f>
        <v>Продажа</v>
      </c>
    </row>
    <row r="525" spans="1:38" hidden="1" x14ac:dyDescent="0.25">
      <c r="A525" s="101">
        <v>523</v>
      </c>
      <c r="B525" s="2" t="str">
        <f>_xlfn.XLOOKUP(наценкад5[[#This Row],[№]],ППД5[№],ППД5[Секция],"-",0)</f>
        <v>Г</v>
      </c>
      <c r="C525" s="2">
        <f>_xlfn.XLOOKUP(наценкад5[[#This Row],[№]],ППД5[№],ППД5[Этаж],"-",0)</f>
        <v>17</v>
      </c>
      <c r="D525" s="2">
        <f>_xlfn.XLOOKUP(наценкад5[[#This Row],[№]],ППД5[№],ППД5[№ на этаже],"-",0)</f>
        <v>7</v>
      </c>
      <c r="E525" s="2">
        <f>_xlfn.XLOOKUP(наценкад5[[#This Row],[№]],ППД5[№],ППД5[Тип кв],"-",0)</f>
        <v>3</v>
      </c>
      <c r="F525" s="72">
        <f>_xlfn.XLOOKUP(наценкад5[[#This Row],[№]],ППД5[№],ППД5[Кухня],"-",0)</f>
        <v>16.670000000000002</v>
      </c>
      <c r="G525" s="72">
        <f>_xlfn.XLOOKUP(наценкад5[[#This Row],[№]],ППД5[№],ППД5[Ванная],"-",0)</f>
        <v>4.1399999999999997</v>
      </c>
      <c r="H525" s="72">
        <f>_xlfn.XLOOKUP(наценкад5[[#This Row],[№]],ППД5[№],ППД5[Гардеробная],"-",0)</f>
        <v>0</v>
      </c>
      <c r="I525" s="72">
        <f>_xlfn.XLOOKUP(наценкад5[[#This Row],[№]],ППД5[№],ППД5[Лоджия 2],"-",0)</f>
        <v>2.79</v>
      </c>
      <c r="J525" s="72">
        <f>_xlfn.XLOOKUP(наценкад5[[#This Row],[№]],ППД5[№],ППД5[С\У],"-",0)</f>
        <v>1.89</v>
      </c>
      <c r="K525" s="72">
        <f>_xlfn.XLOOKUP(наценкад5[[#This Row],[№]],ППД5[№],ППД5[Расчетная проектная площадь],"-",0)</f>
        <v>79.44</v>
      </c>
      <c r="L525" s="12">
        <f t="shared" si="8"/>
        <v>63000</v>
      </c>
      <c r="M525" s="27">
        <f>коэффициенты!$E$2</f>
        <v>1.1330000000000002</v>
      </c>
      <c r="N525" s="13">
        <f>наценкад5[[#This Row],[Цена м2 базовая]]*наценкад5[[#This Row],[Базовой K]]</f>
        <v>71379.000000000015</v>
      </c>
      <c r="O525" s="74">
        <f>коэффициенты!$E$4</f>
        <v>0.03</v>
      </c>
      <c r="P525" s="74"/>
      <c r="Q525" s="74">
        <f>коэффициенты!$E$6</f>
        <v>0.01</v>
      </c>
      <c r="R525" s="74"/>
      <c r="S525" s="74">
        <f>коэффициенты!$E$9</f>
        <v>0</v>
      </c>
      <c r="T525" s="74">
        <f>коэффициенты!$E$7</f>
        <v>0</v>
      </c>
      <c r="U525" s="74">
        <f>коэффициенты!$E$8</f>
        <v>0.01</v>
      </c>
      <c r="V525" s="74"/>
      <c r="W525" s="75">
        <f>коэффициенты!$E$12</f>
        <v>0.02</v>
      </c>
      <c r="X525" s="74"/>
      <c r="Y525" s="75"/>
      <c r="Z525" s="74"/>
      <c r="AA525" s="74">
        <f>коэффициенты!$E$14</f>
        <v>0</v>
      </c>
      <c r="AB525" s="74"/>
      <c r="AC525" s="74">
        <f>коэффициенты!$E$18</f>
        <v>0.01</v>
      </c>
      <c r="AD525" s="74"/>
      <c r="AE525" s="74"/>
      <c r="AF525" s="74">
        <f>коэффициенты!$E$21</f>
        <v>0.01</v>
      </c>
      <c r="AG525" s="74"/>
      <c r="AH525" s="74"/>
      <c r="AI525" s="73">
        <f>SUM(наценкад5[[#This Row],[еврокухня]:[большая площадь]])*наценкад5[[#This Row],[Цена м2 с базовым K]]+наценкад5[[#This Row],[Цена м2 с базовым K]]</f>
        <v>77803.110000000015</v>
      </c>
      <c r="AJ525" s="72">
        <f>VLOOKUP(наценкад5[[#This Row],[№]],ППД5[],COLUMN(ППД5[[#This Row],[утв цена м2]]),0)</f>
        <v>123484.56</v>
      </c>
      <c r="AK525" s="3">
        <f>наценкад5[[#This Row],[утв цена м2]]*наценкад5[[#This Row],[Расчетная проектная площадь]]</f>
        <v>9809613.4463999998</v>
      </c>
      <c r="AL525" s="22" t="str">
        <f>VLOOKUP(наценкад5[[#This Row],[№]],ППД5[],COLUMN('Реестр ОН'!$DF$1),0)</f>
        <v>Продажа</v>
      </c>
    </row>
    <row r="526" spans="1:38" hidden="1" x14ac:dyDescent="0.25">
      <c r="A526" s="101">
        <v>524</v>
      </c>
      <c r="B526" s="2" t="str">
        <f>_xlfn.XLOOKUP(наценкад5[[#This Row],[№]],ППД5[№],ППД5[Секция],"-",0)</f>
        <v>Г</v>
      </c>
      <c r="C526" s="2">
        <f>_xlfn.XLOOKUP(наценкад5[[#This Row],[№]],ППД5[№],ППД5[Этаж],"-",0)</f>
        <v>17</v>
      </c>
      <c r="D526" s="2">
        <f>_xlfn.XLOOKUP(наценкад5[[#This Row],[№]],ППД5[№],ППД5[№ на этаже],"-",0)</f>
        <v>8</v>
      </c>
      <c r="E526" s="2">
        <f>_xlfn.XLOOKUP(наценкад5[[#This Row],[№]],ППД5[№],ППД5[Тип кв],"-",0)</f>
        <v>1</v>
      </c>
      <c r="F526" s="72">
        <f>_xlfn.XLOOKUP(наценкад5[[#This Row],[№]],ППД5[№],ППД5[Кухня],"-",0)</f>
        <v>11.43</v>
      </c>
      <c r="G526" s="72">
        <f>_xlfn.XLOOKUP(наценкад5[[#This Row],[№]],ППД5[№],ППД5[Ванная],"-",0)</f>
        <v>3.56</v>
      </c>
      <c r="H526" s="72">
        <f>_xlfn.XLOOKUP(наценкад5[[#This Row],[№]],ППД5[№],ППД5[Гардеробная],"-",0)</f>
        <v>0</v>
      </c>
      <c r="I526" s="72">
        <f>_xlfn.XLOOKUP(наценкад5[[#This Row],[№]],ППД5[№],ППД5[Лоджия 2],"-",0)</f>
        <v>0</v>
      </c>
      <c r="J526" s="72">
        <f>_xlfn.XLOOKUP(наценкад5[[#This Row],[№]],ППД5[№],ППД5[С\У],"-",0)</f>
        <v>0</v>
      </c>
      <c r="K526" s="72">
        <f>_xlfn.XLOOKUP(наценкад5[[#This Row],[№]],ППД5[№],ППД5[Расчетная проектная площадь],"-",0)</f>
        <v>39.69</v>
      </c>
      <c r="L526" s="12">
        <f t="shared" si="8"/>
        <v>63000</v>
      </c>
      <c r="M526" s="102">
        <f>коэффициенты!$G$2</f>
        <v>1.2875000000000001</v>
      </c>
      <c r="N526" s="13">
        <f>наценкад5[[#This Row],[Цена м2 базовая]]*наценкад5[[#This Row],[Базовой K]]</f>
        <v>81112.5</v>
      </c>
      <c r="O526" s="74"/>
      <c r="P526" s="76">
        <f>коэффициенты!$G$5</f>
        <v>0.01</v>
      </c>
      <c r="Q526" s="74"/>
      <c r="R526" s="74"/>
      <c r="S526" s="74"/>
      <c r="T526" s="74"/>
      <c r="U526" s="74"/>
      <c r="V526" s="74">
        <f>коэффициенты!$G$11</f>
        <v>0.01</v>
      </c>
      <c r="W526" s="75">
        <f>коэффициенты!$G$12</f>
        <v>0.02</v>
      </c>
      <c r="X526" s="74"/>
      <c r="Y526" s="75"/>
      <c r="Z526" s="74"/>
      <c r="AA526" s="74">
        <f>коэффициенты!$G$14</f>
        <v>0.01</v>
      </c>
      <c r="AB526" s="74"/>
      <c r="AC526" s="74"/>
      <c r="AD526" s="74">
        <f>коэффициенты!$G$19</f>
        <v>0.01</v>
      </c>
      <c r="AE526" s="74"/>
      <c r="AF526" s="74">
        <f>коэффициенты!$G$21</f>
        <v>0.01</v>
      </c>
      <c r="AG526" s="74">
        <f>коэффициенты!$A$24</f>
        <v>-5.0000000000000001E-3</v>
      </c>
      <c r="AH526" s="74"/>
      <c r="AI526" s="73">
        <f>SUM(наценкад5[[#This Row],[еврокухня]:[большая площадь]])*наценкад5[[#This Row],[Цена м2 с базовым K]]+наценкад5[[#This Row],[Цена м2 с базовым K]]</f>
        <v>86384.8125</v>
      </c>
      <c r="AJ526" s="72">
        <f>VLOOKUP(наценкад5[[#This Row],[№]],ППД5[],COLUMN(ППД5[[#This Row],[утв цена м2]]),0)</f>
        <v>97629.31</v>
      </c>
      <c r="AK526" s="3">
        <f>наценкад5[[#This Row],[утв цена м2]]*наценкад5[[#This Row],[Расчетная проектная площадь]]</f>
        <v>3874907.3138999995</v>
      </c>
      <c r="AL526" s="22" t="str">
        <f>VLOOKUP(наценкад5[[#This Row],[№]],ППД5[],COLUMN('Реестр ОН'!$DF$1),0)</f>
        <v>Продажа</v>
      </c>
    </row>
    <row r="527" spans="1:38" hidden="1" x14ac:dyDescent="0.25">
      <c r="A527" s="101">
        <v>525</v>
      </c>
      <c r="B527" s="2" t="str">
        <f>_xlfn.XLOOKUP(наценкад5[[#This Row],[№]],ППД5[№],ППД5[Секция],"-",0)</f>
        <v>Г</v>
      </c>
      <c r="C527" s="2">
        <f>_xlfn.XLOOKUP(наценкад5[[#This Row],[№]],ППД5[№],ППД5[Этаж],"-",0)</f>
        <v>18</v>
      </c>
      <c r="D527" s="2">
        <f>_xlfn.XLOOKUP(наценкад5[[#This Row],[№]],ППД5[№],ППД5[№ на этаже],"-",0)</f>
        <v>1</v>
      </c>
      <c r="E527" s="2">
        <f>_xlfn.XLOOKUP(наценкад5[[#This Row],[№]],ППД5[№],ППД5[Тип кв],"-",0)</f>
        <v>0</v>
      </c>
      <c r="F527" s="72">
        <f>_xlfn.XLOOKUP(наценкад5[[#This Row],[№]],ППД5[№],ППД5[Кухня],"-",0)</f>
        <v>5.84</v>
      </c>
      <c r="G527" s="72">
        <f>_xlfn.XLOOKUP(наценкад5[[#This Row],[№]],ППД5[№],ППД5[Ванная],"-",0)</f>
        <v>3.76</v>
      </c>
      <c r="H527" s="72">
        <f>_xlfn.XLOOKUP(наценкад5[[#This Row],[№]],ППД5[№],ППД5[Гардеробная],"-",0)</f>
        <v>0</v>
      </c>
      <c r="I527" s="72">
        <f>_xlfn.XLOOKUP(наценкад5[[#This Row],[№]],ППД5[№],ППД5[Лоджия 2],"-",0)</f>
        <v>0</v>
      </c>
      <c r="J527" s="72">
        <f>_xlfn.XLOOKUP(наценкад5[[#This Row],[№]],ППД5[№],ППД5[С\У],"-",0)</f>
        <v>0</v>
      </c>
      <c r="K527" s="72">
        <f>_xlfn.XLOOKUP(наценкад5[[#This Row],[№]],ППД5[№],ППД5[Расчетная проектная площадь],"-",0)</f>
        <v>29.4</v>
      </c>
      <c r="L527" s="12">
        <f t="shared" si="8"/>
        <v>63000</v>
      </c>
      <c r="M527" s="116">
        <f>коэффициенты!$H$2</f>
        <v>1.3905000000000001</v>
      </c>
      <c r="N527" s="13">
        <f>наценкад5[[#This Row],[Цена м2 базовая]]*наценкад5[[#This Row],[Базовой K]]</f>
        <v>87601.5</v>
      </c>
      <c r="O527" s="74"/>
      <c r="P527" s="74"/>
      <c r="Q527" s="74"/>
      <c r="R527" s="74"/>
      <c r="S527" s="74"/>
      <c r="T527" s="74"/>
      <c r="U527" s="74"/>
      <c r="V527" s="74"/>
      <c r="W527" s="75"/>
      <c r="X527" s="74"/>
      <c r="Y527" s="75"/>
      <c r="Z527" s="74"/>
      <c r="AA527" s="74"/>
      <c r="AB527" s="74"/>
      <c r="AC527" s="74"/>
      <c r="AD527" s="74">
        <f>коэффициенты!$H$19</f>
        <v>0.01</v>
      </c>
      <c r="AE527" s="74"/>
      <c r="AF527" s="74">
        <f>коэффициенты!$H$21</f>
        <v>0.01</v>
      </c>
      <c r="AG527" s="74"/>
      <c r="AH527" s="74"/>
      <c r="AI527" s="73">
        <f>SUM(наценкад5[[#This Row],[еврокухня]:[большая площадь]])*наценкад5[[#This Row],[Цена м2 с базовым K]]+наценкад5[[#This Row],[Цена м2 с базовым K]]</f>
        <v>89353.53</v>
      </c>
      <c r="AJ527" s="72">
        <f>VLOOKUP(наценкад5[[#This Row],[№]],ППД5[],COLUMN(ППД5[[#This Row],[утв цена м2]]),0)</f>
        <v>138650.51</v>
      </c>
      <c r="AK527" s="3">
        <f>наценкад5[[#This Row],[утв цена м2]]*наценкад5[[#This Row],[Расчетная проектная площадь]]</f>
        <v>4076324.9939999999</v>
      </c>
      <c r="AL527" s="22" t="str">
        <f>VLOOKUP(наценкад5[[#This Row],[№]],ППД5[],COLUMN('Реестр ОН'!$DF$1),0)</f>
        <v>Продажа</v>
      </c>
    </row>
    <row r="528" spans="1:38" hidden="1" x14ac:dyDescent="0.25">
      <c r="A528" s="101">
        <v>526</v>
      </c>
      <c r="B528" s="2" t="str">
        <f>_xlfn.XLOOKUP(наценкад5[[#This Row],[№]],ППД5[№],ППД5[Секция],"-",0)</f>
        <v>Г</v>
      </c>
      <c r="C528" s="2">
        <f>_xlfn.XLOOKUP(наценкад5[[#This Row],[№]],ППД5[№],ППД5[Этаж],"-",0)</f>
        <v>18</v>
      </c>
      <c r="D528" s="2">
        <f>_xlfn.XLOOKUP(наценкад5[[#This Row],[№]],ППД5[№],ППД5[№ на этаже],"-",0)</f>
        <v>2</v>
      </c>
      <c r="E528" s="2">
        <f>_xlfn.XLOOKUP(наценкад5[[#This Row],[№]],ППД5[№],ППД5[Тип кв],"-",0)</f>
        <v>1</v>
      </c>
      <c r="F528" s="72">
        <f>_xlfn.XLOOKUP(наценкад5[[#This Row],[№]],ППД5[№],ППД5[Кухня],"-",0)</f>
        <v>16.940000000000001</v>
      </c>
      <c r="G528" s="72">
        <f>_xlfn.XLOOKUP(наценкад5[[#This Row],[№]],ППД5[№],ППД5[Ванная],"-",0)</f>
        <v>3.55</v>
      </c>
      <c r="H528" s="72">
        <f>_xlfn.XLOOKUP(наценкад5[[#This Row],[№]],ППД5[№],ППД5[Гардеробная],"-",0)</f>
        <v>0</v>
      </c>
      <c r="I528" s="72">
        <f>_xlfn.XLOOKUP(наценкад5[[#This Row],[№]],ППД5[№],ППД5[Лоджия 2],"-",0)</f>
        <v>0</v>
      </c>
      <c r="J528" s="72">
        <f>_xlfn.XLOOKUP(наценкад5[[#This Row],[№]],ППД5[№],ППД5[С\У],"-",0)</f>
        <v>2.41</v>
      </c>
      <c r="K528" s="72">
        <f>_xlfn.XLOOKUP(наценкад5[[#This Row],[№]],ППД5[№],ППД5[Расчетная проектная площадь],"-",0)</f>
        <v>43.21</v>
      </c>
      <c r="L528" s="12">
        <f t="shared" si="8"/>
        <v>63000</v>
      </c>
      <c r="M528" s="102">
        <f>коэффициенты!$G$2</f>
        <v>1.2875000000000001</v>
      </c>
      <c r="N528" s="13">
        <f>наценкад5[[#This Row],[Цена м2 базовая]]*наценкад5[[#This Row],[Базовой K]]</f>
        <v>81112.5</v>
      </c>
      <c r="O528" s="76">
        <f>коэффициенты!$G$4</f>
        <v>0.02</v>
      </c>
      <c r="P528" s="74"/>
      <c r="Q528" s="74"/>
      <c r="R528" s="74">
        <f>коэффициенты!$G$10</f>
        <v>0.01</v>
      </c>
      <c r="S528" s="74">
        <f>коэффициенты!$G$9</f>
        <v>0</v>
      </c>
      <c r="T528" s="74"/>
      <c r="U528" s="74"/>
      <c r="V528" s="74"/>
      <c r="W528" s="75"/>
      <c r="X528" s="74"/>
      <c r="Y528" s="75"/>
      <c r="Z528" s="74"/>
      <c r="AA528" s="74"/>
      <c r="AB528" s="74"/>
      <c r="AC528" s="74"/>
      <c r="AD528" s="74">
        <f>коэффициенты!$G$19</f>
        <v>0.01</v>
      </c>
      <c r="AE528" s="74"/>
      <c r="AF528" s="74">
        <f>коэффициенты!$G$21</f>
        <v>0.01</v>
      </c>
      <c r="AG528" s="74"/>
      <c r="AH528" s="74"/>
      <c r="AI528" s="73">
        <f>SUM(наценкад5[[#This Row],[еврокухня]:[большая площадь]])*наценкад5[[#This Row],[Цена м2 с базовым K]]+наценкад5[[#This Row],[Цена м2 с базовым K]]</f>
        <v>85168.125</v>
      </c>
      <c r="AJ528" s="72">
        <f>VLOOKUP(наценкад5[[#This Row],[№]],ППД5[],COLUMN(ППД5[[#This Row],[утв цена м2]]),0)</f>
        <v>107199.45</v>
      </c>
      <c r="AK528" s="3">
        <f>наценкад5[[#This Row],[утв цена м2]]*наценкад5[[#This Row],[Расчетная проектная площадь]]</f>
        <v>4632088.2345000003</v>
      </c>
      <c r="AL528" s="22" t="str">
        <f>VLOOKUP(наценкад5[[#This Row],[№]],ППД5[],COLUMN('Реестр ОН'!$DF$1),0)</f>
        <v>Продажа</v>
      </c>
    </row>
    <row r="529" spans="1:38" hidden="1" x14ac:dyDescent="0.25">
      <c r="A529" s="101">
        <v>527</v>
      </c>
      <c r="B529" s="2" t="str">
        <f>_xlfn.XLOOKUP(наценкад5[[#This Row],[№]],ППД5[№],ППД5[Секция],"-",0)</f>
        <v>Г</v>
      </c>
      <c r="C529" s="2">
        <f>_xlfn.XLOOKUP(наценкад5[[#This Row],[№]],ППД5[№],ППД5[Этаж],"-",0)</f>
        <v>18</v>
      </c>
      <c r="D529" s="2">
        <f>_xlfn.XLOOKUP(наценкад5[[#This Row],[№]],ППД5[№],ППД5[№ на этаже],"-",0)</f>
        <v>3</v>
      </c>
      <c r="E529" s="2">
        <f>_xlfn.XLOOKUP(наценкад5[[#This Row],[№]],ППД5[№],ППД5[Тип кв],"-",0)</f>
        <v>0</v>
      </c>
      <c r="F529" s="72">
        <f>_xlfn.XLOOKUP(наценкад5[[#This Row],[№]],ППД5[№],ППД5[Кухня],"-",0)</f>
        <v>5.17</v>
      </c>
      <c r="G529" s="72">
        <f>_xlfn.XLOOKUP(наценкад5[[#This Row],[№]],ППД5[№],ППД5[Ванная],"-",0)</f>
        <v>3.71</v>
      </c>
      <c r="H529" s="72">
        <f>_xlfn.XLOOKUP(наценкад5[[#This Row],[№]],ППД5[№],ППД5[Гардеробная],"-",0)</f>
        <v>0</v>
      </c>
      <c r="I529" s="72">
        <f>_xlfn.XLOOKUP(наценкад5[[#This Row],[№]],ППД5[№],ППД5[Лоджия 2],"-",0)</f>
        <v>0</v>
      </c>
      <c r="J529" s="72">
        <f>_xlfn.XLOOKUP(наценкад5[[#This Row],[№]],ППД5[№],ППД5[С\У],"-",0)</f>
        <v>0</v>
      </c>
      <c r="K529" s="72">
        <f>_xlfn.XLOOKUP(наценкад5[[#This Row],[№]],ППД5[№],ППД5[Расчетная проектная площадь],"-",0)</f>
        <v>24.5</v>
      </c>
      <c r="L529" s="12">
        <f t="shared" si="8"/>
        <v>63000</v>
      </c>
      <c r="M529" s="116">
        <f>коэффициенты!$H$2</f>
        <v>1.3905000000000001</v>
      </c>
      <c r="N529" s="13">
        <f>наценкад5[[#This Row],[Цена м2 базовая]]*наценкад5[[#This Row],[Базовой K]]</f>
        <v>87601.5</v>
      </c>
      <c r="O529" s="74"/>
      <c r="P529" s="74"/>
      <c r="Q529" s="74"/>
      <c r="R529" s="74"/>
      <c r="S529" s="74"/>
      <c r="T529" s="74"/>
      <c r="U529" s="74"/>
      <c r="V529" s="74">
        <f>коэффициенты!$H$11</f>
        <v>0.01</v>
      </c>
      <c r="W529" s="75"/>
      <c r="X529" s="74">
        <f>коэффициенты!$H$13</f>
        <v>0.01</v>
      </c>
      <c r="Y529" s="75"/>
      <c r="Z529" s="74"/>
      <c r="AA529" s="74"/>
      <c r="AB529" s="74"/>
      <c r="AC529" s="74"/>
      <c r="AD529" s="74">
        <f>коэффициенты!$H$19</f>
        <v>0.01</v>
      </c>
      <c r="AE529" s="74"/>
      <c r="AF529" s="74">
        <f>коэффициенты!$H$21</f>
        <v>0.01</v>
      </c>
      <c r="AG529" s="74"/>
      <c r="AH529" s="74"/>
      <c r="AI529" s="73">
        <f>SUM(наценкад5[[#This Row],[еврокухня]:[большая площадь]])*наценкад5[[#This Row],[Цена м2 с базовым K]]+наценкад5[[#This Row],[Цена м2 с базовым K]]</f>
        <v>91105.56</v>
      </c>
      <c r="AJ529" s="72">
        <f>VLOOKUP(наценкад5[[#This Row],[№]],ППД5[],COLUMN(ППД5[[#This Row],[утв цена м2]]),0)</f>
        <v>143474.54</v>
      </c>
      <c r="AK529" s="3">
        <f>наценкад5[[#This Row],[утв цена м2]]*наценкад5[[#This Row],[Расчетная проектная площадь]]</f>
        <v>3515126.23</v>
      </c>
      <c r="AL529" s="22" t="str">
        <f>VLOOKUP(наценкад5[[#This Row],[№]],ППД5[],COLUMN('Реестр ОН'!$DF$1),0)</f>
        <v>Стр. Резерв</v>
      </c>
    </row>
    <row r="530" spans="1:38" hidden="1" x14ac:dyDescent="0.25">
      <c r="A530" s="101">
        <v>528</v>
      </c>
      <c r="B530" s="2" t="str">
        <f>_xlfn.XLOOKUP(наценкад5[[#This Row],[№]],ППД5[№],ППД5[Секция],"-",0)</f>
        <v>Г</v>
      </c>
      <c r="C530" s="2">
        <f>_xlfn.XLOOKUP(наценкад5[[#This Row],[№]],ППД5[№],ППД5[Этаж],"-",0)</f>
        <v>18</v>
      </c>
      <c r="D530" s="2">
        <f>_xlfn.XLOOKUP(наценкад5[[#This Row],[№]],ППД5[№],ППД5[№ на этаже],"-",0)</f>
        <v>4</v>
      </c>
      <c r="E530" s="2">
        <f>_xlfn.XLOOKUP(наценкад5[[#This Row],[№]],ППД5[№],ППД5[Тип кв],"-",0)</f>
        <v>2</v>
      </c>
      <c r="F530" s="72">
        <f>_xlfn.XLOOKUP(наценкад5[[#This Row],[№]],ППД5[№],ППД5[Кухня],"-",0)</f>
        <v>15.86</v>
      </c>
      <c r="G530" s="72">
        <f>_xlfn.XLOOKUP(наценкад5[[#This Row],[№]],ППД5[№],ППД5[Ванная],"-",0)</f>
        <v>3.01</v>
      </c>
      <c r="H530" s="72">
        <f>_xlfn.XLOOKUP(наценкад5[[#This Row],[№]],ППД5[№],ППД5[Гардеробная],"-",0)</f>
        <v>0</v>
      </c>
      <c r="I530" s="72">
        <f>_xlfn.XLOOKUP(наценкад5[[#This Row],[№]],ППД5[№],ППД5[Лоджия 2],"-",0)</f>
        <v>0</v>
      </c>
      <c r="J530" s="72">
        <f>_xlfn.XLOOKUP(наценкад5[[#This Row],[№]],ППД5[№],ППД5[С\У],"-",0)</f>
        <v>2.67</v>
      </c>
      <c r="K530" s="72">
        <f>_xlfn.XLOOKUP(наценкад5[[#This Row],[№]],ППД5[№],ППД5[Расчетная проектная площадь],"-",0)</f>
        <v>58.24</v>
      </c>
      <c r="L530" s="12">
        <f t="shared" si="8"/>
        <v>63000</v>
      </c>
      <c r="M530" s="102">
        <f>коэффициенты!$F$2</f>
        <v>1.2257</v>
      </c>
      <c r="N530" s="13">
        <f>наценкад5[[#This Row],[Цена м2 базовая]]*наценкад5[[#This Row],[Базовой K]]</f>
        <v>77219.100000000006</v>
      </c>
      <c r="O530" s="76">
        <f>коэффициенты!$F$4</f>
        <v>1.4999999999999999E-2</v>
      </c>
      <c r="P530" s="74"/>
      <c r="Q530" s="76"/>
      <c r="R530" s="76">
        <f>коэффициенты!$F$10</f>
        <v>0</v>
      </c>
      <c r="S530" s="76">
        <f>коэффициенты!$F$9</f>
        <v>0</v>
      </c>
      <c r="T530" s="74"/>
      <c r="U530" s="74"/>
      <c r="V530" s="74"/>
      <c r="W530" s="75"/>
      <c r="X530" s="74"/>
      <c r="Y530" s="75"/>
      <c r="Z530" s="74"/>
      <c r="AA530" s="74"/>
      <c r="AB530" s="74"/>
      <c r="AC530" s="74"/>
      <c r="AD530" s="74">
        <f>коэффициенты!$F$19</f>
        <v>5.0000000000000001E-3</v>
      </c>
      <c r="AE530" s="74"/>
      <c r="AF530" s="74">
        <f>коэффициенты!$F$21</f>
        <v>0.01</v>
      </c>
      <c r="AG530" s="74"/>
      <c r="AH530" s="74"/>
      <c r="AI530" s="73">
        <f>SUM(наценкад5[[#This Row],[еврокухня]:[большая площадь]])*наценкад5[[#This Row],[Цена м2 с базовым K]]+наценкад5[[#This Row],[Цена м2 с базовым K]]</f>
        <v>79535.67300000001</v>
      </c>
      <c r="AJ530" s="72">
        <f>VLOOKUP(наценкад5[[#This Row],[№]],ППД5[],COLUMN(ППД5[[#This Row],[утв цена м2]]),0)</f>
        <v>121235.54</v>
      </c>
      <c r="AK530" s="3">
        <f>наценкад5[[#This Row],[утв цена м2]]*наценкад5[[#This Row],[Расчетная проектная площадь]]</f>
        <v>7060757.8496000003</v>
      </c>
      <c r="AL530" s="22" t="str">
        <f>VLOOKUP(наценкад5[[#This Row],[№]],ППД5[],COLUMN('Реестр ОН'!$DF$1),0)</f>
        <v>Продажа</v>
      </c>
    </row>
    <row r="531" spans="1:38" hidden="1" x14ac:dyDescent="0.25">
      <c r="A531" s="101">
        <v>529</v>
      </c>
      <c r="B531" s="2" t="str">
        <f>_xlfn.XLOOKUP(наценкад5[[#This Row],[№]],ППД5[№],ППД5[Секция],"-",0)</f>
        <v>Г</v>
      </c>
      <c r="C531" s="2">
        <f>_xlfn.XLOOKUP(наценкад5[[#This Row],[№]],ППД5[№],ППД5[Этаж],"-",0)</f>
        <v>18</v>
      </c>
      <c r="D531" s="2">
        <f>_xlfn.XLOOKUP(наценкад5[[#This Row],[№]],ППД5[№],ППД5[№ на этаже],"-",0)</f>
        <v>5</v>
      </c>
      <c r="E531" s="2">
        <f>_xlfn.XLOOKUP(наценкад5[[#This Row],[№]],ППД5[№],ППД5[Тип кв],"-",0)</f>
        <v>2</v>
      </c>
      <c r="F531" s="72">
        <f>_xlfn.XLOOKUP(наценкад5[[#This Row],[№]],ППД5[№],ППД5[Кухня],"-",0)</f>
        <v>13.45</v>
      </c>
      <c r="G531" s="72">
        <f>_xlfn.XLOOKUP(наценкад5[[#This Row],[№]],ППД5[№],ППД5[Ванная],"-",0)</f>
        <v>3.7</v>
      </c>
      <c r="H531" s="72">
        <f>_xlfn.XLOOKUP(наценкад5[[#This Row],[№]],ППД5[№],ППД5[Гардеробная],"-",0)</f>
        <v>0</v>
      </c>
      <c r="I531" s="72">
        <f>_xlfn.XLOOKUP(наценкад5[[#This Row],[№]],ППД5[№],ППД5[Лоджия 2],"-",0)</f>
        <v>0</v>
      </c>
      <c r="J531" s="72">
        <f>_xlfn.XLOOKUP(наценкад5[[#This Row],[№]],ППД5[№],ППД5[С\У],"-",0)</f>
        <v>2.72</v>
      </c>
      <c r="K531" s="72">
        <f>_xlfn.XLOOKUP(наценкад5[[#This Row],[№]],ППД5[№],ППД5[Расчетная проектная площадь],"-",0)</f>
        <v>57.8</v>
      </c>
      <c r="L531" s="12">
        <f t="shared" si="8"/>
        <v>63000</v>
      </c>
      <c r="M531" s="102">
        <f>коэффициенты!$F$2</f>
        <v>1.2257</v>
      </c>
      <c r="N531" s="13">
        <f>наценкад5[[#This Row],[Цена м2 базовая]]*наценкад5[[#This Row],[Базовой K]]</f>
        <v>77219.100000000006</v>
      </c>
      <c r="O531" s="74"/>
      <c r="P531" s="74">
        <f>коэффициенты!$F$5</f>
        <v>0.01</v>
      </c>
      <c r="Q531" s="76"/>
      <c r="R531" s="76"/>
      <c r="S531" s="76">
        <f>коэффициенты!$F$9</f>
        <v>0</v>
      </c>
      <c r="T531" s="74"/>
      <c r="U531" s="74"/>
      <c r="V531" s="74"/>
      <c r="W531" s="74"/>
      <c r="X531" s="74"/>
      <c r="Y531" s="75"/>
      <c r="Z531" s="74"/>
      <c r="AA531" s="74"/>
      <c r="AB531" s="74"/>
      <c r="AC531" s="74"/>
      <c r="AD531" s="74">
        <f>коэффициенты!$F$19</f>
        <v>5.0000000000000001E-3</v>
      </c>
      <c r="AE531" s="74"/>
      <c r="AF531" s="74">
        <f>коэффициенты!$F$21</f>
        <v>0.01</v>
      </c>
      <c r="AG531" s="74"/>
      <c r="AH531" s="74"/>
      <c r="AI531" s="73">
        <f>SUM(наценкад5[[#This Row],[еврокухня]:[большая площадь]])*наценкад5[[#This Row],[Цена м2 с базовым K]]+наценкад5[[#This Row],[Цена м2 с базовым K]]</f>
        <v>79149.577499999999</v>
      </c>
      <c r="AJ531" s="72">
        <f>VLOOKUP(наценкад5[[#This Row],[№]],ППД5[],COLUMN(ППД5[[#This Row],[утв цена м2]]),0)</f>
        <v>85600.27</v>
      </c>
      <c r="AK531" s="3">
        <f>наценкад5[[#This Row],[утв цена м2]]*наценкад5[[#This Row],[Расчетная проектная площадь]]</f>
        <v>4947695.6059999997</v>
      </c>
      <c r="AL531" s="22" t="str">
        <f>VLOOKUP(наценкад5[[#This Row],[№]],ППД5[],COLUMN('Реестр ОН'!$DF$1),0)</f>
        <v>Продажа</v>
      </c>
    </row>
    <row r="532" spans="1:38" hidden="1" x14ac:dyDescent="0.25">
      <c r="A532" s="101">
        <v>530</v>
      </c>
      <c r="B532" s="2" t="str">
        <f>_xlfn.XLOOKUP(наценкад5[[#This Row],[№]],ППД5[№],ППД5[Секция],"-",0)</f>
        <v>Г</v>
      </c>
      <c r="C532" s="2">
        <f>_xlfn.XLOOKUP(наценкад5[[#This Row],[№]],ППД5[№],ППД5[Этаж],"-",0)</f>
        <v>18</v>
      </c>
      <c r="D532" s="2">
        <f>_xlfn.XLOOKUP(наценкад5[[#This Row],[№]],ППД5[№],ППД5[№ на этаже],"-",0)</f>
        <v>6</v>
      </c>
      <c r="E532" s="2">
        <f>_xlfn.XLOOKUP(наценкад5[[#This Row],[№]],ППД5[№],ППД5[Тип кв],"-",0)</f>
        <v>1</v>
      </c>
      <c r="F532" s="72">
        <f>_xlfn.XLOOKUP(наценкад5[[#This Row],[№]],ППД5[№],ППД5[Кухня],"-",0)</f>
        <v>12.55</v>
      </c>
      <c r="G532" s="72">
        <f>_xlfn.XLOOKUP(наценкад5[[#This Row],[№]],ППД5[№],ППД5[Ванная],"-",0)</f>
        <v>4.28</v>
      </c>
      <c r="H532" s="72">
        <f>_xlfn.XLOOKUP(наценкад5[[#This Row],[№]],ППД5[№],ППД5[Гардеробная],"-",0)</f>
        <v>0</v>
      </c>
      <c r="I532" s="72">
        <f>_xlfn.XLOOKUP(наценкад5[[#This Row],[№]],ППД5[№],ППД5[Лоджия 2],"-",0)</f>
        <v>0</v>
      </c>
      <c r="J532" s="72">
        <f>_xlfn.XLOOKUP(наценкад5[[#This Row],[№]],ППД5[№],ППД5[С\У],"-",0)</f>
        <v>0</v>
      </c>
      <c r="K532" s="72">
        <f>_xlfn.XLOOKUP(наценкад5[[#This Row],[№]],ППД5[№],ППД5[Расчетная проектная площадь],"-",0)</f>
        <v>38.299999999999997</v>
      </c>
      <c r="L532" s="12">
        <f t="shared" si="8"/>
        <v>63000</v>
      </c>
      <c r="M532" s="102">
        <f>коэффициенты!$G$2</f>
        <v>1.2875000000000001</v>
      </c>
      <c r="N532" s="13">
        <f>наценкад5[[#This Row],[Цена м2 базовая]]*наценкад5[[#This Row],[Базовой K]]</f>
        <v>81112.5</v>
      </c>
      <c r="O532" s="74"/>
      <c r="P532" s="76">
        <f>коэффициенты!$G$5</f>
        <v>0.01</v>
      </c>
      <c r="Q532" s="74">
        <f>коэффициенты!$G$6</f>
        <v>0.03</v>
      </c>
      <c r="R532" s="74"/>
      <c r="S532" s="74"/>
      <c r="T532" s="74"/>
      <c r="U532" s="74"/>
      <c r="V532" s="74">
        <f>коэффициенты!$G$11</f>
        <v>0.01</v>
      </c>
      <c r="W532" s="74"/>
      <c r="X532" s="74">
        <f>коэффициенты!$G$13</f>
        <v>0.01</v>
      </c>
      <c r="Y532" s="75"/>
      <c r="Z532" s="74"/>
      <c r="AA532" s="74"/>
      <c r="AB532" s="74"/>
      <c r="AC532" s="74"/>
      <c r="AD532" s="74">
        <f>коэффициенты!$G$19</f>
        <v>0.01</v>
      </c>
      <c r="AE532" s="74"/>
      <c r="AF532" s="74">
        <f>коэффициенты!$G$21</f>
        <v>0.01</v>
      </c>
      <c r="AG532" s="74"/>
      <c r="AH532" s="74"/>
      <c r="AI532" s="73">
        <f>SUM(наценкад5[[#This Row],[еврокухня]:[большая площадь]])*наценкад5[[#This Row],[Цена м2 с базовым K]]+наценкад5[[#This Row],[Цена м2 с базовым K]]</f>
        <v>87601.5</v>
      </c>
      <c r="AJ532" s="72">
        <f>VLOOKUP(наценкад5[[#This Row],[№]],ППД5[],COLUMN(ППД5[[#This Row],[утв цена м2]]),0)</f>
        <v>138224.76</v>
      </c>
      <c r="AK532" s="3">
        <f>наценкад5[[#This Row],[утв цена м2]]*наценкад5[[#This Row],[Расчетная проектная площадь]]</f>
        <v>5294008.3080000002</v>
      </c>
      <c r="AL532" s="22" t="str">
        <f>VLOOKUP(наценкад5[[#This Row],[№]],ППД5[],COLUMN('Реестр ОН'!$DF$1),0)</f>
        <v>Продажа</v>
      </c>
    </row>
    <row r="533" spans="1:38" hidden="1" x14ac:dyDescent="0.25">
      <c r="A533" s="101">
        <v>531</v>
      </c>
      <c r="B533" s="2" t="str">
        <f>_xlfn.XLOOKUP(наценкад5[[#This Row],[№]],ППД5[№],ППД5[Секция],"-",0)</f>
        <v>Г</v>
      </c>
      <c r="C533" s="2">
        <f>_xlfn.XLOOKUP(наценкад5[[#This Row],[№]],ППД5[№],ППД5[Этаж],"-",0)</f>
        <v>18</v>
      </c>
      <c r="D533" s="2">
        <f>_xlfn.XLOOKUP(наценкад5[[#This Row],[№]],ППД5[№],ППД5[№ на этаже],"-",0)</f>
        <v>7</v>
      </c>
      <c r="E533" s="2">
        <f>_xlfn.XLOOKUP(наценкад5[[#This Row],[№]],ППД5[№],ППД5[Тип кв],"-",0)</f>
        <v>3</v>
      </c>
      <c r="F533" s="72">
        <f>_xlfn.XLOOKUP(наценкад5[[#This Row],[№]],ППД5[№],ППД5[Кухня],"-",0)</f>
        <v>16.670000000000002</v>
      </c>
      <c r="G533" s="72">
        <f>_xlfn.XLOOKUP(наценкад5[[#This Row],[№]],ППД5[№],ППД5[Ванная],"-",0)</f>
        <v>4.1399999999999997</v>
      </c>
      <c r="H533" s="72">
        <f>_xlfn.XLOOKUP(наценкад5[[#This Row],[№]],ППД5[№],ППД5[Гардеробная],"-",0)</f>
        <v>0</v>
      </c>
      <c r="I533" s="72">
        <f>_xlfn.XLOOKUP(наценкад5[[#This Row],[№]],ППД5[№],ППД5[Лоджия 2],"-",0)</f>
        <v>2.79</v>
      </c>
      <c r="J533" s="72">
        <f>_xlfn.XLOOKUP(наценкад5[[#This Row],[№]],ППД5[№],ППД5[С\У],"-",0)</f>
        <v>1.89</v>
      </c>
      <c r="K533" s="72">
        <f>_xlfn.XLOOKUP(наценкад5[[#This Row],[№]],ППД5[№],ППД5[Расчетная проектная площадь],"-",0)</f>
        <v>79.44</v>
      </c>
      <c r="L533" s="12">
        <f t="shared" si="8"/>
        <v>63000</v>
      </c>
      <c r="M533" s="27">
        <f>коэффициенты!$E$2</f>
        <v>1.1330000000000002</v>
      </c>
      <c r="N533" s="13">
        <f>наценкад5[[#This Row],[Цена м2 базовая]]*наценкад5[[#This Row],[Базовой K]]</f>
        <v>71379.000000000015</v>
      </c>
      <c r="O533" s="74">
        <f>коэффициенты!$E$4</f>
        <v>0.03</v>
      </c>
      <c r="P533" s="74"/>
      <c r="Q533" s="74">
        <f>коэффициенты!$E$6</f>
        <v>0.01</v>
      </c>
      <c r="R533" s="74"/>
      <c r="S533" s="74">
        <f>коэффициенты!$E$9</f>
        <v>0</v>
      </c>
      <c r="T533" s="74">
        <f>коэффициенты!$E$7</f>
        <v>0</v>
      </c>
      <c r="U533" s="74">
        <f>коэффициенты!$E$8</f>
        <v>0.01</v>
      </c>
      <c r="V533" s="74"/>
      <c r="W533" s="75">
        <f>коэффициенты!$E$12</f>
        <v>0.02</v>
      </c>
      <c r="X533" s="74"/>
      <c r="Y533" s="75"/>
      <c r="Z533" s="74"/>
      <c r="AA533" s="74">
        <f>коэффициенты!$E$14</f>
        <v>0</v>
      </c>
      <c r="AB533" s="74"/>
      <c r="AC533" s="74">
        <f>коэффициенты!$E$18</f>
        <v>0.01</v>
      </c>
      <c r="AD533" s="74"/>
      <c r="AE533" s="74"/>
      <c r="AF533" s="74">
        <f>коэффициенты!$E$21</f>
        <v>0.01</v>
      </c>
      <c r="AG533" s="74"/>
      <c r="AH533" s="74"/>
      <c r="AI533" s="73">
        <f>SUM(наценкад5[[#This Row],[еврокухня]:[большая площадь]])*наценкад5[[#This Row],[Цена м2 с базовым K]]+наценкад5[[#This Row],[Цена м2 с базовым K]]</f>
        <v>77803.110000000015</v>
      </c>
      <c r="AJ533" s="72">
        <f>VLOOKUP(наценкад5[[#This Row],[№]],ППД5[],COLUMN(ППД5[[#This Row],[утв цена м2]]),0)</f>
        <v>89234.78</v>
      </c>
      <c r="AK533" s="3">
        <f>наценкад5[[#This Row],[утв цена м2]]*наценкад5[[#This Row],[Расчетная проектная площадь]]</f>
        <v>7088810.9232000001</v>
      </c>
      <c r="AL533" s="22" t="str">
        <f>VLOOKUP(наценкад5[[#This Row],[№]],ППД5[],COLUMN('Реестр ОН'!$DF$1),0)</f>
        <v>Продажа</v>
      </c>
    </row>
    <row r="534" spans="1:38" hidden="1" x14ac:dyDescent="0.25">
      <c r="A534" s="101">
        <v>532</v>
      </c>
      <c r="B534" s="2" t="str">
        <f>_xlfn.XLOOKUP(наценкад5[[#This Row],[№]],ППД5[№],ППД5[Секция],"-",0)</f>
        <v>Г</v>
      </c>
      <c r="C534" s="2">
        <f>_xlfn.XLOOKUP(наценкад5[[#This Row],[№]],ППД5[№],ППД5[Этаж],"-",0)</f>
        <v>18</v>
      </c>
      <c r="D534" s="2">
        <f>_xlfn.XLOOKUP(наценкад5[[#This Row],[№]],ППД5[№],ППД5[№ на этаже],"-",0)</f>
        <v>8</v>
      </c>
      <c r="E534" s="2">
        <f>_xlfn.XLOOKUP(наценкад5[[#This Row],[№]],ППД5[№],ППД5[Тип кв],"-",0)</f>
        <v>1</v>
      </c>
      <c r="F534" s="72">
        <f>_xlfn.XLOOKUP(наценкад5[[#This Row],[№]],ППД5[№],ППД5[Кухня],"-",0)</f>
        <v>11.43</v>
      </c>
      <c r="G534" s="72">
        <f>_xlfn.XLOOKUP(наценкад5[[#This Row],[№]],ППД5[№],ППД5[Ванная],"-",0)</f>
        <v>3.56</v>
      </c>
      <c r="H534" s="72">
        <f>_xlfn.XLOOKUP(наценкад5[[#This Row],[№]],ППД5[№],ППД5[Гардеробная],"-",0)</f>
        <v>0</v>
      </c>
      <c r="I534" s="72">
        <f>_xlfn.XLOOKUP(наценкад5[[#This Row],[№]],ППД5[№],ППД5[Лоджия 2],"-",0)</f>
        <v>0</v>
      </c>
      <c r="J534" s="72">
        <f>_xlfn.XLOOKUP(наценкад5[[#This Row],[№]],ППД5[№],ППД5[С\У],"-",0)</f>
        <v>0</v>
      </c>
      <c r="K534" s="72">
        <f>_xlfn.XLOOKUP(наценкад5[[#This Row],[№]],ППД5[№],ППД5[Расчетная проектная площадь],"-",0)</f>
        <v>39.69</v>
      </c>
      <c r="L534" s="12">
        <f t="shared" si="8"/>
        <v>63000</v>
      </c>
      <c r="M534" s="102">
        <f>коэффициенты!$G$2</f>
        <v>1.2875000000000001</v>
      </c>
      <c r="N534" s="13">
        <f>наценкад5[[#This Row],[Цена м2 базовая]]*наценкад5[[#This Row],[Базовой K]]</f>
        <v>81112.5</v>
      </c>
      <c r="O534" s="74"/>
      <c r="P534" s="76">
        <f>коэффициенты!$G$5</f>
        <v>0.01</v>
      </c>
      <c r="Q534" s="74"/>
      <c r="R534" s="74"/>
      <c r="S534" s="74"/>
      <c r="T534" s="74"/>
      <c r="U534" s="74"/>
      <c r="V534" s="74">
        <f>коэффициенты!$G$11</f>
        <v>0.01</v>
      </c>
      <c r="W534" s="75">
        <f>коэффициенты!$G$12</f>
        <v>0.02</v>
      </c>
      <c r="X534" s="74"/>
      <c r="Y534" s="75"/>
      <c r="Z534" s="74"/>
      <c r="AA534" s="74">
        <f>коэффициенты!$G$14</f>
        <v>0.01</v>
      </c>
      <c r="AB534" s="74"/>
      <c r="AC534" s="74"/>
      <c r="AD534" s="74">
        <f>коэффициенты!$G$19</f>
        <v>0.01</v>
      </c>
      <c r="AE534" s="74"/>
      <c r="AF534" s="74">
        <f>коэффициенты!$G$21</f>
        <v>0.01</v>
      </c>
      <c r="AG534" s="74">
        <f>коэффициенты!$A$24</f>
        <v>-5.0000000000000001E-3</v>
      </c>
      <c r="AH534" s="74"/>
      <c r="AI534" s="73">
        <f>SUM(наценкад5[[#This Row],[еврокухня]:[большая площадь]])*наценкад5[[#This Row],[Цена м2 с базовым K]]+наценкад5[[#This Row],[Цена м2 с базовым K]]</f>
        <v>86384.8125</v>
      </c>
      <c r="AJ534" s="72">
        <f>VLOOKUP(наценкад5[[#This Row],[№]],ППД5[],COLUMN(ППД5[[#This Row],[утв цена м2]]),0)</f>
        <v>112533.93</v>
      </c>
      <c r="AK534" s="3">
        <f>наценкад5[[#This Row],[утв цена м2]]*наценкад5[[#This Row],[Расчетная проектная площадь]]</f>
        <v>4466471.6816999996</v>
      </c>
      <c r="AL534" s="22" t="str">
        <f>VLOOKUP(наценкад5[[#This Row],[№]],ППД5[],COLUMN('Реестр ОН'!$DF$1),0)</f>
        <v>Продажа</v>
      </c>
    </row>
    <row r="535" spans="1:38" hidden="1" x14ac:dyDescent="0.25">
      <c r="A535" s="101">
        <v>533</v>
      </c>
      <c r="B535" s="2" t="str">
        <f>_xlfn.XLOOKUP(наценкад5[[#This Row],[№]],ППД5[№],ППД5[Секция],"-",0)</f>
        <v>Г</v>
      </c>
      <c r="C535" s="2">
        <f>_xlfn.XLOOKUP(наценкад5[[#This Row],[№]],ППД5[№],ППД5[Этаж],"-",0)</f>
        <v>19</v>
      </c>
      <c r="D535" s="2">
        <f>_xlfn.XLOOKUP(наценкад5[[#This Row],[№]],ППД5[№],ППД5[№ на этаже],"-",0)</f>
        <v>1</v>
      </c>
      <c r="E535" s="2">
        <f>_xlfn.XLOOKUP(наценкад5[[#This Row],[№]],ППД5[№],ППД5[Тип кв],"-",0)</f>
        <v>0</v>
      </c>
      <c r="F535" s="72">
        <f>_xlfn.XLOOKUP(наценкад5[[#This Row],[№]],ППД5[№],ППД5[Кухня],"-",0)</f>
        <v>5.84</v>
      </c>
      <c r="G535" s="72">
        <f>_xlfn.XLOOKUP(наценкад5[[#This Row],[№]],ППД5[№],ППД5[Ванная],"-",0)</f>
        <v>3.76</v>
      </c>
      <c r="H535" s="72">
        <f>_xlfn.XLOOKUP(наценкад5[[#This Row],[№]],ППД5[№],ППД5[Гардеробная],"-",0)</f>
        <v>0</v>
      </c>
      <c r="I535" s="72">
        <f>_xlfn.XLOOKUP(наценкад5[[#This Row],[№]],ППД5[№],ППД5[Лоджия 2],"-",0)</f>
        <v>0</v>
      </c>
      <c r="J535" s="72">
        <f>_xlfn.XLOOKUP(наценкад5[[#This Row],[№]],ППД5[№],ППД5[С\У],"-",0)</f>
        <v>0</v>
      </c>
      <c r="K535" s="72">
        <f>_xlfn.XLOOKUP(наценкад5[[#This Row],[№]],ППД5[№],ППД5[Расчетная проектная площадь],"-",0)</f>
        <v>29.4</v>
      </c>
      <c r="L535" s="12">
        <f t="shared" si="8"/>
        <v>63000</v>
      </c>
      <c r="M535" s="116">
        <f>коэффициенты!$H$2</f>
        <v>1.3905000000000001</v>
      </c>
      <c r="N535" s="13">
        <f>наценкад5[[#This Row],[Цена м2 базовая]]*наценкад5[[#This Row],[Базовой K]]</f>
        <v>87601.5</v>
      </c>
      <c r="O535" s="74"/>
      <c r="P535" s="74"/>
      <c r="Q535" s="74"/>
      <c r="R535" s="74"/>
      <c r="S535" s="74"/>
      <c r="T535" s="74"/>
      <c r="U535" s="74"/>
      <c r="V535" s="74"/>
      <c r="W535" s="74"/>
      <c r="X535" s="74"/>
      <c r="Y535" s="75"/>
      <c r="Z535" s="76">
        <f>коэффициенты!$H$16</f>
        <v>0.08</v>
      </c>
      <c r="AA535" s="74"/>
      <c r="AB535" s="74"/>
      <c r="AC535" s="74"/>
      <c r="AD535" s="74">
        <f>коэффициенты!$H$19</f>
        <v>0.01</v>
      </c>
      <c r="AE535" s="74"/>
      <c r="AF535" s="74">
        <f>коэффициенты!$H$21</f>
        <v>0.01</v>
      </c>
      <c r="AG535" s="74"/>
      <c r="AH535" s="74"/>
      <c r="AI535" s="73">
        <f>SUM(наценкад5[[#This Row],[еврокухня]:[большая площадь]])*наценкад5[[#This Row],[Цена м2 с базовым K]]+наценкад5[[#This Row],[Цена м2 с базовым K]]</f>
        <v>96361.65</v>
      </c>
      <c r="AJ535" s="72">
        <f>VLOOKUP(наценкад5[[#This Row],[№]],ППД5[],COLUMN(ППД5[[#This Row],[утв цена м2]]),0)</f>
        <v>149522.32</v>
      </c>
      <c r="AK535" s="3">
        <f>наценкад5[[#This Row],[утв цена м2]]*наценкад5[[#This Row],[Расчетная проектная площадь]]</f>
        <v>4395956.2079999996</v>
      </c>
      <c r="AL535" s="22" t="str">
        <f>VLOOKUP(наценкад5[[#This Row],[№]],ППД5[],COLUMN('Реестр ОН'!$DF$1),0)</f>
        <v>Свободно</v>
      </c>
    </row>
    <row r="536" spans="1:38" hidden="1" x14ac:dyDescent="0.25">
      <c r="A536" s="101">
        <v>534</v>
      </c>
      <c r="B536" s="2" t="str">
        <f>_xlfn.XLOOKUP(наценкад5[[#This Row],[№]],ППД5[№],ППД5[Секция],"-",0)</f>
        <v>Г</v>
      </c>
      <c r="C536" s="2">
        <f>_xlfn.XLOOKUP(наценкад5[[#This Row],[№]],ППД5[№],ППД5[Этаж],"-",0)</f>
        <v>19</v>
      </c>
      <c r="D536" s="2">
        <f>_xlfn.XLOOKUP(наценкад5[[#This Row],[№]],ППД5[№],ППД5[№ на этаже],"-",0)</f>
        <v>2</v>
      </c>
      <c r="E536" s="2">
        <f>_xlfn.XLOOKUP(наценкад5[[#This Row],[№]],ППД5[№],ППД5[Тип кв],"-",0)</f>
        <v>1</v>
      </c>
      <c r="F536" s="72">
        <f>_xlfn.XLOOKUP(наценкад5[[#This Row],[№]],ППД5[№],ППД5[Кухня],"-",0)</f>
        <v>16.940000000000001</v>
      </c>
      <c r="G536" s="72">
        <f>_xlfn.XLOOKUP(наценкад5[[#This Row],[№]],ППД5[№],ППД5[Ванная],"-",0)</f>
        <v>3.55</v>
      </c>
      <c r="H536" s="72">
        <f>_xlfn.XLOOKUP(наценкад5[[#This Row],[№]],ППД5[№],ППД5[Гардеробная],"-",0)</f>
        <v>0</v>
      </c>
      <c r="I536" s="72">
        <f>_xlfn.XLOOKUP(наценкад5[[#This Row],[№]],ППД5[№],ППД5[Лоджия 2],"-",0)</f>
        <v>0</v>
      </c>
      <c r="J536" s="72">
        <f>_xlfn.XLOOKUP(наценкад5[[#This Row],[№]],ППД5[№],ППД5[С\У],"-",0)</f>
        <v>2.41</v>
      </c>
      <c r="K536" s="72">
        <f>_xlfn.XLOOKUP(наценкад5[[#This Row],[№]],ППД5[№],ППД5[Расчетная проектная площадь],"-",0)</f>
        <v>43.21</v>
      </c>
      <c r="L536" s="12">
        <f t="shared" si="8"/>
        <v>63000</v>
      </c>
      <c r="M536" s="102">
        <f>коэффициенты!$G$2</f>
        <v>1.2875000000000001</v>
      </c>
      <c r="N536" s="13">
        <f>наценкад5[[#This Row],[Цена м2 базовая]]*наценкад5[[#This Row],[Базовой K]]</f>
        <v>81112.5</v>
      </c>
      <c r="O536" s="76">
        <f>коэффициенты!$G$4</f>
        <v>0.02</v>
      </c>
      <c r="P536" s="74"/>
      <c r="Q536" s="74"/>
      <c r="R536" s="74">
        <f>коэффициенты!$G$10</f>
        <v>0.01</v>
      </c>
      <c r="S536" s="74">
        <f>коэффициенты!$G$9</f>
        <v>0</v>
      </c>
      <c r="T536" s="74"/>
      <c r="U536" s="74"/>
      <c r="V536" s="74"/>
      <c r="W536" s="75"/>
      <c r="X536" s="74"/>
      <c r="Y536" s="75"/>
      <c r="Z536" s="76">
        <f>коэффициенты!$G$16</f>
        <v>0.08</v>
      </c>
      <c r="AA536" s="74"/>
      <c r="AB536" s="74"/>
      <c r="AC536" s="74"/>
      <c r="AD536" s="74">
        <f>коэффициенты!$G$19</f>
        <v>0.01</v>
      </c>
      <c r="AE536" s="74"/>
      <c r="AF536" s="74">
        <f>коэффициенты!$G$21</f>
        <v>0.01</v>
      </c>
      <c r="AG536" s="74"/>
      <c r="AH536" s="74"/>
      <c r="AI536" s="73">
        <f>SUM(наценкад5[[#This Row],[еврокухня]:[большая площадь]])*наценкад5[[#This Row],[Цена м2 с базовым K]]+наценкад5[[#This Row],[Цена м2 с базовым K]]</f>
        <v>91657.125</v>
      </c>
      <c r="AJ536" s="72">
        <f>VLOOKUP(наценкад5[[#This Row],[№]],ППД5[],COLUMN(ППД5[[#This Row],[утв цена м2]]),0)</f>
        <v>111484.4</v>
      </c>
      <c r="AK536" s="3">
        <f>наценкад5[[#This Row],[утв цена м2]]*наценкад5[[#This Row],[Расчетная проектная площадь]]</f>
        <v>4817240.9239999996</v>
      </c>
      <c r="AL536" s="22" t="str">
        <f>VLOOKUP(наценкад5[[#This Row],[№]],ППД5[],COLUMN('Реестр ОН'!$DF$1),0)</f>
        <v>Продажа</v>
      </c>
    </row>
    <row r="537" spans="1:38" hidden="1" x14ac:dyDescent="0.25">
      <c r="A537" s="101">
        <v>535</v>
      </c>
      <c r="B537" s="2" t="str">
        <f>_xlfn.XLOOKUP(наценкад5[[#This Row],[№]],ППД5[№],ППД5[Секция],"-",0)</f>
        <v>Г</v>
      </c>
      <c r="C537" s="2">
        <f>_xlfn.XLOOKUP(наценкад5[[#This Row],[№]],ППД5[№],ППД5[Этаж],"-",0)</f>
        <v>19</v>
      </c>
      <c r="D537" s="2">
        <f>_xlfn.XLOOKUP(наценкад5[[#This Row],[№]],ППД5[№],ППД5[№ на этаже],"-",0)</f>
        <v>3</v>
      </c>
      <c r="E537" s="2">
        <f>_xlfn.XLOOKUP(наценкад5[[#This Row],[№]],ППД5[№],ППД5[Тип кв],"-",0)</f>
        <v>0</v>
      </c>
      <c r="F537" s="72">
        <f>_xlfn.XLOOKUP(наценкад5[[#This Row],[№]],ППД5[№],ППД5[Кухня],"-",0)</f>
        <v>5.17</v>
      </c>
      <c r="G537" s="72">
        <f>_xlfn.XLOOKUP(наценкад5[[#This Row],[№]],ППД5[№],ППД5[Ванная],"-",0)</f>
        <v>3.71</v>
      </c>
      <c r="H537" s="72">
        <f>_xlfn.XLOOKUP(наценкад5[[#This Row],[№]],ППД5[№],ППД5[Гардеробная],"-",0)</f>
        <v>0</v>
      </c>
      <c r="I537" s="72">
        <f>_xlfn.XLOOKUP(наценкад5[[#This Row],[№]],ППД5[№],ППД5[Лоджия 2],"-",0)</f>
        <v>0</v>
      </c>
      <c r="J537" s="72">
        <f>_xlfn.XLOOKUP(наценкад5[[#This Row],[№]],ППД5[№],ППД5[С\У],"-",0)</f>
        <v>0</v>
      </c>
      <c r="K537" s="72">
        <f>_xlfn.XLOOKUP(наценкад5[[#This Row],[№]],ППД5[№],ППД5[Расчетная проектная площадь],"-",0)</f>
        <v>24.5</v>
      </c>
      <c r="L537" s="12">
        <f t="shared" si="8"/>
        <v>63000</v>
      </c>
      <c r="M537" s="116">
        <f>коэффициенты!$H$2</f>
        <v>1.3905000000000001</v>
      </c>
      <c r="N537" s="13">
        <f>наценкад5[[#This Row],[Цена м2 базовая]]*наценкад5[[#This Row],[Базовой K]]</f>
        <v>87601.5</v>
      </c>
      <c r="O537" s="74"/>
      <c r="P537" s="74"/>
      <c r="Q537" s="74"/>
      <c r="R537" s="74"/>
      <c r="S537" s="74"/>
      <c r="T537" s="74"/>
      <c r="U537" s="74"/>
      <c r="V537" s="74">
        <f>коэффициенты!$H$11</f>
        <v>0.01</v>
      </c>
      <c r="W537" s="75"/>
      <c r="X537" s="74">
        <f>коэффициенты!$H$13</f>
        <v>0.01</v>
      </c>
      <c r="Y537" s="75"/>
      <c r="Z537" s="76">
        <f>коэффициенты!$H$16</f>
        <v>0.08</v>
      </c>
      <c r="AA537" s="74"/>
      <c r="AB537" s="74"/>
      <c r="AC537" s="74"/>
      <c r="AD537" s="74">
        <f>коэффициенты!$H$19</f>
        <v>0.01</v>
      </c>
      <c r="AE537" s="74"/>
      <c r="AF537" s="74">
        <f>коэффициенты!$H$21</f>
        <v>0.01</v>
      </c>
      <c r="AG537" s="74"/>
      <c r="AH537" s="74"/>
      <c r="AI537" s="73">
        <f>SUM(наценкад5[[#This Row],[еврокухня]:[большая площадь]])*наценкад5[[#This Row],[Цена м2 с базовым K]]+наценкад5[[#This Row],[Цена м2 с базовым K]]</f>
        <v>98113.68</v>
      </c>
      <c r="AJ537" s="72">
        <f>VLOOKUP(наценкад5[[#This Row],[№]],ППД5[],COLUMN(ППД5[[#This Row],[утв цена м2]]),0)</f>
        <v>154508.35</v>
      </c>
      <c r="AK537" s="3">
        <f>наценкад5[[#This Row],[утв цена м2]]*наценкад5[[#This Row],[Расчетная проектная площадь]]</f>
        <v>3785454.5750000002</v>
      </c>
      <c r="AL537" s="22" t="str">
        <f>VLOOKUP(наценкад5[[#This Row],[№]],ППД5[],COLUMN('Реестр ОН'!$DF$1),0)</f>
        <v>Свободно</v>
      </c>
    </row>
    <row r="538" spans="1:38" hidden="1" x14ac:dyDescent="0.25">
      <c r="A538" s="101">
        <v>536</v>
      </c>
      <c r="B538" s="2" t="str">
        <f>_xlfn.XLOOKUP(наценкад5[[#This Row],[№]],ППД5[№],ППД5[Секция],"-",0)</f>
        <v>Г</v>
      </c>
      <c r="C538" s="2">
        <f>_xlfn.XLOOKUP(наценкад5[[#This Row],[№]],ППД5[№],ППД5[Этаж],"-",0)</f>
        <v>19</v>
      </c>
      <c r="D538" s="2">
        <f>_xlfn.XLOOKUP(наценкад5[[#This Row],[№]],ППД5[№],ППД5[№ на этаже],"-",0)</f>
        <v>4</v>
      </c>
      <c r="E538" s="2">
        <f>_xlfn.XLOOKUP(наценкад5[[#This Row],[№]],ППД5[№],ППД5[Тип кв],"-",0)</f>
        <v>2</v>
      </c>
      <c r="F538" s="72">
        <f>_xlfn.XLOOKUP(наценкад5[[#This Row],[№]],ППД5[№],ППД5[Кухня],"-",0)</f>
        <v>15.86</v>
      </c>
      <c r="G538" s="72">
        <f>_xlfn.XLOOKUP(наценкад5[[#This Row],[№]],ППД5[№],ППД5[Ванная],"-",0)</f>
        <v>3.01</v>
      </c>
      <c r="H538" s="72">
        <f>_xlfn.XLOOKUP(наценкад5[[#This Row],[№]],ППД5[№],ППД5[Гардеробная],"-",0)</f>
        <v>0</v>
      </c>
      <c r="I538" s="72">
        <f>_xlfn.XLOOKUP(наценкад5[[#This Row],[№]],ППД5[№],ППД5[Лоджия 2],"-",0)</f>
        <v>0</v>
      </c>
      <c r="J538" s="72">
        <f>_xlfn.XLOOKUP(наценкад5[[#This Row],[№]],ППД5[№],ППД5[С\У],"-",0)</f>
        <v>2.67</v>
      </c>
      <c r="K538" s="72">
        <f>_xlfn.XLOOKUP(наценкад5[[#This Row],[№]],ППД5[№],ППД5[Расчетная проектная площадь],"-",0)</f>
        <v>58.24</v>
      </c>
      <c r="L538" s="12">
        <f t="shared" si="8"/>
        <v>63000</v>
      </c>
      <c r="M538" s="102">
        <f>коэффициенты!$F$2</f>
        <v>1.2257</v>
      </c>
      <c r="N538" s="13">
        <f>наценкад5[[#This Row],[Цена м2 базовая]]*наценкад5[[#This Row],[Базовой K]]</f>
        <v>77219.100000000006</v>
      </c>
      <c r="O538" s="76">
        <f>коэффициенты!$F$4</f>
        <v>1.4999999999999999E-2</v>
      </c>
      <c r="P538" s="74"/>
      <c r="Q538" s="76"/>
      <c r="R538" s="76">
        <f>коэффициенты!$F$10</f>
        <v>0</v>
      </c>
      <c r="S538" s="76">
        <f>коэффициенты!$F$9</f>
        <v>0</v>
      </c>
      <c r="T538" s="74"/>
      <c r="U538" s="74"/>
      <c r="V538" s="74"/>
      <c r="W538" s="75"/>
      <c r="X538" s="74"/>
      <c r="Y538" s="75"/>
      <c r="Z538" s="76">
        <f>коэффициенты!$F$16</f>
        <v>0.08</v>
      </c>
      <c r="AA538" s="74"/>
      <c r="AB538" s="74"/>
      <c r="AC538" s="74"/>
      <c r="AD538" s="74">
        <f>коэффициенты!$F$19</f>
        <v>5.0000000000000001E-3</v>
      </c>
      <c r="AE538" s="74"/>
      <c r="AF538" s="74">
        <f>коэффициенты!$F$21</f>
        <v>0.01</v>
      </c>
      <c r="AG538" s="74"/>
      <c r="AH538" s="74"/>
      <c r="AI538" s="73">
        <f>SUM(наценкад5[[#This Row],[еврокухня]:[большая площадь]])*наценкад5[[#This Row],[Цена м2 с базовым K]]+наценкад5[[#This Row],[Цена м2 с базовым K]]</f>
        <v>85713.201000000001</v>
      </c>
      <c r="AJ538" s="72">
        <f>VLOOKUP(наценкад5[[#This Row],[№]],ППД5[],COLUMN(ППД5[[#This Row],[утв цена м2]]),0)</f>
        <v>130649.18</v>
      </c>
      <c r="AK538" s="3">
        <f>наценкад5[[#This Row],[утв цена м2]]*наценкад5[[#This Row],[Расчетная проектная площадь]]</f>
        <v>7609008.2431999994</v>
      </c>
      <c r="AL538" s="22" t="str">
        <f>VLOOKUP(наценкад5[[#This Row],[№]],ППД5[],COLUMN('Реестр ОН'!$DF$1),0)</f>
        <v>Свободно</v>
      </c>
    </row>
    <row r="539" spans="1:38" hidden="1" x14ac:dyDescent="0.25">
      <c r="A539" s="101">
        <v>537</v>
      </c>
      <c r="B539" s="2" t="str">
        <f>_xlfn.XLOOKUP(наценкад5[[#This Row],[№]],ППД5[№],ППД5[Секция],"-",0)</f>
        <v>Г</v>
      </c>
      <c r="C539" s="2">
        <f>_xlfn.XLOOKUP(наценкад5[[#This Row],[№]],ППД5[№],ППД5[Этаж],"-",0)</f>
        <v>19</v>
      </c>
      <c r="D539" s="2">
        <f>_xlfn.XLOOKUP(наценкад5[[#This Row],[№]],ППД5[№],ППД5[№ на этаже],"-",0)</f>
        <v>5</v>
      </c>
      <c r="E539" s="2">
        <f>_xlfn.XLOOKUP(наценкад5[[#This Row],[№]],ППД5[№],ППД5[Тип кв],"-",0)</f>
        <v>2</v>
      </c>
      <c r="F539" s="72">
        <f>_xlfn.XLOOKUP(наценкад5[[#This Row],[№]],ППД5[№],ППД5[Кухня],"-",0)</f>
        <v>13.45</v>
      </c>
      <c r="G539" s="72">
        <f>_xlfn.XLOOKUP(наценкад5[[#This Row],[№]],ППД5[№],ППД5[Ванная],"-",0)</f>
        <v>3.7</v>
      </c>
      <c r="H539" s="72">
        <f>_xlfn.XLOOKUP(наценкад5[[#This Row],[№]],ППД5[№],ППД5[Гардеробная],"-",0)</f>
        <v>0</v>
      </c>
      <c r="I539" s="72">
        <f>_xlfn.XLOOKUP(наценкад5[[#This Row],[№]],ППД5[№],ППД5[Лоджия 2],"-",0)</f>
        <v>0</v>
      </c>
      <c r="J539" s="72">
        <f>_xlfn.XLOOKUP(наценкад5[[#This Row],[№]],ППД5[№],ППД5[С\У],"-",0)</f>
        <v>2.72</v>
      </c>
      <c r="K539" s="72">
        <f>_xlfn.XLOOKUP(наценкад5[[#This Row],[№]],ППД5[№],ППД5[Расчетная проектная площадь],"-",0)</f>
        <v>57.8</v>
      </c>
      <c r="L539" s="12">
        <f t="shared" si="8"/>
        <v>63000</v>
      </c>
      <c r="M539" s="102">
        <f>коэффициенты!$F$2</f>
        <v>1.2257</v>
      </c>
      <c r="N539" s="13">
        <f>наценкад5[[#This Row],[Цена м2 базовая]]*наценкад5[[#This Row],[Базовой K]]</f>
        <v>77219.100000000006</v>
      </c>
      <c r="O539" s="74"/>
      <c r="P539" s="74">
        <f>коэффициенты!$F$5</f>
        <v>0.01</v>
      </c>
      <c r="Q539" s="76"/>
      <c r="R539" s="76"/>
      <c r="S539" s="76">
        <f>коэффициенты!$F$9</f>
        <v>0</v>
      </c>
      <c r="T539" s="74"/>
      <c r="U539" s="74"/>
      <c r="V539" s="74"/>
      <c r="W539" s="75"/>
      <c r="X539" s="74"/>
      <c r="Y539" s="75"/>
      <c r="Z539" s="76">
        <f>коэффициенты!$F$16</f>
        <v>0.08</v>
      </c>
      <c r="AA539" s="74"/>
      <c r="AB539" s="74"/>
      <c r="AC539" s="74"/>
      <c r="AD539" s="74">
        <f>коэффициенты!$F$19</f>
        <v>5.0000000000000001E-3</v>
      </c>
      <c r="AE539" s="74"/>
      <c r="AF539" s="74">
        <f>коэффициенты!$F$21</f>
        <v>0.01</v>
      </c>
      <c r="AG539" s="74"/>
      <c r="AH539" s="74"/>
      <c r="AI539" s="73">
        <f>SUM(наценкад5[[#This Row],[еврокухня]:[большая площадь]])*наценкад5[[#This Row],[Цена м2 с базовым K]]+наценкад5[[#This Row],[Цена м2 с базовым K]]</f>
        <v>85327.105500000005</v>
      </c>
      <c r="AJ539" s="72">
        <f>VLOOKUP(наценкад5[[#This Row],[№]],ППД5[],COLUMN(ППД5[[#This Row],[утв цена м2]]),0)</f>
        <v>130683.68</v>
      </c>
      <c r="AK539" s="3">
        <f>наценкад5[[#This Row],[утв цена м2]]*наценкад5[[#This Row],[Расчетная проектная площадь]]</f>
        <v>7553516.703999999</v>
      </c>
      <c r="AL539" s="22" t="str">
        <f>VLOOKUP(наценкад5[[#This Row],[№]],ППД5[],COLUMN('Реестр ОН'!$DF$1),0)</f>
        <v>Свободно</v>
      </c>
    </row>
    <row r="540" spans="1:38" hidden="1" x14ac:dyDescent="0.25">
      <c r="A540" s="101">
        <v>538</v>
      </c>
      <c r="B540" s="2" t="str">
        <f>_xlfn.XLOOKUP(наценкад5[[#This Row],[№]],ППД5[№],ППД5[Секция],"-",0)</f>
        <v>Г</v>
      </c>
      <c r="C540" s="2">
        <f>_xlfn.XLOOKUP(наценкад5[[#This Row],[№]],ППД5[№],ППД5[Этаж],"-",0)</f>
        <v>19</v>
      </c>
      <c r="D540" s="2">
        <f>_xlfn.XLOOKUP(наценкад5[[#This Row],[№]],ППД5[№],ППД5[№ на этаже],"-",0)</f>
        <v>6</v>
      </c>
      <c r="E540" s="2">
        <f>_xlfn.XLOOKUP(наценкад5[[#This Row],[№]],ППД5[№],ППД5[Тип кв],"-",0)</f>
        <v>1</v>
      </c>
      <c r="F540" s="72">
        <f>_xlfn.XLOOKUP(наценкад5[[#This Row],[№]],ППД5[№],ППД5[Кухня],"-",0)</f>
        <v>12.55</v>
      </c>
      <c r="G540" s="72">
        <f>_xlfn.XLOOKUP(наценкад5[[#This Row],[№]],ППД5[№],ППД5[Ванная],"-",0)</f>
        <v>4.28</v>
      </c>
      <c r="H540" s="72">
        <f>_xlfn.XLOOKUP(наценкад5[[#This Row],[№]],ППД5[№],ППД5[Гардеробная],"-",0)</f>
        <v>0</v>
      </c>
      <c r="I540" s="72">
        <f>_xlfn.XLOOKUP(наценкад5[[#This Row],[№]],ППД5[№],ППД5[Лоджия 2],"-",0)</f>
        <v>0</v>
      </c>
      <c r="J540" s="72">
        <f>_xlfn.XLOOKUP(наценкад5[[#This Row],[№]],ППД5[№],ППД5[С\У],"-",0)</f>
        <v>0</v>
      </c>
      <c r="K540" s="72">
        <f>_xlfn.XLOOKUP(наценкад5[[#This Row],[№]],ППД5[№],ППД5[Расчетная проектная площадь],"-",0)</f>
        <v>38.299999999999997</v>
      </c>
      <c r="L540" s="12">
        <f t="shared" si="8"/>
        <v>63000</v>
      </c>
      <c r="M540" s="102">
        <f>коэффициенты!$G$2</f>
        <v>1.2875000000000001</v>
      </c>
      <c r="N540" s="13">
        <f>наценкад5[[#This Row],[Цена м2 базовая]]*наценкад5[[#This Row],[Базовой K]]</f>
        <v>81112.5</v>
      </c>
      <c r="O540" s="74"/>
      <c r="P540" s="76">
        <f>коэффициенты!$G$5</f>
        <v>0.01</v>
      </c>
      <c r="Q540" s="74">
        <f>коэффициенты!$G$6</f>
        <v>0.03</v>
      </c>
      <c r="R540" s="74"/>
      <c r="S540" s="74"/>
      <c r="T540" s="74"/>
      <c r="U540" s="74"/>
      <c r="V540" s="74">
        <f>коэффициенты!$G$11</f>
        <v>0.01</v>
      </c>
      <c r="W540" s="75"/>
      <c r="X540" s="74">
        <f>коэффициенты!$G$13</f>
        <v>0.01</v>
      </c>
      <c r="Y540" s="75"/>
      <c r="Z540" s="76">
        <f>коэффициенты!$G$16</f>
        <v>0.08</v>
      </c>
      <c r="AA540" s="74"/>
      <c r="AB540" s="74"/>
      <c r="AC540" s="74"/>
      <c r="AD540" s="74">
        <f>коэффициенты!$G$19</f>
        <v>0.01</v>
      </c>
      <c r="AE540" s="74"/>
      <c r="AF540" s="74">
        <f>коэффициенты!$G$21</f>
        <v>0.01</v>
      </c>
      <c r="AG540" s="74"/>
      <c r="AH540" s="74"/>
      <c r="AI540" s="73">
        <f>SUM(наценкад5[[#This Row],[еврокухня]:[большая площадь]])*наценкад5[[#This Row],[Цена м2 с базовым K]]+наценкад5[[#This Row],[Цена м2 с базовым K]]</f>
        <v>94090.5</v>
      </c>
      <c r="AJ540" s="72">
        <f>VLOOKUP(наценкад5[[#This Row],[№]],ППД5[],COLUMN(ППД5[[#This Row],[утв цена м2]]),0)</f>
        <v>148461.03</v>
      </c>
      <c r="AK540" s="3">
        <f>наценкад5[[#This Row],[утв цена м2]]*наценкад5[[#This Row],[Расчетная проектная площадь]]</f>
        <v>5686057.4489999991</v>
      </c>
      <c r="AL540" s="22" t="str">
        <f>VLOOKUP(наценкад5[[#This Row],[№]],ППД5[],COLUMN('Реестр ОН'!$DF$1),0)</f>
        <v>Свободно</v>
      </c>
    </row>
    <row r="541" spans="1:38" hidden="1" x14ac:dyDescent="0.25">
      <c r="A541" s="101">
        <v>539</v>
      </c>
      <c r="B541" s="2" t="str">
        <f>_xlfn.XLOOKUP(наценкад5[[#This Row],[№]],ППД5[№],ППД5[Секция],"-",0)</f>
        <v>Г</v>
      </c>
      <c r="C541" s="2">
        <f>_xlfn.XLOOKUP(наценкад5[[#This Row],[№]],ППД5[№],ППД5[Этаж],"-",0)</f>
        <v>19</v>
      </c>
      <c r="D541" s="2">
        <f>_xlfn.XLOOKUP(наценкад5[[#This Row],[№]],ППД5[№],ППД5[№ на этаже],"-",0)</f>
        <v>7</v>
      </c>
      <c r="E541" s="2">
        <f>_xlfn.XLOOKUP(наценкад5[[#This Row],[№]],ППД5[№],ППД5[Тип кв],"-",0)</f>
        <v>3</v>
      </c>
      <c r="F541" s="72">
        <f>_xlfn.XLOOKUP(наценкад5[[#This Row],[№]],ППД5[№],ППД5[Кухня],"-",0)</f>
        <v>16.670000000000002</v>
      </c>
      <c r="G541" s="72">
        <f>_xlfn.XLOOKUP(наценкад5[[#This Row],[№]],ППД5[№],ППД5[Ванная],"-",0)</f>
        <v>4.1399999999999997</v>
      </c>
      <c r="H541" s="72">
        <f>_xlfn.XLOOKUP(наценкад5[[#This Row],[№]],ППД5[№],ППД5[Гардеробная],"-",0)</f>
        <v>0</v>
      </c>
      <c r="I541" s="72">
        <f>_xlfn.XLOOKUP(наценкад5[[#This Row],[№]],ППД5[№],ППД5[Лоджия 2],"-",0)</f>
        <v>2.79</v>
      </c>
      <c r="J541" s="72">
        <f>_xlfn.XLOOKUP(наценкад5[[#This Row],[№]],ППД5[№],ППД5[С\У],"-",0)</f>
        <v>1.89</v>
      </c>
      <c r="K541" s="72">
        <f>_xlfn.XLOOKUP(наценкад5[[#This Row],[№]],ППД5[№],ППД5[Расчетная проектная площадь],"-",0)</f>
        <v>79.44</v>
      </c>
      <c r="L541" s="12">
        <f t="shared" si="8"/>
        <v>63000</v>
      </c>
      <c r="M541" s="27">
        <f>коэффициенты!$E$2</f>
        <v>1.1330000000000002</v>
      </c>
      <c r="N541" s="13">
        <f>наценкад5[[#This Row],[Цена м2 базовая]]*наценкад5[[#This Row],[Базовой K]]</f>
        <v>71379.000000000015</v>
      </c>
      <c r="O541" s="74">
        <f>коэффициенты!$E$4</f>
        <v>0.03</v>
      </c>
      <c r="P541" s="74"/>
      <c r="Q541" s="74">
        <f>коэффициенты!$E$6</f>
        <v>0.01</v>
      </c>
      <c r="R541" s="74"/>
      <c r="S541" s="74">
        <f>коэффициенты!$E$9</f>
        <v>0</v>
      </c>
      <c r="T541" s="74">
        <f>коэффициенты!$E$7</f>
        <v>0</v>
      </c>
      <c r="U541" s="74">
        <f>коэффициенты!$E$8</f>
        <v>0.01</v>
      </c>
      <c r="V541" s="74"/>
      <c r="W541" s="75"/>
      <c r="X541" s="74"/>
      <c r="Y541" s="75"/>
      <c r="Z541" s="76">
        <f>коэффициенты!$A$16</f>
        <v>0.08</v>
      </c>
      <c r="AA541" s="74">
        <f>коэффициенты!$E$14</f>
        <v>0</v>
      </c>
      <c r="AB541" s="74"/>
      <c r="AC541" s="74">
        <f>коэффициенты!$E$18</f>
        <v>0.01</v>
      </c>
      <c r="AD541" s="74"/>
      <c r="AE541" s="74"/>
      <c r="AF541" s="74">
        <f>коэффициенты!$E$21</f>
        <v>0.01</v>
      </c>
      <c r="AG541" s="74"/>
      <c r="AH541" s="74"/>
      <c r="AI541" s="73">
        <f>SUM(наценкад5[[#This Row],[еврокухня]:[большая площадь]])*наценкад5[[#This Row],[Цена м2 с базовым K]]+наценкад5[[#This Row],[Цена м2 с базовым K]]</f>
        <v>82085.85000000002</v>
      </c>
      <c r="AJ541" s="72">
        <f>VLOOKUP(наценкад5[[#This Row],[№]],ППД5[],COLUMN(ППД5[[#This Row],[утв цена м2]]),0)</f>
        <v>131546.54</v>
      </c>
      <c r="AK541" s="3">
        <f>наценкад5[[#This Row],[утв цена м2]]*наценкад5[[#This Row],[Расчетная проектная площадь]]</f>
        <v>10450057.137600001</v>
      </c>
      <c r="AL541" s="22" t="str">
        <f>VLOOKUP(наценкад5[[#This Row],[№]],ППД5[],COLUMN('Реестр ОН'!$DF$1),0)</f>
        <v>Свободно</v>
      </c>
    </row>
    <row r="542" spans="1:38" hidden="1" x14ac:dyDescent="0.25">
      <c r="A542" s="101">
        <v>540</v>
      </c>
      <c r="B542" s="2" t="str">
        <f>_xlfn.XLOOKUP(наценкад5[[#This Row],[№]],ППД5[№],ППД5[Секция],"-",0)</f>
        <v>Г</v>
      </c>
      <c r="C542" s="2">
        <f>_xlfn.XLOOKUP(наценкад5[[#This Row],[№]],ППД5[№],ППД5[Этаж],"-",0)</f>
        <v>19</v>
      </c>
      <c r="D542" s="2">
        <f>_xlfn.XLOOKUP(наценкад5[[#This Row],[№]],ППД5[№],ППД5[№ на этаже],"-",0)</f>
        <v>8</v>
      </c>
      <c r="E542" s="2">
        <f>_xlfn.XLOOKUP(наценкад5[[#This Row],[№]],ППД5[№],ППД5[Тип кв],"-",0)</f>
        <v>1</v>
      </c>
      <c r="F542" s="72">
        <f>_xlfn.XLOOKUP(наценкад5[[#This Row],[№]],ППД5[№],ППД5[Кухня],"-",0)</f>
        <v>11.43</v>
      </c>
      <c r="G542" s="72">
        <f>_xlfn.XLOOKUP(наценкад5[[#This Row],[№]],ППД5[№],ППД5[Ванная],"-",0)</f>
        <v>3.56</v>
      </c>
      <c r="H542" s="72">
        <f>_xlfn.XLOOKUP(наценкад5[[#This Row],[№]],ППД5[№],ППД5[Гардеробная],"-",0)</f>
        <v>0</v>
      </c>
      <c r="I542" s="72">
        <f>_xlfn.XLOOKUP(наценкад5[[#This Row],[№]],ППД5[№],ППД5[Лоджия 2],"-",0)</f>
        <v>0</v>
      </c>
      <c r="J542" s="72">
        <f>_xlfn.XLOOKUP(наценкад5[[#This Row],[№]],ППД5[№],ППД5[С\У],"-",0)</f>
        <v>0</v>
      </c>
      <c r="K542" s="72">
        <f>_xlfn.XLOOKUP(наценкад5[[#This Row],[№]],ППД5[№],ППД5[Расчетная проектная площадь],"-",0)</f>
        <v>39.69</v>
      </c>
      <c r="L542" s="12">
        <f t="shared" si="8"/>
        <v>63000</v>
      </c>
      <c r="M542" s="102">
        <f>коэффициенты!$G$2</f>
        <v>1.2875000000000001</v>
      </c>
      <c r="N542" s="13">
        <f>наценкад5[[#This Row],[Цена м2 базовая]]*наценкад5[[#This Row],[Базовой K]]</f>
        <v>81112.5</v>
      </c>
      <c r="O542" s="74"/>
      <c r="P542" s="76">
        <f>коэффициенты!$G$5</f>
        <v>0.01</v>
      </c>
      <c r="Q542" s="74"/>
      <c r="R542" s="74"/>
      <c r="S542" s="74"/>
      <c r="T542" s="74"/>
      <c r="U542" s="74"/>
      <c r="V542" s="74">
        <f>коэффициенты!$G$11</f>
        <v>0.01</v>
      </c>
      <c r="W542" s="75"/>
      <c r="X542" s="74"/>
      <c r="Y542" s="75"/>
      <c r="Z542" s="76">
        <f>коэффициенты!$G$16</f>
        <v>0.08</v>
      </c>
      <c r="AA542" s="74">
        <f>коэффициенты!$G$14</f>
        <v>0.01</v>
      </c>
      <c r="AB542" s="74"/>
      <c r="AC542" s="74"/>
      <c r="AD542" s="74">
        <f>коэффициенты!$G$19</f>
        <v>0.01</v>
      </c>
      <c r="AE542" s="74"/>
      <c r="AF542" s="74">
        <f>коэффициенты!$G$21</f>
        <v>0.01</v>
      </c>
      <c r="AG542" s="74">
        <f>коэффициенты!$A$24</f>
        <v>-5.0000000000000001E-3</v>
      </c>
      <c r="AH542" s="74"/>
      <c r="AI542" s="73">
        <f>SUM(наценкад5[[#This Row],[еврокухня]:[большая площадь]])*наценкад5[[#This Row],[Цена м2 с базовым K]]+наценкад5[[#This Row],[Цена м2 с базовым K]]</f>
        <v>91251.5625</v>
      </c>
      <c r="AJ542" s="72">
        <f>VLOOKUP(наценкад5[[#This Row],[№]],ППД5[],COLUMN(ППД5[[#This Row],[утв цена м2]]),0)</f>
        <v>121251.34</v>
      </c>
      <c r="AK542" s="3">
        <f>наценкад5[[#This Row],[утв цена м2]]*наценкад5[[#This Row],[Расчетная проектная площадь]]</f>
        <v>4812465.6845999993</v>
      </c>
      <c r="AL542" s="22" t="str">
        <f>VLOOKUP(наценкад5[[#This Row],[№]],ППД5[],COLUMN('Реестр ОН'!$DF$1),0)</f>
        <v>Продажа</v>
      </c>
    </row>
    <row r="543" spans="1:38" hidden="1" x14ac:dyDescent="0.25">
      <c r="A543" s="101">
        <v>541</v>
      </c>
      <c r="B543" s="2" t="str">
        <f>_xlfn.XLOOKUP(наценкад5[[#This Row],[№]],ППД5[№],ППД5[Секция],"-",0)</f>
        <v>Г</v>
      </c>
      <c r="C543" s="2">
        <f>_xlfn.XLOOKUP(наценкад5[[#This Row],[№]],ППД5[№],ППД5[Этаж],"-",0)</f>
        <v>20</v>
      </c>
      <c r="D543" s="2">
        <f>_xlfn.XLOOKUP(наценкад5[[#This Row],[№]],ППД5[№],ППД5[№ на этаже],"-",0)</f>
        <v>1</v>
      </c>
      <c r="E543" s="2">
        <f>_xlfn.XLOOKUP(наценкад5[[#This Row],[№]],ППД5[№],ППД5[Тип кв],"-",0)</f>
        <v>0</v>
      </c>
      <c r="F543" s="72">
        <f>_xlfn.XLOOKUP(наценкад5[[#This Row],[№]],ППД5[№],ППД5[Кухня],"-",0)</f>
        <v>5.84</v>
      </c>
      <c r="G543" s="72">
        <f>_xlfn.XLOOKUP(наценкад5[[#This Row],[№]],ППД5[№],ППД5[Ванная],"-",0)</f>
        <v>3.76</v>
      </c>
      <c r="H543" s="72">
        <f>_xlfn.XLOOKUP(наценкад5[[#This Row],[№]],ППД5[№],ППД5[Гардеробная],"-",0)</f>
        <v>0</v>
      </c>
      <c r="I543" s="72">
        <f>_xlfn.XLOOKUP(наценкад5[[#This Row],[№]],ППД5[№],ППД5[Лоджия 2],"-",0)</f>
        <v>0</v>
      </c>
      <c r="J543" s="72">
        <f>_xlfn.XLOOKUP(наценкад5[[#This Row],[№]],ППД5[№],ППД5[С\У],"-",0)</f>
        <v>0</v>
      </c>
      <c r="K543" s="72">
        <f>_xlfn.XLOOKUP(наценкад5[[#This Row],[№]],ППД5[№],ППД5[Расчетная проектная площадь],"-",0)</f>
        <v>29.4</v>
      </c>
      <c r="L543" s="12">
        <f t="shared" si="8"/>
        <v>63000</v>
      </c>
      <c r="M543" s="116">
        <f>коэффициенты!$H$2</f>
        <v>1.3905000000000001</v>
      </c>
      <c r="N543" s="13">
        <f>наценкад5[[#This Row],[Цена м2 базовая]]*наценкад5[[#This Row],[Базовой K]]</f>
        <v>87601.5</v>
      </c>
      <c r="O543" s="74"/>
      <c r="P543" s="74"/>
      <c r="Q543" s="74"/>
      <c r="R543" s="74"/>
      <c r="S543" s="74"/>
      <c r="T543" s="74"/>
      <c r="U543" s="74"/>
      <c r="V543" s="74"/>
      <c r="W543" s="75"/>
      <c r="X543" s="74"/>
      <c r="Y543" s="75"/>
      <c r="Z543" s="76">
        <f>коэффициенты!$H$16</f>
        <v>0.08</v>
      </c>
      <c r="AA543" s="74"/>
      <c r="AB543" s="74"/>
      <c r="AC543" s="74"/>
      <c r="AD543" s="74">
        <f>коэффициенты!$H$19</f>
        <v>0.01</v>
      </c>
      <c r="AE543" s="74"/>
      <c r="AF543" s="74">
        <f>коэффициенты!$H$21</f>
        <v>0.01</v>
      </c>
      <c r="AG543" s="74"/>
      <c r="AH543" s="74"/>
      <c r="AI543" s="73">
        <f>SUM(наценкад5[[#This Row],[еврокухня]:[большая площадь]])*наценкад5[[#This Row],[Цена м2 с базовым K]]+наценкад5[[#This Row],[Цена м2 с базовым K]]</f>
        <v>96361.65</v>
      </c>
      <c r="AJ543" s="72">
        <f>VLOOKUP(наценкад5[[#This Row],[№]],ППД5[],COLUMN(ППД5[[#This Row],[утв цена м2]]),0)</f>
        <v>127201.60000000001</v>
      </c>
      <c r="AK543" s="3">
        <f>наценкад5[[#This Row],[утв цена м2]]*наценкад5[[#This Row],[Расчетная проектная площадь]]</f>
        <v>3739727.04</v>
      </c>
      <c r="AL543" s="22" t="str">
        <f>VLOOKUP(наценкад5[[#This Row],[№]],ППД5[],COLUMN('Реестр ОН'!$DF$1),0)</f>
        <v>Продажа</v>
      </c>
    </row>
    <row r="544" spans="1:38" hidden="1" x14ac:dyDescent="0.25">
      <c r="A544" s="101">
        <v>542</v>
      </c>
      <c r="B544" s="2" t="str">
        <f>_xlfn.XLOOKUP(наценкад5[[#This Row],[№]],ППД5[№],ППД5[Секция],"-",0)</f>
        <v>Г</v>
      </c>
      <c r="C544" s="2">
        <f>_xlfn.XLOOKUP(наценкад5[[#This Row],[№]],ППД5[№],ППД5[Этаж],"-",0)</f>
        <v>20</v>
      </c>
      <c r="D544" s="2">
        <f>_xlfn.XLOOKUP(наценкад5[[#This Row],[№]],ППД5[№],ППД5[№ на этаже],"-",0)</f>
        <v>2</v>
      </c>
      <c r="E544" s="2">
        <f>_xlfn.XLOOKUP(наценкад5[[#This Row],[№]],ППД5[№],ППД5[Тип кв],"-",0)</f>
        <v>1</v>
      </c>
      <c r="F544" s="72">
        <f>_xlfn.XLOOKUP(наценкад5[[#This Row],[№]],ППД5[№],ППД5[Кухня],"-",0)</f>
        <v>16.940000000000001</v>
      </c>
      <c r="G544" s="72">
        <f>_xlfn.XLOOKUP(наценкад5[[#This Row],[№]],ППД5[№],ППД5[Ванная],"-",0)</f>
        <v>3.55</v>
      </c>
      <c r="H544" s="72">
        <f>_xlfn.XLOOKUP(наценкад5[[#This Row],[№]],ППД5[№],ППД5[Гардеробная],"-",0)</f>
        <v>0</v>
      </c>
      <c r="I544" s="72">
        <f>_xlfn.XLOOKUP(наценкад5[[#This Row],[№]],ППД5[№],ППД5[Лоджия 2],"-",0)</f>
        <v>0</v>
      </c>
      <c r="J544" s="72">
        <f>_xlfn.XLOOKUP(наценкад5[[#This Row],[№]],ППД5[№],ППД5[С\У],"-",0)</f>
        <v>2.41</v>
      </c>
      <c r="K544" s="72">
        <f>_xlfn.XLOOKUP(наценкад5[[#This Row],[№]],ППД5[№],ППД5[Расчетная проектная площадь],"-",0)</f>
        <v>43.21</v>
      </c>
      <c r="L544" s="12">
        <f t="shared" si="8"/>
        <v>63000</v>
      </c>
      <c r="M544" s="102">
        <f>коэффициенты!$G$2</f>
        <v>1.2875000000000001</v>
      </c>
      <c r="N544" s="13">
        <f>наценкад5[[#This Row],[Цена м2 базовая]]*наценкад5[[#This Row],[Базовой K]]</f>
        <v>81112.5</v>
      </c>
      <c r="O544" s="76">
        <f>коэффициенты!$G$4</f>
        <v>0.02</v>
      </c>
      <c r="P544" s="74"/>
      <c r="Q544" s="74"/>
      <c r="R544" s="74">
        <f>коэффициенты!$G$10</f>
        <v>0.01</v>
      </c>
      <c r="S544" s="74">
        <f>коэффициенты!$G$9</f>
        <v>0</v>
      </c>
      <c r="T544" s="74"/>
      <c r="U544" s="74"/>
      <c r="V544" s="74"/>
      <c r="W544" s="75"/>
      <c r="X544" s="74"/>
      <c r="Y544" s="75"/>
      <c r="Z544" s="76">
        <f>коэффициенты!$G$16</f>
        <v>0.08</v>
      </c>
      <c r="AA544" s="74"/>
      <c r="AB544" s="74"/>
      <c r="AC544" s="74"/>
      <c r="AD544" s="74">
        <f>коэффициенты!$G$19</f>
        <v>0.01</v>
      </c>
      <c r="AE544" s="74"/>
      <c r="AF544" s="74">
        <f>коэффициенты!$G$21</f>
        <v>0.01</v>
      </c>
      <c r="AG544" s="74"/>
      <c r="AH544" s="74"/>
      <c r="AI544" s="73">
        <f>SUM(наценкад5[[#This Row],[еврокухня]:[большая площадь]])*наценкад5[[#This Row],[Цена м2 с базовым K]]+наценкад5[[#This Row],[Цена м2 с базовым K]]</f>
        <v>91657.125</v>
      </c>
      <c r="AJ544" s="72">
        <f>VLOOKUP(наценкад5[[#This Row],[№]],ППД5[],COLUMN(ППД5[[#This Row],[утв цена м2]]),0)</f>
        <v>145743.78</v>
      </c>
      <c r="AK544" s="3">
        <f>наценкад5[[#This Row],[утв цена м2]]*наценкад5[[#This Row],[Расчетная проектная площадь]]</f>
        <v>6297588.7338000005</v>
      </c>
      <c r="AL544" s="22" t="str">
        <f>VLOOKUP(наценкад5[[#This Row],[№]],ППД5[],COLUMN('Реестр ОН'!$DF$1),0)</f>
        <v>Продажа</v>
      </c>
    </row>
    <row r="545" spans="1:38" hidden="1" x14ac:dyDescent="0.25">
      <c r="A545" s="101">
        <v>543</v>
      </c>
      <c r="B545" s="2" t="str">
        <f>_xlfn.XLOOKUP(наценкад5[[#This Row],[№]],ППД5[№],ППД5[Секция],"-",0)</f>
        <v>Г</v>
      </c>
      <c r="C545" s="2">
        <f>_xlfn.XLOOKUP(наценкад5[[#This Row],[№]],ППД5[№],ППД5[Этаж],"-",0)</f>
        <v>20</v>
      </c>
      <c r="D545" s="2">
        <f>_xlfn.XLOOKUP(наценкад5[[#This Row],[№]],ППД5[№],ППД5[№ на этаже],"-",0)</f>
        <v>3</v>
      </c>
      <c r="E545" s="2">
        <f>_xlfn.XLOOKUP(наценкад5[[#This Row],[№]],ППД5[№],ППД5[Тип кв],"-",0)</f>
        <v>0</v>
      </c>
      <c r="F545" s="72">
        <f>_xlfn.XLOOKUP(наценкад5[[#This Row],[№]],ППД5[№],ППД5[Кухня],"-",0)</f>
        <v>5.17</v>
      </c>
      <c r="G545" s="72">
        <f>_xlfn.XLOOKUP(наценкад5[[#This Row],[№]],ППД5[№],ППД5[Ванная],"-",0)</f>
        <v>3.71</v>
      </c>
      <c r="H545" s="72">
        <f>_xlfn.XLOOKUP(наценкад5[[#This Row],[№]],ППД5[№],ППД5[Гардеробная],"-",0)</f>
        <v>0</v>
      </c>
      <c r="I545" s="72">
        <f>_xlfn.XLOOKUP(наценкад5[[#This Row],[№]],ППД5[№],ППД5[Лоджия 2],"-",0)</f>
        <v>0</v>
      </c>
      <c r="J545" s="72">
        <f>_xlfn.XLOOKUP(наценкад5[[#This Row],[№]],ППД5[№],ППД5[С\У],"-",0)</f>
        <v>0</v>
      </c>
      <c r="K545" s="72">
        <f>_xlfn.XLOOKUP(наценкад5[[#This Row],[№]],ППД5[№],ППД5[Расчетная проектная площадь],"-",0)</f>
        <v>24.5</v>
      </c>
      <c r="L545" s="12">
        <f t="shared" si="8"/>
        <v>63000</v>
      </c>
      <c r="M545" s="116">
        <f>коэффициенты!$H$2</f>
        <v>1.3905000000000001</v>
      </c>
      <c r="N545" s="13">
        <f>наценкад5[[#This Row],[Цена м2 базовая]]*наценкад5[[#This Row],[Базовой K]]</f>
        <v>87601.5</v>
      </c>
      <c r="O545" s="74"/>
      <c r="P545" s="74"/>
      <c r="Q545" s="74"/>
      <c r="R545" s="74"/>
      <c r="S545" s="74"/>
      <c r="T545" s="74"/>
      <c r="U545" s="74"/>
      <c r="V545" s="74">
        <f>коэффициенты!$H$11</f>
        <v>0.01</v>
      </c>
      <c r="W545" s="75"/>
      <c r="X545" s="74">
        <f>коэффициенты!$H$13</f>
        <v>0.01</v>
      </c>
      <c r="Y545" s="75"/>
      <c r="Z545" s="76">
        <f>коэффициенты!$H$16</f>
        <v>0.08</v>
      </c>
      <c r="AA545" s="74"/>
      <c r="AB545" s="74"/>
      <c r="AC545" s="74"/>
      <c r="AD545" s="74">
        <f>коэффициенты!$H$19</f>
        <v>0.01</v>
      </c>
      <c r="AE545" s="74"/>
      <c r="AF545" s="74">
        <f>коэффициенты!$H$21</f>
        <v>0.01</v>
      </c>
      <c r="AG545" s="74"/>
      <c r="AH545" s="74"/>
      <c r="AI545" s="73">
        <f>SUM(наценкад5[[#This Row],[еврокухня]:[большая площадь]])*наценкад5[[#This Row],[Цена м2 с базовым K]]+наценкад5[[#This Row],[Цена м2 с базовым K]]</f>
        <v>98113.68</v>
      </c>
      <c r="AJ545" s="72">
        <f>VLOOKUP(наценкад5[[#This Row],[№]],ППД5[],COLUMN(ППД5[[#This Row],[утв цена м2]]),0)</f>
        <v>154508.35</v>
      </c>
      <c r="AK545" s="3">
        <f>наценкад5[[#This Row],[утв цена м2]]*наценкад5[[#This Row],[Расчетная проектная площадь]]</f>
        <v>3785454.5750000002</v>
      </c>
      <c r="AL545" s="22" t="str">
        <f>VLOOKUP(наценкад5[[#This Row],[№]],ППД5[],COLUMN('Реестр ОН'!$DF$1),0)</f>
        <v>Стр. Резерв</v>
      </c>
    </row>
    <row r="546" spans="1:38" hidden="1" x14ac:dyDescent="0.25">
      <c r="A546" s="101">
        <v>544</v>
      </c>
      <c r="B546" s="2" t="str">
        <f>_xlfn.XLOOKUP(наценкад5[[#This Row],[№]],ППД5[№],ППД5[Секция],"-",0)</f>
        <v>Г</v>
      </c>
      <c r="C546" s="2">
        <f>_xlfn.XLOOKUP(наценкад5[[#This Row],[№]],ППД5[№],ППД5[Этаж],"-",0)</f>
        <v>20</v>
      </c>
      <c r="D546" s="2">
        <f>_xlfn.XLOOKUP(наценкад5[[#This Row],[№]],ППД5[№],ППД5[№ на этаже],"-",0)</f>
        <v>4</v>
      </c>
      <c r="E546" s="2">
        <f>_xlfn.XLOOKUP(наценкад5[[#This Row],[№]],ППД5[№],ППД5[Тип кв],"-",0)</f>
        <v>2</v>
      </c>
      <c r="F546" s="72">
        <f>_xlfn.XLOOKUP(наценкад5[[#This Row],[№]],ППД5[№],ППД5[Кухня],"-",0)</f>
        <v>15.86</v>
      </c>
      <c r="G546" s="72">
        <f>_xlfn.XLOOKUP(наценкад5[[#This Row],[№]],ППД5[№],ППД5[Ванная],"-",0)</f>
        <v>3.01</v>
      </c>
      <c r="H546" s="72">
        <f>_xlfn.XLOOKUP(наценкад5[[#This Row],[№]],ППД5[№],ППД5[Гардеробная],"-",0)</f>
        <v>0</v>
      </c>
      <c r="I546" s="72">
        <f>_xlfn.XLOOKUP(наценкад5[[#This Row],[№]],ППД5[№],ППД5[Лоджия 2],"-",0)</f>
        <v>0</v>
      </c>
      <c r="J546" s="72">
        <f>_xlfn.XLOOKUP(наценкад5[[#This Row],[№]],ППД5[№],ППД5[С\У],"-",0)</f>
        <v>2.67</v>
      </c>
      <c r="K546" s="72">
        <f>_xlfn.XLOOKUP(наценкад5[[#This Row],[№]],ППД5[№],ППД5[Расчетная проектная площадь],"-",0)</f>
        <v>58.24</v>
      </c>
      <c r="L546" s="12">
        <f t="shared" si="8"/>
        <v>63000</v>
      </c>
      <c r="M546" s="102">
        <f>коэффициенты!$F$2</f>
        <v>1.2257</v>
      </c>
      <c r="N546" s="13">
        <f>наценкад5[[#This Row],[Цена м2 базовая]]*наценкад5[[#This Row],[Базовой K]]</f>
        <v>77219.100000000006</v>
      </c>
      <c r="O546" s="76">
        <f>коэффициенты!$F$4</f>
        <v>1.4999999999999999E-2</v>
      </c>
      <c r="P546" s="74"/>
      <c r="Q546" s="76"/>
      <c r="R546" s="76">
        <f>коэффициенты!$F$10</f>
        <v>0</v>
      </c>
      <c r="S546" s="76">
        <f>коэффициенты!$F$9</f>
        <v>0</v>
      </c>
      <c r="T546" s="74"/>
      <c r="U546" s="74"/>
      <c r="V546" s="74"/>
      <c r="W546" s="75"/>
      <c r="X546" s="74"/>
      <c r="Y546" s="75"/>
      <c r="Z546" s="76">
        <f>коэффициенты!$F$16</f>
        <v>0.08</v>
      </c>
      <c r="AA546" s="74"/>
      <c r="AB546" s="74"/>
      <c r="AC546" s="74"/>
      <c r="AD546" s="74">
        <f>коэффициенты!$F$19</f>
        <v>5.0000000000000001E-3</v>
      </c>
      <c r="AE546" s="74"/>
      <c r="AF546" s="74">
        <f>коэффициенты!$F$21</f>
        <v>0.01</v>
      </c>
      <c r="AG546" s="74"/>
      <c r="AH546" s="74"/>
      <c r="AI546" s="73">
        <f>SUM(наценкад5[[#This Row],[еврокухня]:[большая площадь]])*наценкад5[[#This Row],[Цена м2 с базовым K]]+наценкад5[[#This Row],[Цена м2 с базовым K]]</f>
        <v>85713.201000000001</v>
      </c>
      <c r="AJ546" s="72">
        <f>VLOOKUP(наценкад5[[#This Row],[№]],ППД5[],COLUMN(ППД5[[#This Row],[утв цена м2]]),0)</f>
        <v>130649.18</v>
      </c>
      <c r="AK546" s="3">
        <f>наценкад5[[#This Row],[утв цена м2]]*наценкад5[[#This Row],[Расчетная проектная площадь]]</f>
        <v>7609008.2431999994</v>
      </c>
      <c r="AL546" s="22" t="str">
        <f>VLOOKUP(наценкад5[[#This Row],[№]],ППД5[],COLUMN('Реестр ОН'!$DF$1),0)</f>
        <v>Свободно</v>
      </c>
    </row>
    <row r="547" spans="1:38" hidden="1" x14ac:dyDescent="0.25">
      <c r="A547" s="101">
        <v>545</v>
      </c>
      <c r="B547" s="2" t="str">
        <f>_xlfn.XLOOKUP(наценкад5[[#This Row],[№]],ППД5[№],ППД5[Секция],"-",0)</f>
        <v>Г</v>
      </c>
      <c r="C547" s="2">
        <f>_xlfn.XLOOKUP(наценкад5[[#This Row],[№]],ППД5[№],ППД5[Этаж],"-",0)</f>
        <v>20</v>
      </c>
      <c r="D547" s="2">
        <f>_xlfn.XLOOKUP(наценкад5[[#This Row],[№]],ППД5[№],ППД5[№ на этаже],"-",0)</f>
        <v>5</v>
      </c>
      <c r="E547" s="2">
        <f>_xlfn.XLOOKUP(наценкад5[[#This Row],[№]],ППД5[№],ППД5[Тип кв],"-",0)</f>
        <v>2</v>
      </c>
      <c r="F547" s="72">
        <f>_xlfn.XLOOKUP(наценкад5[[#This Row],[№]],ППД5[№],ППД5[Кухня],"-",0)</f>
        <v>13.45</v>
      </c>
      <c r="G547" s="72">
        <f>_xlfn.XLOOKUP(наценкад5[[#This Row],[№]],ППД5[№],ППД5[Ванная],"-",0)</f>
        <v>3.7</v>
      </c>
      <c r="H547" s="72">
        <f>_xlfn.XLOOKUP(наценкад5[[#This Row],[№]],ППД5[№],ППД5[Гардеробная],"-",0)</f>
        <v>0</v>
      </c>
      <c r="I547" s="72">
        <f>_xlfn.XLOOKUP(наценкад5[[#This Row],[№]],ППД5[№],ППД5[Лоджия 2],"-",0)</f>
        <v>0</v>
      </c>
      <c r="J547" s="72">
        <f>_xlfn.XLOOKUP(наценкад5[[#This Row],[№]],ППД5[№],ППД5[С\У],"-",0)</f>
        <v>2.72</v>
      </c>
      <c r="K547" s="72">
        <f>_xlfn.XLOOKUP(наценкад5[[#This Row],[№]],ППД5[№],ППД5[Расчетная проектная площадь],"-",0)</f>
        <v>57.8</v>
      </c>
      <c r="L547" s="12">
        <f t="shared" si="8"/>
        <v>63000</v>
      </c>
      <c r="M547" s="102">
        <f>коэффициенты!$F$2</f>
        <v>1.2257</v>
      </c>
      <c r="N547" s="13">
        <f>наценкад5[[#This Row],[Цена м2 базовая]]*наценкад5[[#This Row],[Базовой K]]</f>
        <v>77219.100000000006</v>
      </c>
      <c r="O547" s="74"/>
      <c r="P547" s="74">
        <f>коэффициенты!$F$5</f>
        <v>0.01</v>
      </c>
      <c r="Q547" s="76"/>
      <c r="R547" s="76"/>
      <c r="S547" s="76">
        <f>коэффициенты!$F$9</f>
        <v>0</v>
      </c>
      <c r="T547" s="74"/>
      <c r="U547" s="74"/>
      <c r="V547" s="74"/>
      <c r="W547" s="75"/>
      <c r="X547" s="74"/>
      <c r="Y547" s="75"/>
      <c r="Z547" s="76">
        <f>коэффициенты!$F$16</f>
        <v>0.08</v>
      </c>
      <c r="AA547" s="74"/>
      <c r="AB547" s="74"/>
      <c r="AC547" s="74"/>
      <c r="AD547" s="74">
        <f>коэффициенты!$F$19</f>
        <v>5.0000000000000001E-3</v>
      </c>
      <c r="AE547" s="74"/>
      <c r="AF547" s="74">
        <f>коэффициенты!$F$21</f>
        <v>0.01</v>
      </c>
      <c r="AG547" s="74"/>
      <c r="AH547" s="74"/>
      <c r="AI547" s="73">
        <f>SUM(наценкад5[[#This Row],[еврокухня]:[большая площадь]])*наценкад5[[#This Row],[Цена м2 с базовым K]]+наценкад5[[#This Row],[Цена м2 с базовым K]]</f>
        <v>85327.105500000005</v>
      </c>
      <c r="AJ547" s="72">
        <f>VLOOKUP(наценкад5[[#This Row],[№]],ППД5[],COLUMN(ППД5[[#This Row],[утв цена м2]]),0)</f>
        <v>130683.68</v>
      </c>
      <c r="AK547" s="3">
        <f>наценкад5[[#This Row],[утв цена м2]]*наценкад5[[#This Row],[Расчетная проектная площадь]]</f>
        <v>7553516.703999999</v>
      </c>
      <c r="AL547" s="22" t="str">
        <f>VLOOKUP(наценкад5[[#This Row],[№]],ППД5[],COLUMN('Реестр ОН'!$DF$1),0)</f>
        <v>Свободно</v>
      </c>
    </row>
    <row r="548" spans="1:38" hidden="1" x14ac:dyDescent="0.25">
      <c r="A548" s="101">
        <v>546</v>
      </c>
      <c r="B548" s="2" t="str">
        <f>_xlfn.XLOOKUP(наценкад5[[#This Row],[№]],ППД5[№],ППД5[Секция],"-",0)</f>
        <v>Г</v>
      </c>
      <c r="C548" s="2">
        <f>_xlfn.XLOOKUP(наценкад5[[#This Row],[№]],ППД5[№],ППД5[Этаж],"-",0)</f>
        <v>20</v>
      </c>
      <c r="D548" s="2">
        <f>_xlfn.XLOOKUP(наценкад5[[#This Row],[№]],ППД5[№],ППД5[№ на этаже],"-",0)</f>
        <v>6</v>
      </c>
      <c r="E548" s="2">
        <f>_xlfn.XLOOKUP(наценкад5[[#This Row],[№]],ППД5[№],ППД5[Тип кв],"-",0)</f>
        <v>1</v>
      </c>
      <c r="F548" s="72">
        <f>_xlfn.XLOOKUP(наценкад5[[#This Row],[№]],ППД5[№],ППД5[Кухня],"-",0)</f>
        <v>12.55</v>
      </c>
      <c r="G548" s="72">
        <f>_xlfn.XLOOKUP(наценкад5[[#This Row],[№]],ППД5[№],ППД5[Ванная],"-",0)</f>
        <v>4.28</v>
      </c>
      <c r="H548" s="72">
        <f>_xlfn.XLOOKUP(наценкад5[[#This Row],[№]],ППД5[№],ППД5[Гардеробная],"-",0)</f>
        <v>0</v>
      </c>
      <c r="I548" s="72">
        <f>_xlfn.XLOOKUP(наценкад5[[#This Row],[№]],ППД5[№],ППД5[Лоджия 2],"-",0)</f>
        <v>0</v>
      </c>
      <c r="J548" s="72">
        <f>_xlfn.XLOOKUP(наценкад5[[#This Row],[№]],ППД5[№],ППД5[С\У],"-",0)</f>
        <v>0</v>
      </c>
      <c r="K548" s="72">
        <f>_xlfn.XLOOKUP(наценкад5[[#This Row],[№]],ППД5[№],ППД5[Расчетная проектная площадь],"-",0)</f>
        <v>38.299999999999997</v>
      </c>
      <c r="L548" s="12">
        <f t="shared" si="8"/>
        <v>63000</v>
      </c>
      <c r="M548" s="102">
        <f>коэффициенты!$G$2</f>
        <v>1.2875000000000001</v>
      </c>
      <c r="N548" s="13">
        <f>наценкад5[[#This Row],[Цена м2 базовая]]*наценкад5[[#This Row],[Базовой K]]</f>
        <v>81112.5</v>
      </c>
      <c r="O548" s="74"/>
      <c r="P548" s="76">
        <f>коэффициенты!$G$5</f>
        <v>0.01</v>
      </c>
      <c r="Q548" s="74">
        <f>коэффициенты!$G$6</f>
        <v>0.03</v>
      </c>
      <c r="R548" s="74"/>
      <c r="S548" s="74"/>
      <c r="T548" s="74"/>
      <c r="U548" s="74"/>
      <c r="V548" s="74">
        <f>коэффициенты!$G$11</f>
        <v>0.01</v>
      </c>
      <c r="W548" s="75"/>
      <c r="X548" s="74">
        <f>коэффициенты!$G$13</f>
        <v>0.01</v>
      </c>
      <c r="Y548" s="75"/>
      <c r="Z548" s="76">
        <f>коэффициенты!$G$16</f>
        <v>0.08</v>
      </c>
      <c r="AA548" s="74"/>
      <c r="AB548" s="74"/>
      <c r="AC548" s="74"/>
      <c r="AD548" s="74">
        <f>коэффициенты!$G$19</f>
        <v>0.01</v>
      </c>
      <c r="AE548" s="74"/>
      <c r="AF548" s="74">
        <f>коэффициенты!$G$21</f>
        <v>0.01</v>
      </c>
      <c r="AG548" s="74"/>
      <c r="AH548" s="74"/>
      <c r="AI548" s="73">
        <f>SUM(наценкад5[[#This Row],[еврокухня]:[большая площадь]])*наценкад5[[#This Row],[Цена м2 с базовым K]]+наценкад5[[#This Row],[Цена м2 с базовым K]]</f>
        <v>94090.5</v>
      </c>
      <c r="AJ548" s="72">
        <f>VLOOKUP(наценкад5[[#This Row],[№]],ППД5[],COLUMN(ППД5[[#This Row],[утв цена м2]]),0)</f>
        <v>117877.49</v>
      </c>
      <c r="AK548" s="3">
        <f>наценкад5[[#This Row],[утв цена м2]]*наценкад5[[#This Row],[Расчетная проектная площадь]]</f>
        <v>4514707.8669999996</v>
      </c>
      <c r="AL548" s="22" t="str">
        <f>VLOOKUP(наценкад5[[#This Row],[№]],ППД5[],COLUMN('Реестр ОН'!$DF$1),0)</f>
        <v>Продажа</v>
      </c>
    </row>
    <row r="549" spans="1:38" hidden="1" x14ac:dyDescent="0.25">
      <c r="A549" s="101">
        <v>547</v>
      </c>
      <c r="B549" s="2" t="str">
        <f>_xlfn.XLOOKUP(наценкад5[[#This Row],[№]],ППД5[№],ППД5[Секция],"-",0)</f>
        <v>Г</v>
      </c>
      <c r="C549" s="2">
        <f>_xlfn.XLOOKUP(наценкад5[[#This Row],[№]],ППД5[№],ППД5[Этаж],"-",0)</f>
        <v>20</v>
      </c>
      <c r="D549" s="2">
        <f>_xlfn.XLOOKUP(наценкад5[[#This Row],[№]],ППД5[№],ППД5[№ на этаже],"-",0)</f>
        <v>7</v>
      </c>
      <c r="E549" s="2">
        <f>_xlfn.XLOOKUP(наценкад5[[#This Row],[№]],ППД5[№],ППД5[Тип кв],"-",0)</f>
        <v>3</v>
      </c>
      <c r="F549" s="72">
        <f>_xlfn.XLOOKUP(наценкад5[[#This Row],[№]],ППД5[№],ППД5[Кухня],"-",0)</f>
        <v>16.670000000000002</v>
      </c>
      <c r="G549" s="72">
        <f>_xlfn.XLOOKUP(наценкад5[[#This Row],[№]],ППД5[№],ППД5[Ванная],"-",0)</f>
        <v>4.1399999999999997</v>
      </c>
      <c r="H549" s="72">
        <f>_xlfn.XLOOKUP(наценкад5[[#This Row],[№]],ППД5[№],ППД5[Гардеробная],"-",0)</f>
        <v>0</v>
      </c>
      <c r="I549" s="72">
        <f>_xlfn.XLOOKUP(наценкад5[[#This Row],[№]],ППД5[№],ППД5[Лоджия 2],"-",0)</f>
        <v>2.79</v>
      </c>
      <c r="J549" s="72">
        <f>_xlfn.XLOOKUP(наценкад5[[#This Row],[№]],ППД5[№],ППД5[С\У],"-",0)</f>
        <v>1.89</v>
      </c>
      <c r="K549" s="72">
        <f>_xlfn.XLOOKUP(наценкад5[[#This Row],[№]],ППД5[№],ППД5[Расчетная проектная площадь],"-",0)</f>
        <v>79.44</v>
      </c>
      <c r="L549" s="12">
        <f t="shared" si="8"/>
        <v>63000</v>
      </c>
      <c r="M549" s="27">
        <f>коэффициенты!$E$2</f>
        <v>1.1330000000000002</v>
      </c>
      <c r="N549" s="13">
        <f>наценкад5[[#This Row],[Цена м2 базовая]]*наценкад5[[#This Row],[Базовой K]]</f>
        <v>71379.000000000015</v>
      </c>
      <c r="O549" s="74">
        <f>коэффициенты!$E$4</f>
        <v>0.03</v>
      </c>
      <c r="P549" s="74"/>
      <c r="Q549" s="74">
        <f>коэффициенты!$E$6</f>
        <v>0.01</v>
      </c>
      <c r="R549" s="74"/>
      <c r="S549" s="74">
        <f>коэффициенты!$E$9</f>
        <v>0</v>
      </c>
      <c r="T549" s="74">
        <f>коэффициенты!$E$7</f>
        <v>0</v>
      </c>
      <c r="U549" s="74">
        <f>коэффициенты!$E$8</f>
        <v>0.01</v>
      </c>
      <c r="V549" s="74"/>
      <c r="W549" s="75">
        <f>коэффициенты!$E$12</f>
        <v>0.02</v>
      </c>
      <c r="X549" s="74"/>
      <c r="Y549" s="75"/>
      <c r="Z549" s="76">
        <f>коэффициенты!$A$16</f>
        <v>0.08</v>
      </c>
      <c r="AA549" s="74">
        <f>коэффициенты!$E$14</f>
        <v>0</v>
      </c>
      <c r="AB549" s="74"/>
      <c r="AC549" s="74">
        <f>коэффициенты!$E$18</f>
        <v>0.01</v>
      </c>
      <c r="AD549" s="74"/>
      <c r="AE549" s="74"/>
      <c r="AF549" s="74">
        <f>коэффициенты!$E$21</f>
        <v>0.01</v>
      </c>
      <c r="AG549" s="74"/>
      <c r="AH549" s="74"/>
      <c r="AI549" s="73">
        <f>SUM(наценкад5[[#This Row],[еврокухня]:[большая площадь]])*наценкад5[[#This Row],[Цена м2 с базовым K]]+наценкад5[[#This Row],[Цена м2 с базовым K]]</f>
        <v>83513.430000000022</v>
      </c>
      <c r="AJ549" s="72">
        <f>VLOOKUP(наценкад5[[#This Row],[№]],ППД5[],COLUMN(ППД5[[#This Row],[утв цена м2]]),0)</f>
        <v>83513.429999999993</v>
      </c>
      <c r="AK549" s="3">
        <f>наценкад5[[#This Row],[утв цена м2]]*наценкад5[[#This Row],[Расчетная проектная площадь]]</f>
        <v>6634306.8791999994</v>
      </c>
      <c r="AL549" s="22" t="str">
        <f>VLOOKUP(наценкад5[[#This Row],[№]],ППД5[],COLUMN('Реестр ОН'!$DF$1),0)</f>
        <v>Продажа</v>
      </c>
    </row>
    <row r="550" spans="1:38" s="16" customFormat="1" hidden="1" x14ac:dyDescent="0.25">
      <c r="A550" s="101">
        <v>548</v>
      </c>
      <c r="B550" s="2" t="str">
        <f>_xlfn.XLOOKUP(наценкад5[[#This Row],[№]],ППД5[№],ППД5[Секция],"-",0)</f>
        <v>Г</v>
      </c>
      <c r="C550" s="2">
        <f>_xlfn.XLOOKUP(наценкад5[[#This Row],[№]],ППД5[№],ППД5[Этаж],"-",0)</f>
        <v>20</v>
      </c>
      <c r="D550" s="2">
        <f>_xlfn.XLOOKUP(наценкад5[[#This Row],[№]],ППД5[№],ППД5[№ на этаже],"-",0)</f>
        <v>8</v>
      </c>
      <c r="E550" s="2">
        <f>_xlfn.XLOOKUP(наценкад5[[#This Row],[№]],ППД5[№],ППД5[Тип кв],"-",0)</f>
        <v>1</v>
      </c>
      <c r="F550" s="72">
        <f>_xlfn.XLOOKUP(наценкад5[[#This Row],[№]],ППД5[№],ППД5[Кухня],"-",0)</f>
        <v>11.43</v>
      </c>
      <c r="G550" s="72">
        <f>_xlfn.XLOOKUP(наценкад5[[#This Row],[№]],ППД5[№],ППД5[Ванная],"-",0)</f>
        <v>3.56</v>
      </c>
      <c r="H550" s="72">
        <f>_xlfn.XLOOKUP(наценкад5[[#This Row],[№]],ППД5[№],ППД5[Гардеробная],"-",0)</f>
        <v>0</v>
      </c>
      <c r="I550" s="72">
        <f>_xlfn.XLOOKUP(наценкад5[[#This Row],[№]],ППД5[№],ППД5[Лоджия 2],"-",0)</f>
        <v>0</v>
      </c>
      <c r="J550" s="72">
        <f>_xlfn.XLOOKUP(наценкад5[[#This Row],[№]],ППД5[№],ППД5[С\У],"-",0)</f>
        <v>0</v>
      </c>
      <c r="K550" s="72">
        <f>_xlfn.XLOOKUP(наценкад5[[#This Row],[№]],ППД5[№],ППД5[Расчетная проектная площадь],"-",0)</f>
        <v>39.69</v>
      </c>
      <c r="L550" s="12">
        <f t="shared" si="8"/>
        <v>63000</v>
      </c>
      <c r="M550" s="102">
        <f>коэффициенты!$G$2</f>
        <v>1.2875000000000001</v>
      </c>
      <c r="N550" s="13">
        <f>наценкад5[[#This Row],[Цена м2 базовая]]*наценкад5[[#This Row],[Базовой K]]</f>
        <v>81112.5</v>
      </c>
      <c r="O550" s="74"/>
      <c r="P550" s="76">
        <f>коэффициенты!$G$5</f>
        <v>0.01</v>
      </c>
      <c r="Q550" s="74"/>
      <c r="R550" s="74"/>
      <c r="S550" s="74"/>
      <c r="T550" s="74"/>
      <c r="U550" s="74"/>
      <c r="V550" s="74">
        <f>коэффициенты!$G$11</f>
        <v>0.01</v>
      </c>
      <c r="W550" s="75">
        <f>коэффициенты!$G$12</f>
        <v>0.02</v>
      </c>
      <c r="X550" s="74"/>
      <c r="Y550" s="75"/>
      <c r="Z550" s="76">
        <f>коэффициенты!$G$16</f>
        <v>0.08</v>
      </c>
      <c r="AA550" s="74">
        <f>коэффициенты!$G$14</f>
        <v>0.01</v>
      </c>
      <c r="AB550" s="74"/>
      <c r="AC550" s="74"/>
      <c r="AD550" s="74">
        <f>коэффициенты!$G$19</f>
        <v>0.01</v>
      </c>
      <c r="AE550" s="74"/>
      <c r="AF550" s="74">
        <f>коэффициенты!$G$21</f>
        <v>0.01</v>
      </c>
      <c r="AG550" s="74">
        <f>коэффициенты!$A$24</f>
        <v>-5.0000000000000001E-3</v>
      </c>
      <c r="AH550" s="74"/>
      <c r="AI550" s="73">
        <f>SUM(наценкад5[[#This Row],[еврокухня]:[большая площадь]])*наценкад5[[#This Row],[Цена м2 с базовым K]]+наценкад5[[#This Row],[Цена м2 с базовым K]]</f>
        <v>92873.8125</v>
      </c>
      <c r="AJ550" s="72">
        <f>VLOOKUP(наценкад5[[#This Row],[№]],ППД5[],COLUMN(ППД5[[#This Row],[утв цена м2]]),0)</f>
        <v>120385.25</v>
      </c>
      <c r="AK550" s="3">
        <f>наценкад5[[#This Row],[утв цена м2]]*наценкад5[[#This Row],[Расчетная проектная площадь]]</f>
        <v>4778090.5724999998</v>
      </c>
      <c r="AL550" s="22" t="str">
        <f>VLOOKUP(наценкад5[[#This Row],[№]],ППД5[],COLUMN('Реестр ОН'!$DF$1),0)</f>
        <v>Продажа</v>
      </c>
    </row>
    <row r="551" spans="1:38" hidden="1" x14ac:dyDescent="0.25">
      <c r="A551" s="101">
        <v>549</v>
      </c>
      <c r="B551" s="2" t="str">
        <f>_xlfn.XLOOKUP(наценкад5[[#This Row],[№]],ППД5[№],ППД5[Секция],"-",0)</f>
        <v>Г</v>
      </c>
      <c r="C551" s="2">
        <f>_xlfn.XLOOKUP(наценкад5[[#This Row],[№]],ППД5[№],ППД5[Этаж],"-",0)</f>
        <v>21</v>
      </c>
      <c r="D551" s="2">
        <f>_xlfn.XLOOKUP(наценкад5[[#This Row],[№]],ППД5[№],ППД5[№ на этаже],"-",0)</f>
        <v>1</v>
      </c>
      <c r="E551" s="2">
        <f>_xlfn.XLOOKUP(наценкад5[[#This Row],[№]],ППД5[№],ППД5[Тип кв],"-",0)</f>
        <v>0</v>
      </c>
      <c r="F551" s="72">
        <f>_xlfn.XLOOKUP(наценкад5[[#This Row],[№]],ППД5[№],ППД5[Кухня],"-",0)</f>
        <v>5.84</v>
      </c>
      <c r="G551" s="72">
        <f>_xlfn.XLOOKUP(наценкад5[[#This Row],[№]],ППД5[№],ППД5[Ванная],"-",0)</f>
        <v>3.76</v>
      </c>
      <c r="H551" s="72">
        <f>_xlfn.XLOOKUP(наценкад5[[#This Row],[№]],ППД5[№],ППД5[Гардеробная],"-",0)</f>
        <v>0</v>
      </c>
      <c r="I551" s="72">
        <f>_xlfn.XLOOKUP(наценкад5[[#This Row],[№]],ППД5[№],ППД5[Лоджия 2],"-",0)</f>
        <v>0</v>
      </c>
      <c r="J551" s="72">
        <f>_xlfn.XLOOKUP(наценкад5[[#This Row],[№]],ППД5[№],ППД5[С\У],"-",0)</f>
        <v>0</v>
      </c>
      <c r="K551" s="72">
        <f>_xlfn.XLOOKUP(наценкад5[[#This Row],[№]],ППД5[№],ППД5[Расчетная проектная площадь],"-",0)</f>
        <v>29.4</v>
      </c>
      <c r="L551" s="12">
        <f t="shared" si="8"/>
        <v>63000</v>
      </c>
      <c r="M551" s="116">
        <f>коэффициенты!$H$2</f>
        <v>1.3905000000000001</v>
      </c>
      <c r="N551" s="13">
        <f>наценкад5[[#This Row],[Цена м2 базовая]]*наценкад5[[#This Row],[Базовой K]]</f>
        <v>87601.5</v>
      </c>
      <c r="O551" s="74"/>
      <c r="P551" s="74"/>
      <c r="Q551" s="74"/>
      <c r="R551" s="74"/>
      <c r="S551" s="74"/>
      <c r="T551" s="74"/>
      <c r="U551" s="74"/>
      <c r="V551" s="74"/>
      <c r="W551" s="75"/>
      <c r="X551" s="74"/>
      <c r="Y551" s="75"/>
      <c r="Z551" s="76">
        <f>коэффициенты!$H$16</f>
        <v>0.08</v>
      </c>
      <c r="AA551" s="74"/>
      <c r="AB551" s="74"/>
      <c r="AC551" s="74"/>
      <c r="AD551" s="74">
        <f>коэффициенты!$H$19</f>
        <v>0.01</v>
      </c>
      <c r="AE551" s="74"/>
      <c r="AF551" s="74">
        <f>коэффициенты!$H$21</f>
        <v>0.01</v>
      </c>
      <c r="AG551" s="74"/>
      <c r="AH551" s="74"/>
      <c r="AI551" s="73">
        <f>SUM(наценкад5[[#This Row],[еврокухня]:[большая площадь]])*наценкад5[[#This Row],[Цена м2 с базовым K]]+наценкад5[[#This Row],[Цена м2 с базовым K]]</f>
        <v>96361.65</v>
      </c>
      <c r="AJ551" s="72">
        <f>VLOOKUP(наценкад5[[#This Row],[№]],ППД5[],COLUMN(ППД5[[#This Row],[утв цена м2]]),0)</f>
        <v>124080.96000000001</v>
      </c>
      <c r="AK551" s="3">
        <f>наценкад5[[#This Row],[утв цена м2]]*наценкад5[[#This Row],[Расчетная проектная площадь]]</f>
        <v>3647980.2239999999</v>
      </c>
      <c r="AL551" s="22" t="str">
        <f>VLOOKUP(наценкад5[[#This Row],[№]],ППД5[],COLUMN('Реестр ОН'!$DF$1),0)</f>
        <v>Продажа</v>
      </c>
    </row>
    <row r="552" spans="1:38" hidden="1" x14ac:dyDescent="0.25">
      <c r="A552" s="101">
        <v>550</v>
      </c>
      <c r="B552" s="2" t="str">
        <f>_xlfn.XLOOKUP(наценкад5[[#This Row],[№]],ППД5[№],ППД5[Секция],"-",0)</f>
        <v>Г</v>
      </c>
      <c r="C552" s="2">
        <f>_xlfn.XLOOKUP(наценкад5[[#This Row],[№]],ППД5[№],ППД5[Этаж],"-",0)</f>
        <v>21</v>
      </c>
      <c r="D552" s="2">
        <f>_xlfn.XLOOKUP(наценкад5[[#This Row],[№]],ППД5[№],ППД5[№ на этаже],"-",0)</f>
        <v>2</v>
      </c>
      <c r="E552" s="2">
        <f>_xlfn.XLOOKUP(наценкад5[[#This Row],[№]],ППД5[№],ППД5[Тип кв],"-",0)</f>
        <v>1</v>
      </c>
      <c r="F552" s="72">
        <f>_xlfn.XLOOKUP(наценкад5[[#This Row],[№]],ППД5[№],ППД5[Кухня],"-",0)</f>
        <v>16.940000000000001</v>
      </c>
      <c r="G552" s="72">
        <f>_xlfn.XLOOKUP(наценкад5[[#This Row],[№]],ППД5[№],ППД5[Ванная],"-",0)</f>
        <v>3.55</v>
      </c>
      <c r="H552" s="72">
        <f>_xlfn.XLOOKUP(наценкад5[[#This Row],[№]],ППД5[№],ППД5[Гардеробная],"-",0)</f>
        <v>0</v>
      </c>
      <c r="I552" s="72">
        <f>_xlfn.XLOOKUP(наценкад5[[#This Row],[№]],ППД5[№],ППД5[Лоджия 2],"-",0)</f>
        <v>0</v>
      </c>
      <c r="J552" s="72">
        <f>_xlfn.XLOOKUP(наценкад5[[#This Row],[№]],ППД5[№],ППД5[С\У],"-",0)</f>
        <v>2.41</v>
      </c>
      <c r="K552" s="72">
        <f>_xlfn.XLOOKUP(наценкад5[[#This Row],[№]],ППД5[№],ППД5[Расчетная проектная площадь],"-",0)</f>
        <v>43.21</v>
      </c>
      <c r="L552" s="12">
        <f t="shared" si="8"/>
        <v>63000</v>
      </c>
      <c r="M552" s="102">
        <f>коэффициенты!$G$2</f>
        <v>1.2875000000000001</v>
      </c>
      <c r="N552" s="13">
        <f>наценкад5[[#This Row],[Цена м2 базовая]]*наценкад5[[#This Row],[Базовой K]]</f>
        <v>81112.5</v>
      </c>
      <c r="O552" s="76">
        <f>коэффициенты!$G$4</f>
        <v>0.02</v>
      </c>
      <c r="P552" s="74"/>
      <c r="Q552" s="74"/>
      <c r="R552" s="74">
        <f>коэффициенты!$G$10</f>
        <v>0.01</v>
      </c>
      <c r="S552" s="74">
        <f>коэффициенты!$G$9</f>
        <v>0</v>
      </c>
      <c r="T552" s="74"/>
      <c r="U552" s="74"/>
      <c r="V552" s="74"/>
      <c r="W552" s="75"/>
      <c r="X552" s="74"/>
      <c r="Y552" s="75"/>
      <c r="Z552" s="76">
        <f>коэффициенты!$G$16</f>
        <v>0.08</v>
      </c>
      <c r="AA552" s="74"/>
      <c r="AB552" s="74"/>
      <c r="AC552" s="74"/>
      <c r="AD552" s="74">
        <f>коэффициенты!$G$19</f>
        <v>0.01</v>
      </c>
      <c r="AE552" s="74"/>
      <c r="AF552" s="74">
        <f>коэффициенты!$G$21</f>
        <v>0.01</v>
      </c>
      <c r="AG552" s="74"/>
      <c r="AH552" s="74"/>
      <c r="AI552" s="73">
        <f>SUM(наценкад5[[#This Row],[еврокухня]:[большая площадь]])*наценкад5[[#This Row],[Цена м2 с базовым K]]+наценкад5[[#This Row],[Цена м2 с базовым K]]</f>
        <v>91657.125</v>
      </c>
      <c r="AJ552" s="72">
        <f>VLOOKUP(наценкад5[[#This Row],[№]],ППД5[],COLUMN(ППД5[[#This Row],[утв цена м2]]),0)</f>
        <v>119394.28</v>
      </c>
      <c r="AK552" s="3">
        <f>наценкад5[[#This Row],[утв цена м2]]*наценкад5[[#This Row],[Расчетная проектная площадь]]</f>
        <v>5159026.8388</v>
      </c>
      <c r="AL552" s="22" t="str">
        <f>VLOOKUP(наценкад5[[#This Row],[№]],ППД5[],COLUMN('Реестр ОН'!$DF$1),0)</f>
        <v>Продажа</v>
      </c>
    </row>
    <row r="553" spans="1:38" hidden="1" x14ac:dyDescent="0.25">
      <c r="A553" s="101">
        <v>551</v>
      </c>
      <c r="B553" s="2" t="str">
        <f>_xlfn.XLOOKUP(наценкад5[[#This Row],[№]],ППД5[№],ППД5[Секция],"-",0)</f>
        <v>Г</v>
      </c>
      <c r="C553" s="2">
        <f>_xlfn.XLOOKUP(наценкад5[[#This Row],[№]],ППД5[№],ППД5[Этаж],"-",0)</f>
        <v>21</v>
      </c>
      <c r="D553" s="2">
        <f>_xlfn.XLOOKUP(наценкад5[[#This Row],[№]],ППД5[№],ППД5[№ на этаже],"-",0)</f>
        <v>3</v>
      </c>
      <c r="E553" s="2">
        <f>_xlfn.XLOOKUP(наценкад5[[#This Row],[№]],ППД5[№],ППД5[Тип кв],"-",0)</f>
        <v>0</v>
      </c>
      <c r="F553" s="72">
        <f>_xlfn.XLOOKUP(наценкад5[[#This Row],[№]],ППД5[№],ППД5[Кухня],"-",0)</f>
        <v>5.17</v>
      </c>
      <c r="G553" s="72">
        <f>_xlfn.XLOOKUP(наценкад5[[#This Row],[№]],ППД5[№],ППД5[Ванная],"-",0)</f>
        <v>3.71</v>
      </c>
      <c r="H553" s="72">
        <f>_xlfn.XLOOKUP(наценкад5[[#This Row],[№]],ППД5[№],ППД5[Гардеробная],"-",0)</f>
        <v>0</v>
      </c>
      <c r="I553" s="72">
        <f>_xlfn.XLOOKUP(наценкад5[[#This Row],[№]],ППД5[№],ППД5[Лоджия 2],"-",0)</f>
        <v>0</v>
      </c>
      <c r="J553" s="72">
        <f>_xlfn.XLOOKUP(наценкад5[[#This Row],[№]],ППД5[№],ППД5[С\У],"-",0)</f>
        <v>0</v>
      </c>
      <c r="K553" s="72">
        <f>_xlfn.XLOOKUP(наценкад5[[#This Row],[№]],ППД5[№],ППД5[Расчетная проектная площадь],"-",0)</f>
        <v>24.5</v>
      </c>
      <c r="L553" s="12">
        <f t="shared" si="8"/>
        <v>63000</v>
      </c>
      <c r="M553" s="116">
        <f>коэффициенты!$H$2</f>
        <v>1.3905000000000001</v>
      </c>
      <c r="N553" s="13">
        <f>наценкад5[[#This Row],[Цена м2 базовая]]*наценкад5[[#This Row],[Базовой K]]</f>
        <v>87601.5</v>
      </c>
      <c r="O553" s="74"/>
      <c r="P553" s="74"/>
      <c r="Q553" s="74"/>
      <c r="R553" s="74"/>
      <c r="S553" s="74"/>
      <c r="T553" s="74"/>
      <c r="U553" s="74"/>
      <c r="V553" s="74">
        <f>коэффициенты!$H$11</f>
        <v>0.01</v>
      </c>
      <c r="W553" s="75"/>
      <c r="X553" s="74">
        <f>коэффициенты!$H$13</f>
        <v>0.01</v>
      </c>
      <c r="Y553" s="75"/>
      <c r="Z553" s="76">
        <f>коэффициенты!$H$16</f>
        <v>0.08</v>
      </c>
      <c r="AA553" s="74"/>
      <c r="AB553" s="74"/>
      <c r="AC553" s="74"/>
      <c r="AD553" s="74">
        <f>коэффициенты!$H$19</f>
        <v>0.01</v>
      </c>
      <c r="AE553" s="74"/>
      <c r="AF553" s="74">
        <f>коэффициенты!$H$21</f>
        <v>0.01</v>
      </c>
      <c r="AG553" s="74"/>
      <c r="AH553" s="74"/>
      <c r="AI553" s="73">
        <f>SUM(наценкад5[[#This Row],[еврокухня]:[большая площадь]])*наценкад5[[#This Row],[Цена м2 с базовым K]]+наценкад5[[#This Row],[Цена м2 с базовым K]]</f>
        <v>98113.68</v>
      </c>
      <c r="AJ553" s="72">
        <f>VLOOKUP(наценкад5[[#This Row],[№]],ППД5[],COLUMN(ППД5[[#This Row],[утв цена м2]]),0)</f>
        <v>154508.35</v>
      </c>
      <c r="AK553" s="3">
        <f>наценкад5[[#This Row],[утв цена м2]]*наценкад5[[#This Row],[Расчетная проектная площадь]]</f>
        <v>3785454.5750000002</v>
      </c>
      <c r="AL553" s="22" t="str">
        <f>VLOOKUP(наценкад5[[#This Row],[№]],ППД5[],COLUMN('Реестр ОН'!$DF$1),0)</f>
        <v>Свободно</v>
      </c>
    </row>
    <row r="554" spans="1:38" hidden="1" x14ac:dyDescent="0.25">
      <c r="A554" s="101">
        <v>552</v>
      </c>
      <c r="B554" s="2" t="str">
        <f>_xlfn.XLOOKUP(наценкад5[[#This Row],[№]],ППД5[№],ППД5[Секция],"-",0)</f>
        <v>Г</v>
      </c>
      <c r="C554" s="2">
        <f>_xlfn.XLOOKUP(наценкад5[[#This Row],[№]],ППД5[№],ППД5[Этаж],"-",0)</f>
        <v>21</v>
      </c>
      <c r="D554" s="2">
        <f>_xlfn.XLOOKUP(наценкад5[[#This Row],[№]],ППД5[№],ППД5[№ на этаже],"-",0)</f>
        <v>4</v>
      </c>
      <c r="E554" s="2">
        <f>_xlfn.XLOOKUP(наценкад5[[#This Row],[№]],ППД5[№],ППД5[Тип кв],"-",0)</f>
        <v>2</v>
      </c>
      <c r="F554" s="72">
        <f>_xlfn.XLOOKUP(наценкад5[[#This Row],[№]],ППД5[№],ППД5[Кухня],"-",0)</f>
        <v>15.86</v>
      </c>
      <c r="G554" s="72">
        <f>_xlfn.XLOOKUP(наценкад5[[#This Row],[№]],ППД5[№],ППД5[Ванная],"-",0)</f>
        <v>3.01</v>
      </c>
      <c r="H554" s="72">
        <f>_xlfn.XLOOKUP(наценкад5[[#This Row],[№]],ППД5[№],ППД5[Гардеробная],"-",0)</f>
        <v>0</v>
      </c>
      <c r="I554" s="72">
        <f>_xlfn.XLOOKUP(наценкад5[[#This Row],[№]],ППД5[№],ППД5[Лоджия 2],"-",0)</f>
        <v>0</v>
      </c>
      <c r="J554" s="72">
        <f>_xlfn.XLOOKUP(наценкад5[[#This Row],[№]],ППД5[№],ППД5[С\У],"-",0)</f>
        <v>2.67</v>
      </c>
      <c r="K554" s="72">
        <f>_xlfn.XLOOKUP(наценкад5[[#This Row],[№]],ППД5[№],ППД5[Расчетная проектная площадь],"-",0)</f>
        <v>58.24</v>
      </c>
      <c r="L554" s="12">
        <f t="shared" si="8"/>
        <v>63000</v>
      </c>
      <c r="M554" s="102">
        <f>коэффициенты!$F$2</f>
        <v>1.2257</v>
      </c>
      <c r="N554" s="13">
        <f>наценкад5[[#This Row],[Цена м2 базовая]]*наценкад5[[#This Row],[Базовой K]]</f>
        <v>77219.100000000006</v>
      </c>
      <c r="O554" s="76">
        <f>коэффициенты!$F$4</f>
        <v>1.4999999999999999E-2</v>
      </c>
      <c r="P554" s="74"/>
      <c r="Q554" s="76"/>
      <c r="R554" s="76">
        <f>коэффициенты!$F$10</f>
        <v>0</v>
      </c>
      <c r="S554" s="76">
        <f>коэффициенты!$F$9</f>
        <v>0</v>
      </c>
      <c r="T554" s="74"/>
      <c r="U554" s="74"/>
      <c r="V554" s="74"/>
      <c r="W554" s="75"/>
      <c r="X554" s="74"/>
      <c r="Y554" s="75"/>
      <c r="Z554" s="76">
        <f>коэффициенты!$F$16</f>
        <v>0.08</v>
      </c>
      <c r="AA554" s="74"/>
      <c r="AB554" s="74"/>
      <c r="AC554" s="74"/>
      <c r="AD554" s="74">
        <f>коэффициенты!$F$19</f>
        <v>5.0000000000000001E-3</v>
      </c>
      <c r="AE554" s="74"/>
      <c r="AF554" s="74">
        <f>коэффициенты!$F$21</f>
        <v>0.01</v>
      </c>
      <c r="AG554" s="74"/>
      <c r="AH554" s="74"/>
      <c r="AI554" s="73">
        <f>SUM(наценкад5[[#This Row],[еврокухня]:[большая площадь]])*наценкад5[[#This Row],[Цена м2 с базовым K]]+наценкад5[[#This Row],[Цена м2 с базовым K]]</f>
        <v>85713.201000000001</v>
      </c>
      <c r="AJ554" s="72">
        <f>VLOOKUP(наценкад5[[#This Row],[№]],ППД5[],COLUMN(ППД5[[#This Row],[утв цена м2]]),0)</f>
        <v>130649.18</v>
      </c>
      <c r="AK554" s="3">
        <f>наценкад5[[#This Row],[утв цена м2]]*наценкад5[[#This Row],[Расчетная проектная площадь]]</f>
        <v>7609008.2431999994</v>
      </c>
      <c r="AL554" s="22" t="str">
        <f>VLOOKUP(наценкад5[[#This Row],[№]],ППД5[],COLUMN('Реестр ОН'!$DF$1),0)</f>
        <v>Свободно</v>
      </c>
    </row>
    <row r="555" spans="1:38" hidden="1" x14ac:dyDescent="0.25">
      <c r="A555" s="101">
        <v>553</v>
      </c>
      <c r="B555" s="2" t="str">
        <f>_xlfn.XLOOKUP(наценкад5[[#This Row],[№]],ППД5[№],ППД5[Секция],"-",0)</f>
        <v>Г</v>
      </c>
      <c r="C555" s="2">
        <f>_xlfn.XLOOKUP(наценкад5[[#This Row],[№]],ППД5[№],ППД5[Этаж],"-",0)</f>
        <v>21</v>
      </c>
      <c r="D555" s="2">
        <f>_xlfn.XLOOKUP(наценкад5[[#This Row],[№]],ППД5[№],ППД5[№ на этаже],"-",0)</f>
        <v>5</v>
      </c>
      <c r="E555" s="2">
        <f>_xlfn.XLOOKUP(наценкад5[[#This Row],[№]],ППД5[№],ППД5[Тип кв],"-",0)</f>
        <v>2</v>
      </c>
      <c r="F555" s="72">
        <f>_xlfn.XLOOKUP(наценкад5[[#This Row],[№]],ППД5[№],ППД5[Кухня],"-",0)</f>
        <v>13.45</v>
      </c>
      <c r="G555" s="72">
        <f>_xlfn.XLOOKUP(наценкад5[[#This Row],[№]],ППД5[№],ППД5[Ванная],"-",0)</f>
        <v>3.7</v>
      </c>
      <c r="H555" s="72">
        <f>_xlfn.XLOOKUP(наценкад5[[#This Row],[№]],ППД5[№],ППД5[Гардеробная],"-",0)</f>
        <v>0</v>
      </c>
      <c r="I555" s="72">
        <f>_xlfn.XLOOKUP(наценкад5[[#This Row],[№]],ППД5[№],ППД5[Лоджия 2],"-",0)</f>
        <v>0</v>
      </c>
      <c r="J555" s="72">
        <f>_xlfn.XLOOKUP(наценкад5[[#This Row],[№]],ППД5[№],ППД5[С\У],"-",0)</f>
        <v>2.72</v>
      </c>
      <c r="K555" s="72">
        <f>_xlfn.XLOOKUP(наценкад5[[#This Row],[№]],ППД5[№],ППД5[Расчетная проектная площадь],"-",0)</f>
        <v>57.8</v>
      </c>
      <c r="L555" s="12">
        <f t="shared" si="8"/>
        <v>63000</v>
      </c>
      <c r="M555" s="102">
        <f>коэффициенты!$F$2</f>
        <v>1.2257</v>
      </c>
      <c r="N555" s="13">
        <f>наценкад5[[#This Row],[Цена м2 базовая]]*наценкад5[[#This Row],[Базовой K]]</f>
        <v>77219.100000000006</v>
      </c>
      <c r="O555" s="74"/>
      <c r="P555" s="74">
        <f>коэффициенты!$F$5</f>
        <v>0.01</v>
      </c>
      <c r="Q555" s="76"/>
      <c r="R555" s="76"/>
      <c r="S555" s="76">
        <f>коэффициенты!$F$9</f>
        <v>0</v>
      </c>
      <c r="T555" s="74"/>
      <c r="U555" s="74"/>
      <c r="V555" s="74"/>
      <c r="W555" s="75"/>
      <c r="X555" s="74"/>
      <c r="Y555" s="75"/>
      <c r="Z555" s="76">
        <f>коэффициенты!$F$16</f>
        <v>0.08</v>
      </c>
      <c r="AA555" s="74"/>
      <c r="AB555" s="74"/>
      <c r="AC555" s="74"/>
      <c r="AD555" s="74">
        <f>коэффициенты!$F$19</f>
        <v>5.0000000000000001E-3</v>
      </c>
      <c r="AE555" s="74"/>
      <c r="AF555" s="74">
        <f>коэффициенты!$F$21</f>
        <v>0.01</v>
      </c>
      <c r="AG555" s="74"/>
      <c r="AH555" s="74"/>
      <c r="AI555" s="73">
        <f>SUM(наценкад5[[#This Row],[еврокухня]:[большая площадь]])*наценкад5[[#This Row],[Цена м2 с базовым K]]+наценкад5[[#This Row],[Цена м2 с базовым K]]</f>
        <v>85327.105500000005</v>
      </c>
      <c r="AJ555" s="72">
        <f>VLOOKUP(наценкад5[[#This Row],[№]],ППД5[],COLUMN(ППД5[[#This Row],[утв цена м2]]),0)</f>
        <v>130683.68</v>
      </c>
      <c r="AK555" s="3">
        <f>наценкад5[[#This Row],[утв цена м2]]*наценкад5[[#This Row],[Расчетная проектная площадь]]</f>
        <v>7553516.703999999</v>
      </c>
      <c r="AL555" s="22" t="str">
        <f>VLOOKUP(наценкад5[[#This Row],[№]],ППД5[],COLUMN('Реестр ОН'!$DF$1),0)</f>
        <v>Стр. Резерв</v>
      </c>
    </row>
    <row r="556" spans="1:38" hidden="1" x14ac:dyDescent="0.25">
      <c r="A556" s="101">
        <v>554</v>
      </c>
      <c r="B556" s="2" t="str">
        <f>_xlfn.XLOOKUP(наценкад5[[#This Row],[№]],ППД5[№],ППД5[Секция],"-",0)</f>
        <v>Г</v>
      </c>
      <c r="C556" s="2">
        <f>_xlfn.XLOOKUP(наценкад5[[#This Row],[№]],ППД5[№],ППД5[Этаж],"-",0)</f>
        <v>21</v>
      </c>
      <c r="D556" s="2">
        <f>_xlfn.XLOOKUP(наценкад5[[#This Row],[№]],ППД5[№],ППД5[№ на этаже],"-",0)</f>
        <v>6</v>
      </c>
      <c r="E556" s="2">
        <f>_xlfn.XLOOKUP(наценкад5[[#This Row],[№]],ППД5[№],ППД5[Тип кв],"-",0)</f>
        <v>1</v>
      </c>
      <c r="F556" s="72">
        <f>_xlfn.XLOOKUP(наценкад5[[#This Row],[№]],ППД5[№],ППД5[Кухня],"-",0)</f>
        <v>12.55</v>
      </c>
      <c r="G556" s="72">
        <f>_xlfn.XLOOKUP(наценкад5[[#This Row],[№]],ППД5[№],ППД5[Ванная],"-",0)</f>
        <v>4.28</v>
      </c>
      <c r="H556" s="72">
        <f>_xlfn.XLOOKUP(наценкад5[[#This Row],[№]],ППД5[№],ППД5[Гардеробная],"-",0)</f>
        <v>0</v>
      </c>
      <c r="I556" s="72">
        <f>_xlfn.XLOOKUP(наценкад5[[#This Row],[№]],ППД5[№],ППД5[Лоджия 2],"-",0)</f>
        <v>0</v>
      </c>
      <c r="J556" s="72">
        <f>_xlfn.XLOOKUP(наценкад5[[#This Row],[№]],ППД5[№],ППД5[С\У],"-",0)</f>
        <v>0</v>
      </c>
      <c r="K556" s="72">
        <f>_xlfn.XLOOKUP(наценкад5[[#This Row],[№]],ППД5[№],ППД5[Расчетная проектная площадь],"-",0)</f>
        <v>38.299999999999997</v>
      </c>
      <c r="L556" s="12">
        <f t="shared" si="8"/>
        <v>63000</v>
      </c>
      <c r="M556" s="102">
        <f>коэффициенты!$G$2</f>
        <v>1.2875000000000001</v>
      </c>
      <c r="N556" s="13">
        <f>наценкад5[[#This Row],[Цена м2 базовая]]*наценкад5[[#This Row],[Базовой K]]</f>
        <v>81112.5</v>
      </c>
      <c r="O556" s="74"/>
      <c r="P556" s="76">
        <f>коэффициенты!$G$5</f>
        <v>0.01</v>
      </c>
      <c r="Q556" s="74">
        <f>коэффициенты!$G$6</f>
        <v>0.03</v>
      </c>
      <c r="R556" s="74"/>
      <c r="S556" s="74"/>
      <c r="T556" s="74"/>
      <c r="U556" s="74"/>
      <c r="V556" s="74">
        <f>коэффициенты!$G$11</f>
        <v>0.01</v>
      </c>
      <c r="W556" s="75"/>
      <c r="X556" s="74">
        <f>коэффициенты!$G$13</f>
        <v>0.01</v>
      </c>
      <c r="Y556" s="75"/>
      <c r="Z556" s="76">
        <f>коэффициенты!$G$16</f>
        <v>0.08</v>
      </c>
      <c r="AA556" s="74"/>
      <c r="AB556" s="74"/>
      <c r="AC556" s="74"/>
      <c r="AD556" s="74">
        <f>коэффициенты!$G$19</f>
        <v>0.01</v>
      </c>
      <c r="AE556" s="74"/>
      <c r="AF556" s="74">
        <f>коэффициенты!$G$21</f>
        <v>0.01</v>
      </c>
      <c r="AG556" s="74"/>
      <c r="AH556" s="74"/>
      <c r="AI556" s="73">
        <f>SUM(наценкад5[[#This Row],[еврокухня]:[большая площадь]])*наценкад5[[#This Row],[Цена м2 с базовым K]]+наценкад5[[#This Row],[Цена м2 с базовым K]]</f>
        <v>94090.5</v>
      </c>
      <c r="AJ556" s="72">
        <f>VLOOKUP(наценкад5[[#This Row],[№]],ППД5[],COLUMN(ППД5[[#This Row],[утв цена м2]]),0)</f>
        <v>148461.03</v>
      </c>
      <c r="AK556" s="3">
        <f>наценкад5[[#This Row],[утв цена м2]]*наценкад5[[#This Row],[Расчетная проектная площадь]]</f>
        <v>5686057.4489999991</v>
      </c>
      <c r="AL556" s="22" t="str">
        <f>VLOOKUP(наценкад5[[#This Row],[№]],ППД5[],COLUMN('Реестр ОН'!$DF$1),0)</f>
        <v>Свободно</v>
      </c>
    </row>
    <row r="557" spans="1:38" hidden="1" x14ac:dyDescent="0.25">
      <c r="A557" s="101">
        <v>555</v>
      </c>
      <c r="B557" s="2" t="str">
        <f>_xlfn.XLOOKUP(наценкад5[[#This Row],[№]],ППД5[№],ППД5[Секция],"-",0)</f>
        <v>Г</v>
      </c>
      <c r="C557" s="2">
        <f>_xlfn.XLOOKUP(наценкад5[[#This Row],[№]],ППД5[№],ППД5[Этаж],"-",0)</f>
        <v>21</v>
      </c>
      <c r="D557" s="2">
        <f>_xlfn.XLOOKUP(наценкад5[[#This Row],[№]],ППД5[№],ППД5[№ на этаже],"-",0)</f>
        <v>7</v>
      </c>
      <c r="E557" s="2">
        <f>_xlfn.XLOOKUP(наценкад5[[#This Row],[№]],ППД5[№],ППД5[Тип кв],"-",0)</f>
        <v>3</v>
      </c>
      <c r="F557" s="72">
        <f>_xlfn.XLOOKUP(наценкад5[[#This Row],[№]],ППД5[№],ППД5[Кухня],"-",0)</f>
        <v>16.670000000000002</v>
      </c>
      <c r="G557" s="72">
        <f>_xlfn.XLOOKUP(наценкад5[[#This Row],[№]],ППД5[№],ППД5[Ванная],"-",0)</f>
        <v>4.1399999999999997</v>
      </c>
      <c r="H557" s="72">
        <f>_xlfn.XLOOKUP(наценкад5[[#This Row],[№]],ППД5[№],ППД5[Гардеробная],"-",0)</f>
        <v>0</v>
      </c>
      <c r="I557" s="72">
        <f>_xlfn.XLOOKUP(наценкад5[[#This Row],[№]],ППД5[№],ППД5[Лоджия 2],"-",0)</f>
        <v>2.79</v>
      </c>
      <c r="J557" s="72">
        <f>_xlfn.XLOOKUP(наценкад5[[#This Row],[№]],ППД5[№],ППД5[С\У],"-",0)</f>
        <v>1.89</v>
      </c>
      <c r="K557" s="72">
        <f>_xlfn.XLOOKUP(наценкад5[[#This Row],[№]],ППД5[№],ППД5[Расчетная проектная площадь],"-",0)</f>
        <v>79.44</v>
      </c>
      <c r="L557" s="12">
        <f t="shared" si="8"/>
        <v>63000</v>
      </c>
      <c r="M557" s="27">
        <f>коэффициенты!$E$2</f>
        <v>1.1330000000000002</v>
      </c>
      <c r="N557" s="13">
        <f>наценкад5[[#This Row],[Цена м2 базовая]]*наценкад5[[#This Row],[Базовой K]]</f>
        <v>71379.000000000015</v>
      </c>
      <c r="O557" s="74">
        <f>коэффициенты!$E$4</f>
        <v>0.03</v>
      </c>
      <c r="P557" s="74"/>
      <c r="Q557" s="74">
        <f>коэффициенты!$E$6</f>
        <v>0.01</v>
      </c>
      <c r="R557" s="74"/>
      <c r="S557" s="74">
        <f>коэффициенты!$E$9</f>
        <v>0</v>
      </c>
      <c r="T557" s="74">
        <f>коэффициенты!$E$7</f>
        <v>0</v>
      </c>
      <c r="U557" s="74">
        <f>коэффициенты!$E$8</f>
        <v>0.01</v>
      </c>
      <c r="V557" s="74"/>
      <c r="W557" s="75">
        <f>коэффициенты!$E$12</f>
        <v>0.02</v>
      </c>
      <c r="X557" s="74"/>
      <c r="Y557" s="75"/>
      <c r="Z557" s="76">
        <f>коэффициенты!$A$16</f>
        <v>0.08</v>
      </c>
      <c r="AA557" s="74">
        <f>коэффициенты!$E$14</f>
        <v>0</v>
      </c>
      <c r="AB557" s="74"/>
      <c r="AC557" s="74">
        <f>коэффициенты!$E$18</f>
        <v>0.01</v>
      </c>
      <c r="AD557" s="74"/>
      <c r="AE557" s="74"/>
      <c r="AF557" s="74">
        <f>коэффициенты!$E$21</f>
        <v>0.01</v>
      </c>
      <c r="AG557" s="74"/>
      <c r="AH557" s="74"/>
      <c r="AI557" s="73">
        <f>SUM(наценкад5[[#This Row],[еврокухня]:[большая площадь]])*наценкад5[[#This Row],[Цена м2 с базовым K]]+наценкад5[[#This Row],[Цена м2 с базовым K]]</f>
        <v>83513.430000000022</v>
      </c>
      <c r="AJ557" s="72">
        <f>VLOOKUP(наценкад5[[#This Row],[№]],ППД5[],COLUMN(ППД5[[#This Row],[утв цена м2]]),0)</f>
        <v>132486.07</v>
      </c>
      <c r="AK557" s="3">
        <f>наценкад5[[#This Row],[утв цена м2]]*наценкад5[[#This Row],[Расчетная проектная площадь]]</f>
        <v>10524693.400800001</v>
      </c>
      <c r="AL557" s="22" t="str">
        <f>VLOOKUP(наценкад5[[#This Row],[№]],ППД5[],COLUMN('Реестр ОН'!$DF$1),0)</f>
        <v>Свободно</v>
      </c>
    </row>
    <row r="558" spans="1:38" s="270" customFormat="1" hidden="1" x14ac:dyDescent="0.25">
      <c r="A558" s="259">
        <v>556</v>
      </c>
      <c r="B558" s="260" t="str">
        <f>_xlfn.XLOOKUP(наценкад5[[#This Row],[№]],ППД5[№],ППД5[Секция],"-",0)</f>
        <v>Г</v>
      </c>
      <c r="C558" s="260">
        <f>_xlfn.XLOOKUP(наценкад5[[#This Row],[№]],ППД5[№],ППД5[Этаж],"-",0)</f>
        <v>21</v>
      </c>
      <c r="D558" s="260">
        <f>_xlfn.XLOOKUP(наценкад5[[#This Row],[№]],ППД5[№],ППД5[№ на этаже],"-",0)</f>
        <v>8</v>
      </c>
      <c r="E558" s="260">
        <f>_xlfn.XLOOKUP(наценкад5[[#This Row],[№]],ППД5[№],ППД5[Тип кв],"-",0)</f>
        <v>1</v>
      </c>
      <c r="F558" s="261">
        <f>_xlfn.XLOOKUP(наценкад5[[#This Row],[№]],ППД5[№],ППД5[Кухня],"-",0)</f>
        <v>11.43</v>
      </c>
      <c r="G558" s="261">
        <f>_xlfn.XLOOKUP(наценкад5[[#This Row],[№]],ППД5[№],ППД5[Ванная],"-",0)</f>
        <v>3.56</v>
      </c>
      <c r="H558" s="261">
        <f>_xlfn.XLOOKUP(наценкад5[[#This Row],[№]],ППД5[№],ППД5[Гардеробная],"-",0)</f>
        <v>0</v>
      </c>
      <c r="I558" s="261">
        <f>_xlfn.XLOOKUP(наценкад5[[#This Row],[№]],ППД5[№],ППД5[Лоджия 2],"-",0)</f>
        <v>0</v>
      </c>
      <c r="J558" s="261">
        <f>_xlfn.XLOOKUP(наценкад5[[#This Row],[№]],ППД5[№],ППД5[С\У],"-",0)</f>
        <v>0</v>
      </c>
      <c r="K558" s="261">
        <f>_xlfn.XLOOKUP(наценкад5[[#This Row],[№]],ППД5[№],ППД5[Расчетная проектная площадь],"-",0)</f>
        <v>39.69</v>
      </c>
      <c r="L558" s="262">
        <f t="shared" si="8"/>
        <v>63000</v>
      </c>
      <c r="M558" s="263">
        <f>коэффициенты!$G$2</f>
        <v>1.2875000000000001</v>
      </c>
      <c r="N558" s="264">
        <f>наценкад5[[#This Row],[Цена м2 базовая]]*наценкад5[[#This Row],[Базовой K]]</f>
        <v>81112.5</v>
      </c>
      <c r="O558" s="265"/>
      <c r="P558" s="265">
        <f>коэффициенты!$G$5</f>
        <v>0.01</v>
      </c>
      <c r="Q558" s="265"/>
      <c r="R558" s="265"/>
      <c r="S558" s="265"/>
      <c r="T558" s="265"/>
      <c r="U558" s="265"/>
      <c r="V558" s="265">
        <f>коэффициенты!$G$11</f>
        <v>0.01</v>
      </c>
      <c r="W558" s="266">
        <f>коэффициенты!$G$12</f>
        <v>0.02</v>
      </c>
      <c r="X558" s="265"/>
      <c r="Y558" s="266"/>
      <c r="Z558" s="265">
        <f>коэффициенты!$G$16</f>
        <v>0.08</v>
      </c>
      <c r="AA558" s="265">
        <f>коэффициенты!$G$14</f>
        <v>0.01</v>
      </c>
      <c r="AB558" s="265"/>
      <c r="AC558" s="265"/>
      <c r="AD558" s="265">
        <f>коэффициенты!$G$19</f>
        <v>0.01</v>
      </c>
      <c r="AE558" s="265"/>
      <c r="AF558" s="265">
        <f>коэффициенты!$G$21</f>
        <v>0.01</v>
      </c>
      <c r="AG558" s="265">
        <f>коэффициенты!$A$24</f>
        <v>-5.0000000000000001E-3</v>
      </c>
      <c r="AH558" s="265"/>
      <c r="AI558" s="267">
        <f>SUM(наценкад5[[#This Row],[еврокухня]:[большая площадь]])*наценкад5[[#This Row],[Цена м2 с базовым K]]+наценкад5[[#This Row],[Цена м2 с базовым K]]</f>
        <v>92873.8125</v>
      </c>
      <c r="AJ558" s="261">
        <f>VLOOKUP(наценкад5[[#This Row],[№]],ППД5[],COLUMN(ППД5[[#This Row],[утв цена м2]]),0)</f>
        <v>146457.31</v>
      </c>
      <c r="AK558" s="268">
        <f>наценкад5[[#This Row],[утв цена м2]]*наценкад5[[#This Row],[Расчетная проектная площадь]]</f>
        <v>5812890.6338999998</v>
      </c>
      <c r="AL558" s="269" t="str">
        <f>VLOOKUP(наценкад5[[#This Row],[№]],ППД5[],COLUMN('Реестр ОН'!$DF$1),0)</f>
        <v>Свободно</v>
      </c>
    </row>
    <row r="559" spans="1:38" hidden="1" x14ac:dyDescent="0.25">
      <c r="A559" s="101">
        <v>557</v>
      </c>
      <c r="B559" s="2" t="str">
        <f>_xlfn.XLOOKUP(наценкад5[[#This Row],[№]],ППД5[№],ППД5[Секция],"-",0)</f>
        <v>Г</v>
      </c>
      <c r="C559" s="2">
        <f>_xlfn.XLOOKUP(наценкад5[[#This Row],[№]],ППД5[№],ППД5[Этаж],"-",0)</f>
        <v>22</v>
      </c>
      <c r="D559" s="2">
        <f>_xlfn.XLOOKUP(наценкад5[[#This Row],[№]],ППД5[№],ППД5[№ на этаже],"-",0)</f>
        <v>1</v>
      </c>
      <c r="E559" s="2">
        <f>_xlfn.XLOOKUP(наценкад5[[#This Row],[№]],ППД5[№],ППД5[Тип кв],"-",0)</f>
        <v>0</v>
      </c>
      <c r="F559" s="72">
        <f>_xlfn.XLOOKUP(наценкад5[[#This Row],[№]],ППД5[№],ППД5[Кухня],"-",0)</f>
        <v>5.84</v>
      </c>
      <c r="G559" s="72">
        <f>_xlfn.XLOOKUP(наценкад5[[#This Row],[№]],ППД5[№],ППД5[Ванная],"-",0)</f>
        <v>3.76</v>
      </c>
      <c r="H559" s="72">
        <f>_xlfn.XLOOKUP(наценкад5[[#This Row],[№]],ППД5[№],ППД5[Гардеробная],"-",0)</f>
        <v>0</v>
      </c>
      <c r="I559" s="72">
        <f>_xlfn.XLOOKUP(наценкад5[[#This Row],[№]],ППД5[№],ППД5[Лоджия 2],"-",0)</f>
        <v>0</v>
      </c>
      <c r="J559" s="72">
        <f>_xlfn.XLOOKUP(наценкад5[[#This Row],[№]],ППД5[№],ППД5[С\У],"-",0)</f>
        <v>0</v>
      </c>
      <c r="K559" s="72">
        <f>_xlfn.XLOOKUP(наценкад5[[#This Row],[№]],ППД5[№],ППД5[Расчетная проектная площадь],"-",0)</f>
        <v>29.4</v>
      </c>
      <c r="L559" s="12">
        <f t="shared" si="8"/>
        <v>63000</v>
      </c>
      <c r="M559" s="116">
        <f>коэффициенты!$H$2</f>
        <v>1.3905000000000001</v>
      </c>
      <c r="N559" s="13">
        <f>наценкад5[[#This Row],[Цена м2 базовая]]*наценкад5[[#This Row],[Базовой K]]</f>
        <v>87601.5</v>
      </c>
      <c r="O559" s="74"/>
      <c r="P559" s="74"/>
      <c r="Q559" s="74"/>
      <c r="R559" s="74"/>
      <c r="S559" s="74"/>
      <c r="T559" s="74"/>
      <c r="U559" s="74"/>
      <c r="V559" s="74"/>
      <c r="W559" s="74"/>
      <c r="X559" s="74"/>
      <c r="Y559" s="75"/>
      <c r="Z559" s="76">
        <f>коэффициенты!$H$16</f>
        <v>0.08</v>
      </c>
      <c r="AA559" s="74"/>
      <c r="AB559" s="74"/>
      <c r="AC559" s="74"/>
      <c r="AD559" s="74">
        <f>коэффициенты!$H$19</f>
        <v>0.01</v>
      </c>
      <c r="AE559" s="74"/>
      <c r="AF559" s="74">
        <f>коэффициенты!$H$21</f>
        <v>0.01</v>
      </c>
      <c r="AG559" s="74"/>
      <c r="AH559" s="74"/>
      <c r="AI559" s="73">
        <f>SUM(наценкад5[[#This Row],[еврокухня]:[большая площадь]])*наценкад5[[#This Row],[Цена м2 с базовым K]]+наценкад5[[#This Row],[Цена м2 с базовым K]]</f>
        <v>96361.65</v>
      </c>
      <c r="AJ559" s="72">
        <f>VLOOKUP(наценкад5[[#This Row],[№]],ППД5[],COLUMN(ППД5[[#This Row],[утв цена м2]]),0)</f>
        <v>149522.32</v>
      </c>
      <c r="AK559" s="3">
        <f>наценкад5[[#This Row],[утв цена м2]]*наценкад5[[#This Row],[Расчетная проектная площадь]]</f>
        <v>4395956.2079999996</v>
      </c>
      <c r="AL559" s="22" t="str">
        <f>VLOOKUP(наценкад5[[#This Row],[№]],ППД5[],COLUMN('Реестр ОН'!$DF$1),0)</f>
        <v>Свободно</v>
      </c>
    </row>
    <row r="560" spans="1:38" hidden="1" x14ac:dyDescent="0.25">
      <c r="A560" s="101">
        <v>558</v>
      </c>
      <c r="B560" s="2" t="str">
        <f>_xlfn.XLOOKUP(наценкад5[[#This Row],[№]],ППД5[№],ППД5[Секция],"-",0)</f>
        <v>Г</v>
      </c>
      <c r="C560" s="2">
        <f>_xlfn.XLOOKUP(наценкад5[[#This Row],[№]],ППД5[№],ППД5[Этаж],"-",0)</f>
        <v>22</v>
      </c>
      <c r="D560" s="2">
        <f>_xlfn.XLOOKUP(наценкад5[[#This Row],[№]],ППД5[№],ППД5[№ на этаже],"-",0)</f>
        <v>2</v>
      </c>
      <c r="E560" s="2">
        <f>_xlfn.XLOOKUP(наценкад5[[#This Row],[№]],ППД5[№],ППД5[Тип кв],"-",0)</f>
        <v>1</v>
      </c>
      <c r="F560" s="72">
        <f>_xlfn.XLOOKUP(наценкад5[[#This Row],[№]],ППД5[№],ППД5[Кухня],"-",0)</f>
        <v>16.940000000000001</v>
      </c>
      <c r="G560" s="72">
        <f>_xlfn.XLOOKUP(наценкад5[[#This Row],[№]],ППД5[№],ППД5[Ванная],"-",0)</f>
        <v>3.55</v>
      </c>
      <c r="H560" s="72">
        <f>_xlfn.XLOOKUP(наценкад5[[#This Row],[№]],ППД5[№],ППД5[Гардеробная],"-",0)</f>
        <v>0</v>
      </c>
      <c r="I560" s="72">
        <f>_xlfn.XLOOKUP(наценкад5[[#This Row],[№]],ППД5[№],ППД5[Лоджия 2],"-",0)</f>
        <v>0</v>
      </c>
      <c r="J560" s="72">
        <f>_xlfn.XLOOKUP(наценкад5[[#This Row],[№]],ППД5[№],ППД5[С\У],"-",0)</f>
        <v>2.41</v>
      </c>
      <c r="K560" s="72">
        <f>_xlfn.XLOOKUP(наценкад5[[#This Row],[№]],ППД5[№],ППД5[Расчетная проектная площадь],"-",0)</f>
        <v>43.21</v>
      </c>
      <c r="L560" s="12">
        <f t="shared" si="8"/>
        <v>63000</v>
      </c>
      <c r="M560" s="102">
        <f>коэффициенты!$G$2</f>
        <v>1.2875000000000001</v>
      </c>
      <c r="N560" s="13">
        <f>наценкад5[[#This Row],[Цена м2 базовая]]*наценкад5[[#This Row],[Базовой K]]</f>
        <v>81112.5</v>
      </c>
      <c r="O560" s="76">
        <f>коэффициенты!$G$4</f>
        <v>0.02</v>
      </c>
      <c r="P560" s="74"/>
      <c r="Q560" s="74"/>
      <c r="R560" s="74">
        <f>коэффициенты!$G$10</f>
        <v>0.01</v>
      </c>
      <c r="S560" s="74">
        <f>коэффициенты!$G$9</f>
        <v>0</v>
      </c>
      <c r="T560" s="74"/>
      <c r="U560" s="74"/>
      <c r="V560" s="74"/>
      <c r="W560" s="74"/>
      <c r="X560" s="74"/>
      <c r="Y560" s="75"/>
      <c r="Z560" s="76">
        <f>коэффициенты!$G$16</f>
        <v>0.08</v>
      </c>
      <c r="AA560" s="74"/>
      <c r="AB560" s="74"/>
      <c r="AC560" s="74"/>
      <c r="AD560" s="74">
        <f>коэффициенты!$G$19</f>
        <v>0.01</v>
      </c>
      <c r="AE560" s="74"/>
      <c r="AF560" s="74">
        <f>коэффициенты!$G$21</f>
        <v>0.01</v>
      </c>
      <c r="AG560" s="74"/>
      <c r="AH560" s="74"/>
      <c r="AI560" s="73">
        <f>SUM(наценкад5[[#This Row],[еврокухня]:[большая площадь]])*наценкад5[[#This Row],[Цена м2 с базовым K]]+наценкад5[[#This Row],[Цена м2 с базовым K]]</f>
        <v>91657.125</v>
      </c>
      <c r="AJ560" s="72">
        <f>VLOOKUP(наценкад5[[#This Row],[№]],ППД5[],COLUMN(ППД5[[#This Row],[утв цена м2]]),0)</f>
        <v>105124.38</v>
      </c>
      <c r="AK560" s="3">
        <f>наценкад5[[#This Row],[утв цена м2]]*наценкад5[[#This Row],[Расчетная проектная площадь]]</f>
        <v>4542424.4598000003</v>
      </c>
      <c r="AL560" s="22" t="str">
        <f>VLOOKUP(наценкад5[[#This Row],[№]],ППД5[],COLUMN('Реестр ОН'!$DF$1),0)</f>
        <v>Продажа</v>
      </c>
    </row>
    <row r="561" spans="1:38" hidden="1" x14ac:dyDescent="0.25">
      <c r="A561" s="101">
        <v>559</v>
      </c>
      <c r="B561" s="2" t="str">
        <f>_xlfn.XLOOKUP(наценкад5[[#This Row],[№]],ППД5[№],ППД5[Секция],"-",0)</f>
        <v>Г</v>
      </c>
      <c r="C561" s="2">
        <f>_xlfn.XLOOKUP(наценкад5[[#This Row],[№]],ППД5[№],ППД5[Этаж],"-",0)</f>
        <v>22</v>
      </c>
      <c r="D561" s="2">
        <f>_xlfn.XLOOKUP(наценкад5[[#This Row],[№]],ППД5[№],ППД5[№ на этаже],"-",0)</f>
        <v>3</v>
      </c>
      <c r="E561" s="2">
        <f>_xlfn.XLOOKUP(наценкад5[[#This Row],[№]],ППД5[№],ППД5[Тип кв],"-",0)</f>
        <v>0</v>
      </c>
      <c r="F561" s="72">
        <f>_xlfn.XLOOKUP(наценкад5[[#This Row],[№]],ППД5[№],ППД5[Кухня],"-",0)</f>
        <v>5.17</v>
      </c>
      <c r="G561" s="72">
        <f>_xlfn.XLOOKUP(наценкад5[[#This Row],[№]],ППД5[№],ППД5[Ванная],"-",0)</f>
        <v>3.71</v>
      </c>
      <c r="H561" s="72">
        <f>_xlfn.XLOOKUP(наценкад5[[#This Row],[№]],ППД5[№],ППД5[Гардеробная],"-",0)</f>
        <v>0</v>
      </c>
      <c r="I561" s="72">
        <f>_xlfn.XLOOKUP(наценкад5[[#This Row],[№]],ППД5[№],ППД5[Лоджия 2],"-",0)</f>
        <v>0</v>
      </c>
      <c r="J561" s="72">
        <f>_xlfn.XLOOKUP(наценкад5[[#This Row],[№]],ППД5[№],ППД5[С\У],"-",0)</f>
        <v>0</v>
      </c>
      <c r="K561" s="72">
        <f>_xlfn.XLOOKUP(наценкад5[[#This Row],[№]],ППД5[№],ППД5[Расчетная проектная площадь],"-",0)</f>
        <v>24.5</v>
      </c>
      <c r="L561" s="12">
        <f t="shared" si="8"/>
        <v>63000</v>
      </c>
      <c r="M561" s="116">
        <f>коэффициенты!$H$2</f>
        <v>1.3905000000000001</v>
      </c>
      <c r="N561" s="13">
        <f>наценкад5[[#This Row],[Цена м2 базовая]]*наценкад5[[#This Row],[Базовой K]]</f>
        <v>87601.5</v>
      </c>
      <c r="O561" s="74"/>
      <c r="P561" s="74"/>
      <c r="Q561" s="74"/>
      <c r="R561" s="74"/>
      <c r="S561" s="74"/>
      <c r="T561" s="74"/>
      <c r="U561" s="74"/>
      <c r="V561" s="74">
        <f>коэффициенты!$H$11</f>
        <v>0.01</v>
      </c>
      <c r="W561" s="74"/>
      <c r="X561" s="74">
        <f>коэффициенты!$H$13</f>
        <v>0.01</v>
      </c>
      <c r="Y561" s="75"/>
      <c r="Z561" s="76">
        <f>коэффициенты!$H$16</f>
        <v>0.08</v>
      </c>
      <c r="AA561" s="74"/>
      <c r="AB561" s="74"/>
      <c r="AC561" s="74"/>
      <c r="AD561" s="74">
        <f>коэффициенты!$H$19</f>
        <v>0.01</v>
      </c>
      <c r="AE561" s="74"/>
      <c r="AF561" s="74">
        <f>коэффициенты!$H$21</f>
        <v>0.01</v>
      </c>
      <c r="AG561" s="74"/>
      <c r="AH561" s="74"/>
      <c r="AI561" s="73">
        <f>SUM(наценкад5[[#This Row],[еврокухня]:[большая площадь]])*наценкад5[[#This Row],[Цена м2 с базовым K]]+наценкад5[[#This Row],[Цена м2 с базовым K]]</f>
        <v>98113.68</v>
      </c>
      <c r="AJ561" s="72">
        <f>VLOOKUP(наценкад5[[#This Row],[№]],ППД5[],COLUMN(ППД5[[#This Row],[утв цена м2]]),0)</f>
        <v>154508.35</v>
      </c>
      <c r="AK561" s="3">
        <f>наценкад5[[#This Row],[утв цена м2]]*наценкад5[[#This Row],[Расчетная проектная площадь]]</f>
        <v>3785454.5750000002</v>
      </c>
      <c r="AL561" s="22" t="str">
        <f>VLOOKUP(наценкад5[[#This Row],[№]],ППД5[],COLUMN('Реестр ОН'!$DF$1),0)</f>
        <v>Свободно</v>
      </c>
    </row>
    <row r="562" spans="1:38" hidden="1" x14ac:dyDescent="0.25">
      <c r="A562" s="101">
        <v>560</v>
      </c>
      <c r="B562" s="2" t="str">
        <f>_xlfn.XLOOKUP(наценкад5[[#This Row],[№]],ППД5[№],ППД5[Секция],"-",0)</f>
        <v>Г</v>
      </c>
      <c r="C562" s="2">
        <f>_xlfn.XLOOKUP(наценкад5[[#This Row],[№]],ППД5[№],ППД5[Этаж],"-",0)</f>
        <v>22</v>
      </c>
      <c r="D562" s="2">
        <f>_xlfn.XLOOKUP(наценкад5[[#This Row],[№]],ППД5[№],ППД5[№ на этаже],"-",0)</f>
        <v>4</v>
      </c>
      <c r="E562" s="2">
        <f>_xlfn.XLOOKUP(наценкад5[[#This Row],[№]],ППД5[№],ППД5[Тип кв],"-",0)</f>
        <v>2</v>
      </c>
      <c r="F562" s="72">
        <f>_xlfn.XLOOKUP(наценкад5[[#This Row],[№]],ППД5[№],ППД5[Кухня],"-",0)</f>
        <v>15.86</v>
      </c>
      <c r="G562" s="72">
        <f>_xlfn.XLOOKUP(наценкад5[[#This Row],[№]],ППД5[№],ППД5[Ванная],"-",0)</f>
        <v>3.01</v>
      </c>
      <c r="H562" s="72">
        <f>_xlfn.XLOOKUP(наценкад5[[#This Row],[№]],ППД5[№],ППД5[Гардеробная],"-",0)</f>
        <v>0</v>
      </c>
      <c r="I562" s="72">
        <f>_xlfn.XLOOKUP(наценкад5[[#This Row],[№]],ППД5[№],ППД5[Лоджия 2],"-",0)</f>
        <v>0</v>
      </c>
      <c r="J562" s="72">
        <f>_xlfn.XLOOKUP(наценкад5[[#This Row],[№]],ППД5[№],ППД5[С\У],"-",0)</f>
        <v>2.67</v>
      </c>
      <c r="K562" s="72">
        <f>_xlfn.XLOOKUP(наценкад5[[#This Row],[№]],ППД5[№],ППД5[Расчетная проектная площадь],"-",0)</f>
        <v>58.24</v>
      </c>
      <c r="L562" s="12">
        <f t="shared" si="8"/>
        <v>63000</v>
      </c>
      <c r="M562" s="102">
        <f>коэффициенты!$F$2</f>
        <v>1.2257</v>
      </c>
      <c r="N562" s="13">
        <f>наценкад5[[#This Row],[Цена м2 базовая]]*наценкад5[[#This Row],[Базовой K]]</f>
        <v>77219.100000000006</v>
      </c>
      <c r="O562" s="76">
        <f>коэффициенты!$F$4</f>
        <v>1.4999999999999999E-2</v>
      </c>
      <c r="P562" s="74"/>
      <c r="Q562" s="76"/>
      <c r="R562" s="76">
        <f>коэффициенты!$F$10</f>
        <v>0</v>
      </c>
      <c r="S562" s="76">
        <f>коэффициенты!$F$9</f>
        <v>0</v>
      </c>
      <c r="T562" s="74"/>
      <c r="U562" s="74"/>
      <c r="V562" s="74"/>
      <c r="W562" s="74"/>
      <c r="X562" s="74"/>
      <c r="Y562" s="75"/>
      <c r="Z562" s="76">
        <f>коэффициенты!$F$16</f>
        <v>0.08</v>
      </c>
      <c r="AA562" s="74"/>
      <c r="AB562" s="74"/>
      <c r="AC562" s="74"/>
      <c r="AD562" s="74">
        <f>коэффициенты!$F$19</f>
        <v>5.0000000000000001E-3</v>
      </c>
      <c r="AE562" s="74"/>
      <c r="AF562" s="74">
        <f>коэффициенты!$F$21</f>
        <v>0.01</v>
      </c>
      <c r="AG562" s="74"/>
      <c r="AH562" s="74"/>
      <c r="AI562" s="73">
        <f>SUM(наценкад5[[#This Row],[еврокухня]:[большая площадь]])*наценкад5[[#This Row],[Цена м2 с базовым K]]+наценкад5[[#This Row],[Цена м2 с базовым K]]</f>
        <v>85713.201000000001</v>
      </c>
      <c r="AJ562" s="72">
        <f>VLOOKUP(наценкад5[[#This Row],[№]],ППД5[],COLUMN(ППД5[[#This Row],[утв цена м2]]),0)</f>
        <v>130649.18</v>
      </c>
      <c r="AK562" s="3">
        <f>наценкад5[[#This Row],[утв цена м2]]*наценкад5[[#This Row],[Расчетная проектная площадь]]</f>
        <v>7609008.2431999994</v>
      </c>
      <c r="AL562" s="22" t="str">
        <f>VLOOKUP(наценкад5[[#This Row],[№]],ППД5[],COLUMN('Реестр ОН'!$DF$1),0)</f>
        <v>Свободно</v>
      </c>
    </row>
    <row r="563" spans="1:38" hidden="1" x14ac:dyDescent="0.25">
      <c r="A563" s="101">
        <v>561</v>
      </c>
      <c r="B563" s="2" t="str">
        <f>_xlfn.XLOOKUP(наценкад5[[#This Row],[№]],ППД5[№],ППД5[Секция],"-",0)</f>
        <v>Г</v>
      </c>
      <c r="C563" s="2">
        <f>_xlfn.XLOOKUP(наценкад5[[#This Row],[№]],ППД5[№],ППД5[Этаж],"-",0)</f>
        <v>22</v>
      </c>
      <c r="D563" s="2">
        <f>_xlfn.XLOOKUP(наценкад5[[#This Row],[№]],ППД5[№],ППД5[№ на этаже],"-",0)</f>
        <v>5</v>
      </c>
      <c r="E563" s="2">
        <f>_xlfn.XLOOKUP(наценкад5[[#This Row],[№]],ППД5[№],ППД5[Тип кв],"-",0)</f>
        <v>2</v>
      </c>
      <c r="F563" s="72">
        <f>_xlfn.XLOOKUP(наценкад5[[#This Row],[№]],ППД5[№],ППД5[Кухня],"-",0)</f>
        <v>13.45</v>
      </c>
      <c r="G563" s="72">
        <f>_xlfn.XLOOKUP(наценкад5[[#This Row],[№]],ППД5[№],ППД5[Ванная],"-",0)</f>
        <v>3.7</v>
      </c>
      <c r="H563" s="72">
        <f>_xlfn.XLOOKUP(наценкад5[[#This Row],[№]],ППД5[№],ППД5[Гардеробная],"-",0)</f>
        <v>0</v>
      </c>
      <c r="I563" s="72">
        <f>_xlfn.XLOOKUP(наценкад5[[#This Row],[№]],ППД5[№],ППД5[Лоджия 2],"-",0)</f>
        <v>0</v>
      </c>
      <c r="J563" s="72">
        <f>_xlfn.XLOOKUP(наценкад5[[#This Row],[№]],ППД5[№],ППД5[С\У],"-",0)</f>
        <v>2.72</v>
      </c>
      <c r="K563" s="72">
        <f>_xlfn.XLOOKUP(наценкад5[[#This Row],[№]],ППД5[№],ППД5[Расчетная проектная площадь],"-",0)</f>
        <v>57.8</v>
      </c>
      <c r="L563" s="12">
        <f t="shared" si="8"/>
        <v>63000</v>
      </c>
      <c r="M563" s="102">
        <f>коэффициенты!$F$2</f>
        <v>1.2257</v>
      </c>
      <c r="N563" s="13">
        <f>наценкад5[[#This Row],[Цена м2 базовая]]*наценкад5[[#This Row],[Базовой K]]</f>
        <v>77219.100000000006</v>
      </c>
      <c r="O563" s="74"/>
      <c r="P563" s="74">
        <f>коэффициенты!$F$5</f>
        <v>0.01</v>
      </c>
      <c r="Q563" s="76"/>
      <c r="R563" s="76"/>
      <c r="S563" s="76">
        <f>коэффициенты!$F$9</f>
        <v>0</v>
      </c>
      <c r="T563" s="74"/>
      <c r="U563" s="74"/>
      <c r="V563" s="74"/>
      <c r="W563" s="75"/>
      <c r="X563" s="74"/>
      <c r="Y563" s="75"/>
      <c r="Z563" s="76">
        <f>коэффициенты!$F$16</f>
        <v>0.08</v>
      </c>
      <c r="AA563" s="74"/>
      <c r="AB563" s="74"/>
      <c r="AC563" s="74"/>
      <c r="AD563" s="74">
        <f>коэффициенты!$F$19</f>
        <v>5.0000000000000001E-3</v>
      </c>
      <c r="AE563" s="74"/>
      <c r="AF563" s="74">
        <f>коэффициенты!$F$21</f>
        <v>0.01</v>
      </c>
      <c r="AG563" s="74"/>
      <c r="AH563" s="74"/>
      <c r="AI563" s="73">
        <f>SUM(наценкад5[[#This Row],[еврокухня]:[большая площадь]])*наценкад5[[#This Row],[Цена м2 с базовым K]]+наценкад5[[#This Row],[Цена м2 с базовым K]]</f>
        <v>85327.105500000005</v>
      </c>
      <c r="AJ563" s="72">
        <f>VLOOKUP(наценкад5[[#This Row],[№]],ППД5[],COLUMN(ППД5[[#This Row],[утв цена м2]]),0)</f>
        <v>130683.68</v>
      </c>
      <c r="AK563" s="3">
        <f>наценкад5[[#This Row],[утв цена м2]]*наценкад5[[#This Row],[Расчетная проектная площадь]]</f>
        <v>7553516.703999999</v>
      </c>
      <c r="AL563" s="22" t="str">
        <f>VLOOKUP(наценкад5[[#This Row],[№]],ППД5[],COLUMN('Реестр ОН'!$DF$1),0)</f>
        <v>Свободно</v>
      </c>
    </row>
    <row r="564" spans="1:38" hidden="1" x14ac:dyDescent="0.25">
      <c r="A564" s="101">
        <v>562</v>
      </c>
      <c r="B564" s="2" t="str">
        <f>_xlfn.XLOOKUP(наценкад5[[#This Row],[№]],ППД5[№],ППД5[Секция],"-",0)</f>
        <v>Г</v>
      </c>
      <c r="C564" s="2">
        <f>_xlfn.XLOOKUP(наценкад5[[#This Row],[№]],ППД5[№],ППД5[Этаж],"-",0)</f>
        <v>22</v>
      </c>
      <c r="D564" s="2">
        <f>_xlfn.XLOOKUP(наценкад5[[#This Row],[№]],ППД5[№],ППД5[№ на этаже],"-",0)</f>
        <v>6</v>
      </c>
      <c r="E564" s="2">
        <f>_xlfn.XLOOKUP(наценкад5[[#This Row],[№]],ППД5[№],ППД5[Тип кв],"-",0)</f>
        <v>1</v>
      </c>
      <c r="F564" s="72">
        <f>_xlfn.XLOOKUP(наценкад5[[#This Row],[№]],ППД5[№],ППД5[Кухня],"-",0)</f>
        <v>12.55</v>
      </c>
      <c r="G564" s="72">
        <f>_xlfn.XLOOKUP(наценкад5[[#This Row],[№]],ППД5[№],ППД5[Ванная],"-",0)</f>
        <v>4.28</v>
      </c>
      <c r="H564" s="72">
        <f>_xlfn.XLOOKUP(наценкад5[[#This Row],[№]],ППД5[№],ППД5[Гардеробная],"-",0)</f>
        <v>0</v>
      </c>
      <c r="I564" s="72">
        <f>_xlfn.XLOOKUP(наценкад5[[#This Row],[№]],ППД5[№],ППД5[Лоджия 2],"-",0)</f>
        <v>0</v>
      </c>
      <c r="J564" s="72">
        <f>_xlfn.XLOOKUP(наценкад5[[#This Row],[№]],ППД5[№],ППД5[С\У],"-",0)</f>
        <v>0</v>
      </c>
      <c r="K564" s="72">
        <f>_xlfn.XLOOKUP(наценкад5[[#This Row],[№]],ППД5[№],ППД5[Расчетная проектная площадь],"-",0)</f>
        <v>38.299999999999997</v>
      </c>
      <c r="L564" s="12">
        <f t="shared" si="8"/>
        <v>63000</v>
      </c>
      <c r="M564" s="102">
        <f>коэффициенты!$G$2</f>
        <v>1.2875000000000001</v>
      </c>
      <c r="N564" s="13">
        <f>наценкад5[[#This Row],[Цена м2 базовая]]*наценкад5[[#This Row],[Базовой K]]</f>
        <v>81112.5</v>
      </c>
      <c r="O564" s="74"/>
      <c r="P564" s="76">
        <f>коэффициенты!$G$5</f>
        <v>0.01</v>
      </c>
      <c r="Q564" s="74">
        <f>коэффициенты!$G$6</f>
        <v>0.03</v>
      </c>
      <c r="R564" s="74"/>
      <c r="S564" s="74"/>
      <c r="T564" s="74"/>
      <c r="U564" s="74"/>
      <c r="V564" s="74">
        <f>коэффициенты!$G$11</f>
        <v>0.01</v>
      </c>
      <c r="W564" s="75"/>
      <c r="X564" s="74">
        <f>коэффициенты!$G$13</f>
        <v>0.01</v>
      </c>
      <c r="Y564" s="75"/>
      <c r="Z564" s="76">
        <f>коэффициенты!$G$16</f>
        <v>0.08</v>
      </c>
      <c r="AA564" s="74"/>
      <c r="AB564" s="74"/>
      <c r="AC564" s="74"/>
      <c r="AD564" s="74">
        <f>коэффициенты!$G$19</f>
        <v>0.01</v>
      </c>
      <c r="AE564" s="74"/>
      <c r="AF564" s="74">
        <f>коэффициенты!$G$21</f>
        <v>0.01</v>
      </c>
      <c r="AG564" s="74"/>
      <c r="AH564" s="74"/>
      <c r="AI564" s="73">
        <f>SUM(наценкад5[[#This Row],[еврокухня]:[большая площадь]])*наценкад5[[#This Row],[Цена м2 с базовым K]]+наценкад5[[#This Row],[Цена м2 с базовым K]]</f>
        <v>94090.5</v>
      </c>
      <c r="AJ564" s="72">
        <f>VLOOKUP(наценкад5[[#This Row],[№]],ППД5[],COLUMN(ППД5[[#This Row],[утв цена м2]]),0)</f>
        <v>148461.03</v>
      </c>
      <c r="AK564" s="3">
        <f>наценкад5[[#This Row],[утв цена м2]]*наценкад5[[#This Row],[Расчетная проектная площадь]]</f>
        <v>5686057.4489999991</v>
      </c>
      <c r="AL564" s="22" t="str">
        <f>VLOOKUP(наценкад5[[#This Row],[№]],ППД5[],COLUMN('Реестр ОН'!$DF$1),0)</f>
        <v>Свободно</v>
      </c>
    </row>
    <row r="565" spans="1:38" hidden="1" x14ac:dyDescent="0.25">
      <c r="A565" s="101">
        <v>563</v>
      </c>
      <c r="B565" s="2" t="str">
        <f>_xlfn.XLOOKUP(наценкад5[[#This Row],[№]],ППД5[№],ППД5[Секция],"-",0)</f>
        <v>Г</v>
      </c>
      <c r="C565" s="2">
        <f>_xlfn.XLOOKUP(наценкад5[[#This Row],[№]],ППД5[№],ППД5[Этаж],"-",0)</f>
        <v>22</v>
      </c>
      <c r="D565" s="2">
        <f>_xlfn.XLOOKUP(наценкад5[[#This Row],[№]],ППД5[№],ППД5[№ на этаже],"-",0)</f>
        <v>7</v>
      </c>
      <c r="E565" s="2">
        <f>_xlfn.XLOOKUP(наценкад5[[#This Row],[№]],ППД5[№],ППД5[Тип кв],"-",0)</f>
        <v>3</v>
      </c>
      <c r="F565" s="72">
        <f>_xlfn.XLOOKUP(наценкад5[[#This Row],[№]],ППД5[№],ППД5[Кухня],"-",0)</f>
        <v>16.670000000000002</v>
      </c>
      <c r="G565" s="72">
        <f>_xlfn.XLOOKUP(наценкад5[[#This Row],[№]],ППД5[№],ППД5[Ванная],"-",0)</f>
        <v>4.1399999999999997</v>
      </c>
      <c r="H565" s="72">
        <f>_xlfn.XLOOKUP(наценкад5[[#This Row],[№]],ППД5[№],ППД5[Гардеробная],"-",0)</f>
        <v>0</v>
      </c>
      <c r="I565" s="72">
        <f>_xlfn.XLOOKUP(наценкад5[[#This Row],[№]],ППД5[№],ППД5[Лоджия 2],"-",0)</f>
        <v>2.79</v>
      </c>
      <c r="J565" s="72">
        <f>_xlfn.XLOOKUP(наценкад5[[#This Row],[№]],ППД5[№],ППД5[С\У],"-",0)</f>
        <v>1.89</v>
      </c>
      <c r="K565" s="72">
        <f>_xlfn.XLOOKUP(наценкад5[[#This Row],[№]],ППД5[№],ППД5[Расчетная проектная площадь],"-",0)</f>
        <v>79.44</v>
      </c>
      <c r="L565" s="12">
        <f t="shared" si="8"/>
        <v>63000</v>
      </c>
      <c r="M565" s="27">
        <f>коэффициенты!$E$2</f>
        <v>1.1330000000000002</v>
      </c>
      <c r="N565" s="13">
        <f>наценкад5[[#This Row],[Цена м2 базовая]]*наценкад5[[#This Row],[Базовой K]]</f>
        <v>71379.000000000015</v>
      </c>
      <c r="O565" s="74">
        <f>коэффициенты!$E$4</f>
        <v>0.03</v>
      </c>
      <c r="P565" s="74"/>
      <c r="Q565" s="74">
        <f>коэффициенты!$E$6</f>
        <v>0.01</v>
      </c>
      <c r="R565" s="74"/>
      <c r="S565" s="74">
        <f>коэффициенты!$E$9</f>
        <v>0</v>
      </c>
      <c r="T565" s="74">
        <f>коэффициенты!$E$7</f>
        <v>0</v>
      </c>
      <c r="U565" s="74">
        <f>коэффициенты!$E$8</f>
        <v>0.01</v>
      </c>
      <c r="V565" s="74"/>
      <c r="W565" s="75"/>
      <c r="X565" s="74"/>
      <c r="Y565" s="75"/>
      <c r="Z565" s="76">
        <f>коэффициенты!$A$16</f>
        <v>0.08</v>
      </c>
      <c r="AA565" s="74">
        <f>коэффициенты!$E$14</f>
        <v>0</v>
      </c>
      <c r="AB565" s="74"/>
      <c r="AC565" s="74">
        <f>коэффициенты!$E$18</f>
        <v>0.01</v>
      </c>
      <c r="AD565" s="74"/>
      <c r="AE565" s="74"/>
      <c r="AF565" s="74">
        <f>коэффициенты!$E$21</f>
        <v>0.01</v>
      </c>
      <c r="AG565" s="74"/>
      <c r="AH565" s="74"/>
      <c r="AI565" s="73">
        <f>SUM(наценкад5[[#This Row],[еврокухня]:[большая площадь]])*наценкад5[[#This Row],[Цена м2 с базовым K]]+наценкад5[[#This Row],[Цена м2 с базовым K]]</f>
        <v>82085.85000000002</v>
      </c>
      <c r="AJ565" s="72">
        <f>VLOOKUP(наценкад5[[#This Row],[№]],ППД5[],COLUMN(ППД5[[#This Row],[утв цена м2]]),0)</f>
        <v>130244.44</v>
      </c>
      <c r="AK565" s="3">
        <f>наценкад5[[#This Row],[утв цена м2]]*наценкад5[[#This Row],[Расчетная проектная площадь]]</f>
        <v>10346618.3136</v>
      </c>
      <c r="AL565" s="22" t="str">
        <f>VLOOKUP(наценкад5[[#This Row],[№]],ППД5[],COLUMN('Реестр ОН'!$DF$1),0)</f>
        <v>Свободно</v>
      </c>
    </row>
    <row r="566" spans="1:38" s="270" customFormat="1" hidden="1" x14ac:dyDescent="0.25">
      <c r="A566" s="259">
        <v>564</v>
      </c>
      <c r="B566" s="260" t="str">
        <f>_xlfn.XLOOKUP(наценкад5[[#This Row],[№]],ППД5[№],ППД5[Секция],"-",0)</f>
        <v>Г</v>
      </c>
      <c r="C566" s="260">
        <f>_xlfn.XLOOKUP(наценкад5[[#This Row],[№]],ППД5[№],ППД5[Этаж],"-",0)</f>
        <v>22</v>
      </c>
      <c r="D566" s="260">
        <f>_xlfn.XLOOKUP(наценкад5[[#This Row],[№]],ППД5[№],ППД5[№ на этаже],"-",0)</f>
        <v>8</v>
      </c>
      <c r="E566" s="260">
        <f>_xlfn.XLOOKUP(наценкад5[[#This Row],[№]],ППД5[№],ППД5[Тип кв],"-",0)</f>
        <v>1</v>
      </c>
      <c r="F566" s="261">
        <f>_xlfn.XLOOKUP(наценкад5[[#This Row],[№]],ППД5[№],ППД5[Кухня],"-",0)</f>
        <v>11.43</v>
      </c>
      <c r="G566" s="261">
        <f>_xlfn.XLOOKUP(наценкад5[[#This Row],[№]],ППД5[№],ППД5[Ванная],"-",0)</f>
        <v>3.56</v>
      </c>
      <c r="H566" s="261">
        <f>_xlfn.XLOOKUP(наценкад5[[#This Row],[№]],ППД5[№],ППД5[Гардеробная],"-",0)</f>
        <v>0</v>
      </c>
      <c r="I566" s="261">
        <f>_xlfn.XLOOKUP(наценкад5[[#This Row],[№]],ППД5[№],ППД5[Лоджия 2],"-",0)</f>
        <v>0</v>
      </c>
      <c r="J566" s="261">
        <f>_xlfn.XLOOKUP(наценкад5[[#This Row],[№]],ППД5[№],ППД5[С\У],"-",0)</f>
        <v>0</v>
      </c>
      <c r="K566" s="261">
        <f>_xlfn.XLOOKUP(наценкад5[[#This Row],[№]],ППД5[№],ППД5[Расчетная проектная площадь],"-",0)</f>
        <v>39.69</v>
      </c>
      <c r="L566" s="262">
        <f t="shared" si="8"/>
        <v>63000</v>
      </c>
      <c r="M566" s="263">
        <f>коэффициенты!$G$2</f>
        <v>1.2875000000000001</v>
      </c>
      <c r="N566" s="264">
        <f>наценкад5[[#This Row],[Цена м2 базовая]]*наценкад5[[#This Row],[Базовой K]]</f>
        <v>81112.5</v>
      </c>
      <c r="O566" s="265"/>
      <c r="P566" s="265">
        <f>коэффициенты!$G$5</f>
        <v>0.01</v>
      </c>
      <c r="Q566" s="265"/>
      <c r="R566" s="265"/>
      <c r="S566" s="265"/>
      <c r="T566" s="265"/>
      <c r="U566" s="265"/>
      <c r="V566" s="265">
        <f>коэффициенты!$G$11</f>
        <v>0.01</v>
      </c>
      <c r="W566" s="266"/>
      <c r="X566" s="265"/>
      <c r="Y566" s="266"/>
      <c r="Z566" s="265">
        <f>коэффициенты!$G$16</f>
        <v>0.08</v>
      </c>
      <c r="AA566" s="265">
        <f>коэффициенты!$G$14</f>
        <v>0.01</v>
      </c>
      <c r="AB566" s="265"/>
      <c r="AC566" s="265"/>
      <c r="AD566" s="265">
        <f>коэффициенты!$G$19</f>
        <v>0.01</v>
      </c>
      <c r="AE566" s="265"/>
      <c r="AF566" s="265">
        <f>коэффициенты!$G$21</f>
        <v>0.01</v>
      </c>
      <c r="AG566" s="265">
        <f>коэффициенты!$A$24</f>
        <v>-5.0000000000000001E-3</v>
      </c>
      <c r="AH566" s="265"/>
      <c r="AI566" s="267">
        <f>SUM(наценкад5[[#This Row],[еврокухня]:[большая площадь]])*наценкад5[[#This Row],[Цена м2 с базовым K]]+наценкад5[[#This Row],[Цена м2 с базовым K]]</f>
        <v>91251.5625</v>
      </c>
      <c r="AJ566" s="261">
        <f>VLOOKUP(наценкад5[[#This Row],[№]],ППД5[],COLUMN(ППД5[[#This Row],[утв цена м2]]),0)</f>
        <v>143899.72</v>
      </c>
      <c r="AK566" s="268">
        <f>наценкад5[[#This Row],[утв цена м2]]*наценкад5[[#This Row],[Расчетная проектная площадь]]</f>
        <v>5711379.8867999995</v>
      </c>
      <c r="AL566" s="269" t="str">
        <f>VLOOKUP(наценкад5[[#This Row],[№]],ППД5[],COLUMN('Реестр ОН'!$DF$1),0)</f>
        <v>Свободно</v>
      </c>
    </row>
    <row r="567" spans="1:38" hidden="1" x14ac:dyDescent="0.25">
      <c r="A567" s="101">
        <v>565</v>
      </c>
      <c r="B567" s="2" t="str">
        <f>_xlfn.XLOOKUP(наценкад5[[#This Row],[№]],ППД5[№],ППД5[Секция],"-",0)</f>
        <v>Г</v>
      </c>
      <c r="C567" s="2">
        <f>_xlfn.XLOOKUP(наценкад5[[#This Row],[№]],ППД5[№],ППД5[Этаж],"-",0)</f>
        <v>23</v>
      </c>
      <c r="D567" s="2">
        <f>_xlfn.XLOOKUP(наценкад5[[#This Row],[№]],ППД5[№],ППД5[№ на этаже],"-",0)</f>
        <v>1</v>
      </c>
      <c r="E567" s="2">
        <f>_xlfn.XLOOKUP(наценкад5[[#This Row],[№]],ППД5[№],ППД5[Тип кв],"-",0)</f>
        <v>0</v>
      </c>
      <c r="F567" s="72">
        <f>_xlfn.XLOOKUP(наценкад5[[#This Row],[№]],ППД5[№],ППД5[Кухня],"-",0)</f>
        <v>5.84</v>
      </c>
      <c r="G567" s="72">
        <f>_xlfn.XLOOKUP(наценкад5[[#This Row],[№]],ППД5[№],ППД5[Ванная],"-",0)</f>
        <v>3.76</v>
      </c>
      <c r="H567" s="72">
        <f>_xlfn.XLOOKUP(наценкад5[[#This Row],[№]],ППД5[№],ППД5[Гардеробная],"-",0)</f>
        <v>0</v>
      </c>
      <c r="I567" s="72">
        <f>_xlfn.XLOOKUP(наценкад5[[#This Row],[№]],ППД5[№],ППД5[Лоджия 2],"-",0)</f>
        <v>0</v>
      </c>
      <c r="J567" s="72">
        <f>_xlfn.XLOOKUP(наценкад5[[#This Row],[№]],ППД5[№],ППД5[С\У],"-",0)</f>
        <v>0</v>
      </c>
      <c r="K567" s="72">
        <f>_xlfn.XLOOKUP(наценкад5[[#This Row],[№]],ППД5[№],ППД5[Расчетная проектная площадь],"-",0)</f>
        <v>29.4</v>
      </c>
      <c r="L567" s="12">
        <f t="shared" si="8"/>
        <v>63000</v>
      </c>
      <c r="M567" s="116">
        <f>коэффициенты!$H$2</f>
        <v>1.3905000000000001</v>
      </c>
      <c r="N567" s="13">
        <f>наценкад5[[#This Row],[Цена м2 базовая]]*наценкад5[[#This Row],[Базовой K]]</f>
        <v>87601.5</v>
      </c>
      <c r="O567" s="74"/>
      <c r="P567" s="74"/>
      <c r="Q567" s="74"/>
      <c r="R567" s="74"/>
      <c r="S567" s="74"/>
      <c r="T567" s="74"/>
      <c r="U567" s="74"/>
      <c r="V567" s="74"/>
      <c r="W567" s="75"/>
      <c r="X567" s="74"/>
      <c r="Y567" s="75"/>
      <c r="Z567" s="76">
        <f>коэффициенты!$H$16</f>
        <v>0.08</v>
      </c>
      <c r="AA567" s="74"/>
      <c r="AB567" s="74"/>
      <c r="AC567" s="74"/>
      <c r="AD567" s="74">
        <f>коэффициенты!$H$19</f>
        <v>0.01</v>
      </c>
      <c r="AE567" s="74"/>
      <c r="AF567" s="74">
        <f>коэффициенты!$H$21</f>
        <v>0.01</v>
      </c>
      <c r="AG567" s="74"/>
      <c r="AH567" s="74"/>
      <c r="AI567" s="73">
        <f>SUM(наценкад5[[#This Row],[еврокухня]:[большая площадь]])*наценкад5[[#This Row],[Цена м2 с базовым K]]+наценкад5[[#This Row],[Цена м2 с базовым K]]</f>
        <v>96361.65</v>
      </c>
      <c r="AJ567" s="72">
        <f>VLOOKUP(наценкад5[[#This Row],[№]],ППД5[],COLUMN(ППД5[[#This Row],[утв цена м2]]),0)</f>
        <v>104215.12</v>
      </c>
      <c r="AK567" s="3">
        <f>наценкад5[[#This Row],[утв цена м2]]*наценкад5[[#This Row],[Расчетная проектная площадь]]</f>
        <v>3063924.5279999999</v>
      </c>
      <c r="AL567" s="22" t="str">
        <f>VLOOKUP(наценкад5[[#This Row],[№]],ППД5[],COLUMN('Реестр ОН'!$DF$1),0)</f>
        <v>Продажа</v>
      </c>
    </row>
    <row r="568" spans="1:38" hidden="1" x14ac:dyDescent="0.25">
      <c r="A568" s="101">
        <v>566</v>
      </c>
      <c r="B568" s="2" t="str">
        <f>_xlfn.XLOOKUP(наценкад5[[#This Row],[№]],ППД5[№],ППД5[Секция],"-",0)</f>
        <v>Г</v>
      </c>
      <c r="C568" s="2">
        <f>_xlfn.XLOOKUP(наценкад5[[#This Row],[№]],ППД5[№],ППД5[Этаж],"-",0)</f>
        <v>23</v>
      </c>
      <c r="D568" s="2">
        <f>_xlfn.XLOOKUP(наценкад5[[#This Row],[№]],ППД5[№],ППД5[№ на этаже],"-",0)</f>
        <v>2</v>
      </c>
      <c r="E568" s="2">
        <f>_xlfn.XLOOKUP(наценкад5[[#This Row],[№]],ППД5[№],ППД5[Тип кв],"-",0)</f>
        <v>1</v>
      </c>
      <c r="F568" s="72">
        <f>_xlfn.XLOOKUP(наценкад5[[#This Row],[№]],ППД5[№],ППД5[Кухня],"-",0)</f>
        <v>16.940000000000001</v>
      </c>
      <c r="G568" s="72">
        <f>_xlfn.XLOOKUP(наценкад5[[#This Row],[№]],ППД5[№],ППД5[Ванная],"-",0)</f>
        <v>3.55</v>
      </c>
      <c r="H568" s="72">
        <f>_xlfn.XLOOKUP(наценкад5[[#This Row],[№]],ППД5[№],ППД5[Гардеробная],"-",0)</f>
        <v>0</v>
      </c>
      <c r="I568" s="72">
        <f>_xlfn.XLOOKUP(наценкад5[[#This Row],[№]],ППД5[№],ППД5[Лоджия 2],"-",0)</f>
        <v>0</v>
      </c>
      <c r="J568" s="72">
        <f>_xlfn.XLOOKUP(наценкад5[[#This Row],[№]],ППД5[№],ППД5[С\У],"-",0)</f>
        <v>2.41</v>
      </c>
      <c r="K568" s="72">
        <f>_xlfn.XLOOKUP(наценкад5[[#This Row],[№]],ППД5[№],ППД5[Расчетная проектная площадь],"-",0)</f>
        <v>43.21</v>
      </c>
      <c r="L568" s="12">
        <f t="shared" si="8"/>
        <v>63000</v>
      </c>
      <c r="M568" s="102">
        <f>коэффициенты!$G$2</f>
        <v>1.2875000000000001</v>
      </c>
      <c r="N568" s="13">
        <f>наценкад5[[#This Row],[Цена м2 базовая]]*наценкад5[[#This Row],[Базовой K]]</f>
        <v>81112.5</v>
      </c>
      <c r="O568" s="76">
        <f>коэффициенты!$G$4</f>
        <v>0.02</v>
      </c>
      <c r="P568" s="74"/>
      <c r="Q568" s="74"/>
      <c r="R568" s="74">
        <f>коэффициенты!$G$10</f>
        <v>0.01</v>
      </c>
      <c r="S568" s="74">
        <f>коэффициенты!$G$9</f>
        <v>0</v>
      </c>
      <c r="T568" s="74"/>
      <c r="U568" s="74"/>
      <c r="V568" s="74"/>
      <c r="W568" s="75"/>
      <c r="X568" s="74"/>
      <c r="Y568" s="75"/>
      <c r="Z568" s="76">
        <f>коэффициенты!$G$16</f>
        <v>0.08</v>
      </c>
      <c r="AA568" s="74"/>
      <c r="AB568" s="74"/>
      <c r="AC568" s="74"/>
      <c r="AD568" s="74">
        <f>коэффициенты!$G$19</f>
        <v>0.01</v>
      </c>
      <c r="AE568" s="74"/>
      <c r="AF568" s="74">
        <f>коэффициенты!$G$21</f>
        <v>0.01</v>
      </c>
      <c r="AG568" s="74"/>
      <c r="AH568" s="74"/>
      <c r="AI568" s="73">
        <f>SUM(наценкад5[[#This Row],[еврокухня]:[большая площадь]])*наценкад5[[#This Row],[Цена м2 с базовым K]]+наценкад5[[#This Row],[Цена м2 с базовым K]]</f>
        <v>91657.125</v>
      </c>
      <c r="AJ568" s="72">
        <f>VLOOKUP(наценкад5[[#This Row],[№]],ППД5[],COLUMN(ППД5[[#This Row],[утв цена м2]]),0)</f>
        <v>145743.78</v>
      </c>
      <c r="AK568" s="3">
        <f>наценкад5[[#This Row],[утв цена м2]]*наценкад5[[#This Row],[Расчетная проектная площадь]]</f>
        <v>6297588.7338000005</v>
      </c>
      <c r="AL568" s="22" t="str">
        <f>VLOOKUP(наценкад5[[#This Row],[№]],ППД5[],COLUMN('Реестр ОН'!$DF$1),0)</f>
        <v>Свободно</v>
      </c>
    </row>
    <row r="569" spans="1:38" hidden="1" x14ac:dyDescent="0.25">
      <c r="A569" s="101">
        <v>567</v>
      </c>
      <c r="B569" s="2" t="str">
        <f>_xlfn.XLOOKUP(наценкад5[[#This Row],[№]],ППД5[№],ППД5[Секция],"-",0)</f>
        <v>Г</v>
      </c>
      <c r="C569" s="2">
        <f>_xlfn.XLOOKUP(наценкад5[[#This Row],[№]],ППД5[№],ППД5[Этаж],"-",0)</f>
        <v>23</v>
      </c>
      <c r="D569" s="2">
        <f>_xlfn.XLOOKUP(наценкад5[[#This Row],[№]],ППД5[№],ППД5[№ на этаже],"-",0)</f>
        <v>3</v>
      </c>
      <c r="E569" s="2">
        <f>_xlfn.XLOOKUP(наценкад5[[#This Row],[№]],ППД5[№],ППД5[Тип кв],"-",0)</f>
        <v>0</v>
      </c>
      <c r="F569" s="72">
        <f>_xlfn.XLOOKUP(наценкад5[[#This Row],[№]],ППД5[№],ППД5[Кухня],"-",0)</f>
        <v>5.17</v>
      </c>
      <c r="G569" s="72">
        <f>_xlfn.XLOOKUP(наценкад5[[#This Row],[№]],ППД5[№],ППД5[Ванная],"-",0)</f>
        <v>3.71</v>
      </c>
      <c r="H569" s="72">
        <f>_xlfn.XLOOKUP(наценкад5[[#This Row],[№]],ППД5[№],ППД5[Гардеробная],"-",0)</f>
        <v>0</v>
      </c>
      <c r="I569" s="72">
        <f>_xlfn.XLOOKUP(наценкад5[[#This Row],[№]],ППД5[№],ППД5[Лоджия 2],"-",0)</f>
        <v>0</v>
      </c>
      <c r="J569" s="72">
        <f>_xlfn.XLOOKUP(наценкад5[[#This Row],[№]],ППД5[№],ППД5[С\У],"-",0)</f>
        <v>0</v>
      </c>
      <c r="K569" s="72">
        <f>_xlfn.XLOOKUP(наценкад5[[#This Row],[№]],ППД5[№],ППД5[Расчетная проектная площадь],"-",0)</f>
        <v>24.5</v>
      </c>
      <c r="L569" s="12">
        <f t="shared" si="8"/>
        <v>63000</v>
      </c>
      <c r="M569" s="116">
        <f>коэффициенты!$H$2</f>
        <v>1.3905000000000001</v>
      </c>
      <c r="N569" s="13">
        <f>наценкад5[[#This Row],[Цена м2 базовая]]*наценкад5[[#This Row],[Базовой K]]</f>
        <v>87601.5</v>
      </c>
      <c r="O569" s="76"/>
      <c r="P569" s="76"/>
      <c r="Q569" s="76"/>
      <c r="R569" s="76"/>
      <c r="S569" s="76"/>
      <c r="T569" s="76"/>
      <c r="U569" s="76"/>
      <c r="V569" s="74">
        <f>коэффициенты!$H$11</f>
        <v>0.01</v>
      </c>
      <c r="W569" s="78"/>
      <c r="X569" s="74">
        <f>коэффициенты!$H$13</f>
        <v>0.01</v>
      </c>
      <c r="Y569" s="78"/>
      <c r="Z569" s="76">
        <f>коэффициенты!$H$16</f>
        <v>0.08</v>
      </c>
      <c r="AA569" s="76"/>
      <c r="AB569" s="76"/>
      <c r="AC569" s="76"/>
      <c r="AD569" s="74">
        <f>коэффициенты!$H$19</f>
        <v>0.01</v>
      </c>
      <c r="AE569" s="74"/>
      <c r="AF569" s="74">
        <f>коэффициенты!$H$21</f>
        <v>0.01</v>
      </c>
      <c r="AG569" s="76"/>
      <c r="AH569" s="76"/>
      <c r="AI569" s="73">
        <f>SUM(наценкад5[[#This Row],[еврокухня]:[большая площадь]])*наценкад5[[#This Row],[Цена м2 с базовым K]]+наценкад5[[#This Row],[Цена м2 с базовым K]]</f>
        <v>98113.68</v>
      </c>
      <c r="AJ569" s="72">
        <f>VLOOKUP(наценкад5[[#This Row],[№]],ППД5[],COLUMN(ППД5[[#This Row],[утв цена м2]]),0)</f>
        <v>127600.35</v>
      </c>
      <c r="AK569" s="3">
        <f>наценкад5[[#This Row],[утв цена м2]]*наценкад5[[#This Row],[Расчетная проектная площадь]]</f>
        <v>3126208.5750000002</v>
      </c>
      <c r="AL569" s="22" t="str">
        <f>VLOOKUP(наценкад5[[#This Row],[№]],ППД5[],COLUMN('Реестр ОН'!$DF$1),0)</f>
        <v>Продажа</v>
      </c>
    </row>
    <row r="570" spans="1:38" hidden="1" x14ac:dyDescent="0.25">
      <c r="A570" s="101">
        <v>568</v>
      </c>
      <c r="B570" s="2" t="str">
        <f>_xlfn.XLOOKUP(наценкад5[[#This Row],[№]],ППД5[№],ППД5[Секция],"-",0)</f>
        <v>Г</v>
      </c>
      <c r="C570" s="2">
        <f>_xlfn.XLOOKUP(наценкад5[[#This Row],[№]],ППД5[№],ППД5[Этаж],"-",0)</f>
        <v>23</v>
      </c>
      <c r="D570" s="2">
        <f>_xlfn.XLOOKUP(наценкад5[[#This Row],[№]],ППД5[№],ППД5[№ на этаже],"-",0)</f>
        <v>4</v>
      </c>
      <c r="E570" s="2">
        <f>_xlfn.XLOOKUP(наценкад5[[#This Row],[№]],ППД5[№],ППД5[Тип кв],"-",0)</f>
        <v>2</v>
      </c>
      <c r="F570" s="72">
        <f>_xlfn.XLOOKUP(наценкад5[[#This Row],[№]],ППД5[№],ППД5[Кухня],"-",0)</f>
        <v>15.86</v>
      </c>
      <c r="G570" s="72">
        <f>_xlfn.XLOOKUP(наценкад5[[#This Row],[№]],ППД5[№],ППД5[Ванная],"-",0)</f>
        <v>3.01</v>
      </c>
      <c r="H570" s="72">
        <f>_xlfn.XLOOKUP(наценкад5[[#This Row],[№]],ППД5[№],ППД5[Гардеробная],"-",0)</f>
        <v>0</v>
      </c>
      <c r="I570" s="72">
        <f>_xlfn.XLOOKUP(наценкад5[[#This Row],[№]],ППД5[№],ППД5[Лоджия 2],"-",0)</f>
        <v>0</v>
      </c>
      <c r="J570" s="72">
        <f>_xlfn.XLOOKUP(наценкад5[[#This Row],[№]],ППД5[№],ППД5[С\У],"-",0)</f>
        <v>2.67</v>
      </c>
      <c r="K570" s="72">
        <f>_xlfn.XLOOKUP(наценкад5[[#This Row],[№]],ППД5[№],ППД5[Расчетная проектная площадь],"-",0)</f>
        <v>58.24</v>
      </c>
      <c r="L570" s="12">
        <f t="shared" si="8"/>
        <v>63000</v>
      </c>
      <c r="M570" s="102">
        <f>коэффициенты!$F$2</f>
        <v>1.2257</v>
      </c>
      <c r="N570" s="13">
        <f>наценкад5[[#This Row],[Цена м2 базовая]]*наценкад5[[#This Row],[Базовой K]]</f>
        <v>77219.100000000006</v>
      </c>
      <c r="O570" s="76">
        <f>коэффициенты!$F$4</f>
        <v>1.4999999999999999E-2</v>
      </c>
      <c r="P570" s="74"/>
      <c r="Q570" s="76"/>
      <c r="R570" s="76">
        <f>коэффициенты!$F$10</f>
        <v>0</v>
      </c>
      <c r="S570" s="76">
        <f>коэффициенты!$F$9</f>
        <v>0</v>
      </c>
      <c r="T570" s="74"/>
      <c r="U570" s="74"/>
      <c r="V570" s="74"/>
      <c r="W570" s="75"/>
      <c r="X570" s="74"/>
      <c r="Y570" s="75"/>
      <c r="Z570" s="76">
        <f>коэффициенты!$F$16</f>
        <v>0.08</v>
      </c>
      <c r="AA570" s="74"/>
      <c r="AB570" s="74"/>
      <c r="AC570" s="74"/>
      <c r="AD570" s="74">
        <f>коэффициенты!$F$19</f>
        <v>5.0000000000000001E-3</v>
      </c>
      <c r="AE570" s="74"/>
      <c r="AF570" s="74">
        <f>коэффициенты!$F$21</f>
        <v>0.01</v>
      </c>
      <c r="AG570" s="74"/>
      <c r="AH570" s="74"/>
      <c r="AI570" s="73">
        <f>SUM(наценкад5[[#This Row],[еврокухня]:[большая площадь]])*наценкад5[[#This Row],[Цена м2 с базовым K]]+наценкад5[[#This Row],[Цена м2 с базовым K]]</f>
        <v>85713.201000000001</v>
      </c>
      <c r="AJ570" s="72">
        <f>VLOOKUP(наценкад5[[#This Row],[№]],ППД5[],COLUMN(ППД5[[#This Row],[утв цена м2]]),0)</f>
        <v>92698.83</v>
      </c>
      <c r="AK570" s="3">
        <f>наценкад5[[#This Row],[утв цена м2]]*наценкад5[[#This Row],[Расчетная проектная площадь]]</f>
        <v>5398779.8591999998</v>
      </c>
      <c r="AL570" s="22" t="str">
        <f>VLOOKUP(наценкад5[[#This Row],[№]],ППД5[],COLUMN('Реестр ОН'!$DF$1),0)</f>
        <v>Продажа</v>
      </c>
    </row>
    <row r="571" spans="1:38" hidden="1" x14ac:dyDescent="0.25">
      <c r="A571" s="101">
        <v>569</v>
      </c>
      <c r="B571" s="2" t="str">
        <f>_xlfn.XLOOKUP(наценкад5[[#This Row],[№]],ППД5[№],ППД5[Секция],"-",0)</f>
        <v>Г</v>
      </c>
      <c r="C571" s="2">
        <f>_xlfn.XLOOKUP(наценкад5[[#This Row],[№]],ППД5[№],ППД5[Этаж],"-",0)</f>
        <v>23</v>
      </c>
      <c r="D571" s="2">
        <f>_xlfn.XLOOKUP(наценкад5[[#This Row],[№]],ППД5[№],ППД5[№ на этаже],"-",0)</f>
        <v>5</v>
      </c>
      <c r="E571" s="2">
        <f>_xlfn.XLOOKUP(наценкад5[[#This Row],[№]],ППД5[№],ППД5[Тип кв],"-",0)</f>
        <v>2</v>
      </c>
      <c r="F571" s="72">
        <f>_xlfn.XLOOKUP(наценкад5[[#This Row],[№]],ППД5[№],ППД5[Кухня],"-",0)</f>
        <v>13.45</v>
      </c>
      <c r="G571" s="72">
        <f>_xlfn.XLOOKUP(наценкад5[[#This Row],[№]],ППД5[№],ППД5[Ванная],"-",0)</f>
        <v>3.7</v>
      </c>
      <c r="H571" s="72">
        <f>_xlfn.XLOOKUP(наценкад5[[#This Row],[№]],ППД5[№],ППД5[Гардеробная],"-",0)</f>
        <v>0</v>
      </c>
      <c r="I571" s="72">
        <f>_xlfn.XLOOKUP(наценкад5[[#This Row],[№]],ППД5[№],ППД5[Лоджия 2],"-",0)</f>
        <v>0</v>
      </c>
      <c r="J571" s="72">
        <f>_xlfn.XLOOKUP(наценкад5[[#This Row],[№]],ППД5[№],ППД5[С\У],"-",0)</f>
        <v>2.72</v>
      </c>
      <c r="K571" s="72">
        <f>_xlfn.XLOOKUP(наценкад5[[#This Row],[№]],ППД5[№],ППД5[Расчетная проектная площадь],"-",0)</f>
        <v>57.8</v>
      </c>
      <c r="L571" s="12">
        <f t="shared" si="8"/>
        <v>63000</v>
      </c>
      <c r="M571" s="102">
        <f>коэффициенты!$F$2</f>
        <v>1.2257</v>
      </c>
      <c r="N571" s="13">
        <f>наценкад5[[#This Row],[Цена м2 базовая]]*наценкад5[[#This Row],[Базовой K]]</f>
        <v>77219.100000000006</v>
      </c>
      <c r="O571" s="74"/>
      <c r="P571" s="74">
        <f>коэффициенты!$F$5</f>
        <v>0.01</v>
      </c>
      <c r="Q571" s="76"/>
      <c r="R571" s="76"/>
      <c r="S571" s="76">
        <f>коэффициенты!$F$9</f>
        <v>0</v>
      </c>
      <c r="T571" s="74"/>
      <c r="U571" s="74"/>
      <c r="V571" s="74"/>
      <c r="W571" s="75"/>
      <c r="X571" s="74"/>
      <c r="Y571" s="75"/>
      <c r="Z571" s="76">
        <f>коэффициенты!$F$16</f>
        <v>0.08</v>
      </c>
      <c r="AA571" s="74"/>
      <c r="AB571" s="74"/>
      <c r="AC571" s="74"/>
      <c r="AD571" s="74">
        <f>коэффициенты!$F$19</f>
        <v>5.0000000000000001E-3</v>
      </c>
      <c r="AE571" s="74"/>
      <c r="AF571" s="74">
        <f>коэффициенты!$F$21</f>
        <v>0.01</v>
      </c>
      <c r="AG571" s="74"/>
      <c r="AH571" s="74"/>
      <c r="AI571" s="73">
        <f>SUM(наценкад5[[#This Row],[еврокухня]:[большая площадь]])*наценкад5[[#This Row],[Цена м2 с базовым K]]+наценкад5[[#This Row],[Цена м2 с базовым K]]</f>
        <v>85327.105500000005</v>
      </c>
      <c r="AJ571" s="72">
        <f>VLOOKUP(наценкад5[[#This Row],[№]],ППД5[],COLUMN(ППД5[[#This Row],[утв цена м2]]),0)</f>
        <v>130683.68</v>
      </c>
      <c r="AK571" s="3">
        <f>наценкад5[[#This Row],[утв цена м2]]*наценкад5[[#This Row],[Расчетная проектная площадь]]</f>
        <v>7553516.703999999</v>
      </c>
      <c r="AL571" s="22" t="str">
        <f>VLOOKUP(наценкад5[[#This Row],[№]],ППД5[],COLUMN('Реестр ОН'!$DF$1),0)</f>
        <v>Ус. Бронь</v>
      </c>
    </row>
    <row r="572" spans="1:38" hidden="1" x14ac:dyDescent="0.25">
      <c r="A572" s="101">
        <v>570</v>
      </c>
      <c r="B572" s="2" t="str">
        <f>_xlfn.XLOOKUP(наценкад5[[#This Row],[№]],ППД5[№],ППД5[Секция],"-",0)</f>
        <v>Г</v>
      </c>
      <c r="C572" s="2">
        <f>_xlfn.XLOOKUP(наценкад5[[#This Row],[№]],ППД5[№],ППД5[Этаж],"-",0)</f>
        <v>23</v>
      </c>
      <c r="D572" s="2">
        <f>_xlfn.XLOOKUP(наценкад5[[#This Row],[№]],ППД5[№],ППД5[№ на этаже],"-",0)</f>
        <v>6</v>
      </c>
      <c r="E572" s="2">
        <f>_xlfn.XLOOKUP(наценкад5[[#This Row],[№]],ППД5[№],ППД5[Тип кв],"-",0)</f>
        <v>1</v>
      </c>
      <c r="F572" s="72">
        <f>_xlfn.XLOOKUP(наценкад5[[#This Row],[№]],ППД5[№],ППД5[Кухня],"-",0)</f>
        <v>12.55</v>
      </c>
      <c r="G572" s="72">
        <f>_xlfn.XLOOKUP(наценкад5[[#This Row],[№]],ППД5[№],ППД5[Ванная],"-",0)</f>
        <v>4.28</v>
      </c>
      <c r="H572" s="72">
        <f>_xlfn.XLOOKUP(наценкад5[[#This Row],[№]],ППД5[№],ППД5[Гардеробная],"-",0)</f>
        <v>0</v>
      </c>
      <c r="I572" s="72">
        <f>_xlfn.XLOOKUP(наценкад5[[#This Row],[№]],ППД5[№],ППД5[Лоджия 2],"-",0)</f>
        <v>0</v>
      </c>
      <c r="J572" s="72">
        <f>_xlfn.XLOOKUP(наценкад5[[#This Row],[№]],ППД5[№],ППД5[С\У],"-",0)</f>
        <v>0</v>
      </c>
      <c r="K572" s="72">
        <f>_xlfn.XLOOKUP(наценкад5[[#This Row],[№]],ППД5[№],ППД5[Расчетная проектная площадь],"-",0)</f>
        <v>38.299999999999997</v>
      </c>
      <c r="L572" s="12">
        <f t="shared" si="8"/>
        <v>63000</v>
      </c>
      <c r="M572" s="102">
        <f>коэффициенты!$G$2</f>
        <v>1.2875000000000001</v>
      </c>
      <c r="N572" s="13">
        <f>наценкад5[[#This Row],[Цена м2 базовая]]*наценкад5[[#This Row],[Базовой K]]</f>
        <v>81112.5</v>
      </c>
      <c r="O572" s="74"/>
      <c r="P572" s="76">
        <f>коэффициенты!$G$5</f>
        <v>0.01</v>
      </c>
      <c r="Q572" s="74">
        <f>коэффициенты!$G$6</f>
        <v>0.03</v>
      </c>
      <c r="R572" s="74"/>
      <c r="S572" s="74"/>
      <c r="T572" s="74"/>
      <c r="U572" s="74"/>
      <c r="V572" s="74">
        <f>коэффициенты!$G$11</f>
        <v>0.01</v>
      </c>
      <c r="W572" s="75"/>
      <c r="X572" s="74">
        <f>коэффициенты!$G$13</f>
        <v>0.01</v>
      </c>
      <c r="Y572" s="75"/>
      <c r="Z572" s="76">
        <f>коэффициенты!$G$16</f>
        <v>0.08</v>
      </c>
      <c r="AA572" s="74"/>
      <c r="AB572" s="74"/>
      <c r="AC572" s="74"/>
      <c r="AD572" s="74">
        <f>коэффициенты!$G$19</f>
        <v>0.01</v>
      </c>
      <c r="AE572" s="74"/>
      <c r="AF572" s="74">
        <f>коэффициенты!$G$21</f>
        <v>0.01</v>
      </c>
      <c r="AG572" s="74"/>
      <c r="AH572" s="74"/>
      <c r="AI572" s="73">
        <f>SUM(наценкад5[[#This Row],[еврокухня]:[большая площадь]])*наценкад5[[#This Row],[Цена м2 с базовым K]]+наценкад5[[#This Row],[Цена м2 с базовым K]]</f>
        <v>94090.5</v>
      </c>
      <c r="AJ572" s="72">
        <f>VLOOKUP(наценкад5[[#This Row],[№]],ППД5[],COLUMN(ППД5[[#This Row],[утв цена м2]]),0)</f>
        <v>102776.46</v>
      </c>
      <c r="AK572" s="3">
        <f>наценкад5[[#This Row],[утв цена м2]]*наценкад5[[#This Row],[Расчетная проектная площадь]]</f>
        <v>3936338.4180000001</v>
      </c>
      <c r="AL572" s="22" t="str">
        <f>VLOOKUP(наценкад5[[#This Row],[№]],ППД5[],COLUMN('Реестр ОН'!$DF$1),0)</f>
        <v>Продажа</v>
      </c>
    </row>
    <row r="573" spans="1:38" hidden="1" x14ac:dyDescent="0.25">
      <c r="A573" s="101">
        <v>571</v>
      </c>
      <c r="B573" s="2" t="str">
        <f>_xlfn.XLOOKUP(наценкад5[[#This Row],[№]],ППД5[№],ППД5[Секция],"-",0)</f>
        <v>Г</v>
      </c>
      <c r="C573" s="2">
        <f>_xlfn.XLOOKUP(наценкад5[[#This Row],[№]],ППД5[№],ППД5[Этаж],"-",0)</f>
        <v>23</v>
      </c>
      <c r="D573" s="2">
        <f>_xlfn.XLOOKUP(наценкад5[[#This Row],[№]],ППД5[№],ППД5[№ на этаже],"-",0)</f>
        <v>7</v>
      </c>
      <c r="E573" s="2">
        <f>_xlfn.XLOOKUP(наценкад5[[#This Row],[№]],ППД5[№],ППД5[Тип кв],"-",0)</f>
        <v>3</v>
      </c>
      <c r="F573" s="72">
        <f>_xlfn.XLOOKUP(наценкад5[[#This Row],[№]],ППД5[№],ППД5[Кухня],"-",0)</f>
        <v>16.670000000000002</v>
      </c>
      <c r="G573" s="72">
        <f>_xlfn.XLOOKUP(наценкад5[[#This Row],[№]],ППД5[№],ППД5[Ванная],"-",0)</f>
        <v>4.1399999999999997</v>
      </c>
      <c r="H573" s="72">
        <f>_xlfn.XLOOKUP(наценкад5[[#This Row],[№]],ППД5[№],ППД5[Гардеробная],"-",0)</f>
        <v>0</v>
      </c>
      <c r="I573" s="72">
        <f>_xlfn.XLOOKUP(наценкад5[[#This Row],[№]],ППД5[№],ППД5[Лоджия 2],"-",0)</f>
        <v>2.79</v>
      </c>
      <c r="J573" s="72">
        <f>_xlfn.XLOOKUP(наценкад5[[#This Row],[№]],ППД5[№],ППД5[С\У],"-",0)</f>
        <v>1.89</v>
      </c>
      <c r="K573" s="72">
        <f>_xlfn.XLOOKUP(наценкад5[[#This Row],[№]],ППД5[№],ППД5[Расчетная проектная площадь],"-",0)</f>
        <v>79.44</v>
      </c>
      <c r="L573" s="12">
        <f t="shared" si="8"/>
        <v>63000</v>
      </c>
      <c r="M573" s="27">
        <f>коэффициенты!$E$2</f>
        <v>1.1330000000000002</v>
      </c>
      <c r="N573" s="13">
        <f>наценкад5[[#This Row],[Цена м2 базовая]]*наценкад5[[#This Row],[Базовой K]]</f>
        <v>71379.000000000015</v>
      </c>
      <c r="O573" s="74">
        <f>коэффициенты!$E$4</f>
        <v>0.03</v>
      </c>
      <c r="P573" s="74"/>
      <c r="Q573" s="74">
        <f>коэффициенты!$E$6</f>
        <v>0.01</v>
      </c>
      <c r="R573" s="74"/>
      <c r="S573" s="74">
        <f>коэффициенты!$E$9</f>
        <v>0</v>
      </c>
      <c r="T573" s="74">
        <f>коэффициенты!$E$7</f>
        <v>0</v>
      </c>
      <c r="U573" s="74">
        <f>коэффициенты!$E$8</f>
        <v>0.01</v>
      </c>
      <c r="V573" s="74"/>
      <c r="W573" s="75">
        <f>коэффициенты!$E$12</f>
        <v>0.02</v>
      </c>
      <c r="X573" s="74"/>
      <c r="Y573" s="75"/>
      <c r="Z573" s="76">
        <f>коэффициенты!$A$16</f>
        <v>0.08</v>
      </c>
      <c r="AA573" s="74">
        <f>коэффициенты!$E$14</f>
        <v>0</v>
      </c>
      <c r="AB573" s="74"/>
      <c r="AC573" s="74">
        <f>коэффициенты!$E$18</f>
        <v>0.01</v>
      </c>
      <c r="AD573" s="74"/>
      <c r="AE573" s="74"/>
      <c r="AF573" s="74">
        <f>коэффициенты!$E$21</f>
        <v>0.01</v>
      </c>
      <c r="AG573" s="74"/>
      <c r="AH573" s="74"/>
      <c r="AI573" s="73">
        <f>SUM(наценкад5[[#This Row],[еврокухня]:[большая площадь]])*наценкад5[[#This Row],[Цена м2 с базовым K]]+наценкад5[[#This Row],[Цена м2 с базовым K]]</f>
        <v>83513.430000000022</v>
      </c>
      <c r="AJ573" s="72">
        <f>VLOOKUP(наценкад5[[#This Row],[№]],ППД5[],COLUMN(ППД5[[#This Row],[утв цена м2]]),0)</f>
        <v>111631.75</v>
      </c>
      <c r="AK573" s="3">
        <f>наценкад5[[#This Row],[утв цена м2]]*наценкад5[[#This Row],[Расчетная проектная площадь]]</f>
        <v>8868026.2200000007</v>
      </c>
      <c r="AL573" s="22" t="str">
        <f>VLOOKUP(наценкад5[[#This Row],[№]],ППД5[],COLUMN('Реестр ОН'!$DF$1),0)</f>
        <v>Продажа</v>
      </c>
    </row>
    <row r="574" spans="1:38" hidden="1" x14ac:dyDescent="0.25">
      <c r="A574" s="101">
        <v>572</v>
      </c>
      <c r="B574" s="2" t="str">
        <f>_xlfn.XLOOKUP(наценкад5[[#This Row],[№]],ППД5[№],ППД5[Секция],"-",0)</f>
        <v>Г</v>
      </c>
      <c r="C574" s="2">
        <f>_xlfn.XLOOKUP(наценкад5[[#This Row],[№]],ППД5[№],ППД5[Этаж],"-",0)</f>
        <v>23</v>
      </c>
      <c r="D574" s="2">
        <f>_xlfn.XLOOKUP(наценкад5[[#This Row],[№]],ППД5[№],ППД5[№ на этаже],"-",0)</f>
        <v>8</v>
      </c>
      <c r="E574" s="2">
        <f>_xlfn.XLOOKUP(наценкад5[[#This Row],[№]],ППД5[№],ППД5[Тип кв],"-",0)</f>
        <v>1</v>
      </c>
      <c r="F574" s="72">
        <f>_xlfn.XLOOKUP(наценкад5[[#This Row],[№]],ППД5[№],ППД5[Кухня],"-",0)</f>
        <v>11.43</v>
      </c>
      <c r="G574" s="72">
        <f>_xlfn.XLOOKUP(наценкад5[[#This Row],[№]],ППД5[№],ППД5[Ванная],"-",0)</f>
        <v>3.56</v>
      </c>
      <c r="H574" s="72">
        <f>_xlfn.XLOOKUP(наценкад5[[#This Row],[№]],ППД5[№],ППД5[Гардеробная],"-",0)</f>
        <v>0</v>
      </c>
      <c r="I574" s="72">
        <f>_xlfn.XLOOKUP(наценкад5[[#This Row],[№]],ППД5[№],ППД5[Лоджия 2],"-",0)</f>
        <v>0</v>
      </c>
      <c r="J574" s="72">
        <f>_xlfn.XLOOKUP(наценкад5[[#This Row],[№]],ППД5[№],ППД5[С\У],"-",0)</f>
        <v>0</v>
      </c>
      <c r="K574" s="72">
        <f>_xlfn.XLOOKUP(наценкад5[[#This Row],[№]],ППД5[№],ППД5[Расчетная проектная площадь],"-",0)</f>
        <v>39.69</v>
      </c>
      <c r="L574" s="12">
        <f t="shared" si="8"/>
        <v>63000</v>
      </c>
      <c r="M574" s="102">
        <f>коэффициенты!$G$2</f>
        <v>1.2875000000000001</v>
      </c>
      <c r="N574" s="13">
        <f>наценкад5[[#This Row],[Цена м2 базовая]]*наценкад5[[#This Row],[Базовой K]]</f>
        <v>81112.5</v>
      </c>
      <c r="O574" s="74"/>
      <c r="P574" s="76">
        <f>коэффициенты!$G$5</f>
        <v>0.01</v>
      </c>
      <c r="Q574" s="74"/>
      <c r="R574" s="74"/>
      <c r="S574" s="74"/>
      <c r="T574" s="74"/>
      <c r="U574" s="74"/>
      <c r="V574" s="74">
        <f>коэффициенты!$G$11</f>
        <v>0.01</v>
      </c>
      <c r="W574" s="75">
        <f>коэффициенты!$G$12</f>
        <v>0.02</v>
      </c>
      <c r="X574" s="74"/>
      <c r="Y574" s="75"/>
      <c r="Z574" s="76">
        <f>коэффициенты!$G$16</f>
        <v>0.08</v>
      </c>
      <c r="AA574" s="74">
        <f>коэффициенты!$G$14</f>
        <v>0.01</v>
      </c>
      <c r="AB574" s="74"/>
      <c r="AC574" s="74"/>
      <c r="AD574" s="74">
        <f>коэффициенты!$G$19</f>
        <v>0.01</v>
      </c>
      <c r="AE574" s="74"/>
      <c r="AF574" s="74">
        <f>коэффициенты!$G$21</f>
        <v>0.01</v>
      </c>
      <c r="AG574" s="74">
        <f>коэффициенты!$A$24</f>
        <v>-5.0000000000000001E-3</v>
      </c>
      <c r="AH574" s="74"/>
      <c r="AI574" s="73">
        <f>SUM(наценкад5[[#This Row],[еврокухня]:[большая площадь]])*наценкад5[[#This Row],[Цена м2 с базовым K]]+наценкад5[[#This Row],[Цена м2 с базовым K]]</f>
        <v>92873.8125</v>
      </c>
      <c r="AJ574" s="72">
        <f>VLOOKUP(наценкад5[[#This Row],[№]],ППД5[],COLUMN(ППД5[[#This Row],[утв цена м2]]),0)</f>
        <v>146457.31</v>
      </c>
      <c r="AK574" s="3">
        <f>наценкад5[[#This Row],[утв цена м2]]*наценкад5[[#This Row],[Расчетная проектная площадь]]</f>
        <v>5812890.6338999998</v>
      </c>
      <c r="AL574" s="22" t="str">
        <f>VLOOKUP(наценкад5[[#This Row],[№]],ППД5[],COLUMN('Реестр ОН'!$DF$1),0)</f>
        <v>Свободно</v>
      </c>
    </row>
    <row r="575" spans="1:38" hidden="1" x14ac:dyDescent="0.25">
      <c r="A575" s="101">
        <v>573</v>
      </c>
      <c r="B575" s="2" t="str">
        <f>_xlfn.XLOOKUP(наценкад5[[#This Row],[№]],ППД5[№],ППД5[Секция],"-",0)</f>
        <v>Г</v>
      </c>
      <c r="C575" s="2">
        <f>_xlfn.XLOOKUP(наценкад5[[#This Row],[№]],ППД5[№],ППД5[Этаж],"-",0)</f>
        <v>24</v>
      </c>
      <c r="D575" s="2">
        <f>_xlfn.XLOOKUP(наценкад5[[#This Row],[№]],ППД5[№],ППД5[№ на этаже],"-",0)</f>
        <v>1</v>
      </c>
      <c r="E575" s="2">
        <f>_xlfn.XLOOKUP(наценкад5[[#This Row],[№]],ППД5[№],ППД5[Тип кв],"-",0)</f>
        <v>0</v>
      </c>
      <c r="F575" s="72">
        <f>_xlfn.XLOOKUP(наценкад5[[#This Row],[№]],ППД5[№],ППД5[Кухня],"-",0)</f>
        <v>5.84</v>
      </c>
      <c r="G575" s="72">
        <f>_xlfn.XLOOKUP(наценкад5[[#This Row],[№]],ППД5[№],ППД5[Ванная],"-",0)</f>
        <v>3.76</v>
      </c>
      <c r="H575" s="72">
        <f>_xlfn.XLOOKUP(наценкад5[[#This Row],[№]],ППД5[№],ППД5[Гардеробная],"-",0)</f>
        <v>0</v>
      </c>
      <c r="I575" s="72">
        <f>_xlfn.XLOOKUP(наценкад5[[#This Row],[№]],ППД5[№],ППД5[Лоджия 2],"-",0)</f>
        <v>0</v>
      </c>
      <c r="J575" s="72">
        <f>_xlfn.XLOOKUP(наценкад5[[#This Row],[№]],ППД5[№],ППД5[С\У],"-",0)</f>
        <v>0</v>
      </c>
      <c r="K575" s="72">
        <f>_xlfn.XLOOKUP(наценкад5[[#This Row],[№]],ППД5[№],ППД5[Расчетная проектная площадь],"-",0)</f>
        <v>29.4</v>
      </c>
      <c r="L575" s="12">
        <f t="shared" si="8"/>
        <v>63000</v>
      </c>
      <c r="M575" s="116">
        <f>коэффициенты!$H$2</f>
        <v>1.3905000000000001</v>
      </c>
      <c r="N575" s="13">
        <f>наценкад5[[#This Row],[Цена м2 базовая]]*наценкад5[[#This Row],[Базовой K]]</f>
        <v>87601.5</v>
      </c>
      <c r="O575" s="74"/>
      <c r="P575" s="74"/>
      <c r="Q575" s="74"/>
      <c r="R575" s="74"/>
      <c r="S575" s="74"/>
      <c r="T575" s="74"/>
      <c r="U575" s="74"/>
      <c r="V575" s="74"/>
      <c r="W575" s="75"/>
      <c r="X575" s="74"/>
      <c r="Y575" s="75"/>
      <c r="Z575" s="76">
        <f>коэффициенты!$H$16</f>
        <v>0.08</v>
      </c>
      <c r="AA575" s="74"/>
      <c r="AB575" s="74"/>
      <c r="AC575" s="74"/>
      <c r="AD575" s="74">
        <f>коэффициенты!$H$19</f>
        <v>0.01</v>
      </c>
      <c r="AE575" s="74"/>
      <c r="AF575" s="74">
        <f>коэффициенты!$H$21</f>
        <v>0.01</v>
      </c>
      <c r="AG575" s="74"/>
      <c r="AH575" s="74"/>
      <c r="AI575" s="73">
        <f>SUM(наценкад5[[#This Row],[еврокухня]:[большая площадь]])*наценкад5[[#This Row],[Цена м2 с базовым K]]+наценкад5[[#This Row],[Цена м2 с базовым K]]</f>
        <v>96361.65</v>
      </c>
      <c r="AJ575" s="72">
        <f>VLOOKUP(наценкад5[[#This Row],[№]],ППД5[],COLUMN(ППД5[[#This Row],[утв цена м2]]),0)</f>
        <v>127201.60000000001</v>
      </c>
      <c r="AK575" s="3">
        <f>наценкад5[[#This Row],[утв цена м2]]*наценкад5[[#This Row],[Расчетная проектная площадь]]</f>
        <v>3739727.04</v>
      </c>
      <c r="AL575" s="22" t="str">
        <f>VLOOKUP(наценкад5[[#This Row],[№]],ППД5[],COLUMN('Реестр ОН'!$DF$1),0)</f>
        <v>Продажа</v>
      </c>
    </row>
    <row r="576" spans="1:38" hidden="1" x14ac:dyDescent="0.25">
      <c r="A576" s="101">
        <v>574</v>
      </c>
      <c r="B576" s="2" t="str">
        <f>_xlfn.XLOOKUP(наценкад5[[#This Row],[№]],ППД5[№],ППД5[Секция],"-",0)</f>
        <v>Г</v>
      </c>
      <c r="C576" s="2">
        <f>_xlfn.XLOOKUP(наценкад5[[#This Row],[№]],ППД5[№],ППД5[Этаж],"-",0)</f>
        <v>24</v>
      </c>
      <c r="D576" s="2">
        <f>_xlfn.XLOOKUP(наценкад5[[#This Row],[№]],ППД5[№],ППД5[№ на этаже],"-",0)</f>
        <v>2</v>
      </c>
      <c r="E576" s="2">
        <f>_xlfn.XLOOKUP(наценкад5[[#This Row],[№]],ППД5[№],ППД5[Тип кв],"-",0)</f>
        <v>1</v>
      </c>
      <c r="F576" s="72">
        <f>_xlfn.XLOOKUP(наценкад5[[#This Row],[№]],ППД5[№],ППД5[Кухня],"-",0)</f>
        <v>16.940000000000001</v>
      </c>
      <c r="G576" s="72">
        <f>_xlfn.XLOOKUP(наценкад5[[#This Row],[№]],ППД5[№],ППД5[Ванная],"-",0)</f>
        <v>3.55</v>
      </c>
      <c r="H576" s="72">
        <f>_xlfn.XLOOKUP(наценкад5[[#This Row],[№]],ППД5[№],ППД5[Гардеробная],"-",0)</f>
        <v>0</v>
      </c>
      <c r="I576" s="72">
        <f>_xlfn.XLOOKUP(наценкад5[[#This Row],[№]],ППД5[№],ППД5[Лоджия 2],"-",0)</f>
        <v>0</v>
      </c>
      <c r="J576" s="72">
        <f>_xlfn.XLOOKUP(наценкад5[[#This Row],[№]],ППД5[№],ППД5[С\У],"-",0)</f>
        <v>2.41</v>
      </c>
      <c r="K576" s="72">
        <f>_xlfn.XLOOKUP(наценкад5[[#This Row],[№]],ППД5[№],ППД5[Расчетная проектная площадь],"-",0)</f>
        <v>43.21</v>
      </c>
      <c r="L576" s="12">
        <f t="shared" si="8"/>
        <v>63000</v>
      </c>
      <c r="M576" s="102">
        <f>коэффициенты!$G$2</f>
        <v>1.2875000000000001</v>
      </c>
      <c r="N576" s="13">
        <f>наценкад5[[#This Row],[Цена м2 базовая]]*наценкад5[[#This Row],[Базовой K]]</f>
        <v>81112.5</v>
      </c>
      <c r="O576" s="76">
        <f>коэффициенты!$G$4</f>
        <v>0.02</v>
      </c>
      <c r="P576" s="74"/>
      <c r="Q576" s="74"/>
      <c r="R576" s="74">
        <f>коэффициенты!$G$10</f>
        <v>0.01</v>
      </c>
      <c r="S576" s="74">
        <f>коэффициенты!$G$9</f>
        <v>0</v>
      </c>
      <c r="T576" s="74"/>
      <c r="U576" s="74"/>
      <c r="V576" s="74"/>
      <c r="W576" s="75"/>
      <c r="X576" s="74"/>
      <c r="Y576" s="75"/>
      <c r="Z576" s="76">
        <f>коэффициенты!$G$16</f>
        <v>0.08</v>
      </c>
      <c r="AA576" s="74"/>
      <c r="AB576" s="74"/>
      <c r="AC576" s="74"/>
      <c r="AD576" s="74">
        <f>коэффициенты!$G$19</f>
        <v>0.01</v>
      </c>
      <c r="AE576" s="74"/>
      <c r="AF576" s="74">
        <f>коэффициенты!$G$21</f>
        <v>0.01</v>
      </c>
      <c r="AG576" s="74"/>
      <c r="AH576" s="74"/>
      <c r="AI576" s="73">
        <f>SUM(наценкад5[[#This Row],[еврокухня]:[большая площадь]])*наценкад5[[#This Row],[Цена м2 с базовым K]]+наценкад5[[#This Row],[Цена м2 с базовым K]]</f>
        <v>91657.125</v>
      </c>
      <c r="AJ576" s="72">
        <f>VLOOKUP(наценкад5[[#This Row],[№]],ППД5[],COLUMN(ППД5[[#This Row],[утв цена м2]]),0)</f>
        <v>145743.78</v>
      </c>
      <c r="AK576" s="3">
        <f>наценкад5[[#This Row],[утв цена м2]]*наценкад5[[#This Row],[Расчетная проектная площадь]]</f>
        <v>6297588.7338000005</v>
      </c>
      <c r="AL576" s="22" t="str">
        <f>VLOOKUP(наценкад5[[#This Row],[№]],ППД5[],COLUMN('Реестр ОН'!$DF$1),0)</f>
        <v>Свободно</v>
      </c>
    </row>
    <row r="577" spans="1:38" hidden="1" x14ac:dyDescent="0.25">
      <c r="A577" s="101">
        <v>575</v>
      </c>
      <c r="B577" s="2" t="str">
        <f>_xlfn.XLOOKUP(наценкад5[[#This Row],[№]],ППД5[№],ППД5[Секция],"-",0)</f>
        <v>Г</v>
      </c>
      <c r="C577" s="2">
        <f>_xlfn.XLOOKUP(наценкад5[[#This Row],[№]],ППД5[№],ППД5[Этаж],"-",0)</f>
        <v>24</v>
      </c>
      <c r="D577" s="2">
        <f>_xlfn.XLOOKUP(наценкад5[[#This Row],[№]],ППД5[№],ППД5[№ на этаже],"-",0)</f>
        <v>3</v>
      </c>
      <c r="E577" s="2">
        <f>_xlfn.XLOOKUP(наценкад5[[#This Row],[№]],ППД5[№],ППД5[Тип кв],"-",0)</f>
        <v>0</v>
      </c>
      <c r="F577" s="72">
        <f>_xlfn.XLOOKUP(наценкад5[[#This Row],[№]],ППД5[№],ППД5[Кухня],"-",0)</f>
        <v>5.17</v>
      </c>
      <c r="G577" s="72">
        <f>_xlfn.XLOOKUP(наценкад5[[#This Row],[№]],ППД5[№],ППД5[Ванная],"-",0)</f>
        <v>3.71</v>
      </c>
      <c r="H577" s="72">
        <f>_xlfn.XLOOKUP(наценкад5[[#This Row],[№]],ППД5[№],ППД5[Гардеробная],"-",0)</f>
        <v>0</v>
      </c>
      <c r="I577" s="72">
        <f>_xlfn.XLOOKUP(наценкад5[[#This Row],[№]],ППД5[№],ППД5[Лоджия 2],"-",0)</f>
        <v>0</v>
      </c>
      <c r="J577" s="72">
        <f>_xlfn.XLOOKUP(наценкад5[[#This Row],[№]],ППД5[№],ППД5[С\У],"-",0)</f>
        <v>0</v>
      </c>
      <c r="K577" s="72">
        <f>_xlfn.XLOOKUP(наценкад5[[#This Row],[№]],ППД5[№],ППД5[Расчетная проектная площадь],"-",0)</f>
        <v>24.5</v>
      </c>
      <c r="L577" s="12">
        <f t="shared" si="8"/>
        <v>63000</v>
      </c>
      <c r="M577" s="116">
        <f>коэффициенты!$H$2</f>
        <v>1.3905000000000001</v>
      </c>
      <c r="N577" s="13">
        <f>наценкад5[[#This Row],[Цена м2 базовая]]*наценкад5[[#This Row],[Базовой K]]</f>
        <v>87601.5</v>
      </c>
      <c r="O577" s="74"/>
      <c r="P577" s="74"/>
      <c r="Q577" s="74"/>
      <c r="R577" s="74"/>
      <c r="S577" s="74"/>
      <c r="T577" s="74"/>
      <c r="U577" s="74"/>
      <c r="V577" s="74">
        <f>коэффициенты!$H$11</f>
        <v>0.01</v>
      </c>
      <c r="W577" s="75"/>
      <c r="X577" s="74">
        <f>коэффициенты!$H$13</f>
        <v>0.01</v>
      </c>
      <c r="Y577" s="75"/>
      <c r="Z577" s="76">
        <f>коэффициенты!$H$16</f>
        <v>0.08</v>
      </c>
      <c r="AA577" s="74"/>
      <c r="AB577" s="74"/>
      <c r="AC577" s="74"/>
      <c r="AD577" s="74">
        <f>коэффициенты!$H$19</f>
        <v>0.01</v>
      </c>
      <c r="AE577" s="74"/>
      <c r="AF577" s="74">
        <f>коэффициенты!$H$21</f>
        <v>0.01</v>
      </c>
      <c r="AG577" s="74"/>
      <c r="AH577" s="74"/>
      <c r="AI577" s="73">
        <f>SUM(наценкад5[[#This Row],[еврокухня]:[большая площадь]])*наценкад5[[#This Row],[Цена м2 с базовым K]]+наценкад5[[#This Row],[Цена м2 с базовым K]]</f>
        <v>98113.68</v>
      </c>
      <c r="AJ577" s="72">
        <f>VLOOKUP(наценкад5[[#This Row],[№]],ППД5[],COLUMN(ППД5[[#This Row],[утв цена м2]]),0)</f>
        <v>131444.31</v>
      </c>
      <c r="AK577" s="3">
        <f>наценкад5[[#This Row],[утв цена м2]]*наценкад5[[#This Row],[Расчетная проектная площадь]]</f>
        <v>3220385.5949999997</v>
      </c>
      <c r="AL577" s="22" t="str">
        <f>VLOOKUP(наценкад5[[#This Row],[№]],ППД5[],COLUMN('Реестр ОН'!$DF$1),0)</f>
        <v>Продажа</v>
      </c>
    </row>
    <row r="578" spans="1:38" hidden="1" x14ac:dyDescent="0.25">
      <c r="A578" s="101">
        <v>576</v>
      </c>
      <c r="B578" s="2" t="str">
        <f>_xlfn.XLOOKUP(наценкад5[[#This Row],[№]],ППД5[№],ППД5[Секция],"-",0)</f>
        <v>Г</v>
      </c>
      <c r="C578" s="2">
        <f>_xlfn.XLOOKUP(наценкад5[[#This Row],[№]],ППД5[№],ППД5[Этаж],"-",0)</f>
        <v>24</v>
      </c>
      <c r="D578" s="2">
        <f>_xlfn.XLOOKUP(наценкад5[[#This Row],[№]],ППД5[№],ППД5[№ на этаже],"-",0)</f>
        <v>4</v>
      </c>
      <c r="E578" s="2">
        <f>_xlfn.XLOOKUP(наценкад5[[#This Row],[№]],ППД5[№],ППД5[Тип кв],"-",0)</f>
        <v>2</v>
      </c>
      <c r="F578" s="72">
        <f>_xlfn.XLOOKUP(наценкад5[[#This Row],[№]],ППД5[№],ППД5[Кухня],"-",0)</f>
        <v>15.86</v>
      </c>
      <c r="G578" s="72">
        <f>_xlfn.XLOOKUP(наценкад5[[#This Row],[№]],ППД5[№],ППД5[Ванная],"-",0)</f>
        <v>3.01</v>
      </c>
      <c r="H578" s="72">
        <f>_xlfn.XLOOKUP(наценкад5[[#This Row],[№]],ППД5[№],ППД5[Гардеробная],"-",0)</f>
        <v>0</v>
      </c>
      <c r="I578" s="72">
        <f>_xlfn.XLOOKUP(наценкад5[[#This Row],[№]],ППД5[№],ППД5[Лоджия 2],"-",0)</f>
        <v>0</v>
      </c>
      <c r="J578" s="72">
        <f>_xlfn.XLOOKUP(наценкад5[[#This Row],[№]],ППД5[№],ППД5[С\У],"-",0)</f>
        <v>2.67</v>
      </c>
      <c r="K578" s="72">
        <f>_xlfn.XLOOKUP(наценкад5[[#This Row],[№]],ППД5[№],ППД5[Расчетная проектная площадь],"-",0)</f>
        <v>58.24</v>
      </c>
      <c r="L578" s="12">
        <f t="shared" si="8"/>
        <v>63000</v>
      </c>
      <c r="M578" s="102">
        <f>коэффициенты!$F$2</f>
        <v>1.2257</v>
      </c>
      <c r="N578" s="13">
        <f>наценкад5[[#This Row],[Цена м2 базовая]]*наценкад5[[#This Row],[Базовой K]]</f>
        <v>77219.100000000006</v>
      </c>
      <c r="O578" s="76">
        <f>коэффициенты!$F$4</f>
        <v>1.4999999999999999E-2</v>
      </c>
      <c r="P578" s="74"/>
      <c r="Q578" s="76"/>
      <c r="R578" s="76">
        <f>коэффициенты!$F$10</f>
        <v>0</v>
      </c>
      <c r="S578" s="76">
        <f>коэффициенты!$F$9</f>
        <v>0</v>
      </c>
      <c r="T578" s="74"/>
      <c r="U578" s="74"/>
      <c r="V578" s="74"/>
      <c r="W578" s="75"/>
      <c r="X578" s="74"/>
      <c r="Y578" s="75"/>
      <c r="Z578" s="76">
        <f>коэффициенты!$F$16</f>
        <v>0.08</v>
      </c>
      <c r="AA578" s="74"/>
      <c r="AB578" s="74"/>
      <c r="AC578" s="74"/>
      <c r="AD578" s="74">
        <f>коэффициенты!$F$19</f>
        <v>5.0000000000000001E-3</v>
      </c>
      <c r="AE578" s="74"/>
      <c r="AF578" s="74">
        <f>коэффициенты!$F$21</f>
        <v>0.01</v>
      </c>
      <c r="AG578" s="74"/>
      <c r="AH578" s="74"/>
      <c r="AI578" s="73">
        <f>SUM(наценкад5[[#This Row],[еврокухня]:[большая площадь]])*наценкад5[[#This Row],[Цена м2 с базовым K]]+наценкад5[[#This Row],[Цена м2 с базовым K]]</f>
        <v>85713.201000000001</v>
      </c>
      <c r="AJ578" s="72">
        <f>VLOOKUP(наценкад5[[#This Row],[№]],ППД5[],COLUMN(ППД5[[#This Row],[утв цена м2]]),0)</f>
        <v>130649.18</v>
      </c>
      <c r="AK578" s="3">
        <f>наценкад5[[#This Row],[утв цена м2]]*наценкад5[[#This Row],[Расчетная проектная площадь]]</f>
        <v>7609008.2431999994</v>
      </c>
      <c r="AL578" s="22" t="str">
        <f>VLOOKUP(наценкад5[[#This Row],[№]],ППД5[],COLUMN('Реестр ОН'!$DF$1),0)</f>
        <v>Свободно</v>
      </c>
    </row>
    <row r="579" spans="1:38" hidden="1" x14ac:dyDescent="0.25">
      <c r="A579" s="101">
        <v>577</v>
      </c>
      <c r="B579" s="2" t="str">
        <f>_xlfn.XLOOKUP(наценкад5[[#This Row],[№]],ППД5[№],ППД5[Секция],"-",0)</f>
        <v>Г</v>
      </c>
      <c r="C579" s="2">
        <f>_xlfn.XLOOKUP(наценкад5[[#This Row],[№]],ППД5[№],ППД5[Этаж],"-",0)</f>
        <v>24</v>
      </c>
      <c r="D579" s="2">
        <f>_xlfn.XLOOKUP(наценкад5[[#This Row],[№]],ППД5[№],ППД5[№ на этаже],"-",0)</f>
        <v>5</v>
      </c>
      <c r="E579" s="2">
        <f>_xlfn.XLOOKUP(наценкад5[[#This Row],[№]],ППД5[№],ППД5[Тип кв],"-",0)</f>
        <v>2</v>
      </c>
      <c r="F579" s="118">
        <f>_xlfn.XLOOKUP(наценкад5[[#This Row],[№]],ППД5[№],ППД5[Кухня],"-",0)</f>
        <v>13.45</v>
      </c>
      <c r="G579" s="118">
        <f>_xlfn.XLOOKUP(наценкад5[[#This Row],[№]],ППД5[№],ППД5[Ванная],"-",0)</f>
        <v>3.7</v>
      </c>
      <c r="H579" s="118">
        <f>_xlfn.XLOOKUP(наценкад5[[#This Row],[№]],ППД5[№],ППД5[Гардеробная],"-",0)</f>
        <v>0</v>
      </c>
      <c r="I579" s="118">
        <f>_xlfn.XLOOKUP(наценкад5[[#This Row],[№]],ППД5[№],ППД5[Лоджия 2],"-",0)</f>
        <v>0</v>
      </c>
      <c r="J579" s="118">
        <f>_xlfn.XLOOKUP(наценкад5[[#This Row],[№]],ППД5[№],ППД5[С\У],"-",0)</f>
        <v>2.72</v>
      </c>
      <c r="K579" s="118">
        <f>_xlfn.XLOOKUP(наценкад5[[#This Row],[№]],ППД5[№],ППД5[Расчетная проектная площадь],"-",0)</f>
        <v>57.8</v>
      </c>
      <c r="L579" s="12">
        <f t="shared" si="8"/>
        <v>63000</v>
      </c>
      <c r="M579" s="102">
        <f>коэффициенты!$F$2</f>
        <v>1.2257</v>
      </c>
      <c r="N579" s="103">
        <f>наценкад5[[#This Row],[Цена м2 базовая]]*наценкад5[[#This Row],[Базовой K]]</f>
        <v>77219.100000000006</v>
      </c>
      <c r="O579" s="74"/>
      <c r="P579" s="74">
        <f>коэффициенты!$F$5</f>
        <v>0.01</v>
      </c>
      <c r="Q579" s="76"/>
      <c r="R579" s="76"/>
      <c r="S579" s="76">
        <f>коэффициенты!$F$9</f>
        <v>0</v>
      </c>
      <c r="T579" s="74"/>
      <c r="U579" s="74"/>
      <c r="V579" s="74"/>
      <c r="W579" s="74"/>
      <c r="X579" s="74"/>
      <c r="Y579" s="75"/>
      <c r="Z579" s="76">
        <f>коэффициенты!$F$16</f>
        <v>0.08</v>
      </c>
      <c r="AA579" s="74"/>
      <c r="AB579" s="74"/>
      <c r="AC579" s="74"/>
      <c r="AD579" s="74">
        <f>коэффициенты!$F$19</f>
        <v>5.0000000000000001E-3</v>
      </c>
      <c r="AE579" s="74"/>
      <c r="AF579" s="74">
        <f>коэффициенты!$F$21</f>
        <v>0.01</v>
      </c>
      <c r="AG579" s="74"/>
      <c r="AH579" s="74"/>
      <c r="AI579" s="73">
        <f>SUM(наценкад5[[#This Row],[еврокухня]:[большая площадь]])*наценкад5[[#This Row],[Цена м2 с базовым K]]+наценкад5[[#This Row],[Цена м2 с базовым K]]</f>
        <v>85327.105500000005</v>
      </c>
      <c r="AJ579" s="72">
        <f>VLOOKUP(наценкад5[[#This Row],[№]],ППД5[],COLUMN(ППД5[[#This Row],[утв цена м2]]),0)</f>
        <v>130683.68</v>
      </c>
      <c r="AK579" s="3">
        <f>наценкад5[[#This Row],[утв цена м2]]*наценкад5[[#This Row],[Расчетная проектная площадь]]</f>
        <v>7553516.703999999</v>
      </c>
      <c r="AL579" s="22" t="str">
        <f>VLOOKUP(наценкад5[[#This Row],[№]],ППД5[],COLUMN('Реестр ОН'!$DF$1),0)</f>
        <v>Свободно</v>
      </c>
    </row>
    <row r="580" spans="1:38" hidden="1" x14ac:dyDescent="0.25">
      <c r="A580" s="101">
        <v>578</v>
      </c>
      <c r="B580" s="2" t="str">
        <f>_xlfn.XLOOKUP(наценкад5[[#This Row],[№]],ППД5[№],ППД5[Секция],"-",0)</f>
        <v>Г</v>
      </c>
      <c r="C580" s="2">
        <f>_xlfn.XLOOKUP(наценкад5[[#This Row],[№]],ППД5[№],ППД5[Этаж],"-",0)</f>
        <v>24</v>
      </c>
      <c r="D580" s="2">
        <f>_xlfn.XLOOKUP(наценкад5[[#This Row],[№]],ППД5[№],ППД5[№ на этаже],"-",0)</f>
        <v>6</v>
      </c>
      <c r="E580" s="2">
        <f>_xlfn.XLOOKUP(наценкад5[[#This Row],[№]],ППД5[№],ППД5[Тип кв],"-",0)</f>
        <v>1</v>
      </c>
      <c r="F580" s="118">
        <f>_xlfn.XLOOKUP(наценкад5[[#This Row],[№]],ППД5[№],ППД5[Кухня],"-",0)</f>
        <v>12.55</v>
      </c>
      <c r="G580" s="118">
        <f>_xlfn.XLOOKUP(наценкад5[[#This Row],[№]],ППД5[№],ППД5[Ванная],"-",0)</f>
        <v>4.28</v>
      </c>
      <c r="H580" s="118">
        <f>_xlfn.XLOOKUP(наценкад5[[#This Row],[№]],ППД5[№],ППД5[Гардеробная],"-",0)</f>
        <v>0</v>
      </c>
      <c r="I580" s="118">
        <f>_xlfn.XLOOKUP(наценкад5[[#This Row],[№]],ППД5[№],ППД5[Лоджия 2],"-",0)</f>
        <v>0</v>
      </c>
      <c r="J580" s="118">
        <f>_xlfn.XLOOKUP(наценкад5[[#This Row],[№]],ППД5[№],ППД5[С\У],"-",0)</f>
        <v>0</v>
      </c>
      <c r="K580" s="118">
        <f>_xlfn.XLOOKUP(наценкад5[[#This Row],[№]],ППД5[№],ППД5[Расчетная проектная площадь],"-",0)</f>
        <v>38.299999999999997</v>
      </c>
      <c r="L580" s="12">
        <f t="shared" si="8"/>
        <v>63000</v>
      </c>
      <c r="M580" s="102">
        <f>коэффициенты!$G$2</f>
        <v>1.2875000000000001</v>
      </c>
      <c r="N580" s="13">
        <f>наценкад5[[#This Row],[Цена м2 базовая]]*наценкад5[[#This Row],[Базовой K]]</f>
        <v>81112.5</v>
      </c>
      <c r="O580" s="74"/>
      <c r="P580" s="76">
        <f>коэффициенты!$G$5</f>
        <v>0.01</v>
      </c>
      <c r="Q580" s="74">
        <f>коэффициенты!$G$6</f>
        <v>0.03</v>
      </c>
      <c r="R580" s="74"/>
      <c r="S580" s="74"/>
      <c r="T580" s="74"/>
      <c r="U580" s="74"/>
      <c r="V580" s="74">
        <f>коэффициенты!$G$11</f>
        <v>0.01</v>
      </c>
      <c r="W580" s="74"/>
      <c r="X580" s="74">
        <f>коэффициенты!$G$13</f>
        <v>0.01</v>
      </c>
      <c r="Y580" s="75"/>
      <c r="Z580" s="76">
        <f>коэффициенты!$G$16</f>
        <v>0.08</v>
      </c>
      <c r="AA580" s="74"/>
      <c r="AB580" s="74"/>
      <c r="AC580" s="74"/>
      <c r="AD580" s="74">
        <f>коэффициенты!$G$19</f>
        <v>0.01</v>
      </c>
      <c r="AE580" s="74"/>
      <c r="AF580" s="74">
        <f>коэффициенты!$G$21</f>
        <v>0.01</v>
      </c>
      <c r="AG580" s="74"/>
      <c r="AH580" s="74"/>
      <c r="AI580" s="73">
        <f>SUM(наценкад5[[#This Row],[еврокухня]:[большая площадь]])*наценкад5[[#This Row],[Цена м2 с базовым K]]+наценкад5[[#This Row],[Цена м2 с базовым K]]</f>
        <v>94090.5</v>
      </c>
      <c r="AJ580" s="72">
        <f>VLOOKUP(наценкад5[[#This Row],[№]],ППД5[],COLUMN(ППД5[[#This Row],[утв цена м2]]),0)</f>
        <v>148461.03</v>
      </c>
      <c r="AK580" s="3">
        <f>наценкад5[[#This Row],[утв цена м2]]*наценкад5[[#This Row],[Расчетная проектная площадь]]</f>
        <v>5686057.4489999991</v>
      </c>
      <c r="AL580" s="22" t="str">
        <f>VLOOKUP(наценкад5[[#This Row],[№]],ППД5[],COLUMN('Реестр ОН'!$DF$1),0)</f>
        <v>Свободно</v>
      </c>
    </row>
    <row r="581" spans="1:38" hidden="1" x14ac:dyDescent="0.25">
      <c r="A581" s="101">
        <v>579</v>
      </c>
      <c r="B581" s="2" t="str">
        <f>_xlfn.XLOOKUP(наценкад5[[#This Row],[№]],ППД5[№],ППД5[Секция],"-",0)</f>
        <v>Г</v>
      </c>
      <c r="C581" s="2">
        <f>_xlfn.XLOOKUP(наценкад5[[#This Row],[№]],ППД5[№],ППД5[Этаж],"-",0)</f>
        <v>24</v>
      </c>
      <c r="D581" s="2">
        <f>_xlfn.XLOOKUP(наценкад5[[#This Row],[№]],ППД5[№],ППД5[№ на этаже],"-",0)</f>
        <v>7</v>
      </c>
      <c r="E581" s="2">
        <f>_xlfn.XLOOKUP(наценкад5[[#This Row],[№]],ППД5[№],ППД5[Тип кв],"-",0)</f>
        <v>3</v>
      </c>
      <c r="F581" s="118">
        <f>_xlfn.XLOOKUP(наценкад5[[#This Row],[№]],ППД5[№],ППД5[Кухня],"-",0)</f>
        <v>16.670000000000002</v>
      </c>
      <c r="G581" s="118">
        <f>_xlfn.XLOOKUP(наценкад5[[#This Row],[№]],ППД5[№],ППД5[Ванная],"-",0)</f>
        <v>4.1399999999999997</v>
      </c>
      <c r="H581" s="118">
        <f>_xlfn.XLOOKUP(наценкад5[[#This Row],[№]],ППД5[№],ППД5[Гардеробная],"-",0)</f>
        <v>0</v>
      </c>
      <c r="I581" s="118">
        <f>_xlfn.XLOOKUP(наценкад5[[#This Row],[№]],ППД5[№],ППД5[Лоджия 2],"-",0)</f>
        <v>2.79</v>
      </c>
      <c r="J581" s="118">
        <f>_xlfn.XLOOKUP(наценкад5[[#This Row],[№]],ППД5[№],ППД5[С\У],"-",0)</f>
        <v>1.89</v>
      </c>
      <c r="K581" s="118">
        <f>_xlfn.XLOOKUP(наценкад5[[#This Row],[№]],ППД5[№],ППД5[Расчетная проектная площадь],"-",0)</f>
        <v>79.44</v>
      </c>
      <c r="L581" s="12">
        <f t="shared" si="8"/>
        <v>63000</v>
      </c>
      <c r="M581" s="27">
        <f>коэффициенты!$E$2</f>
        <v>1.1330000000000002</v>
      </c>
      <c r="N581" s="13">
        <f>наценкад5[[#This Row],[Цена м2 базовая]]*наценкад5[[#This Row],[Базовой K]]</f>
        <v>71379.000000000015</v>
      </c>
      <c r="O581" s="74">
        <f>коэффициенты!$E$4</f>
        <v>0.03</v>
      </c>
      <c r="P581" s="74"/>
      <c r="Q581" s="74">
        <f>коэффициенты!$E$6</f>
        <v>0.01</v>
      </c>
      <c r="R581" s="74"/>
      <c r="S581" s="74">
        <f>коэффициенты!$E$9</f>
        <v>0</v>
      </c>
      <c r="T581" s="74">
        <f>коэффициенты!$E$7</f>
        <v>0</v>
      </c>
      <c r="U581" s="74">
        <f>коэффициенты!$E$8</f>
        <v>0.01</v>
      </c>
      <c r="V581" s="74"/>
      <c r="W581" s="75">
        <f>коэффициенты!$E$12</f>
        <v>0.02</v>
      </c>
      <c r="X581" s="74"/>
      <c r="Y581" s="75"/>
      <c r="Z581" s="76">
        <f>коэффициенты!$A$16</f>
        <v>0.08</v>
      </c>
      <c r="AA581" s="74">
        <f>коэффициенты!$E$14</f>
        <v>0</v>
      </c>
      <c r="AB581" s="74"/>
      <c r="AC581" s="74">
        <f>коэффициенты!$E$18</f>
        <v>0.01</v>
      </c>
      <c r="AD581" s="74"/>
      <c r="AE581" s="74"/>
      <c r="AF581" s="74">
        <f>коэффициенты!$E$21</f>
        <v>0.01</v>
      </c>
      <c r="AG581" s="74"/>
      <c r="AH581" s="74"/>
      <c r="AI581" s="73">
        <f>SUM(наценкад5[[#This Row],[еврокухня]:[большая площадь]])*наценкад5[[#This Row],[Цена м2 с базовым K]]+наценкад5[[#This Row],[Цена м2 с базовым K]]</f>
        <v>83513.430000000022</v>
      </c>
      <c r="AJ581" s="72">
        <f>VLOOKUP(наценкад5[[#This Row],[№]],ППД5[],COLUMN(ППД5[[#This Row],[утв цена м2]]),0)</f>
        <v>132486.07</v>
      </c>
      <c r="AK581" s="3">
        <f>наценкад5[[#This Row],[утв цена м2]]*наценкад5[[#This Row],[Расчетная проектная площадь]]</f>
        <v>10524693.400800001</v>
      </c>
      <c r="AL581" s="22" t="str">
        <f>VLOOKUP(наценкад5[[#This Row],[№]],ППД5[],COLUMN('Реестр ОН'!$DF$1),0)</f>
        <v>Свободно</v>
      </c>
    </row>
    <row r="582" spans="1:38" hidden="1" x14ac:dyDescent="0.25">
      <c r="A582" s="101">
        <v>580</v>
      </c>
      <c r="B582" s="2" t="str">
        <f>_xlfn.XLOOKUP(наценкад5[[#This Row],[№]],ППД5[№],ППД5[Секция],"-",0)</f>
        <v>Г</v>
      </c>
      <c r="C582" s="2">
        <f>_xlfn.XLOOKUP(наценкад5[[#This Row],[№]],ППД5[№],ППД5[Этаж],"-",0)</f>
        <v>24</v>
      </c>
      <c r="D582" s="2">
        <f>_xlfn.XLOOKUP(наценкад5[[#This Row],[№]],ППД5[№],ППД5[№ на этаже],"-",0)</f>
        <v>8</v>
      </c>
      <c r="E582" s="2">
        <f>_xlfn.XLOOKUP(наценкад5[[#This Row],[№]],ППД5[№],ППД5[Тип кв],"-",0)</f>
        <v>1</v>
      </c>
      <c r="F582" s="118">
        <f>_xlfn.XLOOKUP(наценкад5[[#This Row],[№]],ППД5[№],ППД5[Кухня],"-",0)</f>
        <v>11.43</v>
      </c>
      <c r="G582" s="118">
        <f>_xlfn.XLOOKUP(наценкад5[[#This Row],[№]],ППД5[№],ППД5[Ванная],"-",0)</f>
        <v>3.56</v>
      </c>
      <c r="H582" s="118">
        <f>_xlfn.XLOOKUP(наценкад5[[#This Row],[№]],ППД5[№],ППД5[Гардеробная],"-",0)</f>
        <v>0</v>
      </c>
      <c r="I582" s="118">
        <f>_xlfn.XLOOKUP(наценкад5[[#This Row],[№]],ППД5[№],ППД5[Лоджия 2],"-",0)</f>
        <v>0</v>
      </c>
      <c r="J582" s="118">
        <f>_xlfn.XLOOKUP(наценкад5[[#This Row],[№]],ППД5[№],ППД5[С\У],"-",0)</f>
        <v>0</v>
      </c>
      <c r="K582" s="118">
        <f>_xlfn.XLOOKUP(наценкад5[[#This Row],[№]],ППД5[№],ППД5[Расчетная проектная площадь],"-",0)</f>
        <v>39.69</v>
      </c>
      <c r="L582" s="12">
        <f t="shared" si="8"/>
        <v>63000</v>
      </c>
      <c r="M582" s="102">
        <f>коэффициенты!$G$2</f>
        <v>1.2875000000000001</v>
      </c>
      <c r="N582" s="13">
        <f>наценкад5[[#This Row],[Цена м2 базовая]]*наценкад5[[#This Row],[Базовой K]]</f>
        <v>81112.5</v>
      </c>
      <c r="O582" s="74"/>
      <c r="P582" s="76">
        <f>коэффициенты!$G$5</f>
        <v>0.01</v>
      </c>
      <c r="Q582" s="74"/>
      <c r="R582" s="74"/>
      <c r="S582" s="74"/>
      <c r="T582" s="74"/>
      <c r="U582" s="74"/>
      <c r="V582" s="74">
        <f>коэффициенты!$G$11</f>
        <v>0.01</v>
      </c>
      <c r="W582" s="75">
        <f>коэффициенты!$G$12</f>
        <v>0.02</v>
      </c>
      <c r="X582" s="74"/>
      <c r="Y582" s="75"/>
      <c r="Z582" s="76">
        <f>коэффициенты!$G$16</f>
        <v>0.08</v>
      </c>
      <c r="AA582" s="74">
        <f>коэффициенты!$G$14</f>
        <v>0.01</v>
      </c>
      <c r="AB582" s="74"/>
      <c r="AC582" s="74"/>
      <c r="AD582" s="74">
        <f>коэффициенты!$G$19</f>
        <v>0.01</v>
      </c>
      <c r="AE582" s="74"/>
      <c r="AF582" s="74">
        <f>коэффициенты!$G$21</f>
        <v>0.01</v>
      </c>
      <c r="AG582" s="74">
        <f>коэффициенты!$A$24</f>
        <v>-5.0000000000000001E-3</v>
      </c>
      <c r="AH582" s="74"/>
      <c r="AI582" s="73">
        <f>SUM(наценкад5[[#This Row],[еврокухня]:[большая площадь]])*наценкад5[[#This Row],[Цена м2 с базовым K]]+наценкад5[[#This Row],[Цена м2 с базовым K]]</f>
        <v>92873.8125</v>
      </c>
      <c r="AJ582" s="72">
        <f>VLOOKUP(наценкад5[[#This Row],[№]],ППД5[],COLUMN(ППД5[[#This Row],[утв цена м2]]),0)</f>
        <v>146457.31</v>
      </c>
      <c r="AK582" s="3">
        <f>наценкад5[[#This Row],[утв цена м2]]*наценкад5[[#This Row],[Расчетная проектная площадь]]</f>
        <v>5812890.6338999998</v>
      </c>
      <c r="AL582" s="22" t="str">
        <f>VLOOKUP(наценкад5[[#This Row],[№]],ППД5[],COLUMN('Реестр ОН'!$DF$1),0)</f>
        <v>Свободно</v>
      </c>
    </row>
  </sheetData>
  <sheetProtection formatCells="0" formatColumns="0" formatRows="0" sort="0" autoFilter="0" pivotTables="0"/>
  <phoneticPr fontId="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>
    <pageSetUpPr fitToPage="1"/>
  </sheetPr>
  <dimension ref="A1:M31"/>
  <sheetViews>
    <sheetView workbookViewId="0">
      <selection activeCell="A13" sqref="A13:XFD13"/>
    </sheetView>
  </sheetViews>
  <sheetFormatPr defaultRowHeight="15" x14ac:dyDescent="0.25"/>
  <cols>
    <col min="2" max="2" width="10.85546875" bestFit="1" customWidth="1"/>
    <col min="3" max="3" width="35.5703125" style="23" bestFit="1" customWidth="1"/>
    <col min="4" max="4" width="42.42578125" style="23" bestFit="1" customWidth="1"/>
    <col min="5" max="8" width="10.42578125" style="50" customWidth="1"/>
    <col min="9" max="12" width="11.42578125" customWidth="1"/>
    <col min="13" max="13" width="10.42578125" style="16" customWidth="1"/>
  </cols>
  <sheetData>
    <row r="1" spans="1:13" ht="16.5" customHeight="1" thickBot="1" x14ac:dyDescent="0.3">
      <c r="A1" s="371" t="s">
        <v>104</v>
      </c>
      <c r="B1" s="372"/>
      <c r="C1" s="372"/>
      <c r="D1" s="373"/>
      <c r="E1" s="84" t="s">
        <v>89</v>
      </c>
      <c r="F1" s="84" t="s">
        <v>58</v>
      </c>
      <c r="G1" s="84" t="s">
        <v>59</v>
      </c>
      <c r="H1" s="84">
        <v>0</v>
      </c>
      <c r="I1" s="367" t="s">
        <v>72</v>
      </c>
      <c r="J1" s="368"/>
      <c r="K1" s="368"/>
      <c r="L1" s="369"/>
    </row>
    <row r="2" spans="1:13" ht="16.5" thickBot="1" x14ac:dyDescent="0.3">
      <c r="A2" s="31"/>
      <c r="B2" s="25" t="s">
        <v>35</v>
      </c>
      <c r="C2" s="54" t="s">
        <v>75</v>
      </c>
      <c r="D2" s="55"/>
      <c r="E2" s="81">
        <f>E27*$E$29</f>
        <v>1.1330000000000002</v>
      </c>
      <c r="F2" s="81">
        <f t="shared" ref="F2:H2" si="0">F27*$E$29</f>
        <v>1.2257</v>
      </c>
      <c r="G2" s="81">
        <f t="shared" si="0"/>
        <v>1.2875000000000001</v>
      </c>
      <c r="H2" s="81">
        <f t="shared" si="0"/>
        <v>1.3905000000000001</v>
      </c>
      <c r="I2" s="85">
        <v>63</v>
      </c>
      <c r="J2" s="86">
        <v>229</v>
      </c>
      <c r="K2" s="86">
        <v>200</v>
      </c>
      <c r="L2" s="86">
        <v>88</v>
      </c>
    </row>
    <row r="3" spans="1:13" ht="16.5" customHeight="1" x14ac:dyDescent="0.25">
      <c r="A3" s="162" t="s">
        <v>79</v>
      </c>
      <c r="B3" s="163" t="s">
        <v>80</v>
      </c>
      <c r="C3" s="164" t="s">
        <v>77</v>
      </c>
      <c r="D3" s="53" t="s">
        <v>7</v>
      </c>
      <c r="E3" s="365" t="s">
        <v>78</v>
      </c>
      <c r="F3" s="366"/>
      <c r="G3" s="366"/>
      <c r="H3" s="366"/>
      <c r="I3" s="158">
        <v>3</v>
      </c>
      <c r="J3" s="159">
        <v>2</v>
      </c>
      <c r="K3" s="159">
        <v>1</v>
      </c>
      <c r="L3" s="160">
        <v>0</v>
      </c>
    </row>
    <row r="4" spans="1:13" s="67" customFormat="1" ht="18" customHeight="1" x14ac:dyDescent="0.25">
      <c r="A4" s="165"/>
      <c r="B4" s="167" t="s">
        <v>35</v>
      </c>
      <c r="C4" s="168" t="s">
        <v>83</v>
      </c>
      <c r="D4" s="169" t="s">
        <v>54</v>
      </c>
      <c r="E4" s="65">
        <v>0.03</v>
      </c>
      <c r="F4" s="65">
        <v>1.4999999999999999E-2</v>
      </c>
      <c r="G4" s="65">
        <v>0.02</v>
      </c>
      <c r="H4" s="170" t="s">
        <v>76</v>
      </c>
      <c r="I4" s="66">
        <f>COUNTIFS(наценкад5[еврокухня],E4,наценкад5[Тип кв],I$3)</f>
        <v>24</v>
      </c>
      <c r="J4" s="66">
        <f>COUNTIF(наценкад5[еврокухня],F4)</f>
        <v>188</v>
      </c>
      <c r="K4" s="66">
        <f>COUNTIF(наценкад5[еврокухня],G4)</f>
        <v>43</v>
      </c>
      <c r="L4" s="66">
        <f>COUNTIF(наценкад5[еврокухня],H4)</f>
        <v>0</v>
      </c>
      <c r="M4" s="79"/>
    </row>
    <row r="5" spans="1:13" ht="18" customHeight="1" x14ac:dyDescent="0.25">
      <c r="A5" s="165"/>
      <c r="B5" s="167" t="s">
        <v>35</v>
      </c>
      <c r="C5" s="168" t="s">
        <v>90</v>
      </c>
      <c r="D5" s="169"/>
      <c r="E5" s="65">
        <v>0</v>
      </c>
      <c r="F5" s="65">
        <v>0.01</v>
      </c>
      <c r="G5" s="65">
        <v>0.01</v>
      </c>
      <c r="H5" s="170" t="s">
        <v>76</v>
      </c>
      <c r="I5" s="66">
        <f>COUNTIFS(наценкад5[кухни от 10 до 14],E5,наценкад5[Тип кв],I$3)</f>
        <v>39</v>
      </c>
      <c r="J5" s="66">
        <f>COUNTIF(наценкад5[кухни от 10 до 14],F5)</f>
        <v>158</v>
      </c>
      <c r="K5" s="66">
        <f>COUNTIF(наценкад5[кухни от 10 до 14],G5)</f>
        <v>158</v>
      </c>
      <c r="L5" s="66">
        <f>COUNTIF(наценкад5[кухни от 10 до 14],H5)</f>
        <v>0</v>
      </c>
      <c r="M5" s="79"/>
    </row>
    <row r="6" spans="1:13" ht="18" customHeight="1" x14ac:dyDescent="0.25">
      <c r="A6" s="165"/>
      <c r="B6" s="167" t="s">
        <v>35</v>
      </c>
      <c r="C6" s="168" t="s">
        <v>31</v>
      </c>
      <c r="D6" s="169"/>
      <c r="E6" s="65">
        <v>0.01</v>
      </c>
      <c r="F6" s="65">
        <v>0.02</v>
      </c>
      <c r="G6" s="65">
        <v>0.03</v>
      </c>
      <c r="H6" s="170" t="s">
        <v>76</v>
      </c>
      <c r="I6" s="66">
        <f>COUNTIFS(наценкад5[ванна от 4 кв.м],E6,наценкад5[Тип кв],I$3)</f>
        <v>63</v>
      </c>
      <c r="J6" s="66">
        <f>COUNTIF(наценкад5[ванна от 4 кв.м],F6)</f>
        <v>71</v>
      </c>
      <c r="K6" s="66">
        <f>COUNTIF(наценкад5[ванна от 4 кв.м],G6)</f>
        <v>81</v>
      </c>
      <c r="L6" s="66">
        <f>COUNTIF(наценкад5[ванна от 4 кв.м],H6)</f>
        <v>0</v>
      </c>
      <c r="M6" s="79"/>
    </row>
    <row r="7" spans="1:13" ht="15.75" x14ac:dyDescent="0.25">
      <c r="A7" s="166"/>
      <c r="B7" s="167" t="s">
        <v>35</v>
      </c>
      <c r="C7" s="168" t="s">
        <v>45</v>
      </c>
      <c r="D7" s="169"/>
      <c r="E7" s="65">
        <v>0</v>
      </c>
      <c r="F7" s="65">
        <v>0.03</v>
      </c>
      <c r="G7" s="193" t="s">
        <v>76</v>
      </c>
      <c r="H7" s="193" t="s">
        <v>76</v>
      </c>
      <c r="I7" s="66">
        <f>COUNTIFS(наценкад5[2 лоджии],E7,наценкад5[Тип кв],I$3)</f>
        <v>63</v>
      </c>
      <c r="J7" s="66">
        <f>COUNTIFS(наценкад5[2 лоджии],F7,наценкад5[Тип кв],J$3)</f>
        <v>25</v>
      </c>
      <c r="K7" s="66">
        <f>COUNTIFS(наценкад5[2 лоджии],G7,наценкад5[Тип кв],K$3)</f>
        <v>0</v>
      </c>
      <c r="L7" s="66">
        <f>COUNTIFS(наценкад5[2 лоджии],H7,наценкад5[Тип кв],L$3)</f>
        <v>0</v>
      </c>
      <c r="M7" s="79"/>
    </row>
    <row r="8" spans="1:13" ht="15.75" x14ac:dyDescent="0.25">
      <c r="A8" s="166"/>
      <c r="B8" s="167"/>
      <c r="C8" s="168" t="s">
        <v>81</v>
      </c>
      <c r="D8" s="169"/>
      <c r="E8" s="65">
        <v>0.01</v>
      </c>
      <c r="F8" s="170" t="s">
        <v>76</v>
      </c>
      <c r="G8" s="193" t="s">
        <v>76</v>
      </c>
      <c r="H8" s="193" t="s">
        <v>76</v>
      </c>
      <c r="I8" s="66">
        <f>COUNTIFS(наценкад5[3 лоджии],E8,наценкад5[Тип кв],I$3)</f>
        <v>24</v>
      </c>
      <c r="J8" s="66">
        <f>COUNTIFS(наценкад5[3 лоджии],F8,наценкад5[Тип кв],J$3)</f>
        <v>0</v>
      </c>
      <c r="K8" s="66">
        <f>COUNTIFS(наценкад5[3 лоджии],G8,наценкад5[Тип кв],K$3)</f>
        <v>0</v>
      </c>
      <c r="L8" s="66">
        <f>COUNTIFS(наценкад5[3 лоджии],H8,наценкад5[Тип кв],L$3)</f>
        <v>0</v>
      </c>
      <c r="M8" s="79"/>
    </row>
    <row r="9" spans="1:13" ht="15.75" x14ac:dyDescent="0.25">
      <c r="A9" s="187"/>
      <c r="B9" s="188" t="s">
        <v>35</v>
      </c>
      <c r="C9" s="189" t="s">
        <v>140</v>
      </c>
      <c r="D9" s="190" t="s">
        <v>139</v>
      </c>
      <c r="E9" s="191">
        <v>0</v>
      </c>
      <c r="F9" s="192">
        <v>0</v>
      </c>
      <c r="G9" s="192">
        <v>0</v>
      </c>
      <c r="H9" s="192">
        <v>0</v>
      </c>
      <c r="I9" s="192">
        <f>COUNTIFS(наценкад5[2 С\У],E9,наценкад5[Тип кв],I$3)</f>
        <v>63</v>
      </c>
      <c r="J9" s="192">
        <f>COUNTIFS(наценкад5[2 С\У],F9,наценкад5[Тип кв],J$3)</f>
        <v>210</v>
      </c>
      <c r="K9" s="192">
        <f>COUNTIFS(наценкад5[2 С\У],G9,наценкад5[Тип кв],K$3)</f>
        <v>26</v>
      </c>
      <c r="L9" s="192">
        <f>COUNTIFS(наценкад5[2 С\У],H9,наценкад5[Тип кв],L$3)</f>
        <v>0</v>
      </c>
      <c r="M9" s="79"/>
    </row>
    <row r="10" spans="1:13" ht="15.75" x14ac:dyDescent="0.25">
      <c r="A10" s="187"/>
      <c r="B10" s="188" t="s">
        <v>35</v>
      </c>
      <c r="C10" s="189" t="s">
        <v>142</v>
      </c>
      <c r="D10" s="190" t="s">
        <v>139</v>
      </c>
      <c r="E10" s="191">
        <v>0</v>
      </c>
      <c r="F10" s="192">
        <v>0</v>
      </c>
      <c r="G10" s="192">
        <v>0.01</v>
      </c>
      <c r="H10" s="192">
        <v>0</v>
      </c>
      <c r="I10" s="192">
        <f>COUNTIFS(наценкад5[раздельный су],E10,наценкад5[Тип кв],I$3)</f>
        <v>0</v>
      </c>
      <c r="J10" s="192">
        <f>COUNTIFS(наценкад5[раздельный су],F10,наценкад5[Тип кв],J$3)</f>
        <v>48</v>
      </c>
      <c r="K10" s="192">
        <f>COUNTIFS(наценкад5[раздельный су],G10,наценкад5[Тип кв],K$3)</f>
        <v>24</v>
      </c>
      <c r="L10" s="192">
        <f>COUNTIFS(наценкад5[раздельный су],H10,наценкад5[Тип кв],L$3)</f>
        <v>0</v>
      </c>
      <c r="M10" s="79"/>
    </row>
    <row r="11" spans="1:13" ht="15.75" x14ac:dyDescent="0.25">
      <c r="A11" s="165"/>
      <c r="B11" s="167" t="s">
        <v>35</v>
      </c>
      <c r="C11" s="168" t="s">
        <v>40</v>
      </c>
      <c r="D11" s="169"/>
      <c r="E11" s="65">
        <v>5.0000000000000001E-3</v>
      </c>
      <c r="F11" s="65">
        <v>5.0000000000000001E-3</v>
      </c>
      <c r="G11" s="65">
        <v>0.01</v>
      </c>
      <c r="H11" s="65">
        <v>0.01</v>
      </c>
      <c r="I11" s="66">
        <f>COUNTIFS(наценкад5[гардероб],E11,наценкад5[Тип кв],I$3)</f>
        <v>0</v>
      </c>
      <c r="J11" s="66">
        <f>COUNTIFS(наценкад5[гардероб],F11,наценкад5[Тип кв],J$3)</f>
        <v>57</v>
      </c>
      <c r="K11" s="66">
        <f>COUNTIFS(наценкад5[гардероб],G11,наценкад5[Тип кв],K$3)</f>
        <v>144</v>
      </c>
      <c r="L11" s="66">
        <f>COUNTIFS(наценкад5[гардероб],H11,наценкад5[Тип кв],L$3)</f>
        <v>64</v>
      </c>
      <c r="M11" s="79"/>
    </row>
    <row r="12" spans="1:13" ht="15.75" x14ac:dyDescent="0.25">
      <c r="A12" s="65">
        <v>0.02</v>
      </c>
      <c r="B12" s="167" t="s">
        <v>35</v>
      </c>
      <c r="C12" s="168" t="s">
        <v>49</v>
      </c>
      <c r="D12" s="169"/>
      <c r="E12" s="65">
        <v>0.02</v>
      </c>
      <c r="F12" s="65">
        <v>0.02</v>
      </c>
      <c r="G12" s="65">
        <v>0.02</v>
      </c>
      <c r="H12" s="65">
        <v>0.02</v>
      </c>
      <c r="I12" s="66">
        <f>COUNTIFS(наценкад5[Панорама],E12,наценкад5[Тип кв],I$3)</f>
        <v>30</v>
      </c>
      <c r="J12" s="66">
        <f>COUNTIFS(наценкад5[Панорама],F12,наценкад5[Тип кв],J$3)</f>
        <v>50</v>
      </c>
      <c r="K12" s="66">
        <f>COUNTIFS(наценкад5[Панорама],G12,наценкад5[Тип кв],K$3)</f>
        <v>46</v>
      </c>
      <c r="L12" s="66">
        <f>COUNTIFS(наценкад5[Панорама],H12,наценкад5[Тип кв],L$3)</f>
        <v>16</v>
      </c>
      <c r="M12" s="79"/>
    </row>
    <row r="13" spans="1:13" ht="15.75" x14ac:dyDescent="0.25">
      <c r="A13" s="165"/>
      <c r="B13" s="167" t="s">
        <v>74</v>
      </c>
      <c r="C13" s="171" t="s">
        <v>73</v>
      </c>
      <c r="D13" s="172" t="s">
        <v>91</v>
      </c>
      <c r="E13" s="65">
        <v>0</v>
      </c>
      <c r="F13" s="65">
        <v>0.02</v>
      </c>
      <c r="G13" s="65">
        <v>0.01</v>
      </c>
      <c r="H13" s="65">
        <v>0.01</v>
      </c>
      <c r="I13" s="66">
        <f>COUNTIFS(наценкад5[Вид на улицу\двор],E13,наценкад5[Тип кв],I$3)</f>
        <v>0</v>
      </c>
      <c r="J13" s="66">
        <f>COUNTIFS(наценкад5[Вид на улицу\двор],F13,наценкад5[Тип кв],J$3)</f>
        <v>58</v>
      </c>
      <c r="K13" s="66">
        <f>COUNTIFS(наценкад5[Вид на улицу\двор],G13,наценкад5[Тип кв],K$3)</f>
        <v>81</v>
      </c>
      <c r="L13" s="66">
        <f>COUNTIFS(наценкад5[Вид на улицу\двор],H13,наценкад5[Тип кв],L$3)</f>
        <v>64</v>
      </c>
      <c r="M13" s="79"/>
    </row>
    <row r="14" spans="1:13" ht="15.75" x14ac:dyDescent="0.25">
      <c r="A14" s="165"/>
      <c r="B14" s="167">
        <v>1.2</v>
      </c>
      <c r="C14" s="173" t="s">
        <v>41</v>
      </c>
      <c r="D14" s="174"/>
      <c r="E14" s="170">
        <v>0</v>
      </c>
      <c r="F14" s="65">
        <v>0.02</v>
      </c>
      <c r="G14" s="65">
        <v>0.01</v>
      </c>
      <c r="H14" s="170" t="s">
        <v>76</v>
      </c>
      <c r="I14" s="66">
        <f>COUNTIFS(наценкад5[Кухня с лоджией],E14,наценкад5[Тип кв],I$3)</f>
        <v>63</v>
      </c>
      <c r="J14" s="66">
        <f>COUNTIFS(наценкад5[Кухня с лоджией],F14,наценкад5[Тип кв],J$3)</f>
        <v>42</v>
      </c>
      <c r="K14" s="66">
        <f>COUNTIFS(наценкад5[Кухня с лоджией],G14,наценкад5[Тип кв],K$3)</f>
        <v>150</v>
      </c>
      <c r="L14" s="66">
        <f>COUNTIFS(наценкад5[Кухня с лоджией],H14,наценкад5[Тип кв],L$3)</f>
        <v>0</v>
      </c>
      <c r="M14" s="79"/>
    </row>
    <row r="15" spans="1:13" ht="15.75" x14ac:dyDescent="0.25">
      <c r="A15" s="165">
        <v>0.01</v>
      </c>
      <c r="B15" s="167" t="s">
        <v>35</v>
      </c>
      <c r="C15" s="168" t="s">
        <v>46</v>
      </c>
      <c r="D15" s="169" t="s">
        <v>99</v>
      </c>
      <c r="E15" s="165">
        <v>0.01</v>
      </c>
      <c r="F15" s="165">
        <v>0.01</v>
      </c>
      <c r="G15" s="165">
        <v>0.01</v>
      </c>
      <c r="H15" s="165">
        <v>0.01</v>
      </c>
      <c r="I15" s="66">
        <f>COUNTIFS(наценкад5[низкий этаж],E15,наценкад5[Тип кв],I$3)</f>
        <v>9</v>
      </c>
      <c r="J15" s="66">
        <f>COUNTIFS(наценкад5[низкий этаж],F15,наценкад5[Тип кв],J$3)</f>
        <v>34</v>
      </c>
      <c r="K15" s="66">
        <f>COUNTIFS(наценкад5[низкий этаж],G15,наценкад5[Тип кв],K$3)</f>
        <v>32</v>
      </c>
      <c r="L15" s="66">
        <f>COUNTIFS(наценкад5[низкий этаж],H15,наценкад5[Тип кв],L$3)</f>
        <v>12</v>
      </c>
      <c r="M15" s="79"/>
    </row>
    <row r="16" spans="1:13" ht="15.75" x14ac:dyDescent="0.25">
      <c r="A16" s="175">
        <v>0.08</v>
      </c>
      <c r="B16" s="175" t="s">
        <v>35</v>
      </c>
      <c r="C16" s="173" t="s">
        <v>48</v>
      </c>
      <c r="D16" s="169"/>
      <c r="E16" s="170">
        <v>0.08</v>
      </c>
      <c r="F16" s="170">
        <v>0.08</v>
      </c>
      <c r="G16" s="170">
        <v>0.08</v>
      </c>
      <c r="H16" s="170">
        <v>0.08</v>
      </c>
      <c r="I16" s="66">
        <f>COUNTIFS(наценкад5[Высокий потолок],E16,наценкад5[Тип кв],I$3)</f>
        <v>12</v>
      </c>
      <c r="J16" s="66">
        <f>COUNTIFS(наценкад5[Высокий потолок],F16,наценкад5[Тип кв],J$3)</f>
        <v>30</v>
      </c>
      <c r="K16" s="66">
        <f>COUNTIFS(наценкад5[Высокий потолок],G16,наценкад5[Тип кв],K$3)</f>
        <v>30</v>
      </c>
      <c r="L16" s="66">
        <f>COUNTIFS(наценкад5[Высокий потолок],H16,наценкад5[Тип кв],L$3)</f>
        <v>18</v>
      </c>
      <c r="M16" s="79"/>
    </row>
    <row r="17" spans="1:13" ht="15.75" x14ac:dyDescent="0.25">
      <c r="A17" s="175"/>
      <c r="B17" s="175" t="s">
        <v>144</v>
      </c>
      <c r="C17" s="171" t="s">
        <v>42</v>
      </c>
      <c r="D17" s="169"/>
      <c r="E17" s="170">
        <v>0</v>
      </c>
      <c r="F17" s="170">
        <v>0.05</v>
      </c>
      <c r="G17" s="193" t="s">
        <v>76</v>
      </c>
      <c r="H17" s="193" t="s">
        <v>76</v>
      </c>
      <c r="I17" s="66">
        <f>COUNTIFS(наценкад5[вид на 2 стороны],E17,наценкад5[Тип кв],I$3)</f>
        <v>39</v>
      </c>
      <c r="J17" s="66">
        <f>COUNTIFS(наценкад5[вид на 2 стороны],F17,наценкад5[Тип кв],J$3)</f>
        <v>17</v>
      </c>
      <c r="K17" s="66">
        <f>COUNTIFS(наценкад5[вид на 2 стороны],G17,наценкад5[Тип кв],K$3)</f>
        <v>0</v>
      </c>
      <c r="L17" s="66">
        <f>COUNTIFS(наценкад5[вид на 2 стороны],H17,наценкад5[Тип кв],L$3)</f>
        <v>0</v>
      </c>
      <c r="M17" s="79"/>
    </row>
    <row r="18" spans="1:13" ht="15.75" x14ac:dyDescent="0.25">
      <c r="A18" s="175"/>
      <c r="B18" s="175" t="s">
        <v>144</v>
      </c>
      <c r="C18" s="171" t="s">
        <v>82</v>
      </c>
      <c r="D18" s="169"/>
      <c r="E18" s="170">
        <v>0.01</v>
      </c>
      <c r="F18" s="170">
        <v>0</v>
      </c>
      <c r="G18" s="193" t="s">
        <v>76</v>
      </c>
      <c r="H18" s="193" t="s">
        <v>76</v>
      </c>
      <c r="I18" s="66">
        <f>COUNTIFS(наценкад5[вид на 3 стороны],E18,наценкад5[Тип кв],I$3)</f>
        <v>24</v>
      </c>
      <c r="J18" s="66">
        <f>COUNTIFS(наценкад5[вид на 3 стороны],F18,наценкад5[Тип кв],J$3)</f>
        <v>0</v>
      </c>
      <c r="K18" s="66">
        <f>COUNTIFS(наценкад5[вид на 3 стороны],G18,наценкад5[Тип кв],K$3)</f>
        <v>0</v>
      </c>
      <c r="L18" s="66">
        <f>COUNTIFS(наценкад5[вид на 3 стороны],H18,наценкад5[Тип кв],L$3)</f>
        <v>0</v>
      </c>
      <c r="M18" s="79"/>
    </row>
    <row r="19" spans="1:13" ht="15.75" x14ac:dyDescent="0.25">
      <c r="A19" s="65"/>
      <c r="B19" s="175" t="s">
        <v>35</v>
      </c>
      <c r="C19" s="173" t="s">
        <v>47</v>
      </c>
      <c r="D19" s="170"/>
      <c r="E19" s="170">
        <v>0</v>
      </c>
      <c r="F19" s="170">
        <v>5.0000000000000001E-3</v>
      </c>
      <c r="G19" s="170">
        <v>0.01</v>
      </c>
      <c r="H19" s="170">
        <v>0.01</v>
      </c>
      <c r="I19" s="66">
        <f>COUNTIFS(наценкад5[Не угловая],E19,наценкад5[Тип кв],I$3)</f>
        <v>1</v>
      </c>
      <c r="J19" s="66">
        <f>COUNTIFS(наценкад5[Не угловая],F19,наценкад5[Тип кв],J$3)</f>
        <v>213</v>
      </c>
      <c r="K19" s="66">
        <f>COUNTIFS(наценкад5[Не угловая],G19,наценкад5[Тип кв],K$3)</f>
        <v>200</v>
      </c>
      <c r="L19" s="66">
        <f>COUNTIFS(наценкад5[Не угловая],H19,наценкад5[Тип кв],L$3)</f>
        <v>88</v>
      </c>
      <c r="M19" s="79"/>
    </row>
    <row r="20" spans="1:13" ht="15.75" x14ac:dyDescent="0.25">
      <c r="A20" s="65"/>
      <c r="B20" s="175"/>
      <c r="C20" s="173" t="s">
        <v>110</v>
      </c>
      <c r="D20" s="170" t="s">
        <v>113</v>
      </c>
      <c r="E20" s="170">
        <v>0.03</v>
      </c>
      <c r="F20" s="170">
        <v>0.03</v>
      </c>
      <c r="G20" s="170">
        <v>0.05</v>
      </c>
      <c r="H20" s="170">
        <v>0.1</v>
      </c>
      <c r="I20" s="66">
        <f>COUNTIFS(наценкад5[1этаж],E20,наценкад5[Тип кв],I$3)</f>
        <v>2</v>
      </c>
      <c r="J20" s="66">
        <f>COUNTIFS(наценкад5[1этаж],F20,наценкад5[Тип кв],J$3)</f>
        <v>11</v>
      </c>
      <c r="K20" s="66">
        <f>COUNTIFS(наценкад5[1этаж],G20,наценкад5[Тип кв],K$3)</f>
        <v>8</v>
      </c>
      <c r="L20" s="66">
        <f>COUNTIFS(наценкад5[1этаж],H20,наценкад5[Тип кв],L$3)</f>
        <v>4</v>
      </c>
      <c r="M20" s="79"/>
    </row>
    <row r="21" spans="1:13" ht="15.75" x14ac:dyDescent="0.25">
      <c r="A21" s="65"/>
      <c r="B21" s="175"/>
      <c r="C21" s="173" t="s">
        <v>108</v>
      </c>
      <c r="D21" s="170"/>
      <c r="E21" s="170">
        <v>0.01</v>
      </c>
      <c r="F21" s="170">
        <v>0.01</v>
      </c>
      <c r="G21" s="170">
        <v>0.01</v>
      </c>
      <c r="H21" s="170">
        <v>0.01</v>
      </c>
      <c r="I21" s="66">
        <f>COUNTIFS(наценкад5[Распашные двери],E21,наценкад5[Тип кв],I$3)</f>
        <v>48</v>
      </c>
      <c r="J21" s="66">
        <f>COUNTIFS(наценкад5[Распашные двери],F21,наценкад5[Тип кв],J$3)</f>
        <v>118</v>
      </c>
      <c r="K21" s="66">
        <f>COUNTIFS(наценкад5[Распашные двери],G21,наценкад5[Тип кв],K$3)</f>
        <v>120</v>
      </c>
      <c r="L21" s="66">
        <f>COUNTIFS(наценкад5[Распашные двери],H21,наценкад5[Тип кв],L$3)</f>
        <v>72</v>
      </c>
      <c r="M21" s="79"/>
    </row>
    <row r="22" spans="1:13" ht="15.75" x14ac:dyDescent="0.25">
      <c r="A22" s="65">
        <v>0.01</v>
      </c>
      <c r="B22" s="167" t="s">
        <v>35</v>
      </c>
      <c r="C22" s="168" t="s">
        <v>103</v>
      </c>
      <c r="D22" s="169" t="s">
        <v>109</v>
      </c>
      <c r="E22" s="65">
        <v>0.01</v>
      </c>
      <c r="F22" s="65">
        <v>0.01</v>
      </c>
      <c r="G22" s="65">
        <v>0.01</v>
      </c>
      <c r="H22" s="65">
        <v>0.01</v>
      </c>
      <c r="I22" s="66">
        <f>COUNTIFS(наценкад5[Панорама],E22,наценкад5[Тип кв],I$3)</f>
        <v>11</v>
      </c>
      <c r="J22" s="66">
        <f>COUNTIFS(наценкад5[Панорама],F22,наценкад5[Тип кв],J$3)</f>
        <v>18</v>
      </c>
      <c r="K22" s="66">
        <f>COUNTIFS(наценкад5[Панорама],G22,наценкад5[Тип кв],K$3)</f>
        <v>20</v>
      </c>
      <c r="L22" s="66">
        <f>COUNTIFS(наценкад5[Панорама],H22,наценкад5[Тип кв],L$3)</f>
        <v>9</v>
      </c>
      <c r="M22" s="80"/>
    </row>
    <row r="23" spans="1:13" ht="18" customHeight="1" x14ac:dyDescent="0.25">
      <c r="A23" s="370" t="s">
        <v>105</v>
      </c>
      <c r="B23" s="370"/>
      <c r="C23" s="370"/>
      <c r="D23" s="370"/>
      <c r="E23" s="158">
        <v>3</v>
      </c>
      <c r="F23" s="159">
        <v>2</v>
      </c>
      <c r="G23" s="159">
        <v>1</v>
      </c>
      <c r="H23" s="160">
        <v>0</v>
      </c>
      <c r="I23" s="161"/>
      <c r="J23" s="161"/>
      <c r="K23" s="161"/>
      <c r="L23" s="161"/>
    </row>
    <row r="24" spans="1:13" ht="15.75" x14ac:dyDescent="0.25">
      <c r="A24" s="183">
        <v>-5.0000000000000001E-3</v>
      </c>
      <c r="B24" s="183" t="s">
        <v>35</v>
      </c>
      <c r="C24" s="184" t="s">
        <v>101</v>
      </c>
      <c r="D24" s="185"/>
      <c r="E24" s="186">
        <v>-5.0000000000000001E-3</v>
      </c>
      <c r="F24" s="186">
        <v>-5.0000000000000001E-3</v>
      </c>
      <c r="G24" s="186">
        <v>-5.0000000000000001E-3</v>
      </c>
      <c r="H24" s="186">
        <v>-5.0000000000000001E-3</v>
      </c>
      <c r="I24" s="186">
        <f>COUNTIFS(наценкад5[Лифт],E24,наценкад5[Тип кв],I$3)</f>
        <v>0</v>
      </c>
      <c r="J24" s="186">
        <f>COUNTIFS(наценкад5[Лифт],F24,наценкад5[Тип кв],J$3)</f>
        <v>1</v>
      </c>
      <c r="K24" s="186">
        <f>COUNTIFS(наценкад5[Лифт],G24,наценкад5[Тип кв],K$3)</f>
        <v>79</v>
      </c>
      <c r="L24" s="186">
        <f>COUNTIFS(наценкад5[Лифт],H24,наценкад5[Тип кв],L$3)</f>
        <v>0</v>
      </c>
      <c r="M24" s="79"/>
    </row>
    <row r="26" spans="1:13" ht="15.75" thickBot="1" x14ac:dyDescent="0.3"/>
    <row r="27" spans="1:13" ht="15.75" thickBot="1" x14ac:dyDescent="0.3">
      <c r="E27" s="81">
        <v>1.1000000000000001</v>
      </c>
      <c r="F27" s="82">
        <v>1.19</v>
      </c>
      <c r="G27" s="83">
        <v>1.25</v>
      </c>
      <c r="H27" s="50">
        <v>1.35</v>
      </c>
    </row>
    <row r="29" spans="1:13" x14ac:dyDescent="0.25">
      <c r="E29" s="50">
        <v>1.03</v>
      </c>
    </row>
    <row r="31" spans="1:13" x14ac:dyDescent="0.25">
      <c r="E31" s="50">
        <v>0.03</v>
      </c>
      <c r="F31" s="50">
        <v>0.03</v>
      </c>
      <c r="G31" s="50">
        <v>0.05</v>
      </c>
      <c r="H31" s="50">
        <v>0.1</v>
      </c>
    </row>
  </sheetData>
  <mergeCells count="4">
    <mergeCell ref="E3:H3"/>
    <mergeCell ref="I1:L1"/>
    <mergeCell ref="A23:D23"/>
    <mergeCell ref="A1:D1"/>
  </mergeCells>
  <pageMargins left="0.7" right="0.7" top="0.75" bottom="0.75" header="0.3" footer="0.3"/>
  <pageSetup paperSize="9" scale="7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31415-F439-4F22-A9A7-5B5E2C85D27A}">
  <sheetPr codeName="Лист5"/>
  <dimension ref="A1:BL426"/>
  <sheetViews>
    <sheetView topLeftCell="C1" workbookViewId="0">
      <selection activeCell="H5" sqref="H5"/>
    </sheetView>
  </sheetViews>
  <sheetFormatPr defaultColWidth="9.140625" defaultRowHeight="15" x14ac:dyDescent="0.25"/>
  <cols>
    <col min="1" max="1" width="5.5703125" style="223" hidden="1" customWidth="1"/>
    <col min="2" max="2" width="9.42578125" style="223" hidden="1" customWidth="1"/>
    <col min="3" max="3" width="30.140625" style="223" bestFit="1" customWidth="1"/>
    <col min="4" max="4" width="14.5703125" style="223" bestFit="1" customWidth="1"/>
    <col min="5" max="5" width="18.140625" style="223" customWidth="1"/>
    <col min="6" max="6" width="12.42578125" style="223" bestFit="1" customWidth="1"/>
    <col min="7" max="7" width="22" style="223" bestFit="1" customWidth="1"/>
    <col min="8" max="8" width="31.5703125" style="223" customWidth="1"/>
    <col min="9" max="9" width="29.5703125" style="223" customWidth="1"/>
    <col min="10" max="10" width="81.140625" style="223" bestFit="1" customWidth="1"/>
    <col min="11" max="11" width="7.42578125" style="223" hidden="1" customWidth="1"/>
    <col min="12" max="12" width="9.85546875" style="223" hidden="1" customWidth="1"/>
    <col min="13" max="13" width="14.140625" style="223" hidden="1" customWidth="1"/>
    <col min="14" max="14" width="7.85546875" style="223" hidden="1" customWidth="1"/>
    <col min="15" max="15" width="8" style="223" hidden="1" customWidth="1"/>
    <col min="16" max="16" width="9" style="223" hidden="1" customWidth="1"/>
    <col min="17" max="17" width="6" style="223" hidden="1" customWidth="1"/>
    <col min="18" max="18" width="13.85546875" style="236" bestFit="1" customWidth="1"/>
    <col min="19" max="19" width="18.7109375" style="237" bestFit="1" customWidth="1"/>
    <col min="20" max="20" width="11" style="238" hidden="1" customWidth="1"/>
    <col min="21" max="21" width="7" style="237" hidden="1" customWidth="1"/>
    <col min="22" max="22" width="16" style="237" hidden="1" customWidth="1"/>
    <col min="23" max="23" width="30.5703125" style="238" hidden="1" customWidth="1"/>
    <col min="24" max="24" width="21.42578125" style="237" bestFit="1" customWidth="1"/>
    <col min="25" max="25" width="6.42578125" style="237" bestFit="1" customWidth="1"/>
    <col min="26" max="26" width="33.85546875" style="237" hidden="1" customWidth="1"/>
    <col min="27" max="27" width="31.7109375" style="223" hidden="1" customWidth="1"/>
    <col min="28" max="28" width="67.140625" style="223" bestFit="1" customWidth="1"/>
    <col min="29" max="29" width="16.5703125" style="226" bestFit="1" customWidth="1"/>
    <col min="30" max="30" width="18.140625" style="223" bestFit="1" customWidth="1"/>
    <col min="31" max="31" width="15.140625" style="223" bestFit="1" customWidth="1"/>
    <col min="32" max="32" width="24.5703125" style="223" bestFit="1" customWidth="1"/>
    <col min="33" max="33" width="22.7109375" style="223" bestFit="1" customWidth="1"/>
    <col min="34" max="34" width="10" style="223" bestFit="1" customWidth="1"/>
    <col min="35" max="35" width="11.42578125" style="223" customWidth="1"/>
    <col min="36" max="36" width="11.42578125" style="223" bestFit="1" customWidth="1"/>
    <col min="37" max="37" width="27.85546875" style="223" bestFit="1" customWidth="1"/>
    <col min="38" max="38" width="28" style="223" bestFit="1" customWidth="1"/>
    <col min="39" max="39" width="25.140625" style="223" bestFit="1" customWidth="1"/>
    <col min="40" max="40" width="14.140625" style="223" customWidth="1"/>
    <col min="41" max="41" width="18.7109375" style="223" customWidth="1"/>
    <col min="42" max="42" width="41.28515625" style="223" customWidth="1"/>
    <col min="43" max="43" width="23.28515625" style="223" customWidth="1"/>
    <col min="44" max="44" width="9.28515625" style="223" customWidth="1"/>
    <col min="45" max="45" width="17.7109375" style="223" customWidth="1"/>
    <col min="46" max="46" width="55" style="223" bestFit="1" customWidth="1"/>
    <col min="47" max="47" width="13.28515625" style="223" bestFit="1" customWidth="1"/>
    <col min="48" max="48" width="10.42578125" style="223" bestFit="1" customWidth="1"/>
    <col min="49" max="49" width="15.7109375" style="223" customWidth="1"/>
    <col min="50" max="50" width="13.140625" style="223" bestFit="1" customWidth="1"/>
    <col min="51" max="51" width="28.5703125" style="223" bestFit="1" customWidth="1"/>
    <col min="52" max="52" width="59.85546875" style="223" bestFit="1" customWidth="1"/>
    <col min="53" max="55" width="81.140625" style="223" customWidth="1"/>
    <col min="56" max="56" width="12" style="223" customWidth="1"/>
    <col min="57" max="57" width="14.28515625" style="223" customWidth="1"/>
    <col min="58" max="58" width="37.140625" style="223" customWidth="1"/>
    <col min="59" max="59" width="55" style="223" customWidth="1"/>
    <col min="60" max="60" width="13.28515625" style="223" bestFit="1" customWidth="1"/>
    <col min="61" max="61" width="10.42578125" style="223" bestFit="1" customWidth="1"/>
    <col min="62" max="62" width="15.7109375" style="223" customWidth="1"/>
    <col min="63" max="63" width="28.5703125" style="223" customWidth="1"/>
    <col min="64" max="64" width="59.85546875" style="177" bestFit="1" customWidth="1"/>
    <col min="65" max="65" width="12.28515625" style="223" customWidth="1"/>
    <col min="66" max="66" width="11.42578125" style="223" bestFit="1" customWidth="1"/>
    <col min="67" max="16384" width="9.140625" style="223"/>
  </cols>
  <sheetData>
    <row r="1" spans="1:64" x14ac:dyDescent="0.25">
      <c r="A1" s="223" t="s">
        <v>6</v>
      </c>
      <c r="B1" s="223" t="s">
        <v>821</v>
      </c>
      <c r="C1" s="223" t="s">
        <v>822</v>
      </c>
      <c r="D1" s="223" t="s">
        <v>823</v>
      </c>
      <c r="E1" s="223" t="s">
        <v>824</v>
      </c>
      <c r="F1" s="223" t="s">
        <v>825</v>
      </c>
      <c r="G1" s="223" t="s">
        <v>826</v>
      </c>
      <c r="H1" s="223" t="s">
        <v>827</v>
      </c>
      <c r="I1" s="223" t="s">
        <v>828</v>
      </c>
      <c r="J1" s="223" t="s">
        <v>829</v>
      </c>
      <c r="K1" s="223" t="s">
        <v>830</v>
      </c>
      <c r="L1" s="223" t="s">
        <v>17</v>
      </c>
      <c r="M1" s="223" t="s">
        <v>97</v>
      </c>
      <c r="N1" s="223" t="s">
        <v>16</v>
      </c>
      <c r="O1" s="223" t="s">
        <v>831</v>
      </c>
      <c r="P1" s="223" t="s">
        <v>18</v>
      </c>
      <c r="Q1" s="223" t="s">
        <v>125</v>
      </c>
      <c r="R1" s="236" t="s">
        <v>832</v>
      </c>
      <c r="S1" s="237" t="s">
        <v>833</v>
      </c>
      <c r="T1" s="238" t="s">
        <v>834</v>
      </c>
      <c r="U1" s="237" t="s">
        <v>1703</v>
      </c>
      <c r="V1" s="237" t="s">
        <v>835</v>
      </c>
      <c r="W1" s="238" t="s">
        <v>836</v>
      </c>
      <c r="X1" s="237" t="s">
        <v>9</v>
      </c>
      <c r="Y1" s="237" t="s">
        <v>1697</v>
      </c>
      <c r="Z1" s="237" t="s">
        <v>837</v>
      </c>
      <c r="AA1" s="223" t="s">
        <v>838</v>
      </c>
      <c r="AB1" s="223" t="s">
        <v>839</v>
      </c>
      <c r="AC1" s="226" t="s">
        <v>1704</v>
      </c>
      <c r="AD1" s="223" t="s">
        <v>840</v>
      </c>
      <c r="AE1" s="223" t="s">
        <v>841</v>
      </c>
      <c r="AF1" s="223" t="s">
        <v>1705</v>
      </c>
      <c r="AG1" s="223" t="s">
        <v>1706</v>
      </c>
      <c r="AH1" s="223" t="s">
        <v>842</v>
      </c>
      <c r="AI1" s="223" t="s">
        <v>843</v>
      </c>
      <c r="AJ1" s="223" t="s">
        <v>844</v>
      </c>
      <c r="AK1" s="223" t="s">
        <v>845</v>
      </c>
      <c r="AL1" s="223" t="s">
        <v>846</v>
      </c>
      <c r="AM1" s="223" t="s">
        <v>1707</v>
      </c>
      <c r="AN1" s="223" t="s">
        <v>847</v>
      </c>
      <c r="AO1" s="223" t="s">
        <v>848</v>
      </c>
      <c r="AP1" s="223" t="s">
        <v>849</v>
      </c>
      <c r="AQ1" s="223" t="s">
        <v>850</v>
      </c>
      <c r="AR1" s="223" t="s">
        <v>851</v>
      </c>
      <c r="AS1" s="223" t="s">
        <v>852</v>
      </c>
      <c r="AT1" s="223" t="s">
        <v>853</v>
      </c>
      <c r="AU1" s="223" t="s">
        <v>854</v>
      </c>
      <c r="AV1" s="223" t="s">
        <v>855</v>
      </c>
      <c r="AW1" s="223" t="s">
        <v>856</v>
      </c>
      <c r="AX1" t="s">
        <v>2162</v>
      </c>
      <c r="AY1" s="223" t="s">
        <v>857</v>
      </c>
      <c r="AZ1" s="223" t="s">
        <v>7</v>
      </c>
      <c r="BL1" s="223"/>
    </row>
    <row r="2" spans="1:64" x14ac:dyDescent="0.25">
      <c r="A2" s="223">
        <v>2695</v>
      </c>
      <c r="B2" s="223">
        <v>10</v>
      </c>
      <c r="C2" s="224">
        <v>45828</v>
      </c>
      <c r="D2" s="225" t="s">
        <v>2225</v>
      </c>
      <c r="E2" s="225" t="s">
        <v>859</v>
      </c>
      <c r="F2" s="225" t="s">
        <v>860</v>
      </c>
      <c r="G2" s="223" t="s">
        <v>861</v>
      </c>
      <c r="H2" s="224"/>
      <c r="I2" s="224">
        <v>45831</v>
      </c>
      <c r="J2" s="225" t="s">
        <v>2226</v>
      </c>
      <c r="K2" s="225" t="s">
        <v>98</v>
      </c>
      <c r="L2" s="225" t="s">
        <v>3</v>
      </c>
      <c r="M2" s="223">
        <v>7</v>
      </c>
      <c r="N2" s="223">
        <v>17</v>
      </c>
      <c r="O2" s="223">
        <v>340</v>
      </c>
      <c r="P2" s="223">
        <v>1</v>
      </c>
      <c r="Q2" s="223">
        <v>34.81</v>
      </c>
      <c r="R2" s="225" t="s">
        <v>14</v>
      </c>
      <c r="S2" s="230">
        <v>5667770</v>
      </c>
      <c r="T2" s="226">
        <v>162820.17000000001</v>
      </c>
      <c r="U2" s="228"/>
      <c r="V2" s="226">
        <v>5667770</v>
      </c>
      <c r="W2" s="226">
        <v>162820.16661878768</v>
      </c>
      <c r="X2" s="228">
        <v>870250</v>
      </c>
      <c r="Y2" s="228">
        <f>Юрист[[#This Row],[Итоговая цена м2 с отделкой]]-Юрист[[#This Row],[Итоговая цена м2 без отделки]]</f>
        <v>25000</v>
      </c>
      <c r="Z2" s="226">
        <v>4797520</v>
      </c>
      <c r="AA2" s="223">
        <v>137820.16661878768</v>
      </c>
      <c r="AB2" s="225" t="s">
        <v>2227</v>
      </c>
      <c r="AC2" s="226">
        <v>278480</v>
      </c>
      <c r="AD2" s="225" t="s">
        <v>862</v>
      </c>
      <c r="AE2" s="225" t="s">
        <v>863</v>
      </c>
      <c r="AF2" s="226">
        <v>460000</v>
      </c>
      <c r="AG2" s="226">
        <v>4527770</v>
      </c>
      <c r="AH2" s="226">
        <v>680000</v>
      </c>
      <c r="AI2" s="226"/>
      <c r="AJ2" s="226"/>
      <c r="AK2" s="223" t="s">
        <v>864</v>
      </c>
      <c r="AL2" s="227"/>
      <c r="AM2" s="229">
        <v>4.5999999999999999E-2</v>
      </c>
      <c r="AO2" s="223">
        <v>0</v>
      </c>
      <c r="AP2" s="225" t="s">
        <v>2228</v>
      </c>
      <c r="AQ2" s="223">
        <v>79297012757</v>
      </c>
      <c r="AR2" s="225" t="s">
        <v>866</v>
      </c>
      <c r="AS2" s="224">
        <v>34232</v>
      </c>
      <c r="AT2" s="225" t="s">
        <v>885</v>
      </c>
      <c r="AU2" s="225" t="s">
        <v>997</v>
      </c>
      <c r="AV2" s="225" t="s">
        <v>1696</v>
      </c>
      <c r="AW2" s="225" t="s">
        <v>172</v>
      </c>
      <c r="AX2" t="s">
        <v>2172</v>
      </c>
      <c r="AY2" s="224"/>
      <c r="BL2" s="223"/>
    </row>
    <row r="3" spans="1:64" x14ac:dyDescent="0.25">
      <c r="A3" s="223">
        <v>2696</v>
      </c>
      <c r="B3" s="223">
        <v>11</v>
      </c>
      <c r="C3" s="224">
        <v>45828</v>
      </c>
      <c r="D3" s="225" t="s">
        <v>2229</v>
      </c>
      <c r="E3" s="225" t="s">
        <v>859</v>
      </c>
      <c r="F3" s="225" t="s">
        <v>860</v>
      </c>
      <c r="G3" s="223" t="s">
        <v>861</v>
      </c>
      <c r="H3" s="224"/>
      <c r="I3" s="224">
        <v>45831</v>
      </c>
      <c r="J3" s="225" t="s">
        <v>2230</v>
      </c>
      <c r="K3" s="225" t="s">
        <v>98</v>
      </c>
      <c r="L3" s="225" t="s">
        <v>4</v>
      </c>
      <c r="M3" s="223">
        <v>7</v>
      </c>
      <c r="N3" s="223">
        <v>8</v>
      </c>
      <c r="O3" s="223">
        <v>166</v>
      </c>
      <c r="P3" s="223">
        <v>1</v>
      </c>
      <c r="Q3" s="223">
        <v>42.28</v>
      </c>
      <c r="R3" s="225" t="s">
        <v>14</v>
      </c>
      <c r="S3" s="230">
        <v>6560460</v>
      </c>
      <c r="T3" s="226">
        <v>155166.98000000001</v>
      </c>
      <c r="U3" s="228"/>
      <c r="V3" s="226">
        <v>6560460</v>
      </c>
      <c r="W3" s="226">
        <v>155166.98202459791</v>
      </c>
      <c r="X3" s="228">
        <v>1057000</v>
      </c>
      <c r="Y3" s="228">
        <f>Юрист[[#This Row],[Итоговая цена м2 с отделкой]]-Юрист[[#This Row],[Итоговая цена м2 без отделки]]</f>
        <v>24999.999999999985</v>
      </c>
      <c r="Z3" s="226">
        <v>5503460</v>
      </c>
      <c r="AA3" s="223">
        <v>130166.98202459792</v>
      </c>
      <c r="AB3" s="225" t="s">
        <v>2227</v>
      </c>
      <c r="AC3" s="226">
        <v>338240</v>
      </c>
      <c r="AD3" s="225" t="s">
        <v>862</v>
      </c>
      <c r="AE3" s="225" t="s">
        <v>863</v>
      </c>
      <c r="AF3" s="226">
        <v>1318653</v>
      </c>
      <c r="AG3" s="226">
        <v>5241807</v>
      </c>
      <c r="AH3" s="226"/>
      <c r="AI3" s="226"/>
      <c r="AJ3" s="226"/>
      <c r="AK3" s="223" t="s">
        <v>864</v>
      </c>
      <c r="AL3" s="227"/>
      <c r="AM3" s="229">
        <v>4.5999999999999999E-2</v>
      </c>
      <c r="AO3" s="223">
        <v>0</v>
      </c>
      <c r="AP3" s="225" t="s">
        <v>2231</v>
      </c>
      <c r="AQ3" s="223">
        <v>79372038730</v>
      </c>
      <c r="AR3" s="225" t="s">
        <v>866</v>
      </c>
      <c r="AS3" s="224">
        <v>32728</v>
      </c>
      <c r="AT3" s="225" t="s">
        <v>987</v>
      </c>
      <c r="AU3" s="225" t="s">
        <v>899</v>
      </c>
      <c r="AV3" s="225" t="s">
        <v>1696</v>
      </c>
      <c r="AW3" s="225" t="s">
        <v>172</v>
      </c>
      <c r="AX3" t="s">
        <v>2172</v>
      </c>
      <c r="AY3" s="224"/>
      <c r="BL3" s="223"/>
    </row>
    <row r="4" spans="1:64" x14ac:dyDescent="0.25">
      <c r="A4" s="223">
        <v>2693</v>
      </c>
      <c r="B4" s="223">
        <v>8</v>
      </c>
      <c r="C4" s="224">
        <v>45825</v>
      </c>
      <c r="D4" s="225" t="s">
        <v>1494</v>
      </c>
      <c r="E4" s="225" t="s">
        <v>859</v>
      </c>
      <c r="F4" s="225" t="s">
        <v>860</v>
      </c>
      <c r="G4" s="223" t="s">
        <v>861</v>
      </c>
      <c r="H4" s="224"/>
      <c r="I4" s="224">
        <v>45828</v>
      </c>
      <c r="J4" s="225" t="s">
        <v>2232</v>
      </c>
      <c r="K4" s="225" t="s">
        <v>98</v>
      </c>
      <c r="L4" s="225" t="s">
        <v>2</v>
      </c>
      <c r="M4" s="223">
        <v>3</v>
      </c>
      <c r="N4" s="223">
        <v>13</v>
      </c>
      <c r="O4" s="223">
        <v>487</v>
      </c>
      <c r="P4" s="223">
        <v>0</v>
      </c>
      <c r="Q4" s="223">
        <v>24.5</v>
      </c>
      <c r="R4" s="225" t="s">
        <v>780</v>
      </c>
      <c r="S4" s="230">
        <v>3356500</v>
      </c>
      <c r="T4" s="226">
        <v>137000</v>
      </c>
      <c r="U4" s="228"/>
      <c r="V4" s="226">
        <v>3356500</v>
      </c>
      <c r="W4" s="226">
        <v>137000</v>
      </c>
      <c r="X4" s="228">
        <v>245000</v>
      </c>
      <c r="Y4" s="228">
        <f>Юрист[[#This Row],[Итоговая цена м2 с отделкой]]-Юрист[[#This Row],[Итоговая цена м2 без отделки]]</f>
        <v>10000</v>
      </c>
      <c r="Z4" s="226">
        <v>3111500</v>
      </c>
      <c r="AA4" s="223">
        <v>127000</v>
      </c>
      <c r="AB4" s="225" t="s">
        <v>2122</v>
      </c>
      <c r="AC4" s="226">
        <v>196000</v>
      </c>
      <c r="AD4" s="225" t="s">
        <v>862</v>
      </c>
      <c r="AE4" s="225" t="s">
        <v>863</v>
      </c>
      <c r="AF4" s="226"/>
      <c r="AG4" s="226"/>
      <c r="AH4" s="226"/>
      <c r="AI4" s="226"/>
      <c r="AJ4" s="226"/>
      <c r="AK4" s="223" t="s">
        <v>864</v>
      </c>
      <c r="AL4" s="227"/>
      <c r="AM4" s="229">
        <v>4.5999999999999999E-2</v>
      </c>
      <c r="AO4" s="223">
        <v>0</v>
      </c>
      <c r="AP4" s="225" t="s">
        <v>2233</v>
      </c>
      <c r="AQ4" s="223">
        <v>79228099493</v>
      </c>
      <c r="AR4" s="225" t="s">
        <v>882</v>
      </c>
      <c r="AS4" s="224">
        <v>31607</v>
      </c>
      <c r="AT4" s="225" t="s">
        <v>1335</v>
      </c>
      <c r="AU4" s="225" t="s">
        <v>1681</v>
      </c>
      <c r="AV4" s="225" t="s">
        <v>879</v>
      </c>
      <c r="AW4" s="225" t="s">
        <v>172</v>
      </c>
      <c r="AX4" t="s">
        <v>2168</v>
      </c>
      <c r="AY4" s="224"/>
      <c r="BL4" s="223"/>
    </row>
    <row r="5" spans="1:64" s="231" customFormat="1" x14ac:dyDescent="0.25">
      <c r="A5" s="223">
        <v>2692</v>
      </c>
      <c r="B5" s="223">
        <v>7</v>
      </c>
      <c r="C5" s="224">
        <v>45823</v>
      </c>
      <c r="D5" s="225" t="s">
        <v>2234</v>
      </c>
      <c r="E5" s="225" t="s">
        <v>859</v>
      </c>
      <c r="F5" s="225" t="s">
        <v>860</v>
      </c>
      <c r="G5" s="223" t="s">
        <v>861</v>
      </c>
      <c r="H5" s="224"/>
      <c r="I5" s="224">
        <v>45826</v>
      </c>
      <c r="J5" s="225" t="s">
        <v>2235</v>
      </c>
      <c r="K5" s="225" t="s">
        <v>98</v>
      </c>
      <c r="L5" s="225" t="s">
        <v>5</v>
      </c>
      <c r="M5" s="223">
        <v>1</v>
      </c>
      <c r="N5" s="223">
        <v>16</v>
      </c>
      <c r="O5" s="223">
        <v>105</v>
      </c>
      <c r="P5" s="223">
        <v>1</v>
      </c>
      <c r="Q5" s="223">
        <v>34.39</v>
      </c>
      <c r="R5" s="225" t="s">
        <v>14</v>
      </c>
      <c r="S5" s="230">
        <v>5158500</v>
      </c>
      <c r="T5" s="226">
        <v>150000</v>
      </c>
      <c r="U5" s="228"/>
      <c r="V5" s="226">
        <v>5158500</v>
      </c>
      <c r="W5" s="226">
        <v>150000</v>
      </c>
      <c r="X5" s="228">
        <v>859750</v>
      </c>
      <c r="Y5" s="228">
        <f>Юрист[[#This Row],[Итоговая цена м2 с отделкой]]-Юрист[[#This Row],[Итоговая цена м2 без отделки]]</f>
        <v>25000</v>
      </c>
      <c r="Z5" s="226">
        <v>4298750</v>
      </c>
      <c r="AA5" s="223">
        <v>125000</v>
      </c>
      <c r="AB5" s="225" t="s">
        <v>2236</v>
      </c>
      <c r="AC5" s="226">
        <v>793250</v>
      </c>
      <c r="AD5" s="225" t="s">
        <v>862</v>
      </c>
      <c r="AE5" s="225" t="s">
        <v>863</v>
      </c>
      <c r="AF5" s="226">
        <v>1050000</v>
      </c>
      <c r="AG5" s="226">
        <v>4108500</v>
      </c>
      <c r="AH5" s="226"/>
      <c r="AI5" s="226"/>
      <c r="AJ5" s="226"/>
      <c r="AK5" s="223" t="s">
        <v>864</v>
      </c>
      <c r="AL5" s="227"/>
      <c r="AM5" s="229">
        <v>4.5999999999999999E-2</v>
      </c>
      <c r="AN5" s="223"/>
      <c r="AO5" s="223">
        <v>0</v>
      </c>
      <c r="AP5" s="225" t="s">
        <v>2237</v>
      </c>
      <c r="AQ5" s="223">
        <v>79290448822</v>
      </c>
      <c r="AR5" s="225" t="s">
        <v>882</v>
      </c>
      <c r="AS5" s="224">
        <v>32955</v>
      </c>
      <c r="AT5" s="225" t="s">
        <v>2238</v>
      </c>
      <c r="AU5" s="225" t="s">
        <v>899</v>
      </c>
      <c r="AV5" s="225" t="s">
        <v>1696</v>
      </c>
      <c r="AW5" s="225" t="s">
        <v>172</v>
      </c>
      <c r="AX5" t="s">
        <v>2172</v>
      </c>
      <c r="AY5" s="224"/>
      <c r="AZ5" s="223"/>
    </row>
    <row r="6" spans="1:64" x14ac:dyDescent="0.25">
      <c r="A6" s="223">
        <v>2687</v>
      </c>
      <c r="B6" s="223">
        <v>2</v>
      </c>
      <c r="C6" s="224">
        <v>45814</v>
      </c>
      <c r="D6" s="225" t="s">
        <v>2239</v>
      </c>
      <c r="E6" s="225" t="s">
        <v>859</v>
      </c>
      <c r="F6" s="225" t="s">
        <v>860</v>
      </c>
      <c r="G6" s="223" t="s">
        <v>861</v>
      </c>
      <c r="H6" s="224"/>
      <c r="I6" s="224">
        <v>45817</v>
      </c>
      <c r="J6" s="225" t="s">
        <v>2240</v>
      </c>
      <c r="K6" s="225" t="s">
        <v>98</v>
      </c>
      <c r="L6" s="225" t="s">
        <v>5</v>
      </c>
      <c r="M6" s="223">
        <v>7</v>
      </c>
      <c r="N6" s="223">
        <v>8</v>
      </c>
      <c r="O6" s="223">
        <v>55</v>
      </c>
      <c r="P6" s="223">
        <v>1</v>
      </c>
      <c r="Q6" s="223">
        <v>42.75</v>
      </c>
      <c r="R6" s="225" t="s">
        <v>12</v>
      </c>
      <c r="S6" s="230">
        <v>5423200</v>
      </c>
      <c r="T6" s="226">
        <v>126858.48</v>
      </c>
      <c r="U6" s="228"/>
      <c r="V6" s="226">
        <v>5423200</v>
      </c>
      <c r="W6" s="226">
        <v>126858.47953216374</v>
      </c>
      <c r="X6" s="228"/>
      <c r="Y6" s="228">
        <f>Юрист[[#This Row],[Итоговая цена м2 с отделкой]]-Юрист[[#This Row],[Итоговая цена м2 без отделки]]</f>
        <v>0</v>
      </c>
      <c r="Z6" s="226">
        <v>5423200</v>
      </c>
      <c r="AA6" s="223">
        <v>126858.47953216374</v>
      </c>
      <c r="AB6" s="225" t="s">
        <v>2122</v>
      </c>
      <c r="AC6" s="226">
        <v>342000</v>
      </c>
      <c r="AD6" s="225" t="s">
        <v>862</v>
      </c>
      <c r="AE6" s="225" t="s">
        <v>863</v>
      </c>
      <c r="AF6" s="226">
        <v>494897.11</v>
      </c>
      <c r="AG6" s="226">
        <v>4333136.8</v>
      </c>
      <c r="AH6" s="226"/>
      <c r="AI6" s="226"/>
      <c r="AJ6" s="226"/>
      <c r="AK6" s="223" t="s">
        <v>864</v>
      </c>
      <c r="AL6" s="227"/>
      <c r="AM6" s="229">
        <v>4.5999999999999999E-2</v>
      </c>
      <c r="AO6" s="223">
        <v>0</v>
      </c>
      <c r="AP6" s="225" t="s">
        <v>2241</v>
      </c>
      <c r="AQ6" s="223">
        <v>79371752845</v>
      </c>
      <c r="AR6" s="225" t="s">
        <v>866</v>
      </c>
      <c r="AS6" s="224">
        <v>28488</v>
      </c>
      <c r="AT6" s="225" t="s">
        <v>903</v>
      </c>
      <c r="AU6" s="225" t="s">
        <v>1681</v>
      </c>
      <c r="AV6" s="225" t="s">
        <v>879</v>
      </c>
      <c r="AW6" s="225" t="s">
        <v>172</v>
      </c>
      <c r="AX6" t="s">
        <v>2172</v>
      </c>
      <c r="AY6" s="224"/>
      <c r="BL6" s="223"/>
    </row>
    <row r="7" spans="1:64" x14ac:dyDescent="0.25">
      <c r="A7" s="223">
        <v>2688</v>
      </c>
      <c r="B7" s="223">
        <v>3</v>
      </c>
      <c r="C7" s="224">
        <v>45814</v>
      </c>
      <c r="D7" s="225" t="s">
        <v>2242</v>
      </c>
      <c r="E7" s="225" t="s">
        <v>859</v>
      </c>
      <c r="F7" s="225" t="s">
        <v>860</v>
      </c>
      <c r="G7" s="223" t="s">
        <v>861</v>
      </c>
      <c r="H7" s="224"/>
      <c r="I7" s="224">
        <v>45817</v>
      </c>
      <c r="J7" s="225" t="s">
        <v>2243</v>
      </c>
      <c r="K7" s="225" t="s">
        <v>98</v>
      </c>
      <c r="L7" s="225" t="s">
        <v>4</v>
      </c>
      <c r="M7" s="223">
        <v>5</v>
      </c>
      <c r="N7" s="223">
        <v>13</v>
      </c>
      <c r="O7" s="223">
        <v>199</v>
      </c>
      <c r="P7" s="223">
        <v>1</v>
      </c>
      <c r="Q7" s="223">
        <v>37.86</v>
      </c>
      <c r="R7" s="225" t="s">
        <v>14</v>
      </c>
      <c r="S7" s="230">
        <v>5952020</v>
      </c>
      <c r="T7" s="226">
        <v>157211.29999999999</v>
      </c>
      <c r="U7" s="228"/>
      <c r="V7" s="226">
        <v>5952020</v>
      </c>
      <c r="W7" s="226">
        <v>157211.30480718435</v>
      </c>
      <c r="X7" s="228">
        <v>946500</v>
      </c>
      <c r="Y7" s="228">
        <f>Юрист[[#This Row],[Итоговая цена м2 с отделкой]]-Юрист[[#This Row],[Итоговая цена м2 без отделки]]</f>
        <v>25000</v>
      </c>
      <c r="Z7" s="226">
        <v>5005520</v>
      </c>
      <c r="AA7" s="223">
        <v>132211.30480718435</v>
      </c>
      <c r="AB7" s="225" t="s">
        <v>2227</v>
      </c>
      <c r="AC7" s="226">
        <v>302880</v>
      </c>
      <c r="AD7" s="225" t="s">
        <v>862</v>
      </c>
      <c r="AE7" s="225" t="s">
        <v>863</v>
      </c>
      <c r="AF7" s="226">
        <v>1200000</v>
      </c>
      <c r="AG7" s="226">
        <v>4752020</v>
      </c>
      <c r="AH7" s="226"/>
      <c r="AI7" s="226"/>
      <c r="AJ7" s="226"/>
      <c r="AK7" s="223" t="s">
        <v>864</v>
      </c>
      <c r="AL7" s="227"/>
      <c r="AM7" s="229">
        <v>4.5999999999999999E-2</v>
      </c>
      <c r="AO7" s="223">
        <v>0</v>
      </c>
      <c r="AP7" s="225" t="s">
        <v>2244</v>
      </c>
      <c r="AQ7" s="223">
        <v>79276921331</v>
      </c>
      <c r="AR7" s="225" t="s">
        <v>866</v>
      </c>
      <c r="AS7" s="224">
        <v>29995</v>
      </c>
      <c r="AT7" s="225" t="s">
        <v>2167</v>
      </c>
      <c r="AU7" s="225" t="s">
        <v>899</v>
      </c>
      <c r="AV7" s="225" t="s">
        <v>1696</v>
      </c>
      <c r="AW7" s="225" t="s">
        <v>172</v>
      </c>
      <c r="AX7" t="s">
        <v>2168</v>
      </c>
      <c r="AY7" s="224"/>
      <c r="BL7" s="223"/>
    </row>
    <row r="8" spans="1:64" x14ac:dyDescent="0.25">
      <c r="A8" s="223">
        <v>2685</v>
      </c>
      <c r="B8" s="223">
        <v>20</v>
      </c>
      <c r="C8" s="224">
        <v>45808</v>
      </c>
      <c r="D8" s="225" t="s">
        <v>2245</v>
      </c>
      <c r="E8" s="225" t="s">
        <v>859</v>
      </c>
      <c r="F8" s="225" t="s">
        <v>860</v>
      </c>
      <c r="G8" s="223" t="s">
        <v>861</v>
      </c>
      <c r="H8" s="224"/>
      <c r="I8" s="224">
        <v>45808</v>
      </c>
      <c r="J8" s="225" t="s">
        <v>2246</v>
      </c>
      <c r="K8" s="225" t="s">
        <v>98</v>
      </c>
      <c r="L8" s="225" t="s">
        <v>2</v>
      </c>
      <c r="M8" s="223">
        <v>2</v>
      </c>
      <c r="N8" s="223">
        <v>20</v>
      </c>
      <c r="O8" s="223">
        <v>542</v>
      </c>
      <c r="P8" s="223">
        <v>1</v>
      </c>
      <c r="Q8" s="223">
        <v>43.21</v>
      </c>
      <c r="R8" s="225" t="s">
        <v>12</v>
      </c>
      <c r="S8" s="230">
        <v>5772000</v>
      </c>
      <c r="T8" s="226">
        <v>133580.19</v>
      </c>
      <c r="U8" s="228"/>
      <c r="V8" s="226">
        <v>5772000</v>
      </c>
      <c r="W8" s="226">
        <v>133580.18977088635</v>
      </c>
      <c r="X8" s="228"/>
      <c r="Y8" s="228">
        <f>Юрист[[#This Row],[Итоговая цена м2 с отделкой]]-Юрист[[#This Row],[Итоговая цена м2 без отделки]]</f>
        <v>0</v>
      </c>
      <c r="Z8" s="226">
        <v>5772000</v>
      </c>
      <c r="AA8" s="223">
        <v>133580.18977088635</v>
      </c>
      <c r="AB8" s="225" t="s">
        <v>1418</v>
      </c>
      <c r="AC8" s="226">
        <v>525600</v>
      </c>
      <c r="AD8" s="225" t="s">
        <v>862</v>
      </c>
      <c r="AE8" s="225" t="s">
        <v>863</v>
      </c>
      <c r="AF8" s="226">
        <v>1160172</v>
      </c>
      <c r="AG8" s="226">
        <v>4611828</v>
      </c>
      <c r="AH8" s="226"/>
      <c r="AI8" s="226"/>
      <c r="AJ8" s="226"/>
      <c r="AK8" s="223" t="s">
        <v>864</v>
      </c>
      <c r="AL8" s="227"/>
      <c r="AM8" s="229">
        <v>4.5999999999999999E-2</v>
      </c>
      <c r="AO8" s="223">
        <v>0</v>
      </c>
      <c r="AP8" s="225" t="s">
        <v>2247</v>
      </c>
      <c r="AQ8" s="223">
        <v>79867223733</v>
      </c>
      <c r="AR8" s="225" t="s">
        <v>882</v>
      </c>
      <c r="AS8" s="224">
        <v>35624</v>
      </c>
      <c r="AT8" s="225" t="s">
        <v>1022</v>
      </c>
      <c r="AU8" s="225" t="s">
        <v>1681</v>
      </c>
      <c r="AV8" s="225" t="s">
        <v>879</v>
      </c>
      <c r="AW8" s="225" t="s">
        <v>172</v>
      </c>
      <c r="AX8" t="s">
        <v>2172</v>
      </c>
      <c r="AY8" s="224"/>
      <c r="BL8" s="223"/>
    </row>
    <row r="9" spans="1:64" x14ac:dyDescent="0.25">
      <c r="A9" s="223">
        <v>2684</v>
      </c>
      <c r="B9" s="223">
        <v>19</v>
      </c>
      <c r="C9" s="224">
        <v>45807</v>
      </c>
      <c r="D9" s="225" t="s">
        <v>2248</v>
      </c>
      <c r="E9" s="225" t="s">
        <v>859</v>
      </c>
      <c r="F9" s="225" t="s">
        <v>860</v>
      </c>
      <c r="G9" s="223" t="s">
        <v>861</v>
      </c>
      <c r="H9" s="224"/>
      <c r="I9" s="224">
        <v>45808</v>
      </c>
      <c r="J9" s="225" t="s">
        <v>2249</v>
      </c>
      <c r="K9" s="225" t="s">
        <v>98</v>
      </c>
      <c r="L9" s="225" t="s">
        <v>2</v>
      </c>
      <c r="M9" s="223">
        <v>5</v>
      </c>
      <c r="N9" s="223">
        <v>10</v>
      </c>
      <c r="O9" s="223">
        <v>465</v>
      </c>
      <c r="P9" s="223">
        <v>2</v>
      </c>
      <c r="Q9" s="223">
        <v>57.8</v>
      </c>
      <c r="R9" s="225" t="s">
        <v>780</v>
      </c>
      <c r="S9" s="230">
        <v>7077215</v>
      </c>
      <c r="T9" s="226">
        <v>122443.17</v>
      </c>
      <c r="U9" s="228"/>
      <c r="V9" s="226">
        <v>7077215</v>
      </c>
      <c r="W9" s="226">
        <v>122443.16608996541</v>
      </c>
      <c r="X9" s="228">
        <v>578000</v>
      </c>
      <c r="Y9" s="228">
        <f>Юрист[[#This Row],[Итоговая цена м2 с отделкой]]-Юрист[[#This Row],[Итоговая цена м2 без отделки]]</f>
        <v>10000</v>
      </c>
      <c r="Z9" s="226">
        <v>6499215</v>
      </c>
      <c r="AA9" s="223">
        <v>112443.16608996541</v>
      </c>
      <c r="AB9" s="225" t="s">
        <v>2113</v>
      </c>
      <c r="AC9" s="226">
        <v>510285</v>
      </c>
      <c r="AD9" s="225" t="s">
        <v>862</v>
      </c>
      <c r="AE9" s="225" t="s">
        <v>863</v>
      </c>
      <c r="AF9" s="226">
        <v>1425000</v>
      </c>
      <c r="AG9" s="226">
        <v>5652215</v>
      </c>
      <c r="AH9" s="226"/>
      <c r="AI9" s="226"/>
      <c r="AJ9" s="226"/>
      <c r="AK9" s="223" t="s">
        <v>864</v>
      </c>
      <c r="AL9" s="227"/>
      <c r="AM9" s="229">
        <v>4.5999999999999999E-2</v>
      </c>
      <c r="AO9" s="223">
        <v>0</v>
      </c>
      <c r="AP9" s="225" t="s">
        <v>2250</v>
      </c>
      <c r="AQ9" s="223">
        <v>79370238923</v>
      </c>
      <c r="AR9" s="225" t="s">
        <v>866</v>
      </c>
      <c r="AS9" s="224">
        <v>32016</v>
      </c>
      <c r="AT9" s="225" t="s">
        <v>888</v>
      </c>
      <c r="AU9" s="225" t="s">
        <v>997</v>
      </c>
      <c r="AV9" s="225" t="s">
        <v>879</v>
      </c>
      <c r="AW9" s="225" t="s">
        <v>172</v>
      </c>
      <c r="AX9" t="s">
        <v>2172</v>
      </c>
      <c r="AY9" s="224"/>
      <c r="BL9" s="223"/>
    </row>
    <row r="10" spans="1:64" x14ac:dyDescent="0.25">
      <c r="A10" s="223">
        <v>2681</v>
      </c>
      <c r="B10" s="223">
        <v>16</v>
      </c>
      <c r="C10" s="224">
        <v>45806</v>
      </c>
      <c r="D10" s="225" t="s">
        <v>2251</v>
      </c>
      <c r="E10" s="225" t="s">
        <v>859</v>
      </c>
      <c r="F10" s="225" t="s">
        <v>860</v>
      </c>
      <c r="G10" s="223" t="s">
        <v>861</v>
      </c>
      <c r="H10" s="224"/>
      <c r="I10" s="224">
        <v>45808</v>
      </c>
      <c r="J10" s="225" t="s">
        <v>2252</v>
      </c>
      <c r="K10" s="225" t="s">
        <v>98</v>
      </c>
      <c r="L10" s="225" t="s">
        <v>2</v>
      </c>
      <c r="M10" s="223">
        <v>7</v>
      </c>
      <c r="N10" s="223">
        <v>5</v>
      </c>
      <c r="O10" s="223">
        <v>427</v>
      </c>
      <c r="P10" s="223">
        <v>3</v>
      </c>
      <c r="Q10" s="223">
        <v>79.44</v>
      </c>
      <c r="R10" s="225" t="s">
        <v>14</v>
      </c>
      <c r="S10" s="230">
        <v>10916368</v>
      </c>
      <c r="T10" s="226">
        <v>137416.51999999999</v>
      </c>
      <c r="U10" s="228">
        <v>15000</v>
      </c>
      <c r="V10" s="226">
        <v>10931368</v>
      </c>
      <c r="W10" s="226">
        <v>137605.33736153072</v>
      </c>
      <c r="X10" s="228">
        <v>1986000</v>
      </c>
      <c r="Y10" s="228">
        <f>Юрист[[#This Row],[Итоговая цена м2 с отделкой]]-Юрист[[#This Row],[Итоговая цена м2 без отделки]]</f>
        <v>25000</v>
      </c>
      <c r="Z10" s="226">
        <v>8945368</v>
      </c>
      <c r="AA10" s="223">
        <v>112605.33736153072</v>
      </c>
      <c r="AB10" s="225" t="s">
        <v>2189</v>
      </c>
      <c r="AC10" s="226">
        <v>689032</v>
      </c>
      <c r="AD10" s="225" t="s">
        <v>901</v>
      </c>
      <c r="AE10" s="225" t="s">
        <v>902</v>
      </c>
      <c r="AF10" s="226">
        <v>1092000</v>
      </c>
      <c r="AG10" s="226"/>
      <c r="AH10" s="226"/>
      <c r="AI10" s="226"/>
      <c r="AJ10" s="226"/>
      <c r="AL10" s="227"/>
      <c r="AM10" s="229"/>
      <c r="AO10" s="223">
        <v>0</v>
      </c>
      <c r="AP10" s="225" t="s">
        <v>2253</v>
      </c>
      <c r="AQ10" s="223">
        <v>79277250232</v>
      </c>
      <c r="AR10" s="225" t="s">
        <v>882</v>
      </c>
      <c r="AS10" s="224">
        <v>29391</v>
      </c>
      <c r="AT10" s="225" t="s">
        <v>2254</v>
      </c>
      <c r="AU10" s="225" t="s">
        <v>997</v>
      </c>
      <c r="AV10" s="225" t="s">
        <v>902</v>
      </c>
      <c r="AW10" s="225" t="s">
        <v>172</v>
      </c>
      <c r="AX10" t="s">
        <v>2172</v>
      </c>
      <c r="AY10" s="224"/>
      <c r="BL10" s="223"/>
    </row>
    <row r="11" spans="1:64" x14ac:dyDescent="0.25">
      <c r="A11" s="223">
        <v>2680</v>
      </c>
      <c r="B11" s="223">
        <v>15</v>
      </c>
      <c r="C11" s="224">
        <v>45805</v>
      </c>
      <c r="D11" s="225" t="s">
        <v>2255</v>
      </c>
      <c r="E11" s="225" t="s">
        <v>859</v>
      </c>
      <c r="F11" s="225" t="s">
        <v>860</v>
      </c>
      <c r="G11" s="223" t="s">
        <v>861</v>
      </c>
      <c r="H11" s="224"/>
      <c r="I11" s="224">
        <v>45807</v>
      </c>
      <c r="J11" s="225" t="s">
        <v>2256</v>
      </c>
      <c r="K11" s="225" t="s">
        <v>98</v>
      </c>
      <c r="L11" s="225" t="s">
        <v>4</v>
      </c>
      <c r="M11" s="223">
        <v>3</v>
      </c>
      <c r="N11" s="223">
        <v>13</v>
      </c>
      <c r="O11" s="223">
        <v>197</v>
      </c>
      <c r="P11" s="223">
        <v>2</v>
      </c>
      <c r="Q11" s="223">
        <v>57.6</v>
      </c>
      <c r="R11" s="225" t="s">
        <v>14</v>
      </c>
      <c r="S11" s="230">
        <v>8193400</v>
      </c>
      <c r="T11" s="226">
        <v>142246.53</v>
      </c>
      <c r="U11" s="228"/>
      <c r="V11" s="226">
        <v>8193400</v>
      </c>
      <c r="W11" s="226">
        <v>142246.52777777778</v>
      </c>
      <c r="X11" s="228">
        <v>1440000</v>
      </c>
      <c r="Y11" s="228">
        <f>Юрист[[#This Row],[Итоговая цена м2 с отделкой]]-Юрист[[#This Row],[Итоговая цена м2 без отделки]]</f>
        <v>25000</v>
      </c>
      <c r="Z11" s="226">
        <v>6753400</v>
      </c>
      <c r="AA11" s="223">
        <v>117246.52777777778</v>
      </c>
      <c r="AB11" s="225" t="s">
        <v>2114</v>
      </c>
      <c r="AC11" s="226">
        <v>300000</v>
      </c>
      <c r="AD11" s="225" t="s">
        <v>862</v>
      </c>
      <c r="AE11" s="225" t="s">
        <v>863</v>
      </c>
      <c r="AF11" s="226">
        <v>1281237.9099999999</v>
      </c>
      <c r="AG11" s="226">
        <v>6000000</v>
      </c>
      <c r="AH11" s="226">
        <v>912162.09</v>
      </c>
      <c r="AI11" s="226"/>
      <c r="AJ11" s="226"/>
      <c r="AK11" s="223" t="s">
        <v>864</v>
      </c>
      <c r="AL11" s="227"/>
      <c r="AM11" s="229">
        <v>4.5999999999999999E-2</v>
      </c>
      <c r="AO11" s="223">
        <v>0</v>
      </c>
      <c r="AP11" s="225" t="s">
        <v>2257</v>
      </c>
      <c r="AQ11" s="223">
        <v>79178238471</v>
      </c>
      <c r="AR11" s="225" t="s">
        <v>866</v>
      </c>
      <c r="AS11" s="224">
        <v>33430</v>
      </c>
      <c r="AT11" s="225" t="s">
        <v>903</v>
      </c>
      <c r="AU11" s="225" t="s">
        <v>997</v>
      </c>
      <c r="AV11" s="225" t="s">
        <v>1696</v>
      </c>
      <c r="AW11" s="225" t="s">
        <v>172</v>
      </c>
      <c r="AX11" t="s">
        <v>2172</v>
      </c>
      <c r="AY11" s="224"/>
      <c r="BL11" s="223"/>
    </row>
    <row r="12" spans="1:64" x14ac:dyDescent="0.25">
      <c r="A12" s="223">
        <v>2678</v>
      </c>
      <c r="B12" s="223">
        <v>13</v>
      </c>
      <c r="C12" s="224">
        <v>45804</v>
      </c>
      <c r="D12" s="225" t="s">
        <v>2258</v>
      </c>
      <c r="E12" s="225" t="s">
        <v>859</v>
      </c>
      <c r="F12" s="225" t="s">
        <v>860</v>
      </c>
      <c r="G12" s="223" t="s">
        <v>861</v>
      </c>
      <c r="H12" s="224"/>
      <c r="I12" s="224">
        <v>45807</v>
      </c>
      <c r="J12" s="225" t="s">
        <v>2259</v>
      </c>
      <c r="K12" s="225" t="s">
        <v>98</v>
      </c>
      <c r="L12" s="225" t="s">
        <v>2</v>
      </c>
      <c r="M12" s="223">
        <v>5</v>
      </c>
      <c r="N12" s="223">
        <v>9</v>
      </c>
      <c r="O12" s="223">
        <v>457</v>
      </c>
      <c r="P12" s="223">
        <v>2</v>
      </c>
      <c r="Q12" s="223">
        <v>57.8</v>
      </c>
      <c r="R12" s="225" t="s">
        <v>780</v>
      </c>
      <c r="S12" s="230">
        <v>7287500</v>
      </c>
      <c r="T12" s="226">
        <v>126081.31</v>
      </c>
      <c r="U12" s="228"/>
      <c r="V12" s="226">
        <v>7287500</v>
      </c>
      <c r="W12" s="226">
        <v>126081.31487889274</v>
      </c>
      <c r="X12" s="228">
        <v>578000</v>
      </c>
      <c r="Y12" s="228">
        <f>Юрист[[#This Row],[Итоговая цена м2 с отделкой]]-Юрист[[#This Row],[Итоговая цена м2 без отделки]]</f>
        <v>10000</v>
      </c>
      <c r="Z12" s="226">
        <v>6709500</v>
      </c>
      <c r="AA12" s="223">
        <v>116081.31487889274</v>
      </c>
      <c r="AB12" s="225" t="s">
        <v>2114</v>
      </c>
      <c r="AC12" s="226">
        <v>300000</v>
      </c>
      <c r="AD12" s="225" t="s">
        <v>862</v>
      </c>
      <c r="AE12" s="225" t="s">
        <v>863</v>
      </c>
      <c r="AF12" s="226">
        <v>552837.91</v>
      </c>
      <c r="AG12" s="226">
        <v>5822500</v>
      </c>
      <c r="AH12" s="226">
        <v>912162.09</v>
      </c>
      <c r="AI12" s="226"/>
      <c r="AJ12" s="226"/>
      <c r="AK12" s="223" t="s">
        <v>864</v>
      </c>
      <c r="AL12" s="227"/>
      <c r="AM12" s="229">
        <v>4.5999999999999999E-2</v>
      </c>
      <c r="AO12" s="223">
        <v>0</v>
      </c>
      <c r="AP12" s="225" t="s">
        <v>2260</v>
      </c>
      <c r="AQ12" s="223">
        <v>79379817707</v>
      </c>
      <c r="AR12" s="225" t="s">
        <v>882</v>
      </c>
      <c r="AS12" s="224">
        <v>34281</v>
      </c>
      <c r="AT12" s="225" t="s">
        <v>1593</v>
      </c>
      <c r="AU12" s="225" t="s">
        <v>997</v>
      </c>
      <c r="AV12" s="225" t="s">
        <v>1696</v>
      </c>
      <c r="AW12" s="225" t="s">
        <v>172</v>
      </c>
      <c r="AX12" t="s">
        <v>2168</v>
      </c>
      <c r="AY12" s="224"/>
      <c r="BL12" s="223"/>
    </row>
    <row r="13" spans="1:64" x14ac:dyDescent="0.25">
      <c r="A13" s="223">
        <v>2673</v>
      </c>
      <c r="B13" s="223">
        <v>8</v>
      </c>
      <c r="C13" s="224">
        <v>45800</v>
      </c>
      <c r="D13" s="225" t="s">
        <v>2261</v>
      </c>
      <c r="E13" s="225" t="s">
        <v>859</v>
      </c>
      <c r="F13" s="225" t="s">
        <v>860</v>
      </c>
      <c r="G13" s="223" t="s">
        <v>926</v>
      </c>
      <c r="H13" s="224"/>
      <c r="I13" s="224">
        <v>45803</v>
      </c>
      <c r="J13" s="225" t="s">
        <v>2262</v>
      </c>
      <c r="K13" s="225" t="s">
        <v>98</v>
      </c>
      <c r="L13" s="225" t="s">
        <v>4</v>
      </c>
      <c r="M13" s="223">
        <v>6</v>
      </c>
      <c r="N13" s="223">
        <v>2</v>
      </c>
      <c r="O13" s="223">
        <v>123</v>
      </c>
      <c r="P13" s="223">
        <v>3</v>
      </c>
      <c r="Q13" s="223">
        <v>84.99</v>
      </c>
      <c r="R13" s="225" t="s">
        <v>12</v>
      </c>
      <c r="S13" s="230">
        <v>8829294</v>
      </c>
      <c r="T13" s="226">
        <v>103886.27</v>
      </c>
      <c r="U13" s="228">
        <v>15000</v>
      </c>
      <c r="V13" s="226">
        <v>8844294</v>
      </c>
      <c r="W13" s="226">
        <v>104062.7603247441</v>
      </c>
      <c r="X13" s="228"/>
      <c r="Y13" s="228">
        <f>Юрист[[#This Row],[Итоговая цена м2 с отделкой]]-Юрист[[#This Row],[Итоговая цена м2 без отделки]]</f>
        <v>0</v>
      </c>
      <c r="Z13" s="226">
        <v>8844294</v>
      </c>
      <c r="AA13" s="223">
        <v>104062.7603247441</v>
      </c>
      <c r="AB13" s="225" t="s">
        <v>2129</v>
      </c>
      <c r="AC13" s="226">
        <v>685906</v>
      </c>
      <c r="AD13" s="225" t="s">
        <v>862</v>
      </c>
      <c r="AE13" s="225" t="s">
        <v>1551</v>
      </c>
      <c r="AF13" s="226">
        <v>3700000</v>
      </c>
      <c r="AG13" s="226">
        <v>4217131.91</v>
      </c>
      <c r="AH13" s="226">
        <v>912162</v>
      </c>
      <c r="AI13" s="226"/>
      <c r="AJ13" s="226"/>
      <c r="AK13" s="223" t="s">
        <v>864</v>
      </c>
      <c r="AL13" s="227"/>
      <c r="AM13" s="229">
        <v>5.8999999999999997E-2</v>
      </c>
      <c r="AO13" s="223">
        <v>0</v>
      </c>
      <c r="AP13" s="225" t="s">
        <v>2263</v>
      </c>
      <c r="AQ13" s="223">
        <v>79869549938</v>
      </c>
      <c r="AR13" s="225" t="s">
        <v>866</v>
      </c>
      <c r="AS13" s="224">
        <v>37196</v>
      </c>
      <c r="AT13" s="225" t="s">
        <v>888</v>
      </c>
      <c r="AU13" s="225" t="s">
        <v>1681</v>
      </c>
      <c r="AV13" s="225" t="s">
        <v>1696</v>
      </c>
      <c r="AW13" s="225" t="s">
        <v>172</v>
      </c>
      <c r="AX13" t="s">
        <v>2172</v>
      </c>
      <c r="AY13" s="224"/>
      <c r="BL13" s="223"/>
    </row>
    <row r="14" spans="1:64" x14ac:dyDescent="0.25">
      <c r="A14" s="223">
        <v>2672</v>
      </c>
      <c r="B14" s="223">
        <v>7</v>
      </c>
      <c r="C14" s="224">
        <v>45793</v>
      </c>
      <c r="D14" s="225" t="s">
        <v>2264</v>
      </c>
      <c r="E14" s="225" t="s">
        <v>859</v>
      </c>
      <c r="F14" s="225" t="s">
        <v>860</v>
      </c>
      <c r="G14" s="223" t="s">
        <v>861</v>
      </c>
      <c r="H14" s="224"/>
      <c r="I14" s="224">
        <v>45796</v>
      </c>
      <c r="J14" s="225" t="s">
        <v>2265</v>
      </c>
      <c r="K14" s="225" t="s">
        <v>98</v>
      </c>
      <c r="L14" s="225" t="s">
        <v>3</v>
      </c>
      <c r="M14" s="223">
        <v>4</v>
      </c>
      <c r="N14" s="223">
        <v>6</v>
      </c>
      <c r="O14" s="223">
        <v>260</v>
      </c>
      <c r="P14" s="223">
        <v>2</v>
      </c>
      <c r="Q14" s="223">
        <v>60.24</v>
      </c>
      <c r="R14" s="225" t="s">
        <v>12</v>
      </c>
      <c r="S14" s="230">
        <v>7033500</v>
      </c>
      <c r="T14" s="226">
        <v>116757.97</v>
      </c>
      <c r="U14" s="228"/>
      <c r="V14" s="226">
        <v>7033500</v>
      </c>
      <c r="W14" s="226">
        <v>116757.96812749004</v>
      </c>
      <c r="X14" s="228"/>
      <c r="Y14" s="228">
        <f>Юрист[[#This Row],[Итоговая цена м2 с отделкой]]-Юрист[[#This Row],[Итоговая цена м2 без отделки]]</f>
        <v>0</v>
      </c>
      <c r="Z14" s="226">
        <v>7033500</v>
      </c>
      <c r="AA14" s="223">
        <v>116757.96812749004</v>
      </c>
      <c r="AB14" s="225" t="s">
        <v>2114</v>
      </c>
      <c r="AC14" s="226">
        <v>300000</v>
      </c>
      <c r="AD14" s="225" t="s">
        <v>862</v>
      </c>
      <c r="AE14" s="225" t="s">
        <v>863</v>
      </c>
      <c r="AF14" s="226"/>
      <c r="AG14" s="226">
        <v>5519315.2000000002</v>
      </c>
      <c r="AH14" s="226">
        <v>590000</v>
      </c>
      <c r="AI14" s="226">
        <v>924184.8</v>
      </c>
      <c r="AJ14" s="226"/>
      <c r="AK14" s="223" t="s">
        <v>864</v>
      </c>
      <c r="AL14" s="227"/>
      <c r="AM14" s="229">
        <v>0.06</v>
      </c>
      <c r="AO14" s="223">
        <v>0</v>
      </c>
      <c r="AP14" s="225" t="s">
        <v>2266</v>
      </c>
      <c r="AQ14" s="223">
        <v>79170111078</v>
      </c>
      <c r="AR14" s="225" t="s">
        <v>882</v>
      </c>
      <c r="AS14" s="224">
        <v>32821</v>
      </c>
      <c r="AT14" s="225" t="s">
        <v>1498</v>
      </c>
      <c r="AU14" s="225" t="s">
        <v>997</v>
      </c>
      <c r="AV14" s="225" t="s">
        <v>1696</v>
      </c>
      <c r="AW14" s="225" t="s">
        <v>172</v>
      </c>
      <c r="AX14" t="s">
        <v>2168</v>
      </c>
      <c r="AY14" s="224"/>
      <c r="BL14" s="223"/>
    </row>
    <row r="15" spans="1:64" x14ac:dyDescent="0.25">
      <c r="A15" s="223">
        <v>2669</v>
      </c>
      <c r="B15" s="223">
        <v>4</v>
      </c>
      <c r="C15" s="224">
        <v>45792</v>
      </c>
      <c r="D15" s="225" t="s">
        <v>2267</v>
      </c>
      <c r="E15" s="225" t="s">
        <v>859</v>
      </c>
      <c r="F15" s="225" t="s">
        <v>860</v>
      </c>
      <c r="G15" s="223" t="s">
        <v>861</v>
      </c>
      <c r="H15" s="224"/>
      <c r="I15" s="224">
        <v>45795</v>
      </c>
      <c r="J15" s="225" t="s">
        <v>2268</v>
      </c>
      <c r="K15" s="225" t="s">
        <v>98</v>
      </c>
      <c r="L15" s="225" t="s">
        <v>5</v>
      </c>
      <c r="M15" s="223">
        <v>5</v>
      </c>
      <c r="N15" s="223">
        <v>2</v>
      </c>
      <c r="O15" s="223">
        <v>11</v>
      </c>
      <c r="P15" s="223">
        <v>2</v>
      </c>
      <c r="Q15" s="223">
        <v>62.17</v>
      </c>
      <c r="R15" s="225" t="s">
        <v>780</v>
      </c>
      <c r="S15" s="230">
        <v>7736477</v>
      </c>
      <c r="T15" s="226">
        <v>124440.68</v>
      </c>
      <c r="U15" s="228"/>
      <c r="V15" s="226">
        <v>7736477</v>
      </c>
      <c r="W15" s="226">
        <v>124440.67878397941</v>
      </c>
      <c r="X15" s="228">
        <v>621700</v>
      </c>
      <c r="Y15" s="228">
        <f>Юрист[[#This Row],[Итоговая цена м2 с отделкой]]-Юрист[[#This Row],[Итоговая цена м2 без отделки]]</f>
        <v>10000</v>
      </c>
      <c r="Z15" s="226">
        <v>7114777</v>
      </c>
      <c r="AA15" s="223">
        <v>114440.67878397941</v>
      </c>
      <c r="AB15" s="225" t="s">
        <v>2129</v>
      </c>
      <c r="AC15" s="226">
        <v>529323</v>
      </c>
      <c r="AD15" s="225" t="s">
        <v>862</v>
      </c>
      <c r="AE15" s="225" t="s">
        <v>863</v>
      </c>
      <c r="AF15" s="226">
        <v>1850000</v>
      </c>
      <c r="AG15" s="226">
        <v>5886477</v>
      </c>
      <c r="AH15" s="226"/>
      <c r="AI15" s="226"/>
      <c r="AJ15" s="226"/>
      <c r="AK15" s="223" t="s">
        <v>864</v>
      </c>
      <c r="AL15" s="227"/>
      <c r="AM15" s="229">
        <v>0.06</v>
      </c>
      <c r="AO15" s="223">
        <v>0</v>
      </c>
      <c r="AP15" s="225" t="s">
        <v>2269</v>
      </c>
      <c r="AQ15" s="223">
        <v>79178129993</v>
      </c>
      <c r="AR15" s="225" t="s">
        <v>866</v>
      </c>
      <c r="AS15" s="224">
        <v>34047</v>
      </c>
      <c r="AT15" s="225" t="s">
        <v>970</v>
      </c>
      <c r="AU15" s="225" t="s">
        <v>2111</v>
      </c>
      <c r="AV15" s="225" t="s">
        <v>879</v>
      </c>
      <c r="AW15" s="225" t="s">
        <v>172</v>
      </c>
      <c r="AX15" t="s">
        <v>2172</v>
      </c>
      <c r="AY15" s="224"/>
      <c r="BL15" s="223"/>
    </row>
    <row r="16" spans="1:64" x14ac:dyDescent="0.25">
      <c r="A16" s="223">
        <v>2670</v>
      </c>
      <c r="B16" s="223">
        <v>5</v>
      </c>
      <c r="C16" s="224">
        <v>45792</v>
      </c>
      <c r="D16" s="225" t="s">
        <v>2270</v>
      </c>
      <c r="E16" s="225" t="s">
        <v>859</v>
      </c>
      <c r="F16" s="225" t="s">
        <v>860</v>
      </c>
      <c r="G16" s="223" t="s">
        <v>861</v>
      </c>
      <c r="H16" s="224"/>
      <c r="I16" s="224">
        <v>45795</v>
      </c>
      <c r="J16" s="225" t="s">
        <v>2271</v>
      </c>
      <c r="K16" s="225" t="s">
        <v>98</v>
      </c>
      <c r="L16" s="225" t="s">
        <v>2</v>
      </c>
      <c r="M16" s="223">
        <v>2</v>
      </c>
      <c r="N16" s="223">
        <v>2</v>
      </c>
      <c r="O16" s="223">
        <v>398</v>
      </c>
      <c r="P16" s="223">
        <v>1</v>
      </c>
      <c r="Q16" s="223">
        <v>43.21</v>
      </c>
      <c r="R16" s="225" t="s">
        <v>12</v>
      </c>
      <c r="S16" s="230">
        <v>5459300</v>
      </c>
      <c r="T16" s="226">
        <v>126343.44</v>
      </c>
      <c r="U16" s="228"/>
      <c r="V16" s="226">
        <v>5459300</v>
      </c>
      <c r="W16" s="226">
        <v>126343.43901874566</v>
      </c>
      <c r="X16" s="228"/>
      <c r="Y16" s="228">
        <f>Юрист[[#This Row],[Итоговая цена м2 с отделкой]]-Юрист[[#This Row],[Итоговая цена м2 без отделки]]</f>
        <v>0</v>
      </c>
      <c r="Z16" s="226">
        <v>5459300</v>
      </c>
      <c r="AA16" s="223">
        <v>126343.43901874566</v>
      </c>
      <c r="AB16" s="225" t="s">
        <v>2272</v>
      </c>
      <c r="AC16" s="226">
        <v>450000</v>
      </c>
      <c r="AD16" s="225" t="s">
        <v>862</v>
      </c>
      <c r="AE16" s="225" t="s">
        <v>863</v>
      </c>
      <c r="AF16" s="226">
        <v>1097320</v>
      </c>
      <c r="AG16" s="226">
        <v>4361980</v>
      </c>
      <c r="AH16" s="226"/>
      <c r="AI16" s="226"/>
      <c r="AJ16" s="226"/>
      <c r="AK16" s="223" t="s">
        <v>864</v>
      </c>
      <c r="AL16" s="227"/>
      <c r="AM16" s="229">
        <v>0.06</v>
      </c>
      <c r="AO16" s="223">
        <v>0</v>
      </c>
      <c r="AP16" s="225" t="s">
        <v>2273</v>
      </c>
      <c r="AQ16" s="223">
        <v>79874468701</v>
      </c>
      <c r="AR16" s="225" t="s">
        <v>866</v>
      </c>
      <c r="AS16" s="224">
        <v>32022</v>
      </c>
      <c r="AT16" s="225" t="s">
        <v>1593</v>
      </c>
      <c r="AU16" s="225" t="s">
        <v>1681</v>
      </c>
      <c r="AV16" s="225" t="s">
        <v>879</v>
      </c>
      <c r="AW16" s="225" t="s">
        <v>172</v>
      </c>
      <c r="AX16" t="s">
        <v>2168</v>
      </c>
      <c r="AY16" s="224"/>
      <c r="BL16" s="223"/>
    </row>
    <row r="17" spans="1:64" x14ac:dyDescent="0.25">
      <c r="A17" s="223">
        <v>2666</v>
      </c>
      <c r="B17" s="223">
        <v>1</v>
      </c>
      <c r="C17" s="224">
        <v>45782</v>
      </c>
      <c r="D17" s="225" t="s">
        <v>2163</v>
      </c>
      <c r="E17" s="225" t="s">
        <v>859</v>
      </c>
      <c r="F17" s="225" t="s">
        <v>860</v>
      </c>
      <c r="G17" s="223" t="s">
        <v>861</v>
      </c>
      <c r="H17" s="224"/>
      <c r="I17" s="224">
        <v>45785</v>
      </c>
      <c r="J17" s="225" t="s">
        <v>2164</v>
      </c>
      <c r="K17" s="225" t="s">
        <v>98</v>
      </c>
      <c r="L17" s="225" t="s">
        <v>5</v>
      </c>
      <c r="M17" s="223">
        <v>4</v>
      </c>
      <c r="N17" s="223">
        <v>2</v>
      </c>
      <c r="O17" s="223">
        <v>10</v>
      </c>
      <c r="P17" s="223">
        <v>1</v>
      </c>
      <c r="Q17" s="223">
        <v>58.39</v>
      </c>
      <c r="R17" s="225" t="s">
        <v>12</v>
      </c>
      <c r="S17" s="230">
        <v>6202580</v>
      </c>
      <c r="T17" s="226">
        <v>106226.75</v>
      </c>
      <c r="U17" s="228"/>
      <c r="V17" s="226">
        <v>6202580</v>
      </c>
      <c r="W17" s="226">
        <v>106226.75115601986</v>
      </c>
      <c r="X17" s="228"/>
      <c r="Y17" s="228">
        <f>Юрист[[#This Row],[Итоговая цена м2 с отделкой]]-Юрист[[#This Row],[Итоговая цена м2 без отделки]]</f>
        <v>0</v>
      </c>
      <c r="Z17" s="226">
        <v>6202580</v>
      </c>
      <c r="AA17" s="223">
        <v>106226.75115601986</v>
      </c>
      <c r="AB17" s="225" t="s">
        <v>2165</v>
      </c>
      <c r="AC17" s="226">
        <v>467120</v>
      </c>
      <c r="AD17" s="225" t="s">
        <v>862</v>
      </c>
      <c r="AE17" s="225" t="s">
        <v>863</v>
      </c>
      <c r="AF17" s="226"/>
      <c r="AG17" s="226">
        <v>4933261.72</v>
      </c>
      <c r="AH17" s="226">
        <v>345133.48</v>
      </c>
      <c r="AI17" s="226">
        <v>924184.8</v>
      </c>
      <c r="AJ17" s="226"/>
      <c r="AK17" s="223" t="s">
        <v>864</v>
      </c>
      <c r="AL17" s="227"/>
      <c r="AM17" s="229">
        <v>0.06</v>
      </c>
      <c r="AO17" s="223">
        <v>0</v>
      </c>
      <c r="AP17" s="225" t="s">
        <v>2166</v>
      </c>
      <c r="AQ17" s="223">
        <v>79170348020</v>
      </c>
      <c r="AR17" s="225" t="s">
        <v>866</v>
      </c>
      <c r="AS17" s="224">
        <v>34496</v>
      </c>
      <c r="AT17" s="225" t="s">
        <v>2167</v>
      </c>
      <c r="AU17" s="225" t="s">
        <v>868</v>
      </c>
      <c r="AV17" s="225" t="s">
        <v>1696</v>
      </c>
      <c r="AW17" s="225" t="s">
        <v>172</v>
      </c>
      <c r="AX17" t="s">
        <v>2168</v>
      </c>
      <c r="AY17" s="224"/>
      <c r="BL17" s="223"/>
    </row>
    <row r="18" spans="1:64" s="244" customFormat="1" x14ac:dyDescent="0.25">
      <c r="A18" s="223">
        <v>2663</v>
      </c>
      <c r="B18" s="223">
        <v>26</v>
      </c>
      <c r="C18" s="224">
        <v>45777</v>
      </c>
      <c r="D18" s="225" t="s">
        <v>2169</v>
      </c>
      <c r="E18" s="225" t="s">
        <v>859</v>
      </c>
      <c r="F18" s="225" t="s">
        <v>860</v>
      </c>
      <c r="G18" s="223" t="s">
        <v>861</v>
      </c>
      <c r="H18" s="224"/>
      <c r="I18" s="224">
        <v>45777</v>
      </c>
      <c r="J18" s="225" t="s">
        <v>2170</v>
      </c>
      <c r="K18" s="225" t="s">
        <v>98</v>
      </c>
      <c r="L18" s="225" t="s">
        <v>4</v>
      </c>
      <c r="M18" s="223">
        <v>6</v>
      </c>
      <c r="N18" s="223">
        <v>13</v>
      </c>
      <c r="O18" s="223">
        <v>200</v>
      </c>
      <c r="P18" s="223">
        <v>3</v>
      </c>
      <c r="Q18" s="223">
        <v>84.99</v>
      </c>
      <c r="R18" s="225" t="s">
        <v>12</v>
      </c>
      <c r="S18" s="230">
        <v>9036800</v>
      </c>
      <c r="T18" s="226">
        <v>106327.8</v>
      </c>
      <c r="U18" s="228"/>
      <c r="V18" s="226">
        <v>9036800</v>
      </c>
      <c r="W18" s="226">
        <v>106327.80327097306</v>
      </c>
      <c r="X18" s="228"/>
      <c r="Y18" s="228">
        <f>Юрист[[#This Row],[Итоговая цена м2 с отделкой]]-Юрист[[#This Row],[Итоговая цена м2 без отделки]]</f>
        <v>0</v>
      </c>
      <c r="Z18" s="226">
        <v>9036800</v>
      </c>
      <c r="AA18" s="223">
        <v>106327.80327097306</v>
      </c>
      <c r="AB18" s="225" t="s">
        <v>2114</v>
      </c>
      <c r="AC18" s="226">
        <v>400000</v>
      </c>
      <c r="AD18" s="225" t="s">
        <v>862</v>
      </c>
      <c r="AE18" s="225" t="s">
        <v>863</v>
      </c>
      <c r="AF18" s="226">
        <v>3828133.05</v>
      </c>
      <c r="AG18" s="226">
        <v>4518400</v>
      </c>
      <c r="AH18" s="226">
        <v>690266.95</v>
      </c>
      <c r="AI18" s="226"/>
      <c r="AJ18" s="226"/>
      <c r="AK18" s="223" t="s">
        <v>864</v>
      </c>
      <c r="AL18" s="227"/>
      <c r="AM18" s="229">
        <v>4.5999999999999999E-2</v>
      </c>
      <c r="AN18" s="223"/>
      <c r="AO18" s="223">
        <v>0</v>
      </c>
      <c r="AP18" s="225" t="s">
        <v>2171</v>
      </c>
      <c r="AQ18" s="223">
        <v>79825061555</v>
      </c>
      <c r="AR18" s="225" t="s">
        <v>866</v>
      </c>
      <c r="AS18" s="224">
        <v>30111</v>
      </c>
      <c r="AT18" s="225" t="s">
        <v>878</v>
      </c>
      <c r="AU18" s="225" t="s">
        <v>1681</v>
      </c>
      <c r="AV18" s="225" t="s">
        <v>1696</v>
      </c>
      <c r="AW18" s="225" t="s">
        <v>172</v>
      </c>
      <c r="AX18" t="s">
        <v>2172</v>
      </c>
      <c r="AY18" s="224"/>
      <c r="AZ18" s="223"/>
    </row>
    <row r="19" spans="1:64" x14ac:dyDescent="0.25">
      <c r="A19" s="223">
        <v>2660</v>
      </c>
      <c r="B19" s="223">
        <v>24</v>
      </c>
      <c r="C19" s="224">
        <v>45773</v>
      </c>
      <c r="D19" s="225" t="s">
        <v>2173</v>
      </c>
      <c r="E19" s="225" t="s">
        <v>859</v>
      </c>
      <c r="F19" s="225" t="s">
        <v>860</v>
      </c>
      <c r="G19" s="223" t="s">
        <v>861</v>
      </c>
      <c r="H19" s="224"/>
      <c r="I19" s="224">
        <v>45776</v>
      </c>
      <c r="J19" s="225" t="s">
        <v>2174</v>
      </c>
      <c r="K19" s="225" t="s">
        <v>98</v>
      </c>
      <c r="L19" s="225" t="s">
        <v>2</v>
      </c>
      <c r="M19" s="223">
        <v>8</v>
      </c>
      <c r="N19" s="223">
        <v>10</v>
      </c>
      <c r="O19" s="223">
        <v>468</v>
      </c>
      <c r="P19" s="223">
        <v>1</v>
      </c>
      <c r="Q19" s="223">
        <v>39.69</v>
      </c>
      <c r="R19" s="225" t="s">
        <v>14</v>
      </c>
      <c r="S19" s="230">
        <v>5980130</v>
      </c>
      <c r="T19" s="226">
        <v>150670.95000000001</v>
      </c>
      <c r="U19" s="228"/>
      <c r="V19" s="226">
        <v>5980130</v>
      </c>
      <c r="W19" s="226">
        <v>150670.94986142605</v>
      </c>
      <c r="X19" s="228">
        <v>992250</v>
      </c>
      <c r="Y19" s="228">
        <f>Юрист[[#This Row],[Итоговая цена м2 с отделкой]]-Юрист[[#This Row],[Итоговая цена м2 без отделки]]</f>
        <v>25000</v>
      </c>
      <c r="Z19" s="226">
        <v>4987880</v>
      </c>
      <c r="AA19" s="223">
        <v>125670.94986142605</v>
      </c>
      <c r="AB19" s="225" t="s">
        <v>2122</v>
      </c>
      <c r="AC19" s="226">
        <v>317520</v>
      </c>
      <c r="AD19" s="225" t="s">
        <v>862</v>
      </c>
      <c r="AE19" s="225" t="s">
        <v>863</v>
      </c>
      <c r="AF19" s="226">
        <v>1202007</v>
      </c>
      <c r="AG19" s="226">
        <v>4778123</v>
      </c>
      <c r="AH19" s="226"/>
      <c r="AI19" s="226"/>
      <c r="AJ19" s="226"/>
      <c r="AK19" s="223" t="s">
        <v>864</v>
      </c>
      <c r="AL19" s="227"/>
      <c r="AM19" s="229">
        <v>0.06</v>
      </c>
      <c r="AO19" s="223">
        <v>0</v>
      </c>
      <c r="AP19" s="225" t="s">
        <v>2175</v>
      </c>
      <c r="AQ19" s="223">
        <v>79170537946</v>
      </c>
      <c r="AR19" s="225" t="s">
        <v>882</v>
      </c>
      <c r="AS19" s="224">
        <v>27808</v>
      </c>
      <c r="AT19" s="225" t="s">
        <v>885</v>
      </c>
      <c r="AU19" s="225" t="s">
        <v>899</v>
      </c>
      <c r="AV19" s="225" t="s">
        <v>1696</v>
      </c>
      <c r="AW19" s="225" t="s">
        <v>172</v>
      </c>
      <c r="AX19" t="s">
        <v>2172</v>
      </c>
      <c r="AY19" s="224"/>
      <c r="BL19" s="223"/>
    </row>
    <row r="20" spans="1:64" x14ac:dyDescent="0.25">
      <c r="A20" s="223">
        <v>2658</v>
      </c>
      <c r="B20" s="223">
        <v>22</v>
      </c>
      <c r="C20" s="224">
        <v>45772</v>
      </c>
      <c r="D20" s="225" t="s">
        <v>2176</v>
      </c>
      <c r="E20" s="225" t="s">
        <v>859</v>
      </c>
      <c r="F20" s="225" t="s">
        <v>860</v>
      </c>
      <c r="G20" s="223" t="s">
        <v>861</v>
      </c>
      <c r="H20" s="224"/>
      <c r="I20" s="224">
        <v>45775</v>
      </c>
      <c r="J20" s="225" t="s">
        <v>2177</v>
      </c>
      <c r="K20" s="225" t="s">
        <v>98</v>
      </c>
      <c r="L20" s="225" t="s">
        <v>3</v>
      </c>
      <c r="M20" s="223">
        <v>4</v>
      </c>
      <c r="N20" s="223">
        <v>15</v>
      </c>
      <c r="O20" s="223">
        <v>323</v>
      </c>
      <c r="P20" s="223">
        <v>2</v>
      </c>
      <c r="Q20" s="223">
        <v>60.24</v>
      </c>
      <c r="R20" s="225" t="s">
        <v>780</v>
      </c>
      <c r="S20" s="230">
        <v>7705400</v>
      </c>
      <c r="T20" s="226">
        <v>127911.69</v>
      </c>
      <c r="U20" s="228"/>
      <c r="V20" s="226">
        <v>7705400</v>
      </c>
      <c r="W20" s="226">
        <v>127911.68658698539</v>
      </c>
      <c r="X20" s="228">
        <v>602400</v>
      </c>
      <c r="Y20" s="228">
        <f>Юрист[[#This Row],[Итоговая цена м2 с отделкой]]-Юрист[[#This Row],[Итоговая цена м2 без отделки]]</f>
        <v>10000</v>
      </c>
      <c r="Z20" s="226">
        <v>7103000</v>
      </c>
      <c r="AA20" s="223">
        <v>117911.68658698539</v>
      </c>
      <c r="AB20" s="225" t="s">
        <v>2114</v>
      </c>
      <c r="AC20" s="226">
        <v>300000</v>
      </c>
      <c r="AD20" s="225" t="s">
        <v>862</v>
      </c>
      <c r="AE20" s="225" t="s">
        <v>863</v>
      </c>
      <c r="AF20" s="226">
        <v>1015133.05</v>
      </c>
      <c r="AG20" s="226">
        <v>6000000</v>
      </c>
      <c r="AH20" s="226">
        <v>690266.95</v>
      </c>
      <c r="AI20" s="226"/>
      <c r="AJ20" s="226"/>
      <c r="AK20" s="223" t="s">
        <v>864</v>
      </c>
      <c r="AL20" s="227"/>
      <c r="AM20" s="229">
        <v>0.06</v>
      </c>
      <c r="AO20" s="223">
        <v>0</v>
      </c>
      <c r="AP20" s="225" t="s">
        <v>2178</v>
      </c>
      <c r="AQ20" s="223">
        <v>79879068735</v>
      </c>
      <c r="AR20" s="225" t="s">
        <v>866</v>
      </c>
      <c r="AS20" s="224">
        <v>34625</v>
      </c>
      <c r="AT20" s="225" t="s">
        <v>885</v>
      </c>
      <c r="AU20" s="225" t="s">
        <v>997</v>
      </c>
      <c r="AV20" s="225" t="s">
        <v>879</v>
      </c>
      <c r="AW20" s="225" t="s">
        <v>172</v>
      </c>
      <c r="AX20" t="s">
        <v>2172</v>
      </c>
      <c r="AY20" s="224"/>
      <c r="BL20" s="223"/>
    </row>
    <row r="21" spans="1:64" x14ac:dyDescent="0.25">
      <c r="A21" s="223">
        <v>2659</v>
      </c>
      <c r="B21" s="223">
        <v>23</v>
      </c>
      <c r="C21" s="224">
        <v>45772</v>
      </c>
      <c r="D21" s="225" t="s">
        <v>900</v>
      </c>
      <c r="E21" s="225" t="s">
        <v>859</v>
      </c>
      <c r="F21" s="225" t="s">
        <v>860</v>
      </c>
      <c r="G21" s="223" t="s">
        <v>861</v>
      </c>
      <c r="H21" s="224"/>
      <c r="I21" s="224">
        <v>45775</v>
      </c>
      <c r="J21" s="225" t="s">
        <v>2179</v>
      </c>
      <c r="K21" s="225" t="s">
        <v>98</v>
      </c>
      <c r="L21" s="225" t="s">
        <v>4</v>
      </c>
      <c r="M21" s="223">
        <v>2</v>
      </c>
      <c r="N21" s="223">
        <v>5</v>
      </c>
      <c r="O21" s="223">
        <v>140</v>
      </c>
      <c r="P21" s="223">
        <v>0</v>
      </c>
      <c r="Q21" s="223">
        <v>24.28</v>
      </c>
      <c r="R21" s="225" t="s">
        <v>12</v>
      </c>
      <c r="S21" s="230">
        <v>3442060</v>
      </c>
      <c r="T21" s="226">
        <v>141765.24</v>
      </c>
      <c r="U21" s="228"/>
      <c r="V21" s="226">
        <v>3442060</v>
      </c>
      <c r="W21" s="226">
        <v>141765.2388797364</v>
      </c>
      <c r="X21" s="228"/>
      <c r="Y21" s="228">
        <f>Юрист[[#This Row],[Итоговая цена м2 с отделкой]]-Юрист[[#This Row],[Итоговая цена м2 без отделки]]</f>
        <v>0</v>
      </c>
      <c r="Z21" s="226">
        <v>3442060</v>
      </c>
      <c r="AA21" s="223">
        <v>141765.2388797364</v>
      </c>
      <c r="AB21" s="225" t="s">
        <v>2122</v>
      </c>
      <c r="AC21" s="226">
        <v>194240</v>
      </c>
      <c r="AD21" s="225" t="s">
        <v>862</v>
      </c>
      <c r="AE21" s="225" t="s">
        <v>863</v>
      </c>
      <c r="AF21" s="226"/>
      <c r="AG21" s="226">
        <v>2529933.91</v>
      </c>
      <c r="AH21" s="226">
        <v>912162.09</v>
      </c>
      <c r="AI21" s="226"/>
      <c r="AJ21" s="226"/>
      <c r="AK21" s="223" t="s">
        <v>864</v>
      </c>
      <c r="AL21" s="227"/>
      <c r="AM21" s="229">
        <v>0.06</v>
      </c>
      <c r="AO21" s="223">
        <v>0</v>
      </c>
      <c r="AP21" s="225" t="s">
        <v>2180</v>
      </c>
      <c r="AQ21" s="223">
        <v>79170189093</v>
      </c>
      <c r="AR21" s="225" t="s">
        <v>866</v>
      </c>
      <c r="AS21" s="224">
        <v>32448</v>
      </c>
      <c r="AT21" s="225" t="s">
        <v>2167</v>
      </c>
      <c r="AU21" s="225" t="s">
        <v>1681</v>
      </c>
      <c r="AV21" s="225" t="s">
        <v>1696</v>
      </c>
      <c r="AW21" s="225" t="s">
        <v>172</v>
      </c>
      <c r="AX21" t="s">
        <v>2168</v>
      </c>
      <c r="AY21" s="224"/>
      <c r="BL21" s="223"/>
    </row>
    <row r="22" spans="1:64" x14ac:dyDescent="0.25">
      <c r="A22" s="223">
        <v>2654</v>
      </c>
      <c r="B22" s="223">
        <v>18</v>
      </c>
      <c r="C22" s="224">
        <v>45769</v>
      </c>
      <c r="D22" s="225" t="s">
        <v>2181</v>
      </c>
      <c r="E22" s="225" t="s">
        <v>859</v>
      </c>
      <c r="F22" s="225" t="s">
        <v>860</v>
      </c>
      <c r="G22" s="223" t="s">
        <v>861</v>
      </c>
      <c r="H22" s="224"/>
      <c r="I22" s="224">
        <v>45772</v>
      </c>
      <c r="J22" s="225" t="s">
        <v>2182</v>
      </c>
      <c r="K22" s="225" t="s">
        <v>98</v>
      </c>
      <c r="L22" s="225" t="s">
        <v>2</v>
      </c>
      <c r="M22" s="223">
        <v>7</v>
      </c>
      <c r="N22" s="223">
        <v>6</v>
      </c>
      <c r="O22" s="223">
        <v>435</v>
      </c>
      <c r="P22" s="223">
        <v>3</v>
      </c>
      <c r="Q22" s="223">
        <v>79.44</v>
      </c>
      <c r="R22" s="225" t="s">
        <v>12</v>
      </c>
      <c r="S22" s="230">
        <v>9234400</v>
      </c>
      <c r="T22" s="226">
        <v>116243.71</v>
      </c>
      <c r="U22" s="228"/>
      <c r="V22" s="226">
        <v>9234400</v>
      </c>
      <c r="W22" s="226">
        <v>116243.70594159114</v>
      </c>
      <c r="X22" s="228"/>
      <c r="Y22" s="228">
        <f>Юрист[[#This Row],[Итоговая цена м2 с отделкой]]-Юрист[[#This Row],[Итоговая цена м2 без отделки]]</f>
        <v>0</v>
      </c>
      <c r="Z22" s="226">
        <v>9234400</v>
      </c>
      <c r="AA22" s="223">
        <v>116243.70594159114</v>
      </c>
      <c r="AB22" s="225" t="s">
        <v>2114</v>
      </c>
      <c r="AC22" s="226">
        <v>400000</v>
      </c>
      <c r="AD22" s="225" t="s">
        <v>862</v>
      </c>
      <c r="AE22" s="225" t="s">
        <v>863</v>
      </c>
      <c r="AF22" s="226">
        <v>3927733.05</v>
      </c>
      <c r="AG22" s="226">
        <v>4616400</v>
      </c>
      <c r="AH22" s="226">
        <v>690266.95</v>
      </c>
      <c r="AI22" s="226"/>
      <c r="AJ22" s="226"/>
      <c r="AK22" s="223" t="s">
        <v>864</v>
      </c>
      <c r="AL22" s="227"/>
      <c r="AM22" s="229">
        <v>4.5999999999999999E-2</v>
      </c>
      <c r="AO22" s="223">
        <v>0</v>
      </c>
      <c r="AP22" s="225" t="s">
        <v>2183</v>
      </c>
      <c r="AQ22" s="223">
        <v>79053022979</v>
      </c>
      <c r="AR22" s="225" t="s">
        <v>882</v>
      </c>
      <c r="AS22" s="224">
        <v>35154</v>
      </c>
      <c r="AT22" s="225" t="s">
        <v>878</v>
      </c>
      <c r="AU22" s="225" t="s">
        <v>868</v>
      </c>
      <c r="AV22" s="225" t="s">
        <v>879</v>
      </c>
      <c r="AW22" s="225" t="s">
        <v>172</v>
      </c>
      <c r="AX22" t="s">
        <v>2172</v>
      </c>
      <c r="AY22" s="224"/>
      <c r="BL22" s="223"/>
    </row>
    <row r="23" spans="1:64" s="244" customFormat="1" x14ac:dyDescent="0.25">
      <c r="A23" s="223">
        <v>2649</v>
      </c>
      <c r="B23" s="223">
        <v>13</v>
      </c>
      <c r="C23" s="224">
        <v>45765</v>
      </c>
      <c r="D23" s="225" t="s">
        <v>2184</v>
      </c>
      <c r="E23" s="225" t="s">
        <v>859</v>
      </c>
      <c r="F23" s="225" t="s">
        <v>860</v>
      </c>
      <c r="G23" s="223" t="s">
        <v>861</v>
      </c>
      <c r="H23" s="224"/>
      <c r="I23" s="224">
        <v>45768</v>
      </c>
      <c r="J23" s="225" t="s">
        <v>2185</v>
      </c>
      <c r="K23" s="225" t="s">
        <v>98</v>
      </c>
      <c r="L23" s="225" t="s">
        <v>5</v>
      </c>
      <c r="M23" s="223">
        <v>5</v>
      </c>
      <c r="N23" s="223">
        <v>9</v>
      </c>
      <c r="O23" s="223">
        <v>60</v>
      </c>
      <c r="P23" s="223">
        <v>2</v>
      </c>
      <c r="Q23" s="223">
        <v>62.17</v>
      </c>
      <c r="R23" s="225" t="s">
        <v>780</v>
      </c>
      <c r="S23" s="230">
        <v>7769174</v>
      </c>
      <c r="T23" s="226">
        <v>124966.61</v>
      </c>
      <c r="U23" s="228">
        <v>45000</v>
      </c>
      <c r="V23" s="226">
        <v>7814174</v>
      </c>
      <c r="W23" s="226">
        <v>125690.42946758887</v>
      </c>
      <c r="X23" s="228">
        <v>621700</v>
      </c>
      <c r="Y23" s="228">
        <f>Юрист[[#This Row],[Итоговая цена м2 с отделкой]]-Юрист[[#This Row],[Итоговая цена м2 без отделки]]</f>
        <v>10000</v>
      </c>
      <c r="Z23" s="226">
        <v>7192474</v>
      </c>
      <c r="AA23" s="223">
        <v>115690.42946758887</v>
      </c>
      <c r="AB23" s="225" t="s">
        <v>2129</v>
      </c>
      <c r="AC23" s="226">
        <v>531726</v>
      </c>
      <c r="AD23" s="225" t="s">
        <v>862</v>
      </c>
      <c r="AE23" s="225" t="s">
        <v>863</v>
      </c>
      <c r="AF23" s="226">
        <v>450000</v>
      </c>
      <c r="AG23" s="226">
        <v>5518676.0499999998</v>
      </c>
      <c r="AH23" s="226">
        <v>690266.95</v>
      </c>
      <c r="AI23" s="226">
        <v>1155231</v>
      </c>
      <c r="AJ23" s="226"/>
      <c r="AK23" s="223" t="s">
        <v>864</v>
      </c>
      <c r="AL23" s="227"/>
      <c r="AM23" s="229">
        <v>0.06</v>
      </c>
      <c r="AN23" s="223"/>
      <c r="AO23" s="223">
        <v>0</v>
      </c>
      <c r="AP23" s="225" t="s">
        <v>2186</v>
      </c>
      <c r="AQ23" s="223">
        <v>79277661176</v>
      </c>
      <c r="AR23" s="225" t="s">
        <v>866</v>
      </c>
      <c r="AS23" s="224">
        <v>32991</v>
      </c>
      <c r="AT23" s="225" t="s">
        <v>878</v>
      </c>
      <c r="AU23" s="225" t="s">
        <v>997</v>
      </c>
      <c r="AV23" s="225" t="s">
        <v>879</v>
      </c>
      <c r="AW23" s="225" t="s">
        <v>172</v>
      </c>
      <c r="AX23" t="s">
        <v>2172</v>
      </c>
      <c r="AY23" s="224"/>
      <c r="AZ23" s="223"/>
    </row>
    <row r="24" spans="1:64" x14ac:dyDescent="0.25">
      <c r="A24" s="223">
        <v>2648</v>
      </c>
      <c r="B24" s="223">
        <v>12</v>
      </c>
      <c r="C24" s="224">
        <v>45763</v>
      </c>
      <c r="D24" s="225" t="s">
        <v>2187</v>
      </c>
      <c r="E24" s="225" t="s">
        <v>859</v>
      </c>
      <c r="F24" s="225" t="s">
        <v>860</v>
      </c>
      <c r="G24" s="223" t="s">
        <v>861</v>
      </c>
      <c r="H24" s="224"/>
      <c r="I24" s="224">
        <v>45766</v>
      </c>
      <c r="J24" s="225" t="s">
        <v>2188</v>
      </c>
      <c r="K24" s="225" t="s">
        <v>98</v>
      </c>
      <c r="L24" s="225" t="s">
        <v>3</v>
      </c>
      <c r="M24" s="223">
        <v>3</v>
      </c>
      <c r="N24" s="223">
        <v>16</v>
      </c>
      <c r="O24" s="223">
        <v>329</v>
      </c>
      <c r="P24" s="223">
        <v>2</v>
      </c>
      <c r="Q24" s="223">
        <v>56.58</v>
      </c>
      <c r="R24" s="225" t="s">
        <v>12</v>
      </c>
      <c r="S24" s="230">
        <v>6663533</v>
      </c>
      <c r="T24" s="226">
        <v>117771.88</v>
      </c>
      <c r="U24" s="228"/>
      <c r="V24" s="226">
        <v>6663533</v>
      </c>
      <c r="W24" s="226">
        <v>117771.88052315306</v>
      </c>
      <c r="X24" s="228"/>
      <c r="Y24" s="228">
        <f>Юрист[[#This Row],[Итоговая цена м2 с отделкой]]-Юрист[[#This Row],[Итоговая цена м2 без отделки]]</f>
        <v>0</v>
      </c>
      <c r="Z24" s="226">
        <v>6663533</v>
      </c>
      <c r="AA24" s="223">
        <v>117771.88052315306</v>
      </c>
      <c r="AB24" s="225" t="s">
        <v>2129</v>
      </c>
      <c r="AC24" s="226">
        <v>515367</v>
      </c>
      <c r="AD24" s="225" t="s">
        <v>862</v>
      </c>
      <c r="AE24" s="225" t="s">
        <v>863</v>
      </c>
      <c r="AF24" s="226">
        <v>664473.05000000005</v>
      </c>
      <c r="AG24" s="226">
        <v>5323793</v>
      </c>
      <c r="AH24" s="226">
        <v>675266.95</v>
      </c>
      <c r="AI24" s="226"/>
      <c r="AJ24" s="226"/>
      <c r="AK24" s="223" t="s">
        <v>864</v>
      </c>
      <c r="AL24" s="227"/>
      <c r="AM24" s="229">
        <v>0.06</v>
      </c>
      <c r="AO24" s="223">
        <v>0</v>
      </c>
      <c r="AP24" s="225" t="s">
        <v>2190</v>
      </c>
      <c r="AQ24" s="223">
        <v>79313058500</v>
      </c>
      <c r="AR24" s="225" t="s">
        <v>882</v>
      </c>
      <c r="AS24" s="224">
        <v>32256</v>
      </c>
      <c r="AT24" s="225" t="s">
        <v>970</v>
      </c>
      <c r="AU24" s="225" t="s">
        <v>997</v>
      </c>
      <c r="AV24" s="225" t="s">
        <v>879</v>
      </c>
      <c r="AW24" s="225" t="s">
        <v>172</v>
      </c>
      <c r="AX24" t="s">
        <v>2172</v>
      </c>
      <c r="AY24" s="224"/>
      <c r="BL24" s="223"/>
    </row>
    <row r="25" spans="1:64" s="231" customFormat="1" x14ac:dyDescent="0.25">
      <c r="A25" s="223">
        <v>2646</v>
      </c>
      <c r="B25" s="223">
        <v>10</v>
      </c>
      <c r="C25" s="224">
        <v>45760</v>
      </c>
      <c r="D25" s="225" t="s">
        <v>2191</v>
      </c>
      <c r="E25" s="225" t="s">
        <v>859</v>
      </c>
      <c r="F25" s="225" t="s">
        <v>860</v>
      </c>
      <c r="G25" s="223" t="s">
        <v>861</v>
      </c>
      <c r="H25" s="224"/>
      <c r="I25" s="224">
        <v>45763</v>
      </c>
      <c r="J25" s="225" t="s">
        <v>2192</v>
      </c>
      <c r="K25" s="225" t="s">
        <v>98</v>
      </c>
      <c r="L25" s="225" t="s">
        <v>3</v>
      </c>
      <c r="M25" s="223">
        <v>5</v>
      </c>
      <c r="N25" s="223">
        <v>16</v>
      </c>
      <c r="O25" s="223">
        <v>331</v>
      </c>
      <c r="P25" s="223">
        <v>1</v>
      </c>
      <c r="Q25" s="223">
        <v>37.81</v>
      </c>
      <c r="R25" s="225" t="s">
        <v>14</v>
      </c>
      <c r="S25" s="230">
        <v>5927670</v>
      </c>
      <c r="T25" s="226">
        <v>156775.19</v>
      </c>
      <c r="U25" s="228"/>
      <c r="V25" s="226">
        <v>5927670</v>
      </c>
      <c r="W25" s="226">
        <v>156775.19174821474</v>
      </c>
      <c r="X25" s="228">
        <v>945250</v>
      </c>
      <c r="Y25" s="228">
        <f>Юрист[[#This Row],[Итоговая цена м2 с отделкой]]-Юрист[[#This Row],[Итоговая цена м2 без отделки]]</f>
        <v>25000</v>
      </c>
      <c r="Z25" s="226">
        <v>4982420</v>
      </c>
      <c r="AA25" s="223">
        <v>131775.19174821474</v>
      </c>
      <c r="AB25" s="225" t="s">
        <v>2122</v>
      </c>
      <c r="AC25" s="226">
        <v>302480</v>
      </c>
      <c r="AD25" s="225" t="s">
        <v>862</v>
      </c>
      <c r="AE25" s="225" t="s">
        <v>863</v>
      </c>
      <c r="AF25" s="226">
        <v>559733.05000000005</v>
      </c>
      <c r="AG25" s="226">
        <v>4677670</v>
      </c>
      <c r="AH25" s="226">
        <v>690266.95</v>
      </c>
      <c r="AI25" s="226"/>
      <c r="AJ25" s="226"/>
      <c r="AK25" s="223" t="s">
        <v>864</v>
      </c>
      <c r="AL25" s="227"/>
      <c r="AM25" s="229">
        <v>0.06</v>
      </c>
      <c r="AN25" s="223"/>
      <c r="AO25" s="223">
        <v>0</v>
      </c>
      <c r="AP25" s="225" t="s">
        <v>2193</v>
      </c>
      <c r="AQ25" s="223">
        <v>79053209777</v>
      </c>
      <c r="AR25" s="225" t="s">
        <v>882</v>
      </c>
      <c r="AS25" s="224">
        <v>33266</v>
      </c>
      <c r="AT25" s="225" t="s">
        <v>878</v>
      </c>
      <c r="AU25" s="225" t="s">
        <v>899</v>
      </c>
      <c r="AV25" s="225" t="s">
        <v>879</v>
      </c>
      <c r="AW25" s="225" t="s">
        <v>172</v>
      </c>
      <c r="AX25" t="s">
        <v>2172</v>
      </c>
      <c r="AY25" s="224"/>
      <c r="AZ25" s="223"/>
    </row>
    <row r="26" spans="1:64" x14ac:dyDescent="0.25">
      <c r="A26" s="223">
        <v>2645</v>
      </c>
      <c r="B26" s="223">
        <v>9</v>
      </c>
      <c r="C26" s="224">
        <v>45759</v>
      </c>
      <c r="D26" s="225" t="s">
        <v>1449</v>
      </c>
      <c r="E26" s="225" t="s">
        <v>859</v>
      </c>
      <c r="F26" s="225" t="s">
        <v>860</v>
      </c>
      <c r="G26" s="223" t="s">
        <v>861</v>
      </c>
      <c r="H26" s="224"/>
      <c r="I26" s="224">
        <v>45762</v>
      </c>
      <c r="J26" s="225" t="s">
        <v>2146</v>
      </c>
      <c r="K26" s="225" t="s">
        <v>98</v>
      </c>
      <c r="L26" s="225" t="s">
        <v>5</v>
      </c>
      <c r="M26" s="223">
        <v>4</v>
      </c>
      <c r="N26" s="223">
        <v>16</v>
      </c>
      <c r="O26" s="223">
        <v>108</v>
      </c>
      <c r="P26" s="223">
        <v>2</v>
      </c>
      <c r="Q26" s="223">
        <v>59.09</v>
      </c>
      <c r="R26" s="225" t="s">
        <v>14</v>
      </c>
      <c r="S26" s="230">
        <v>8143648</v>
      </c>
      <c r="T26" s="226">
        <v>137817.70000000001</v>
      </c>
      <c r="U26" s="228"/>
      <c r="V26" s="226">
        <v>8143648</v>
      </c>
      <c r="W26" s="226">
        <v>137817.70181079709</v>
      </c>
      <c r="X26" s="228">
        <v>1477250</v>
      </c>
      <c r="Y26" s="228">
        <f>Юрист[[#This Row],[Итоговая цена м2 с отделкой]]-Юрист[[#This Row],[Итоговая цена м2 без отделки]]</f>
        <v>25000.000000000015</v>
      </c>
      <c r="Z26" s="226">
        <v>6666398</v>
      </c>
      <c r="AA26" s="223">
        <v>112817.70181079708</v>
      </c>
      <c r="AB26" s="225" t="s">
        <v>2147</v>
      </c>
      <c r="AC26" s="226">
        <v>567002</v>
      </c>
      <c r="AD26" s="225" t="s">
        <v>862</v>
      </c>
      <c r="AE26" s="225" t="s">
        <v>863</v>
      </c>
      <c r="AF26" s="226">
        <v>3700000</v>
      </c>
      <c r="AG26" s="226">
        <v>4443648</v>
      </c>
      <c r="AH26" s="226"/>
      <c r="AI26" s="226"/>
      <c r="AJ26" s="226"/>
      <c r="AK26" s="223" t="s">
        <v>864</v>
      </c>
      <c r="AL26" s="227"/>
      <c r="AM26" s="229">
        <v>0.06</v>
      </c>
      <c r="AO26" s="223">
        <v>0</v>
      </c>
      <c r="AP26" s="225" t="s">
        <v>2148</v>
      </c>
      <c r="AQ26" s="223">
        <v>79170178987</v>
      </c>
      <c r="AR26" s="225" t="s">
        <v>866</v>
      </c>
      <c r="AS26" s="224">
        <v>31823</v>
      </c>
      <c r="AT26" s="225" t="s">
        <v>878</v>
      </c>
      <c r="AU26" s="225" t="s">
        <v>899</v>
      </c>
      <c r="AV26" s="225" t="s">
        <v>1696</v>
      </c>
      <c r="AW26" s="225" t="s">
        <v>172</v>
      </c>
      <c r="AX26" t="s">
        <v>2172</v>
      </c>
      <c r="AY26" s="224"/>
      <c r="BL26" s="223"/>
    </row>
    <row r="27" spans="1:64" x14ac:dyDescent="0.25">
      <c r="A27" s="223">
        <v>2642</v>
      </c>
      <c r="B27" s="223">
        <v>6</v>
      </c>
      <c r="C27" s="224">
        <v>45756</v>
      </c>
      <c r="D27" s="225" t="s">
        <v>2149</v>
      </c>
      <c r="E27" s="225" t="s">
        <v>859</v>
      </c>
      <c r="F27" s="225" t="s">
        <v>860</v>
      </c>
      <c r="G27" s="223" t="s">
        <v>861</v>
      </c>
      <c r="H27" s="224"/>
      <c r="I27" s="224">
        <v>45759</v>
      </c>
      <c r="J27" s="225" t="s">
        <v>2150</v>
      </c>
      <c r="K27" s="225" t="s">
        <v>98</v>
      </c>
      <c r="L27" s="225" t="s">
        <v>3</v>
      </c>
      <c r="M27" s="223">
        <v>4</v>
      </c>
      <c r="N27" s="223">
        <v>3</v>
      </c>
      <c r="O27" s="223">
        <v>239</v>
      </c>
      <c r="P27" s="223">
        <v>2</v>
      </c>
      <c r="Q27" s="223">
        <v>60.24</v>
      </c>
      <c r="R27" s="225" t="s">
        <v>12</v>
      </c>
      <c r="S27" s="230">
        <v>7103000</v>
      </c>
      <c r="T27" s="226">
        <v>117911.69</v>
      </c>
      <c r="U27" s="228"/>
      <c r="V27" s="226">
        <v>7103000</v>
      </c>
      <c r="W27" s="226">
        <v>117911.68658698539</v>
      </c>
      <c r="X27" s="228"/>
      <c r="Y27" s="228">
        <f>Юрист[[#This Row],[Итоговая цена м2 с отделкой]]-Юрист[[#This Row],[Итоговая цена м2 без отделки]]</f>
        <v>0</v>
      </c>
      <c r="Z27" s="226">
        <v>7103000</v>
      </c>
      <c r="AA27" s="223">
        <v>117911.68658698539</v>
      </c>
      <c r="AB27" s="225" t="s">
        <v>2114</v>
      </c>
      <c r="AC27" s="226">
        <v>300000</v>
      </c>
      <c r="AD27" s="225" t="s">
        <v>862</v>
      </c>
      <c r="AE27" s="225" t="s">
        <v>863</v>
      </c>
      <c r="AF27" s="226">
        <v>515837.91</v>
      </c>
      <c r="AG27" s="226">
        <v>5675000</v>
      </c>
      <c r="AH27" s="226">
        <v>912162.09</v>
      </c>
      <c r="AI27" s="226"/>
      <c r="AJ27" s="226"/>
      <c r="AK27" s="223" t="s">
        <v>864</v>
      </c>
      <c r="AL27" s="227"/>
      <c r="AM27" s="229">
        <v>0.06</v>
      </c>
      <c r="AO27" s="223">
        <v>0</v>
      </c>
      <c r="AP27" s="225" t="s">
        <v>2151</v>
      </c>
      <c r="AQ27" s="223">
        <v>79171290202</v>
      </c>
      <c r="AR27" s="225" t="s">
        <v>882</v>
      </c>
      <c r="AS27" s="224">
        <v>35024</v>
      </c>
      <c r="AT27" s="225" t="s">
        <v>885</v>
      </c>
      <c r="AU27" s="225" t="s">
        <v>997</v>
      </c>
      <c r="AV27" s="225" t="s">
        <v>879</v>
      </c>
      <c r="AW27" s="225" t="s">
        <v>172</v>
      </c>
      <c r="AX27" t="s">
        <v>2172</v>
      </c>
      <c r="AY27" s="224"/>
      <c r="BL27" s="223"/>
    </row>
    <row r="28" spans="1:64" x14ac:dyDescent="0.25">
      <c r="A28" s="223">
        <v>2641</v>
      </c>
      <c r="B28" s="223">
        <v>5</v>
      </c>
      <c r="C28" s="224">
        <v>45755</v>
      </c>
      <c r="D28" s="225" t="s">
        <v>2152</v>
      </c>
      <c r="E28" s="225" t="s">
        <v>859</v>
      </c>
      <c r="F28" s="225" t="s">
        <v>860</v>
      </c>
      <c r="G28" s="223" t="s">
        <v>861</v>
      </c>
      <c r="H28" s="224"/>
      <c r="I28" s="224">
        <v>45758</v>
      </c>
      <c r="J28" s="225" t="s">
        <v>2153</v>
      </c>
      <c r="K28" s="225" t="s">
        <v>98</v>
      </c>
      <c r="L28" s="225" t="s">
        <v>2</v>
      </c>
      <c r="M28" s="223">
        <v>3</v>
      </c>
      <c r="N28" s="223">
        <v>12</v>
      </c>
      <c r="O28" s="223">
        <v>479</v>
      </c>
      <c r="P28" s="223">
        <v>0</v>
      </c>
      <c r="Q28" s="223">
        <v>24.5</v>
      </c>
      <c r="R28" s="225" t="s">
        <v>12</v>
      </c>
      <c r="S28" s="230">
        <v>3319200</v>
      </c>
      <c r="T28" s="226">
        <v>135477.54999999999</v>
      </c>
      <c r="U28" s="228"/>
      <c r="V28" s="226">
        <v>3319200</v>
      </c>
      <c r="W28" s="226">
        <v>135477.55102040817</v>
      </c>
      <c r="X28" s="228"/>
      <c r="Y28" s="228">
        <f>Юрист[[#This Row],[Итоговая цена м2 с отделкой]]-Юрист[[#This Row],[Итоговая цена м2 без отделки]]</f>
        <v>0</v>
      </c>
      <c r="Z28" s="226">
        <v>3319200</v>
      </c>
      <c r="AA28" s="223">
        <v>135477.55102040817</v>
      </c>
      <c r="AB28" s="225" t="s">
        <v>2122</v>
      </c>
      <c r="AC28" s="226">
        <v>196000</v>
      </c>
      <c r="AD28" s="225" t="s">
        <v>862</v>
      </c>
      <c r="AE28" s="225" t="s">
        <v>863</v>
      </c>
      <c r="AF28" s="226"/>
      <c r="AG28" s="226">
        <v>2628933.0499999998</v>
      </c>
      <c r="AH28" s="226">
        <v>690266.95</v>
      </c>
      <c r="AI28" s="226"/>
      <c r="AJ28" s="226"/>
      <c r="AK28" s="223" t="s">
        <v>864</v>
      </c>
      <c r="AL28" s="227"/>
      <c r="AM28" s="229">
        <v>0.06</v>
      </c>
      <c r="AO28" s="223">
        <v>0</v>
      </c>
      <c r="AP28" s="225" t="s">
        <v>2154</v>
      </c>
      <c r="AQ28" s="223">
        <v>79171446619</v>
      </c>
      <c r="AR28" s="225" t="s">
        <v>882</v>
      </c>
      <c r="AS28" s="224">
        <v>33336</v>
      </c>
      <c r="AT28" s="225" t="s">
        <v>1498</v>
      </c>
      <c r="AU28" s="225" t="s">
        <v>1681</v>
      </c>
      <c r="AV28" s="225" t="s">
        <v>879</v>
      </c>
      <c r="AW28" s="225" t="s">
        <v>172</v>
      </c>
      <c r="AX28" t="s">
        <v>2172</v>
      </c>
      <c r="AY28" s="224"/>
      <c r="BL28" s="223"/>
    </row>
    <row r="29" spans="1:64" x14ac:dyDescent="0.25">
      <c r="A29" s="223">
        <v>2638</v>
      </c>
      <c r="B29" s="223">
        <v>2</v>
      </c>
      <c r="C29" s="224">
        <v>45749</v>
      </c>
      <c r="D29" s="225" t="s">
        <v>2155</v>
      </c>
      <c r="E29" s="225" t="s">
        <v>859</v>
      </c>
      <c r="F29" s="225" t="s">
        <v>860</v>
      </c>
      <c r="G29" s="223" t="s">
        <v>861</v>
      </c>
      <c r="H29" s="224"/>
      <c r="I29" s="224">
        <v>45752</v>
      </c>
      <c r="J29" s="225" t="s">
        <v>2156</v>
      </c>
      <c r="K29" s="225" t="s">
        <v>98</v>
      </c>
      <c r="L29" s="225" t="s">
        <v>5</v>
      </c>
      <c r="M29" s="223">
        <v>6</v>
      </c>
      <c r="N29" s="223">
        <v>9</v>
      </c>
      <c r="O29" s="223">
        <v>61</v>
      </c>
      <c r="P29" s="223">
        <v>2</v>
      </c>
      <c r="Q29" s="223">
        <v>58.16</v>
      </c>
      <c r="R29" s="225" t="s">
        <v>14</v>
      </c>
      <c r="S29" s="230">
        <v>8412400</v>
      </c>
      <c r="T29" s="226">
        <v>144642.37</v>
      </c>
      <c r="U29" s="228"/>
      <c r="V29" s="226">
        <v>8412400</v>
      </c>
      <c r="W29" s="226">
        <v>144642.36588720771</v>
      </c>
      <c r="X29" s="228">
        <v>1454000</v>
      </c>
      <c r="Y29" s="228">
        <f>Юрист[[#This Row],[Итоговая цена м2 с отделкой]]-Юрист[[#This Row],[Итоговая цена м2 без отделки]]</f>
        <v>25000</v>
      </c>
      <c r="Z29" s="226">
        <v>6958400</v>
      </c>
      <c r="AA29" s="223">
        <v>119642.36588720771</v>
      </c>
      <c r="AB29" s="225" t="s">
        <v>1719</v>
      </c>
      <c r="AC29" s="226">
        <v>300000</v>
      </c>
      <c r="AD29" s="225" t="s">
        <v>862</v>
      </c>
      <c r="AE29" s="225" t="s">
        <v>863</v>
      </c>
      <c r="AF29" s="226">
        <v>2500000</v>
      </c>
      <c r="AG29" s="226">
        <v>5912400</v>
      </c>
      <c r="AH29" s="226"/>
      <c r="AI29" s="226"/>
      <c r="AJ29" s="226"/>
      <c r="AK29" s="223" t="s">
        <v>864</v>
      </c>
      <c r="AL29" s="227"/>
      <c r="AM29" s="229">
        <v>0.06</v>
      </c>
      <c r="AO29" s="223">
        <v>0</v>
      </c>
      <c r="AP29" s="225" t="s">
        <v>2157</v>
      </c>
      <c r="AQ29" s="223">
        <v>79996246195</v>
      </c>
      <c r="AR29" s="225" t="s">
        <v>882</v>
      </c>
      <c r="AS29" s="224">
        <v>33614</v>
      </c>
      <c r="AT29" s="225" t="s">
        <v>970</v>
      </c>
      <c r="AU29" s="225" t="s">
        <v>899</v>
      </c>
      <c r="AV29" s="225" t="s">
        <v>879</v>
      </c>
      <c r="AW29" s="225" t="s">
        <v>172</v>
      </c>
      <c r="AX29" t="s">
        <v>2172</v>
      </c>
      <c r="AY29" s="224"/>
      <c r="BL29" s="223"/>
    </row>
    <row r="30" spans="1:64" x14ac:dyDescent="0.25">
      <c r="A30" s="223">
        <v>2639</v>
      </c>
      <c r="B30" s="223">
        <v>3</v>
      </c>
      <c r="C30" s="224">
        <v>45749</v>
      </c>
      <c r="D30" s="225" t="s">
        <v>2158</v>
      </c>
      <c r="E30" s="225" t="s">
        <v>859</v>
      </c>
      <c r="F30" s="225" t="s">
        <v>860</v>
      </c>
      <c r="G30" s="223" t="s">
        <v>861</v>
      </c>
      <c r="H30" s="224"/>
      <c r="I30" s="224">
        <v>45752</v>
      </c>
      <c r="J30" s="225" t="s">
        <v>2159</v>
      </c>
      <c r="K30" s="225" t="s">
        <v>98</v>
      </c>
      <c r="L30" s="225" t="s">
        <v>3</v>
      </c>
      <c r="M30" s="223">
        <v>5</v>
      </c>
      <c r="N30" s="223">
        <v>9</v>
      </c>
      <c r="O30" s="223">
        <v>282</v>
      </c>
      <c r="P30" s="223">
        <v>1</v>
      </c>
      <c r="Q30" s="223">
        <v>37.81</v>
      </c>
      <c r="R30" s="225" t="s">
        <v>780</v>
      </c>
      <c r="S30" s="230">
        <v>5312620</v>
      </c>
      <c r="T30" s="226">
        <v>140508.32999999999</v>
      </c>
      <c r="U30" s="228"/>
      <c r="V30" s="226">
        <v>5312620</v>
      </c>
      <c r="W30" s="226">
        <v>140508.33112933085</v>
      </c>
      <c r="X30" s="228">
        <v>378100</v>
      </c>
      <c r="Y30" s="228">
        <f>Юрист[[#This Row],[Итоговая цена м2 с отделкой]]-Юрист[[#This Row],[Итоговая цена м2 без отделки]]</f>
        <v>10000</v>
      </c>
      <c r="Z30" s="226">
        <v>4934520</v>
      </c>
      <c r="AA30" s="223">
        <v>130508.33112933085</v>
      </c>
      <c r="AB30" s="225" t="s">
        <v>2122</v>
      </c>
      <c r="AC30" s="226">
        <v>302480</v>
      </c>
      <c r="AD30" s="225" t="s">
        <v>862</v>
      </c>
      <c r="AE30" s="225" t="s">
        <v>863</v>
      </c>
      <c r="AF30" s="226">
        <v>377570.05</v>
      </c>
      <c r="AG30" s="226">
        <v>4244783</v>
      </c>
      <c r="AH30" s="226">
        <v>690266.95</v>
      </c>
      <c r="AI30" s="226"/>
      <c r="AJ30" s="226"/>
      <c r="AK30" s="223" t="s">
        <v>864</v>
      </c>
      <c r="AL30" s="227"/>
      <c r="AM30" s="229">
        <v>0.06</v>
      </c>
      <c r="AO30" s="223">
        <v>0</v>
      </c>
      <c r="AP30" s="225" t="s">
        <v>2160</v>
      </c>
      <c r="AQ30" s="223">
        <v>79228780909</v>
      </c>
      <c r="AR30" s="225" t="s">
        <v>882</v>
      </c>
      <c r="AS30" s="224">
        <v>33264</v>
      </c>
      <c r="AT30" s="225" t="s">
        <v>903</v>
      </c>
      <c r="AU30" s="225" t="s">
        <v>1681</v>
      </c>
      <c r="AV30" s="225" t="s">
        <v>1696</v>
      </c>
      <c r="AW30" s="225" t="s">
        <v>172</v>
      </c>
      <c r="AX30" t="s">
        <v>2172</v>
      </c>
      <c r="AY30" s="224"/>
      <c r="BL30" s="223"/>
    </row>
    <row r="31" spans="1:64" x14ac:dyDescent="0.25">
      <c r="A31" s="223">
        <v>2635</v>
      </c>
      <c r="B31" s="223">
        <v>34</v>
      </c>
      <c r="C31" s="224">
        <v>45747</v>
      </c>
      <c r="D31" s="225" t="s">
        <v>2124</v>
      </c>
      <c r="E31" s="225" t="s">
        <v>859</v>
      </c>
      <c r="F31" s="225" t="s">
        <v>860</v>
      </c>
      <c r="G31" s="223" t="s">
        <v>861</v>
      </c>
      <c r="H31" s="224"/>
      <c r="I31" s="224">
        <v>45747</v>
      </c>
      <c r="J31" s="225" t="s">
        <v>2125</v>
      </c>
      <c r="K31" s="225" t="s">
        <v>98</v>
      </c>
      <c r="L31" s="225" t="s">
        <v>3</v>
      </c>
      <c r="M31" s="223">
        <v>6</v>
      </c>
      <c r="N31" s="223">
        <v>22</v>
      </c>
      <c r="O31" s="223">
        <v>374</v>
      </c>
      <c r="P31" s="223">
        <v>3</v>
      </c>
      <c r="Q31" s="223">
        <v>80.97</v>
      </c>
      <c r="R31" s="225" t="s">
        <v>12</v>
      </c>
      <c r="S31" s="230">
        <v>6000000</v>
      </c>
      <c r="T31" s="226">
        <v>74101.52</v>
      </c>
      <c r="U31" s="228"/>
      <c r="V31" s="226">
        <v>6000000</v>
      </c>
      <c r="W31" s="226">
        <v>74101.519081141159</v>
      </c>
      <c r="X31" s="228"/>
      <c r="Y31" s="228">
        <f>Юрист[[#This Row],[Итоговая цена м2 с отделкой]]-Юрист[[#This Row],[Итоговая цена м2 без отделки]]</f>
        <v>0</v>
      </c>
      <c r="Z31" s="226">
        <v>6000000</v>
      </c>
      <c r="AA31" s="223">
        <v>74101.519081141159</v>
      </c>
      <c r="AB31" s="225" t="s">
        <v>767</v>
      </c>
      <c r="AC31" s="226">
        <v>4019100</v>
      </c>
      <c r="AD31" s="225" t="s">
        <v>901</v>
      </c>
      <c r="AE31" s="225" t="s">
        <v>902</v>
      </c>
      <c r="AF31" s="226">
        <v>1000000</v>
      </c>
      <c r="AG31" s="226"/>
      <c r="AH31" s="226"/>
      <c r="AI31" s="226"/>
      <c r="AJ31" s="226"/>
      <c r="AL31" s="227"/>
      <c r="AM31" s="229"/>
      <c r="AO31" s="223">
        <v>0</v>
      </c>
      <c r="AP31" s="225" t="s">
        <v>2126</v>
      </c>
      <c r="AQ31" s="223">
        <v>79253060111</v>
      </c>
      <c r="AR31" s="225" t="s">
        <v>882</v>
      </c>
      <c r="AS31" s="224">
        <v>29838</v>
      </c>
      <c r="AT31" s="225" t="s">
        <v>888</v>
      </c>
      <c r="AU31" s="225" t="s">
        <v>997</v>
      </c>
      <c r="AV31" s="225" t="s">
        <v>902</v>
      </c>
      <c r="AW31" s="225" t="s">
        <v>172</v>
      </c>
      <c r="AX31" t="s">
        <v>2172</v>
      </c>
      <c r="AY31" s="224"/>
      <c r="BL31" s="223"/>
    </row>
    <row r="32" spans="1:64" x14ac:dyDescent="0.25">
      <c r="A32" s="223">
        <v>2634</v>
      </c>
      <c r="B32" s="223">
        <v>33</v>
      </c>
      <c r="C32" s="224">
        <v>45744</v>
      </c>
      <c r="D32" s="225" t="s">
        <v>2127</v>
      </c>
      <c r="E32" s="225" t="s">
        <v>859</v>
      </c>
      <c r="F32" s="225" t="s">
        <v>860</v>
      </c>
      <c r="G32" s="223" t="s">
        <v>861</v>
      </c>
      <c r="H32" s="224"/>
      <c r="I32" s="224">
        <v>45747</v>
      </c>
      <c r="J32" s="225" t="s">
        <v>2128</v>
      </c>
      <c r="K32" s="225" t="s">
        <v>98</v>
      </c>
      <c r="L32" s="225" t="s">
        <v>4</v>
      </c>
      <c r="M32" s="223">
        <v>6</v>
      </c>
      <c r="N32" s="223">
        <v>9</v>
      </c>
      <c r="O32" s="223">
        <v>172</v>
      </c>
      <c r="P32" s="223">
        <v>3</v>
      </c>
      <c r="Q32" s="223">
        <v>84.99</v>
      </c>
      <c r="R32" s="225" t="s">
        <v>12</v>
      </c>
      <c r="S32" s="230">
        <v>8753696</v>
      </c>
      <c r="T32" s="226">
        <v>102996.78</v>
      </c>
      <c r="U32" s="228"/>
      <c r="V32" s="226">
        <v>8753696</v>
      </c>
      <c r="W32" s="226">
        <v>102996.77609130487</v>
      </c>
      <c r="X32" s="228"/>
      <c r="Y32" s="228">
        <f>Юрист[[#This Row],[Итоговая цена м2 с отделкой]]-Юрист[[#This Row],[Итоговая цена м2 без отделки]]</f>
        <v>0</v>
      </c>
      <c r="Z32" s="226">
        <v>8753696</v>
      </c>
      <c r="AA32" s="223">
        <v>102996.77609130487</v>
      </c>
      <c r="AB32" s="225" t="s">
        <v>2129</v>
      </c>
      <c r="AC32" s="226">
        <v>683104</v>
      </c>
      <c r="AD32" s="225" t="s">
        <v>901</v>
      </c>
      <c r="AE32" s="225" t="s">
        <v>902</v>
      </c>
      <c r="AF32" s="226">
        <v>876000</v>
      </c>
      <c r="AG32" s="226"/>
      <c r="AH32" s="226"/>
      <c r="AI32" s="226"/>
      <c r="AJ32" s="226"/>
      <c r="AL32" s="227"/>
      <c r="AM32" s="229"/>
      <c r="AO32" s="223">
        <v>0</v>
      </c>
      <c r="AP32" s="225" t="s">
        <v>2130</v>
      </c>
      <c r="AQ32" s="223">
        <v>79871529873</v>
      </c>
      <c r="AR32" s="225" t="s">
        <v>866</v>
      </c>
      <c r="AS32" s="224">
        <v>34224</v>
      </c>
      <c r="AT32" s="225" t="s">
        <v>913</v>
      </c>
      <c r="AU32" s="225" t="s">
        <v>997</v>
      </c>
      <c r="AV32" s="225"/>
      <c r="AW32" s="225" t="s">
        <v>172</v>
      </c>
      <c r="AX32" t="s">
        <v>2172</v>
      </c>
      <c r="AY32" s="224"/>
      <c r="BL32" s="223"/>
    </row>
    <row r="33" spans="1:64" x14ac:dyDescent="0.25">
      <c r="A33" s="223">
        <v>2625</v>
      </c>
      <c r="B33" s="223">
        <v>24</v>
      </c>
      <c r="C33" s="224">
        <v>45742</v>
      </c>
      <c r="D33" s="225" t="s">
        <v>2131</v>
      </c>
      <c r="E33" s="225" t="s">
        <v>859</v>
      </c>
      <c r="F33" s="225" t="s">
        <v>860</v>
      </c>
      <c r="G33" s="223" t="s">
        <v>861</v>
      </c>
      <c r="H33" s="224"/>
      <c r="I33" s="224">
        <v>45745</v>
      </c>
      <c r="J33" s="225" t="s">
        <v>2132</v>
      </c>
      <c r="K33" s="225" t="s">
        <v>98</v>
      </c>
      <c r="L33" s="225" t="s">
        <v>3</v>
      </c>
      <c r="M33" s="223">
        <v>4</v>
      </c>
      <c r="N33" s="223">
        <v>13</v>
      </c>
      <c r="O33" s="223">
        <v>309</v>
      </c>
      <c r="P33" s="223">
        <v>2</v>
      </c>
      <c r="Q33" s="223">
        <v>60.24</v>
      </c>
      <c r="R33" s="225" t="s">
        <v>14</v>
      </c>
      <c r="S33" s="230">
        <v>8686910</v>
      </c>
      <c r="T33" s="226">
        <v>144205.01</v>
      </c>
      <c r="U33" s="228"/>
      <c r="V33" s="226">
        <v>8686910</v>
      </c>
      <c r="W33" s="226">
        <v>144205.01328021247</v>
      </c>
      <c r="X33" s="228">
        <v>1506000</v>
      </c>
      <c r="Y33" s="228">
        <f>Юрист[[#This Row],[Итоговая цена м2 с отделкой]]-Юрист[[#This Row],[Итоговая цена м2 без отделки]]</f>
        <v>24999.999999999985</v>
      </c>
      <c r="Z33" s="226">
        <v>7180910</v>
      </c>
      <c r="AA33" s="223">
        <v>119205.01328021249</v>
      </c>
      <c r="AB33" s="225" t="s">
        <v>806</v>
      </c>
      <c r="AC33" s="226">
        <v>222090</v>
      </c>
      <c r="AD33" s="225" t="s">
        <v>862</v>
      </c>
      <c r="AE33" s="225" t="s">
        <v>863</v>
      </c>
      <c r="AF33" s="226">
        <v>5500000</v>
      </c>
      <c r="AG33" s="226">
        <v>3186910</v>
      </c>
      <c r="AH33" s="226"/>
      <c r="AI33" s="226"/>
      <c r="AJ33" s="226"/>
      <c r="AK33" s="223" t="s">
        <v>864</v>
      </c>
      <c r="AL33" s="227" t="s">
        <v>2133</v>
      </c>
      <c r="AM33" s="229">
        <v>4.5999999999999999E-2</v>
      </c>
      <c r="AO33" s="223">
        <v>0</v>
      </c>
      <c r="AP33" s="225" t="s">
        <v>2134</v>
      </c>
      <c r="AQ33" s="223">
        <v>79529194679</v>
      </c>
      <c r="AR33" s="225" t="s">
        <v>882</v>
      </c>
      <c r="AS33" s="224">
        <v>31241</v>
      </c>
      <c r="AT33" s="225" t="s">
        <v>878</v>
      </c>
      <c r="AU33" s="225" t="s">
        <v>868</v>
      </c>
      <c r="AV33" s="225" t="s">
        <v>879</v>
      </c>
      <c r="AW33" s="225" t="s">
        <v>172</v>
      </c>
      <c r="AX33" t="s">
        <v>2172</v>
      </c>
      <c r="AY33" s="224"/>
      <c r="BL33" s="223"/>
    </row>
    <row r="34" spans="1:64" x14ac:dyDescent="0.25">
      <c r="A34" s="223">
        <v>2626</v>
      </c>
      <c r="B34" s="223">
        <v>25</v>
      </c>
      <c r="C34" s="224">
        <v>45742</v>
      </c>
      <c r="D34" s="225" t="s">
        <v>2135</v>
      </c>
      <c r="E34" s="225" t="s">
        <v>859</v>
      </c>
      <c r="F34" s="225" t="s">
        <v>860</v>
      </c>
      <c r="G34" s="223" t="s">
        <v>861</v>
      </c>
      <c r="H34" s="224"/>
      <c r="I34" s="224">
        <v>45745</v>
      </c>
      <c r="J34" s="225" t="s">
        <v>2136</v>
      </c>
      <c r="K34" s="225" t="s">
        <v>98</v>
      </c>
      <c r="L34" s="225" t="s">
        <v>2</v>
      </c>
      <c r="M34" s="223">
        <v>3</v>
      </c>
      <c r="N34" s="223">
        <v>7</v>
      </c>
      <c r="O34" s="223">
        <v>439</v>
      </c>
      <c r="P34" s="223">
        <v>0</v>
      </c>
      <c r="Q34" s="223">
        <v>24.5</v>
      </c>
      <c r="R34" s="225" t="s">
        <v>12</v>
      </c>
      <c r="S34" s="230">
        <v>3515200</v>
      </c>
      <c r="T34" s="226">
        <v>143477.54999999999</v>
      </c>
      <c r="U34" s="228"/>
      <c r="V34" s="226">
        <v>3515200</v>
      </c>
      <c r="W34" s="226">
        <v>143477.55102040817</v>
      </c>
      <c r="X34" s="228"/>
      <c r="Y34" s="228">
        <f>Юрист[[#This Row],[Итоговая цена м2 с отделкой]]-Юрист[[#This Row],[Итоговая цена м2 без отделки]]</f>
        <v>0</v>
      </c>
      <c r="Z34" s="226">
        <v>3515200</v>
      </c>
      <c r="AA34" s="223">
        <v>143477.55102040817</v>
      </c>
      <c r="AB34" s="225"/>
      <c r="AD34" s="225" t="s">
        <v>862</v>
      </c>
      <c r="AE34" s="225" t="s">
        <v>863</v>
      </c>
      <c r="AF34" s="226"/>
      <c r="AG34" s="226">
        <v>2603037.91</v>
      </c>
      <c r="AH34" s="226">
        <v>912162.09</v>
      </c>
      <c r="AI34" s="226"/>
      <c r="AJ34" s="226"/>
      <c r="AK34" s="223" t="s">
        <v>864</v>
      </c>
      <c r="AL34" s="227"/>
      <c r="AM34" s="229">
        <v>0.06</v>
      </c>
      <c r="AO34" s="223">
        <v>0</v>
      </c>
      <c r="AP34" s="225" t="s">
        <v>2137</v>
      </c>
      <c r="AQ34" s="223">
        <v>79276935555</v>
      </c>
      <c r="AR34" s="225" t="s">
        <v>866</v>
      </c>
      <c r="AS34" s="224">
        <v>32149</v>
      </c>
      <c r="AT34" s="225" t="s">
        <v>987</v>
      </c>
      <c r="AU34" s="225" t="s">
        <v>1681</v>
      </c>
      <c r="AV34" s="225" t="s">
        <v>879</v>
      </c>
      <c r="AW34" s="225" t="s">
        <v>172</v>
      </c>
      <c r="AX34" t="s">
        <v>2172</v>
      </c>
      <c r="AY34" s="224"/>
      <c r="BL34" s="223"/>
    </row>
    <row r="35" spans="1:64" x14ac:dyDescent="0.25">
      <c r="A35" s="223">
        <v>2624</v>
      </c>
      <c r="B35" s="223">
        <v>23</v>
      </c>
      <c r="C35" s="224">
        <v>45741</v>
      </c>
      <c r="D35" s="225" t="s">
        <v>2138</v>
      </c>
      <c r="E35" s="225" t="s">
        <v>859</v>
      </c>
      <c r="F35" s="225" t="s">
        <v>860</v>
      </c>
      <c r="G35" s="223" t="s">
        <v>861</v>
      </c>
      <c r="H35" s="224"/>
      <c r="I35" s="224">
        <v>45744</v>
      </c>
      <c r="J35" s="225" t="s">
        <v>2139</v>
      </c>
      <c r="K35" s="225" t="s">
        <v>98</v>
      </c>
      <c r="L35" s="225" t="s">
        <v>2</v>
      </c>
      <c r="M35" s="223">
        <v>6</v>
      </c>
      <c r="N35" s="223">
        <v>18</v>
      </c>
      <c r="O35" s="223">
        <v>530</v>
      </c>
      <c r="P35" s="223">
        <v>1</v>
      </c>
      <c r="Q35" s="223">
        <v>38.299999999999997</v>
      </c>
      <c r="R35" s="225" t="s">
        <v>14</v>
      </c>
      <c r="S35" s="230">
        <v>6145718</v>
      </c>
      <c r="T35" s="226">
        <v>160462.60999999999</v>
      </c>
      <c r="U35" s="228"/>
      <c r="V35" s="226">
        <v>6145718</v>
      </c>
      <c r="W35" s="226">
        <v>160462.61096605746</v>
      </c>
      <c r="X35" s="228">
        <v>957499.99999999988</v>
      </c>
      <c r="Y35" s="228">
        <f>Юрист[[#This Row],[Итоговая цена м2 с отделкой]]-Юрист[[#This Row],[Итоговая цена м2 без отделки]]</f>
        <v>25000</v>
      </c>
      <c r="Z35" s="226">
        <v>5188218</v>
      </c>
      <c r="AA35" s="223">
        <v>135462.61096605746</v>
      </c>
      <c r="AB35" s="225" t="s">
        <v>767</v>
      </c>
      <c r="AC35" s="226">
        <v>105882</v>
      </c>
      <c r="AD35" s="225" t="s">
        <v>901</v>
      </c>
      <c r="AE35" s="225" t="s">
        <v>902</v>
      </c>
      <c r="AF35" s="226">
        <v>614572</v>
      </c>
      <c r="AG35" s="226"/>
      <c r="AH35" s="226"/>
      <c r="AI35" s="226"/>
      <c r="AJ35" s="226"/>
      <c r="AL35" s="227"/>
      <c r="AM35" s="229"/>
      <c r="AO35" s="223">
        <v>0</v>
      </c>
      <c r="AP35" s="225" t="s">
        <v>2140</v>
      </c>
      <c r="AQ35" s="223">
        <v>79179402370</v>
      </c>
      <c r="AR35" s="225" t="s">
        <v>882</v>
      </c>
      <c r="AS35" s="224">
        <v>30440</v>
      </c>
      <c r="AT35" s="225" t="s">
        <v>970</v>
      </c>
      <c r="AU35" s="225" t="s">
        <v>2111</v>
      </c>
      <c r="AV35" s="225" t="s">
        <v>902</v>
      </c>
      <c r="AW35" s="225" t="s">
        <v>172</v>
      </c>
      <c r="AX35" t="s">
        <v>2172</v>
      </c>
      <c r="AY35" s="224"/>
      <c r="BL35" s="223"/>
    </row>
    <row r="36" spans="1:64" x14ac:dyDescent="0.25">
      <c r="A36" s="223">
        <v>2618</v>
      </c>
      <c r="B36" s="223">
        <v>17</v>
      </c>
      <c r="C36" s="224">
        <v>45737</v>
      </c>
      <c r="D36" s="225" t="s">
        <v>2141</v>
      </c>
      <c r="E36" s="225" t="s">
        <v>859</v>
      </c>
      <c r="F36" s="225" t="s">
        <v>860</v>
      </c>
      <c r="G36" s="223" t="s">
        <v>861</v>
      </c>
      <c r="H36" s="224"/>
      <c r="I36" s="224">
        <v>45740</v>
      </c>
      <c r="J36" s="225" t="s">
        <v>2142</v>
      </c>
      <c r="K36" s="225" t="s">
        <v>98</v>
      </c>
      <c r="L36" s="225" t="s">
        <v>2</v>
      </c>
      <c r="M36" s="223">
        <v>4</v>
      </c>
      <c r="N36" s="223">
        <v>18</v>
      </c>
      <c r="O36" s="223">
        <v>528</v>
      </c>
      <c r="P36" s="223">
        <v>2</v>
      </c>
      <c r="Q36" s="223">
        <v>58.24</v>
      </c>
      <c r="R36" s="225" t="s">
        <v>14</v>
      </c>
      <c r="S36" s="230">
        <v>8004976.0000000009</v>
      </c>
      <c r="T36" s="226">
        <v>137448.07999999999</v>
      </c>
      <c r="U36" s="228"/>
      <c r="V36" s="226">
        <v>8004976.0000000009</v>
      </c>
      <c r="W36" s="226">
        <v>137448.07692307694</v>
      </c>
      <c r="X36" s="228">
        <v>1456000.0000000009</v>
      </c>
      <c r="Y36" s="228">
        <f>Юрист[[#This Row],[Итоговая цена м2 с отделкой]]-Юрист[[#This Row],[Итоговая цена м2 без отделки]]</f>
        <v>25000.000000000015</v>
      </c>
      <c r="Z36" s="226">
        <v>6548976</v>
      </c>
      <c r="AA36" s="223">
        <v>112448.07692307692</v>
      </c>
      <c r="AB36" s="225" t="s">
        <v>2143</v>
      </c>
      <c r="AC36" s="226">
        <v>511824</v>
      </c>
      <c r="AD36" s="225" t="s">
        <v>936</v>
      </c>
      <c r="AE36" s="225" t="s">
        <v>902</v>
      </c>
      <c r="AF36" s="226">
        <v>6548976</v>
      </c>
      <c r="AG36" s="226"/>
      <c r="AH36" s="226"/>
      <c r="AI36" s="226"/>
      <c r="AJ36" s="226"/>
      <c r="AL36" s="227"/>
      <c r="AM36" s="229"/>
      <c r="AO36" s="223">
        <v>0</v>
      </c>
      <c r="AP36" s="225" t="s">
        <v>2144</v>
      </c>
      <c r="AQ36" s="223">
        <v>79038205784</v>
      </c>
      <c r="AR36" s="225" t="s">
        <v>866</v>
      </c>
      <c r="AS36" s="224">
        <v>22376</v>
      </c>
      <c r="AT36" s="225" t="s">
        <v>987</v>
      </c>
      <c r="AU36" s="225" t="s">
        <v>868</v>
      </c>
      <c r="AV36" s="225" t="s">
        <v>902</v>
      </c>
      <c r="AW36" s="225" t="s">
        <v>172</v>
      </c>
      <c r="AX36" t="s">
        <v>2172</v>
      </c>
      <c r="AY36" s="224"/>
      <c r="AZ36" s="223" t="s">
        <v>2194</v>
      </c>
      <c r="BL36" s="223"/>
    </row>
    <row r="37" spans="1:64" x14ac:dyDescent="0.25">
      <c r="A37" s="223">
        <v>2617</v>
      </c>
      <c r="B37" s="223">
        <v>16</v>
      </c>
      <c r="C37" s="224">
        <v>45735</v>
      </c>
      <c r="D37" s="225" t="s">
        <v>2115</v>
      </c>
      <c r="E37" s="225" t="s">
        <v>859</v>
      </c>
      <c r="F37" s="225" t="s">
        <v>860</v>
      </c>
      <c r="G37" s="223" t="s">
        <v>861</v>
      </c>
      <c r="H37" s="224"/>
      <c r="I37" s="224">
        <v>45738</v>
      </c>
      <c r="J37" s="225" t="s">
        <v>2116</v>
      </c>
      <c r="K37" s="225" t="s">
        <v>98</v>
      </c>
      <c r="L37" s="225" t="s">
        <v>3</v>
      </c>
      <c r="M37" s="223">
        <v>7</v>
      </c>
      <c r="N37" s="223">
        <v>5</v>
      </c>
      <c r="O37" s="223">
        <v>256</v>
      </c>
      <c r="P37" s="223">
        <v>1</v>
      </c>
      <c r="Q37" s="223">
        <v>34.81</v>
      </c>
      <c r="R37" s="225" t="s">
        <v>12</v>
      </c>
      <c r="S37" s="230">
        <v>4974480</v>
      </c>
      <c r="T37" s="226">
        <v>142903.76</v>
      </c>
      <c r="U37" s="228"/>
      <c r="V37" s="226">
        <v>4974480</v>
      </c>
      <c r="W37" s="226">
        <v>142903.76328641194</v>
      </c>
      <c r="X37" s="228"/>
      <c r="Y37" s="228">
        <f>Юрист[[#This Row],[Итоговая цена м2 с отделкой]]-Юрист[[#This Row],[Итоговая цена м2 без отделки]]</f>
        <v>0</v>
      </c>
      <c r="Z37" s="226">
        <v>4974480</v>
      </c>
      <c r="AA37" s="223">
        <v>142903.76328641194</v>
      </c>
      <c r="AB37" s="225" t="s">
        <v>757</v>
      </c>
      <c r="AC37" s="226">
        <v>101520</v>
      </c>
      <c r="AD37" s="225" t="s">
        <v>862</v>
      </c>
      <c r="AE37" s="225" t="s">
        <v>863</v>
      </c>
      <c r="AF37" s="226">
        <v>309733.05</v>
      </c>
      <c r="AG37" s="226">
        <v>3974480</v>
      </c>
      <c r="AH37" s="226">
        <v>690266.95</v>
      </c>
      <c r="AI37" s="226"/>
      <c r="AJ37" s="226"/>
      <c r="AK37" s="223" t="s">
        <v>864</v>
      </c>
      <c r="AL37" s="227"/>
      <c r="AM37" s="229">
        <v>0.06</v>
      </c>
      <c r="AO37" s="223">
        <v>0</v>
      </c>
      <c r="AP37" s="225" t="s">
        <v>2117</v>
      </c>
      <c r="AQ37" s="223">
        <v>79871560595</v>
      </c>
      <c r="AR37" s="225" t="s">
        <v>866</v>
      </c>
      <c r="AS37" s="224">
        <v>36942</v>
      </c>
      <c r="AT37" s="225" t="s">
        <v>903</v>
      </c>
      <c r="AU37" s="225" t="s">
        <v>1681</v>
      </c>
      <c r="AV37" s="225" t="s">
        <v>879</v>
      </c>
      <c r="AW37" s="225" t="s">
        <v>172</v>
      </c>
      <c r="AX37" t="s">
        <v>2172</v>
      </c>
      <c r="AY37" s="224"/>
      <c r="BL37" s="223"/>
    </row>
    <row r="38" spans="1:64" x14ac:dyDescent="0.25">
      <c r="A38" s="223">
        <v>2602</v>
      </c>
      <c r="B38" s="223">
        <v>1</v>
      </c>
      <c r="C38" s="224">
        <v>45719</v>
      </c>
      <c r="D38" s="225" t="s">
        <v>2118</v>
      </c>
      <c r="E38" s="225" t="s">
        <v>859</v>
      </c>
      <c r="F38" s="225" t="s">
        <v>860</v>
      </c>
      <c r="G38" s="223" t="s">
        <v>861</v>
      </c>
      <c r="H38" s="224"/>
      <c r="I38" s="224">
        <v>45722</v>
      </c>
      <c r="J38" s="225" t="s">
        <v>2119</v>
      </c>
      <c r="K38" s="225" t="s">
        <v>98</v>
      </c>
      <c r="L38" s="225" t="s">
        <v>3</v>
      </c>
      <c r="M38" s="223">
        <v>7</v>
      </c>
      <c r="N38" s="223">
        <v>12</v>
      </c>
      <c r="O38" s="223">
        <v>305</v>
      </c>
      <c r="P38" s="223">
        <v>1</v>
      </c>
      <c r="Q38" s="223">
        <v>34.81</v>
      </c>
      <c r="R38" s="225" t="s">
        <v>14</v>
      </c>
      <c r="S38" s="230">
        <v>5841015</v>
      </c>
      <c r="T38" s="226">
        <v>167797.04</v>
      </c>
      <c r="U38" s="228"/>
      <c r="V38" s="226">
        <v>5841015</v>
      </c>
      <c r="W38" s="226">
        <v>167797.04108014939</v>
      </c>
      <c r="X38" s="228">
        <v>870250</v>
      </c>
      <c r="Y38" s="228">
        <f>Юрист[[#This Row],[Итоговая цена м2 с отделкой]]-Юрист[[#This Row],[Итоговая цена м2 без отделки]]</f>
        <v>25000</v>
      </c>
      <c r="Z38" s="226">
        <v>4970765</v>
      </c>
      <c r="AA38" s="223">
        <v>142797.04108014939</v>
      </c>
      <c r="AB38" s="225" t="s">
        <v>1719</v>
      </c>
      <c r="AC38" s="226">
        <v>153735</v>
      </c>
      <c r="AD38" s="225" t="s">
        <v>901</v>
      </c>
      <c r="AE38" s="225" t="s">
        <v>902</v>
      </c>
      <c r="AF38" s="226"/>
      <c r="AG38" s="226"/>
      <c r="AH38" s="226">
        <v>912162</v>
      </c>
      <c r="AI38" s="226"/>
      <c r="AJ38" s="226"/>
      <c r="AL38" s="227"/>
      <c r="AM38" s="229"/>
      <c r="AO38" s="223">
        <v>0</v>
      </c>
      <c r="AP38" s="225" t="s">
        <v>2120</v>
      </c>
      <c r="AQ38" s="223">
        <v>79874306557</v>
      </c>
      <c r="AR38" s="225" t="s">
        <v>866</v>
      </c>
      <c r="AS38" s="224">
        <v>33027</v>
      </c>
      <c r="AT38" s="225" t="s">
        <v>982</v>
      </c>
      <c r="AU38" s="225" t="s">
        <v>997</v>
      </c>
      <c r="AV38" s="225"/>
      <c r="AW38" s="225" t="s">
        <v>172</v>
      </c>
      <c r="AX38" t="s">
        <v>2172</v>
      </c>
      <c r="AY38" s="224"/>
      <c r="BL38" s="223"/>
    </row>
    <row r="39" spans="1:64" s="244" customFormat="1" x14ac:dyDescent="0.25">
      <c r="A39" s="223">
        <v>2600</v>
      </c>
      <c r="B39" s="223">
        <v>32</v>
      </c>
      <c r="C39" s="224">
        <v>45716</v>
      </c>
      <c r="D39" s="225" t="s">
        <v>2105</v>
      </c>
      <c r="E39" s="225" t="s">
        <v>859</v>
      </c>
      <c r="F39" s="225" t="s">
        <v>860</v>
      </c>
      <c r="G39" s="223" t="s">
        <v>861</v>
      </c>
      <c r="H39" s="224"/>
      <c r="I39" s="224">
        <v>45716</v>
      </c>
      <c r="J39" s="225" t="s">
        <v>2106</v>
      </c>
      <c r="K39" s="225" t="s">
        <v>98</v>
      </c>
      <c r="L39" s="225" t="s">
        <v>4</v>
      </c>
      <c r="M39" s="223">
        <v>2</v>
      </c>
      <c r="N39" s="223">
        <v>14</v>
      </c>
      <c r="O39" s="223">
        <v>203</v>
      </c>
      <c r="P39" s="223">
        <v>0</v>
      </c>
      <c r="Q39" s="223">
        <v>24.28</v>
      </c>
      <c r="R39" s="225" t="s">
        <v>14</v>
      </c>
      <c r="S39" s="230">
        <v>4313600</v>
      </c>
      <c r="T39" s="226">
        <v>177660.63</v>
      </c>
      <c r="U39" s="228"/>
      <c r="V39" s="226">
        <v>4313600</v>
      </c>
      <c r="W39" s="226">
        <v>177660.62602965403</v>
      </c>
      <c r="X39" s="228">
        <v>607000</v>
      </c>
      <c r="Y39" s="228">
        <f>Юрист[[#This Row],[Итоговая цена м2 с отделкой]]-Юрист[[#This Row],[Итоговая цена м2 без отделки]]</f>
        <v>25000</v>
      </c>
      <c r="Z39" s="226">
        <v>3706600</v>
      </c>
      <c r="AA39" s="223">
        <v>152660.62602965403</v>
      </c>
      <c r="AB39" s="225"/>
      <c r="AC39" s="226"/>
      <c r="AD39" s="225" t="s">
        <v>862</v>
      </c>
      <c r="AE39" s="225" t="s">
        <v>863</v>
      </c>
      <c r="AF39" s="226">
        <v>868000</v>
      </c>
      <c r="AG39" s="226">
        <v>3445600</v>
      </c>
      <c r="AH39" s="226"/>
      <c r="AI39" s="226"/>
      <c r="AJ39" s="226"/>
      <c r="AK39" s="223" t="s">
        <v>864</v>
      </c>
      <c r="AL39" s="227"/>
      <c r="AM39" s="229">
        <v>0.06</v>
      </c>
      <c r="AN39" s="223"/>
      <c r="AO39" s="223">
        <v>0</v>
      </c>
      <c r="AP39" s="225" t="s">
        <v>2107</v>
      </c>
      <c r="AQ39" s="223">
        <v>79276024055</v>
      </c>
      <c r="AR39" s="225" t="s">
        <v>882</v>
      </c>
      <c r="AS39" s="224">
        <v>32205</v>
      </c>
      <c r="AT39" s="225" t="s">
        <v>903</v>
      </c>
      <c r="AU39" s="225" t="s">
        <v>997</v>
      </c>
      <c r="AV39" s="225" t="s">
        <v>879</v>
      </c>
      <c r="AW39" s="225" t="s">
        <v>172</v>
      </c>
      <c r="AX39" t="s">
        <v>2172</v>
      </c>
      <c r="AY39" s="224"/>
      <c r="AZ39" s="223"/>
    </row>
    <row r="40" spans="1:64" x14ac:dyDescent="0.25">
      <c r="A40" s="223">
        <v>2601</v>
      </c>
      <c r="B40" s="223">
        <v>33</v>
      </c>
      <c r="C40" s="224">
        <v>45716</v>
      </c>
      <c r="D40" s="225" t="s">
        <v>2108</v>
      </c>
      <c r="E40" s="225" t="s">
        <v>859</v>
      </c>
      <c r="F40" s="225" t="s">
        <v>860</v>
      </c>
      <c r="G40" s="223" t="s">
        <v>926</v>
      </c>
      <c r="H40" s="224"/>
      <c r="I40" s="224">
        <v>45716</v>
      </c>
      <c r="J40" s="225" t="s">
        <v>2109</v>
      </c>
      <c r="K40" s="225" t="s">
        <v>98</v>
      </c>
      <c r="L40" s="225" t="s">
        <v>2</v>
      </c>
      <c r="M40" s="223">
        <v>4</v>
      </c>
      <c r="N40" s="223">
        <v>2</v>
      </c>
      <c r="O40" s="223">
        <v>400</v>
      </c>
      <c r="P40" s="223">
        <v>2</v>
      </c>
      <c r="Q40" s="223">
        <v>58.24</v>
      </c>
      <c r="R40" s="225" t="s">
        <v>12</v>
      </c>
      <c r="S40" s="230">
        <v>7129300</v>
      </c>
      <c r="T40" s="226">
        <v>122412.43</v>
      </c>
      <c r="U40" s="228"/>
      <c r="V40" s="226">
        <v>7129300</v>
      </c>
      <c r="W40" s="226">
        <v>122412.43131868131</v>
      </c>
      <c r="X40" s="228"/>
      <c r="Y40" s="228">
        <f>Юрист[[#This Row],[Итоговая цена м2 с отделкой]]-Юрист[[#This Row],[Итоговая цена м2 без отделки]]</f>
        <v>0</v>
      </c>
      <c r="Z40" s="226">
        <v>7129300</v>
      </c>
      <c r="AA40" s="223">
        <v>122412.43131868131</v>
      </c>
      <c r="AB40" s="225"/>
      <c r="AD40" s="225" t="s">
        <v>862</v>
      </c>
      <c r="AE40" s="225" t="s">
        <v>863</v>
      </c>
      <c r="AF40" s="226">
        <v>1836346.89</v>
      </c>
      <c r="AG40" s="226">
        <v>5292953.1100000003</v>
      </c>
      <c r="AH40" s="226"/>
      <c r="AI40" s="226"/>
      <c r="AJ40" s="226"/>
      <c r="AK40" s="223" t="s">
        <v>864</v>
      </c>
      <c r="AL40" s="227"/>
      <c r="AM40" s="229">
        <v>0.06</v>
      </c>
      <c r="AO40" s="223">
        <v>0</v>
      </c>
      <c r="AP40" s="225" t="s">
        <v>2110</v>
      </c>
      <c r="AQ40" s="223">
        <v>79379929199</v>
      </c>
      <c r="AR40" s="225" t="s">
        <v>866</v>
      </c>
      <c r="AS40" s="224">
        <v>34680</v>
      </c>
      <c r="AT40" s="225" t="s">
        <v>903</v>
      </c>
      <c r="AU40" s="225" t="s">
        <v>2111</v>
      </c>
      <c r="AV40" s="225" t="s">
        <v>1696</v>
      </c>
      <c r="AW40" s="225" t="s">
        <v>172</v>
      </c>
      <c r="AX40" t="s">
        <v>2172</v>
      </c>
      <c r="AY40" s="224"/>
      <c r="BL40" s="223"/>
    </row>
    <row r="41" spans="1:64" x14ac:dyDescent="0.25">
      <c r="A41" s="223">
        <v>2588</v>
      </c>
      <c r="B41" s="223">
        <v>20</v>
      </c>
      <c r="C41" s="224">
        <v>45712</v>
      </c>
      <c r="D41" s="225" t="s">
        <v>1446</v>
      </c>
      <c r="E41" s="225" t="s">
        <v>859</v>
      </c>
      <c r="F41" s="225" t="s">
        <v>860</v>
      </c>
      <c r="G41" s="223" t="s">
        <v>861</v>
      </c>
      <c r="H41" s="224"/>
      <c r="I41" s="224">
        <v>45715</v>
      </c>
      <c r="J41" s="225" t="s">
        <v>2101</v>
      </c>
      <c r="K41" s="225" t="s">
        <v>98</v>
      </c>
      <c r="L41" s="225" t="s">
        <v>5</v>
      </c>
      <c r="M41" s="223">
        <v>1</v>
      </c>
      <c r="N41" s="223">
        <v>6</v>
      </c>
      <c r="O41" s="223">
        <v>35</v>
      </c>
      <c r="P41" s="223">
        <v>1</v>
      </c>
      <c r="Q41" s="223">
        <v>34.39</v>
      </c>
      <c r="R41" s="225" t="s">
        <v>14</v>
      </c>
      <c r="S41" s="230">
        <v>5849910</v>
      </c>
      <c r="T41" s="226">
        <v>170104.97</v>
      </c>
      <c r="U41" s="228"/>
      <c r="V41" s="226">
        <v>5849910</v>
      </c>
      <c r="W41" s="226">
        <v>170104.97237569062</v>
      </c>
      <c r="X41" s="228">
        <v>859750</v>
      </c>
      <c r="Y41" s="228">
        <f>Юрист[[#This Row],[Итоговая цена м2 с отделкой]]-Юрист[[#This Row],[Итоговая цена м2 без отделки]]</f>
        <v>25000</v>
      </c>
      <c r="Z41" s="226">
        <v>4990160</v>
      </c>
      <c r="AA41" s="223">
        <v>145104.97237569062</v>
      </c>
      <c r="AB41" s="225" t="s">
        <v>757</v>
      </c>
      <c r="AC41" s="226">
        <v>101840</v>
      </c>
      <c r="AD41" s="225" t="s">
        <v>862</v>
      </c>
      <c r="AE41" s="225" t="s">
        <v>863</v>
      </c>
      <c r="AF41" s="226">
        <v>263837.90999999997</v>
      </c>
      <c r="AG41" s="226">
        <v>4673910</v>
      </c>
      <c r="AH41" s="226">
        <v>912162.09</v>
      </c>
      <c r="AI41" s="226"/>
      <c r="AJ41" s="226"/>
      <c r="AK41" s="223" t="s">
        <v>864</v>
      </c>
      <c r="AL41" s="227"/>
      <c r="AM41" s="229">
        <v>0.06</v>
      </c>
      <c r="AO41" s="223">
        <v>0</v>
      </c>
      <c r="AP41" s="225" t="s">
        <v>2102</v>
      </c>
      <c r="AQ41" s="223">
        <v>79372088200</v>
      </c>
      <c r="AR41" s="225" t="s">
        <v>882</v>
      </c>
      <c r="AS41" s="224">
        <v>32850</v>
      </c>
      <c r="AT41" s="225" t="s">
        <v>1173</v>
      </c>
      <c r="AU41" s="225" t="s">
        <v>997</v>
      </c>
      <c r="AV41" s="225" t="s">
        <v>1696</v>
      </c>
      <c r="AW41" s="225" t="s">
        <v>172</v>
      </c>
      <c r="AX41" t="s">
        <v>2168</v>
      </c>
      <c r="AY41" s="224"/>
      <c r="BL41" s="223"/>
    </row>
    <row r="42" spans="1:64" x14ac:dyDescent="0.25">
      <c r="A42" s="223">
        <v>2584</v>
      </c>
      <c r="B42" s="223">
        <v>16</v>
      </c>
      <c r="C42" s="224">
        <v>45706</v>
      </c>
      <c r="D42" s="225" t="s">
        <v>1717</v>
      </c>
      <c r="E42" s="225" t="s">
        <v>859</v>
      </c>
      <c r="F42" s="225" t="s">
        <v>860</v>
      </c>
      <c r="G42" s="223" t="s">
        <v>926</v>
      </c>
      <c r="H42" s="224"/>
      <c r="I42" s="224">
        <v>45709</v>
      </c>
      <c r="J42" s="225" t="s">
        <v>2009</v>
      </c>
      <c r="K42" s="225" t="s">
        <v>98</v>
      </c>
      <c r="L42" s="225" t="s">
        <v>2</v>
      </c>
      <c r="M42" s="223">
        <v>1</v>
      </c>
      <c r="N42" s="223">
        <v>7</v>
      </c>
      <c r="O42" s="223">
        <v>437</v>
      </c>
      <c r="P42" s="223">
        <v>0</v>
      </c>
      <c r="Q42" s="223">
        <v>29.4</v>
      </c>
      <c r="R42" s="225" t="s">
        <v>14</v>
      </c>
      <c r="S42" s="230">
        <v>4729872</v>
      </c>
      <c r="T42" s="226">
        <v>160880</v>
      </c>
      <c r="U42" s="228"/>
      <c r="V42" s="226">
        <v>4729872</v>
      </c>
      <c r="W42" s="226">
        <v>160880</v>
      </c>
      <c r="X42" s="228">
        <v>735000</v>
      </c>
      <c r="Y42" s="228">
        <f>Юрист[[#This Row],[Итоговая цена м2 с отделкой]]-Юрист[[#This Row],[Итоговая цена м2 без отделки]]</f>
        <v>25000</v>
      </c>
      <c r="Z42" s="226">
        <v>3994872</v>
      </c>
      <c r="AA42" s="223">
        <v>135880</v>
      </c>
      <c r="AB42" s="225" t="s">
        <v>757</v>
      </c>
      <c r="AC42" s="226">
        <v>81528</v>
      </c>
      <c r="AD42" s="225" t="s">
        <v>862</v>
      </c>
      <c r="AE42" s="225" t="s">
        <v>863</v>
      </c>
      <c r="AF42" s="226">
        <v>38837.910000000003</v>
      </c>
      <c r="AG42" s="226">
        <v>3778872</v>
      </c>
      <c r="AH42" s="226">
        <v>912162.09</v>
      </c>
      <c r="AI42" s="226"/>
      <c r="AJ42" s="226"/>
      <c r="AK42" s="223" t="s">
        <v>864</v>
      </c>
      <c r="AL42" s="227"/>
      <c r="AM42" s="229">
        <v>0.06</v>
      </c>
      <c r="AO42" s="223">
        <v>0</v>
      </c>
      <c r="AP42" s="225" t="s">
        <v>1718</v>
      </c>
      <c r="AQ42" s="223">
        <v>79228049666</v>
      </c>
      <c r="AR42" s="225" t="s">
        <v>866</v>
      </c>
      <c r="AS42" s="224">
        <v>33199</v>
      </c>
      <c r="AT42" s="225" t="s">
        <v>987</v>
      </c>
      <c r="AU42" s="225" t="s">
        <v>899</v>
      </c>
      <c r="AV42" s="225" t="s">
        <v>879</v>
      </c>
      <c r="AW42" s="225" t="s">
        <v>172</v>
      </c>
      <c r="AX42" t="s">
        <v>2172</v>
      </c>
      <c r="AY42" s="224"/>
      <c r="BL42" s="223"/>
    </row>
    <row r="43" spans="1:64" x14ac:dyDescent="0.25">
      <c r="A43" s="223">
        <v>2580</v>
      </c>
      <c r="B43" s="223">
        <v>12</v>
      </c>
      <c r="C43" s="224">
        <v>45705</v>
      </c>
      <c r="D43" s="225" t="s">
        <v>1715</v>
      </c>
      <c r="E43" s="225" t="s">
        <v>859</v>
      </c>
      <c r="F43" s="225" t="s">
        <v>860</v>
      </c>
      <c r="G43" s="223" t="s">
        <v>861</v>
      </c>
      <c r="H43" s="224"/>
      <c r="I43" s="224">
        <v>45708</v>
      </c>
      <c r="J43" s="225" t="s">
        <v>1951</v>
      </c>
      <c r="K43" s="225" t="s">
        <v>98</v>
      </c>
      <c r="L43" s="225" t="s">
        <v>3</v>
      </c>
      <c r="M43" s="223">
        <v>3</v>
      </c>
      <c r="N43" s="223">
        <v>18</v>
      </c>
      <c r="O43" s="223">
        <v>343</v>
      </c>
      <c r="P43" s="223">
        <v>2</v>
      </c>
      <c r="Q43" s="223">
        <v>56.58</v>
      </c>
      <c r="R43" s="225" t="s">
        <v>780</v>
      </c>
      <c r="S43" s="230">
        <v>7531444</v>
      </c>
      <c r="T43" s="226">
        <v>133111.42000000001</v>
      </c>
      <c r="U43" s="228"/>
      <c r="V43" s="226">
        <v>7531444</v>
      </c>
      <c r="W43" s="226">
        <v>133111.41746200071</v>
      </c>
      <c r="X43" s="228">
        <v>565800</v>
      </c>
      <c r="Y43" s="228">
        <f>Юрист[[#This Row],[Итоговая цена м2 с отделкой]]-Юрист[[#This Row],[Итоговая цена м2 без отделки]]</f>
        <v>10000</v>
      </c>
      <c r="Z43" s="226">
        <v>6965644</v>
      </c>
      <c r="AA43" s="223">
        <v>123111.41746200071</v>
      </c>
      <c r="AB43" s="225" t="s">
        <v>767</v>
      </c>
      <c r="AC43" s="226">
        <v>142156</v>
      </c>
      <c r="AD43" s="225" t="s">
        <v>862</v>
      </c>
      <c r="AE43" s="225" t="s">
        <v>863</v>
      </c>
      <c r="AF43" s="226">
        <v>841177.05</v>
      </c>
      <c r="AG43" s="226">
        <v>6000000</v>
      </c>
      <c r="AH43" s="226">
        <v>690266.95</v>
      </c>
      <c r="AI43" s="226"/>
      <c r="AJ43" s="226"/>
      <c r="AK43" s="223" t="s">
        <v>864</v>
      </c>
      <c r="AL43" s="227"/>
      <c r="AM43" s="229">
        <v>0.06</v>
      </c>
      <c r="AO43" s="223">
        <v>0</v>
      </c>
      <c r="AP43" s="225" t="s">
        <v>1716</v>
      </c>
      <c r="AQ43" s="223">
        <v>79522606120</v>
      </c>
      <c r="AR43" s="225" t="s">
        <v>866</v>
      </c>
      <c r="AS43" s="224">
        <v>37683</v>
      </c>
      <c r="AT43" s="225" t="s">
        <v>1347</v>
      </c>
      <c r="AU43" s="225" t="s">
        <v>1681</v>
      </c>
      <c r="AV43" s="225" t="s">
        <v>1696</v>
      </c>
      <c r="AW43" s="225" t="s">
        <v>172</v>
      </c>
      <c r="AX43" t="s">
        <v>2168</v>
      </c>
      <c r="AY43" s="224"/>
      <c r="BL43" s="223"/>
    </row>
    <row r="44" spans="1:64" x14ac:dyDescent="0.25">
      <c r="A44" s="223">
        <v>2578</v>
      </c>
      <c r="B44" s="223">
        <v>10</v>
      </c>
      <c r="C44" s="224">
        <v>45701</v>
      </c>
      <c r="D44" s="225" t="s">
        <v>1713</v>
      </c>
      <c r="E44" s="225" t="s">
        <v>859</v>
      </c>
      <c r="F44" s="225" t="s">
        <v>860</v>
      </c>
      <c r="G44" s="223" t="s">
        <v>861</v>
      </c>
      <c r="H44" s="224"/>
      <c r="I44" s="224">
        <v>45704</v>
      </c>
      <c r="J44" s="225" t="s">
        <v>1922</v>
      </c>
      <c r="K44" s="225" t="s">
        <v>98</v>
      </c>
      <c r="L44" s="225" t="s">
        <v>3</v>
      </c>
      <c r="M44" s="223">
        <v>3</v>
      </c>
      <c r="N44" s="223">
        <v>12</v>
      </c>
      <c r="O44" s="223">
        <v>301</v>
      </c>
      <c r="P44" s="223">
        <v>2</v>
      </c>
      <c r="Q44" s="223">
        <v>56.58</v>
      </c>
      <c r="R44" s="225" t="s">
        <v>780</v>
      </c>
      <c r="S44" s="230">
        <v>7445366</v>
      </c>
      <c r="T44" s="226">
        <v>131590.07</v>
      </c>
      <c r="U44" s="228">
        <v>15000</v>
      </c>
      <c r="V44" s="226">
        <v>7460366</v>
      </c>
      <c r="W44" s="226">
        <v>131855.17850830682</v>
      </c>
      <c r="X44" s="228">
        <v>565800</v>
      </c>
      <c r="Y44" s="228">
        <f>Юрист[[#This Row],[Итоговая цена м2 с отделкой]]-Юрист[[#This Row],[Итоговая цена м2 без отделки]]</f>
        <v>10000</v>
      </c>
      <c r="Z44" s="226">
        <v>6894566</v>
      </c>
      <c r="AA44" s="223">
        <v>121855.17850830682</v>
      </c>
      <c r="AB44" s="225" t="s">
        <v>162</v>
      </c>
      <c r="AC44" s="226">
        <v>213234</v>
      </c>
      <c r="AD44" s="225" t="s">
        <v>862</v>
      </c>
      <c r="AE44" s="225" t="s">
        <v>863</v>
      </c>
      <c r="AF44" s="226">
        <v>810000</v>
      </c>
      <c r="AG44" s="226">
        <v>5945366</v>
      </c>
      <c r="AH44" s="226">
        <v>690000</v>
      </c>
      <c r="AI44" s="226"/>
      <c r="AJ44" s="226"/>
      <c r="AK44" s="223" t="s">
        <v>864</v>
      </c>
      <c r="AL44" s="227"/>
      <c r="AM44" s="229">
        <v>0.06</v>
      </c>
      <c r="AO44" s="223">
        <v>0</v>
      </c>
      <c r="AP44" s="225" t="s">
        <v>1714</v>
      </c>
      <c r="AQ44" s="223">
        <v>79967409846</v>
      </c>
      <c r="AR44" s="225" t="s">
        <v>866</v>
      </c>
      <c r="AS44" s="224">
        <v>35308</v>
      </c>
      <c r="AT44" s="225" t="s">
        <v>970</v>
      </c>
      <c r="AU44" s="225" t="s">
        <v>899</v>
      </c>
      <c r="AV44" s="225" t="s">
        <v>879</v>
      </c>
      <c r="AW44" s="225" t="s">
        <v>172</v>
      </c>
      <c r="AX44" t="s">
        <v>2172</v>
      </c>
      <c r="AY44" s="224"/>
      <c r="BL44" s="223"/>
    </row>
    <row r="45" spans="1:64" x14ac:dyDescent="0.25">
      <c r="A45" s="223">
        <v>2576</v>
      </c>
      <c r="B45" s="223">
        <v>8</v>
      </c>
      <c r="C45" s="224">
        <v>45700</v>
      </c>
      <c r="D45" s="225" t="s">
        <v>1710</v>
      </c>
      <c r="E45" s="225" t="s">
        <v>859</v>
      </c>
      <c r="F45" s="225" t="s">
        <v>860</v>
      </c>
      <c r="G45" s="223" t="s">
        <v>926</v>
      </c>
      <c r="H45" s="224"/>
      <c r="I45" s="224">
        <v>45703</v>
      </c>
      <c r="J45" s="225" t="s">
        <v>1767</v>
      </c>
      <c r="K45" s="225" t="s">
        <v>98</v>
      </c>
      <c r="L45" s="225" t="s">
        <v>5</v>
      </c>
      <c r="M45" s="223">
        <v>3</v>
      </c>
      <c r="N45" s="223">
        <v>11</v>
      </c>
      <c r="O45" s="223">
        <v>72</v>
      </c>
      <c r="P45" s="223">
        <v>1</v>
      </c>
      <c r="Q45" s="223">
        <v>37.729999999999997</v>
      </c>
      <c r="R45" s="225" t="s">
        <v>14</v>
      </c>
      <c r="S45" s="230">
        <v>6351478</v>
      </c>
      <c r="T45" s="226">
        <v>168340.26</v>
      </c>
      <c r="U45" s="228"/>
      <c r="V45" s="226">
        <v>6351478</v>
      </c>
      <c r="W45" s="226">
        <v>168340.25974025976</v>
      </c>
      <c r="X45" s="228">
        <v>943249.99999999988</v>
      </c>
      <c r="Y45" s="228">
        <f>Юрист[[#This Row],[Итоговая цена м2 с отделкой]]-Юрист[[#This Row],[Итоговая цена м2 без отделки]]</f>
        <v>25000</v>
      </c>
      <c r="Z45" s="226">
        <v>5408228</v>
      </c>
      <c r="AA45" s="223">
        <v>143340.25974025976</v>
      </c>
      <c r="AB45" s="225" t="s">
        <v>757</v>
      </c>
      <c r="AC45" s="226">
        <v>110372.00000000093</v>
      </c>
      <c r="AD45" s="225" t="s">
        <v>862</v>
      </c>
      <c r="AE45" s="225" t="s">
        <v>1711</v>
      </c>
      <c r="AF45" s="226"/>
      <c r="AG45" s="226">
        <v>3428865</v>
      </c>
      <c r="AH45" s="226"/>
      <c r="AI45" s="226"/>
      <c r="AJ45" s="226">
        <v>2922613</v>
      </c>
      <c r="AK45" s="223" t="s">
        <v>844</v>
      </c>
      <c r="AL45" s="227"/>
      <c r="AM45" s="229">
        <v>0.06</v>
      </c>
      <c r="AO45" s="223">
        <v>0</v>
      </c>
      <c r="AP45" s="225" t="s">
        <v>1712</v>
      </c>
      <c r="AQ45" s="223">
        <v>79967471918</v>
      </c>
      <c r="AR45" s="225" t="s">
        <v>882</v>
      </c>
      <c r="AS45" s="224">
        <v>33069</v>
      </c>
      <c r="AT45" s="225" t="s">
        <v>878</v>
      </c>
      <c r="AU45" s="225" t="s">
        <v>1681</v>
      </c>
      <c r="AV45" s="225" t="s">
        <v>879</v>
      </c>
      <c r="AW45" s="225" t="s">
        <v>172</v>
      </c>
      <c r="AX45" t="s">
        <v>2172</v>
      </c>
      <c r="AY45" s="224"/>
      <c r="BL45" s="223"/>
    </row>
    <row r="46" spans="1:64" x14ac:dyDescent="0.25">
      <c r="A46" s="223">
        <v>2573</v>
      </c>
      <c r="B46" s="223">
        <v>5</v>
      </c>
      <c r="C46" s="224">
        <v>45698</v>
      </c>
      <c r="D46" s="225" t="s">
        <v>1708</v>
      </c>
      <c r="E46" s="225" t="s">
        <v>859</v>
      </c>
      <c r="F46" s="225" t="s">
        <v>860</v>
      </c>
      <c r="G46" s="223" t="s">
        <v>861</v>
      </c>
      <c r="H46" s="224"/>
      <c r="I46" s="224">
        <v>45701</v>
      </c>
      <c r="J46" s="225" t="s">
        <v>1800</v>
      </c>
      <c r="K46" s="225" t="s">
        <v>98</v>
      </c>
      <c r="L46" s="225" t="s">
        <v>4</v>
      </c>
      <c r="M46" s="223">
        <v>1</v>
      </c>
      <c r="N46" s="223">
        <v>3</v>
      </c>
      <c r="O46" s="223">
        <v>125</v>
      </c>
      <c r="P46" s="223">
        <v>2</v>
      </c>
      <c r="Q46" s="223">
        <v>60.22</v>
      </c>
      <c r="R46" s="225" t="s">
        <v>12</v>
      </c>
      <c r="S46" s="230">
        <v>7368900</v>
      </c>
      <c r="T46" s="226">
        <v>122366.32</v>
      </c>
      <c r="U46" s="228"/>
      <c r="V46" s="226">
        <v>7368900</v>
      </c>
      <c r="W46" s="226">
        <v>122366.32348057124</v>
      </c>
      <c r="X46" s="228"/>
      <c r="Y46" s="228">
        <f>Юрист[[#This Row],[Итоговая цена м2 с отделкой]]-Юрист[[#This Row],[Итоговая цена м2 без отделки]]</f>
        <v>0</v>
      </c>
      <c r="Z46" s="226">
        <v>7368900</v>
      </c>
      <c r="AA46" s="223">
        <v>122366.32348057124</v>
      </c>
      <c r="AB46" s="225"/>
      <c r="AD46" s="225" t="s">
        <v>862</v>
      </c>
      <c r="AE46" s="225" t="s">
        <v>863</v>
      </c>
      <c r="AF46" s="226">
        <v>1482000</v>
      </c>
      <c r="AG46" s="226">
        <v>5886900</v>
      </c>
      <c r="AH46" s="226"/>
      <c r="AI46" s="226"/>
      <c r="AJ46" s="226"/>
      <c r="AK46" s="223" t="s">
        <v>864</v>
      </c>
      <c r="AL46" s="227"/>
      <c r="AM46" s="229">
        <v>0.06</v>
      </c>
      <c r="AO46" s="223">
        <v>0</v>
      </c>
      <c r="AP46" s="225" t="s">
        <v>1709</v>
      </c>
      <c r="AQ46" s="223">
        <v>77078492624</v>
      </c>
      <c r="AR46" s="225" t="s">
        <v>866</v>
      </c>
      <c r="AS46" s="224">
        <v>34290</v>
      </c>
      <c r="AT46" s="225" t="s">
        <v>913</v>
      </c>
      <c r="AU46" s="225" t="s">
        <v>899</v>
      </c>
      <c r="AV46" s="225" t="s">
        <v>879</v>
      </c>
      <c r="AW46" s="225" t="s">
        <v>172</v>
      </c>
      <c r="AX46" t="s">
        <v>2172</v>
      </c>
      <c r="AY46" s="224"/>
      <c r="BL46" s="223"/>
    </row>
    <row r="47" spans="1:64" x14ac:dyDescent="0.25">
      <c r="A47" s="223">
        <v>2570</v>
      </c>
      <c r="B47" s="223">
        <v>2</v>
      </c>
      <c r="C47" s="224">
        <v>45696</v>
      </c>
      <c r="D47" s="225" t="s">
        <v>1699</v>
      </c>
      <c r="E47" s="225" t="s">
        <v>859</v>
      </c>
      <c r="F47" s="225" t="s">
        <v>860</v>
      </c>
      <c r="G47" s="223" t="s">
        <v>861</v>
      </c>
      <c r="H47" s="224"/>
      <c r="I47" s="224">
        <v>45727</v>
      </c>
      <c r="J47" s="225" t="s">
        <v>1996</v>
      </c>
      <c r="K47" s="225" t="s">
        <v>98</v>
      </c>
      <c r="L47" s="225" t="s">
        <v>2</v>
      </c>
      <c r="M47" s="223">
        <v>2</v>
      </c>
      <c r="N47" s="223">
        <v>5</v>
      </c>
      <c r="O47" s="223">
        <v>422</v>
      </c>
      <c r="P47" s="223">
        <v>1</v>
      </c>
      <c r="Q47" s="223">
        <v>43.21</v>
      </c>
      <c r="R47" s="225" t="s">
        <v>14</v>
      </c>
      <c r="S47" s="230">
        <v>6758436</v>
      </c>
      <c r="T47" s="226">
        <v>156409.07</v>
      </c>
      <c r="U47" s="228"/>
      <c r="V47" s="226">
        <v>6758436</v>
      </c>
      <c r="W47" s="226">
        <v>156409.07197408009</v>
      </c>
      <c r="X47" s="228">
        <v>1080250</v>
      </c>
      <c r="Y47" s="228">
        <f>Юрист[[#This Row],[Итоговая цена м2 с отделкой]]-Юрист[[#This Row],[Итоговая цена м2 без отделки]]</f>
        <v>25000</v>
      </c>
      <c r="Z47" s="226">
        <v>5678186</v>
      </c>
      <c r="AA47" s="223">
        <v>131409.07197408009</v>
      </c>
      <c r="AB47" s="225" t="s">
        <v>167</v>
      </c>
      <c r="AC47" s="226">
        <v>175614.00000000093</v>
      </c>
      <c r="AD47" s="225" t="s">
        <v>862</v>
      </c>
      <c r="AE47" s="225" t="s">
        <v>863</v>
      </c>
      <c r="AF47" s="226">
        <v>2000000</v>
      </c>
      <c r="AG47" s="226">
        <v>4758436</v>
      </c>
      <c r="AH47" s="226"/>
      <c r="AI47" s="226"/>
      <c r="AJ47" s="226"/>
      <c r="AK47" s="223" t="s">
        <v>864</v>
      </c>
      <c r="AL47" s="227"/>
      <c r="AM47" s="229">
        <v>0.04</v>
      </c>
      <c r="AO47" s="223">
        <v>0</v>
      </c>
      <c r="AP47" s="225" t="s">
        <v>1700</v>
      </c>
      <c r="AQ47" s="223">
        <v>79276511070</v>
      </c>
      <c r="AR47" s="225" t="s">
        <v>866</v>
      </c>
      <c r="AS47" s="224">
        <v>32011</v>
      </c>
      <c r="AT47" s="225" t="s">
        <v>903</v>
      </c>
      <c r="AU47" s="225" t="s">
        <v>997</v>
      </c>
      <c r="AV47" s="225" t="s">
        <v>879</v>
      </c>
      <c r="AW47" s="225" t="s">
        <v>172</v>
      </c>
      <c r="AX47" t="s">
        <v>2172</v>
      </c>
      <c r="AY47" s="224"/>
      <c r="BL47" s="223"/>
    </row>
    <row r="48" spans="1:64" x14ac:dyDescent="0.25">
      <c r="A48" s="223">
        <v>2565</v>
      </c>
      <c r="B48" s="223">
        <v>3</v>
      </c>
      <c r="C48" s="224">
        <v>45679</v>
      </c>
      <c r="D48" s="225" t="s">
        <v>1694</v>
      </c>
      <c r="E48" s="225" t="s">
        <v>859</v>
      </c>
      <c r="F48" s="225" t="s">
        <v>860</v>
      </c>
      <c r="G48" s="223" t="s">
        <v>861</v>
      </c>
      <c r="H48" s="224"/>
      <c r="I48" s="224">
        <v>45682</v>
      </c>
      <c r="J48" s="225" t="s">
        <v>1918</v>
      </c>
      <c r="K48" s="225" t="s">
        <v>98</v>
      </c>
      <c r="L48" s="225" t="s">
        <v>3</v>
      </c>
      <c r="M48" s="223">
        <v>5</v>
      </c>
      <c r="N48" s="223">
        <v>11</v>
      </c>
      <c r="O48" s="223">
        <v>296</v>
      </c>
      <c r="P48" s="223">
        <v>1</v>
      </c>
      <c r="Q48" s="223">
        <v>37.81</v>
      </c>
      <c r="R48" s="225" t="s">
        <v>780</v>
      </c>
      <c r="S48" s="230">
        <v>5515100</v>
      </c>
      <c r="T48" s="226">
        <v>145863.53</v>
      </c>
      <c r="U48" s="228"/>
      <c r="V48" s="226">
        <v>5515100</v>
      </c>
      <c r="W48" s="226">
        <v>145863.52816715153</v>
      </c>
      <c r="X48" s="228">
        <v>378100</v>
      </c>
      <c r="Y48" s="228">
        <f>Юрист[[#This Row],[Итоговая цена м2 с отделкой]]-Юрист[[#This Row],[Итоговая цена м2 без отделки]]</f>
        <v>10000</v>
      </c>
      <c r="Z48" s="226">
        <v>5137000</v>
      </c>
      <c r="AA48" s="223">
        <v>135863.52816715153</v>
      </c>
      <c r="AB48" s="225" t="s">
        <v>767</v>
      </c>
      <c r="AC48" s="226">
        <v>100000</v>
      </c>
      <c r="AD48" s="225" t="s">
        <v>862</v>
      </c>
      <c r="AE48" s="225" t="s">
        <v>863</v>
      </c>
      <c r="AF48" s="226">
        <v>478619.22</v>
      </c>
      <c r="AG48" s="226">
        <v>4406100</v>
      </c>
      <c r="AH48" s="226">
        <v>630380.78</v>
      </c>
      <c r="AI48" s="226"/>
      <c r="AJ48" s="226"/>
      <c r="AK48" s="223" t="s">
        <v>864</v>
      </c>
      <c r="AL48" s="227"/>
      <c r="AM48" s="229">
        <v>0.06</v>
      </c>
      <c r="AO48" s="223">
        <v>0</v>
      </c>
      <c r="AP48" s="225" t="s">
        <v>1695</v>
      </c>
      <c r="AQ48" s="223">
        <v>79277018313</v>
      </c>
      <c r="AR48" s="225" t="s">
        <v>882</v>
      </c>
      <c r="AS48" s="224">
        <v>31219</v>
      </c>
      <c r="AT48" s="225" t="s">
        <v>903</v>
      </c>
      <c r="AU48" s="225" t="s">
        <v>1681</v>
      </c>
      <c r="AV48" s="225" t="s">
        <v>1696</v>
      </c>
      <c r="AW48" s="225" t="s">
        <v>172</v>
      </c>
      <c r="AX48" t="s">
        <v>2172</v>
      </c>
      <c r="AY48" s="224"/>
      <c r="BL48" s="223"/>
    </row>
    <row r="49" spans="1:64" x14ac:dyDescent="0.25">
      <c r="A49" s="223">
        <v>2564</v>
      </c>
      <c r="B49" s="223">
        <v>2</v>
      </c>
      <c r="C49" s="224">
        <v>45672</v>
      </c>
      <c r="D49" s="225" t="s">
        <v>1692</v>
      </c>
      <c r="E49" s="225" t="s">
        <v>859</v>
      </c>
      <c r="F49" s="225" t="s">
        <v>860</v>
      </c>
      <c r="G49" s="223" t="s">
        <v>861</v>
      </c>
      <c r="H49" s="224"/>
      <c r="I49" s="224">
        <v>45675</v>
      </c>
      <c r="J49" s="225" t="s">
        <v>1955</v>
      </c>
      <c r="K49" s="225" t="s">
        <v>98</v>
      </c>
      <c r="L49" s="225" t="s">
        <v>3</v>
      </c>
      <c r="M49" s="223">
        <v>3</v>
      </c>
      <c r="N49" s="223">
        <v>19</v>
      </c>
      <c r="O49" s="223">
        <v>350</v>
      </c>
      <c r="P49" s="223">
        <v>2</v>
      </c>
      <c r="Q49" s="223">
        <v>56.58</v>
      </c>
      <c r="R49" s="225" t="s">
        <v>780</v>
      </c>
      <c r="S49" s="230">
        <v>7916848</v>
      </c>
      <c r="T49" s="226">
        <v>139923.07999999999</v>
      </c>
      <c r="U49" s="228"/>
      <c r="V49" s="226">
        <v>7916848</v>
      </c>
      <c r="W49" s="226">
        <v>139923.08236125839</v>
      </c>
      <c r="X49" s="228">
        <v>565800</v>
      </c>
      <c r="Y49" s="228">
        <f>Юрист[[#This Row],[Итоговая цена м2 с отделкой]]-Юрист[[#This Row],[Итоговая цена м2 без отделки]]</f>
        <v>9999.9999999999854</v>
      </c>
      <c r="Z49" s="226">
        <v>7351048</v>
      </c>
      <c r="AA49" s="223">
        <v>129923.08236125841</v>
      </c>
      <c r="AB49" s="225" t="s">
        <v>162</v>
      </c>
      <c r="AC49" s="226">
        <v>227352</v>
      </c>
      <c r="AD49" s="225" t="s">
        <v>862</v>
      </c>
      <c r="AE49" s="225" t="s">
        <v>863</v>
      </c>
      <c r="AF49" s="226">
        <v>2200000</v>
      </c>
      <c r="AG49" s="226">
        <v>4916848</v>
      </c>
      <c r="AH49" s="226">
        <v>800000</v>
      </c>
      <c r="AI49" s="226"/>
      <c r="AJ49" s="226"/>
      <c r="AK49" s="223" t="s">
        <v>864</v>
      </c>
      <c r="AL49" s="227"/>
      <c r="AM49" s="229">
        <v>0.06</v>
      </c>
      <c r="AO49" s="223">
        <v>0</v>
      </c>
      <c r="AP49" s="225" t="s">
        <v>1693</v>
      </c>
      <c r="AQ49" s="223">
        <v>79677064826</v>
      </c>
      <c r="AR49" s="225" t="s">
        <v>866</v>
      </c>
      <c r="AS49" s="224">
        <v>33667</v>
      </c>
      <c r="AT49" s="225" t="s">
        <v>903</v>
      </c>
      <c r="AU49" s="225" t="s">
        <v>997</v>
      </c>
      <c r="AV49" s="225" t="s">
        <v>879</v>
      </c>
      <c r="AW49" s="225" t="s">
        <v>172</v>
      </c>
      <c r="AX49" t="s">
        <v>2172</v>
      </c>
      <c r="AY49" s="224"/>
      <c r="BL49" s="223"/>
    </row>
    <row r="50" spans="1:64" x14ac:dyDescent="0.25">
      <c r="A50" s="223">
        <v>2560</v>
      </c>
      <c r="B50" s="223">
        <v>23</v>
      </c>
      <c r="C50" s="224">
        <v>45654</v>
      </c>
      <c r="D50" s="225" t="s">
        <v>1688</v>
      </c>
      <c r="E50" s="225" t="s">
        <v>859</v>
      </c>
      <c r="F50" s="225" t="s">
        <v>860</v>
      </c>
      <c r="G50" s="223" t="s">
        <v>861</v>
      </c>
      <c r="H50" s="224"/>
      <c r="I50" s="224">
        <v>45657</v>
      </c>
      <c r="J50" s="225" t="s">
        <v>1738</v>
      </c>
      <c r="K50" s="225" t="s">
        <v>98</v>
      </c>
      <c r="L50" s="225" t="s">
        <v>5</v>
      </c>
      <c r="M50" s="223">
        <v>2</v>
      </c>
      <c r="N50" s="223">
        <v>5</v>
      </c>
      <c r="O50" s="223">
        <v>29</v>
      </c>
      <c r="P50" s="223">
        <v>2</v>
      </c>
      <c r="Q50" s="223">
        <v>68.5</v>
      </c>
      <c r="R50" s="225" t="s">
        <v>780</v>
      </c>
      <c r="S50" s="230">
        <v>8727174</v>
      </c>
      <c r="T50" s="226">
        <v>127404</v>
      </c>
      <c r="U50" s="228"/>
      <c r="V50" s="226">
        <v>8727174</v>
      </c>
      <c r="W50" s="226">
        <v>127404</v>
      </c>
      <c r="X50" s="228">
        <v>685000</v>
      </c>
      <c r="Y50" s="228">
        <f>Юрист[[#This Row],[Итоговая цена м2 с отделкой]]-Юрист[[#This Row],[Итоговая цена м2 без отделки]]</f>
        <v>10000</v>
      </c>
      <c r="Z50" s="226">
        <v>8042174</v>
      </c>
      <c r="AA50" s="223">
        <v>117404</v>
      </c>
      <c r="AB50" s="225" t="s">
        <v>757</v>
      </c>
      <c r="AC50" s="226">
        <v>164126</v>
      </c>
      <c r="AD50" s="225" t="s">
        <v>862</v>
      </c>
      <c r="AE50" s="225" t="s">
        <v>863</v>
      </c>
      <c r="AF50" s="226">
        <v>4363587</v>
      </c>
      <c r="AG50" s="226">
        <v>4363587</v>
      </c>
      <c r="AH50" s="226"/>
      <c r="AI50" s="226"/>
      <c r="AJ50" s="226"/>
      <c r="AK50" s="223" t="s">
        <v>864</v>
      </c>
      <c r="AL50" s="227">
        <v>1.4E-2</v>
      </c>
      <c r="AM50" s="229">
        <v>4.5999999999999999E-2</v>
      </c>
      <c r="AO50" s="223">
        <v>0</v>
      </c>
      <c r="AP50" s="225" t="s">
        <v>1689</v>
      </c>
      <c r="AQ50" s="223">
        <v>79277039659</v>
      </c>
      <c r="AR50" s="225" t="s">
        <v>882</v>
      </c>
      <c r="AS50" s="224">
        <v>30603</v>
      </c>
      <c r="AT50" s="225" t="s">
        <v>970</v>
      </c>
      <c r="AU50" s="225" t="s">
        <v>1681</v>
      </c>
      <c r="AV50" s="225" t="s">
        <v>879</v>
      </c>
      <c r="AW50" s="225" t="s">
        <v>172</v>
      </c>
      <c r="AX50" t="s">
        <v>2172</v>
      </c>
      <c r="AY50" s="224"/>
      <c r="BL50" s="223"/>
    </row>
    <row r="51" spans="1:64" x14ac:dyDescent="0.25">
      <c r="A51" s="223">
        <v>2561</v>
      </c>
      <c r="B51" s="223">
        <v>24</v>
      </c>
      <c r="C51" s="224">
        <v>45654</v>
      </c>
      <c r="D51" s="225" t="s">
        <v>1690</v>
      </c>
      <c r="E51" s="225" t="s">
        <v>859</v>
      </c>
      <c r="F51" s="225" t="s">
        <v>860</v>
      </c>
      <c r="G51" s="223" t="s">
        <v>861</v>
      </c>
      <c r="H51" s="224"/>
      <c r="I51" s="224">
        <v>45657</v>
      </c>
      <c r="J51" s="225" t="s">
        <v>2063</v>
      </c>
      <c r="K51" s="225" t="s">
        <v>98</v>
      </c>
      <c r="L51" s="225" t="s">
        <v>2</v>
      </c>
      <c r="M51" s="223">
        <v>3</v>
      </c>
      <c r="N51" s="223">
        <v>15</v>
      </c>
      <c r="O51" s="223">
        <v>503</v>
      </c>
      <c r="P51" s="223">
        <v>0</v>
      </c>
      <c r="Q51" s="223">
        <v>24.5</v>
      </c>
      <c r="R51" s="225" t="s">
        <v>14</v>
      </c>
      <c r="S51" s="230">
        <v>4127700</v>
      </c>
      <c r="T51" s="226">
        <v>168477.55</v>
      </c>
      <c r="U51" s="228"/>
      <c r="V51" s="226">
        <v>4127700</v>
      </c>
      <c r="W51" s="226">
        <v>168477.55102040817</v>
      </c>
      <c r="X51" s="228">
        <v>612500</v>
      </c>
      <c r="Y51" s="228">
        <f>Юрист[[#This Row],[Итоговая цена м2 с отделкой]]-Юрист[[#This Row],[Итоговая цена м2 без отделки]]</f>
        <v>25000</v>
      </c>
      <c r="Z51" s="226">
        <v>3515200</v>
      </c>
      <c r="AA51" s="223">
        <v>143477.55102040817</v>
      </c>
      <c r="AB51" s="225"/>
      <c r="AD51" s="225" t="s">
        <v>862</v>
      </c>
      <c r="AE51" s="225" t="s">
        <v>863</v>
      </c>
      <c r="AF51" s="226">
        <v>400000</v>
      </c>
      <c r="AG51" s="226">
        <v>2894675.26</v>
      </c>
      <c r="AH51" s="226">
        <v>833024.74</v>
      </c>
      <c r="AI51" s="226"/>
      <c r="AJ51" s="226"/>
      <c r="AK51" s="223" t="s">
        <v>864</v>
      </c>
      <c r="AL51" s="227"/>
      <c r="AM51" s="229">
        <v>0.06</v>
      </c>
      <c r="AO51" s="223">
        <v>0</v>
      </c>
      <c r="AP51" s="225" t="s">
        <v>1691</v>
      </c>
      <c r="AQ51" s="223">
        <v>79379871387</v>
      </c>
      <c r="AR51" s="225" t="s">
        <v>866</v>
      </c>
      <c r="AS51" s="224">
        <v>31914</v>
      </c>
      <c r="AT51" s="225" t="s">
        <v>878</v>
      </c>
      <c r="AU51" s="225" t="s">
        <v>997</v>
      </c>
      <c r="AV51" s="225" t="s">
        <v>879</v>
      </c>
      <c r="AW51" s="225" t="s">
        <v>172</v>
      </c>
      <c r="AX51" t="s">
        <v>2172</v>
      </c>
      <c r="AY51" s="224"/>
      <c r="BL51" s="223"/>
    </row>
    <row r="52" spans="1:64" x14ac:dyDescent="0.25">
      <c r="A52" s="223">
        <v>2555</v>
      </c>
      <c r="B52" s="223">
        <v>18</v>
      </c>
      <c r="C52" s="224">
        <v>45652</v>
      </c>
      <c r="D52" s="225" t="s">
        <v>1682</v>
      </c>
      <c r="E52" s="225" t="s">
        <v>859</v>
      </c>
      <c r="F52" s="225" t="s">
        <v>860</v>
      </c>
      <c r="G52" s="223" t="s">
        <v>861</v>
      </c>
      <c r="H52" s="224"/>
      <c r="I52" s="224">
        <v>45655</v>
      </c>
      <c r="J52" s="225" t="s">
        <v>2050</v>
      </c>
      <c r="K52" s="225" t="s">
        <v>98</v>
      </c>
      <c r="L52" s="225" t="s">
        <v>2</v>
      </c>
      <c r="M52" s="223">
        <v>2</v>
      </c>
      <c r="N52" s="223">
        <v>13</v>
      </c>
      <c r="O52" s="223">
        <v>486</v>
      </c>
      <c r="P52" s="223">
        <v>1</v>
      </c>
      <c r="Q52" s="223">
        <v>43.21</v>
      </c>
      <c r="R52" s="225" t="s">
        <v>780</v>
      </c>
      <c r="S52" s="230">
        <v>5126080</v>
      </c>
      <c r="T52" s="226">
        <v>118631.8</v>
      </c>
      <c r="U52" s="228">
        <v>15000</v>
      </c>
      <c r="V52" s="226">
        <v>5141080</v>
      </c>
      <c r="W52" s="226">
        <v>118978.94006017126</v>
      </c>
      <c r="X52" s="228">
        <v>345680</v>
      </c>
      <c r="Y52" s="228">
        <f>Юрист[[#This Row],[Итоговая цена м2 с отделкой]]-Юрист[[#This Row],[Итоговая цена м2 без отделки]]</f>
        <v>8000</v>
      </c>
      <c r="Z52" s="226">
        <v>4795400</v>
      </c>
      <c r="AA52" s="223">
        <v>110978.94006017126</v>
      </c>
      <c r="AB52" s="225"/>
      <c r="AD52" s="225" t="s">
        <v>862</v>
      </c>
      <c r="AE52" s="225" t="s">
        <v>863</v>
      </c>
      <c r="AF52" s="226">
        <v>201000</v>
      </c>
      <c r="AG52" s="226">
        <v>4095080</v>
      </c>
      <c r="AH52" s="226">
        <v>830000</v>
      </c>
      <c r="AI52" s="226"/>
      <c r="AJ52" s="226"/>
      <c r="AK52" s="223" t="s">
        <v>864</v>
      </c>
      <c r="AL52" s="227"/>
      <c r="AM52" s="229">
        <v>0.06</v>
      </c>
      <c r="AO52" s="223">
        <v>0</v>
      </c>
      <c r="AP52" s="225" t="s">
        <v>1683</v>
      </c>
      <c r="AQ52" s="223">
        <v>79963420335</v>
      </c>
      <c r="AR52" s="225" t="s">
        <v>882</v>
      </c>
      <c r="AS52" s="224">
        <v>36929</v>
      </c>
      <c r="AT52" s="225" t="s">
        <v>878</v>
      </c>
      <c r="AU52" s="225" t="s">
        <v>899</v>
      </c>
      <c r="AV52" s="225" t="s">
        <v>879</v>
      </c>
      <c r="AW52" s="225" t="s">
        <v>172</v>
      </c>
      <c r="AX52" t="s">
        <v>2172</v>
      </c>
      <c r="AY52" s="224"/>
      <c r="BL52" s="223"/>
    </row>
    <row r="53" spans="1:64" x14ac:dyDescent="0.25">
      <c r="A53" s="223">
        <v>2556</v>
      </c>
      <c r="B53" s="223">
        <v>19</v>
      </c>
      <c r="C53" s="224">
        <v>45652</v>
      </c>
      <c r="D53" s="225" t="s">
        <v>1684</v>
      </c>
      <c r="E53" s="225" t="s">
        <v>859</v>
      </c>
      <c r="F53" s="225" t="s">
        <v>860</v>
      </c>
      <c r="G53" s="223" t="s">
        <v>861</v>
      </c>
      <c r="H53" s="224"/>
      <c r="I53" s="224">
        <v>45655</v>
      </c>
      <c r="J53" s="225" t="s">
        <v>1724</v>
      </c>
      <c r="K53" s="225" t="s">
        <v>98</v>
      </c>
      <c r="L53" s="225" t="s">
        <v>5</v>
      </c>
      <c r="M53" s="223">
        <v>2</v>
      </c>
      <c r="N53" s="223">
        <v>2</v>
      </c>
      <c r="O53" s="223">
        <v>8</v>
      </c>
      <c r="P53" s="223">
        <v>2</v>
      </c>
      <c r="Q53" s="223">
        <v>68.5</v>
      </c>
      <c r="R53" s="225" t="s">
        <v>12</v>
      </c>
      <c r="S53" s="230">
        <v>8119006</v>
      </c>
      <c r="T53" s="226">
        <v>118525.64</v>
      </c>
      <c r="U53" s="228"/>
      <c r="V53" s="226">
        <v>8119006</v>
      </c>
      <c r="W53" s="226">
        <v>118525.63503649634</v>
      </c>
      <c r="X53" s="228"/>
      <c r="Y53" s="228">
        <f>Юрист[[#This Row],[Итоговая цена м2 с отделкой]]-Юрист[[#This Row],[Итоговая цена м2 без отделки]]</f>
        <v>0</v>
      </c>
      <c r="Z53" s="226">
        <v>8119006</v>
      </c>
      <c r="AA53" s="223">
        <v>118525.63503649634</v>
      </c>
      <c r="AB53" s="225" t="s">
        <v>757</v>
      </c>
      <c r="AC53" s="226">
        <v>165694</v>
      </c>
      <c r="AD53" s="225" t="s">
        <v>862</v>
      </c>
      <c r="AE53" s="225" t="s">
        <v>863</v>
      </c>
      <c r="AF53" s="226">
        <v>2119006</v>
      </c>
      <c r="AG53" s="226">
        <v>6000000</v>
      </c>
      <c r="AH53" s="226"/>
      <c r="AI53" s="226"/>
      <c r="AJ53" s="226"/>
      <c r="AK53" s="223" t="s">
        <v>864</v>
      </c>
      <c r="AL53" s="227"/>
      <c r="AM53" s="229">
        <v>0.06</v>
      </c>
      <c r="AO53" s="223">
        <v>0</v>
      </c>
      <c r="AP53" s="225" t="s">
        <v>1685</v>
      </c>
      <c r="AQ53" s="223">
        <v>79100573147</v>
      </c>
      <c r="AR53" s="225" t="s">
        <v>866</v>
      </c>
      <c r="AS53" s="224">
        <v>32615</v>
      </c>
      <c r="AT53" s="225" t="s">
        <v>867</v>
      </c>
      <c r="AU53" s="225" t="s">
        <v>1681</v>
      </c>
      <c r="AV53" s="225" t="s">
        <v>879</v>
      </c>
      <c r="AW53" s="225" t="s">
        <v>172</v>
      </c>
      <c r="AX53" t="s">
        <v>2168</v>
      </c>
      <c r="AY53" s="224"/>
      <c r="BL53" s="223"/>
    </row>
    <row r="54" spans="1:64" x14ac:dyDescent="0.25">
      <c r="A54" s="223">
        <v>2558</v>
      </c>
      <c r="B54" s="223">
        <v>21</v>
      </c>
      <c r="C54" s="224">
        <v>45652</v>
      </c>
      <c r="D54" s="225" t="s">
        <v>1686</v>
      </c>
      <c r="E54" s="225" t="s">
        <v>859</v>
      </c>
      <c r="F54" s="225" t="s">
        <v>860</v>
      </c>
      <c r="G54" s="223" t="s">
        <v>861</v>
      </c>
      <c r="H54" s="224"/>
      <c r="I54" s="224">
        <v>45655</v>
      </c>
      <c r="J54" s="225" t="s">
        <v>1745</v>
      </c>
      <c r="K54" s="225" t="s">
        <v>98</v>
      </c>
      <c r="L54" s="225" t="s">
        <v>5</v>
      </c>
      <c r="M54" s="223">
        <v>4</v>
      </c>
      <c r="N54" s="223">
        <v>6</v>
      </c>
      <c r="O54" s="223">
        <v>38</v>
      </c>
      <c r="P54" s="223">
        <v>2</v>
      </c>
      <c r="Q54" s="223">
        <v>59.09</v>
      </c>
      <c r="R54" s="225" t="s">
        <v>14</v>
      </c>
      <c r="S54" s="230">
        <v>8565982</v>
      </c>
      <c r="T54" s="226">
        <v>144965</v>
      </c>
      <c r="U54" s="228"/>
      <c r="V54" s="226">
        <v>8565982</v>
      </c>
      <c r="W54" s="226">
        <v>144965.00253850059</v>
      </c>
      <c r="X54" s="228">
        <v>1477250</v>
      </c>
      <c r="Y54" s="228">
        <f>Юрист[[#This Row],[Итоговая цена м2 с отделкой]]-Юрист[[#This Row],[Итоговая цена м2 без отделки]]</f>
        <v>25000</v>
      </c>
      <c r="Z54" s="226">
        <v>7088732</v>
      </c>
      <c r="AA54" s="223">
        <v>119965.00253850059</v>
      </c>
      <c r="AB54" s="225" t="s">
        <v>757</v>
      </c>
      <c r="AC54" s="226">
        <v>144668</v>
      </c>
      <c r="AD54" s="225" t="s">
        <v>862</v>
      </c>
      <c r="AE54" s="225" t="s">
        <v>863</v>
      </c>
      <c r="AF54" s="226">
        <v>1732957.26</v>
      </c>
      <c r="AG54" s="226">
        <v>6000000</v>
      </c>
      <c r="AH54" s="226">
        <v>833024.74</v>
      </c>
      <c r="AI54" s="226"/>
      <c r="AJ54" s="226"/>
      <c r="AK54" s="223" t="s">
        <v>864</v>
      </c>
      <c r="AL54" s="227"/>
      <c r="AM54" s="229">
        <v>0.06</v>
      </c>
      <c r="AO54" s="223">
        <v>0</v>
      </c>
      <c r="AP54" s="225" t="s">
        <v>1687</v>
      </c>
      <c r="AQ54" s="223">
        <v>79033308999</v>
      </c>
      <c r="AR54" s="225" t="s">
        <v>866</v>
      </c>
      <c r="AS54" s="224">
        <v>31925</v>
      </c>
      <c r="AT54" s="225" t="s">
        <v>878</v>
      </c>
      <c r="AU54" s="225" t="s">
        <v>868</v>
      </c>
      <c r="AV54" s="225" t="s">
        <v>879</v>
      </c>
      <c r="AW54" s="225" t="s">
        <v>172</v>
      </c>
      <c r="AX54" t="s">
        <v>2172</v>
      </c>
      <c r="AY54" s="224"/>
      <c r="BL54" s="223"/>
    </row>
    <row r="55" spans="1:64" x14ac:dyDescent="0.25">
      <c r="A55" s="223">
        <v>2251</v>
      </c>
      <c r="B55" s="223">
        <v>14</v>
      </c>
      <c r="C55" s="224">
        <v>45649</v>
      </c>
      <c r="D55" s="225" t="s">
        <v>1675</v>
      </c>
      <c r="E55" s="225" t="s">
        <v>859</v>
      </c>
      <c r="F55" s="225" t="s">
        <v>860</v>
      </c>
      <c r="G55" s="223" t="s">
        <v>861</v>
      </c>
      <c r="H55" s="224"/>
      <c r="I55" s="224">
        <v>45652</v>
      </c>
      <c r="J55" s="225" t="s">
        <v>2036</v>
      </c>
      <c r="K55" s="225" t="s">
        <v>98</v>
      </c>
      <c r="L55" s="225" t="s">
        <v>2</v>
      </c>
      <c r="M55" s="223">
        <v>1</v>
      </c>
      <c r="N55" s="223">
        <v>11</v>
      </c>
      <c r="O55" s="223">
        <v>469</v>
      </c>
      <c r="P55" s="223">
        <v>0</v>
      </c>
      <c r="Q55" s="223">
        <v>29.4</v>
      </c>
      <c r="R55" s="225" t="s">
        <v>12</v>
      </c>
      <c r="S55" s="230">
        <v>3993794</v>
      </c>
      <c r="T55" s="226">
        <v>135843.32999999999</v>
      </c>
      <c r="U55" s="228"/>
      <c r="V55" s="226">
        <v>3993794</v>
      </c>
      <c r="W55" s="226">
        <v>135843.33333333334</v>
      </c>
      <c r="X55" s="228"/>
      <c r="Y55" s="228">
        <f>Юрист[[#This Row],[Итоговая цена м2 с отделкой]]-Юрист[[#This Row],[Итоговая цена м2 без отделки]]</f>
        <v>0</v>
      </c>
      <c r="Z55" s="226">
        <v>3993794</v>
      </c>
      <c r="AA55" s="223">
        <v>135843.33333333334</v>
      </c>
      <c r="AB55" s="225" t="s">
        <v>757</v>
      </c>
      <c r="AC55" s="226">
        <v>81506</v>
      </c>
      <c r="AD55" s="225" t="s">
        <v>862</v>
      </c>
      <c r="AE55" s="225" t="s">
        <v>863</v>
      </c>
      <c r="AF55" s="226">
        <v>803000</v>
      </c>
      <c r="AG55" s="226">
        <v>3190794</v>
      </c>
      <c r="AH55" s="226"/>
      <c r="AI55" s="226"/>
      <c r="AJ55" s="226"/>
      <c r="AK55" s="223" t="s">
        <v>864</v>
      </c>
      <c r="AL55" s="227"/>
      <c r="AM55" s="229">
        <v>0.06</v>
      </c>
      <c r="AO55" s="223">
        <v>0</v>
      </c>
      <c r="AP55" s="225" t="s">
        <v>1676</v>
      </c>
      <c r="AQ55" s="223">
        <v>79226208666</v>
      </c>
      <c r="AR55" s="225" t="s">
        <v>866</v>
      </c>
      <c r="AS55" s="224">
        <v>34286</v>
      </c>
      <c r="AT55" s="225" t="s">
        <v>987</v>
      </c>
      <c r="AU55" s="225" t="s">
        <v>997</v>
      </c>
      <c r="AV55" s="225" t="s">
        <v>879</v>
      </c>
      <c r="AW55" s="225" t="s">
        <v>172</v>
      </c>
      <c r="AX55" t="s">
        <v>2172</v>
      </c>
      <c r="AY55" s="224"/>
      <c r="BL55" s="223"/>
    </row>
    <row r="56" spans="1:64" x14ac:dyDescent="0.25">
      <c r="A56" s="223">
        <v>2253</v>
      </c>
      <c r="B56" s="223">
        <v>16</v>
      </c>
      <c r="C56" s="224">
        <v>45649</v>
      </c>
      <c r="D56" s="225" t="s">
        <v>1677</v>
      </c>
      <c r="E56" s="225" t="s">
        <v>859</v>
      </c>
      <c r="F56" s="225" t="s">
        <v>860</v>
      </c>
      <c r="G56" s="223" t="s">
        <v>861</v>
      </c>
      <c r="H56" s="224"/>
      <c r="I56" s="224">
        <v>45652</v>
      </c>
      <c r="J56" s="225" t="s">
        <v>1892</v>
      </c>
      <c r="K56" s="225" t="s">
        <v>98</v>
      </c>
      <c r="L56" s="225" t="s">
        <v>3</v>
      </c>
      <c r="M56" s="223">
        <v>3</v>
      </c>
      <c r="N56" s="223">
        <v>6</v>
      </c>
      <c r="O56" s="223">
        <v>259</v>
      </c>
      <c r="P56" s="223">
        <v>2</v>
      </c>
      <c r="Q56" s="223">
        <v>56.58</v>
      </c>
      <c r="R56" s="225" t="s">
        <v>14</v>
      </c>
      <c r="S56" s="230">
        <v>8347800</v>
      </c>
      <c r="T56" s="226">
        <v>147539.76999999999</v>
      </c>
      <c r="U56" s="228"/>
      <c r="V56" s="226">
        <v>8347800</v>
      </c>
      <c r="W56" s="226">
        <v>147539.76670201484</v>
      </c>
      <c r="X56" s="228">
        <v>1414500.0000000009</v>
      </c>
      <c r="Y56" s="228">
        <f>Юрист[[#This Row],[Итоговая цена м2 с отделкой]]-Юрист[[#This Row],[Итоговая цена м2 без отделки]]</f>
        <v>25000</v>
      </c>
      <c r="Z56" s="226">
        <v>6933299.9999999991</v>
      </c>
      <c r="AA56" s="223">
        <v>122539.76670201484</v>
      </c>
      <c r="AB56" s="225" t="s">
        <v>766</v>
      </c>
      <c r="AC56" s="226">
        <v>40000</v>
      </c>
      <c r="AD56" s="225" t="s">
        <v>862</v>
      </c>
      <c r="AE56" s="225" t="s">
        <v>863</v>
      </c>
      <c r="AF56" s="226">
        <v>1514775.26</v>
      </c>
      <c r="AG56" s="226">
        <v>6000000</v>
      </c>
      <c r="AH56" s="226">
        <v>833024.74</v>
      </c>
      <c r="AI56" s="226"/>
      <c r="AJ56" s="226"/>
      <c r="AK56" s="223" t="s">
        <v>864</v>
      </c>
      <c r="AL56" s="227"/>
      <c r="AM56" s="229">
        <v>0.06</v>
      </c>
      <c r="AO56" s="223">
        <v>0</v>
      </c>
      <c r="AP56" s="225" t="s">
        <v>1678</v>
      </c>
      <c r="AQ56" s="223">
        <v>79063429497</v>
      </c>
      <c r="AR56" s="225" t="s">
        <v>882</v>
      </c>
      <c r="AS56" s="224">
        <v>35709</v>
      </c>
      <c r="AT56" s="225" t="s">
        <v>1498</v>
      </c>
      <c r="AU56" s="225" t="s">
        <v>997</v>
      </c>
      <c r="AV56" s="225" t="s">
        <v>879</v>
      </c>
      <c r="AW56" s="225" t="s">
        <v>172</v>
      </c>
      <c r="AX56" t="s">
        <v>2168</v>
      </c>
      <c r="AY56" s="224"/>
      <c r="BL56" s="223"/>
    </row>
    <row r="57" spans="1:64" x14ac:dyDescent="0.25">
      <c r="A57" s="223">
        <v>2554</v>
      </c>
      <c r="B57" s="223">
        <v>17</v>
      </c>
      <c r="C57" s="224">
        <v>45649</v>
      </c>
      <c r="D57" s="225" t="s">
        <v>1679</v>
      </c>
      <c r="E57" s="225" t="s">
        <v>859</v>
      </c>
      <c r="F57" s="225" t="s">
        <v>860</v>
      </c>
      <c r="G57" s="223" t="s">
        <v>861</v>
      </c>
      <c r="H57" s="224"/>
      <c r="I57" s="224">
        <v>45652</v>
      </c>
      <c r="J57" s="225" t="s">
        <v>2055</v>
      </c>
      <c r="K57" s="225" t="s">
        <v>98</v>
      </c>
      <c r="L57" s="225" t="s">
        <v>2</v>
      </c>
      <c r="M57" s="223">
        <v>1</v>
      </c>
      <c r="N57" s="223">
        <v>14</v>
      </c>
      <c r="O57" s="223">
        <v>493</v>
      </c>
      <c r="P57" s="223">
        <v>0</v>
      </c>
      <c r="Q57" s="223">
        <v>29.4</v>
      </c>
      <c r="R57" s="225" t="s">
        <v>12</v>
      </c>
      <c r="S57" s="230">
        <v>3993794</v>
      </c>
      <c r="T57" s="226">
        <v>135843.32999999999</v>
      </c>
      <c r="U57" s="228"/>
      <c r="V57" s="226">
        <v>3993794</v>
      </c>
      <c r="W57" s="226">
        <v>135843.33333333334</v>
      </c>
      <c r="X57" s="228"/>
      <c r="Y57" s="228">
        <f>Юрист[[#This Row],[Итоговая цена м2 с отделкой]]-Юрист[[#This Row],[Итоговая цена м2 без отделки]]</f>
        <v>0</v>
      </c>
      <c r="Z57" s="226">
        <v>3993794</v>
      </c>
      <c r="AA57" s="223">
        <v>135843.33333333334</v>
      </c>
      <c r="AB57" s="225" t="s">
        <v>757</v>
      </c>
      <c r="AC57" s="226">
        <v>81506</v>
      </c>
      <c r="AD57" s="225" t="s">
        <v>862</v>
      </c>
      <c r="AE57" s="225" t="s">
        <v>863</v>
      </c>
      <c r="AF57" s="226">
        <v>172371.22</v>
      </c>
      <c r="AG57" s="226">
        <v>3191042</v>
      </c>
      <c r="AH57" s="226">
        <v>630380.78</v>
      </c>
      <c r="AI57" s="226"/>
      <c r="AJ57" s="226"/>
      <c r="AK57" s="223" t="s">
        <v>864</v>
      </c>
      <c r="AL57" s="227"/>
      <c r="AM57" s="229">
        <v>0.06</v>
      </c>
      <c r="AO57" s="223">
        <v>0</v>
      </c>
      <c r="AP57" s="225" t="s">
        <v>1680</v>
      </c>
      <c r="AQ57" s="223">
        <v>79228855099</v>
      </c>
      <c r="AR57" s="225" t="s">
        <v>882</v>
      </c>
      <c r="AS57" s="224">
        <v>33259</v>
      </c>
      <c r="AT57" s="225" t="s">
        <v>1218</v>
      </c>
      <c r="AU57" s="225" t="s">
        <v>1681</v>
      </c>
      <c r="AV57" s="225" t="s">
        <v>879</v>
      </c>
      <c r="AW57" s="225" t="s">
        <v>172</v>
      </c>
      <c r="AX57" t="s">
        <v>2172</v>
      </c>
      <c r="AY57" s="224"/>
      <c r="BL57" s="223"/>
    </row>
    <row r="58" spans="1:64" x14ac:dyDescent="0.25">
      <c r="A58" s="223">
        <v>2546</v>
      </c>
      <c r="B58" s="223">
        <v>9</v>
      </c>
      <c r="C58" s="224">
        <v>45643</v>
      </c>
      <c r="D58" s="225" t="s">
        <v>1669</v>
      </c>
      <c r="E58" s="225" t="s">
        <v>859</v>
      </c>
      <c r="F58" s="225" t="s">
        <v>860</v>
      </c>
      <c r="G58" s="223" t="s">
        <v>861</v>
      </c>
      <c r="H58" s="224"/>
      <c r="I58" s="224">
        <v>45646</v>
      </c>
      <c r="J58" s="225" t="s">
        <v>2072</v>
      </c>
      <c r="K58" s="225" t="s">
        <v>98</v>
      </c>
      <c r="L58" s="225" t="s">
        <v>2</v>
      </c>
      <c r="M58" s="223">
        <v>5</v>
      </c>
      <c r="N58" s="223">
        <v>16</v>
      </c>
      <c r="O58" s="223">
        <v>513</v>
      </c>
      <c r="P58" s="223">
        <v>2</v>
      </c>
      <c r="Q58" s="223">
        <v>57.8</v>
      </c>
      <c r="R58" s="225" t="s">
        <v>14</v>
      </c>
      <c r="S58" s="230">
        <v>8297252</v>
      </c>
      <c r="T58" s="226">
        <v>143551.07</v>
      </c>
      <c r="U58" s="228">
        <v>15000</v>
      </c>
      <c r="V58" s="226">
        <v>8312252</v>
      </c>
      <c r="W58" s="226">
        <v>143810.58823529413</v>
      </c>
      <c r="X58" s="228">
        <v>1445000</v>
      </c>
      <c r="Y58" s="228">
        <f>Юрист[[#This Row],[Итоговая цена м2 с отделкой]]-Юрист[[#This Row],[Итоговая цена м2 без отделки]]</f>
        <v>25000</v>
      </c>
      <c r="Z58" s="226">
        <v>6867252</v>
      </c>
      <c r="AA58" s="223">
        <v>118810.58823529413</v>
      </c>
      <c r="AB58" s="225" t="s">
        <v>757</v>
      </c>
      <c r="AC58" s="226">
        <v>140148</v>
      </c>
      <c r="AD58" s="225" t="s">
        <v>862</v>
      </c>
      <c r="AE58" s="225" t="s">
        <v>863</v>
      </c>
      <c r="AF58" s="226">
        <v>4200000</v>
      </c>
      <c r="AG58" s="226">
        <v>4097252</v>
      </c>
      <c r="AH58" s="226"/>
      <c r="AI58" s="226"/>
      <c r="AJ58" s="226"/>
      <c r="AK58" s="223" t="s">
        <v>864</v>
      </c>
      <c r="AL58" s="227"/>
      <c r="AM58" s="229">
        <v>0.06</v>
      </c>
      <c r="AO58" s="223">
        <v>0</v>
      </c>
      <c r="AP58" s="225" t="s">
        <v>1670</v>
      </c>
      <c r="AQ58" s="223">
        <v>79613877277</v>
      </c>
      <c r="AR58" s="225" t="s">
        <v>882</v>
      </c>
      <c r="AS58" s="224">
        <v>34430</v>
      </c>
      <c r="AT58" s="225" t="s">
        <v>888</v>
      </c>
      <c r="AU58" s="225" t="s">
        <v>997</v>
      </c>
      <c r="AV58" s="225" t="s">
        <v>879</v>
      </c>
      <c r="AW58" s="225" t="s">
        <v>172</v>
      </c>
      <c r="AX58" t="s">
        <v>2172</v>
      </c>
      <c r="AY58" s="224"/>
      <c r="BL58" s="223"/>
    </row>
    <row r="59" spans="1:64" x14ac:dyDescent="0.25">
      <c r="A59" s="223">
        <v>2547</v>
      </c>
      <c r="B59" s="223">
        <v>10</v>
      </c>
      <c r="C59" s="224">
        <v>45643</v>
      </c>
      <c r="D59" s="225" t="s">
        <v>1671</v>
      </c>
      <c r="E59" s="225" t="s">
        <v>859</v>
      </c>
      <c r="F59" s="225" t="s">
        <v>860</v>
      </c>
      <c r="G59" s="223" t="s">
        <v>861</v>
      </c>
      <c r="H59" s="224"/>
      <c r="I59" s="224">
        <v>45646</v>
      </c>
      <c r="J59" s="225" t="s">
        <v>2042</v>
      </c>
      <c r="K59" s="225" t="s">
        <v>98</v>
      </c>
      <c r="L59" s="225" t="s">
        <v>2</v>
      </c>
      <c r="M59" s="223">
        <v>8</v>
      </c>
      <c r="N59" s="223">
        <v>11</v>
      </c>
      <c r="O59" s="223">
        <v>476</v>
      </c>
      <c r="P59" s="223">
        <v>1</v>
      </c>
      <c r="Q59" s="223">
        <v>39.69</v>
      </c>
      <c r="R59" s="225" t="s">
        <v>14</v>
      </c>
      <c r="S59" s="230">
        <v>6289640</v>
      </c>
      <c r="T59" s="226">
        <v>158469.14000000001</v>
      </c>
      <c r="U59" s="228"/>
      <c r="V59" s="226">
        <v>6289640</v>
      </c>
      <c r="W59" s="226">
        <v>158469.13580246916</v>
      </c>
      <c r="X59" s="228">
        <v>992250</v>
      </c>
      <c r="Y59" s="228">
        <f>Юрист[[#This Row],[Итоговая цена м2 с отделкой]]-Юрист[[#This Row],[Итоговая цена м2 без отделки]]</f>
        <v>25000.000000000029</v>
      </c>
      <c r="Z59" s="226">
        <v>5297390</v>
      </c>
      <c r="AA59" s="223">
        <v>133469.13580246913</v>
      </c>
      <c r="AB59" s="225" t="s">
        <v>757</v>
      </c>
      <c r="AC59" s="226">
        <v>108110.00000000093</v>
      </c>
      <c r="AD59" s="225" t="s">
        <v>862</v>
      </c>
      <c r="AE59" s="225" t="s">
        <v>863</v>
      </c>
      <c r="AF59" s="226">
        <v>634619.21999999974</v>
      </c>
      <c r="AG59" s="226">
        <v>5024640</v>
      </c>
      <c r="AH59" s="226">
        <v>630380.78</v>
      </c>
      <c r="AI59" s="226"/>
      <c r="AJ59" s="226"/>
      <c r="AK59" s="223" t="s">
        <v>864</v>
      </c>
      <c r="AL59" s="227"/>
      <c r="AM59" s="229">
        <v>0.06</v>
      </c>
      <c r="AO59" s="223">
        <v>0</v>
      </c>
      <c r="AP59" s="225" t="s">
        <v>1672</v>
      </c>
      <c r="AQ59" s="223">
        <v>79376485390</v>
      </c>
      <c r="AR59" s="225" t="s">
        <v>866</v>
      </c>
      <c r="AS59" s="224">
        <v>28165</v>
      </c>
      <c r="AT59" s="225" t="s">
        <v>1593</v>
      </c>
      <c r="AU59" s="225" t="s">
        <v>899</v>
      </c>
      <c r="AV59" s="225" t="s">
        <v>879</v>
      </c>
      <c r="AW59" s="225" t="s">
        <v>172</v>
      </c>
      <c r="AX59" t="s">
        <v>2168</v>
      </c>
      <c r="AY59" s="224"/>
      <c r="BL59" s="223"/>
    </row>
    <row r="60" spans="1:64" x14ac:dyDescent="0.25">
      <c r="A60" s="223">
        <v>2549</v>
      </c>
      <c r="B60" s="223">
        <v>12</v>
      </c>
      <c r="C60" s="224">
        <v>45643</v>
      </c>
      <c r="D60" s="225" t="s">
        <v>1673</v>
      </c>
      <c r="E60" s="225" t="s">
        <v>859</v>
      </c>
      <c r="F60" s="225" t="s">
        <v>860</v>
      </c>
      <c r="G60" s="223" t="s">
        <v>861</v>
      </c>
      <c r="H60" s="224"/>
      <c r="I60" s="224">
        <v>45646</v>
      </c>
      <c r="J60" s="225" t="s">
        <v>1797</v>
      </c>
      <c r="K60" s="225" t="s">
        <v>98</v>
      </c>
      <c r="L60" s="225" t="s">
        <v>4</v>
      </c>
      <c r="M60" s="223">
        <v>3</v>
      </c>
      <c r="N60" s="223">
        <v>2</v>
      </c>
      <c r="O60" s="223">
        <v>120</v>
      </c>
      <c r="P60" s="223">
        <v>2</v>
      </c>
      <c r="Q60" s="223">
        <v>57.6</v>
      </c>
      <c r="R60" s="225" t="s">
        <v>780</v>
      </c>
      <c r="S60" s="230">
        <v>7414500</v>
      </c>
      <c r="T60" s="226">
        <v>128723.96</v>
      </c>
      <c r="U60" s="228"/>
      <c r="V60" s="226">
        <v>7414500</v>
      </c>
      <c r="W60" s="226">
        <v>128723.95833333333</v>
      </c>
      <c r="X60" s="228">
        <v>576000</v>
      </c>
      <c r="Y60" s="228">
        <f>Юрист[[#This Row],[Итоговая цена м2 с отделкой]]-Юрист[[#This Row],[Итоговая цена м2 без отделки]]</f>
        <v>10000</v>
      </c>
      <c r="Z60" s="226">
        <v>6838500</v>
      </c>
      <c r="AA60" s="223">
        <v>118723.95833333333</v>
      </c>
      <c r="AB60" s="225" t="s">
        <v>767</v>
      </c>
      <c r="AC60" s="226">
        <v>211500</v>
      </c>
      <c r="AD60" s="225" t="s">
        <v>862</v>
      </c>
      <c r="AE60" s="225" t="s">
        <v>863</v>
      </c>
      <c r="AF60" s="226">
        <v>860119.22</v>
      </c>
      <c r="AG60" s="226">
        <v>5924000</v>
      </c>
      <c r="AH60" s="226">
        <v>630380.78</v>
      </c>
      <c r="AI60" s="226"/>
      <c r="AJ60" s="226"/>
      <c r="AK60" s="223" t="s">
        <v>864</v>
      </c>
      <c r="AL60" s="227"/>
      <c r="AM60" s="229">
        <v>0.06</v>
      </c>
      <c r="AO60" s="223">
        <v>0</v>
      </c>
      <c r="AP60" s="225" t="s">
        <v>1674</v>
      </c>
      <c r="AQ60" s="223">
        <v>79379931884</v>
      </c>
      <c r="AR60" s="225" t="s">
        <v>866</v>
      </c>
      <c r="AS60" s="224">
        <v>32329</v>
      </c>
      <c r="AT60" s="225" t="s">
        <v>1347</v>
      </c>
      <c r="AU60" s="225" t="s">
        <v>868</v>
      </c>
      <c r="AV60" s="225" t="s">
        <v>879</v>
      </c>
      <c r="AW60" s="225" t="s">
        <v>172</v>
      </c>
      <c r="AX60" t="s">
        <v>2168</v>
      </c>
      <c r="AY60" s="224"/>
      <c r="BL60" s="223"/>
    </row>
    <row r="61" spans="1:64" x14ac:dyDescent="0.25">
      <c r="A61" s="223">
        <v>2543</v>
      </c>
      <c r="B61" s="223">
        <v>6</v>
      </c>
      <c r="C61" s="224">
        <v>45642</v>
      </c>
      <c r="D61" s="225" t="s">
        <v>1667</v>
      </c>
      <c r="E61" s="225" t="s">
        <v>859</v>
      </c>
      <c r="F61" s="225" t="s">
        <v>860</v>
      </c>
      <c r="G61" s="223" t="s">
        <v>926</v>
      </c>
      <c r="H61" s="224"/>
      <c r="I61" s="224">
        <v>45645</v>
      </c>
      <c r="J61" s="225" t="s">
        <v>1758</v>
      </c>
      <c r="K61" s="225" t="s">
        <v>98</v>
      </c>
      <c r="L61" s="225" t="s">
        <v>5</v>
      </c>
      <c r="M61" s="223">
        <v>2</v>
      </c>
      <c r="N61" s="223">
        <v>9</v>
      </c>
      <c r="O61" s="223">
        <v>57</v>
      </c>
      <c r="P61" s="223">
        <v>2</v>
      </c>
      <c r="Q61" s="223">
        <v>68.5</v>
      </c>
      <c r="R61" s="225" t="s">
        <v>780</v>
      </c>
      <c r="S61" s="230">
        <v>7178664</v>
      </c>
      <c r="T61" s="226">
        <v>104798.01</v>
      </c>
      <c r="U61" s="228">
        <v>15000</v>
      </c>
      <c r="V61" s="226">
        <v>7193664</v>
      </c>
      <c r="W61" s="226">
        <v>105016.99270072993</v>
      </c>
      <c r="X61" s="228">
        <v>548000</v>
      </c>
      <c r="Y61" s="228">
        <f>Юрист[[#This Row],[Итоговая цена м2 с отделкой]]-Юрист[[#This Row],[Итоговая цена м2 без отделки]]</f>
        <v>8000</v>
      </c>
      <c r="Z61" s="226">
        <v>6645664</v>
      </c>
      <c r="AA61" s="223">
        <v>97016.992700729927</v>
      </c>
      <c r="AB61" s="225" t="s">
        <v>162</v>
      </c>
      <c r="AC61" s="226">
        <v>205536</v>
      </c>
      <c r="AD61" s="225" t="s">
        <v>862</v>
      </c>
      <c r="AE61" s="225" t="s">
        <v>1057</v>
      </c>
      <c r="AF61" s="226"/>
      <c r="AG61" s="226">
        <v>3266544</v>
      </c>
      <c r="AH61" s="226"/>
      <c r="AI61" s="226"/>
      <c r="AJ61" s="226">
        <v>3912120</v>
      </c>
      <c r="AK61" s="223" t="s">
        <v>844</v>
      </c>
      <c r="AL61" s="227"/>
      <c r="AM61" s="229"/>
      <c r="AO61" s="223">
        <v>0</v>
      </c>
      <c r="AP61" s="225" t="s">
        <v>1668</v>
      </c>
      <c r="AQ61" s="223">
        <v>79371000099</v>
      </c>
      <c r="AR61" s="225" t="s">
        <v>882</v>
      </c>
      <c r="AS61" s="224">
        <v>32870</v>
      </c>
      <c r="AT61" s="225" t="s">
        <v>1022</v>
      </c>
      <c r="AU61" s="225" t="s">
        <v>997</v>
      </c>
      <c r="AV61" s="225" t="s">
        <v>879</v>
      </c>
      <c r="AW61" s="225" t="s">
        <v>172</v>
      </c>
      <c r="AX61" t="s">
        <v>2172</v>
      </c>
      <c r="AY61" s="224"/>
      <c r="BL61" s="223"/>
    </row>
    <row r="62" spans="1:64" x14ac:dyDescent="0.25">
      <c r="A62" s="223">
        <v>2539</v>
      </c>
      <c r="B62" s="223">
        <v>2</v>
      </c>
      <c r="C62" s="224">
        <v>45635</v>
      </c>
      <c r="D62" s="225" t="s">
        <v>1664</v>
      </c>
      <c r="E62" s="225" t="s">
        <v>859</v>
      </c>
      <c r="F62" s="225" t="s">
        <v>860</v>
      </c>
      <c r="G62" s="223" t="s">
        <v>861</v>
      </c>
      <c r="H62" s="224"/>
      <c r="I62" s="224">
        <v>45638</v>
      </c>
      <c r="J62" s="225" t="s">
        <v>2080</v>
      </c>
      <c r="K62" s="225" t="s">
        <v>98</v>
      </c>
      <c r="L62" s="225" t="s">
        <v>2</v>
      </c>
      <c r="M62" s="223">
        <v>7</v>
      </c>
      <c r="N62" s="223">
        <v>17</v>
      </c>
      <c r="O62" s="223">
        <v>523</v>
      </c>
      <c r="P62" s="223">
        <v>3</v>
      </c>
      <c r="Q62" s="223">
        <v>79.44</v>
      </c>
      <c r="R62" s="225" t="s">
        <v>780</v>
      </c>
      <c r="S62" s="230">
        <v>10407906</v>
      </c>
      <c r="T62" s="226">
        <v>131015.94</v>
      </c>
      <c r="U62" s="228"/>
      <c r="V62" s="226">
        <v>10407906</v>
      </c>
      <c r="W62" s="226">
        <v>131015.93655589124</v>
      </c>
      <c r="X62" s="228">
        <v>794400</v>
      </c>
      <c r="Y62" s="228">
        <f>Юрист[[#This Row],[Итоговая цена м2 с отделкой]]-Юрист[[#This Row],[Итоговая цена м2 без отделки]]</f>
        <v>10000</v>
      </c>
      <c r="Z62" s="226">
        <v>9613506</v>
      </c>
      <c r="AA62" s="223">
        <v>121015.93655589124</v>
      </c>
      <c r="AB62" s="225" t="s">
        <v>1665</v>
      </c>
      <c r="AC62" s="226">
        <v>196194</v>
      </c>
      <c r="AD62" s="225" t="s">
        <v>862</v>
      </c>
      <c r="AE62" s="225" t="s">
        <v>863</v>
      </c>
      <c r="AF62" s="226">
        <v>2092000</v>
      </c>
      <c r="AG62" s="226">
        <v>8315906</v>
      </c>
      <c r="AH62" s="226"/>
      <c r="AI62" s="226"/>
      <c r="AJ62" s="226"/>
      <c r="AK62" s="223" t="s">
        <v>895</v>
      </c>
      <c r="AL62" s="227"/>
      <c r="AM62" s="229">
        <v>0.06</v>
      </c>
      <c r="AO62" s="223">
        <v>0</v>
      </c>
      <c r="AP62" s="225" t="s">
        <v>1666</v>
      </c>
      <c r="AQ62" s="223">
        <v>79951314851</v>
      </c>
      <c r="AR62" s="225" t="s">
        <v>882</v>
      </c>
      <c r="AS62" s="224">
        <v>37155</v>
      </c>
      <c r="AT62" s="225" t="s">
        <v>878</v>
      </c>
      <c r="AU62" s="225" t="s">
        <v>899</v>
      </c>
      <c r="AV62" s="225" t="s">
        <v>879</v>
      </c>
      <c r="AW62" s="225" t="s">
        <v>172</v>
      </c>
      <c r="AX62" t="s">
        <v>2172</v>
      </c>
      <c r="AY62" s="224"/>
      <c r="BL62" s="223"/>
    </row>
    <row r="63" spans="1:64" x14ac:dyDescent="0.25">
      <c r="A63" s="223">
        <v>2538</v>
      </c>
      <c r="B63" s="223">
        <v>1</v>
      </c>
      <c r="C63" s="224">
        <v>45631</v>
      </c>
      <c r="D63" s="225" t="s">
        <v>1662</v>
      </c>
      <c r="E63" s="225" t="s">
        <v>859</v>
      </c>
      <c r="F63" s="225" t="s">
        <v>860</v>
      </c>
      <c r="G63" s="223" t="s">
        <v>861</v>
      </c>
      <c r="H63" s="224"/>
      <c r="I63" s="224">
        <v>45636</v>
      </c>
      <c r="J63" s="225" t="s">
        <v>1746</v>
      </c>
      <c r="K63" s="225" t="s">
        <v>98</v>
      </c>
      <c r="L63" s="225" t="s">
        <v>5</v>
      </c>
      <c r="M63" s="223">
        <v>6</v>
      </c>
      <c r="N63" s="223">
        <v>6</v>
      </c>
      <c r="O63" s="223">
        <v>40</v>
      </c>
      <c r="P63" s="223">
        <v>2</v>
      </c>
      <c r="Q63" s="223">
        <v>58.16</v>
      </c>
      <c r="R63" s="225" t="s">
        <v>780</v>
      </c>
      <c r="S63" s="230">
        <v>7576552</v>
      </c>
      <c r="T63" s="226">
        <v>130270.84</v>
      </c>
      <c r="U63" s="228"/>
      <c r="V63" s="226">
        <v>7576552</v>
      </c>
      <c r="W63" s="226">
        <v>130270.83906464925</v>
      </c>
      <c r="X63" s="228">
        <v>465280</v>
      </c>
      <c r="Y63" s="228">
        <f>Юрист[[#This Row],[Итоговая цена м2 с отделкой]]-Юрист[[#This Row],[Итоговая цена м2 без отделки]]</f>
        <v>8000</v>
      </c>
      <c r="Z63" s="226">
        <v>7111272</v>
      </c>
      <c r="AA63" s="223">
        <v>122270.83906464925</v>
      </c>
      <c r="AB63" s="225" t="s">
        <v>757</v>
      </c>
      <c r="AC63" s="226">
        <v>145128</v>
      </c>
      <c r="AD63" s="225" t="s">
        <v>862</v>
      </c>
      <c r="AE63" s="225" t="s">
        <v>863</v>
      </c>
      <c r="AF63" s="226">
        <v>946171.22</v>
      </c>
      <c r="AG63" s="226">
        <v>6000000</v>
      </c>
      <c r="AH63" s="226">
        <v>630380.78</v>
      </c>
      <c r="AI63" s="226"/>
      <c r="AJ63" s="226"/>
      <c r="AK63" s="223" t="s">
        <v>864</v>
      </c>
      <c r="AL63" s="227"/>
      <c r="AM63" s="229">
        <v>0.06</v>
      </c>
      <c r="AO63" s="223">
        <v>0</v>
      </c>
      <c r="AP63" s="225" t="s">
        <v>1663</v>
      </c>
      <c r="AQ63" s="223">
        <v>79228887773</v>
      </c>
      <c r="AR63" s="225" t="s">
        <v>882</v>
      </c>
      <c r="AS63" s="224">
        <v>34666</v>
      </c>
      <c r="AT63" s="225" t="s">
        <v>878</v>
      </c>
      <c r="AU63" s="225" t="s">
        <v>868</v>
      </c>
      <c r="AV63" s="225" t="s">
        <v>879</v>
      </c>
      <c r="AW63" s="225" t="s">
        <v>172</v>
      </c>
      <c r="AX63" t="s">
        <v>2172</v>
      </c>
      <c r="AY63" s="224"/>
      <c r="BL63" s="223"/>
    </row>
    <row r="64" spans="1:64" x14ac:dyDescent="0.25">
      <c r="A64" s="223">
        <v>2535</v>
      </c>
      <c r="B64" s="223">
        <v>18</v>
      </c>
      <c r="C64" s="224">
        <v>45625</v>
      </c>
      <c r="D64" s="225" t="s">
        <v>1656</v>
      </c>
      <c r="E64" s="225" t="s">
        <v>859</v>
      </c>
      <c r="F64" s="225" t="s">
        <v>860</v>
      </c>
      <c r="G64" s="223" t="s">
        <v>861</v>
      </c>
      <c r="H64" s="224"/>
      <c r="I64" s="224">
        <v>45627</v>
      </c>
      <c r="J64" s="225" t="s">
        <v>1884</v>
      </c>
      <c r="K64" s="225" t="s">
        <v>98</v>
      </c>
      <c r="L64" s="225" t="s">
        <v>3</v>
      </c>
      <c r="M64" s="223">
        <v>1</v>
      </c>
      <c r="N64" s="223">
        <v>5</v>
      </c>
      <c r="O64" s="223">
        <v>250</v>
      </c>
      <c r="P64" s="223">
        <v>2</v>
      </c>
      <c r="Q64" s="223">
        <v>73.7</v>
      </c>
      <c r="R64" s="225" t="s">
        <v>12</v>
      </c>
      <c r="S64" s="230">
        <v>7518400</v>
      </c>
      <c r="T64" s="226">
        <v>102013.57</v>
      </c>
      <c r="U64" s="228"/>
      <c r="V64" s="226">
        <v>7518400</v>
      </c>
      <c r="W64" s="226">
        <v>102013.56852103121</v>
      </c>
      <c r="X64" s="228"/>
      <c r="Y64" s="228">
        <f>Юрист[[#This Row],[Итоговая цена м2 с отделкой]]-Юрист[[#This Row],[Итоговая цена м2 без отделки]]</f>
        <v>0</v>
      </c>
      <c r="Z64" s="226">
        <v>7518400</v>
      </c>
      <c r="AA64" s="223">
        <v>102013.56852103121</v>
      </c>
      <c r="AB64" s="225"/>
      <c r="AD64" s="225" t="s">
        <v>862</v>
      </c>
      <c r="AE64" s="225" t="s">
        <v>863</v>
      </c>
      <c r="AF64" s="226">
        <v>1520000</v>
      </c>
      <c r="AG64" s="226">
        <v>5998400</v>
      </c>
      <c r="AH64" s="226"/>
      <c r="AI64" s="226"/>
      <c r="AJ64" s="226"/>
      <c r="AK64" s="223" t="s">
        <v>864</v>
      </c>
      <c r="AL64" s="227">
        <v>1.4E-2</v>
      </c>
      <c r="AM64" s="229">
        <v>4.5999999999999999E-2</v>
      </c>
      <c r="AO64" s="223">
        <v>0</v>
      </c>
      <c r="AP64" s="225" t="s">
        <v>1657</v>
      </c>
      <c r="AQ64" s="223">
        <v>79179489694</v>
      </c>
      <c r="AR64" s="225" t="s">
        <v>882</v>
      </c>
      <c r="AS64" s="224">
        <v>35577</v>
      </c>
      <c r="AT64" s="225" t="s">
        <v>913</v>
      </c>
      <c r="AU64" s="225" t="s">
        <v>899</v>
      </c>
      <c r="AV64" s="225" t="s">
        <v>879</v>
      </c>
      <c r="AW64" s="225" t="s">
        <v>172</v>
      </c>
      <c r="AX64" t="s">
        <v>2172</v>
      </c>
      <c r="AY64" s="224"/>
      <c r="BL64" s="223"/>
    </row>
    <row r="65" spans="1:64" x14ac:dyDescent="0.25">
      <c r="A65" s="223">
        <v>2536</v>
      </c>
      <c r="B65" s="223">
        <v>19</v>
      </c>
      <c r="C65" s="224">
        <v>45625</v>
      </c>
      <c r="D65" s="225" t="s">
        <v>1658</v>
      </c>
      <c r="E65" s="225" t="s">
        <v>859</v>
      </c>
      <c r="F65" s="225" t="s">
        <v>860</v>
      </c>
      <c r="G65" s="223" t="s">
        <v>861</v>
      </c>
      <c r="H65" s="224"/>
      <c r="I65" s="224">
        <v>45627</v>
      </c>
      <c r="J65" s="225" t="s">
        <v>1940</v>
      </c>
      <c r="K65" s="225" t="s">
        <v>98</v>
      </c>
      <c r="L65" s="225" t="s">
        <v>3</v>
      </c>
      <c r="M65" s="223">
        <v>7</v>
      </c>
      <c r="N65" s="223">
        <v>15</v>
      </c>
      <c r="O65" s="223">
        <v>326</v>
      </c>
      <c r="P65" s="223">
        <v>1</v>
      </c>
      <c r="Q65" s="223">
        <v>34.81</v>
      </c>
      <c r="R65" s="225" t="s">
        <v>14</v>
      </c>
      <c r="S65" s="230">
        <v>5026998</v>
      </c>
      <c r="T65" s="226">
        <v>144412.47</v>
      </c>
      <c r="U65" s="228"/>
      <c r="V65" s="226">
        <v>5026998</v>
      </c>
      <c r="W65" s="226">
        <v>144412.46768170065</v>
      </c>
      <c r="X65" s="228">
        <v>835440</v>
      </c>
      <c r="Y65" s="228">
        <f>Юрист[[#This Row],[Итоговая цена м2 с отделкой]]-Юрист[[#This Row],[Итоговая цена м2 без отделки]]</f>
        <v>24000</v>
      </c>
      <c r="Z65" s="226">
        <v>4191558</v>
      </c>
      <c r="AA65" s="223">
        <v>120412.46768170065</v>
      </c>
      <c r="AB65" s="225" t="s">
        <v>757</v>
      </c>
      <c r="AC65" s="226">
        <v>85542</v>
      </c>
      <c r="AD65" s="225" t="s">
        <v>862</v>
      </c>
      <c r="AE65" s="225" t="s">
        <v>863</v>
      </c>
      <c r="AF65" s="226">
        <v>2550000</v>
      </c>
      <c r="AG65" s="226">
        <v>2476998</v>
      </c>
      <c r="AH65" s="226"/>
      <c r="AI65" s="226"/>
      <c r="AJ65" s="226"/>
      <c r="AK65" s="223" t="s">
        <v>864</v>
      </c>
      <c r="AL65" s="227">
        <v>1.4E-2</v>
      </c>
      <c r="AM65" s="229">
        <v>4.5999999999999999E-2</v>
      </c>
      <c r="AO65" s="223">
        <v>0</v>
      </c>
      <c r="AP65" s="225" t="s">
        <v>1659</v>
      </c>
      <c r="AQ65" s="223">
        <v>79198442469</v>
      </c>
      <c r="AR65" s="225" t="s">
        <v>882</v>
      </c>
      <c r="AS65" s="224">
        <v>31301</v>
      </c>
      <c r="AT65" s="225" t="s">
        <v>970</v>
      </c>
      <c r="AU65" s="225" t="s">
        <v>868</v>
      </c>
      <c r="AV65" s="225" t="s">
        <v>879</v>
      </c>
      <c r="AW65" s="225" t="s">
        <v>172</v>
      </c>
      <c r="AX65" t="s">
        <v>2172</v>
      </c>
      <c r="AY65" s="224"/>
      <c r="BL65" s="223"/>
    </row>
    <row r="66" spans="1:64" x14ac:dyDescent="0.25">
      <c r="A66" s="223">
        <v>2537</v>
      </c>
      <c r="B66" s="223">
        <v>20</v>
      </c>
      <c r="C66" s="224">
        <v>45625</v>
      </c>
      <c r="D66" s="225" t="s">
        <v>1660</v>
      </c>
      <c r="E66" s="225" t="s">
        <v>859</v>
      </c>
      <c r="F66" s="225" t="s">
        <v>860</v>
      </c>
      <c r="G66" s="223" t="s">
        <v>861</v>
      </c>
      <c r="H66" s="224"/>
      <c r="I66" s="224">
        <v>45627</v>
      </c>
      <c r="J66" s="225" t="s">
        <v>1946</v>
      </c>
      <c r="K66" s="225" t="s">
        <v>98</v>
      </c>
      <c r="L66" s="225" t="s">
        <v>3</v>
      </c>
      <c r="M66" s="223">
        <v>2</v>
      </c>
      <c r="N66" s="223">
        <v>17</v>
      </c>
      <c r="O66" s="223">
        <v>335</v>
      </c>
      <c r="P66" s="223">
        <v>0</v>
      </c>
      <c r="Q66" s="223">
        <v>24.53</v>
      </c>
      <c r="R66" s="225" t="s">
        <v>14</v>
      </c>
      <c r="S66" s="230">
        <v>4294424</v>
      </c>
      <c r="T66" s="226">
        <v>175068.24</v>
      </c>
      <c r="U66" s="228"/>
      <c r="V66" s="226">
        <v>4294424</v>
      </c>
      <c r="W66" s="226">
        <v>175068.24296779453</v>
      </c>
      <c r="X66" s="228">
        <v>613250</v>
      </c>
      <c r="Y66" s="228">
        <f>Юрист[[#This Row],[Итоговая цена м2 с отделкой]]-Юрист[[#This Row],[Итоговая цена м2 без отделки]]</f>
        <v>25000</v>
      </c>
      <c r="Z66" s="226">
        <v>3681174</v>
      </c>
      <c r="AA66" s="223">
        <v>150068.24296779453</v>
      </c>
      <c r="AB66" s="225" t="s">
        <v>757</v>
      </c>
      <c r="AC66" s="226">
        <v>75126</v>
      </c>
      <c r="AD66" s="225" t="s">
        <v>862</v>
      </c>
      <c r="AE66" s="225" t="s">
        <v>863</v>
      </c>
      <c r="AF66" s="226">
        <v>166975.26</v>
      </c>
      <c r="AG66" s="226">
        <v>3294424</v>
      </c>
      <c r="AH66" s="226">
        <v>833024.74</v>
      </c>
      <c r="AI66" s="226"/>
      <c r="AJ66" s="226"/>
      <c r="AK66" s="223" t="s">
        <v>864</v>
      </c>
      <c r="AL66" s="227"/>
      <c r="AM66" s="229">
        <v>0.06</v>
      </c>
      <c r="AO66" s="223">
        <v>0</v>
      </c>
      <c r="AP66" s="225" t="s">
        <v>1661</v>
      </c>
      <c r="AQ66" s="223">
        <v>79397356244</v>
      </c>
      <c r="AR66" s="225" t="s">
        <v>866</v>
      </c>
      <c r="AS66" s="224">
        <v>29211</v>
      </c>
      <c r="AT66" s="225" t="s">
        <v>987</v>
      </c>
      <c r="AU66" s="225" t="s">
        <v>997</v>
      </c>
      <c r="AV66" s="225" t="s">
        <v>879</v>
      </c>
      <c r="AW66" s="225" t="s">
        <v>172</v>
      </c>
      <c r="AX66" t="s">
        <v>2172</v>
      </c>
      <c r="AY66" s="224"/>
      <c r="BL66" s="223"/>
    </row>
    <row r="67" spans="1:64" x14ac:dyDescent="0.25">
      <c r="A67" s="223">
        <v>2534</v>
      </c>
      <c r="B67" s="223">
        <v>17</v>
      </c>
      <c r="C67" s="224">
        <v>45622</v>
      </c>
      <c r="D67" s="225" t="s">
        <v>1654</v>
      </c>
      <c r="E67" s="225" t="s">
        <v>859</v>
      </c>
      <c r="F67" s="225" t="s">
        <v>860</v>
      </c>
      <c r="G67" s="223" t="s">
        <v>861</v>
      </c>
      <c r="H67" s="224"/>
      <c r="I67" s="224">
        <v>45625</v>
      </c>
      <c r="J67" s="225" t="s">
        <v>2100</v>
      </c>
      <c r="K67" s="225" t="s">
        <v>98</v>
      </c>
      <c r="L67" s="225" t="s">
        <v>2</v>
      </c>
      <c r="M67" s="223">
        <v>3</v>
      </c>
      <c r="N67" s="223">
        <v>24</v>
      </c>
      <c r="O67" s="223">
        <v>575</v>
      </c>
      <c r="P67" s="223">
        <v>0</v>
      </c>
      <c r="Q67" s="223">
        <v>24.5</v>
      </c>
      <c r="R67" s="225" t="s">
        <v>14</v>
      </c>
      <c r="S67" s="230">
        <v>3711788</v>
      </c>
      <c r="T67" s="226">
        <v>151501.54999999999</v>
      </c>
      <c r="U67" s="228"/>
      <c r="V67" s="226">
        <v>3711788</v>
      </c>
      <c r="W67" s="226">
        <v>151501.55102040817</v>
      </c>
      <c r="X67" s="228">
        <v>588000</v>
      </c>
      <c r="Y67" s="228">
        <f>Юрист[[#This Row],[Итоговая цена м2 с отделкой]]-Юрист[[#This Row],[Итоговая цена м2 без отделки]]</f>
        <v>24000</v>
      </c>
      <c r="Z67" s="226">
        <v>3123788</v>
      </c>
      <c r="AA67" s="223">
        <v>127501.55102040817</v>
      </c>
      <c r="AB67" s="225" t="s">
        <v>162</v>
      </c>
      <c r="AC67" s="226">
        <v>96612</v>
      </c>
      <c r="AD67" s="225" t="s">
        <v>862</v>
      </c>
      <c r="AE67" s="225" t="s">
        <v>863</v>
      </c>
      <c r="AF67" s="226">
        <v>115688.61</v>
      </c>
      <c r="AG67" s="226">
        <v>2965718.61</v>
      </c>
      <c r="AH67" s="226">
        <v>630380.78</v>
      </c>
      <c r="AI67" s="226"/>
      <c r="AJ67" s="226"/>
      <c r="AK67" s="223" t="s">
        <v>864</v>
      </c>
      <c r="AL67" s="227"/>
      <c r="AM67" s="229">
        <v>0.06</v>
      </c>
      <c r="AO67" s="223">
        <v>0</v>
      </c>
      <c r="AP67" s="225" t="s">
        <v>1655</v>
      </c>
      <c r="AQ67" s="223">
        <v>79869519237</v>
      </c>
      <c r="AR67" s="225" t="s">
        <v>866</v>
      </c>
      <c r="AS67" s="224">
        <v>34266</v>
      </c>
      <c r="AT67" s="225" t="s">
        <v>913</v>
      </c>
      <c r="AU67" s="225" t="s">
        <v>899</v>
      </c>
      <c r="AV67" s="225" t="s">
        <v>879</v>
      </c>
      <c r="AW67" s="225" t="s">
        <v>172</v>
      </c>
      <c r="AX67" t="s">
        <v>2172</v>
      </c>
      <c r="AY67" s="224"/>
      <c r="BL67" s="223"/>
    </row>
    <row r="68" spans="1:64" x14ac:dyDescent="0.25">
      <c r="A68" s="223">
        <v>2532</v>
      </c>
      <c r="B68" s="223">
        <v>15</v>
      </c>
      <c r="C68" s="224">
        <v>45621</v>
      </c>
      <c r="D68" s="225" t="s">
        <v>1650</v>
      </c>
      <c r="E68" s="225" t="s">
        <v>859</v>
      </c>
      <c r="F68" s="225" t="s">
        <v>860</v>
      </c>
      <c r="G68" s="223" t="s">
        <v>861</v>
      </c>
      <c r="H68" s="224"/>
      <c r="I68" s="224">
        <v>45624</v>
      </c>
      <c r="J68" s="225" t="s">
        <v>2075</v>
      </c>
      <c r="K68" s="225" t="s">
        <v>98</v>
      </c>
      <c r="L68" s="225" t="s">
        <v>2</v>
      </c>
      <c r="M68" s="223">
        <v>2</v>
      </c>
      <c r="N68" s="223">
        <v>17</v>
      </c>
      <c r="O68" s="223">
        <v>518</v>
      </c>
      <c r="P68" s="223">
        <v>1</v>
      </c>
      <c r="Q68" s="223">
        <v>43.21</v>
      </c>
      <c r="R68" s="225" t="s">
        <v>780</v>
      </c>
      <c r="S68" s="230">
        <v>6167354</v>
      </c>
      <c r="T68" s="226">
        <v>142729.78</v>
      </c>
      <c r="U68" s="228"/>
      <c r="V68" s="226">
        <v>6167354</v>
      </c>
      <c r="W68" s="226">
        <v>142729.78477204349</v>
      </c>
      <c r="X68" s="228">
        <v>432100</v>
      </c>
      <c r="Y68" s="228">
        <f>Юрист[[#This Row],[Итоговая цена м2 с отделкой]]-Юрист[[#This Row],[Итоговая цена м2 без отделки]]</f>
        <v>10000</v>
      </c>
      <c r="Z68" s="226">
        <v>5735254</v>
      </c>
      <c r="AA68" s="223">
        <v>132729.78477204349</v>
      </c>
      <c r="AB68" s="225" t="s">
        <v>757</v>
      </c>
      <c r="AC68" s="226">
        <v>117045.99999999907</v>
      </c>
      <c r="AD68" s="225" t="s">
        <v>862</v>
      </c>
      <c r="AE68" s="225" t="s">
        <v>863</v>
      </c>
      <c r="AF68" s="226">
        <v>1240000</v>
      </c>
      <c r="AG68" s="226">
        <v>4927354</v>
      </c>
      <c r="AH68" s="226"/>
      <c r="AI68" s="226"/>
      <c r="AJ68" s="226"/>
      <c r="AK68" s="223" t="s">
        <v>864</v>
      </c>
      <c r="AL68" s="227"/>
      <c r="AM68" s="229">
        <v>0.06</v>
      </c>
      <c r="AO68" s="223">
        <v>0</v>
      </c>
      <c r="AP68" s="225" t="s">
        <v>1651</v>
      </c>
      <c r="AQ68" s="223">
        <v>79096083863</v>
      </c>
      <c r="AR68" s="225" t="s">
        <v>882</v>
      </c>
      <c r="AS68" s="224">
        <v>31333</v>
      </c>
      <c r="AT68" s="225" t="s">
        <v>1218</v>
      </c>
      <c r="AU68" s="225" t="s">
        <v>868</v>
      </c>
      <c r="AV68" s="225" t="s">
        <v>879</v>
      </c>
      <c r="AW68" s="225" t="s">
        <v>172</v>
      </c>
      <c r="AX68" t="s">
        <v>2172</v>
      </c>
      <c r="AY68" s="224"/>
      <c r="BL68" s="223"/>
    </row>
    <row r="69" spans="1:64" x14ac:dyDescent="0.25">
      <c r="A69" s="223">
        <v>2533</v>
      </c>
      <c r="B69" s="223">
        <v>16</v>
      </c>
      <c r="C69" s="224">
        <v>45621</v>
      </c>
      <c r="D69" s="225" t="s">
        <v>1652</v>
      </c>
      <c r="E69" s="225" t="s">
        <v>859</v>
      </c>
      <c r="F69" s="225" t="s">
        <v>860</v>
      </c>
      <c r="G69" s="223" t="s">
        <v>861</v>
      </c>
      <c r="H69" s="224"/>
      <c r="I69" s="224">
        <v>45624</v>
      </c>
      <c r="J69" s="225" t="s">
        <v>1852</v>
      </c>
      <c r="K69" s="225" t="s">
        <v>98</v>
      </c>
      <c r="L69" s="225" t="s">
        <v>4</v>
      </c>
      <c r="M69" s="223">
        <v>1</v>
      </c>
      <c r="N69" s="223">
        <v>14</v>
      </c>
      <c r="O69" s="223">
        <v>202</v>
      </c>
      <c r="P69" s="223">
        <v>2</v>
      </c>
      <c r="Q69" s="223">
        <v>60.22</v>
      </c>
      <c r="R69" s="225" t="s">
        <v>780</v>
      </c>
      <c r="S69" s="230">
        <v>7816090</v>
      </c>
      <c r="T69" s="226">
        <v>129792.26</v>
      </c>
      <c r="U69" s="228"/>
      <c r="V69" s="226">
        <v>7816090</v>
      </c>
      <c r="W69" s="226">
        <v>129792.26170707407</v>
      </c>
      <c r="X69" s="228">
        <v>602200</v>
      </c>
      <c r="Y69" s="228">
        <f>Юрист[[#This Row],[Итоговая цена м2 с отделкой]]-Юрист[[#This Row],[Итоговая цена м2 без отделки]]</f>
        <v>10000</v>
      </c>
      <c r="Z69" s="226">
        <v>7213890</v>
      </c>
      <c r="AA69" s="223">
        <v>119792.26170707407</v>
      </c>
      <c r="AB69" s="225" t="s">
        <v>162</v>
      </c>
      <c r="AC69" s="226">
        <v>223110.00000000093</v>
      </c>
      <c r="AD69" s="225" t="s">
        <v>862</v>
      </c>
      <c r="AE69" s="225" t="s">
        <v>863</v>
      </c>
      <c r="AF69" s="226">
        <v>1850000</v>
      </c>
      <c r="AG69" s="226">
        <v>5966090</v>
      </c>
      <c r="AH69" s="226"/>
      <c r="AI69" s="226"/>
      <c r="AJ69" s="226"/>
      <c r="AK69" s="223" t="s">
        <v>864</v>
      </c>
      <c r="AL69" s="227"/>
      <c r="AM69" s="229">
        <v>0.06</v>
      </c>
      <c r="AO69" s="223">
        <v>0</v>
      </c>
      <c r="AP69" s="225" t="s">
        <v>1653</v>
      </c>
      <c r="AQ69" s="223">
        <v>79277475000</v>
      </c>
      <c r="AR69" s="225" t="s">
        <v>882</v>
      </c>
      <c r="AS69" s="224">
        <v>31042</v>
      </c>
      <c r="AT69" s="225" t="s">
        <v>878</v>
      </c>
      <c r="AU69" s="225" t="s">
        <v>899</v>
      </c>
      <c r="AV69" s="225" t="s">
        <v>879</v>
      </c>
      <c r="AW69" s="225" t="s">
        <v>172</v>
      </c>
      <c r="AX69" t="s">
        <v>2172</v>
      </c>
      <c r="AY69" s="224"/>
      <c r="BL69" s="223"/>
    </row>
    <row r="70" spans="1:64" x14ac:dyDescent="0.25">
      <c r="A70" s="223">
        <v>2530</v>
      </c>
      <c r="B70" s="223">
        <v>13</v>
      </c>
      <c r="C70" s="224">
        <v>45618</v>
      </c>
      <c r="D70" s="225" t="s">
        <v>1648</v>
      </c>
      <c r="E70" s="225" t="s">
        <v>859</v>
      </c>
      <c r="F70" s="225" t="s">
        <v>860</v>
      </c>
      <c r="G70" s="223" t="s">
        <v>861</v>
      </c>
      <c r="H70" s="224"/>
      <c r="I70" s="224">
        <v>45623</v>
      </c>
      <c r="J70" s="225" t="s">
        <v>1864</v>
      </c>
      <c r="K70" s="225" t="s">
        <v>98</v>
      </c>
      <c r="L70" s="225" t="s">
        <v>4</v>
      </c>
      <c r="M70" s="223">
        <v>2</v>
      </c>
      <c r="N70" s="223">
        <v>16</v>
      </c>
      <c r="O70" s="223">
        <v>217</v>
      </c>
      <c r="P70" s="223">
        <v>0</v>
      </c>
      <c r="Q70" s="223">
        <v>24.28</v>
      </c>
      <c r="R70" s="225" t="s">
        <v>12</v>
      </c>
      <c r="S70" s="230">
        <v>3631684</v>
      </c>
      <c r="T70" s="226">
        <v>149575.12</v>
      </c>
      <c r="U70" s="228"/>
      <c r="V70" s="226">
        <v>3631684</v>
      </c>
      <c r="W70" s="226">
        <v>149575.12355848434</v>
      </c>
      <c r="X70" s="228"/>
      <c r="Y70" s="228">
        <f>Юрист[[#This Row],[Итоговая цена м2 с отделкой]]-Юрист[[#This Row],[Итоговая цена м2 без отделки]]</f>
        <v>0</v>
      </c>
      <c r="Z70" s="226">
        <v>3631684</v>
      </c>
      <c r="AA70" s="223">
        <v>149575.12355848434</v>
      </c>
      <c r="AB70" s="225" t="s">
        <v>757</v>
      </c>
      <c r="AC70" s="226">
        <v>74115.999999999534</v>
      </c>
      <c r="AD70" s="225" t="s">
        <v>862</v>
      </c>
      <c r="AE70" s="225" t="s">
        <v>863</v>
      </c>
      <c r="AF70" s="226">
        <v>99619.22</v>
      </c>
      <c r="AG70" s="226">
        <v>2901684</v>
      </c>
      <c r="AH70" s="226">
        <v>630380.78</v>
      </c>
      <c r="AI70" s="226"/>
      <c r="AJ70" s="226"/>
      <c r="AK70" s="223" t="s">
        <v>864</v>
      </c>
      <c r="AL70" s="227"/>
      <c r="AM70" s="229">
        <v>0.06</v>
      </c>
      <c r="AO70" s="223">
        <v>0</v>
      </c>
      <c r="AP70" s="225" t="s">
        <v>1649</v>
      </c>
      <c r="AQ70" s="223">
        <v>79874404400</v>
      </c>
      <c r="AR70" s="225" t="s">
        <v>866</v>
      </c>
      <c r="AS70" s="224">
        <v>33217</v>
      </c>
      <c r="AT70" s="225" t="s">
        <v>867</v>
      </c>
      <c r="AU70" s="225" t="s">
        <v>868</v>
      </c>
      <c r="AV70" s="225" t="s">
        <v>879</v>
      </c>
      <c r="AW70" s="225" t="s">
        <v>172</v>
      </c>
      <c r="AX70" t="s">
        <v>2168</v>
      </c>
      <c r="AY70" s="224"/>
      <c r="BL70" s="223"/>
    </row>
    <row r="71" spans="1:64" x14ac:dyDescent="0.25">
      <c r="A71" s="223">
        <v>2528</v>
      </c>
      <c r="B71" s="223">
        <v>11</v>
      </c>
      <c r="C71" s="224">
        <v>45617</v>
      </c>
      <c r="D71" s="225" t="s">
        <v>1646</v>
      </c>
      <c r="E71" s="225" t="s">
        <v>859</v>
      </c>
      <c r="F71" s="225" t="s">
        <v>860</v>
      </c>
      <c r="G71" s="223" t="s">
        <v>861</v>
      </c>
      <c r="H71" s="224"/>
      <c r="I71" s="224">
        <v>45622</v>
      </c>
      <c r="J71" s="225" t="s">
        <v>1816</v>
      </c>
      <c r="K71" s="225" t="s">
        <v>98</v>
      </c>
      <c r="L71" s="225" t="s">
        <v>4</v>
      </c>
      <c r="M71" s="223">
        <v>7</v>
      </c>
      <c r="N71" s="223">
        <v>5</v>
      </c>
      <c r="O71" s="223">
        <v>145</v>
      </c>
      <c r="P71" s="223">
        <v>1</v>
      </c>
      <c r="Q71" s="223">
        <v>42.28</v>
      </c>
      <c r="R71" s="225" t="s">
        <v>12</v>
      </c>
      <c r="S71" s="230">
        <v>4150000</v>
      </c>
      <c r="T71" s="226">
        <v>98155.16</v>
      </c>
      <c r="U71" s="228"/>
      <c r="V71" s="226">
        <v>4150000</v>
      </c>
      <c r="W71" s="226">
        <v>98155.15610217597</v>
      </c>
      <c r="X71" s="228"/>
      <c r="Y71" s="228">
        <f>Юрист[[#This Row],[Итоговая цена м2 с отделкой]]-Юрист[[#This Row],[Итоговая цена м2 без отделки]]</f>
        <v>0</v>
      </c>
      <c r="Z71" s="226">
        <v>4150000</v>
      </c>
      <c r="AA71" s="223">
        <v>98155.15610217597</v>
      </c>
      <c r="AB71" s="225" t="s">
        <v>767</v>
      </c>
      <c r="AC71" s="226">
        <v>544800</v>
      </c>
      <c r="AD71" s="225" t="s">
        <v>862</v>
      </c>
      <c r="AE71" s="225" t="s">
        <v>863</v>
      </c>
      <c r="AF71" s="226">
        <v>800000</v>
      </c>
      <c r="AG71" s="226">
        <v>3350000</v>
      </c>
      <c r="AH71" s="226"/>
      <c r="AI71" s="226"/>
      <c r="AJ71" s="226"/>
      <c r="AK71" s="223" t="s">
        <v>864</v>
      </c>
      <c r="AL71" s="227"/>
      <c r="AM71" s="229">
        <v>0.06</v>
      </c>
      <c r="AO71" s="223">
        <v>0</v>
      </c>
      <c r="AP71" s="225" t="s">
        <v>1647</v>
      </c>
      <c r="AQ71" s="223">
        <v>79608254792</v>
      </c>
      <c r="AR71" s="225" t="s">
        <v>882</v>
      </c>
      <c r="AS71" s="224">
        <v>31453</v>
      </c>
      <c r="AT71" s="225" t="s">
        <v>903</v>
      </c>
      <c r="AU71" s="225" t="s">
        <v>868</v>
      </c>
      <c r="AV71" s="225" t="s">
        <v>879</v>
      </c>
      <c r="AW71" s="225" t="s">
        <v>172</v>
      </c>
      <c r="AX71" t="s">
        <v>2172</v>
      </c>
      <c r="AY71" s="224"/>
      <c r="BL71" s="223"/>
    </row>
    <row r="72" spans="1:64" x14ac:dyDescent="0.25">
      <c r="A72" s="223">
        <v>2526</v>
      </c>
      <c r="B72" s="223">
        <v>9</v>
      </c>
      <c r="C72" s="224">
        <v>45616</v>
      </c>
      <c r="D72" s="225" t="s">
        <v>1642</v>
      </c>
      <c r="E72" s="225" t="s">
        <v>859</v>
      </c>
      <c r="F72" s="225" t="s">
        <v>860</v>
      </c>
      <c r="G72" s="223" t="s">
        <v>861</v>
      </c>
      <c r="H72" s="224"/>
      <c r="I72" s="224">
        <v>45621</v>
      </c>
      <c r="J72" s="225" t="s">
        <v>1843</v>
      </c>
      <c r="K72" s="225" t="s">
        <v>98</v>
      </c>
      <c r="L72" s="225" t="s">
        <v>4</v>
      </c>
      <c r="M72" s="223">
        <v>4</v>
      </c>
      <c r="N72" s="223">
        <v>11</v>
      </c>
      <c r="O72" s="223">
        <v>184</v>
      </c>
      <c r="P72" s="223">
        <v>2</v>
      </c>
      <c r="Q72" s="223">
        <v>58.31</v>
      </c>
      <c r="R72" s="225" t="s">
        <v>780</v>
      </c>
      <c r="S72" s="230">
        <v>7530124</v>
      </c>
      <c r="T72" s="226">
        <v>129139.5</v>
      </c>
      <c r="U72" s="228"/>
      <c r="V72" s="226">
        <v>7530124</v>
      </c>
      <c r="W72" s="226">
        <v>129139.49579831932</v>
      </c>
      <c r="X72" s="228">
        <v>466480</v>
      </c>
      <c r="Y72" s="228">
        <f>Юрист[[#This Row],[Итоговая цена м2 с отделкой]]-Юрист[[#This Row],[Итоговая цена м2 без отделки]]</f>
        <v>8000</v>
      </c>
      <c r="Z72" s="226">
        <v>7063644</v>
      </c>
      <c r="AA72" s="223">
        <v>121139.49579831932</v>
      </c>
      <c r="AB72" s="225" t="s">
        <v>757</v>
      </c>
      <c r="AC72" s="226">
        <v>144156</v>
      </c>
      <c r="AD72" s="225" t="s">
        <v>862</v>
      </c>
      <c r="AE72" s="225" t="s">
        <v>863</v>
      </c>
      <c r="AF72" s="226">
        <v>1000000</v>
      </c>
      <c r="AG72" s="226">
        <v>5899743.2199999997</v>
      </c>
      <c r="AH72" s="226">
        <v>630380.78</v>
      </c>
      <c r="AI72" s="226"/>
      <c r="AJ72" s="226"/>
      <c r="AK72" s="223" t="s">
        <v>864</v>
      </c>
      <c r="AL72" s="227"/>
      <c r="AM72" s="229">
        <v>0.06</v>
      </c>
      <c r="AO72" s="223">
        <v>0</v>
      </c>
      <c r="AP72" s="225" t="s">
        <v>1643</v>
      </c>
      <c r="AQ72" s="223">
        <v>79171676916</v>
      </c>
      <c r="AR72" s="225" t="s">
        <v>882</v>
      </c>
      <c r="AS72" s="224">
        <v>35853</v>
      </c>
      <c r="AT72" s="225" t="s">
        <v>867</v>
      </c>
      <c r="AU72" s="225" t="s">
        <v>899</v>
      </c>
      <c r="AV72" s="225" t="s">
        <v>879</v>
      </c>
      <c r="AW72" s="225" t="s">
        <v>172</v>
      </c>
      <c r="AX72" t="s">
        <v>2168</v>
      </c>
      <c r="AY72" s="224"/>
      <c r="BL72" s="223"/>
    </row>
    <row r="73" spans="1:64" x14ac:dyDescent="0.25">
      <c r="A73" s="223">
        <v>2527</v>
      </c>
      <c r="B73" s="223">
        <v>10</v>
      </c>
      <c r="C73" s="224">
        <v>45616</v>
      </c>
      <c r="D73" s="225" t="s">
        <v>1644</v>
      </c>
      <c r="E73" s="225" t="s">
        <v>859</v>
      </c>
      <c r="F73" s="225" t="s">
        <v>860</v>
      </c>
      <c r="G73" s="223" t="s">
        <v>861</v>
      </c>
      <c r="H73" s="224"/>
      <c r="I73" s="224">
        <v>45621</v>
      </c>
      <c r="J73" s="225" t="s">
        <v>2011</v>
      </c>
      <c r="K73" s="225" t="s">
        <v>98</v>
      </c>
      <c r="L73" s="225" t="s">
        <v>2</v>
      </c>
      <c r="M73" s="223">
        <v>4</v>
      </c>
      <c r="N73" s="223">
        <v>7</v>
      </c>
      <c r="O73" s="223">
        <v>440</v>
      </c>
      <c r="P73" s="223">
        <v>2</v>
      </c>
      <c r="Q73" s="223">
        <v>58.24</v>
      </c>
      <c r="R73" s="225" t="s">
        <v>780</v>
      </c>
      <c r="S73" s="230">
        <v>7312956</v>
      </c>
      <c r="T73" s="226">
        <v>125565.87</v>
      </c>
      <c r="U73" s="228"/>
      <c r="V73" s="226">
        <v>7312956</v>
      </c>
      <c r="W73" s="226">
        <v>125565.86538461538</v>
      </c>
      <c r="X73" s="228">
        <v>465920</v>
      </c>
      <c r="Y73" s="228">
        <f>Юрист[[#This Row],[Итоговая цена м2 с отделкой]]-Юрист[[#This Row],[Итоговая цена м2 без отделки]]</f>
        <v>8000</v>
      </c>
      <c r="Z73" s="226">
        <v>6847036</v>
      </c>
      <c r="AA73" s="223">
        <v>117565.86538461538</v>
      </c>
      <c r="AB73" s="225" t="s">
        <v>162</v>
      </c>
      <c r="AC73" s="226">
        <v>211764</v>
      </c>
      <c r="AD73" s="225" t="s">
        <v>862</v>
      </c>
      <c r="AE73" s="225" t="s">
        <v>863</v>
      </c>
      <c r="AF73" s="226">
        <v>1470000</v>
      </c>
      <c r="AG73" s="226">
        <v>5842956</v>
      </c>
      <c r="AH73" s="226"/>
      <c r="AI73" s="226"/>
      <c r="AJ73" s="226"/>
      <c r="AK73" s="223" t="s">
        <v>864</v>
      </c>
      <c r="AL73" s="227"/>
      <c r="AM73" s="229">
        <v>0.06</v>
      </c>
      <c r="AO73" s="223">
        <v>0</v>
      </c>
      <c r="AP73" s="225" t="s">
        <v>1645</v>
      </c>
      <c r="AQ73" s="223">
        <v>79179433977</v>
      </c>
      <c r="AR73" s="225" t="s">
        <v>866</v>
      </c>
      <c r="AS73" s="224">
        <v>32983</v>
      </c>
      <c r="AT73" s="225" t="s">
        <v>878</v>
      </c>
      <c r="AU73" s="225" t="s">
        <v>868</v>
      </c>
      <c r="AV73" s="225" t="s">
        <v>879</v>
      </c>
      <c r="AW73" s="225" t="s">
        <v>172</v>
      </c>
      <c r="AX73" t="s">
        <v>2172</v>
      </c>
      <c r="AY73" s="224"/>
      <c r="BL73" s="223"/>
    </row>
    <row r="74" spans="1:64" x14ac:dyDescent="0.25">
      <c r="A74" s="223">
        <v>2524</v>
      </c>
      <c r="B74" s="223">
        <v>7</v>
      </c>
      <c r="C74" s="224">
        <v>45614</v>
      </c>
      <c r="D74" s="225" t="s">
        <v>1638</v>
      </c>
      <c r="E74" s="225" t="s">
        <v>859</v>
      </c>
      <c r="F74" s="225" t="s">
        <v>860</v>
      </c>
      <c r="G74" s="223" t="s">
        <v>861</v>
      </c>
      <c r="H74" s="224"/>
      <c r="I74" s="224">
        <v>45617</v>
      </c>
      <c r="J74" s="225" t="s">
        <v>2045</v>
      </c>
      <c r="K74" s="225" t="s">
        <v>98</v>
      </c>
      <c r="L74" s="225" t="s">
        <v>2</v>
      </c>
      <c r="M74" s="223">
        <v>4</v>
      </c>
      <c r="N74" s="223">
        <v>12</v>
      </c>
      <c r="O74" s="223">
        <v>480</v>
      </c>
      <c r="P74" s="223">
        <v>2</v>
      </c>
      <c r="Q74" s="223">
        <v>58.24</v>
      </c>
      <c r="R74" s="225" t="s">
        <v>12</v>
      </c>
      <c r="S74" s="230">
        <v>5775238</v>
      </c>
      <c r="T74" s="226">
        <v>99162.74</v>
      </c>
      <c r="U74" s="228"/>
      <c r="V74" s="226">
        <v>5775238</v>
      </c>
      <c r="W74" s="226">
        <v>99162.740384615376</v>
      </c>
      <c r="X74" s="228"/>
      <c r="Y74" s="228">
        <f>Юрист[[#This Row],[Итоговая цена м2 с отделкой]]-Юрист[[#This Row],[Итоговая цена м2 без отделки]]</f>
        <v>0</v>
      </c>
      <c r="Z74" s="226">
        <v>5775238</v>
      </c>
      <c r="AA74" s="223">
        <v>99162.740384615376</v>
      </c>
      <c r="AB74" s="225" t="s">
        <v>757</v>
      </c>
      <c r="AC74" s="226">
        <v>117862</v>
      </c>
      <c r="AD74" s="225" t="s">
        <v>862</v>
      </c>
      <c r="AE74" s="225" t="s">
        <v>863</v>
      </c>
      <c r="AF74" s="226">
        <v>1161000</v>
      </c>
      <c r="AG74" s="226">
        <v>4614238</v>
      </c>
      <c r="AH74" s="226"/>
      <c r="AI74" s="226"/>
      <c r="AJ74" s="226"/>
      <c r="AK74" s="223" t="s">
        <v>864</v>
      </c>
      <c r="AL74" s="227"/>
      <c r="AM74" s="229">
        <v>0.06</v>
      </c>
      <c r="AO74" s="223">
        <v>0</v>
      </c>
      <c r="AP74" s="225" t="s">
        <v>1639</v>
      </c>
      <c r="AQ74" s="223">
        <v>79272151028</v>
      </c>
      <c r="AR74" s="225" t="s">
        <v>882</v>
      </c>
      <c r="AS74" s="224">
        <v>34460</v>
      </c>
      <c r="AT74" s="225" t="s">
        <v>913</v>
      </c>
      <c r="AU74" s="225" t="s">
        <v>868</v>
      </c>
      <c r="AV74" s="225" t="s">
        <v>879</v>
      </c>
      <c r="AW74" s="225" t="s">
        <v>172</v>
      </c>
      <c r="AX74" t="s">
        <v>2172</v>
      </c>
      <c r="AY74" s="224"/>
      <c r="BL74" s="223"/>
    </row>
    <row r="75" spans="1:64" s="244" customFormat="1" x14ac:dyDescent="0.25">
      <c r="A75" s="223">
        <v>2525</v>
      </c>
      <c r="B75" s="223">
        <v>8</v>
      </c>
      <c r="C75" s="224">
        <v>45614</v>
      </c>
      <c r="D75" s="225" t="s">
        <v>1640</v>
      </c>
      <c r="E75" s="225" t="s">
        <v>859</v>
      </c>
      <c r="F75" s="225" t="s">
        <v>860</v>
      </c>
      <c r="G75" s="223" t="s">
        <v>861</v>
      </c>
      <c r="H75" s="224"/>
      <c r="I75" s="224">
        <v>45617</v>
      </c>
      <c r="J75" s="225" t="s">
        <v>2057</v>
      </c>
      <c r="K75" s="225" t="s">
        <v>98</v>
      </c>
      <c r="L75" s="225" t="s">
        <v>2</v>
      </c>
      <c r="M75" s="223">
        <v>3</v>
      </c>
      <c r="N75" s="223">
        <v>14</v>
      </c>
      <c r="O75" s="223">
        <v>495</v>
      </c>
      <c r="P75" s="223">
        <v>0</v>
      </c>
      <c r="Q75" s="223">
        <v>24.5</v>
      </c>
      <c r="R75" s="225" t="s">
        <v>12</v>
      </c>
      <c r="S75" s="230">
        <v>3444014</v>
      </c>
      <c r="T75" s="226">
        <v>140572</v>
      </c>
      <c r="U75" s="228"/>
      <c r="V75" s="226">
        <v>3444014</v>
      </c>
      <c r="W75" s="226">
        <v>140572</v>
      </c>
      <c r="X75" s="228"/>
      <c r="Y75" s="228">
        <f>Юрист[[#This Row],[Итоговая цена м2 с отделкой]]-Юрист[[#This Row],[Итоговая цена м2 без отделки]]</f>
        <v>0</v>
      </c>
      <c r="Z75" s="226">
        <v>3444014</v>
      </c>
      <c r="AA75" s="223">
        <v>140572</v>
      </c>
      <c r="AB75" s="225" t="s">
        <v>757</v>
      </c>
      <c r="AC75" s="226">
        <v>70286</v>
      </c>
      <c r="AD75" s="225" t="s">
        <v>862</v>
      </c>
      <c r="AE75" s="225" t="s">
        <v>863</v>
      </c>
      <c r="AF75" s="226">
        <v>65000</v>
      </c>
      <c r="AG75" s="226">
        <v>2751014</v>
      </c>
      <c r="AH75" s="226">
        <v>628000</v>
      </c>
      <c r="AI75" s="226"/>
      <c r="AJ75" s="226"/>
      <c r="AK75" s="223" t="s">
        <v>864</v>
      </c>
      <c r="AL75" s="227"/>
      <c r="AM75" s="229">
        <v>0.06</v>
      </c>
      <c r="AN75" s="223"/>
      <c r="AO75" s="223">
        <v>0</v>
      </c>
      <c r="AP75" s="225" t="s">
        <v>1641</v>
      </c>
      <c r="AQ75" s="223">
        <v>79226292574</v>
      </c>
      <c r="AR75" s="225" t="s">
        <v>866</v>
      </c>
      <c r="AS75" s="224">
        <v>35416</v>
      </c>
      <c r="AT75" s="225" t="s">
        <v>1501</v>
      </c>
      <c r="AU75" s="225" t="s">
        <v>899</v>
      </c>
      <c r="AV75" s="225" t="s">
        <v>879</v>
      </c>
      <c r="AW75" s="225" t="s">
        <v>172</v>
      </c>
      <c r="AX75" t="s">
        <v>2172</v>
      </c>
      <c r="AY75" s="224"/>
      <c r="AZ75" s="223"/>
    </row>
    <row r="76" spans="1:64" x14ac:dyDescent="0.25">
      <c r="A76" s="223">
        <v>2523</v>
      </c>
      <c r="B76" s="223">
        <v>6</v>
      </c>
      <c r="C76" s="224">
        <v>45610</v>
      </c>
      <c r="D76" s="225" t="s">
        <v>1636</v>
      </c>
      <c r="E76" s="225" t="s">
        <v>859</v>
      </c>
      <c r="F76" s="225" t="s">
        <v>860</v>
      </c>
      <c r="G76" s="223" t="s">
        <v>926</v>
      </c>
      <c r="H76" s="224"/>
      <c r="I76" s="224">
        <v>45615</v>
      </c>
      <c r="J76" s="225" t="s">
        <v>1926</v>
      </c>
      <c r="K76" s="225" t="s">
        <v>98</v>
      </c>
      <c r="L76" s="225" t="s">
        <v>3</v>
      </c>
      <c r="M76" s="223">
        <v>1</v>
      </c>
      <c r="N76" s="223">
        <v>13</v>
      </c>
      <c r="O76" s="223">
        <v>306</v>
      </c>
      <c r="P76" s="223">
        <v>2</v>
      </c>
      <c r="Q76" s="223">
        <v>73.7</v>
      </c>
      <c r="R76" s="225" t="s">
        <v>14</v>
      </c>
      <c r="S76" s="230">
        <v>9136832</v>
      </c>
      <c r="T76" s="226">
        <v>123973.3</v>
      </c>
      <c r="U76" s="228"/>
      <c r="V76" s="226">
        <v>9136832</v>
      </c>
      <c r="W76" s="226">
        <v>123973.29715061058</v>
      </c>
      <c r="X76" s="228">
        <v>1768800</v>
      </c>
      <c r="Y76" s="228">
        <f>Юрист[[#This Row],[Итоговая цена м2 с отделкой]]-Юрист[[#This Row],[Итоговая цена м2 без отделки]]</f>
        <v>24000</v>
      </c>
      <c r="Z76" s="226">
        <v>7368032</v>
      </c>
      <c r="AA76" s="223">
        <v>99973.297150610582</v>
      </c>
      <c r="AB76" s="225" t="s">
        <v>757</v>
      </c>
      <c r="AC76" s="226">
        <v>150368</v>
      </c>
      <c r="AD76" s="225" t="s">
        <v>901</v>
      </c>
      <c r="AE76" s="225" t="s">
        <v>902</v>
      </c>
      <c r="AF76" s="226"/>
      <c r="AG76" s="226"/>
      <c r="AH76" s="226"/>
      <c r="AI76" s="226"/>
      <c r="AJ76" s="226"/>
      <c r="AL76" s="227"/>
      <c r="AM76" s="229"/>
      <c r="AO76" s="223">
        <v>0</v>
      </c>
      <c r="AP76" s="225" t="s">
        <v>1637</v>
      </c>
      <c r="AQ76" s="223">
        <v>79228444868</v>
      </c>
      <c r="AR76" s="225" t="s">
        <v>866</v>
      </c>
      <c r="AS76" s="224">
        <v>20888</v>
      </c>
      <c r="AT76" s="225" t="s">
        <v>867</v>
      </c>
      <c r="AU76" s="225" t="s">
        <v>899</v>
      </c>
      <c r="AV76" s="225" t="s">
        <v>902</v>
      </c>
      <c r="AW76" s="225" t="s">
        <v>172</v>
      </c>
      <c r="AX76" t="s">
        <v>2168</v>
      </c>
      <c r="AY76" s="224"/>
      <c r="BL76" s="223"/>
    </row>
    <row r="77" spans="1:64" x14ac:dyDescent="0.25">
      <c r="A77" s="223">
        <v>2521</v>
      </c>
      <c r="B77" s="223">
        <v>4</v>
      </c>
      <c r="C77" s="224">
        <v>45604</v>
      </c>
      <c r="D77" s="225" t="s">
        <v>1634</v>
      </c>
      <c r="E77" s="225" t="s">
        <v>859</v>
      </c>
      <c r="F77" s="225" t="s">
        <v>860</v>
      </c>
      <c r="G77" s="223" t="s">
        <v>861</v>
      </c>
      <c r="H77" s="224"/>
      <c r="I77" s="224">
        <v>45609</v>
      </c>
      <c r="J77" s="225" t="s">
        <v>1908</v>
      </c>
      <c r="K77" s="225" t="s">
        <v>98</v>
      </c>
      <c r="L77" s="225" t="s">
        <v>3</v>
      </c>
      <c r="M77" s="223">
        <v>4</v>
      </c>
      <c r="N77" s="223">
        <v>9</v>
      </c>
      <c r="O77" s="223">
        <v>281</v>
      </c>
      <c r="P77" s="223">
        <v>2</v>
      </c>
      <c r="Q77" s="223">
        <v>60.24</v>
      </c>
      <c r="R77" s="225" t="s">
        <v>780</v>
      </c>
      <c r="S77" s="230">
        <v>6537046</v>
      </c>
      <c r="T77" s="226">
        <v>108516.7</v>
      </c>
      <c r="U77" s="228"/>
      <c r="V77" s="226">
        <v>6537046</v>
      </c>
      <c r="W77" s="226">
        <v>108516.69986719787</v>
      </c>
      <c r="X77" s="228">
        <v>481920</v>
      </c>
      <c r="Y77" s="228">
        <f>Юрист[[#This Row],[Итоговая цена м2 с отделкой]]-Юрист[[#This Row],[Итоговая цена м2 без отделки]]</f>
        <v>8000</v>
      </c>
      <c r="Z77" s="226">
        <v>6055126</v>
      </c>
      <c r="AA77" s="223">
        <v>100516.69986719787</v>
      </c>
      <c r="AB77" s="225" t="s">
        <v>757</v>
      </c>
      <c r="AC77" s="226">
        <v>123573.99999999907</v>
      </c>
      <c r="AD77" s="225" t="s">
        <v>901</v>
      </c>
      <c r="AE77" s="225" t="s">
        <v>902</v>
      </c>
      <c r="AF77" s="226"/>
      <c r="AG77" s="226"/>
      <c r="AH77" s="226"/>
      <c r="AI77" s="226"/>
      <c r="AJ77" s="226"/>
      <c r="AL77" s="227"/>
      <c r="AM77" s="229"/>
      <c r="AO77" s="223">
        <v>0</v>
      </c>
      <c r="AP77" s="225" t="s">
        <v>1635</v>
      </c>
      <c r="AQ77" s="223">
        <v>79277503251</v>
      </c>
      <c r="AR77" s="225" t="s">
        <v>866</v>
      </c>
      <c r="AS77" s="224">
        <v>25544</v>
      </c>
      <c r="AT77" s="225" t="s">
        <v>888</v>
      </c>
      <c r="AU77" s="225" t="s">
        <v>997</v>
      </c>
      <c r="AV77" s="225" t="s">
        <v>902</v>
      </c>
      <c r="AW77" s="225" t="s">
        <v>172</v>
      </c>
      <c r="AX77" t="s">
        <v>2172</v>
      </c>
      <c r="AY77" s="224"/>
      <c r="BL77" s="223"/>
    </row>
    <row r="78" spans="1:64" x14ac:dyDescent="0.25">
      <c r="A78" s="223">
        <v>2520</v>
      </c>
      <c r="B78" s="223">
        <v>3</v>
      </c>
      <c r="C78" s="224">
        <v>45601</v>
      </c>
      <c r="D78" s="225" t="s">
        <v>1632</v>
      </c>
      <c r="E78" s="225" t="s">
        <v>859</v>
      </c>
      <c r="F78" s="225" t="s">
        <v>860</v>
      </c>
      <c r="G78" s="223" t="s">
        <v>861</v>
      </c>
      <c r="H78" s="224"/>
      <c r="I78" s="224">
        <v>45604</v>
      </c>
      <c r="J78" s="225" t="s">
        <v>1994</v>
      </c>
      <c r="K78" s="225" t="s">
        <v>98</v>
      </c>
      <c r="L78" s="225" t="s">
        <v>2</v>
      </c>
      <c r="M78" s="223">
        <v>8</v>
      </c>
      <c r="N78" s="223">
        <v>4</v>
      </c>
      <c r="O78" s="223">
        <v>420</v>
      </c>
      <c r="P78" s="223">
        <v>1</v>
      </c>
      <c r="Q78" s="223">
        <v>39.69</v>
      </c>
      <c r="R78" s="225" t="s">
        <v>14</v>
      </c>
      <c r="S78" s="230">
        <v>5375398</v>
      </c>
      <c r="T78" s="226">
        <v>135434.57</v>
      </c>
      <c r="U78" s="228"/>
      <c r="V78" s="226">
        <v>5375398</v>
      </c>
      <c r="W78" s="226">
        <v>135434.56790123458</v>
      </c>
      <c r="X78" s="228">
        <v>952560</v>
      </c>
      <c r="Y78" s="228">
        <f>Юрист[[#This Row],[Итоговая цена м2 с отделкой]]-Юрист[[#This Row],[Итоговая цена м2 без отделки]]</f>
        <v>24000</v>
      </c>
      <c r="Z78" s="226">
        <v>4422838</v>
      </c>
      <c r="AA78" s="223">
        <v>111434.56790123458</v>
      </c>
      <c r="AB78" s="225" t="s">
        <v>757</v>
      </c>
      <c r="AC78" s="226">
        <v>90262</v>
      </c>
      <c r="AD78" s="225" t="s">
        <v>901</v>
      </c>
      <c r="AE78" s="225" t="s">
        <v>902</v>
      </c>
      <c r="AF78" s="226"/>
      <c r="AG78" s="226"/>
      <c r="AH78" s="226"/>
      <c r="AI78" s="226"/>
      <c r="AJ78" s="226"/>
      <c r="AL78" s="227"/>
      <c r="AM78" s="229"/>
      <c r="AO78" s="223">
        <v>0</v>
      </c>
      <c r="AP78" s="225" t="s">
        <v>1633</v>
      </c>
      <c r="AQ78" s="223">
        <v>79170337100</v>
      </c>
      <c r="AR78" s="225" t="s">
        <v>866</v>
      </c>
      <c r="AS78" s="224">
        <v>32780</v>
      </c>
      <c r="AT78" s="225" t="s">
        <v>1061</v>
      </c>
      <c r="AU78" s="225" t="s">
        <v>899</v>
      </c>
      <c r="AV78" s="225" t="s">
        <v>902</v>
      </c>
      <c r="AW78" s="225" t="s">
        <v>172</v>
      </c>
      <c r="AX78" t="s">
        <v>2172</v>
      </c>
      <c r="AY78" s="224"/>
      <c r="BL78" s="223"/>
    </row>
    <row r="79" spans="1:64" x14ac:dyDescent="0.25">
      <c r="A79" s="223">
        <v>2518</v>
      </c>
      <c r="B79" s="223">
        <v>1</v>
      </c>
      <c r="C79" s="224">
        <v>45597</v>
      </c>
      <c r="D79" s="225" t="s">
        <v>1628</v>
      </c>
      <c r="E79" s="225" t="s">
        <v>859</v>
      </c>
      <c r="F79" s="225" t="s">
        <v>860</v>
      </c>
      <c r="G79" s="223" t="s">
        <v>926</v>
      </c>
      <c r="H79" s="224"/>
      <c r="I79" s="224">
        <v>45602</v>
      </c>
      <c r="J79" s="225" t="s">
        <v>1958</v>
      </c>
      <c r="K79" s="225" t="s">
        <v>98</v>
      </c>
      <c r="L79" s="225" t="s">
        <v>3</v>
      </c>
      <c r="M79" s="223">
        <v>1</v>
      </c>
      <c r="N79" s="223">
        <v>20</v>
      </c>
      <c r="O79" s="223">
        <v>355</v>
      </c>
      <c r="P79" s="223">
        <v>2</v>
      </c>
      <c r="Q79" s="223">
        <v>73.7</v>
      </c>
      <c r="R79" s="225" t="s">
        <v>14</v>
      </c>
      <c r="S79" s="230">
        <v>9259822</v>
      </c>
      <c r="T79" s="226">
        <v>125642.09</v>
      </c>
      <c r="U79" s="228"/>
      <c r="V79" s="226">
        <v>9259822</v>
      </c>
      <c r="W79" s="226">
        <v>125642.0895522388</v>
      </c>
      <c r="X79" s="228">
        <v>1768800</v>
      </c>
      <c r="Y79" s="228">
        <f>Юрист[[#This Row],[Итоговая цена м2 с отделкой]]-Юрист[[#This Row],[Итоговая цена м2 без отделки]]</f>
        <v>24000</v>
      </c>
      <c r="Z79" s="226">
        <v>7491022</v>
      </c>
      <c r="AA79" s="223">
        <v>101642.0895522388</v>
      </c>
      <c r="AB79" s="225" t="s">
        <v>757</v>
      </c>
      <c r="AC79" s="226">
        <v>152878</v>
      </c>
      <c r="AD79" s="225" t="s">
        <v>901</v>
      </c>
      <c r="AE79" s="225" t="s">
        <v>902</v>
      </c>
      <c r="AF79" s="226"/>
      <c r="AG79" s="226"/>
      <c r="AH79" s="226"/>
      <c r="AI79" s="226"/>
      <c r="AJ79" s="226"/>
      <c r="AL79" s="227"/>
      <c r="AM79" s="229"/>
      <c r="AO79" s="223">
        <v>0</v>
      </c>
      <c r="AP79" s="225" t="s">
        <v>1629</v>
      </c>
      <c r="AQ79" s="223">
        <v>79244112114</v>
      </c>
      <c r="AR79" s="225" t="s">
        <v>882</v>
      </c>
      <c r="AS79" s="224">
        <v>38286</v>
      </c>
      <c r="AT79" s="225" t="s">
        <v>913</v>
      </c>
      <c r="AU79" s="225" t="s">
        <v>899</v>
      </c>
      <c r="AV79" s="225" t="s">
        <v>902</v>
      </c>
      <c r="AW79" s="225" t="s">
        <v>172</v>
      </c>
      <c r="AX79" t="s">
        <v>2172</v>
      </c>
      <c r="AY79" s="224"/>
      <c r="BL79" s="223"/>
    </row>
    <row r="80" spans="1:64" x14ac:dyDescent="0.25">
      <c r="A80" s="223">
        <v>2519</v>
      </c>
      <c r="B80" s="223">
        <v>2</v>
      </c>
      <c r="C80" s="224">
        <v>45597</v>
      </c>
      <c r="D80" s="225" t="s">
        <v>1630</v>
      </c>
      <c r="E80" s="225" t="s">
        <v>859</v>
      </c>
      <c r="F80" s="225" t="s">
        <v>860</v>
      </c>
      <c r="G80" s="223" t="s">
        <v>926</v>
      </c>
      <c r="H80" s="224"/>
      <c r="I80" s="224">
        <v>45602</v>
      </c>
      <c r="J80" s="225" t="s">
        <v>1950</v>
      </c>
      <c r="K80" s="225" t="s">
        <v>98</v>
      </c>
      <c r="L80" s="225" t="s">
        <v>3</v>
      </c>
      <c r="M80" s="223">
        <v>1</v>
      </c>
      <c r="N80" s="223">
        <v>18</v>
      </c>
      <c r="O80" s="223">
        <v>341</v>
      </c>
      <c r="P80" s="223">
        <v>2</v>
      </c>
      <c r="Q80" s="223">
        <v>73.7</v>
      </c>
      <c r="R80" s="225" t="s">
        <v>12</v>
      </c>
      <c r="S80" s="230">
        <v>6884963</v>
      </c>
      <c r="T80" s="226">
        <v>93418.77</v>
      </c>
      <c r="U80" s="228"/>
      <c r="V80" s="226">
        <v>6884963</v>
      </c>
      <c r="W80" s="226">
        <v>93418.765264586153</v>
      </c>
      <c r="X80" s="228"/>
      <c r="Y80" s="228">
        <f>Юрист[[#This Row],[Итоговая цена м2 с отделкой]]-Юрист[[#This Row],[Итоговая цена м2 без отделки]]</f>
        <v>0</v>
      </c>
      <c r="Z80" s="226">
        <v>6884963</v>
      </c>
      <c r="AA80" s="223">
        <v>93418.765264586153</v>
      </c>
      <c r="AB80" s="225" t="s">
        <v>167</v>
      </c>
      <c r="AC80" s="226">
        <v>212937</v>
      </c>
      <c r="AD80" s="225" t="s">
        <v>901</v>
      </c>
      <c r="AE80" s="225" t="s">
        <v>902</v>
      </c>
      <c r="AF80" s="226"/>
      <c r="AG80" s="226"/>
      <c r="AH80" s="226"/>
      <c r="AI80" s="226"/>
      <c r="AJ80" s="226"/>
      <c r="AL80" s="227"/>
      <c r="AM80" s="229"/>
      <c r="AO80" s="223">
        <v>0</v>
      </c>
      <c r="AP80" s="225" t="s">
        <v>1631</v>
      </c>
      <c r="AQ80" s="223">
        <v>79277618796</v>
      </c>
      <c r="AR80" s="225" t="s">
        <v>882</v>
      </c>
      <c r="AS80" s="224">
        <v>29714</v>
      </c>
      <c r="AT80" s="225" t="s">
        <v>878</v>
      </c>
      <c r="AU80" s="225" t="s">
        <v>899</v>
      </c>
      <c r="AV80" s="225" t="s">
        <v>902</v>
      </c>
      <c r="AW80" s="225" t="s">
        <v>172</v>
      </c>
      <c r="AX80" t="s">
        <v>2172</v>
      </c>
      <c r="AY80" s="224"/>
      <c r="BL80" s="223"/>
    </row>
    <row r="81" spans="1:64" s="232" customFormat="1" x14ac:dyDescent="0.25">
      <c r="A81" s="223">
        <v>2516</v>
      </c>
      <c r="B81" s="223">
        <v>37</v>
      </c>
      <c r="C81" s="224">
        <v>45596</v>
      </c>
      <c r="D81" s="225" t="s">
        <v>1624</v>
      </c>
      <c r="E81" s="225" t="s">
        <v>859</v>
      </c>
      <c r="F81" s="225" t="s">
        <v>860</v>
      </c>
      <c r="G81" s="223" t="s">
        <v>926</v>
      </c>
      <c r="H81" s="224"/>
      <c r="I81" s="224">
        <v>45596</v>
      </c>
      <c r="J81" s="225" t="s">
        <v>2061</v>
      </c>
      <c r="K81" s="225" t="s">
        <v>98</v>
      </c>
      <c r="L81" s="225" t="s">
        <v>2</v>
      </c>
      <c r="M81" s="223">
        <v>1</v>
      </c>
      <c r="N81" s="223">
        <v>15</v>
      </c>
      <c r="O81" s="223">
        <v>501</v>
      </c>
      <c r="P81" s="223">
        <v>0</v>
      </c>
      <c r="Q81" s="223">
        <v>29.4</v>
      </c>
      <c r="R81" s="225" t="s">
        <v>14</v>
      </c>
      <c r="S81" s="230">
        <v>4123400.0000000005</v>
      </c>
      <c r="T81" s="226">
        <v>140251.70000000001</v>
      </c>
      <c r="U81" s="228"/>
      <c r="V81" s="226">
        <v>4123400.0000000005</v>
      </c>
      <c r="W81" s="226">
        <v>140251.70068027213</v>
      </c>
      <c r="X81" s="228">
        <v>705600</v>
      </c>
      <c r="Y81" s="228">
        <f>Юрист[[#This Row],[Итоговая цена м2 с отделкой]]-Юрист[[#This Row],[Итоговая цена м2 без отделки]]</f>
        <v>24000</v>
      </c>
      <c r="Z81" s="226">
        <v>3417800.0000000005</v>
      </c>
      <c r="AA81" s="223">
        <v>116251.70068027213</v>
      </c>
      <c r="AB81" s="225" t="s">
        <v>767</v>
      </c>
      <c r="AC81" s="226">
        <v>50000</v>
      </c>
      <c r="AD81" s="225" t="s">
        <v>901</v>
      </c>
      <c r="AE81" s="225" t="s">
        <v>902</v>
      </c>
      <c r="AF81" s="226"/>
      <c r="AG81" s="226"/>
      <c r="AH81" s="226"/>
      <c r="AI81" s="226"/>
      <c r="AJ81" s="226"/>
      <c r="AK81" s="223"/>
      <c r="AL81" s="227"/>
      <c r="AM81" s="229"/>
      <c r="AN81" s="223"/>
      <c r="AO81" s="223">
        <v>0</v>
      </c>
      <c r="AP81" s="225" t="s">
        <v>1625</v>
      </c>
      <c r="AQ81" s="223">
        <v>79276989816</v>
      </c>
      <c r="AR81" s="225" t="s">
        <v>882</v>
      </c>
      <c r="AS81" s="224">
        <v>25052</v>
      </c>
      <c r="AT81" s="225" t="s">
        <v>1501</v>
      </c>
      <c r="AU81" s="225" t="s">
        <v>997</v>
      </c>
      <c r="AV81" s="225" t="s">
        <v>902</v>
      </c>
      <c r="AW81" s="225" t="s">
        <v>172</v>
      </c>
      <c r="AX81" t="s">
        <v>2172</v>
      </c>
      <c r="AY81" s="224"/>
      <c r="AZ81" s="223"/>
    </row>
    <row r="82" spans="1:64" x14ac:dyDescent="0.25">
      <c r="A82" s="223">
        <v>2517</v>
      </c>
      <c r="B82" s="223">
        <v>38</v>
      </c>
      <c r="C82" s="224">
        <v>45596</v>
      </c>
      <c r="D82" s="225" t="s">
        <v>1626</v>
      </c>
      <c r="E82" s="225" t="s">
        <v>859</v>
      </c>
      <c r="F82" s="225" t="s">
        <v>860</v>
      </c>
      <c r="G82" s="223" t="s">
        <v>861</v>
      </c>
      <c r="H82" s="224"/>
      <c r="I82" s="224">
        <v>45596</v>
      </c>
      <c r="J82" s="225" t="s">
        <v>2098</v>
      </c>
      <c r="K82" s="225" t="s">
        <v>98</v>
      </c>
      <c r="L82" s="225" t="s">
        <v>2</v>
      </c>
      <c r="M82" s="223">
        <v>7</v>
      </c>
      <c r="N82" s="223">
        <v>23</v>
      </c>
      <c r="O82" s="223">
        <v>571</v>
      </c>
      <c r="P82" s="223">
        <v>3</v>
      </c>
      <c r="Q82" s="223">
        <v>79.44</v>
      </c>
      <c r="R82" s="225" t="s">
        <v>12</v>
      </c>
      <c r="S82" s="230">
        <v>8602057</v>
      </c>
      <c r="T82" s="226">
        <v>108283.7</v>
      </c>
      <c r="U82" s="228"/>
      <c r="V82" s="226">
        <v>8602057</v>
      </c>
      <c r="W82" s="226">
        <v>108283.69838872105</v>
      </c>
      <c r="X82" s="228"/>
      <c r="Y82" s="228">
        <f>Юрист[[#This Row],[Итоговая цена м2 с отделкой]]-Юрист[[#This Row],[Итоговая цена м2 без отделки]]</f>
        <v>0</v>
      </c>
      <c r="Z82" s="226">
        <v>8602057</v>
      </c>
      <c r="AA82" s="223">
        <v>108283.69838872105</v>
      </c>
      <c r="AB82" s="225" t="s">
        <v>167</v>
      </c>
      <c r="AC82" s="226">
        <v>266043</v>
      </c>
      <c r="AD82" s="225" t="s">
        <v>862</v>
      </c>
      <c r="AE82" s="225" t="s">
        <v>863</v>
      </c>
      <c r="AF82" s="226">
        <v>2603000</v>
      </c>
      <c r="AG82" s="226">
        <v>5999057</v>
      </c>
      <c r="AH82" s="226"/>
      <c r="AI82" s="226"/>
      <c r="AJ82" s="226"/>
      <c r="AK82" s="223" t="s">
        <v>864</v>
      </c>
      <c r="AL82" s="227">
        <v>1.4E-2</v>
      </c>
      <c r="AM82" s="229">
        <v>4.5999999999999999E-2</v>
      </c>
      <c r="AO82" s="223">
        <v>0</v>
      </c>
      <c r="AP82" s="225" t="s">
        <v>1627</v>
      </c>
      <c r="AQ82" s="223">
        <v>79288802258</v>
      </c>
      <c r="AR82" s="225" t="s">
        <v>882</v>
      </c>
      <c r="AS82" s="224">
        <v>33208</v>
      </c>
      <c r="AT82" s="225" t="s">
        <v>1593</v>
      </c>
      <c r="AU82" s="225" t="s">
        <v>899</v>
      </c>
      <c r="AV82" s="225" t="s">
        <v>879</v>
      </c>
      <c r="AW82" s="225" t="s">
        <v>172</v>
      </c>
      <c r="AX82" t="s">
        <v>2168</v>
      </c>
      <c r="AY82" s="224"/>
      <c r="BL82" s="223"/>
    </row>
    <row r="83" spans="1:64" x14ac:dyDescent="0.25">
      <c r="A83" s="223">
        <v>2513</v>
      </c>
      <c r="B83" s="223">
        <v>34</v>
      </c>
      <c r="C83" s="224">
        <v>45595</v>
      </c>
      <c r="D83" s="225" t="s">
        <v>1618</v>
      </c>
      <c r="E83" s="225" t="s">
        <v>859</v>
      </c>
      <c r="F83" s="225" t="s">
        <v>860</v>
      </c>
      <c r="G83" s="223" t="s">
        <v>861</v>
      </c>
      <c r="H83" s="224"/>
      <c r="I83" s="224">
        <v>45596</v>
      </c>
      <c r="J83" s="225" t="s">
        <v>2060</v>
      </c>
      <c r="K83" s="225" t="s">
        <v>98</v>
      </c>
      <c r="L83" s="225" t="s">
        <v>2</v>
      </c>
      <c r="M83" s="223">
        <v>8</v>
      </c>
      <c r="N83" s="223">
        <v>14</v>
      </c>
      <c r="O83" s="223">
        <v>500</v>
      </c>
      <c r="P83" s="223">
        <v>1</v>
      </c>
      <c r="Q83" s="223">
        <v>39.69</v>
      </c>
      <c r="R83" s="225" t="s">
        <v>12</v>
      </c>
      <c r="S83" s="230">
        <v>4555900</v>
      </c>
      <c r="T83" s="226">
        <v>114787.1</v>
      </c>
      <c r="U83" s="228"/>
      <c r="V83" s="226">
        <v>4555900</v>
      </c>
      <c r="W83" s="226">
        <v>114787.10002519526</v>
      </c>
      <c r="X83" s="228"/>
      <c r="Y83" s="228">
        <f>Юрист[[#This Row],[Итоговая цена м2 с отделкой]]-Юрист[[#This Row],[Итоговая цена м2 без отделки]]</f>
        <v>0</v>
      </c>
      <c r="Z83" s="226">
        <v>4555900</v>
      </c>
      <c r="AA83" s="223">
        <v>114787.10002519526</v>
      </c>
      <c r="AB83" s="225"/>
      <c r="AD83" s="225" t="s">
        <v>862</v>
      </c>
      <c r="AE83" s="225" t="s">
        <v>863</v>
      </c>
      <c r="AF83" s="226">
        <v>916000</v>
      </c>
      <c r="AG83" s="226">
        <v>3639900</v>
      </c>
      <c r="AH83" s="226"/>
      <c r="AI83" s="226"/>
      <c r="AJ83" s="226"/>
      <c r="AK83" s="223" t="s">
        <v>864</v>
      </c>
      <c r="AL83" s="227">
        <v>1.4E-2</v>
      </c>
      <c r="AM83" s="229">
        <v>4.5999999999999999E-2</v>
      </c>
      <c r="AO83" s="223">
        <v>0</v>
      </c>
      <c r="AP83" s="225" t="s">
        <v>1619</v>
      </c>
      <c r="AQ83" s="223">
        <v>79379854144</v>
      </c>
      <c r="AR83" s="225" t="s">
        <v>882</v>
      </c>
      <c r="AS83" s="224">
        <v>32521</v>
      </c>
      <c r="AT83" s="225" t="s">
        <v>878</v>
      </c>
      <c r="AU83" s="225" t="s">
        <v>997</v>
      </c>
      <c r="AV83" s="225" t="s">
        <v>879</v>
      </c>
      <c r="AW83" s="225" t="s">
        <v>172</v>
      </c>
      <c r="AX83" t="s">
        <v>2172</v>
      </c>
      <c r="AY83" s="224"/>
      <c r="BL83" s="223"/>
    </row>
    <row r="84" spans="1:64" x14ac:dyDescent="0.25">
      <c r="A84" s="223">
        <v>2512</v>
      </c>
      <c r="B84" s="223">
        <v>33</v>
      </c>
      <c r="C84" s="224">
        <v>45595</v>
      </c>
      <c r="D84" s="225" t="s">
        <v>1616</v>
      </c>
      <c r="E84" s="225" t="s">
        <v>859</v>
      </c>
      <c r="F84" s="225" t="s">
        <v>860</v>
      </c>
      <c r="G84" s="223" t="s">
        <v>861</v>
      </c>
      <c r="H84" s="224"/>
      <c r="I84" s="224">
        <v>45596</v>
      </c>
      <c r="J84" s="225" t="s">
        <v>2016</v>
      </c>
      <c r="K84" s="225" t="s">
        <v>98</v>
      </c>
      <c r="L84" s="225" t="s">
        <v>2</v>
      </c>
      <c r="M84" s="223">
        <v>1</v>
      </c>
      <c r="N84" s="223">
        <v>8</v>
      </c>
      <c r="O84" s="223">
        <v>445</v>
      </c>
      <c r="P84" s="223">
        <v>0</v>
      </c>
      <c r="Q84" s="223">
        <v>29.4</v>
      </c>
      <c r="R84" s="225" t="s">
        <v>780</v>
      </c>
      <c r="S84" s="230">
        <v>3703000</v>
      </c>
      <c r="T84" s="226">
        <v>125952.38</v>
      </c>
      <c r="U84" s="228"/>
      <c r="V84" s="226">
        <v>3703000</v>
      </c>
      <c r="W84" s="226">
        <v>125952.38095238096</v>
      </c>
      <c r="X84" s="228">
        <v>235200</v>
      </c>
      <c r="Y84" s="228">
        <f>Юрист[[#This Row],[Итоговая цена м2 с отделкой]]-Юрист[[#This Row],[Итоговая цена м2 без отделки]]</f>
        <v>8000</v>
      </c>
      <c r="Z84" s="226">
        <v>3467800</v>
      </c>
      <c r="AA84" s="223">
        <v>117952.38095238096</v>
      </c>
      <c r="AB84" s="225"/>
      <c r="AD84" s="225" t="s">
        <v>862</v>
      </c>
      <c r="AE84" s="225" t="s">
        <v>863</v>
      </c>
      <c r="AF84" s="226"/>
      <c r="AG84" s="226">
        <v>2873000</v>
      </c>
      <c r="AH84" s="226">
        <v>830000</v>
      </c>
      <c r="AI84" s="226"/>
      <c r="AJ84" s="226"/>
      <c r="AK84" s="223" t="s">
        <v>864</v>
      </c>
      <c r="AL84" s="227">
        <v>1.4E-2</v>
      </c>
      <c r="AM84" s="229">
        <v>4.5999999999999999E-2</v>
      </c>
      <c r="AO84" s="223">
        <v>0</v>
      </c>
      <c r="AP84" s="225" t="s">
        <v>1617</v>
      </c>
      <c r="AQ84" s="223">
        <v>79379979837</v>
      </c>
      <c r="AR84" s="225" t="s">
        <v>866</v>
      </c>
      <c r="AS84" s="224">
        <v>31895</v>
      </c>
      <c r="AT84" s="225" t="s">
        <v>878</v>
      </c>
      <c r="AU84" s="225" t="s">
        <v>899</v>
      </c>
      <c r="AV84" s="225" t="s">
        <v>879</v>
      </c>
      <c r="AW84" s="225" t="s">
        <v>172</v>
      </c>
      <c r="AX84" t="s">
        <v>2172</v>
      </c>
      <c r="AY84" s="224"/>
      <c r="BL84" s="223"/>
    </row>
    <row r="85" spans="1:64" x14ac:dyDescent="0.25">
      <c r="A85" s="223">
        <v>2515</v>
      </c>
      <c r="B85" s="223">
        <v>36</v>
      </c>
      <c r="C85" s="224">
        <v>45595</v>
      </c>
      <c r="D85" s="225" t="s">
        <v>1622</v>
      </c>
      <c r="E85" s="225" t="s">
        <v>859</v>
      </c>
      <c r="F85" s="225" t="s">
        <v>860</v>
      </c>
      <c r="G85" s="223" t="s">
        <v>861</v>
      </c>
      <c r="H85" s="224"/>
      <c r="I85" s="224">
        <v>45596</v>
      </c>
      <c r="J85" s="225" t="s">
        <v>1964</v>
      </c>
      <c r="K85" s="225" t="s">
        <v>98</v>
      </c>
      <c r="L85" s="225" t="s">
        <v>3</v>
      </c>
      <c r="M85" s="223">
        <v>1</v>
      </c>
      <c r="N85" s="223">
        <v>23</v>
      </c>
      <c r="O85" s="223">
        <v>376</v>
      </c>
      <c r="P85" s="223">
        <v>2</v>
      </c>
      <c r="Q85" s="223">
        <v>73.7</v>
      </c>
      <c r="R85" s="225" t="s">
        <v>12</v>
      </c>
      <c r="S85" s="230">
        <v>7282178</v>
      </c>
      <c r="T85" s="226">
        <v>98808.39</v>
      </c>
      <c r="U85" s="228"/>
      <c r="V85" s="226">
        <v>7282178</v>
      </c>
      <c r="W85" s="226">
        <v>98808.385345997289</v>
      </c>
      <c r="X85" s="228"/>
      <c r="Y85" s="228">
        <f>Юрист[[#This Row],[Итоговая цена м2 с отделкой]]-Юрист[[#This Row],[Итоговая цена м2 без отделки]]</f>
        <v>0</v>
      </c>
      <c r="Z85" s="226">
        <v>7282178</v>
      </c>
      <c r="AA85" s="223">
        <v>98808.385345997289</v>
      </c>
      <c r="AB85" s="225" t="s">
        <v>167</v>
      </c>
      <c r="AC85" s="226">
        <v>225222</v>
      </c>
      <c r="AD85" s="225" t="s">
        <v>862</v>
      </c>
      <c r="AE85" s="225" t="s">
        <v>863</v>
      </c>
      <c r="AF85" s="226">
        <v>1464000</v>
      </c>
      <c r="AG85" s="226">
        <v>5818178</v>
      </c>
      <c r="AH85" s="226"/>
      <c r="AI85" s="226"/>
      <c r="AJ85" s="226"/>
      <c r="AK85" s="223" t="s">
        <v>864</v>
      </c>
      <c r="AL85" s="227">
        <v>1.4E-2</v>
      </c>
      <c r="AM85" s="229">
        <v>4.5999999999999999E-2</v>
      </c>
      <c r="AO85" s="223">
        <v>0</v>
      </c>
      <c r="AP85" s="225" t="s">
        <v>1623</v>
      </c>
      <c r="AQ85" s="223">
        <v>79000605545</v>
      </c>
      <c r="AR85" s="225" t="s">
        <v>866</v>
      </c>
      <c r="AS85" s="224">
        <v>33206</v>
      </c>
      <c r="AT85" s="225" t="s">
        <v>1593</v>
      </c>
      <c r="AU85" s="225" t="s">
        <v>899</v>
      </c>
      <c r="AV85" s="225" t="s">
        <v>879</v>
      </c>
      <c r="AW85" s="225" t="s">
        <v>172</v>
      </c>
      <c r="AX85" t="s">
        <v>2168</v>
      </c>
      <c r="AY85" s="224"/>
      <c r="BL85" s="223"/>
    </row>
    <row r="86" spans="1:64" x14ac:dyDescent="0.25">
      <c r="A86" s="223">
        <v>2514</v>
      </c>
      <c r="B86" s="223">
        <v>35</v>
      </c>
      <c r="C86" s="224">
        <v>45595</v>
      </c>
      <c r="D86" s="225" t="s">
        <v>1620</v>
      </c>
      <c r="E86" s="225" t="s">
        <v>859</v>
      </c>
      <c r="F86" s="225" t="s">
        <v>860</v>
      </c>
      <c r="G86" s="223" t="s">
        <v>861</v>
      </c>
      <c r="H86" s="224"/>
      <c r="I86" s="224">
        <v>45596</v>
      </c>
      <c r="J86" s="225" t="s">
        <v>1909</v>
      </c>
      <c r="K86" s="225" t="s">
        <v>98</v>
      </c>
      <c r="L86" s="225" t="s">
        <v>3</v>
      </c>
      <c r="M86" s="223">
        <v>6</v>
      </c>
      <c r="N86" s="223">
        <v>9</v>
      </c>
      <c r="O86" s="223">
        <v>283</v>
      </c>
      <c r="P86" s="223">
        <v>3</v>
      </c>
      <c r="Q86" s="223">
        <v>80.97</v>
      </c>
      <c r="R86" s="225" t="s">
        <v>12</v>
      </c>
      <c r="S86" s="230">
        <v>7608230</v>
      </c>
      <c r="T86" s="226">
        <v>93963.57</v>
      </c>
      <c r="U86" s="228"/>
      <c r="V86" s="226">
        <v>7608230</v>
      </c>
      <c r="W86" s="226">
        <v>93963.566753118444</v>
      </c>
      <c r="X86" s="228"/>
      <c r="Y86" s="228">
        <f>Юрист[[#This Row],[Итоговая цена м2 с отделкой]]-Юрист[[#This Row],[Итоговая цена м2 без отделки]]</f>
        <v>0</v>
      </c>
      <c r="Z86" s="226">
        <v>7608230</v>
      </c>
      <c r="AA86" s="223">
        <v>93963.566753118444</v>
      </c>
      <c r="AB86" s="225" t="s">
        <v>757</v>
      </c>
      <c r="AC86" s="226">
        <v>155270.00000000093</v>
      </c>
      <c r="AD86" s="225" t="s">
        <v>862</v>
      </c>
      <c r="AE86" s="225" t="s">
        <v>863</v>
      </c>
      <c r="AF86" s="226">
        <v>1608230</v>
      </c>
      <c r="AG86" s="226">
        <v>6000000</v>
      </c>
      <c r="AH86" s="226"/>
      <c r="AI86" s="226"/>
      <c r="AJ86" s="226"/>
      <c r="AK86" s="223" t="s">
        <v>864</v>
      </c>
      <c r="AL86" s="227">
        <v>1.4E-2</v>
      </c>
      <c r="AM86" s="229">
        <v>4.5999999999999999E-2</v>
      </c>
      <c r="AO86" s="223">
        <v>0</v>
      </c>
      <c r="AP86" s="225" t="s">
        <v>1621</v>
      </c>
      <c r="AQ86" s="223">
        <v>79224277733</v>
      </c>
      <c r="AR86" s="225" t="s">
        <v>882</v>
      </c>
      <c r="AS86" s="224">
        <v>32905</v>
      </c>
      <c r="AT86" s="225" t="s">
        <v>888</v>
      </c>
      <c r="AU86" s="225" t="s">
        <v>997</v>
      </c>
      <c r="AV86" s="225" t="s">
        <v>879</v>
      </c>
      <c r="AW86" s="225" t="s">
        <v>172</v>
      </c>
      <c r="AX86" t="s">
        <v>2172</v>
      </c>
      <c r="AY86" s="224"/>
      <c r="BL86" s="223"/>
    </row>
    <row r="87" spans="1:64" x14ac:dyDescent="0.25">
      <c r="A87" s="223">
        <v>2508</v>
      </c>
      <c r="B87" s="223">
        <v>29</v>
      </c>
      <c r="C87" s="224">
        <v>45594</v>
      </c>
      <c r="D87" s="225" t="s">
        <v>1608</v>
      </c>
      <c r="E87" s="225" t="s">
        <v>859</v>
      </c>
      <c r="F87" s="225" t="s">
        <v>860</v>
      </c>
      <c r="G87" s="223" t="s">
        <v>861</v>
      </c>
      <c r="H87" s="224"/>
      <c r="I87" s="224">
        <v>45596</v>
      </c>
      <c r="J87" s="225" t="s">
        <v>1961</v>
      </c>
      <c r="K87" s="225" t="s">
        <v>98</v>
      </c>
      <c r="L87" s="225" t="s">
        <v>3</v>
      </c>
      <c r="M87" s="223">
        <v>2</v>
      </c>
      <c r="N87" s="223">
        <v>22</v>
      </c>
      <c r="O87" s="223">
        <v>370</v>
      </c>
      <c r="P87" s="223">
        <v>0</v>
      </c>
      <c r="Q87" s="223">
        <v>24.53</v>
      </c>
      <c r="R87" s="225" t="s">
        <v>780</v>
      </c>
      <c r="S87" s="230">
        <v>3497053</v>
      </c>
      <c r="T87" s="226">
        <v>142562.29</v>
      </c>
      <c r="U87" s="228"/>
      <c r="V87" s="226">
        <v>3497053</v>
      </c>
      <c r="W87" s="226">
        <v>142562.29107215654</v>
      </c>
      <c r="X87" s="228">
        <v>196240</v>
      </c>
      <c r="Y87" s="228">
        <f>Юрист[[#This Row],[Итоговая цена м2 с отделкой]]-Юрист[[#This Row],[Итоговая цена м2 без отделки]]</f>
        <v>8000</v>
      </c>
      <c r="Z87" s="226">
        <v>3300813</v>
      </c>
      <c r="AA87" s="223">
        <v>134562.29107215654</v>
      </c>
      <c r="AB87" s="225" t="s">
        <v>767</v>
      </c>
      <c r="AC87" s="226">
        <v>102087</v>
      </c>
      <c r="AD87" s="225" t="s">
        <v>862</v>
      </c>
      <c r="AE87" s="225" t="s">
        <v>863</v>
      </c>
      <c r="AF87" s="226">
        <v>700000</v>
      </c>
      <c r="AG87" s="226">
        <v>2797053</v>
      </c>
      <c r="AH87" s="226"/>
      <c r="AI87" s="226"/>
      <c r="AJ87" s="226"/>
      <c r="AK87" s="223" t="s">
        <v>864</v>
      </c>
      <c r="AL87" s="227">
        <v>1.4E-2</v>
      </c>
      <c r="AM87" s="229">
        <v>4.5999999999999999E-2</v>
      </c>
      <c r="AO87" s="223">
        <v>0</v>
      </c>
      <c r="AP87" s="225" t="s">
        <v>1609</v>
      </c>
      <c r="AQ87" s="223">
        <v>79613835070</v>
      </c>
      <c r="AR87" s="225" t="s">
        <v>882</v>
      </c>
      <c r="AS87" s="224">
        <v>29731</v>
      </c>
      <c r="AT87" s="225" t="s">
        <v>954</v>
      </c>
      <c r="AU87" s="225" t="s">
        <v>868</v>
      </c>
      <c r="AV87" s="225" t="s">
        <v>879</v>
      </c>
      <c r="AW87" s="225" t="s">
        <v>172</v>
      </c>
      <c r="AX87" t="s">
        <v>2172</v>
      </c>
      <c r="AY87" s="224"/>
      <c r="BL87" s="223"/>
    </row>
    <row r="88" spans="1:64" x14ac:dyDescent="0.25">
      <c r="A88" s="223">
        <v>2507</v>
      </c>
      <c r="B88" s="223">
        <v>28</v>
      </c>
      <c r="C88" s="224">
        <v>45594</v>
      </c>
      <c r="D88" s="225" t="s">
        <v>1606</v>
      </c>
      <c r="E88" s="225" t="s">
        <v>859</v>
      </c>
      <c r="F88" s="225" t="s">
        <v>860</v>
      </c>
      <c r="G88" s="223" t="s">
        <v>861</v>
      </c>
      <c r="H88" s="224"/>
      <c r="I88" s="224">
        <v>45596</v>
      </c>
      <c r="J88" s="225" t="s">
        <v>1978</v>
      </c>
      <c r="K88" s="225" t="s">
        <v>98</v>
      </c>
      <c r="L88" s="225" t="s">
        <v>2</v>
      </c>
      <c r="M88" s="223">
        <v>6</v>
      </c>
      <c r="N88" s="223">
        <v>2</v>
      </c>
      <c r="O88" s="223">
        <v>402</v>
      </c>
      <c r="P88" s="223">
        <v>1</v>
      </c>
      <c r="Q88" s="223">
        <v>38.299999999999997</v>
      </c>
      <c r="R88" s="225" t="s">
        <v>12</v>
      </c>
      <c r="S88" s="230">
        <v>4412058</v>
      </c>
      <c r="T88" s="226">
        <v>115197.34</v>
      </c>
      <c r="U88" s="228"/>
      <c r="V88" s="226">
        <v>4412058</v>
      </c>
      <c r="W88" s="226">
        <v>115197.33681462142</v>
      </c>
      <c r="X88" s="228"/>
      <c r="Y88" s="228">
        <f>Юрист[[#This Row],[Итоговая цена м2 с отделкой]]-Юрист[[#This Row],[Итоговая цена м2 без отделки]]</f>
        <v>0</v>
      </c>
      <c r="Z88" s="226">
        <v>4412058</v>
      </c>
      <c r="AA88" s="223">
        <v>115197.33681462142</v>
      </c>
      <c r="AB88" s="225" t="s">
        <v>757</v>
      </c>
      <c r="AC88" s="226">
        <v>90042</v>
      </c>
      <c r="AD88" s="225" t="s">
        <v>862</v>
      </c>
      <c r="AE88" s="225" t="s">
        <v>863</v>
      </c>
      <c r="AF88" s="226">
        <v>887000</v>
      </c>
      <c r="AG88" s="226">
        <v>3525058</v>
      </c>
      <c r="AH88" s="226"/>
      <c r="AI88" s="226"/>
      <c r="AJ88" s="226"/>
      <c r="AK88" s="223" t="s">
        <v>864</v>
      </c>
      <c r="AL88" s="227">
        <v>1.4E-2</v>
      </c>
      <c r="AM88" s="229">
        <v>4.5999999999999999E-2</v>
      </c>
      <c r="AO88" s="223">
        <v>0</v>
      </c>
      <c r="AP88" s="225" t="s">
        <v>1607</v>
      </c>
      <c r="AQ88" s="223">
        <v>79270053360</v>
      </c>
      <c r="AR88" s="225" t="s">
        <v>866</v>
      </c>
      <c r="AS88" s="224">
        <v>25380</v>
      </c>
      <c r="AT88" s="225" t="s">
        <v>888</v>
      </c>
      <c r="AU88" s="225" t="s">
        <v>997</v>
      </c>
      <c r="AV88" s="225" t="s">
        <v>879</v>
      </c>
      <c r="AW88" s="225" t="s">
        <v>172</v>
      </c>
      <c r="AX88" t="s">
        <v>2172</v>
      </c>
      <c r="AY88" s="224"/>
      <c r="AZ88" s="223" t="s">
        <v>1502</v>
      </c>
      <c r="BL88" s="223"/>
    </row>
    <row r="89" spans="1:64" x14ac:dyDescent="0.25">
      <c r="A89" s="223">
        <v>2506</v>
      </c>
      <c r="B89" s="223">
        <v>27</v>
      </c>
      <c r="C89" s="224">
        <v>45594</v>
      </c>
      <c r="D89" s="225" t="s">
        <v>1604</v>
      </c>
      <c r="E89" s="225" t="s">
        <v>859</v>
      </c>
      <c r="F89" s="225" t="s">
        <v>860</v>
      </c>
      <c r="G89" s="223" t="s">
        <v>861</v>
      </c>
      <c r="H89" s="224"/>
      <c r="I89" s="224">
        <v>45596</v>
      </c>
      <c r="J89" s="225" t="s">
        <v>1943</v>
      </c>
      <c r="K89" s="225" t="s">
        <v>98</v>
      </c>
      <c r="L89" s="225" t="s">
        <v>3</v>
      </c>
      <c r="M89" s="223">
        <v>4</v>
      </c>
      <c r="N89" s="223">
        <v>16</v>
      </c>
      <c r="O89" s="223">
        <v>330</v>
      </c>
      <c r="P89" s="223">
        <v>2</v>
      </c>
      <c r="Q89" s="223">
        <v>60.24</v>
      </c>
      <c r="R89" s="225" t="s">
        <v>14</v>
      </c>
      <c r="S89" s="230">
        <v>7557824</v>
      </c>
      <c r="T89" s="226">
        <v>125461.89</v>
      </c>
      <c r="U89" s="228"/>
      <c r="V89" s="226">
        <v>7557824</v>
      </c>
      <c r="W89" s="226">
        <v>125461.88579017264</v>
      </c>
      <c r="X89" s="228">
        <v>1445760</v>
      </c>
      <c r="Y89" s="228">
        <f>Юрист[[#This Row],[Итоговая цена м2 с отделкой]]-Юрист[[#This Row],[Итоговая цена м2 без отделки]]</f>
        <v>24000</v>
      </c>
      <c r="Z89" s="226">
        <v>6112064</v>
      </c>
      <c r="AA89" s="223">
        <v>101461.88579017264</v>
      </c>
      <c r="AB89" s="225" t="s">
        <v>757</v>
      </c>
      <c r="AC89" s="226">
        <v>124736</v>
      </c>
      <c r="AD89" s="225" t="s">
        <v>862</v>
      </c>
      <c r="AE89" s="225" t="s">
        <v>863</v>
      </c>
      <c r="AF89" s="226">
        <v>928443.22</v>
      </c>
      <c r="AG89" s="226">
        <v>5999000</v>
      </c>
      <c r="AH89" s="226">
        <v>630380.78</v>
      </c>
      <c r="AI89" s="226"/>
      <c r="AJ89" s="226"/>
      <c r="AK89" s="223" t="s">
        <v>864</v>
      </c>
      <c r="AL89" s="227">
        <v>1.4E-2</v>
      </c>
      <c r="AM89" s="229">
        <v>4.5999999999999999E-2</v>
      </c>
      <c r="AO89" s="223">
        <v>0</v>
      </c>
      <c r="AP89" s="225" t="s">
        <v>1605</v>
      </c>
      <c r="AQ89" s="223">
        <v>79879019958</v>
      </c>
      <c r="AR89" s="225" t="s">
        <v>882</v>
      </c>
      <c r="AS89" s="224">
        <v>35572</v>
      </c>
      <c r="AT89" s="225" t="s">
        <v>1593</v>
      </c>
      <c r="AU89" s="225" t="s">
        <v>899</v>
      </c>
      <c r="AV89" s="225" t="s">
        <v>879</v>
      </c>
      <c r="AW89" s="225" t="s">
        <v>172</v>
      </c>
      <c r="AX89" t="s">
        <v>2168</v>
      </c>
      <c r="AY89" s="224"/>
      <c r="BL89" s="223"/>
    </row>
    <row r="90" spans="1:64" x14ac:dyDescent="0.25">
      <c r="A90" s="223">
        <v>2511</v>
      </c>
      <c r="B90" s="223">
        <v>32</v>
      </c>
      <c r="C90" s="224">
        <v>45594</v>
      </c>
      <c r="D90" s="225" t="s">
        <v>1614</v>
      </c>
      <c r="E90" s="225" t="s">
        <v>859</v>
      </c>
      <c r="F90" s="225" t="s">
        <v>860</v>
      </c>
      <c r="G90" s="223" t="s">
        <v>861</v>
      </c>
      <c r="H90" s="224"/>
      <c r="I90" s="224">
        <v>45596</v>
      </c>
      <c r="J90" s="225" t="s">
        <v>1815</v>
      </c>
      <c r="K90" s="225" t="s">
        <v>98</v>
      </c>
      <c r="L90" s="225" t="s">
        <v>4</v>
      </c>
      <c r="M90" s="223">
        <v>4</v>
      </c>
      <c r="N90" s="223">
        <v>5</v>
      </c>
      <c r="O90" s="223">
        <v>142</v>
      </c>
      <c r="P90" s="223">
        <v>2</v>
      </c>
      <c r="Q90" s="223">
        <v>58.31</v>
      </c>
      <c r="R90" s="225" t="s">
        <v>12</v>
      </c>
      <c r="S90" s="230">
        <v>6017600</v>
      </c>
      <c r="T90" s="226">
        <v>103200.14</v>
      </c>
      <c r="U90" s="228"/>
      <c r="V90" s="226">
        <v>6017600</v>
      </c>
      <c r="W90" s="226">
        <v>103200.13719773623</v>
      </c>
      <c r="X90" s="228"/>
      <c r="Y90" s="228">
        <f>Юрист[[#This Row],[Итоговая цена м2 с отделкой]]-Юрист[[#This Row],[Итоговая цена м2 без отделки]]</f>
        <v>0</v>
      </c>
      <c r="Z90" s="226">
        <v>6017600</v>
      </c>
      <c r="AA90" s="223">
        <v>103200.13719773623</v>
      </c>
      <c r="AB90" s="225"/>
      <c r="AD90" s="225" t="s">
        <v>862</v>
      </c>
      <c r="AE90" s="225" t="s">
        <v>863</v>
      </c>
      <c r="AF90" s="226">
        <v>579619.22</v>
      </c>
      <c r="AG90" s="226">
        <v>4807600</v>
      </c>
      <c r="AH90" s="226">
        <v>630380.78</v>
      </c>
      <c r="AI90" s="226"/>
      <c r="AJ90" s="226"/>
      <c r="AK90" s="223" t="s">
        <v>864</v>
      </c>
      <c r="AL90" s="227">
        <v>1.4E-2</v>
      </c>
      <c r="AM90" s="229">
        <v>4.5999999999999999E-2</v>
      </c>
      <c r="AO90" s="223">
        <v>0</v>
      </c>
      <c r="AP90" s="225" t="s">
        <v>1615</v>
      </c>
      <c r="AQ90" s="223">
        <v>79376676066</v>
      </c>
      <c r="AR90" s="225" t="s">
        <v>866</v>
      </c>
      <c r="AS90" s="224">
        <v>35034</v>
      </c>
      <c r="AT90" s="225" t="s">
        <v>1173</v>
      </c>
      <c r="AU90" s="225" t="s">
        <v>899</v>
      </c>
      <c r="AV90" s="225" t="s">
        <v>879</v>
      </c>
      <c r="AW90" s="225" t="s">
        <v>172</v>
      </c>
      <c r="AX90" t="s">
        <v>2168</v>
      </c>
      <c r="AY90" s="224"/>
      <c r="BL90" s="223"/>
    </row>
    <row r="91" spans="1:64" x14ac:dyDescent="0.25">
      <c r="A91" s="223">
        <v>2510</v>
      </c>
      <c r="B91" s="223">
        <v>31</v>
      </c>
      <c r="C91" s="224">
        <v>45594</v>
      </c>
      <c r="D91" s="225" t="s">
        <v>1612</v>
      </c>
      <c r="E91" s="225" t="s">
        <v>859</v>
      </c>
      <c r="F91" s="225" t="s">
        <v>860</v>
      </c>
      <c r="G91" s="223" t="s">
        <v>861</v>
      </c>
      <c r="H91" s="224"/>
      <c r="I91" s="224">
        <v>45596</v>
      </c>
      <c r="J91" s="225" t="s">
        <v>1895</v>
      </c>
      <c r="K91" s="225" t="s">
        <v>98</v>
      </c>
      <c r="L91" s="225" t="s">
        <v>3</v>
      </c>
      <c r="M91" s="223">
        <v>2</v>
      </c>
      <c r="N91" s="223">
        <v>7</v>
      </c>
      <c r="O91" s="223">
        <v>265</v>
      </c>
      <c r="P91" s="223">
        <v>0</v>
      </c>
      <c r="Q91" s="223">
        <v>24.53</v>
      </c>
      <c r="R91" s="225" t="s">
        <v>780</v>
      </c>
      <c r="S91" s="230">
        <v>3392540</v>
      </c>
      <c r="T91" s="226">
        <v>138301.67000000001</v>
      </c>
      <c r="U91" s="228"/>
      <c r="V91" s="226">
        <v>3392540</v>
      </c>
      <c r="W91" s="226">
        <v>138301.67142274766</v>
      </c>
      <c r="X91" s="228">
        <v>196240</v>
      </c>
      <c r="Y91" s="228">
        <f>Юрист[[#This Row],[Итоговая цена м2 с отделкой]]-Юрист[[#This Row],[Итоговая цена м2 без отделки]]</f>
        <v>8000.0000000000146</v>
      </c>
      <c r="Z91" s="226">
        <v>3196300</v>
      </c>
      <c r="AA91" s="223">
        <v>130301.67142274765</v>
      </c>
      <c r="AB91" s="225"/>
      <c r="AD91" s="225" t="s">
        <v>862</v>
      </c>
      <c r="AE91" s="225" t="s">
        <v>863</v>
      </c>
      <c r="AF91" s="226">
        <v>2559515.2599999998</v>
      </c>
      <c r="AG91" s="226"/>
      <c r="AH91" s="226">
        <v>833024.74</v>
      </c>
      <c r="AI91" s="226"/>
      <c r="AJ91" s="226"/>
      <c r="AK91" s="223" t="s">
        <v>864</v>
      </c>
      <c r="AL91" s="227">
        <v>1.4E-2</v>
      </c>
      <c r="AM91" s="229">
        <v>4.5999999999999999E-2</v>
      </c>
      <c r="AO91" s="223">
        <v>0</v>
      </c>
      <c r="AP91" s="225" t="s">
        <v>1613</v>
      </c>
      <c r="AQ91" s="223">
        <v>79277360735</v>
      </c>
      <c r="AR91" s="225" t="s">
        <v>866</v>
      </c>
      <c r="AS91" s="224">
        <v>33617</v>
      </c>
      <c r="AT91" s="225" t="s">
        <v>1115</v>
      </c>
      <c r="AU91" s="225" t="s">
        <v>899</v>
      </c>
      <c r="AV91" s="225" t="s">
        <v>879</v>
      </c>
      <c r="AW91" s="225" t="s">
        <v>172</v>
      </c>
      <c r="AX91" t="s">
        <v>2168</v>
      </c>
      <c r="AY91" s="224"/>
      <c r="BL91" s="223"/>
    </row>
    <row r="92" spans="1:64" x14ac:dyDescent="0.25">
      <c r="A92" s="223">
        <v>2509</v>
      </c>
      <c r="B92" s="223">
        <v>30</v>
      </c>
      <c r="C92" s="224">
        <v>45594</v>
      </c>
      <c r="D92" s="225" t="s">
        <v>1610</v>
      </c>
      <c r="E92" s="225" t="s">
        <v>859</v>
      </c>
      <c r="F92" s="225" t="s">
        <v>860</v>
      </c>
      <c r="G92" s="223" t="s">
        <v>861</v>
      </c>
      <c r="H92" s="224"/>
      <c r="I92" s="224">
        <v>45596</v>
      </c>
      <c r="J92" s="225" t="s">
        <v>1833</v>
      </c>
      <c r="K92" s="225" t="s">
        <v>98</v>
      </c>
      <c r="L92" s="225" t="s">
        <v>4</v>
      </c>
      <c r="M92" s="223">
        <v>5</v>
      </c>
      <c r="N92" s="223">
        <v>9</v>
      </c>
      <c r="O92" s="223">
        <v>171</v>
      </c>
      <c r="P92" s="223">
        <v>1</v>
      </c>
      <c r="Q92" s="223">
        <v>37.86</v>
      </c>
      <c r="R92" s="225" t="s">
        <v>14</v>
      </c>
      <c r="S92" s="230">
        <v>5247353</v>
      </c>
      <c r="T92" s="226">
        <v>138598.85999999999</v>
      </c>
      <c r="U92" s="228"/>
      <c r="V92" s="226">
        <v>5247353</v>
      </c>
      <c r="W92" s="226">
        <v>138598.86423666138</v>
      </c>
      <c r="X92" s="228">
        <v>908640</v>
      </c>
      <c r="Y92" s="228">
        <f>Юрист[[#This Row],[Итоговая цена м2 с отделкой]]-Юрист[[#This Row],[Итоговая цена м2 без отделки]]</f>
        <v>24000</v>
      </c>
      <c r="Z92" s="226">
        <v>4338713</v>
      </c>
      <c r="AA92" s="223">
        <v>114598.86423666138</v>
      </c>
      <c r="AB92" s="225" t="s">
        <v>162</v>
      </c>
      <c r="AC92" s="226">
        <v>134187</v>
      </c>
      <c r="AD92" s="225" t="s">
        <v>862</v>
      </c>
      <c r="AE92" s="225" t="s">
        <v>863</v>
      </c>
      <c r="AF92" s="226">
        <v>1055000</v>
      </c>
      <c r="AG92" s="226">
        <v>4192353</v>
      </c>
      <c r="AH92" s="226"/>
      <c r="AI92" s="226"/>
      <c r="AJ92" s="226"/>
      <c r="AK92" s="223" t="s">
        <v>864</v>
      </c>
      <c r="AL92" s="227">
        <v>1.4E-2</v>
      </c>
      <c r="AM92" s="229">
        <v>4.5999999999999999E-2</v>
      </c>
      <c r="AO92" s="223">
        <v>0</v>
      </c>
      <c r="AP92" s="225" t="s">
        <v>1611</v>
      </c>
      <c r="AQ92" s="223">
        <v>79372086897</v>
      </c>
      <c r="AR92" s="225" t="s">
        <v>866</v>
      </c>
      <c r="AS92" s="224">
        <v>31388</v>
      </c>
      <c r="AT92" s="225" t="s">
        <v>1593</v>
      </c>
      <c r="AU92" s="225" t="s">
        <v>899</v>
      </c>
      <c r="AV92" s="225" t="s">
        <v>879</v>
      </c>
      <c r="AW92" s="225" t="s">
        <v>172</v>
      </c>
      <c r="AX92" t="s">
        <v>2168</v>
      </c>
      <c r="AY92" s="224"/>
      <c r="BL92" s="223"/>
    </row>
    <row r="93" spans="1:64" x14ac:dyDescent="0.25">
      <c r="A93" s="223">
        <v>2504</v>
      </c>
      <c r="B93" s="223">
        <v>25</v>
      </c>
      <c r="C93" s="224">
        <v>45593</v>
      </c>
      <c r="D93" s="225" t="s">
        <v>1600</v>
      </c>
      <c r="E93" s="225" t="s">
        <v>859</v>
      </c>
      <c r="F93" s="225" t="s">
        <v>860</v>
      </c>
      <c r="G93" s="223" t="s">
        <v>861</v>
      </c>
      <c r="H93" s="224"/>
      <c r="I93" s="224">
        <v>45596</v>
      </c>
      <c r="J93" s="225" t="s">
        <v>1923</v>
      </c>
      <c r="K93" s="225" t="s">
        <v>98</v>
      </c>
      <c r="L93" s="225" t="s">
        <v>3</v>
      </c>
      <c r="M93" s="223">
        <v>4</v>
      </c>
      <c r="N93" s="223">
        <v>12</v>
      </c>
      <c r="O93" s="223">
        <v>302</v>
      </c>
      <c r="P93" s="223">
        <v>2</v>
      </c>
      <c r="Q93" s="223">
        <v>60.24</v>
      </c>
      <c r="R93" s="225" t="s">
        <v>14</v>
      </c>
      <c r="S93" s="230">
        <v>7156700</v>
      </c>
      <c r="T93" s="226">
        <v>118803.12</v>
      </c>
      <c r="U93" s="228">
        <v>45000</v>
      </c>
      <c r="V93" s="226">
        <v>7201700</v>
      </c>
      <c r="W93" s="226">
        <v>119550.13280212483</v>
      </c>
      <c r="X93" s="228">
        <v>1204800</v>
      </c>
      <c r="Y93" s="228">
        <f>Юрист[[#This Row],[Итоговая цена м2 с отделкой]]-Юрист[[#This Row],[Итоговая цена м2 без отделки]]</f>
        <v>20000</v>
      </c>
      <c r="Z93" s="226">
        <v>5996900</v>
      </c>
      <c r="AA93" s="223">
        <v>99550.132802124834</v>
      </c>
      <c r="AB93" s="225"/>
      <c r="AD93" s="225" t="s">
        <v>862</v>
      </c>
      <c r="AE93" s="225" t="s">
        <v>863</v>
      </c>
      <c r="AF93" s="226">
        <v>2000000</v>
      </c>
      <c r="AG93" s="226">
        <v>5156700</v>
      </c>
      <c r="AH93" s="226"/>
      <c r="AI93" s="226"/>
      <c r="AJ93" s="226"/>
      <c r="AK93" s="223" t="s">
        <v>864</v>
      </c>
      <c r="AL93" s="227">
        <v>1.4E-2</v>
      </c>
      <c r="AM93" s="229">
        <v>4.5999999999999999E-2</v>
      </c>
      <c r="AO93" s="223">
        <v>0</v>
      </c>
      <c r="AP93" s="225" t="s">
        <v>1601</v>
      </c>
      <c r="AQ93" s="223">
        <v>79277855710</v>
      </c>
      <c r="AR93" s="225" t="s">
        <v>866</v>
      </c>
      <c r="AS93" s="224">
        <v>33710</v>
      </c>
      <c r="AT93" s="225" t="s">
        <v>885</v>
      </c>
      <c r="AU93" s="225" t="s">
        <v>899</v>
      </c>
      <c r="AV93" s="225" t="s">
        <v>1292</v>
      </c>
      <c r="AW93" s="225" t="s">
        <v>172</v>
      </c>
      <c r="AX93" t="s">
        <v>2172</v>
      </c>
      <c r="AY93" s="224"/>
      <c r="BL93" s="223"/>
    </row>
    <row r="94" spans="1:64" x14ac:dyDescent="0.25">
      <c r="A94" s="223">
        <v>2505</v>
      </c>
      <c r="B94" s="223">
        <v>26</v>
      </c>
      <c r="C94" s="224">
        <v>45593</v>
      </c>
      <c r="D94" s="225" t="s">
        <v>1602</v>
      </c>
      <c r="E94" s="225" t="s">
        <v>859</v>
      </c>
      <c r="F94" s="225" t="s">
        <v>860</v>
      </c>
      <c r="G94" s="223" t="s">
        <v>861</v>
      </c>
      <c r="H94" s="224"/>
      <c r="I94" s="224">
        <v>45596</v>
      </c>
      <c r="J94" s="225" t="s">
        <v>1899</v>
      </c>
      <c r="K94" s="225" t="s">
        <v>98</v>
      </c>
      <c r="L94" s="225" t="s">
        <v>3</v>
      </c>
      <c r="M94" s="223">
        <v>6</v>
      </c>
      <c r="N94" s="223">
        <v>7</v>
      </c>
      <c r="O94" s="223">
        <v>269</v>
      </c>
      <c r="P94" s="223">
        <v>3</v>
      </c>
      <c r="Q94" s="223">
        <v>80.97</v>
      </c>
      <c r="R94" s="225" t="s">
        <v>12</v>
      </c>
      <c r="S94" s="230">
        <v>7449900</v>
      </c>
      <c r="T94" s="226">
        <v>92008.15</v>
      </c>
      <c r="U94" s="228">
        <v>15000</v>
      </c>
      <c r="V94" s="226">
        <v>7464900</v>
      </c>
      <c r="W94" s="226">
        <v>92193.404964801783</v>
      </c>
      <c r="X94" s="228"/>
      <c r="Y94" s="228">
        <f>Юрист[[#This Row],[Итоговая цена м2 с отделкой]]-Юрист[[#This Row],[Итоговая цена м2 без отделки]]</f>
        <v>0</v>
      </c>
      <c r="Z94" s="226">
        <v>7464900</v>
      </c>
      <c r="AA94" s="223">
        <v>92193.404964801783</v>
      </c>
      <c r="AB94" s="225"/>
      <c r="AD94" s="225" t="s">
        <v>901</v>
      </c>
      <c r="AE94" s="225" t="s">
        <v>902</v>
      </c>
      <c r="AF94" s="226"/>
      <c r="AG94" s="226"/>
      <c r="AH94" s="226"/>
      <c r="AI94" s="226"/>
      <c r="AJ94" s="226"/>
      <c r="AL94" s="227"/>
      <c r="AM94" s="229"/>
      <c r="AO94" s="223">
        <v>0</v>
      </c>
      <c r="AP94" s="225" t="s">
        <v>1603</v>
      </c>
      <c r="AQ94" s="223">
        <v>79260706169</v>
      </c>
      <c r="AR94" s="225" t="s">
        <v>866</v>
      </c>
      <c r="AS94" s="224">
        <v>18268</v>
      </c>
      <c r="AT94" s="225" t="s">
        <v>888</v>
      </c>
      <c r="AU94" s="225" t="s">
        <v>899</v>
      </c>
      <c r="AV94" s="225" t="s">
        <v>902</v>
      </c>
      <c r="AW94" s="225" t="s">
        <v>172</v>
      </c>
      <c r="AX94" t="s">
        <v>2172</v>
      </c>
      <c r="AY94" s="224"/>
      <c r="BL94" s="223"/>
    </row>
    <row r="95" spans="1:64" x14ac:dyDescent="0.25">
      <c r="A95" s="223">
        <v>2503</v>
      </c>
      <c r="B95" s="223">
        <v>24</v>
      </c>
      <c r="C95" s="224">
        <v>45590</v>
      </c>
      <c r="D95" s="225" t="s">
        <v>1598</v>
      </c>
      <c r="E95" s="225" t="s">
        <v>859</v>
      </c>
      <c r="F95" s="225" t="s">
        <v>860</v>
      </c>
      <c r="G95" s="223" t="s">
        <v>861</v>
      </c>
      <c r="H95" s="224"/>
      <c r="I95" s="224">
        <v>45595</v>
      </c>
      <c r="J95" s="225" t="s">
        <v>1753</v>
      </c>
      <c r="K95" s="225" t="s">
        <v>98</v>
      </c>
      <c r="L95" s="225" t="s">
        <v>5</v>
      </c>
      <c r="M95" s="223">
        <v>7</v>
      </c>
      <c r="N95" s="223">
        <v>7</v>
      </c>
      <c r="O95" s="223">
        <v>48</v>
      </c>
      <c r="P95" s="223">
        <v>1</v>
      </c>
      <c r="Q95" s="223">
        <v>42.75</v>
      </c>
      <c r="R95" s="225" t="s">
        <v>12</v>
      </c>
      <c r="S95" s="230">
        <v>4628344</v>
      </c>
      <c r="T95" s="226">
        <v>108265.36</v>
      </c>
      <c r="U95" s="228"/>
      <c r="V95" s="226">
        <v>4628344</v>
      </c>
      <c r="W95" s="226">
        <v>108265.35672514619</v>
      </c>
      <c r="X95" s="228"/>
      <c r="Y95" s="228">
        <f>Юрист[[#This Row],[Итоговая цена м2 с отделкой]]-Юрист[[#This Row],[Итоговая цена м2 без отделки]]</f>
        <v>0</v>
      </c>
      <c r="Z95" s="226">
        <v>4628344</v>
      </c>
      <c r="AA95" s="223">
        <v>108265.35672514619</v>
      </c>
      <c r="AB95" s="225" t="s">
        <v>757</v>
      </c>
      <c r="AC95" s="226">
        <v>94456</v>
      </c>
      <c r="AD95" s="225" t="s">
        <v>862</v>
      </c>
      <c r="AE95" s="225" t="s">
        <v>863</v>
      </c>
      <c r="AF95" s="226">
        <v>931000</v>
      </c>
      <c r="AG95" s="226">
        <v>3697344</v>
      </c>
      <c r="AH95" s="226"/>
      <c r="AI95" s="226"/>
      <c r="AJ95" s="226"/>
      <c r="AK95" s="223" t="s">
        <v>864</v>
      </c>
      <c r="AL95" s="227">
        <v>1.4E-2</v>
      </c>
      <c r="AM95" s="229">
        <v>4.5999999999999999E-2</v>
      </c>
      <c r="AO95" s="223">
        <v>0</v>
      </c>
      <c r="AP95" s="225" t="s">
        <v>1599</v>
      </c>
      <c r="AQ95" s="223">
        <v>79228571888</v>
      </c>
      <c r="AR95" s="225" t="s">
        <v>882</v>
      </c>
      <c r="AS95" s="224">
        <v>31511</v>
      </c>
      <c r="AT95" s="225" t="s">
        <v>1498</v>
      </c>
      <c r="AU95" s="225" t="s">
        <v>868</v>
      </c>
      <c r="AV95" s="225" t="s">
        <v>879</v>
      </c>
      <c r="AW95" s="225" t="s">
        <v>172</v>
      </c>
      <c r="AX95" t="s">
        <v>2168</v>
      </c>
      <c r="AY95" s="224"/>
      <c r="BL95" s="223"/>
    </row>
    <row r="96" spans="1:64" x14ac:dyDescent="0.25">
      <c r="A96" s="223">
        <v>2498</v>
      </c>
      <c r="B96" s="223">
        <v>19</v>
      </c>
      <c r="C96" s="224">
        <v>45589</v>
      </c>
      <c r="D96" s="225" t="s">
        <v>1587</v>
      </c>
      <c r="E96" s="225" t="s">
        <v>859</v>
      </c>
      <c r="F96" s="225" t="s">
        <v>860</v>
      </c>
      <c r="G96" s="223" t="s">
        <v>861</v>
      </c>
      <c r="H96" s="224"/>
      <c r="I96" s="224">
        <v>45594</v>
      </c>
      <c r="J96" s="225" t="s">
        <v>1770</v>
      </c>
      <c r="K96" s="225" t="s">
        <v>98</v>
      </c>
      <c r="L96" s="225" t="s">
        <v>5</v>
      </c>
      <c r="M96" s="223">
        <v>1</v>
      </c>
      <c r="N96" s="223">
        <v>12</v>
      </c>
      <c r="O96" s="223">
        <v>77</v>
      </c>
      <c r="P96" s="223">
        <v>1</v>
      </c>
      <c r="Q96" s="223">
        <v>34.39</v>
      </c>
      <c r="R96" s="225" t="s">
        <v>780</v>
      </c>
      <c r="S96" s="230">
        <v>4479908</v>
      </c>
      <c r="T96" s="226">
        <v>130267.75</v>
      </c>
      <c r="U96" s="228"/>
      <c r="V96" s="226">
        <v>4479908</v>
      </c>
      <c r="W96" s="226">
        <v>130267.75225356208</v>
      </c>
      <c r="X96" s="228">
        <v>275120</v>
      </c>
      <c r="Y96" s="228">
        <f>Юрист[[#This Row],[Итоговая цена м2 с отделкой]]-Юрист[[#This Row],[Итоговая цена м2 без отделки]]</f>
        <v>8000</v>
      </c>
      <c r="Z96" s="226">
        <v>4204788</v>
      </c>
      <c r="AA96" s="223">
        <v>122267.75225356208</v>
      </c>
      <c r="AB96" s="225" t="s">
        <v>757</v>
      </c>
      <c r="AC96" s="226">
        <v>85812</v>
      </c>
      <c r="AD96" s="225" t="s">
        <v>862</v>
      </c>
      <c r="AE96" s="225" t="s">
        <v>863</v>
      </c>
      <c r="AF96" s="226">
        <v>901000</v>
      </c>
      <c r="AG96" s="226">
        <v>3578908</v>
      </c>
      <c r="AH96" s="226"/>
      <c r="AI96" s="226"/>
      <c r="AJ96" s="226"/>
      <c r="AK96" s="223" t="s">
        <v>864</v>
      </c>
      <c r="AL96" s="227">
        <v>1.4E-2</v>
      </c>
      <c r="AM96" s="229">
        <v>4.5999999999999999E-2</v>
      </c>
      <c r="AO96" s="223">
        <v>0</v>
      </c>
      <c r="AP96" s="225" t="s">
        <v>1588</v>
      </c>
      <c r="AQ96" s="223">
        <v>79379834176</v>
      </c>
      <c r="AR96" s="225" t="s">
        <v>866</v>
      </c>
      <c r="AS96" s="224">
        <v>29076</v>
      </c>
      <c r="AT96" s="225" t="s">
        <v>867</v>
      </c>
      <c r="AU96" s="225" t="s">
        <v>899</v>
      </c>
      <c r="AV96" s="225" t="s">
        <v>1292</v>
      </c>
      <c r="AW96" s="225" t="s">
        <v>172</v>
      </c>
      <c r="AX96" t="s">
        <v>2168</v>
      </c>
      <c r="AY96" s="224"/>
      <c r="BL96" s="223"/>
    </row>
    <row r="97" spans="1:64" x14ac:dyDescent="0.25">
      <c r="A97" s="223">
        <v>2497</v>
      </c>
      <c r="B97" s="223">
        <v>18</v>
      </c>
      <c r="C97" s="224">
        <v>45589</v>
      </c>
      <c r="D97" s="225" t="s">
        <v>1585</v>
      </c>
      <c r="E97" s="225" t="s">
        <v>859</v>
      </c>
      <c r="F97" s="225" t="s">
        <v>860</v>
      </c>
      <c r="G97" s="223" t="s">
        <v>926</v>
      </c>
      <c r="H97" s="224"/>
      <c r="I97" s="224">
        <v>45594</v>
      </c>
      <c r="J97" s="225" t="s">
        <v>1764</v>
      </c>
      <c r="K97" s="225" t="s">
        <v>98</v>
      </c>
      <c r="L97" s="225" t="s">
        <v>5</v>
      </c>
      <c r="M97" s="223">
        <v>4</v>
      </c>
      <c r="N97" s="223">
        <v>10</v>
      </c>
      <c r="O97" s="223">
        <v>66</v>
      </c>
      <c r="P97" s="223">
        <v>2</v>
      </c>
      <c r="Q97" s="223">
        <v>59.09</v>
      </c>
      <c r="R97" s="225" t="s">
        <v>12</v>
      </c>
      <c r="S97" s="230">
        <v>5673900</v>
      </c>
      <c r="T97" s="226">
        <v>96021.32</v>
      </c>
      <c r="U97" s="228">
        <v>15000</v>
      </c>
      <c r="V97" s="226">
        <v>5688900</v>
      </c>
      <c r="W97" s="226">
        <v>96275.173464207139</v>
      </c>
      <c r="X97" s="228"/>
      <c r="Y97" s="228">
        <f>Юрист[[#This Row],[Итоговая цена м2 с отделкой]]-Юрист[[#This Row],[Итоговая цена м2 без отделки]]</f>
        <v>0</v>
      </c>
      <c r="Z97" s="226">
        <v>5688900</v>
      </c>
      <c r="AA97" s="223">
        <v>96275.173464207139</v>
      </c>
      <c r="AB97" s="225" t="s">
        <v>767</v>
      </c>
      <c r="AC97" s="226">
        <v>116100</v>
      </c>
      <c r="AD97" s="225" t="s">
        <v>901</v>
      </c>
      <c r="AE97" s="225" t="s">
        <v>902</v>
      </c>
      <c r="AF97" s="226"/>
      <c r="AG97" s="226"/>
      <c r="AH97" s="226"/>
      <c r="AI97" s="226"/>
      <c r="AJ97" s="226"/>
      <c r="AL97" s="227"/>
      <c r="AM97" s="229"/>
      <c r="AO97" s="223">
        <v>0</v>
      </c>
      <c r="AP97" s="225" t="s">
        <v>1586</v>
      </c>
      <c r="AQ97" s="223">
        <v>79608256860</v>
      </c>
      <c r="AR97" s="225" t="s">
        <v>882</v>
      </c>
      <c r="AS97" s="224">
        <v>37884</v>
      </c>
      <c r="AT97" s="225" t="s">
        <v>903</v>
      </c>
      <c r="AU97" s="225" t="s">
        <v>868</v>
      </c>
      <c r="AV97" s="225" t="s">
        <v>902</v>
      </c>
      <c r="AW97" s="225" t="s">
        <v>172</v>
      </c>
      <c r="AX97" t="s">
        <v>2172</v>
      </c>
      <c r="AY97" s="224"/>
      <c r="BL97" s="223"/>
    </row>
    <row r="98" spans="1:64" x14ac:dyDescent="0.25">
      <c r="A98" s="223">
        <v>2496</v>
      </c>
      <c r="B98" s="223">
        <v>17</v>
      </c>
      <c r="C98" s="224">
        <v>45589</v>
      </c>
      <c r="D98" s="225" t="s">
        <v>1583</v>
      </c>
      <c r="E98" s="225" t="s">
        <v>859</v>
      </c>
      <c r="F98" s="225" t="s">
        <v>860</v>
      </c>
      <c r="G98" s="223" t="s">
        <v>861</v>
      </c>
      <c r="H98" s="224"/>
      <c r="I98" s="224">
        <v>45594</v>
      </c>
      <c r="J98" s="225" t="s">
        <v>1905</v>
      </c>
      <c r="K98" s="225" t="s">
        <v>98</v>
      </c>
      <c r="L98" s="225" t="s">
        <v>3</v>
      </c>
      <c r="M98" s="223">
        <v>6</v>
      </c>
      <c r="N98" s="223">
        <v>8</v>
      </c>
      <c r="O98" s="223">
        <v>276</v>
      </c>
      <c r="P98" s="223">
        <v>3</v>
      </c>
      <c r="Q98" s="223">
        <v>80.97</v>
      </c>
      <c r="R98" s="225" t="s">
        <v>12</v>
      </c>
      <c r="S98" s="230">
        <v>7603733</v>
      </c>
      <c r="T98" s="226">
        <v>93908.03</v>
      </c>
      <c r="U98" s="228"/>
      <c r="V98" s="226">
        <v>7603733</v>
      </c>
      <c r="W98" s="226">
        <v>93908.027664567126</v>
      </c>
      <c r="X98" s="228"/>
      <c r="Y98" s="228">
        <f>Юрист[[#This Row],[Итоговая цена м2 с отделкой]]-Юрист[[#This Row],[Итоговая цена м2 без отделки]]</f>
        <v>0</v>
      </c>
      <c r="Z98" s="226">
        <v>7603733</v>
      </c>
      <c r="AA98" s="223">
        <v>93908.027664567126</v>
      </c>
      <c r="AB98" s="225" t="s">
        <v>167</v>
      </c>
      <c r="AC98" s="226">
        <v>235167</v>
      </c>
      <c r="AD98" s="225" t="s">
        <v>862</v>
      </c>
      <c r="AE98" s="225" t="s">
        <v>863</v>
      </c>
      <c r="AF98" s="226">
        <v>973619.22</v>
      </c>
      <c r="AG98" s="226">
        <v>5999733</v>
      </c>
      <c r="AH98" s="226">
        <v>630380.78</v>
      </c>
      <c r="AI98" s="226"/>
      <c r="AJ98" s="226"/>
      <c r="AK98" s="223" t="s">
        <v>864</v>
      </c>
      <c r="AL98" s="227">
        <v>1.4E-2</v>
      </c>
      <c r="AM98" s="229">
        <v>4.5999999999999999E-2</v>
      </c>
      <c r="AO98" s="223">
        <v>0</v>
      </c>
      <c r="AP98" s="225" t="s">
        <v>1584</v>
      </c>
      <c r="AQ98" s="223">
        <v>79033033336</v>
      </c>
      <c r="AR98" s="225" t="s">
        <v>882</v>
      </c>
      <c r="AS98" s="224">
        <v>34443</v>
      </c>
      <c r="AT98" s="225" t="s">
        <v>954</v>
      </c>
      <c r="AU98" s="225" t="s">
        <v>899</v>
      </c>
      <c r="AV98" s="225" t="s">
        <v>879</v>
      </c>
      <c r="AW98" s="225" t="s">
        <v>172</v>
      </c>
      <c r="AX98" t="s">
        <v>2172</v>
      </c>
      <c r="AY98" s="224"/>
      <c r="BL98" s="223"/>
    </row>
    <row r="99" spans="1:64" x14ac:dyDescent="0.25">
      <c r="A99" s="223">
        <v>2499</v>
      </c>
      <c r="B99" s="223">
        <v>20</v>
      </c>
      <c r="C99" s="224">
        <v>45589</v>
      </c>
      <c r="D99" s="225" t="s">
        <v>1589</v>
      </c>
      <c r="E99" s="225" t="s">
        <v>859</v>
      </c>
      <c r="F99" s="225" t="s">
        <v>860</v>
      </c>
      <c r="G99" s="223" t="s">
        <v>861</v>
      </c>
      <c r="H99" s="224"/>
      <c r="I99" s="224">
        <v>45594</v>
      </c>
      <c r="J99" s="225" t="s">
        <v>1725</v>
      </c>
      <c r="K99" s="225" t="s">
        <v>98</v>
      </c>
      <c r="L99" s="225" t="s">
        <v>5</v>
      </c>
      <c r="M99" s="223">
        <v>3</v>
      </c>
      <c r="N99" s="223">
        <v>2</v>
      </c>
      <c r="O99" s="223">
        <v>9</v>
      </c>
      <c r="P99" s="223">
        <v>1</v>
      </c>
      <c r="Q99" s="223">
        <v>37.729999999999997</v>
      </c>
      <c r="R99" s="225" t="s">
        <v>12</v>
      </c>
      <c r="S99" s="230">
        <v>4602400</v>
      </c>
      <c r="T99" s="226">
        <v>121982.51</v>
      </c>
      <c r="U99" s="228"/>
      <c r="V99" s="226">
        <v>4602400</v>
      </c>
      <c r="W99" s="226">
        <v>121982.50728862974</v>
      </c>
      <c r="X99" s="228"/>
      <c r="Y99" s="228">
        <f>Юрист[[#This Row],[Итоговая цена м2 с отделкой]]-Юрист[[#This Row],[Итоговая цена м2 без отделки]]</f>
        <v>0</v>
      </c>
      <c r="Z99" s="226">
        <v>4602400</v>
      </c>
      <c r="AA99" s="223">
        <v>121982.50728862974</v>
      </c>
      <c r="AB99" s="225"/>
      <c r="AD99" s="225" t="s">
        <v>862</v>
      </c>
      <c r="AE99" s="225" t="s">
        <v>863</v>
      </c>
      <c r="AF99" s="226">
        <v>294719.21999999997</v>
      </c>
      <c r="AG99" s="226">
        <v>3677300</v>
      </c>
      <c r="AH99" s="226">
        <v>630380.78</v>
      </c>
      <c r="AI99" s="226"/>
      <c r="AJ99" s="226"/>
      <c r="AK99" s="223" t="s">
        <v>864</v>
      </c>
      <c r="AL99" s="227">
        <v>1.4E-2</v>
      </c>
      <c r="AM99" s="229">
        <v>4.5999999999999999E-2</v>
      </c>
      <c r="AO99" s="223">
        <v>0</v>
      </c>
      <c r="AP99" s="225" t="s">
        <v>1590</v>
      </c>
      <c r="AQ99" s="223">
        <v>79372001140</v>
      </c>
      <c r="AR99" s="225" t="s">
        <v>866</v>
      </c>
      <c r="AS99" s="224">
        <v>36514</v>
      </c>
      <c r="AT99" s="225" t="s">
        <v>1218</v>
      </c>
      <c r="AU99" s="225" t="s">
        <v>899</v>
      </c>
      <c r="AV99" s="225" t="s">
        <v>879</v>
      </c>
      <c r="AW99" s="225" t="s">
        <v>172</v>
      </c>
      <c r="AX99" t="s">
        <v>2172</v>
      </c>
      <c r="AY99" s="224"/>
      <c r="BL99" s="223"/>
    </row>
    <row r="100" spans="1:64" x14ac:dyDescent="0.25">
      <c r="A100" s="223">
        <v>2502</v>
      </c>
      <c r="B100" s="223">
        <v>23</v>
      </c>
      <c r="C100" s="224">
        <v>45589</v>
      </c>
      <c r="D100" s="225" t="s">
        <v>1596</v>
      </c>
      <c r="E100" s="225" t="s">
        <v>859</v>
      </c>
      <c r="F100" s="225" t="s">
        <v>860</v>
      </c>
      <c r="G100" s="223" t="s">
        <v>861</v>
      </c>
      <c r="H100" s="224"/>
      <c r="I100" s="224">
        <v>45594</v>
      </c>
      <c r="J100" s="225" t="s">
        <v>1949</v>
      </c>
      <c r="K100" s="225" t="s">
        <v>98</v>
      </c>
      <c r="L100" s="225" t="s">
        <v>3</v>
      </c>
      <c r="M100" s="223">
        <v>5</v>
      </c>
      <c r="N100" s="223">
        <v>17</v>
      </c>
      <c r="O100" s="223">
        <v>338</v>
      </c>
      <c r="P100" s="223">
        <v>1</v>
      </c>
      <c r="Q100" s="223">
        <v>37.81</v>
      </c>
      <c r="R100" s="225" t="s">
        <v>780</v>
      </c>
      <c r="S100" s="230">
        <v>4626926</v>
      </c>
      <c r="T100" s="226">
        <v>122373.08</v>
      </c>
      <c r="U100" s="228"/>
      <c r="V100" s="226">
        <v>4626926</v>
      </c>
      <c r="W100" s="226">
        <v>122373.07590584501</v>
      </c>
      <c r="X100" s="228">
        <v>302480</v>
      </c>
      <c r="Y100" s="228">
        <f>Юрист[[#This Row],[Итоговая цена м2 с отделкой]]-Юрист[[#This Row],[Итоговая цена м2 без отделки]]</f>
        <v>8000</v>
      </c>
      <c r="Z100" s="226">
        <v>4324446</v>
      </c>
      <c r="AA100" s="223">
        <v>114373.07590584501</v>
      </c>
      <c r="AB100" s="225" t="s">
        <v>757</v>
      </c>
      <c r="AC100" s="226">
        <v>88254</v>
      </c>
      <c r="AD100" s="225" t="s">
        <v>862</v>
      </c>
      <c r="AE100" s="225" t="s">
        <v>863</v>
      </c>
      <c r="AF100" s="226">
        <v>96988.26</v>
      </c>
      <c r="AG100" s="226">
        <v>3696913</v>
      </c>
      <c r="AH100" s="226">
        <v>833024.74</v>
      </c>
      <c r="AI100" s="226"/>
      <c r="AJ100" s="226"/>
      <c r="AK100" s="223" t="s">
        <v>864</v>
      </c>
      <c r="AL100" s="227">
        <v>1.4E-2</v>
      </c>
      <c r="AM100" s="229">
        <v>4.5999999999999999E-2</v>
      </c>
      <c r="AO100" s="223">
        <v>0</v>
      </c>
      <c r="AP100" s="225" t="s">
        <v>1597</v>
      </c>
      <c r="AQ100" s="223">
        <v>79226285445</v>
      </c>
      <c r="AR100" s="225" t="s">
        <v>866</v>
      </c>
      <c r="AS100" s="224">
        <v>29918</v>
      </c>
      <c r="AT100" s="225" t="s">
        <v>1173</v>
      </c>
      <c r="AU100" s="225" t="s">
        <v>868</v>
      </c>
      <c r="AV100" s="225" t="s">
        <v>879</v>
      </c>
      <c r="AW100" s="225" t="s">
        <v>172</v>
      </c>
      <c r="AX100" t="s">
        <v>2168</v>
      </c>
      <c r="AY100" s="224"/>
      <c r="BL100" s="223"/>
    </row>
    <row r="101" spans="1:64" x14ac:dyDescent="0.25">
      <c r="A101" s="223">
        <v>2501</v>
      </c>
      <c r="B101" s="223">
        <v>22</v>
      </c>
      <c r="C101" s="224">
        <v>45589</v>
      </c>
      <c r="D101" s="225" t="s">
        <v>1594</v>
      </c>
      <c r="E101" s="225" t="s">
        <v>859</v>
      </c>
      <c r="F101" s="225" t="s">
        <v>860</v>
      </c>
      <c r="G101" s="223" t="s">
        <v>861</v>
      </c>
      <c r="H101" s="224"/>
      <c r="I101" s="224">
        <v>45594</v>
      </c>
      <c r="J101" s="225" t="s">
        <v>1931</v>
      </c>
      <c r="K101" s="225" t="s">
        <v>98</v>
      </c>
      <c r="L101" s="225" t="s">
        <v>3</v>
      </c>
      <c r="M101" s="223">
        <v>1</v>
      </c>
      <c r="N101" s="223">
        <v>14</v>
      </c>
      <c r="O101" s="223">
        <v>313</v>
      </c>
      <c r="P101" s="223">
        <v>2</v>
      </c>
      <c r="Q101" s="223">
        <v>73.7</v>
      </c>
      <c r="R101" s="225" t="s">
        <v>780</v>
      </c>
      <c r="S101" s="230">
        <v>7687500</v>
      </c>
      <c r="T101" s="226">
        <v>104308.01</v>
      </c>
      <c r="U101" s="228"/>
      <c r="V101" s="226">
        <v>7687500</v>
      </c>
      <c r="W101" s="226">
        <v>104308.00542740841</v>
      </c>
      <c r="X101" s="228">
        <v>589600</v>
      </c>
      <c r="Y101" s="228">
        <f>Юрист[[#This Row],[Итоговая цена м2 с отделкой]]-Юрист[[#This Row],[Итоговая цена м2 без отделки]]</f>
        <v>8000</v>
      </c>
      <c r="Z101" s="226">
        <v>7097900</v>
      </c>
      <c r="AA101" s="223">
        <v>96308.00542740841</v>
      </c>
      <c r="AB101" s="225"/>
      <c r="AD101" s="225" t="s">
        <v>862</v>
      </c>
      <c r="AE101" s="225" t="s">
        <v>863</v>
      </c>
      <c r="AF101" s="226">
        <v>4619619.22</v>
      </c>
      <c r="AG101" s="226">
        <v>2437500</v>
      </c>
      <c r="AH101" s="226">
        <v>630380.78</v>
      </c>
      <c r="AI101" s="226"/>
      <c r="AJ101" s="226"/>
      <c r="AK101" s="223" t="s">
        <v>864</v>
      </c>
      <c r="AL101" s="227">
        <v>1.4E-2</v>
      </c>
      <c r="AM101" s="229">
        <v>4.5999999999999999E-2</v>
      </c>
      <c r="AO101" s="223">
        <v>0</v>
      </c>
      <c r="AP101" s="225" t="s">
        <v>1595</v>
      </c>
      <c r="AQ101" s="223">
        <v>79372005740</v>
      </c>
      <c r="AR101" s="225" t="s">
        <v>866</v>
      </c>
      <c r="AS101" s="224">
        <v>34741</v>
      </c>
      <c r="AT101" s="225" t="s">
        <v>878</v>
      </c>
      <c r="AU101" s="225" t="s">
        <v>899</v>
      </c>
      <c r="AV101" s="225" t="s">
        <v>879</v>
      </c>
      <c r="AW101" s="225" t="s">
        <v>172</v>
      </c>
      <c r="AX101" t="s">
        <v>2172</v>
      </c>
      <c r="AY101" s="224"/>
      <c r="BL101" s="223"/>
    </row>
    <row r="102" spans="1:64" x14ac:dyDescent="0.25">
      <c r="A102" s="223">
        <v>2500</v>
      </c>
      <c r="B102" s="223">
        <v>21</v>
      </c>
      <c r="C102" s="224">
        <v>45589</v>
      </c>
      <c r="D102" s="225" t="s">
        <v>1591</v>
      </c>
      <c r="E102" s="225" t="s">
        <v>859</v>
      </c>
      <c r="F102" s="225" t="s">
        <v>860</v>
      </c>
      <c r="G102" s="223" t="s">
        <v>861</v>
      </c>
      <c r="H102" s="224"/>
      <c r="I102" s="224">
        <v>45594</v>
      </c>
      <c r="J102" s="225" t="s">
        <v>1836</v>
      </c>
      <c r="K102" s="225" t="s">
        <v>98</v>
      </c>
      <c r="L102" s="225" t="s">
        <v>4</v>
      </c>
      <c r="M102" s="223">
        <v>2</v>
      </c>
      <c r="N102" s="223">
        <v>10</v>
      </c>
      <c r="O102" s="223">
        <v>175</v>
      </c>
      <c r="P102" s="223">
        <v>0</v>
      </c>
      <c r="Q102" s="223">
        <v>24.28</v>
      </c>
      <c r="R102" s="225" t="s">
        <v>14</v>
      </c>
      <c r="S102" s="230">
        <v>3686020</v>
      </c>
      <c r="T102" s="226">
        <v>151813.01</v>
      </c>
      <c r="U102" s="228"/>
      <c r="V102" s="226">
        <v>3686020</v>
      </c>
      <c r="W102" s="226">
        <v>151813.01482701811</v>
      </c>
      <c r="X102" s="228">
        <v>582720</v>
      </c>
      <c r="Y102" s="228">
        <f>Юрист[[#This Row],[Итоговая цена м2 с отделкой]]-Юрист[[#This Row],[Итоговая цена м2 без отделки]]</f>
        <v>24000</v>
      </c>
      <c r="Z102" s="226">
        <v>3103300</v>
      </c>
      <c r="AA102" s="223">
        <v>127813.01482701811</v>
      </c>
      <c r="AB102" s="225" t="s">
        <v>1011</v>
      </c>
      <c r="AC102" s="226">
        <v>50000</v>
      </c>
      <c r="AD102" s="225" t="s">
        <v>862</v>
      </c>
      <c r="AE102" s="225" t="s">
        <v>863</v>
      </c>
      <c r="AF102" s="226">
        <v>110619.22</v>
      </c>
      <c r="AG102" s="226">
        <v>2945020</v>
      </c>
      <c r="AH102" s="226">
        <v>630380.78</v>
      </c>
      <c r="AI102" s="226"/>
      <c r="AJ102" s="226"/>
      <c r="AK102" s="223" t="s">
        <v>864</v>
      </c>
      <c r="AL102" s="227">
        <v>1.4E-2</v>
      </c>
      <c r="AM102" s="229">
        <v>4.5999999999999999E-2</v>
      </c>
      <c r="AO102" s="223">
        <v>0</v>
      </c>
      <c r="AP102" s="225" t="s">
        <v>1592</v>
      </c>
      <c r="AQ102" s="223">
        <v>79061579658</v>
      </c>
      <c r="AR102" s="225" t="s">
        <v>882</v>
      </c>
      <c r="AS102" s="224">
        <v>29540</v>
      </c>
      <c r="AT102" s="225" t="s">
        <v>1593</v>
      </c>
      <c r="AU102" s="225" t="s">
        <v>997</v>
      </c>
      <c r="AV102" s="225" t="s">
        <v>1292</v>
      </c>
      <c r="AW102" s="225" t="s">
        <v>172</v>
      </c>
      <c r="AX102" t="s">
        <v>2168</v>
      </c>
      <c r="AY102" s="224"/>
      <c r="BL102" s="223"/>
    </row>
    <row r="103" spans="1:64" x14ac:dyDescent="0.25">
      <c r="A103" s="223">
        <v>2492</v>
      </c>
      <c r="B103" s="223">
        <v>13</v>
      </c>
      <c r="C103" s="224">
        <v>45588</v>
      </c>
      <c r="D103" s="225" t="s">
        <v>1575</v>
      </c>
      <c r="E103" s="225" t="s">
        <v>859</v>
      </c>
      <c r="F103" s="225" t="s">
        <v>860</v>
      </c>
      <c r="G103" s="223" t="s">
        <v>861</v>
      </c>
      <c r="H103" s="224"/>
      <c r="I103" s="224">
        <v>45593</v>
      </c>
      <c r="J103" s="225" t="s">
        <v>1793</v>
      </c>
      <c r="K103" s="225" t="s">
        <v>98</v>
      </c>
      <c r="L103" s="225" t="s">
        <v>5</v>
      </c>
      <c r="M103" s="223">
        <v>7</v>
      </c>
      <c r="N103" s="223">
        <v>16</v>
      </c>
      <c r="O103" s="223">
        <v>111</v>
      </c>
      <c r="P103" s="223">
        <v>1</v>
      </c>
      <c r="Q103" s="223">
        <v>42.75</v>
      </c>
      <c r="R103" s="225" t="s">
        <v>780</v>
      </c>
      <c r="S103" s="230">
        <v>4970344</v>
      </c>
      <c r="T103" s="226">
        <v>116265.36</v>
      </c>
      <c r="U103" s="228"/>
      <c r="V103" s="226">
        <v>4970344</v>
      </c>
      <c r="W103" s="226">
        <v>116265.35672514619</v>
      </c>
      <c r="X103" s="228">
        <v>342000</v>
      </c>
      <c r="Y103" s="228">
        <f>Юрист[[#This Row],[Итоговая цена м2 с отделкой]]-Юрист[[#This Row],[Итоговая цена м2 без отделки]]</f>
        <v>8000</v>
      </c>
      <c r="Z103" s="226">
        <v>4628344</v>
      </c>
      <c r="AA103" s="223">
        <v>108265.35672514619</v>
      </c>
      <c r="AB103" s="225" t="s">
        <v>757</v>
      </c>
      <c r="AC103" s="226">
        <v>94456</v>
      </c>
      <c r="AD103" s="225" t="s">
        <v>862</v>
      </c>
      <c r="AE103" s="225" t="s">
        <v>863</v>
      </c>
      <c r="AF103" s="226">
        <v>369619.22</v>
      </c>
      <c r="AG103" s="226">
        <v>3970344</v>
      </c>
      <c r="AH103" s="226">
        <v>630380.78</v>
      </c>
      <c r="AI103" s="226"/>
      <c r="AJ103" s="226"/>
      <c r="AK103" s="223" t="s">
        <v>864</v>
      </c>
      <c r="AL103" s="227">
        <v>1.4E-2</v>
      </c>
      <c r="AM103" s="229">
        <v>4.5999999999999999E-2</v>
      </c>
      <c r="AO103" s="223">
        <v>0</v>
      </c>
      <c r="AP103" s="225" t="s">
        <v>1576</v>
      </c>
      <c r="AQ103" s="223">
        <v>79033091957</v>
      </c>
      <c r="AR103" s="225" t="s">
        <v>866</v>
      </c>
      <c r="AS103" s="224">
        <v>36722</v>
      </c>
      <c r="AT103" s="225" t="s">
        <v>970</v>
      </c>
      <c r="AU103" s="225" t="s">
        <v>899</v>
      </c>
      <c r="AV103" s="225" t="s">
        <v>879</v>
      </c>
      <c r="AW103" s="225" t="s">
        <v>172</v>
      </c>
      <c r="AX103" t="s">
        <v>2172</v>
      </c>
      <c r="AY103" s="224"/>
      <c r="BL103" s="223"/>
    </row>
    <row r="104" spans="1:64" x14ac:dyDescent="0.25">
      <c r="A104" s="223">
        <v>2491</v>
      </c>
      <c r="B104" s="223">
        <v>12</v>
      </c>
      <c r="C104" s="224">
        <v>45588</v>
      </c>
      <c r="D104" s="225" t="s">
        <v>1573</v>
      </c>
      <c r="E104" s="225" t="s">
        <v>859</v>
      </c>
      <c r="F104" s="225" t="s">
        <v>860</v>
      </c>
      <c r="G104" s="223" t="s">
        <v>861</v>
      </c>
      <c r="H104" s="224"/>
      <c r="I104" s="224">
        <v>45593</v>
      </c>
      <c r="J104" s="225" t="s">
        <v>2093</v>
      </c>
      <c r="K104" s="225" t="s">
        <v>98</v>
      </c>
      <c r="L104" s="225" t="s">
        <v>2</v>
      </c>
      <c r="M104" s="223">
        <v>2</v>
      </c>
      <c r="N104" s="223">
        <v>21</v>
      </c>
      <c r="O104" s="223">
        <v>550</v>
      </c>
      <c r="P104" s="223">
        <v>1</v>
      </c>
      <c r="Q104" s="223">
        <v>43.21</v>
      </c>
      <c r="R104" s="225" t="s">
        <v>12</v>
      </c>
      <c r="S104" s="230">
        <v>5055918</v>
      </c>
      <c r="T104" s="226">
        <v>117008.05</v>
      </c>
      <c r="U104" s="228"/>
      <c r="V104" s="226">
        <v>5055918</v>
      </c>
      <c r="W104" s="226">
        <v>117008.05369127517</v>
      </c>
      <c r="X104" s="228"/>
      <c r="Y104" s="228">
        <f>Юрист[[#This Row],[Итоговая цена м2 с отделкой]]-Юрист[[#This Row],[Итоговая цена м2 без отделки]]</f>
        <v>0</v>
      </c>
      <c r="Z104" s="226">
        <v>5055918</v>
      </c>
      <c r="AA104" s="223">
        <v>117008.05369127517</v>
      </c>
      <c r="AB104" s="225" t="s">
        <v>757</v>
      </c>
      <c r="AC104" s="226">
        <v>103182</v>
      </c>
      <c r="AD104" s="225" t="s">
        <v>862</v>
      </c>
      <c r="AE104" s="225" t="s">
        <v>1551</v>
      </c>
      <c r="AF104" s="226">
        <v>1521832</v>
      </c>
      <c r="AG104" s="226">
        <v>3534086</v>
      </c>
      <c r="AH104" s="226"/>
      <c r="AI104" s="226"/>
      <c r="AJ104" s="226"/>
      <c r="AK104" s="223" t="s">
        <v>864</v>
      </c>
      <c r="AL104" s="227"/>
      <c r="AM104" s="229">
        <v>0.06</v>
      </c>
      <c r="AO104" s="223">
        <v>0</v>
      </c>
      <c r="AP104" s="225" t="s">
        <v>1574</v>
      </c>
      <c r="AQ104" s="223">
        <v>79277251202</v>
      </c>
      <c r="AR104" s="225" t="s">
        <v>866</v>
      </c>
      <c r="AS104" s="224">
        <v>33409</v>
      </c>
      <c r="AT104" s="225" t="s">
        <v>1218</v>
      </c>
      <c r="AU104" s="225" t="s">
        <v>899</v>
      </c>
      <c r="AV104" s="225" t="s">
        <v>1292</v>
      </c>
      <c r="AW104" s="225" t="s">
        <v>172</v>
      </c>
      <c r="AX104" t="s">
        <v>2172</v>
      </c>
      <c r="AY104" s="224"/>
      <c r="BL104" s="223"/>
    </row>
    <row r="105" spans="1:64" x14ac:dyDescent="0.25">
      <c r="A105" s="223">
        <v>2490</v>
      </c>
      <c r="B105" s="223">
        <v>11</v>
      </c>
      <c r="C105" s="224">
        <v>45588</v>
      </c>
      <c r="D105" s="225" t="s">
        <v>1571</v>
      </c>
      <c r="E105" s="225" t="s">
        <v>859</v>
      </c>
      <c r="F105" s="225" t="s">
        <v>860</v>
      </c>
      <c r="G105" s="223" t="s">
        <v>861</v>
      </c>
      <c r="H105" s="224"/>
      <c r="I105" s="224">
        <v>45593</v>
      </c>
      <c r="J105" s="225" t="s">
        <v>1779</v>
      </c>
      <c r="K105" s="225" t="s">
        <v>98</v>
      </c>
      <c r="L105" s="225" t="s">
        <v>5</v>
      </c>
      <c r="M105" s="223">
        <v>7</v>
      </c>
      <c r="N105" s="223">
        <v>13</v>
      </c>
      <c r="O105" s="223">
        <v>90</v>
      </c>
      <c r="P105" s="223">
        <v>1</v>
      </c>
      <c r="Q105" s="223">
        <v>42.75</v>
      </c>
      <c r="R105" s="225" t="s">
        <v>780</v>
      </c>
      <c r="S105" s="230">
        <v>5022050</v>
      </c>
      <c r="T105" s="226">
        <v>117474.85</v>
      </c>
      <c r="U105" s="228"/>
      <c r="V105" s="226">
        <v>5022050</v>
      </c>
      <c r="W105" s="226">
        <v>117474.85380116959</v>
      </c>
      <c r="X105" s="228">
        <v>299250</v>
      </c>
      <c r="Y105" s="228">
        <f>Юрист[[#This Row],[Итоговая цена м2 с отделкой]]-Юрист[[#This Row],[Итоговая цена м2 без отделки]]</f>
        <v>7000</v>
      </c>
      <c r="Z105" s="226">
        <v>4722800</v>
      </c>
      <c r="AA105" s="223">
        <v>110474.85380116959</v>
      </c>
      <c r="AB105" s="225"/>
      <c r="AD105" s="225" t="s">
        <v>862</v>
      </c>
      <c r="AE105" s="225" t="s">
        <v>863</v>
      </c>
      <c r="AF105" s="226">
        <v>1100000</v>
      </c>
      <c r="AG105" s="226">
        <v>3922050</v>
      </c>
      <c r="AH105" s="226"/>
      <c r="AI105" s="226"/>
      <c r="AJ105" s="226"/>
      <c r="AK105" s="223" t="s">
        <v>864</v>
      </c>
      <c r="AL105" s="227">
        <v>1.4E-2</v>
      </c>
      <c r="AM105" s="229">
        <v>4.5999999999999999E-2</v>
      </c>
      <c r="AO105" s="223">
        <v>0</v>
      </c>
      <c r="AP105" s="225" t="s">
        <v>1572</v>
      </c>
      <c r="AQ105" s="223">
        <v>79270213554</v>
      </c>
      <c r="AR105" s="225" t="s">
        <v>882</v>
      </c>
      <c r="AS105" s="224">
        <v>33139</v>
      </c>
      <c r="AT105" s="225" t="s">
        <v>867</v>
      </c>
      <c r="AU105" s="225" t="s">
        <v>997</v>
      </c>
      <c r="AV105" s="225" t="s">
        <v>1292</v>
      </c>
      <c r="AW105" s="225" t="s">
        <v>172</v>
      </c>
      <c r="AX105" t="s">
        <v>2168</v>
      </c>
      <c r="AY105" s="224"/>
      <c r="BL105" s="223"/>
    </row>
    <row r="106" spans="1:64" s="244" customFormat="1" x14ac:dyDescent="0.25">
      <c r="A106" s="223">
        <v>2495</v>
      </c>
      <c r="B106" s="223">
        <v>16</v>
      </c>
      <c r="C106" s="224">
        <v>45588</v>
      </c>
      <c r="D106" s="225" t="s">
        <v>1581</v>
      </c>
      <c r="E106" s="225" t="s">
        <v>859</v>
      </c>
      <c r="F106" s="225" t="s">
        <v>860</v>
      </c>
      <c r="G106" s="223" t="s">
        <v>861</v>
      </c>
      <c r="H106" s="224"/>
      <c r="I106" s="224">
        <v>45593</v>
      </c>
      <c r="J106" s="225" t="s">
        <v>1801</v>
      </c>
      <c r="K106" s="225" t="s">
        <v>98</v>
      </c>
      <c r="L106" s="225" t="s">
        <v>4</v>
      </c>
      <c r="M106" s="223">
        <v>2</v>
      </c>
      <c r="N106" s="223">
        <v>3</v>
      </c>
      <c r="O106" s="223">
        <v>126</v>
      </c>
      <c r="P106" s="223">
        <v>0</v>
      </c>
      <c r="Q106" s="223">
        <v>24.28</v>
      </c>
      <c r="R106" s="225" t="s">
        <v>14</v>
      </c>
      <c r="S106" s="230">
        <v>3643652</v>
      </c>
      <c r="T106" s="226">
        <v>150068.04</v>
      </c>
      <c r="U106" s="228"/>
      <c r="V106" s="226">
        <v>3643652</v>
      </c>
      <c r="W106" s="226">
        <v>150068.03953871498</v>
      </c>
      <c r="X106" s="228">
        <v>582720</v>
      </c>
      <c r="Y106" s="228">
        <f>Юрист[[#This Row],[Итоговая цена м2 с отделкой]]-Юрист[[#This Row],[Итоговая цена м2 без отделки]]</f>
        <v>23999.999999999985</v>
      </c>
      <c r="Z106" s="226">
        <v>3060932</v>
      </c>
      <c r="AA106" s="223">
        <v>126068.03953871499</v>
      </c>
      <c r="AB106" s="225" t="s">
        <v>757</v>
      </c>
      <c r="AC106" s="226">
        <v>62468</v>
      </c>
      <c r="AD106" s="225" t="s">
        <v>862</v>
      </c>
      <c r="AE106" s="225" t="s">
        <v>863</v>
      </c>
      <c r="AF106" s="226">
        <v>102619.22</v>
      </c>
      <c r="AG106" s="226">
        <v>2910652</v>
      </c>
      <c r="AH106" s="226">
        <v>630380.78</v>
      </c>
      <c r="AI106" s="226"/>
      <c r="AJ106" s="226"/>
      <c r="AK106" s="223" t="s">
        <v>864</v>
      </c>
      <c r="AL106" s="227">
        <v>1.4E-2</v>
      </c>
      <c r="AM106" s="229">
        <v>4.5999999999999999E-2</v>
      </c>
      <c r="AN106" s="223"/>
      <c r="AO106" s="223">
        <v>0</v>
      </c>
      <c r="AP106" s="225" t="s">
        <v>1582</v>
      </c>
      <c r="AQ106" s="223">
        <v>79991584000</v>
      </c>
      <c r="AR106" s="225" t="s">
        <v>882</v>
      </c>
      <c r="AS106" s="224">
        <v>35439</v>
      </c>
      <c r="AT106" s="225" t="s">
        <v>878</v>
      </c>
      <c r="AU106" s="225" t="s">
        <v>997</v>
      </c>
      <c r="AV106" s="225" t="s">
        <v>879</v>
      </c>
      <c r="AW106" s="225" t="s">
        <v>172</v>
      </c>
      <c r="AX106" t="s">
        <v>2172</v>
      </c>
      <c r="AY106" s="224"/>
      <c r="AZ106" s="223"/>
    </row>
    <row r="107" spans="1:64" x14ac:dyDescent="0.25">
      <c r="A107" s="223">
        <v>2494</v>
      </c>
      <c r="B107" s="223">
        <v>15</v>
      </c>
      <c r="C107" s="224">
        <v>45588</v>
      </c>
      <c r="D107" s="225" t="s">
        <v>1579</v>
      </c>
      <c r="E107" s="225" t="s">
        <v>859</v>
      </c>
      <c r="F107" s="225" t="s">
        <v>860</v>
      </c>
      <c r="G107" s="223" t="s">
        <v>861</v>
      </c>
      <c r="H107" s="224"/>
      <c r="I107" s="224">
        <v>45593</v>
      </c>
      <c r="J107" s="225" t="s">
        <v>1954</v>
      </c>
      <c r="K107" s="225" t="s">
        <v>98</v>
      </c>
      <c r="L107" s="225" t="s">
        <v>3</v>
      </c>
      <c r="M107" s="223">
        <v>7</v>
      </c>
      <c r="N107" s="223">
        <v>18</v>
      </c>
      <c r="O107" s="223">
        <v>347</v>
      </c>
      <c r="P107" s="223">
        <v>1</v>
      </c>
      <c r="Q107" s="223">
        <v>34.81</v>
      </c>
      <c r="R107" s="225" t="s">
        <v>780</v>
      </c>
      <c r="S107" s="230">
        <v>4596480</v>
      </c>
      <c r="T107" s="226">
        <v>132044.81</v>
      </c>
      <c r="U107" s="228"/>
      <c r="V107" s="226">
        <v>4596480</v>
      </c>
      <c r="W107" s="226">
        <v>132044.81470841711</v>
      </c>
      <c r="X107" s="228">
        <v>278480</v>
      </c>
      <c r="Y107" s="228">
        <f>Юрист[[#This Row],[Итоговая цена м2 с отделкой]]-Юрист[[#This Row],[Итоговая цена м2 без отделки]]</f>
        <v>8000</v>
      </c>
      <c r="Z107" s="226">
        <v>4318000</v>
      </c>
      <c r="AA107" s="223">
        <v>124044.81470841711</v>
      </c>
      <c r="AB107" s="225"/>
      <c r="AD107" s="225" t="s">
        <v>862</v>
      </c>
      <c r="AE107" s="225" t="s">
        <v>863</v>
      </c>
      <c r="AF107" s="226">
        <v>1470000</v>
      </c>
      <c r="AG107" s="226">
        <v>3126480</v>
      </c>
      <c r="AH107" s="226"/>
      <c r="AI107" s="226"/>
      <c r="AJ107" s="226"/>
      <c r="AK107" s="223" t="s">
        <v>864</v>
      </c>
      <c r="AL107" s="227">
        <v>1.4E-2</v>
      </c>
      <c r="AM107" s="229">
        <v>4.5999999999999999E-2</v>
      </c>
      <c r="AO107" s="223">
        <v>0</v>
      </c>
      <c r="AP107" s="225" t="s">
        <v>1580</v>
      </c>
      <c r="AQ107" s="223">
        <v>79997010990</v>
      </c>
      <c r="AR107" s="225" t="s">
        <v>866</v>
      </c>
      <c r="AS107" s="224">
        <v>32782</v>
      </c>
      <c r="AT107" s="225" t="s">
        <v>878</v>
      </c>
      <c r="AU107" s="225" t="s">
        <v>899</v>
      </c>
      <c r="AV107" s="225" t="s">
        <v>1292</v>
      </c>
      <c r="AW107" s="225" t="s">
        <v>172</v>
      </c>
      <c r="AX107" t="s">
        <v>2172</v>
      </c>
      <c r="AY107" s="224"/>
      <c r="BL107" s="223"/>
    </row>
    <row r="108" spans="1:64" x14ac:dyDescent="0.25">
      <c r="A108" s="223">
        <v>2493</v>
      </c>
      <c r="B108" s="223">
        <v>14</v>
      </c>
      <c r="C108" s="224">
        <v>45588</v>
      </c>
      <c r="D108" s="225" t="s">
        <v>1577</v>
      </c>
      <c r="E108" s="225" t="s">
        <v>859</v>
      </c>
      <c r="F108" s="225" t="s">
        <v>860</v>
      </c>
      <c r="G108" s="223" t="s">
        <v>861</v>
      </c>
      <c r="H108" s="224"/>
      <c r="I108" s="224">
        <v>45593</v>
      </c>
      <c r="J108" s="225" t="s">
        <v>1783</v>
      </c>
      <c r="K108" s="225" t="s">
        <v>98</v>
      </c>
      <c r="L108" s="225" t="s">
        <v>5</v>
      </c>
      <c r="M108" s="223">
        <v>6</v>
      </c>
      <c r="N108" s="223">
        <v>14</v>
      </c>
      <c r="O108" s="223">
        <v>96</v>
      </c>
      <c r="P108" s="223">
        <v>2</v>
      </c>
      <c r="Q108" s="223">
        <v>58.16</v>
      </c>
      <c r="R108" s="225" t="s">
        <v>780</v>
      </c>
      <c r="S108" s="230">
        <v>6341637</v>
      </c>
      <c r="T108" s="226">
        <v>109037.78</v>
      </c>
      <c r="U108" s="228"/>
      <c r="V108" s="226">
        <v>6341637</v>
      </c>
      <c r="W108" s="226">
        <v>109037.77510316369</v>
      </c>
      <c r="X108" s="228">
        <v>465280</v>
      </c>
      <c r="Y108" s="228">
        <f>Юрист[[#This Row],[Итоговая цена м2 с отделкой]]-Юрист[[#This Row],[Итоговая цена м2 без отделки]]</f>
        <v>8000</v>
      </c>
      <c r="Z108" s="226">
        <v>5876357</v>
      </c>
      <c r="AA108" s="223">
        <v>101037.77510316369</v>
      </c>
      <c r="AB108" s="225" t="s">
        <v>167</v>
      </c>
      <c r="AC108" s="226">
        <v>181743</v>
      </c>
      <c r="AD108" s="225" t="s">
        <v>862</v>
      </c>
      <c r="AE108" s="225" t="s">
        <v>863</v>
      </c>
      <c r="AF108" s="226">
        <v>453975.26</v>
      </c>
      <c r="AG108" s="226">
        <v>5054637</v>
      </c>
      <c r="AH108" s="226">
        <v>833024.74</v>
      </c>
      <c r="AI108" s="226"/>
      <c r="AJ108" s="226"/>
      <c r="AK108" s="223" t="s">
        <v>864</v>
      </c>
      <c r="AL108" s="227">
        <v>1.4E-2</v>
      </c>
      <c r="AM108" s="229">
        <v>4.5999999999999999E-2</v>
      </c>
      <c r="AO108" s="223">
        <v>0</v>
      </c>
      <c r="AP108" s="225" t="s">
        <v>1578</v>
      </c>
      <c r="AQ108" s="223">
        <v>79170180212</v>
      </c>
      <c r="AR108" s="225" t="s">
        <v>882</v>
      </c>
      <c r="AS108" s="224">
        <v>31163</v>
      </c>
      <c r="AT108" s="225" t="s">
        <v>907</v>
      </c>
      <c r="AU108" s="225" t="s">
        <v>899</v>
      </c>
      <c r="AV108" s="225" t="s">
        <v>879</v>
      </c>
      <c r="AW108" s="225" t="s">
        <v>172</v>
      </c>
      <c r="AX108" t="s">
        <v>2172</v>
      </c>
      <c r="AY108" s="224"/>
      <c r="BL108" s="223"/>
    </row>
    <row r="109" spans="1:64" x14ac:dyDescent="0.25">
      <c r="A109" s="223">
        <v>2489</v>
      </c>
      <c r="B109" s="223">
        <v>10</v>
      </c>
      <c r="C109" s="224">
        <v>45587</v>
      </c>
      <c r="D109" s="225" t="s">
        <v>1569</v>
      </c>
      <c r="E109" s="225" t="s">
        <v>859</v>
      </c>
      <c r="F109" s="225" t="s">
        <v>860</v>
      </c>
      <c r="G109" s="223" t="s">
        <v>861</v>
      </c>
      <c r="H109" s="224"/>
      <c r="I109" s="224">
        <v>45590</v>
      </c>
      <c r="J109" s="225" t="s">
        <v>1933</v>
      </c>
      <c r="K109" s="225" t="s">
        <v>98</v>
      </c>
      <c r="L109" s="225" t="s">
        <v>3</v>
      </c>
      <c r="M109" s="223">
        <v>4</v>
      </c>
      <c r="N109" s="223">
        <v>14</v>
      </c>
      <c r="O109" s="223">
        <v>316</v>
      </c>
      <c r="P109" s="223">
        <v>2</v>
      </c>
      <c r="Q109" s="223">
        <v>60.24</v>
      </c>
      <c r="R109" s="225" t="s">
        <v>14</v>
      </c>
      <c r="S109" s="230">
        <v>7201700</v>
      </c>
      <c r="T109" s="226">
        <v>119550.13</v>
      </c>
      <c r="U109" s="228"/>
      <c r="V109" s="226">
        <v>7201700</v>
      </c>
      <c r="W109" s="226">
        <v>119550.13280212483</v>
      </c>
      <c r="X109" s="228">
        <v>1204800</v>
      </c>
      <c r="Y109" s="228">
        <f>Юрист[[#This Row],[Итоговая цена м2 с отделкой]]-Юрист[[#This Row],[Итоговая цена м2 без отделки]]</f>
        <v>20000</v>
      </c>
      <c r="Z109" s="226">
        <v>5996900</v>
      </c>
      <c r="AA109" s="223">
        <v>99550.132802124834</v>
      </c>
      <c r="AB109" s="225"/>
      <c r="AD109" s="225" t="s">
        <v>862</v>
      </c>
      <c r="AE109" s="225" t="s">
        <v>863</v>
      </c>
      <c r="AF109" s="226">
        <v>614975.26</v>
      </c>
      <c r="AG109" s="226">
        <v>5753700</v>
      </c>
      <c r="AH109" s="226">
        <v>833024.74</v>
      </c>
      <c r="AI109" s="226"/>
      <c r="AJ109" s="226"/>
      <c r="AK109" s="223" t="s">
        <v>864</v>
      </c>
      <c r="AL109" s="227">
        <v>1.4E-2</v>
      </c>
      <c r="AM109" s="229">
        <v>4.5999999999999999E-2</v>
      </c>
      <c r="AO109" s="223">
        <v>0</v>
      </c>
      <c r="AP109" s="225" t="s">
        <v>1570</v>
      </c>
      <c r="AQ109" s="223">
        <v>79991714337</v>
      </c>
      <c r="AR109" s="225" t="s">
        <v>866</v>
      </c>
      <c r="AS109" s="224">
        <v>34669</v>
      </c>
      <c r="AT109" s="225" t="s">
        <v>903</v>
      </c>
      <c r="AU109" s="225" t="s">
        <v>997</v>
      </c>
      <c r="AV109" s="225" t="s">
        <v>1292</v>
      </c>
      <c r="AW109" s="225" t="s">
        <v>172</v>
      </c>
      <c r="AX109" t="s">
        <v>2172</v>
      </c>
      <c r="AY109" s="224"/>
      <c r="BL109" s="223"/>
    </row>
    <row r="110" spans="1:64" x14ac:dyDescent="0.25">
      <c r="A110" s="223">
        <v>2487</v>
      </c>
      <c r="B110" s="223">
        <v>8</v>
      </c>
      <c r="C110" s="224">
        <v>45582</v>
      </c>
      <c r="D110" s="225" t="s">
        <v>1564</v>
      </c>
      <c r="E110" s="225" t="s">
        <v>859</v>
      </c>
      <c r="F110" s="225" t="s">
        <v>860</v>
      </c>
      <c r="G110" s="223" t="s">
        <v>861</v>
      </c>
      <c r="H110" s="224"/>
      <c r="I110" s="224">
        <v>45587</v>
      </c>
      <c r="J110" s="225" t="s">
        <v>2077</v>
      </c>
      <c r="K110" s="225" t="s">
        <v>98</v>
      </c>
      <c r="L110" s="225" t="s">
        <v>2</v>
      </c>
      <c r="M110" s="223">
        <v>4</v>
      </c>
      <c r="N110" s="223">
        <v>17</v>
      </c>
      <c r="O110" s="223">
        <v>520</v>
      </c>
      <c r="P110" s="223">
        <v>2</v>
      </c>
      <c r="Q110" s="223">
        <v>58.24</v>
      </c>
      <c r="R110" s="225" t="s">
        <v>14</v>
      </c>
      <c r="S110" s="230">
        <v>6831300</v>
      </c>
      <c r="T110" s="226">
        <v>117295.67</v>
      </c>
      <c r="U110" s="228"/>
      <c r="V110" s="226">
        <v>6831300</v>
      </c>
      <c r="W110" s="226">
        <v>117295.67307692308</v>
      </c>
      <c r="X110" s="228">
        <v>1164800</v>
      </c>
      <c r="Y110" s="228">
        <f>Юрист[[#This Row],[Итоговая цена м2 с отделкой]]-Юрист[[#This Row],[Итоговая цена м2 без отделки]]</f>
        <v>20000</v>
      </c>
      <c r="Z110" s="226">
        <v>5666500</v>
      </c>
      <c r="AA110" s="223">
        <v>97295.673076923078</v>
      </c>
      <c r="AB110" s="225"/>
      <c r="AD110" s="225" t="s">
        <v>901</v>
      </c>
      <c r="AE110" s="225" t="s">
        <v>902</v>
      </c>
      <c r="AF110" s="226"/>
      <c r="AG110" s="226"/>
      <c r="AH110" s="226"/>
      <c r="AI110" s="226"/>
      <c r="AJ110" s="226"/>
      <c r="AL110" s="227"/>
      <c r="AM110" s="229"/>
      <c r="AO110" s="223">
        <v>0</v>
      </c>
      <c r="AP110" s="225" t="s">
        <v>1565</v>
      </c>
      <c r="AQ110" s="223">
        <v>79879067263</v>
      </c>
      <c r="AR110" s="225" t="s">
        <v>882</v>
      </c>
      <c r="AS110" s="224">
        <v>34034</v>
      </c>
      <c r="AT110" s="225" t="s">
        <v>878</v>
      </c>
      <c r="AU110" s="225" t="s">
        <v>868</v>
      </c>
      <c r="AV110" s="225"/>
      <c r="AW110" s="225" t="s">
        <v>172</v>
      </c>
      <c r="AX110" t="s">
        <v>2172</v>
      </c>
      <c r="AY110" s="224"/>
      <c r="BL110" s="223"/>
    </row>
    <row r="111" spans="1:64" x14ac:dyDescent="0.25">
      <c r="A111" s="223">
        <v>2488</v>
      </c>
      <c r="B111" s="223">
        <v>9</v>
      </c>
      <c r="C111" s="224">
        <v>45582</v>
      </c>
      <c r="D111" s="225" t="s">
        <v>1566</v>
      </c>
      <c r="E111" s="225" t="s">
        <v>859</v>
      </c>
      <c r="F111" s="225" t="s">
        <v>860</v>
      </c>
      <c r="G111" s="223" t="s">
        <v>926</v>
      </c>
      <c r="H111" s="224"/>
      <c r="I111" s="224">
        <v>45587</v>
      </c>
      <c r="J111" s="225" t="s">
        <v>1737</v>
      </c>
      <c r="K111" s="225" t="s">
        <v>98</v>
      </c>
      <c r="L111" s="225" t="s">
        <v>5</v>
      </c>
      <c r="M111" s="223">
        <v>1</v>
      </c>
      <c r="N111" s="223">
        <v>5</v>
      </c>
      <c r="O111" s="223">
        <v>28</v>
      </c>
      <c r="P111" s="223">
        <v>1</v>
      </c>
      <c r="Q111" s="223">
        <v>34.39</v>
      </c>
      <c r="R111" s="225" t="s">
        <v>12</v>
      </c>
      <c r="S111" s="230">
        <v>4122370</v>
      </c>
      <c r="T111" s="226">
        <v>119871.18</v>
      </c>
      <c r="U111" s="228"/>
      <c r="V111" s="226">
        <v>4122370</v>
      </c>
      <c r="W111" s="226">
        <v>119871.1834835708</v>
      </c>
      <c r="X111" s="228"/>
      <c r="Y111" s="228">
        <f>Юрист[[#This Row],[Итоговая цена м2 с отделкой]]-Юрист[[#This Row],[Итоговая цена м2 без отделки]]</f>
        <v>0</v>
      </c>
      <c r="Z111" s="226">
        <v>4122370</v>
      </c>
      <c r="AA111" s="223">
        <v>119871.1834835708</v>
      </c>
      <c r="AB111" s="225" t="s">
        <v>767</v>
      </c>
      <c r="AC111" s="226">
        <v>84130</v>
      </c>
      <c r="AD111" s="225" t="s">
        <v>862</v>
      </c>
      <c r="AE111" s="225" t="s">
        <v>1536</v>
      </c>
      <c r="AF111" s="226">
        <v>829000</v>
      </c>
      <c r="AG111" s="226">
        <v>3293370</v>
      </c>
      <c r="AH111" s="226"/>
      <c r="AI111" s="226"/>
      <c r="AJ111" s="226"/>
      <c r="AK111" s="223" t="s">
        <v>864</v>
      </c>
      <c r="AL111" s="227"/>
      <c r="AM111" s="229">
        <v>5.2400000000000002E-2</v>
      </c>
      <c r="AO111" s="223">
        <v>0</v>
      </c>
      <c r="AP111" s="225" t="s">
        <v>1567</v>
      </c>
      <c r="AQ111" s="223">
        <v>79272911615</v>
      </c>
      <c r="AR111" s="225" t="s">
        <v>866</v>
      </c>
      <c r="AS111" s="224">
        <v>30483</v>
      </c>
      <c r="AT111" s="225" t="s">
        <v>954</v>
      </c>
      <c r="AU111" s="225" t="s">
        <v>997</v>
      </c>
      <c r="AV111" s="225" t="s">
        <v>879</v>
      </c>
      <c r="AW111" s="225" t="s">
        <v>172</v>
      </c>
      <c r="AX111" t="s">
        <v>2172</v>
      </c>
      <c r="AY111" s="224"/>
      <c r="AZ111" s="223" t="s">
        <v>1568</v>
      </c>
      <c r="BL111" s="223"/>
    </row>
    <row r="112" spans="1:64" x14ac:dyDescent="0.25">
      <c r="A112" s="223">
        <v>2483</v>
      </c>
      <c r="B112" s="223">
        <v>4</v>
      </c>
      <c r="C112" s="224">
        <v>45576</v>
      </c>
      <c r="D112" s="225" t="s">
        <v>1557</v>
      </c>
      <c r="E112" s="225" t="s">
        <v>859</v>
      </c>
      <c r="F112" s="225" t="s">
        <v>860</v>
      </c>
      <c r="G112" s="223" t="s">
        <v>926</v>
      </c>
      <c r="H112" s="224"/>
      <c r="I112" s="224">
        <v>45581</v>
      </c>
      <c r="J112" s="225" t="s">
        <v>1879</v>
      </c>
      <c r="K112" s="225" t="s">
        <v>98</v>
      </c>
      <c r="L112" s="225" t="s">
        <v>3</v>
      </c>
      <c r="M112" s="223">
        <v>6</v>
      </c>
      <c r="N112" s="223">
        <v>3</v>
      </c>
      <c r="O112" s="223">
        <v>241</v>
      </c>
      <c r="P112" s="223">
        <v>3</v>
      </c>
      <c r="Q112" s="223">
        <v>80.97</v>
      </c>
      <c r="R112" s="225" t="s">
        <v>12</v>
      </c>
      <c r="S112" s="230">
        <v>7396000</v>
      </c>
      <c r="T112" s="226">
        <v>91342.47</v>
      </c>
      <c r="U112" s="228">
        <v>30000</v>
      </c>
      <c r="V112" s="226">
        <v>7426000</v>
      </c>
      <c r="W112" s="226">
        <v>91712.980116092382</v>
      </c>
      <c r="X112" s="228"/>
      <c r="Y112" s="228">
        <f>Юрист[[#This Row],[Итоговая цена м2 с отделкой]]-Юрист[[#This Row],[Итоговая цена м2 без отделки]]</f>
        <v>0</v>
      </c>
      <c r="Z112" s="226">
        <v>7426000</v>
      </c>
      <c r="AA112" s="223">
        <v>91712.980116092382</v>
      </c>
      <c r="AB112" s="225"/>
      <c r="AD112" s="225" t="s">
        <v>862</v>
      </c>
      <c r="AE112" s="225" t="s">
        <v>1558</v>
      </c>
      <c r="AF112" s="226">
        <v>856619.22</v>
      </c>
      <c r="AG112" s="226">
        <v>5909000</v>
      </c>
      <c r="AH112" s="226">
        <v>630380.78</v>
      </c>
      <c r="AI112" s="226"/>
      <c r="AJ112" s="226"/>
      <c r="AK112" s="223" t="s">
        <v>864</v>
      </c>
      <c r="AL112" s="227"/>
      <c r="AM112" s="229">
        <v>0.06</v>
      </c>
      <c r="AO112" s="223">
        <v>0</v>
      </c>
      <c r="AP112" s="225" t="s">
        <v>1559</v>
      </c>
      <c r="AQ112" s="223">
        <v>79171534094</v>
      </c>
      <c r="AR112" s="225" t="s">
        <v>882</v>
      </c>
      <c r="AS112" s="224">
        <v>32967</v>
      </c>
      <c r="AT112" s="225" t="s">
        <v>878</v>
      </c>
      <c r="AU112" s="225" t="s">
        <v>997</v>
      </c>
      <c r="AV112" s="225" t="s">
        <v>1292</v>
      </c>
      <c r="AW112" s="225" t="s">
        <v>172</v>
      </c>
      <c r="AX112" t="s">
        <v>2172</v>
      </c>
      <c r="AY112" s="224"/>
      <c r="BL112" s="223"/>
    </row>
    <row r="113" spans="1:64" x14ac:dyDescent="0.25">
      <c r="A113" s="223">
        <v>2484</v>
      </c>
      <c r="B113" s="223">
        <v>5</v>
      </c>
      <c r="C113" s="224">
        <v>45576</v>
      </c>
      <c r="D113" s="225" t="s">
        <v>1560</v>
      </c>
      <c r="E113" s="225" t="s">
        <v>859</v>
      </c>
      <c r="F113" s="225" t="s">
        <v>860</v>
      </c>
      <c r="G113" s="223" t="s">
        <v>926</v>
      </c>
      <c r="H113" s="224"/>
      <c r="I113" s="224">
        <v>45581</v>
      </c>
      <c r="J113" s="225" t="s">
        <v>1787</v>
      </c>
      <c r="K113" s="225" t="s">
        <v>98</v>
      </c>
      <c r="L113" s="225" t="s">
        <v>5</v>
      </c>
      <c r="M113" s="223">
        <v>5</v>
      </c>
      <c r="N113" s="223">
        <v>15</v>
      </c>
      <c r="O113" s="223">
        <v>102</v>
      </c>
      <c r="P113" s="223">
        <v>2</v>
      </c>
      <c r="Q113" s="223">
        <v>62.17</v>
      </c>
      <c r="R113" s="225" t="s">
        <v>12</v>
      </c>
      <c r="S113" s="230">
        <v>6253396</v>
      </c>
      <c r="T113" s="226">
        <v>100585.43</v>
      </c>
      <c r="U113" s="228"/>
      <c r="V113" s="226">
        <v>6253396</v>
      </c>
      <c r="W113" s="226">
        <v>100585.4270548496</v>
      </c>
      <c r="X113" s="228"/>
      <c r="Y113" s="228">
        <f>Юрист[[#This Row],[Итоговая цена м2 с отделкой]]-Юрист[[#This Row],[Итоговая цена м2 без отделки]]</f>
        <v>0</v>
      </c>
      <c r="Z113" s="226">
        <v>6253396</v>
      </c>
      <c r="AA113" s="223">
        <v>100585.4270548496</v>
      </c>
      <c r="AB113" s="225" t="s">
        <v>162</v>
      </c>
      <c r="AC113" s="226">
        <v>193404</v>
      </c>
      <c r="AD113" s="225" t="s">
        <v>862</v>
      </c>
      <c r="AE113" s="225" t="s">
        <v>1018</v>
      </c>
      <c r="AF113" s="226">
        <v>423975.26</v>
      </c>
      <c r="AG113" s="226">
        <v>4996396</v>
      </c>
      <c r="AH113" s="226">
        <v>833024.74</v>
      </c>
      <c r="AI113" s="226"/>
      <c r="AJ113" s="226"/>
      <c r="AK113" s="223" t="s">
        <v>864</v>
      </c>
      <c r="AL113" s="227"/>
      <c r="AM113" s="229">
        <v>0.06</v>
      </c>
      <c r="AO113" s="223">
        <v>0</v>
      </c>
      <c r="AP113" s="225" t="s">
        <v>1561</v>
      </c>
      <c r="AQ113" s="223">
        <v>79090777701</v>
      </c>
      <c r="AR113" s="225" t="s">
        <v>882</v>
      </c>
      <c r="AS113" s="224">
        <v>34291</v>
      </c>
      <c r="AT113" s="225" t="s">
        <v>875</v>
      </c>
      <c r="AU113" s="225" t="s">
        <v>868</v>
      </c>
      <c r="AV113" s="225" t="s">
        <v>1292</v>
      </c>
      <c r="AW113" s="225" t="s">
        <v>172</v>
      </c>
      <c r="AX113" t="s">
        <v>2172</v>
      </c>
      <c r="AY113" s="224"/>
      <c r="BL113" s="223"/>
    </row>
    <row r="114" spans="1:64" x14ac:dyDescent="0.25">
      <c r="A114" s="223">
        <v>2485</v>
      </c>
      <c r="B114" s="223">
        <v>6</v>
      </c>
      <c r="C114" s="224">
        <v>45576</v>
      </c>
      <c r="D114" s="225" t="s">
        <v>1562</v>
      </c>
      <c r="E114" s="225" t="s">
        <v>859</v>
      </c>
      <c r="F114" s="225" t="s">
        <v>860</v>
      </c>
      <c r="G114" s="223" t="s">
        <v>926</v>
      </c>
      <c r="H114" s="224"/>
      <c r="I114" s="224">
        <v>45581</v>
      </c>
      <c r="J114" s="225" t="s">
        <v>1798</v>
      </c>
      <c r="K114" s="225" t="s">
        <v>98</v>
      </c>
      <c r="L114" s="225" t="s">
        <v>4</v>
      </c>
      <c r="M114" s="223">
        <v>5</v>
      </c>
      <c r="N114" s="223">
        <v>2</v>
      </c>
      <c r="O114" s="223">
        <v>122</v>
      </c>
      <c r="P114" s="223">
        <v>1</v>
      </c>
      <c r="Q114" s="223">
        <v>37.86</v>
      </c>
      <c r="R114" s="225" t="s">
        <v>780</v>
      </c>
      <c r="S114" s="230">
        <v>4726894</v>
      </c>
      <c r="T114" s="226">
        <v>124851.93</v>
      </c>
      <c r="U114" s="228"/>
      <c r="V114" s="226">
        <v>4726894</v>
      </c>
      <c r="W114" s="226">
        <v>124851.92815636555</v>
      </c>
      <c r="X114" s="228">
        <v>302880</v>
      </c>
      <c r="Y114" s="228">
        <f>Юрист[[#This Row],[Итоговая цена м2 с отделкой]]-Юрист[[#This Row],[Итоговая цена м2 без отделки]]</f>
        <v>8000</v>
      </c>
      <c r="Z114" s="226">
        <v>4424014</v>
      </c>
      <c r="AA114" s="223">
        <v>116851.92815636555</v>
      </c>
      <c r="AB114" s="225" t="s">
        <v>757</v>
      </c>
      <c r="AC114" s="226">
        <v>90286</v>
      </c>
      <c r="AD114" s="225" t="s">
        <v>862</v>
      </c>
      <c r="AE114" s="225" t="s">
        <v>1558</v>
      </c>
      <c r="AF114" s="226">
        <v>320619.21999999997</v>
      </c>
      <c r="AG114" s="226">
        <v>3775894</v>
      </c>
      <c r="AH114" s="226">
        <v>630380.78</v>
      </c>
      <c r="AI114" s="226"/>
      <c r="AJ114" s="226"/>
      <c r="AK114" s="223" t="s">
        <v>864</v>
      </c>
      <c r="AL114" s="227"/>
      <c r="AM114" s="229">
        <v>0.06</v>
      </c>
      <c r="AO114" s="223">
        <v>0</v>
      </c>
      <c r="AP114" s="225" t="s">
        <v>1563</v>
      </c>
      <c r="AQ114" s="223">
        <v>79276967303</v>
      </c>
      <c r="AR114" s="225" t="s">
        <v>882</v>
      </c>
      <c r="AS114" s="224">
        <v>33093</v>
      </c>
      <c r="AT114" s="225" t="s">
        <v>878</v>
      </c>
      <c r="AU114" s="225" t="s">
        <v>899</v>
      </c>
      <c r="AV114" s="225" t="s">
        <v>879</v>
      </c>
      <c r="AW114" s="225" t="s">
        <v>172</v>
      </c>
      <c r="AX114" t="s">
        <v>2172</v>
      </c>
      <c r="AY114" s="224"/>
      <c r="BL114" s="223"/>
    </row>
    <row r="115" spans="1:64" x14ac:dyDescent="0.25">
      <c r="A115" s="223">
        <v>2480</v>
      </c>
      <c r="B115" s="223">
        <v>1</v>
      </c>
      <c r="C115" s="224">
        <v>45568</v>
      </c>
      <c r="D115" s="225" t="s">
        <v>1550</v>
      </c>
      <c r="E115" s="225" t="s">
        <v>859</v>
      </c>
      <c r="F115" s="225" t="s">
        <v>860</v>
      </c>
      <c r="G115" s="223" t="s">
        <v>926</v>
      </c>
      <c r="H115" s="224"/>
      <c r="I115" s="224">
        <v>45573</v>
      </c>
      <c r="J115" s="225" t="s">
        <v>2099</v>
      </c>
      <c r="K115" s="225" t="s">
        <v>98</v>
      </c>
      <c r="L115" s="225" t="s">
        <v>2</v>
      </c>
      <c r="M115" s="223">
        <v>1</v>
      </c>
      <c r="N115" s="223">
        <v>24</v>
      </c>
      <c r="O115" s="223">
        <v>573</v>
      </c>
      <c r="P115" s="223">
        <v>0</v>
      </c>
      <c r="Q115" s="223">
        <v>29.4</v>
      </c>
      <c r="R115" s="225" t="s">
        <v>14</v>
      </c>
      <c r="S115" s="230">
        <v>4327800</v>
      </c>
      <c r="T115" s="226">
        <v>147204.07999999999</v>
      </c>
      <c r="U115" s="228"/>
      <c r="V115" s="226">
        <v>4327800</v>
      </c>
      <c r="W115" s="226">
        <v>147204.08163265308</v>
      </c>
      <c r="X115" s="228">
        <v>588000</v>
      </c>
      <c r="Y115" s="228">
        <f>Юрист[[#This Row],[Итоговая цена м2 с отделкой]]-Юрист[[#This Row],[Итоговая цена м2 без отделки]]</f>
        <v>20000.000000000015</v>
      </c>
      <c r="Z115" s="226">
        <v>3739800</v>
      </c>
      <c r="AA115" s="223">
        <v>127204.08163265306</v>
      </c>
      <c r="AB115" s="225"/>
      <c r="AD115" s="225" t="s">
        <v>862</v>
      </c>
      <c r="AE115" s="225" t="s">
        <v>1551</v>
      </c>
      <c r="AF115" s="226">
        <v>36975.26</v>
      </c>
      <c r="AG115" s="226">
        <v>3457800</v>
      </c>
      <c r="AH115" s="226">
        <v>833024.74</v>
      </c>
      <c r="AI115" s="226"/>
      <c r="AJ115" s="226"/>
      <c r="AK115" s="223" t="s">
        <v>864</v>
      </c>
      <c r="AL115" s="227"/>
      <c r="AM115" s="229">
        <v>5.7000000000000002E-2</v>
      </c>
      <c r="AO115" s="223">
        <v>0</v>
      </c>
      <c r="AP115" s="225" t="s">
        <v>1552</v>
      </c>
      <c r="AQ115" s="223">
        <v>79270002723</v>
      </c>
      <c r="AR115" s="225" t="s">
        <v>866</v>
      </c>
      <c r="AS115" s="224">
        <v>27795</v>
      </c>
      <c r="AT115" s="225" t="s">
        <v>878</v>
      </c>
      <c r="AU115" s="225" t="s">
        <v>899</v>
      </c>
      <c r="AV115" s="225" t="s">
        <v>1292</v>
      </c>
      <c r="AW115" s="225" t="s">
        <v>172</v>
      </c>
      <c r="AX115" t="s">
        <v>2172</v>
      </c>
      <c r="AY115" s="224"/>
      <c r="BL115" s="223"/>
    </row>
    <row r="116" spans="1:64" x14ac:dyDescent="0.25">
      <c r="A116" s="223">
        <v>2481</v>
      </c>
      <c r="B116" s="223">
        <v>2</v>
      </c>
      <c r="C116" s="224">
        <v>45568</v>
      </c>
      <c r="D116" s="225" t="s">
        <v>1553</v>
      </c>
      <c r="E116" s="225" t="s">
        <v>859</v>
      </c>
      <c r="F116" s="225" t="s">
        <v>860</v>
      </c>
      <c r="G116" s="223" t="s">
        <v>926</v>
      </c>
      <c r="H116" s="224"/>
      <c r="I116" s="224">
        <v>45573</v>
      </c>
      <c r="J116" s="225" t="s">
        <v>2088</v>
      </c>
      <c r="K116" s="225" t="s">
        <v>98</v>
      </c>
      <c r="L116" s="225" t="s">
        <v>2</v>
      </c>
      <c r="M116" s="223">
        <v>1</v>
      </c>
      <c r="N116" s="223">
        <v>20</v>
      </c>
      <c r="O116" s="223">
        <v>541</v>
      </c>
      <c r="P116" s="223">
        <v>0</v>
      </c>
      <c r="Q116" s="223">
        <v>29.4</v>
      </c>
      <c r="R116" s="225" t="s">
        <v>780</v>
      </c>
      <c r="S116" s="230">
        <v>3975000</v>
      </c>
      <c r="T116" s="226">
        <v>135204.07999999999</v>
      </c>
      <c r="U116" s="228"/>
      <c r="V116" s="226">
        <v>3975000</v>
      </c>
      <c r="W116" s="226">
        <v>135204.08163265308</v>
      </c>
      <c r="X116" s="228">
        <v>235200</v>
      </c>
      <c r="Y116" s="228">
        <f>Юрист[[#This Row],[Итоговая цена м2 с отделкой]]-Юрист[[#This Row],[Итоговая цена м2 без отделки]]</f>
        <v>8000.0000000000146</v>
      </c>
      <c r="Z116" s="226">
        <v>3739800</v>
      </c>
      <c r="AA116" s="223">
        <v>127204.08163265306</v>
      </c>
      <c r="AB116" s="225"/>
      <c r="AD116" s="225" t="s">
        <v>862</v>
      </c>
      <c r="AE116" s="225" t="s">
        <v>1551</v>
      </c>
      <c r="AF116" s="226"/>
      <c r="AG116" s="226">
        <v>3176000</v>
      </c>
      <c r="AH116" s="226">
        <v>799000</v>
      </c>
      <c r="AI116" s="226"/>
      <c r="AJ116" s="226"/>
      <c r="AK116" s="223" t="s">
        <v>864</v>
      </c>
      <c r="AL116" s="227"/>
      <c r="AM116" s="229">
        <v>0.06</v>
      </c>
      <c r="AO116" s="223">
        <v>0</v>
      </c>
      <c r="AP116" s="225" t="s">
        <v>1554</v>
      </c>
      <c r="AQ116" s="223">
        <v>79171603160</v>
      </c>
      <c r="AR116" s="225" t="s">
        <v>866</v>
      </c>
      <c r="AS116" s="224">
        <v>33019</v>
      </c>
      <c r="AT116" s="225" t="s">
        <v>885</v>
      </c>
      <c r="AU116" s="225" t="s">
        <v>899</v>
      </c>
      <c r="AV116" s="225" t="s">
        <v>879</v>
      </c>
      <c r="AW116" s="225" t="s">
        <v>172</v>
      </c>
      <c r="AX116" t="s">
        <v>2172</v>
      </c>
      <c r="AY116" s="224"/>
      <c r="BL116" s="223"/>
    </row>
    <row r="117" spans="1:64" x14ac:dyDescent="0.25">
      <c r="A117" s="223">
        <v>2482</v>
      </c>
      <c r="B117" s="223">
        <v>3</v>
      </c>
      <c r="C117" s="224">
        <v>45568</v>
      </c>
      <c r="D117" s="225" t="s">
        <v>1555</v>
      </c>
      <c r="E117" s="225" t="s">
        <v>859</v>
      </c>
      <c r="F117" s="225" t="s">
        <v>860</v>
      </c>
      <c r="G117" s="223" t="s">
        <v>926</v>
      </c>
      <c r="H117" s="224"/>
      <c r="I117" s="224">
        <v>45573</v>
      </c>
      <c r="J117" s="225" t="s">
        <v>2087</v>
      </c>
      <c r="K117" s="225" t="s">
        <v>98</v>
      </c>
      <c r="L117" s="225" t="s">
        <v>2</v>
      </c>
      <c r="M117" s="223">
        <v>8</v>
      </c>
      <c r="N117" s="223">
        <v>19</v>
      </c>
      <c r="O117" s="223">
        <v>540</v>
      </c>
      <c r="P117" s="223">
        <v>1</v>
      </c>
      <c r="Q117" s="223">
        <v>39.69</v>
      </c>
      <c r="R117" s="225" t="s">
        <v>14</v>
      </c>
      <c r="S117" s="230">
        <v>5765060</v>
      </c>
      <c r="T117" s="226">
        <v>145252.20000000001</v>
      </c>
      <c r="U117" s="228"/>
      <c r="V117" s="226">
        <v>5765060</v>
      </c>
      <c r="W117" s="226">
        <v>145252.20458553793</v>
      </c>
      <c r="X117" s="228">
        <v>952560</v>
      </c>
      <c r="Y117" s="228">
        <f>Юрист[[#This Row],[Итоговая цена м2 с отделкой]]-Юрист[[#This Row],[Итоговая цена м2 без отделки]]</f>
        <v>24000</v>
      </c>
      <c r="Z117" s="226">
        <v>4812500</v>
      </c>
      <c r="AA117" s="223">
        <v>121252.20458553793</v>
      </c>
      <c r="AB117" s="225"/>
      <c r="AD117" s="225" t="s">
        <v>862</v>
      </c>
      <c r="AE117" s="225" t="s">
        <v>1018</v>
      </c>
      <c r="AF117" s="226">
        <v>4935060</v>
      </c>
      <c r="AG117" s="226">
        <v>830000</v>
      </c>
      <c r="AH117" s="226"/>
      <c r="AI117" s="226"/>
      <c r="AJ117" s="226"/>
      <c r="AK117" s="223" t="s">
        <v>864</v>
      </c>
      <c r="AL117" s="227"/>
      <c r="AM117" s="229">
        <v>7.0000000000000007E-2</v>
      </c>
      <c r="AO117" s="223">
        <v>0</v>
      </c>
      <c r="AP117" s="225" t="s">
        <v>1556</v>
      </c>
      <c r="AQ117" s="223">
        <v>79273848898</v>
      </c>
      <c r="AR117" s="225" t="s">
        <v>866</v>
      </c>
      <c r="AS117" s="224">
        <v>33804</v>
      </c>
      <c r="AT117" s="225" t="s">
        <v>878</v>
      </c>
      <c r="AU117" s="225" t="s">
        <v>868</v>
      </c>
      <c r="AV117" s="225" t="s">
        <v>1292</v>
      </c>
      <c r="AW117" s="225" t="s">
        <v>172</v>
      </c>
      <c r="AX117" t="s">
        <v>2172</v>
      </c>
      <c r="AY117" s="224"/>
      <c r="BL117" s="223"/>
    </row>
    <row r="118" spans="1:64" x14ac:dyDescent="0.25">
      <c r="A118" s="223">
        <v>2476</v>
      </c>
      <c r="B118" s="223">
        <v>15</v>
      </c>
      <c r="C118" s="224">
        <v>45565</v>
      </c>
      <c r="D118" s="225" t="s">
        <v>1547</v>
      </c>
      <c r="E118" s="225" t="s">
        <v>859</v>
      </c>
      <c r="F118" s="225" t="s">
        <v>860</v>
      </c>
      <c r="G118" s="223" t="s">
        <v>861</v>
      </c>
      <c r="H118" s="224"/>
      <c r="I118" s="224">
        <v>45565</v>
      </c>
      <c r="J118" s="225" t="s">
        <v>1740</v>
      </c>
      <c r="K118" s="225" t="s">
        <v>98</v>
      </c>
      <c r="L118" s="225" t="s">
        <v>5</v>
      </c>
      <c r="M118" s="223">
        <v>5</v>
      </c>
      <c r="N118" s="223">
        <v>5</v>
      </c>
      <c r="O118" s="223">
        <v>32</v>
      </c>
      <c r="P118" s="223">
        <v>2</v>
      </c>
      <c r="Q118" s="223">
        <v>62.17</v>
      </c>
      <c r="R118" s="225" t="s">
        <v>780</v>
      </c>
      <c r="S118" s="230">
        <v>6755590</v>
      </c>
      <c r="T118" s="226">
        <v>108663.18</v>
      </c>
      <c r="U118" s="228"/>
      <c r="V118" s="226">
        <v>6755590</v>
      </c>
      <c r="W118" s="226">
        <v>108663.18159884188</v>
      </c>
      <c r="X118" s="228">
        <v>435190</v>
      </c>
      <c r="Y118" s="228">
        <f>Юрист[[#This Row],[Итоговая цена м2 с отделкой]]-Юрист[[#This Row],[Итоговая цена м2 без отделки]]</f>
        <v>7000</v>
      </c>
      <c r="Z118" s="226">
        <v>6320400</v>
      </c>
      <c r="AA118" s="223">
        <v>101663.18159884188</v>
      </c>
      <c r="AB118" s="225"/>
      <c r="AD118" s="225" t="s">
        <v>901</v>
      </c>
      <c r="AE118" s="225" t="s">
        <v>902</v>
      </c>
      <c r="AF118" s="226"/>
      <c r="AG118" s="226"/>
      <c r="AH118" s="226"/>
      <c r="AI118" s="226"/>
      <c r="AJ118" s="226"/>
      <c r="AL118" s="227"/>
      <c r="AM118" s="229"/>
      <c r="AO118" s="223">
        <v>0</v>
      </c>
      <c r="AP118" s="225" t="s">
        <v>1548</v>
      </c>
      <c r="AQ118" s="223">
        <v>79879084101</v>
      </c>
      <c r="AR118" s="225" t="s">
        <v>882</v>
      </c>
      <c r="AS118" s="224">
        <v>34717</v>
      </c>
      <c r="AT118" s="225" t="s">
        <v>1549</v>
      </c>
      <c r="AU118" s="225" t="s">
        <v>899</v>
      </c>
      <c r="AV118" s="225" t="s">
        <v>902</v>
      </c>
      <c r="AW118" s="225" t="s">
        <v>172</v>
      </c>
      <c r="AX118" t="s">
        <v>2172</v>
      </c>
      <c r="AY118" s="224"/>
      <c r="BL118" s="223"/>
    </row>
    <row r="119" spans="1:64" x14ac:dyDescent="0.25">
      <c r="A119" s="223">
        <v>2475</v>
      </c>
      <c r="B119" s="223">
        <v>14</v>
      </c>
      <c r="C119" s="224">
        <v>45563</v>
      </c>
      <c r="D119" s="225" t="s">
        <v>1545</v>
      </c>
      <c r="E119" s="225" t="s">
        <v>859</v>
      </c>
      <c r="F119" s="225" t="s">
        <v>860</v>
      </c>
      <c r="G119" s="223" t="s">
        <v>861</v>
      </c>
      <c r="H119" s="224"/>
      <c r="I119" s="224">
        <v>45565</v>
      </c>
      <c r="J119" s="225" t="s">
        <v>1874</v>
      </c>
      <c r="K119" s="225" t="s">
        <v>98</v>
      </c>
      <c r="L119" s="225" t="s">
        <v>3</v>
      </c>
      <c r="M119" s="223">
        <v>6</v>
      </c>
      <c r="N119" s="223">
        <v>2</v>
      </c>
      <c r="O119" s="223">
        <v>234</v>
      </c>
      <c r="P119" s="223">
        <v>3</v>
      </c>
      <c r="Q119" s="223">
        <v>80.97</v>
      </c>
      <c r="R119" s="225" t="s">
        <v>780</v>
      </c>
      <c r="S119" s="230">
        <v>7807743</v>
      </c>
      <c r="T119" s="226">
        <v>96427.6</v>
      </c>
      <c r="U119" s="228"/>
      <c r="V119" s="226">
        <v>7807743</v>
      </c>
      <c r="W119" s="226">
        <v>96427.602815857725</v>
      </c>
      <c r="X119" s="228">
        <v>566790</v>
      </c>
      <c r="Y119" s="228">
        <f>Юрист[[#This Row],[Итоговая цена м2 с отделкой]]-Юрист[[#This Row],[Итоговая цена м2 без отделки]]</f>
        <v>7000</v>
      </c>
      <c r="Z119" s="226">
        <v>7240953</v>
      </c>
      <c r="AA119" s="223">
        <v>89427.602815857725</v>
      </c>
      <c r="AB119" s="225" t="s">
        <v>162</v>
      </c>
      <c r="AC119" s="226">
        <v>223947</v>
      </c>
      <c r="AD119" s="225" t="s">
        <v>901</v>
      </c>
      <c r="AE119" s="225" t="s">
        <v>902</v>
      </c>
      <c r="AF119" s="226"/>
      <c r="AG119" s="226"/>
      <c r="AH119" s="226"/>
      <c r="AI119" s="226"/>
      <c r="AJ119" s="226"/>
      <c r="AL119" s="227"/>
      <c r="AM119" s="229"/>
      <c r="AO119" s="223">
        <v>0</v>
      </c>
      <c r="AP119" s="225" t="s">
        <v>1546</v>
      </c>
      <c r="AQ119" s="223">
        <v>79122772452</v>
      </c>
      <c r="AR119" s="225" t="s">
        <v>866</v>
      </c>
      <c r="AS119" s="224">
        <v>33239</v>
      </c>
      <c r="AT119" s="225" t="s">
        <v>939</v>
      </c>
      <c r="AU119" s="225" t="s">
        <v>868</v>
      </c>
      <c r="AV119" s="225" t="s">
        <v>902</v>
      </c>
      <c r="AW119" s="225" t="s">
        <v>172</v>
      </c>
      <c r="AX119" t="s">
        <v>2172</v>
      </c>
      <c r="AY119" s="224"/>
      <c r="BL119" s="223"/>
    </row>
    <row r="120" spans="1:64" x14ac:dyDescent="0.25">
      <c r="A120" s="223">
        <v>2473</v>
      </c>
      <c r="B120" s="223">
        <v>12</v>
      </c>
      <c r="C120" s="224">
        <v>45561</v>
      </c>
      <c r="D120" s="225" t="s">
        <v>1540</v>
      </c>
      <c r="E120" s="225" t="s">
        <v>859</v>
      </c>
      <c r="F120" s="225" t="s">
        <v>860</v>
      </c>
      <c r="G120" s="223" t="s">
        <v>926</v>
      </c>
      <c r="H120" s="224"/>
      <c r="I120" s="224">
        <v>45565</v>
      </c>
      <c r="J120" s="225" t="s">
        <v>1887</v>
      </c>
      <c r="K120" s="225" t="s">
        <v>98</v>
      </c>
      <c r="L120" s="225" t="s">
        <v>3</v>
      </c>
      <c r="M120" s="223">
        <v>4</v>
      </c>
      <c r="N120" s="223">
        <v>5</v>
      </c>
      <c r="O120" s="223">
        <v>253</v>
      </c>
      <c r="P120" s="223">
        <v>2</v>
      </c>
      <c r="Q120" s="223">
        <v>60.24</v>
      </c>
      <c r="R120" s="225" t="s">
        <v>14</v>
      </c>
      <c r="S120" s="230">
        <v>7090100</v>
      </c>
      <c r="T120" s="226">
        <v>117697.54</v>
      </c>
      <c r="U120" s="228"/>
      <c r="V120" s="226">
        <v>7090100</v>
      </c>
      <c r="W120" s="226">
        <v>117697.54316069056</v>
      </c>
      <c r="X120" s="228">
        <v>1204800</v>
      </c>
      <c r="Y120" s="228">
        <f>Юрист[[#This Row],[Итоговая цена м2 с отделкой]]-Юрист[[#This Row],[Итоговая цена м2 без отделки]]</f>
        <v>20000</v>
      </c>
      <c r="Z120" s="226">
        <v>5885300</v>
      </c>
      <c r="AA120" s="223">
        <v>97697.543160690562</v>
      </c>
      <c r="AB120" s="225"/>
      <c r="AD120" s="225" t="s">
        <v>862</v>
      </c>
      <c r="AE120" s="225" t="s">
        <v>863</v>
      </c>
      <c r="AF120" s="226">
        <v>795619.22</v>
      </c>
      <c r="AG120" s="226">
        <v>5664100</v>
      </c>
      <c r="AH120" s="226">
        <v>630380.78</v>
      </c>
      <c r="AI120" s="226"/>
      <c r="AJ120" s="226"/>
      <c r="AK120" s="223" t="s">
        <v>864</v>
      </c>
      <c r="AL120" s="227">
        <v>1.4E-2</v>
      </c>
      <c r="AM120" s="229">
        <v>4.5999999999999999E-2</v>
      </c>
      <c r="AO120" s="223">
        <v>0</v>
      </c>
      <c r="AP120" s="225" t="s">
        <v>1541</v>
      </c>
      <c r="AQ120" s="223">
        <v>79626133700</v>
      </c>
      <c r="AR120" s="225" t="s">
        <v>882</v>
      </c>
      <c r="AS120" s="224">
        <v>35738</v>
      </c>
      <c r="AT120" s="225" t="s">
        <v>888</v>
      </c>
      <c r="AU120" s="225" t="s">
        <v>1542</v>
      </c>
      <c r="AV120" s="225" t="s">
        <v>879</v>
      </c>
      <c r="AW120" s="225" t="s">
        <v>172</v>
      </c>
      <c r="AX120" t="s">
        <v>2172</v>
      </c>
      <c r="AY120" s="224"/>
      <c r="BL120" s="223"/>
    </row>
    <row r="121" spans="1:64" x14ac:dyDescent="0.25">
      <c r="A121" s="223">
        <v>2474</v>
      </c>
      <c r="B121" s="223">
        <v>13</v>
      </c>
      <c r="C121" s="224">
        <v>45561</v>
      </c>
      <c r="D121" s="225" t="s">
        <v>1543</v>
      </c>
      <c r="E121" s="225" t="s">
        <v>859</v>
      </c>
      <c r="F121" s="225" t="s">
        <v>860</v>
      </c>
      <c r="G121" s="223" t="s">
        <v>926</v>
      </c>
      <c r="H121" s="224"/>
      <c r="I121" s="224">
        <v>45565</v>
      </c>
      <c r="J121" s="225" t="s">
        <v>1938</v>
      </c>
      <c r="K121" s="225" t="s">
        <v>98</v>
      </c>
      <c r="L121" s="225" t="s">
        <v>3</v>
      </c>
      <c r="M121" s="223">
        <v>5</v>
      </c>
      <c r="N121" s="223">
        <v>15</v>
      </c>
      <c r="O121" s="223">
        <v>324</v>
      </c>
      <c r="P121" s="223">
        <v>1</v>
      </c>
      <c r="Q121" s="223">
        <v>37.81</v>
      </c>
      <c r="R121" s="225" t="s">
        <v>12</v>
      </c>
      <c r="S121" s="230">
        <v>4412700</v>
      </c>
      <c r="T121" s="226">
        <v>116707.22</v>
      </c>
      <c r="U121" s="228"/>
      <c r="V121" s="226">
        <v>4412700</v>
      </c>
      <c r="W121" s="226">
        <v>116707.22031208675</v>
      </c>
      <c r="X121" s="228"/>
      <c r="Y121" s="228">
        <f>Юрист[[#This Row],[Итоговая цена м2 с отделкой]]-Юрист[[#This Row],[Итоговая цена м2 без отделки]]</f>
        <v>0</v>
      </c>
      <c r="Z121" s="226">
        <v>4412700</v>
      </c>
      <c r="AA121" s="223">
        <v>116707.22031208675</v>
      </c>
      <c r="AB121" s="225"/>
      <c r="AD121" s="225" t="s">
        <v>862</v>
      </c>
      <c r="AE121" s="225" t="s">
        <v>1536</v>
      </c>
      <c r="AF121" s="226">
        <v>66975.259999999995</v>
      </c>
      <c r="AG121" s="226">
        <v>3512700</v>
      </c>
      <c r="AH121" s="226">
        <v>833024.74</v>
      </c>
      <c r="AI121" s="226"/>
      <c r="AJ121" s="226"/>
      <c r="AK121" s="223" t="s">
        <v>864</v>
      </c>
      <c r="AL121" s="227"/>
      <c r="AM121" s="229">
        <v>0.06</v>
      </c>
      <c r="AO121" s="223">
        <v>0</v>
      </c>
      <c r="AP121" s="225" t="s">
        <v>1544</v>
      </c>
      <c r="AQ121" s="223">
        <v>79228412493</v>
      </c>
      <c r="AR121" s="225" t="s">
        <v>866</v>
      </c>
      <c r="AS121" s="224">
        <v>34861</v>
      </c>
      <c r="AT121" s="225" t="s">
        <v>1498</v>
      </c>
      <c r="AU121" s="225" t="s">
        <v>868</v>
      </c>
      <c r="AV121" s="225" t="s">
        <v>1292</v>
      </c>
      <c r="AW121" s="225" t="s">
        <v>172</v>
      </c>
      <c r="AX121" t="s">
        <v>2168</v>
      </c>
      <c r="AY121" s="224"/>
      <c r="BL121" s="223"/>
    </row>
    <row r="122" spans="1:64" x14ac:dyDescent="0.25">
      <c r="A122" s="223">
        <v>2472</v>
      </c>
      <c r="B122" s="223">
        <v>11</v>
      </c>
      <c r="C122" s="224">
        <v>45559</v>
      </c>
      <c r="D122" s="225" t="s">
        <v>1538</v>
      </c>
      <c r="E122" s="225" t="s">
        <v>859</v>
      </c>
      <c r="F122" s="225" t="s">
        <v>860</v>
      </c>
      <c r="G122" s="223" t="s">
        <v>861</v>
      </c>
      <c r="H122" s="224"/>
      <c r="I122" s="224">
        <v>45561</v>
      </c>
      <c r="J122" s="225" t="s">
        <v>1754</v>
      </c>
      <c r="K122" s="225" t="s">
        <v>98</v>
      </c>
      <c r="L122" s="225" t="s">
        <v>5</v>
      </c>
      <c r="M122" s="223">
        <v>1</v>
      </c>
      <c r="N122" s="223">
        <v>8</v>
      </c>
      <c r="O122" s="223">
        <v>49</v>
      </c>
      <c r="P122" s="223">
        <v>1</v>
      </c>
      <c r="Q122" s="223">
        <v>34.39</v>
      </c>
      <c r="R122" s="225" t="s">
        <v>780</v>
      </c>
      <c r="S122" s="230">
        <v>4447230</v>
      </c>
      <c r="T122" s="226">
        <v>129317.53</v>
      </c>
      <c r="U122" s="228"/>
      <c r="V122" s="226">
        <v>4447230</v>
      </c>
      <c r="W122" s="226">
        <v>129317.53416690898</v>
      </c>
      <c r="X122" s="228">
        <v>240730</v>
      </c>
      <c r="Y122" s="228">
        <f>Юрист[[#This Row],[Итоговая цена м2 с отделкой]]-Юрист[[#This Row],[Итоговая цена м2 без отделки]]</f>
        <v>7000</v>
      </c>
      <c r="Z122" s="226">
        <v>4206500</v>
      </c>
      <c r="AA122" s="223">
        <v>122317.53416690898</v>
      </c>
      <c r="AB122" s="225"/>
      <c r="AD122" s="225" t="s">
        <v>862</v>
      </c>
      <c r="AE122" s="225" t="s">
        <v>863</v>
      </c>
      <c r="AF122" s="226">
        <v>1100000</v>
      </c>
      <c r="AG122" s="226">
        <v>3347230</v>
      </c>
      <c r="AH122" s="226"/>
      <c r="AI122" s="226"/>
      <c r="AJ122" s="226"/>
      <c r="AK122" s="223" t="s">
        <v>864</v>
      </c>
      <c r="AL122" s="227">
        <v>1.4E-2</v>
      </c>
      <c r="AM122" s="229">
        <v>4.5999999999999999E-2</v>
      </c>
      <c r="AO122" s="223">
        <v>0</v>
      </c>
      <c r="AP122" s="225" t="s">
        <v>1539</v>
      </c>
      <c r="AQ122" s="223">
        <v>79871652548</v>
      </c>
      <c r="AR122" s="225" t="s">
        <v>882</v>
      </c>
      <c r="AS122" s="224">
        <v>34028</v>
      </c>
      <c r="AT122" s="225" t="s">
        <v>913</v>
      </c>
      <c r="AU122" s="225" t="s">
        <v>899</v>
      </c>
      <c r="AV122" s="225" t="s">
        <v>879</v>
      </c>
      <c r="AW122" s="225" t="s">
        <v>172</v>
      </c>
      <c r="AX122" t="s">
        <v>2172</v>
      </c>
      <c r="AY122" s="224"/>
      <c r="AZ122" s="223" t="s">
        <v>1502</v>
      </c>
      <c r="BL122" s="223"/>
    </row>
    <row r="123" spans="1:64" x14ac:dyDescent="0.25">
      <c r="A123" s="223">
        <v>2469</v>
      </c>
      <c r="B123" s="223">
        <v>8</v>
      </c>
      <c r="C123" s="224">
        <v>45555</v>
      </c>
      <c r="D123" s="225" t="s">
        <v>1531</v>
      </c>
      <c r="E123" s="225" t="s">
        <v>859</v>
      </c>
      <c r="F123" s="225" t="s">
        <v>860</v>
      </c>
      <c r="G123" s="223" t="s">
        <v>861</v>
      </c>
      <c r="H123" s="224"/>
      <c r="I123" s="224">
        <v>45560</v>
      </c>
      <c r="J123" s="225" t="s">
        <v>2071</v>
      </c>
      <c r="K123" s="225" t="s">
        <v>98</v>
      </c>
      <c r="L123" s="225" t="s">
        <v>2</v>
      </c>
      <c r="M123" s="223">
        <v>4</v>
      </c>
      <c r="N123" s="223">
        <v>16</v>
      </c>
      <c r="O123" s="223">
        <v>512</v>
      </c>
      <c r="P123" s="223">
        <v>2</v>
      </c>
      <c r="Q123" s="223">
        <v>58.24</v>
      </c>
      <c r="R123" s="225" t="s">
        <v>12</v>
      </c>
      <c r="S123" s="230">
        <v>5496505</v>
      </c>
      <c r="T123" s="226">
        <v>94376.8</v>
      </c>
      <c r="U123" s="228"/>
      <c r="V123" s="226">
        <v>5496505</v>
      </c>
      <c r="W123" s="226">
        <v>94376.802884615376</v>
      </c>
      <c r="X123" s="228"/>
      <c r="Y123" s="228">
        <f>Юрист[[#This Row],[Итоговая цена м2 с отделкой]]-Юрист[[#This Row],[Итоговая цена м2 без отделки]]</f>
        <v>0</v>
      </c>
      <c r="Z123" s="226">
        <v>5496505</v>
      </c>
      <c r="AA123" s="223">
        <v>94376.802884615376</v>
      </c>
      <c r="AB123" s="225" t="s">
        <v>162</v>
      </c>
      <c r="AC123" s="226">
        <v>169995</v>
      </c>
      <c r="AD123" s="225" t="s">
        <v>901</v>
      </c>
      <c r="AE123" s="225" t="s">
        <v>902</v>
      </c>
      <c r="AF123" s="226"/>
      <c r="AG123" s="226"/>
      <c r="AH123" s="226"/>
      <c r="AI123" s="226"/>
      <c r="AJ123" s="226"/>
      <c r="AL123" s="227"/>
      <c r="AM123" s="229"/>
      <c r="AO123" s="223">
        <v>0</v>
      </c>
      <c r="AP123" s="225" t="s">
        <v>1532</v>
      </c>
      <c r="AQ123" s="223">
        <v>79277935093</v>
      </c>
      <c r="AR123" s="225" t="s">
        <v>866</v>
      </c>
      <c r="AS123" s="224">
        <v>28983</v>
      </c>
      <c r="AT123" s="225" t="s">
        <v>907</v>
      </c>
      <c r="AU123" s="225" t="s">
        <v>868</v>
      </c>
      <c r="AV123" s="225" t="s">
        <v>902</v>
      </c>
      <c r="AW123" s="225" t="s">
        <v>172</v>
      </c>
      <c r="AX123" t="s">
        <v>2172</v>
      </c>
      <c r="AY123" s="224"/>
      <c r="BL123" s="223"/>
    </row>
    <row r="124" spans="1:64" x14ac:dyDescent="0.25">
      <c r="A124" s="223">
        <v>2470</v>
      </c>
      <c r="B124" s="223">
        <v>9</v>
      </c>
      <c r="C124" s="224">
        <v>45555</v>
      </c>
      <c r="D124" s="225" t="s">
        <v>1533</v>
      </c>
      <c r="E124" s="225" t="s">
        <v>859</v>
      </c>
      <c r="F124" s="225" t="s">
        <v>860</v>
      </c>
      <c r="G124" s="223" t="s">
        <v>861</v>
      </c>
      <c r="H124" s="224"/>
      <c r="I124" s="224">
        <v>45560</v>
      </c>
      <c r="J124" s="225" t="s">
        <v>1818</v>
      </c>
      <c r="K124" s="225" t="s">
        <v>98</v>
      </c>
      <c r="L124" s="225" t="s">
        <v>4</v>
      </c>
      <c r="M124" s="223">
        <v>3</v>
      </c>
      <c r="N124" s="223">
        <v>6</v>
      </c>
      <c r="O124" s="223">
        <v>148</v>
      </c>
      <c r="P124" s="223">
        <v>2</v>
      </c>
      <c r="Q124" s="223">
        <v>57.6</v>
      </c>
      <c r="R124" s="225" t="s">
        <v>780</v>
      </c>
      <c r="S124" s="230">
        <v>5946168</v>
      </c>
      <c r="T124" s="226">
        <v>103232.08</v>
      </c>
      <c r="U124" s="228"/>
      <c r="V124" s="226">
        <v>5946168</v>
      </c>
      <c r="W124" s="226">
        <v>103232.08333333333</v>
      </c>
      <c r="X124" s="228">
        <v>403200</v>
      </c>
      <c r="Y124" s="228">
        <f>Юрист[[#This Row],[Итоговая цена м2 с отделкой]]-Юрист[[#This Row],[Итоговая цена м2 без отделки]]</f>
        <v>7000</v>
      </c>
      <c r="Z124" s="226">
        <v>5542968</v>
      </c>
      <c r="AA124" s="223">
        <v>96232.083333333328</v>
      </c>
      <c r="AB124" s="225" t="s">
        <v>993</v>
      </c>
      <c r="AC124" s="226">
        <v>171432</v>
      </c>
      <c r="AD124" s="225" t="s">
        <v>862</v>
      </c>
      <c r="AE124" s="225" t="s">
        <v>863</v>
      </c>
      <c r="AF124" s="226">
        <v>565619</v>
      </c>
      <c r="AG124" s="226">
        <v>4750168</v>
      </c>
      <c r="AH124" s="226">
        <v>630380.78</v>
      </c>
      <c r="AI124" s="226"/>
      <c r="AJ124" s="226"/>
      <c r="AK124" s="223" t="s">
        <v>864</v>
      </c>
      <c r="AL124" s="227">
        <v>1.4E-2</v>
      </c>
      <c r="AM124" s="229">
        <v>4.5999999999999999E-2</v>
      </c>
      <c r="AO124" s="223">
        <v>0</v>
      </c>
      <c r="AP124" s="225" t="s">
        <v>1534</v>
      </c>
      <c r="AQ124" s="223">
        <v>79277000265</v>
      </c>
      <c r="AR124" s="225" t="s">
        <v>866</v>
      </c>
      <c r="AS124" s="224">
        <v>29116</v>
      </c>
      <c r="AT124" s="225" t="s">
        <v>878</v>
      </c>
      <c r="AU124" s="225" t="s">
        <v>899</v>
      </c>
      <c r="AV124" s="225" t="s">
        <v>879</v>
      </c>
      <c r="AW124" s="225" t="s">
        <v>172</v>
      </c>
      <c r="AX124" t="s">
        <v>2172</v>
      </c>
      <c r="AY124" s="224"/>
      <c r="BL124" s="223"/>
    </row>
    <row r="125" spans="1:64" x14ac:dyDescent="0.25">
      <c r="A125" s="223">
        <v>2471</v>
      </c>
      <c r="B125" s="223">
        <v>10</v>
      </c>
      <c r="C125" s="224">
        <v>45555</v>
      </c>
      <c r="D125" s="225" t="s">
        <v>1535</v>
      </c>
      <c r="E125" s="225" t="s">
        <v>859</v>
      </c>
      <c r="F125" s="225" t="s">
        <v>860</v>
      </c>
      <c r="G125" s="223" t="s">
        <v>926</v>
      </c>
      <c r="H125" s="224"/>
      <c r="I125" s="224">
        <v>45560</v>
      </c>
      <c r="J125" s="225" t="s">
        <v>1894</v>
      </c>
      <c r="K125" s="225" t="s">
        <v>98</v>
      </c>
      <c r="L125" s="225" t="s">
        <v>3</v>
      </c>
      <c r="M125" s="223">
        <v>7</v>
      </c>
      <c r="N125" s="223">
        <v>6</v>
      </c>
      <c r="O125" s="223">
        <v>263</v>
      </c>
      <c r="P125" s="223">
        <v>1</v>
      </c>
      <c r="Q125" s="223">
        <v>34.81</v>
      </c>
      <c r="R125" s="225" t="s">
        <v>14</v>
      </c>
      <c r="S125" s="230">
        <v>4884660</v>
      </c>
      <c r="T125" s="226">
        <v>140323.47</v>
      </c>
      <c r="U125" s="228"/>
      <c r="V125" s="226">
        <v>4884660</v>
      </c>
      <c r="W125" s="226">
        <v>140323.47026716461</v>
      </c>
      <c r="X125" s="228">
        <v>696200</v>
      </c>
      <c r="Y125" s="228">
        <f>Юрист[[#This Row],[Итоговая цена м2 с отделкой]]-Юрист[[#This Row],[Итоговая цена м2 без отделки]]</f>
        <v>20000.000000000015</v>
      </c>
      <c r="Z125" s="226">
        <v>4188460</v>
      </c>
      <c r="AA125" s="223">
        <v>120323.47026716459</v>
      </c>
      <c r="AB125" s="225" t="s">
        <v>162</v>
      </c>
      <c r="AC125" s="226">
        <v>129540</v>
      </c>
      <c r="AD125" s="225" t="s">
        <v>862</v>
      </c>
      <c r="AE125" s="225" t="s">
        <v>1536</v>
      </c>
      <c r="AF125" s="226">
        <v>2500000</v>
      </c>
      <c r="AG125" s="226">
        <v>2384660</v>
      </c>
      <c r="AH125" s="226"/>
      <c r="AI125" s="226"/>
      <c r="AJ125" s="226"/>
      <c r="AK125" s="223" t="s">
        <v>864</v>
      </c>
      <c r="AL125" s="227"/>
      <c r="AM125" s="229">
        <v>5.2400000000000002E-2</v>
      </c>
      <c r="AO125" s="223">
        <v>0</v>
      </c>
      <c r="AP125" s="225" t="s">
        <v>1537</v>
      </c>
      <c r="AQ125" s="223">
        <v>79270004304</v>
      </c>
      <c r="AR125" s="225" t="s">
        <v>882</v>
      </c>
      <c r="AS125" s="224">
        <v>35685</v>
      </c>
      <c r="AT125" s="225" t="s">
        <v>878</v>
      </c>
      <c r="AU125" s="225" t="s">
        <v>899</v>
      </c>
      <c r="AV125" s="225" t="s">
        <v>1292</v>
      </c>
      <c r="AW125" s="225" t="s">
        <v>172</v>
      </c>
      <c r="AX125" t="s">
        <v>2172</v>
      </c>
      <c r="AY125" s="224"/>
      <c r="BL125" s="223"/>
    </row>
    <row r="126" spans="1:64" x14ac:dyDescent="0.25">
      <c r="A126" s="223">
        <v>2467</v>
      </c>
      <c r="B126" s="223">
        <v>6</v>
      </c>
      <c r="C126" s="224">
        <v>45554</v>
      </c>
      <c r="D126" s="225" t="s">
        <v>1527</v>
      </c>
      <c r="E126" s="225" t="s">
        <v>859</v>
      </c>
      <c r="F126" s="225" t="s">
        <v>860</v>
      </c>
      <c r="G126" s="223" t="s">
        <v>861</v>
      </c>
      <c r="H126" s="224"/>
      <c r="I126" s="224">
        <v>45559</v>
      </c>
      <c r="J126" s="225" t="s">
        <v>1977</v>
      </c>
      <c r="K126" s="225" t="s">
        <v>98</v>
      </c>
      <c r="L126" s="225" t="s">
        <v>2</v>
      </c>
      <c r="M126" s="223">
        <v>5</v>
      </c>
      <c r="N126" s="223">
        <v>2</v>
      </c>
      <c r="O126" s="223">
        <v>401</v>
      </c>
      <c r="P126" s="223">
        <v>2</v>
      </c>
      <c r="Q126" s="223">
        <v>57.8</v>
      </c>
      <c r="R126" s="225" t="s">
        <v>14</v>
      </c>
      <c r="S126" s="230">
        <v>6835900</v>
      </c>
      <c r="T126" s="226">
        <v>118268.17</v>
      </c>
      <c r="U126" s="228"/>
      <c r="V126" s="226">
        <v>6835900</v>
      </c>
      <c r="W126" s="226">
        <v>118268.16608996541</v>
      </c>
      <c r="X126" s="228">
        <v>1156000</v>
      </c>
      <c r="Y126" s="228">
        <f>Юрист[[#This Row],[Итоговая цена м2 с отделкой]]-Юрист[[#This Row],[Итоговая цена м2 без отделки]]</f>
        <v>20000</v>
      </c>
      <c r="Z126" s="226">
        <v>5679900</v>
      </c>
      <c r="AA126" s="223">
        <v>98268.166089965409</v>
      </c>
      <c r="AB126" s="225"/>
      <c r="AD126" s="225" t="s">
        <v>862</v>
      </c>
      <c r="AE126" s="225" t="s">
        <v>863</v>
      </c>
      <c r="AF126" s="226">
        <v>1375000</v>
      </c>
      <c r="AG126" s="226">
        <v>5460900</v>
      </c>
      <c r="AH126" s="226"/>
      <c r="AI126" s="226"/>
      <c r="AJ126" s="226"/>
      <c r="AK126" s="223" t="s">
        <v>864</v>
      </c>
      <c r="AL126" s="227">
        <v>1.4E-2</v>
      </c>
      <c r="AM126" s="229">
        <v>4.5999999999999999E-2</v>
      </c>
      <c r="AO126" s="223">
        <v>0</v>
      </c>
      <c r="AP126" s="225" t="s">
        <v>1528</v>
      </c>
      <c r="AQ126" s="223">
        <v>79879808981</v>
      </c>
      <c r="AR126" s="225" t="s">
        <v>882</v>
      </c>
      <c r="AS126" s="224">
        <v>35488</v>
      </c>
      <c r="AT126" s="225" t="s">
        <v>1335</v>
      </c>
      <c r="AU126" s="225" t="s">
        <v>997</v>
      </c>
      <c r="AV126" s="225" t="s">
        <v>879</v>
      </c>
      <c r="AW126" s="225" t="s">
        <v>172</v>
      </c>
      <c r="AX126" t="s">
        <v>2168</v>
      </c>
      <c r="AY126" s="224"/>
      <c r="AZ126" s="223" t="s">
        <v>1502</v>
      </c>
      <c r="BL126" s="223"/>
    </row>
    <row r="127" spans="1:64" x14ac:dyDescent="0.25">
      <c r="A127" s="223">
        <v>2468</v>
      </c>
      <c r="B127" s="223">
        <v>7</v>
      </c>
      <c r="C127" s="224">
        <v>45554</v>
      </c>
      <c r="D127" s="225" t="s">
        <v>1529</v>
      </c>
      <c r="E127" s="225" t="s">
        <v>859</v>
      </c>
      <c r="F127" s="225" t="s">
        <v>860</v>
      </c>
      <c r="G127" s="223" t="s">
        <v>861</v>
      </c>
      <c r="H127" s="224"/>
      <c r="I127" s="224">
        <v>45559</v>
      </c>
      <c r="J127" s="225" t="s">
        <v>1827</v>
      </c>
      <c r="K127" s="225" t="s">
        <v>98</v>
      </c>
      <c r="L127" s="225" t="s">
        <v>4</v>
      </c>
      <c r="M127" s="223">
        <v>1</v>
      </c>
      <c r="N127" s="223">
        <v>8</v>
      </c>
      <c r="O127" s="223">
        <v>160</v>
      </c>
      <c r="P127" s="223">
        <v>2</v>
      </c>
      <c r="Q127" s="223">
        <v>60.22</v>
      </c>
      <c r="R127" s="225" t="s">
        <v>14</v>
      </c>
      <c r="S127" s="230">
        <v>7074500</v>
      </c>
      <c r="T127" s="226">
        <v>117477.58</v>
      </c>
      <c r="U127" s="228"/>
      <c r="V127" s="226">
        <v>7074500</v>
      </c>
      <c r="W127" s="226">
        <v>117477.58219860512</v>
      </c>
      <c r="X127" s="228">
        <v>1204400</v>
      </c>
      <c r="Y127" s="228">
        <f>Юрист[[#This Row],[Итоговая цена м2 с отделкой]]-Юрист[[#This Row],[Итоговая цена м2 без отделки]]</f>
        <v>20000</v>
      </c>
      <c r="Z127" s="226">
        <v>5870100</v>
      </c>
      <c r="AA127" s="223">
        <v>97477.582198605116</v>
      </c>
      <c r="AB127" s="225" t="s">
        <v>171</v>
      </c>
      <c r="AC127" s="226">
        <v>100000</v>
      </c>
      <c r="AD127" s="225" t="s">
        <v>862</v>
      </c>
      <c r="AE127" s="225" t="s">
        <v>863</v>
      </c>
      <c r="AF127" s="226">
        <v>791619.22</v>
      </c>
      <c r="AG127" s="226">
        <v>5652500</v>
      </c>
      <c r="AH127" s="226">
        <v>630380.78</v>
      </c>
      <c r="AI127" s="226"/>
      <c r="AJ127" s="226"/>
      <c r="AK127" s="223" t="s">
        <v>864</v>
      </c>
      <c r="AL127" s="227">
        <v>1.4E-2</v>
      </c>
      <c r="AM127" s="229">
        <v>4.5999999999999999E-2</v>
      </c>
      <c r="AO127" s="223">
        <v>0</v>
      </c>
      <c r="AP127" s="225" t="s">
        <v>1530</v>
      </c>
      <c r="AQ127" s="223">
        <v>79171591303</v>
      </c>
      <c r="AR127" s="225" t="s">
        <v>882</v>
      </c>
      <c r="AS127" s="224">
        <v>34602</v>
      </c>
      <c r="AT127" s="225" t="s">
        <v>888</v>
      </c>
      <c r="AU127" s="225" t="s">
        <v>997</v>
      </c>
      <c r="AV127" s="225" t="s">
        <v>1292</v>
      </c>
      <c r="AW127" s="225" t="s">
        <v>172</v>
      </c>
      <c r="AX127" t="s">
        <v>2172</v>
      </c>
      <c r="AY127" s="224"/>
      <c r="BL127" s="223"/>
    </row>
    <row r="128" spans="1:64" x14ac:dyDescent="0.25">
      <c r="A128" s="223">
        <v>2465</v>
      </c>
      <c r="B128" s="223">
        <v>4</v>
      </c>
      <c r="C128" s="224">
        <v>45548</v>
      </c>
      <c r="D128" s="225" t="s">
        <v>1525</v>
      </c>
      <c r="E128" s="225" t="s">
        <v>859</v>
      </c>
      <c r="F128" s="225" t="s">
        <v>860</v>
      </c>
      <c r="G128" s="223" t="s">
        <v>861</v>
      </c>
      <c r="H128" s="224"/>
      <c r="I128" s="224">
        <v>45553</v>
      </c>
      <c r="J128" s="225" t="s">
        <v>2033</v>
      </c>
      <c r="K128" s="225" t="s">
        <v>98</v>
      </c>
      <c r="L128" s="225" t="s">
        <v>2</v>
      </c>
      <c r="M128" s="223">
        <v>4</v>
      </c>
      <c r="N128" s="223">
        <v>10</v>
      </c>
      <c r="O128" s="223">
        <v>464</v>
      </c>
      <c r="P128" s="223">
        <v>2</v>
      </c>
      <c r="Q128" s="223">
        <v>58.24</v>
      </c>
      <c r="R128" s="225" t="s">
        <v>14</v>
      </c>
      <c r="S128" s="230">
        <v>6661305</v>
      </c>
      <c r="T128" s="226">
        <v>114376.8</v>
      </c>
      <c r="U128" s="228"/>
      <c r="V128" s="226">
        <v>6661305</v>
      </c>
      <c r="W128" s="226">
        <v>114376.80288461538</v>
      </c>
      <c r="X128" s="228">
        <v>1164800</v>
      </c>
      <c r="Y128" s="228">
        <f>Юрист[[#This Row],[Итоговая цена м2 с отделкой]]-Юрист[[#This Row],[Итоговая цена м2 без отделки]]</f>
        <v>20000</v>
      </c>
      <c r="Z128" s="226">
        <v>5496505</v>
      </c>
      <c r="AA128" s="223">
        <v>94376.802884615376</v>
      </c>
      <c r="AB128" s="225" t="s">
        <v>767</v>
      </c>
      <c r="AC128" s="226">
        <v>169995</v>
      </c>
      <c r="AD128" s="225" t="s">
        <v>862</v>
      </c>
      <c r="AE128" s="225" t="s">
        <v>863</v>
      </c>
      <c r="AF128" s="226">
        <v>708619.22</v>
      </c>
      <c r="AG128" s="226">
        <v>5322305</v>
      </c>
      <c r="AH128" s="226">
        <v>630380.78</v>
      </c>
      <c r="AI128" s="226"/>
      <c r="AJ128" s="226"/>
      <c r="AK128" s="223" t="s">
        <v>864</v>
      </c>
      <c r="AL128" s="227">
        <v>1.4E-2</v>
      </c>
      <c r="AM128" s="229">
        <v>4.5999999999999999E-2</v>
      </c>
      <c r="AO128" s="223">
        <v>0</v>
      </c>
      <c r="AP128" s="225" t="s">
        <v>1526</v>
      </c>
      <c r="AQ128" s="223">
        <v>79270002351</v>
      </c>
      <c r="AR128" s="225" t="s">
        <v>882</v>
      </c>
      <c r="AS128" s="224">
        <v>36133</v>
      </c>
      <c r="AT128" s="225" t="s">
        <v>878</v>
      </c>
      <c r="AU128" s="225" t="s">
        <v>868</v>
      </c>
      <c r="AV128" s="225" t="s">
        <v>879</v>
      </c>
      <c r="AW128" s="225" t="s">
        <v>172</v>
      </c>
      <c r="AX128" t="s">
        <v>2172</v>
      </c>
      <c r="AY128" s="224"/>
      <c r="BL128" s="223"/>
    </row>
    <row r="129" spans="1:64" x14ac:dyDescent="0.25">
      <c r="A129" s="223">
        <v>2463</v>
      </c>
      <c r="B129" s="223">
        <v>2</v>
      </c>
      <c r="C129" s="224">
        <v>45544</v>
      </c>
      <c r="D129" s="225" t="s">
        <v>1523</v>
      </c>
      <c r="E129" s="225" t="s">
        <v>859</v>
      </c>
      <c r="F129" s="225" t="s">
        <v>860</v>
      </c>
      <c r="G129" s="223" t="s">
        <v>861</v>
      </c>
      <c r="H129" s="224"/>
      <c r="I129" s="224">
        <v>45547</v>
      </c>
      <c r="J129" s="225" t="s">
        <v>1965</v>
      </c>
      <c r="K129" s="225" t="s">
        <v>98</v>
      </c>
      <c r="L129" s="225" t="s">
        <v>3</v>
      </c>
      <c r="M129" s="223">
        <v>2</v>
      </c>
      <c r="N129" s="223">
        <v>23</v>
      </c>
      <c r="O129" s="223">
        <v>377</v>
      </c>
      <c r="P129" s="223">
        <v>0</v>
      </c>
      <c r="Q129" s="223">
        <v>24.53</v>
      </c>
      <c r="R129" s="225" t="s">
        <v>14</v>
      </c>
      <c r="S129" s="230">
        <v>3863600</v>
      </c>
      <c r="T129" s="226">
        <v>157505.1</v>
      </c>
      <c r="U129" s="228"/>
      <c r="V129" s="226">
        <v>3863600</v>
      </c>
      <c r="W129" s="226">
        <v>157505.09580105991</v>
      </c>
      <c r="X129" s="228">
        <v>490600</v>
      </c>
      <c r="Y129" s="228">
        <f>Юрист[[#This Row],[Итоговая цена м2 с отделкой]]-Юрист[[#This Row],[Итоговая цена м2 без отделки]]</f>
        <v>20000</v>
      </c>
      <c r="Z129" s="226">
        <v>3373000</v>
      </c>
      <c r="AA129" s="223">
        <v>137505.09580105991</v>
      </c>
      <c r="AB129" s="225"/>
      <c r="AD129" s="225" t="s">
        <v>862</v>
      </c>
      <c r="AE129" s="225" t="s">
        <v>863</v>
      </c>
      <c r="AF129" s="226">
        <v>146619.22</v>
      </c>
      <c r="AG129" s="226">
        <v>3086600</v>
      </c>
      <c r="AH129" s="226">
        <v>630380.78</v>
      </c>
      <c r="AI129" s="226"/>
      <c r="AJ129" s="226"/>
      <c r="AK129" s="223" t="s">
        <v>864</v>
      </c>
      <c r="AL129" s="227">
        <v>1.4E-2</v>
      </c>
      <c r="AM129" s="229">
        <v>4.5999999999999999E-2</v>
      </c>
      <c r="AO129" s="223">
        <v>0</v>
      </c>
      <c r="AP129" s="225" t="s">
        <v>1524</v>
      </c>
      <c r="AQ129" s="223">
        <v>79178168278</v>
      </c>
      <c r="AR129" s="225" t="s">
        <v>882</v>
      </c>
      <c r="AS129" s="224">
        <v>35311</v>
      </c>
      <c r="AT129" s="225" t="s">
        <v>867</v>
      </c>
      <c r="AU129" s="225" t="s">
        <v>899</v>
      </c>
      <c r="AV129" s="225" t="s">
        <v>1292</v>
      </c>
      <c r="AW129" s="225" t="s">
        <v>172</v>
      </c>
      <c r="AX129" t="s">
        <v>2168</v>
      </c>
      <c r="AY129" s="224"/>
      <c r="BL129" s="223"/>
    </row>
    <row r="130" spans="1:64" x14ac:dyDescent="0.25">
      <c r="A130" s="223">
        <v>2460</v>
      </c>
      <c r="B130" s="223">
        <v>20</v>
      </c>
      <c r="C130" s="224">
        <v>45535</v>
      </c>
      <c r="D130" s="225" t="s">
        <v>1521</v>
      </c>
      <c r="E130" s="225" t="s">
        <v>859</v>
      </c>
      <c r="F130" s="225" t="s">
        <v>860</v>
      </c>
      <c r="G130" s="223" t="s">
        <v>861</v>
      </c>
      <c r="H130" s="224"/>
      <c r="I130" s="224">
        <v>45535</v>
      </c>
      <c r="J130" s="225" t="s">
        <v>1953</v>
      </c>
      <c r="K130" s="225" t="s">
        <v>98</v>
      </c>
      <c r="L130" s="225" t="s">
        <v>3</v>
      </c>
      <c r="M130" s="223">
        <v>6</v>
      </c>
      <c r="N130" s="223">
        <v>18</v>
      </c>
      <c r="O130" s="223">
        <v>346</v>
      </c>
      <c r="P130" s="223">
        <v>3</v>
      </c>
      <c r="Q130" s="223">
        <v>80.97</v>
      </c>
      <c r="R130" s="225" t="s">
        <v>12</v>
      </c>
      <c r="S130" s="230">
        <v>7296278</v>
      </c>
      <c r="T130" s="226">
        <v>90110.88</v>
      </c>
      <c r="U130" s="228">
        <v>15000</v>
      </c>
      <c r="V130" s="226">
        <v>7311278</v>
      </c>
      <c r="W130" s="226">
        <v>90296.134370754604</v>
      </c>
      <c r="X130" s="228"/>
      <c r="Y130" s="228">
        <f>Юрист[[#This Row],[Итоговая цена м2 с отделкой]]-Юрист[[#This Row],[Итоговая цена м2 без отделки]]</f>
        <v>0</v>
      </c>
      <c r="Z130" s="226">
        <v>7311278</v>
      </c>
      <c r="AA130" s="223">
        <v>90296.134370754604</v>
      </c>
      <c r="AB130" s="225" t="s">
        <v>167</v>
      </c>
      <c r="AC130" s="226">
        <v>226122.00000000093</v>
      </c>
      <c r="AD130" s="225" t="s">
        <v>862</v>
      </c>
      <c r="AE130" s="225" t="s">
        <v>863</v>
      </c>
      <c r="AF130" s="226">
        <v>1785000</v>
      </c>
      <c r="AG130" s="226">
        <v>5511278</v>
      </c>
      <c r="AH130" s="226"/>
      <c r="AI130" s="226"/>
      <c r="AJ130" s="226"/>
      <c r="AK130" s="223" t="s">
        <v>864</v>
      </c>
      <c r="AL130" s="227">
        <v>1.4E-2</v>
      </c>
      <c r="AM130" s="229">
        <v>4.5999999999999999E-2</v>
      </c>
      <c r="AO130" s="223">
        <v>0</v>
      </c>
      <c r="AP130" s="225" t="s">
        <v>1522</v>
      </c>
      <c r="AQ130" s="223">
        <v>79170142604</v>
      </c>
      <c r="AR130" s="225" t="s">
        <v>882</v>
      </c>
      <c r="AS130" s="224">
        <v>35823</v>
      </c>
      <c r="AT130" s="225" t="s">
        <v>885</v>
      </c>
      <c r="AU130" s="225" t="s">
        <v>899</v>
      </c>
      <c r="AV130" s="225" t="s">
        <v>879</v>
      </c>
      <c r="AW130" s="225" t="s">
        <v>172</v>
      </c>
      <c r="AX130" t="s">
        <v>2172</v>
      </c>
      <c r="AY130" s="224"/>
      <c r="BL130" s="223"/>
    </row>
    <row r="131" spans="1:64" x14ac:dyDescent="0.25">
      <c r="A131" s="223">
        <v>2459</v>
      </c>
      <c r="B131" s="223">
        <v>19</v>
      </c>
      <c r="C131" s="224">
        <v>45534</v>
      </c>
      <c r="D131" s="225" t="s">
        <v>1517</v>
      </c>
      <c r="E131" s="225" t="s">
        <v>859</v>
      </c>
      <c r="F131" s="225" t="s">
        <v>860</v>
      </c>
      <c r="G131" s="223" t="s">
        <v>926</v>
      </c>
      <c r="H131" s="224"/>
      <c r="I131" s="224">
        <v>45535</v>
      </c>
      <c r="J131" s="225" t="s">
        <v>2067</v>
      </c>
      <c r="K131" s="225" t="s">
        <v>98</v>
      </c>
      <c r="L131" s="225" t="s">
        <v>2</v>
      </c>
      <c r="M131" s="223">
        <v>7</v>
      </c>
      <c r="N131" s="223">
        <v>15</v>
      </c>
      <c r="O131" s="223">
        <v>507</v>
      </c>
      <c r="P131" s="223">
        <v>3</v>
      </c>
      <c r="Q131" s="223">
        <v>79.44</v>
      </c>
      <c r="R131" s="225" t="s">
        <v>14</v>
      </c>
      <c r="S131" s="230">
        <v>9538600</v>
      </c>
      <c r="T131" s="226">
        <v>120073.01</v>
      </c>
      <c r="U131" s="228"/>
      <c r="V131" s="226">
        <v>9538600</v>
      </c>
      <c r="W131" s="226">
        <v>120073.0110775428</v>
      </c>
      <c r="X131" s="228">
        <v>1588800</v>
      </c>
      <c r="Y131" s="228">
        <f>Юрист[[#This Row],[Итоговая цена м2 с отделкой]]-Юрист[[#This Row],[Итоговая цена м2 без отделки]]</f>
        <v>20000</v>
      </c>
      <c r="Z131" s="226">
        <v>7949800</v>
      </c>
      <c r="AA131" s="223">
        <v>100073.0110775428</v>
      </c>
      <c r="AB131" s="225"/>
      <c r="AD131" s="225" t="s">
        <v>862</v>
      </c>
      <c r="AE131" s="225" t="s">
        <v>1518</v>
      </c>
      <c r="AF131" s="226">
        <v>4000000</v>
      </c>
      <c r="AG131" s="226">
        <v>4908219.22</v>
      </c>
      <c r="AH131" s="226">
        <v>630380.78</v>
      </c>
      <c r="AI131" s="226"/>
      <c r="AJ131" s="226"/>
      <c r="AL131" s="227"/>
      <c r="AM131" s="229">
        <v>7.9000000000000001E-2</v>
      </c>
      <c r="AO131" s="223">
        <v>0</v>
      </c>
      <c r="AP131" s="225" t="s">
        <v>1519</v>
      </c>
      <c r="AQ131" s="223">
        <v>79128677518</v>
      </c>
      <c r="AR131" s="225" t="s">
        <v>882</v>
      </c>
      <c r="AS131" s="224">
        <v>30304</v>
      </c>
      <c r="AT131" s="225" t="s">
        <v>1061</v>
      </c>
      <c r="AU131" s="225" t="s">
        <v>899</v>
      </c>
      <c r="AV131" s="225" t="s">
        <v>1292</v>
      </c>
      <c r="AW131" s="225" t="s">
        <v>172</v>
      </c>
      <c r="AX131" t="s">
        <v>2172</v>
      </c>
      <c r="AY131" s="224"/>
      <c r="AZ131" s="223" t="s">
        <v>1520</v>
      </c>
      <c r="BL131" s="223"/>
    </row>
    <row r="132" spans="1:64" x14ac:dyDescent="0.25">
      <c r="A132" s="223">
        <v>2456</v>
      </c>
      <c r="B132" s="223">
        <v>16</v>
      </c>
      <c r="C132" s="224">
        <v>45533</v>
      </c>
      <c r="D132" s="225" t="s">
        <v>1511</v>
      </c>
      <c r="E132" s="225" t="s">
        <v>859</v>
      </c>
      <c r="F132" s="225" t="s">
        <v>860</v>
      </c>
      <c r="G132" s="223" t="s">
        <v>861</v>
      </c>
      <c r="H132" s="224"/>
      <c r="I132" s="224">
        <v>45535</v>
      </c>
      <c r="J132" s="225" t="s">
        <v>1936</v>
      </c>
      <c r="K132" s="225" t="s">
        <v>98</v>
      </c>
      <c r="L132" s="225" t="s">
        <v>3</v>
      </c>
      <c r="M132" s="223">
        <v>2</v>
      </c>
      <c r="N132" s="223">
        <v>15</v>
      </c>
      <c r="O132" s="223">
        <v>321</v>
      </c>
      <c r="P132" s="223">
        <v>0</v>
      </c>
      <c r="Q132" s="223">
        <v>24.53</v>
      </c>
      <c r="R132" s="225" t="s">
        <v>14</v>
      </c>
      <c r="S132" s="230">
        <v>3686900</v>
      </c>
      <c r="T132" s="226">
        <v>150301.67000000001</v>
      </c>
      <c r="U132" s="228"/>
      <c r="V132" s="226">
        <v>3686900</v>
      </c>
      <c r="W132" s="226">
        <v>150301.67142274766</v>
      </c>
      <c r="X132" s="228">
        <v>490599.99999999953</v>
      </c>
      <c r="Y132" s="228">
        <f>Юрист[[#This Row],[Итоговая цена м2 с отделкой]]-Юрист[[#This Row],[Итоговая цена м2 без отделки]]</f>
        <v>20000</v>
      </c>
      <c r="Z132" s="226">
        <v>3196300.0000000005</v>
      </c>
      <c r="AA132" s="223">
        <v>130301.67142274766</v>
      </c>
      <c r="AB132" s="225"/>
      <c r="AD132" s="225" t="s">
        <v>862</v>
      </c>
      <c r="AE132" s="225" t="s">
        <v>863</v>
      </c>
      <c r="AF132" s="226">
        <v>742000</v>
      </c>
      <c r="AG132" s="226">
        <v>2944900</v>
      </c>
      <c r="AH132" s="226"/>
      <c r="AI132" s="226"/>
      <c r="AJ132" s="226"/>
      <c r="AK132" s="223" t="s">
        <v>864</v>
      </c>
      <c r="AL132" s="227">
        <v>1.4E-2</v>
      </c>
      <c r="AM132" s="229">
        <v>4.5999999999999999E-2</v>
      </c>
      <c r="AO132" s="223">
        <v>0</v>
      </c>
      <c r="AP132" s="225" t="s">
        <v>1512</v>
      </c>
      <c r="AQ132" s="223">
        <v>79277137475</v>
      </c>
      <c r="AR132" s="225" t="s">
        <v>866</v>
      </c>
      <c r="AS132" s="224">
        <v>30839</v>
      </c>
      <c r="AT132" s="225" t="s">
        <v>1061</v>
      </c>
      <c r="AU132" s="225" t="s">
        <v>899</v>
      </c>
      <c r="AV132" s="225" t="s">
        <v>1292</v>
      </c>
      <c r="AW132" s="225" t="s">
        <v>172</v>
      </c>
      <c r="AX132" t="s">
        <v>2172</v>
      </c>
      <c r="AY132" s="224"/>
      <c r="BL132" s="223"/>
    </row>
    <row r="133" spans="1:64" x14ac:dyDescent="0.25">
      <c r="A133" s="223">
        <v>2455</v>
      </c>
      <c r="B133" s="223">
        <v>15</v>
      </c>
      <c r="C133" s="224">
        <v>45533</v>
      </c>
      <c r="D133" s="225" t="s">
        <v>1509</v>
      </c>
      <c r="E133" s="225" t="s">
        <v>859</v>
      </c>
      <c r="F133" s="225" t="s">
        <v>860</v>
      </c>
      <c r="G133" s="223" t="s">
        <v>861</v>
      </c>
      <c r="H133" s="224"/>
      <c r="I133" s="224">
        <v>45535</v>
      </c>
      <c r="J133" s="225" t="s">
        <v>1945</v>
      </c>
      <c r="K133" s="225" t="s">
        <v>98</v>
      </c>
      <c r="L133" s="225" t="s">
        <v>3</v>
      </c>
      <c r="M133" s="223">
        <v>7</v>
      </c>
      <c r="N133" s="223">
        <v>16</v>
      </c>
      <c r="O133" s="223">
        <v>333</v>
      </c>
      <c r="P133" s="223">
        <v>1</v>
      </c>
      <c r="Q133" s="223">
        <v>34.81</v>
      </c>
      <c r="R133" s="225" t="s">
        <v>14</v>
      </c>
      <c r="S133" s="230">
        <v>4929500</v>
      </c>
      <c r="T133" s="226">
        <v>141611.60999999999</v>
      </c>
      <c r="U133" s="228"/>
      <c r="V133" s="226">
        <v>4929500</v>
      </c>
      <c r="W133" s="226">
        <v>141611.60586038494</v>
      </c>
      <c r="X133" s="228">
        <v>696200</v>
      </c>
      <c r="Y133" s="228">
        <f>Юрист[[#This Row],[Итоговая цена м2 с отделкой]]-Юрист[[#This Row],[Итоговая цена м2 без отделки]]</f>
        <v>20000</v>
      </c>
      <c r="Z133" s="226">
        <v>4233300</v>
      </c>
      <c r="AA133" s="223">
        <v>121611.60586038494</v>
      </c>
      <c r="AB133" s="225"/>
      <c r="AD133" s="225" t="s">
        <v>862</v>
      </c>
      <c r="AE133" s="225" t="s">
        <v>863</v>
      </c>
      <c r="AF133" s="226">
        <v>991000</v>
      </c>
      <c r="AG133" s="226">
        <v>3938500</v>
      </c>
      <c r="AH133" s="226"/>
      <c r="AI133" s="226"/>
      <c r="AJ133" s="226"/>
      <c r="AK133" s="223" t="s">
        <v>864</v>
      </c>
      <c r="AL133" s="227">
        <v>1.4E-2</v>
      </c>
      <c r="AM133" s="229">
        <v>4.5999999999999999E-2</v>
      </c>
      <c r="AO133" s="223">
        <v>0</v>
      </c>
      <c r="AP133" s="225" t="s">
        <v>1510</v>
      </c>
      <c r="AQ133" s="223">
        <v>79277266359</v>
      </c>
      <c r="AR133" s="225" t="s">
        <v>866</v>
      </c>
      <c r="AS133" s="224">
        <v>26418</v>
      </c>
      <c r="AT133" s="225" t="s">
        <v>888</v>
      </c>
      <c r="AU133" s="225" t="s">
        <v>899</v>
      </c>
      <c r="AV133" s="225" t="s">
        <v>879</v>
      </c>
      <c r="AW133" s="225" t="s">
        <v>172</v>
      </c>
      <c r="AX133" t="s">
        <v>2172</v>
      </c>
      <c r="AY133" s="224"/>
      <c r="AZ133" s="223" t="s">
        <v>1502</v>
      </c>
      <c r="BL133" s="223"/>
    </row>
    <row r="134" spans="1:64" x14ac:dyDescent="0.25">
      <c r="A134" s="223">
        <v>2458</v>
      </c>
      <c r="B134" s="223">
        <v>18</v>
      </c>
      <c r="C134" s="224">
        <v>45533</v>
      </c>
      <c r="D134" s="225" t="s">
        <v>1515</v>
      </c>
      <c r="E134" s="225" t="s">
        <v>859</v>
      </c>
      <c r="F134" s="225" t="s">
        <v>860</v>
      </c>
      <c r="G134" s="223" t="s">
        <v>861</v>
      </c>
      <c r="H134" s="224"/>
      <c r="I134" s="224">
        <v>45535</v>
      </c>
      <c r="J134" s="225" t="s">
        <v>1897</v>
      </c>
      <c r="K134" s="225" t="s">
        <v>98</v>
      </c>
      <c r="L134" s="225" t="s">
        <v>3</v>
      </c>
      <c r="M134" s="223">
        <v>4</v>
      </c>
      <c r="N134" s="223">
        <v>7</v>
      </c>
      <c r="O134" s="223">
        <v>267</v>
      </c>
      <c r="P134" s="223">
        <v>2</v>
      </c>
      <c r="Q134" s="223">
        <v>60.24</v>
      </c>
      <c r="R134" s="225" t="s">
        <v>780</v>
      </c>
      <c r="S134" s="230">
        <v>6362780</v>
      </c>
      <c r="T134" s="226">
        <v>105623.84</v>
      </c>
      <c r="U134" s="228"/>
      <c r="V134" s="226">
        <v>6362780</v>
      </c>
      <c r="W134" s="226">
        <v>105623.83798140771</v>
      </c>
      <c r="X134" s="228">
        <v>421680</v>
      </c>
      <c r="Y134" s="228">
        <f>Юрист[[#This Row],[Итоговая цена м2 с отделкой]]-Юрист[[#This Row],[Итоговая цена м2 без отделки]]</f>
        <v>7000</v>
      </c>
      <c r="Z134" s="226">
        <v>5941100</v>
      </c>
      <c r="AA134" s="223">
        <v>98623.837981407705</v>
      </c>
      <c r="AB134" s="225"/>
      <c r="AD134" s="225" t="s">
        <v>862</v>
      </c>
      <c r="AE134" s="225" t="s">
        <v>863</v>
      </c>
      <c r="AF134" s="226">
        <v>3132399.22</v>
      </c>
      <c r="AG134" s="226">
        <v>2600000</v>
      </c>
      <c r="AH134" s="226">
        <v>630380.78</v>
      </c>
      <c r="AI134" s="226"/>
      <c r="AJ134" s="226"/>
      <c r="AK134" s="223" t="s">
        <v>864</v>
      </c>
      <c r="AL134" s="227">
        <v>1.4E-2</v>
      </c>
      <c r="AM134" s="229">
        <v>4.5999999999999999E-2</v>
      </c>
      <c r="AO134" s="223">
        <v>0</v>
      </c>
      <c r="AP134" s="225" t="s">
        <v>1516</v>
      </c>
      <c r="AQ134" s="223">
        <v>79934640401</v>
      </c>
      <c r="AR134" s="225" t="s">
        <v>866</v>
      </c>
      <c r="AS134" s="224">
        <v>32599</v>
      </c>
      <c r="AT134" s="225" t="s">
        <v>875</v>
      </c>
      <c r="AU134" s="225" t="s">
        <v>997</v>
      </c>
      <c r="AV134" s="225" t="s">
        <v>1292</v>
      </c>
      <c r="AW134" s="225" t="s">
        <v>172</v>
      </c>
      <c r="AX134" t="s">
        <v>2172</v>
      </c>
      <c r="AY134" s="224"/>
      <c r="BL134" s="223"/>
    </row>
    <row r="135" spans="1:64" x14ac:dyDescent="0.25">
      <c r="A135" s="223">
        <v>2457</v>
      </c>
      <c r="B135" s="223">
        <v>17</v>
      </c>
      <c r="C135" s="224">
        <v>45533</v>
      </c>
      <c r="D135" s="225" t="s">
        <v>1513</v>
      </c>
      <c r="E135" s="225" t="s">
        <v>859</v>
      </c>
      <c r="F135" s="225" t="s">
        <v>860</v>
      </c>
      <c r="G135" s="223" t="s">
        <v>861</v>
      </c>
      <c r="H135" s="224"/>
      <c r="I135" s="224">
        <v>45535</v>
      </c>
      <c r="J135" s="225" t="s">
        <v>2017</v>
      </c>
      <c r="K135" s="225" t="s">
        <v>98</v>
      </c>
      <c r="L135" s="225" t="s">
        <v>2</v>
      </c>
      <c r="M135" s="223">
        <v>2</v>
      </c>
      <c r="N135" s="223">
        <v>8</v>
      </c>
      <c r="O135" s="223">
        <v>446</v>
      </c>
      <c r="P135" s="223">
        <v>1</v>
      </c>
      <c r="Q135" s="223">
        <v>43.21</v>
      </c>
      <c r="R135" s="225" t="s">
        <v>14</v>
      </c>
      <c r="S135" s="230">
        <v>5659600</v>
      </c>
      <c r="T135" s="226">
        <v>130978.94</v>
      </c>
      <c r="U135" s="228"/>
      <c r="V135" s="226">
        <v>5659600</v>
      </c>
      <c r="W135" s="226">
        <v>130978.94006017126</v>
      </c>
      <c r="X135" s="228">
        <v>864200</v>
      </c>
      <c r="Y135" s="228">
        <f>Юрист[[#This Row],[Итоговая цена м2 с отделкой]]-Юрист[[#This Row],[Итоговая цена м2 без отделки]]</f>
        <v>20000</v>
      </c>
      <c r="Z135" s="226">
        <v>4795400</v>
      </c>
      <c r="AA135" s="223">
        <v>110978.94006017126</v>
      </c>
      <c r="AB135" s="225"/>
      <c r="AD135" s="225" t="s">
        <v>862</v>
      </c>
      <c r="AE135" s="225" t="s">
        <v>863</v>
      </c>
      <c r="AF135" s="226">
        <v>1450000</v>
      </c>
      <c r="AG135" s="226">
        <v>3579219.22</v>
      </c>
      <c r="AH135" s="226">
        <v>630380.78</v>
      </c>
      <c r="AI135" s="226"/>
      <c r="AJ135" s="226"/>
      <c r="AK135" s="223" t="s">
        <v>864</v>
      </c>
      <c r="AL135" s="227">
        <v>1.4E-2</v>
      </c>
      <c r="AM135" s="229">
        <v>4.5999999999999999E-2</v>
      </c>
      <c r="AO135" s="223">
        <v>0</v>
      </c>
      <c r="AP135" s="225" t="s">
        <v>1514</v>
      </c>
      <c r="AQ135" s="223">
        <v>77775650142</v>
      </c>
      <c r="AR135" s="225" t="s">
        <v>866</v>
      </c>
      <c r="AS135" s="224">
        <v>33773</v>
      </c>
      <c r="AT135" s="225" t="s">
        <v>1285</v>
      </c>
      <c r="AU135" s="225" t="s">
        <v>868</v>
      </c>
      <c r="AV135" s="225" t="s">
        <v>879</v>
      </c>
      <c r="AW135" s="225" t="s">
        <v>172</v>
      </c>
      <c r="AX135" t="s">
        <v>2168</v>
      </c>
      <c r="AY135" s="224"/>
      <c r="BL135" s="223"/>
    </row>
    <row r="136" spans="1:64" x14ac:dyDescent="0.25">
      <c r="A136" s="223">
        <v>2450</v>
      </c>
      <c r="B136" s="223">
        <v>10</v>
      </c>
      <c r="C136" s="224">
        <v>45517</v>
      </c>
      <c r="D136" s="225" t="s">
        <v>1507</v>
      </c>
      <c r="E136" s="225" t="s">
        <v>859</v>
      </c>
      <c r="F136" s="225" t="s">
        <v>860</v>
      </c>
      <c r="G136" s="223" t="s">
        <v>861</v>
      </c>
      <c r="H136" s="224"/>
      <c r="I136" s="224">
        <v>45520</v>
      </c>
      <c r="J136" s="225" t="s">
        <v>1995</v>
      </c>
      <c r="K136" s="225" t="s">
        <v>98</v>
      </c>
      <c r="L136" s="225" t="s">
        <v>2</v>
      </c>
      <c r="M136" s="223">
        <v>1</v>
      </c>
      <c r="N136" s="223">
        <v>5</v>
      </c>
      <c r="O136" s="223">
        <v>421</v>
      </c>
      <c r="P136" s="223">
        <v>0</v>
      </c>
      <c r="Q136" s="223">
        <v>29.4</v>
      </c>
      <c r="R136" s="225" t="s">
        <v>14</v>
      </c>
      <c r="S136" s="230">
        <v>4055800</v>
      </c>
      <c r="T136" s="226">
        <v>137952.38</v>
      </c>
      <c r="U136" s="228"/>
      <c r="V136" s="226">
        <v>4055800</v>
      </c>
      <c r="W136" s="226">
        <v>137952.38095238095</v>
      </c>
      <c r="X136" s="228">
        <v>588000.00000000047</v>
      </c>
      <c r="Y136" s="228">
        <f>Юрист[[#This Row],[Итоговая цена м2 с отделкой]]-Юрист[[#This Row],[Итоговая цена м2 без отделки]]</f>
        <v>20000</v>
      </c>
      <c r="Z136" s="226">
        <v>3467799.9999999995</v>
      </c>
      <c r="AA136" s="223">
        <v>117952.38095238095</v>
      </c>
      <c r="AB136" s="225"/>
      <c r="AD136" s="225" t="s">
        <v>862</v>
      </c>
      <c r="AE136" s="225" t="s">
        <v>863</v>
      </c>
      <c r="AF136" s="226">
        <v>1400000</v>
      </c>
      <c r="AG136" s="226">
        <v>2655800</v>
      </c>
      <c r="AH136" s="226"/>
      <c r="AI136" s="226"/>
      <c r="AJ136" s="226"/>
      <c r="AK136" s="223" t="s">
        <v>864</v>
      </c>
      <c r="AL136" s="227">
        <v>1.4E-2</v>
      </c>
      <c r="AM136" s="229">
        <v>4.5999999999999999E-2</v>
      </c>
      <c r="AO136" s="223">
        <v>0</v>
      </c>
      <c r="AP136" s="225" t="s">
        <v>1508</v>
      </c>
      <c r="AQ136" s="223">
        <v>79277739709</v>
      </c>
      <c r="AR136" s="225" t="s">
        <v>882</v>
      </c>
      <c r="AS136" s="224">
        <v>30768</v>
      </c>
      <c r="AT136" s="225" t="s">
        <v>878</v>
      </c>
      <c r="AU136" s="225" t="s">
        <v>899</v>
      </c>
      <c r="AV136" s="225" t="s">
        <v>879</v>
      </c>
      <c r="AW136" s="225" t="s">
        <v>172</v>
      </c>
      <c r="AX136" t="s">
        <v>2172</v>
      </c>
      <c r="AY136" s="224"/>
      <c r="BL136" s="223"/>
    </row>
    <row r="137" spans="1:64" x14ac:dyDescent="0.25">
      <c r="A137" s="223">
        <v>2447</v>
      </c>
      <c r="B137" s="223">
        <v>7</v>
      </c>
      <c r="C137" s="224">
        <v>45516</v>
      </c>
      <c r="D137" s="225" t="s">
        <v>1499</v>
      </c>
      <c r="E137" s="225" t="s">
        <v>859</v>
      </c>
      <c r="F137" s="225" t="s">
        <v>860</v>
      </c>
      <c r="G137" s="223" t="s">
        <v>861</v>
      </c>
      <c r="H137" s="224"/>
      <c r="I137" s="224">
        <v>45519</v>
      </c>
      <c r="J137" s="225" t="s">
        <v>1984</v>
      </c>
      <c r="K137" s="225" t="s">
        <v>98</v>
      </c>
      <c r="L137" s="225" t="s">
        <v>2</v>
      </c>
      <c r="M137" s="223">
        <v>5</v>
      </c>
      <c r="N137" s="223">
        <v>3</v>
      </c>
      <c r="O137" s="223">
        <v>409</v>
      </c>
      <c r="P137" s="223">
        <v>2</v>
      </c>
      <c r="Q137" s="223">
        <v>57.8</v>
      </c>
      <c r="R137" s="225" t="s">
        <v>780</v>
      </c>
      <c r="S137" s="230">
        <v>5871070</v>
      </c>
      <c r="T137" s="226">
        <v>101575.61</v>
      </c>
      <c r="U137" s="228">
        <v>15000</v>
      </c>
      <c r="V137" s="226">
        <v>5886070</v>
      </c>
      <c r="W137" s="226">
        <v>101835.12110726644</v>
      </c>
      <c r="X137" s="228">
        <v>404600</v>
      </c>
      <c r="Y137" s="228">
        <f>Юрист[[#This Row],[Итоговая цена м2 с отделкой]]-Юрист[[#This Row],[Итоговая цена м2 без отделки]]</f>
        <v>7000</v>
      </c>
      <c r="Z137" s="226">
        <v>5481470</v>
      </c>
      <c r="AA137" s="223">
        <v>94835.121107266445</v>
      </c>
      <c r="AB137" s="225" t="s">
        <v>162</v>
      </c>
      <c r="AC137" s="226">
        <v>169530</v>
      </c>
      <c r="AD137" s="225" t="s">
        <v>862</v>
      </c>
      <c r="AE137" s="225" t="s">
        <v>863</v>
      </c>
      <c r="AF137" s="226">
        <v>3000000</v>
      </c>
      <c r="AG137" s="226">
        <v>2871070</v>
      </c>
      <c r="AH137" s="226"/>
      <c r="AI137" s="226"/>
      <c r="AJ137" s="226"/>
      <c r="AK137" s="223" t="s">
        <v>864</v>
      </c>
      <c r="AL137" s="227">
        <v>1.4E-2</v>
      </c>
      <c r="AM137" s="229">
        <v>4.5999999999999999E-2</v>
      </c>
      <c r="AO137" s="223">
        <v>0</v>
      </c>
      <c r="AP137" s="225" t="s">
        <v>1500</v>
      </c>
      <c r="AQ137" s="223">
        <v>79277898274</v>
      </c>
      <c r="AR137" s="225" t="s">
        <v>866</v>
      </c>
      <c r="AS137" s="224">
        <v>21692</v>
      </c>
      <c r="AT137" s="225" t="s">
        <v>1501</v>
      </c>
      <c r="AU137" s="225" t="s">
        <v>899</v>
      </c>
      <c r="AV137" s="225" t="s">
        <v>879</v>
      </c>
      <c r="AW137" s="225" t="s">
        <v>172</v>
      </c>
      <c r="AX137" t="s">
        <v>2172</v>
      </c>
      <c r="AY137" s="224"/>
      <c r="AZ137" s="223" t="s">
        <v>1502</v>
      </c>
      <c r="BL137" s="223"/>
    </row>
    <row r="138" spans="1:64" x14ac:dyDescent="0.25">
      <c r="A138" s="223">
        <v>2448</v>
      </c>
      <c r="B138" s="223">
        <v>8</v>
      </c>
      <c r="C138" s="224">
        <v>45516</v>
      </c>
      <c r="D138" s="225" t="s">
        <v>1503</v>
      </c>
      <c r="E138" s="225" t="s">
        <v>859</v>
      </c>
      <c r="F138" s="225" t="s">
        <v>860</v>
      </c>
      <c r="G138" s="223" t="s">
        <v>861</v>
      </c>
      <c r="H138" s="224"/>
      <c r="I138" s="224">
        <v>45519</v>
      </c>
      <c r="J138" s="225" t="s">
        <v>1999</v>
      </c>
      <c r="K138" s="225" t="s">
        <v>98</v>
      </c>
      <c r="L138" s="225" t="s">
        <v>2</v>
      </c>
      <c r="M138" s="223">
        <v>5</v>
      </c>
      <c r="N138" s="223">
        <v>5</v>
      </c>
      <c r="O138" s="223">
        <v>425</v>
      </c>
      <c r="P138" s="223">
        <v>2</v>
      </c>
      <c r="Q138" s="223">
        <v>57.8</v>
      </c>
      <c r="R138" s="225" t="s">
        <v>12</v>
      </c>
      <c r="S138" s="230">
        <v>5596400</v>
      </c>
      <c r="T138" s="226">
        <v>96823.53</v>
      </c>
      <c r="U138" s="228"/>
      <c r="V138" s="226">
        <v>5596400</v>
      </c>
      <c r="W138" s="226">
        <v>96823.529411764714</v>
      </c>
      <c r="X138" s="228"/>
      <c r="Y138" s="228">
        <f>Юрист[[#This Row],[Итоговая цена м2 с отделкой]]-Юрист[[#This Row],[Итоговая цена м2 без отделки]]</f>
        <v>0</v>
      </c>
      <c r="Z138" s="226">
        <v>5596400</v>
      </c>
      <c r="AA138" s="223">
        <v>96823.529411764714</v>
      </c>
      <c r="AB138" s="225"/>
      <c r="AD138" s="225" t="s">
        <v>862</v>
      </c>
      <c r="AE138" s="225" t="s">
        <v>863</v>
      </c>
      <c r="AF138" s="226">
        <v>2800000</v>
      </c>
      <c r="AG138" s="226">
        <v>2796400</v>
      </c>
      <c r="AH138" s="226"/>
      <c r="AI138" s="226"/>
      <c r="AJ138" s="226"/>
      <c r="AL138" s="227"/>
      <c r="AM138" s="229">
        <v>0.16800000000000001</v>
      </c>
      <c r="AO138" s="223">
        <v>0</v>
      </c>
      <c r="AP138" s="225" t="s">
        <v>1504</v>
      </c>
      <c r="AQ138" s="223">
        <v>79179502279</v>
      </c>
      <c r="AR138" s="225" t="s">
        <v>866</v>
      </c>
      <c r="AS138" s="224">
        <v>32047</v>
      </c>
      <c r="AT138" s="225" t="s">
        <v>878</v>
      </c>
      <c r="AU138" s="225" t="s">
        <v>899</v>
      </c>
      <c r="AV138" s="225" t="s">
        <v>879</v>
      </c>
      <c r="AW138" s="225" t="s">
        <v>172</v>
      </c>
      <c r="AX138" t="s">
        <v>2172</v>
      </c>
      <c r="AY138" s="224"/>
      <c r="BL138" s="223"/>
    </row>
    <row r="139" spans="1:64" x14ac:dyDescent="0.25">
      <c r="A139" s="223">
        <v>2449</v>
      </c>
      <c r="B139" s="223">
        <v>9</v>
      </c>
      <c r="C139" s="224">
        <v>45516</v>
      </c>
      <c r="D139" s="225" t="s">
        <v>1505</v>
      </c>
      <c r="E139" s="225" t="s">
        <v>859</v>
      </c>
      <c r="F139" s="225" t="s">
        <v>860</v>
      </c>
      <c r="G139" s="223" t="s">
        <v>861</v>
      </c>
      <c r="H139" s="224"/>
      <c r="I139" s="224">
        <v>45519</v>
      </c>
      <c r="J139" s="225" t="s">
        <v>1743</v>
      </c>
      <c r="K139" s="225" t="s">
        <v>98</v>
      </c>
      <c r="L139" s="225" t="s">
        <v>5</v>
      </c>
      <c r="M139" s="223">
        <v>2</v>
      </c>
      <c r="N139" s="223">
        <v>6</v>
      </c>
      <c r="O139" s="223">
        <v>36</v>
      </c>
      <c r="P139" s="223">
        <v>2</v>
      </c>
      <c r="Q139" s="223">
        <v>68.5</v>
      </c>
      <c r="R139" s="225" t="s">
        <v>780</v>
      </c>
      <c r="S139" s="230">
        <v>7330700</v>
      </c>
      <c r="T139" s="226">
        <v>107017.52</v>
      </c>
      <c r="U139" s="228"/>
      <c r="V139" s="226">
        <v>7330700</v>
      </c>
      <c r="W139" s="226">
        <v>107017.51824817518</v>
      </c>
      <c r="X139" s="228">
        <v>479500</v>
      </c>
      <c r="Y139" s="228">
        <f>Юрист[[#This Row],[Итоговая цена м2 с отделкой]]-Юрист[[#This Row],[Итоговая цена м2 без отделки]]</f>
        <v>7000</v>
      </c>
      <c r="Z139" s="226">
        <v>6851200</v>
      </c>
      <c r="AA139" s="223">
        <v>100017.51824817518</v>
      </c>
      <c r="AB139" s="225"/>
      <c r="AD139" s="225" t="s">
        <v>862</v>
      </c>
      <c r="AE139" s="225" t="s">
        <v>863</v>
      </c>
      <c r="AF139" s="226">
        <v>1475000</v>
      </c>
      <c r="AG139" s="226">
        <v>5855700</v>
      </c>
      <c r="AH139" s="226"/>
      <c r="AI139" s="226"/>
      <c r="AJ139" s="226"/>
      <c r="AK139" s="223" t="s">
        <v>864</v>
      </c>
      <c r="AL139" s="227">
        <v>1.4E-2</v>
      </c>
      <c r="AM139" s="229">
        <v>4.5999999999999999E-2</v>
      </c>
      <c r="AO139" s="223">
        <v>0</v>
      </c>
      <c r="AP139" s="225" t="s">
        <v>1506</v>
      </c>
      <c r="AQ139" s="223">
        <v>79272074787</v>
      </c>
      <c r="AR139" s="225" t="s">
        <v>882</v>
      </c>
      <c r="AS139" s="224">
        <v>31495</v>
      </c>
      <c r="AT139" s="225" t="s">
        <v>888</v>
      </c>
      <c r="AU139" s="225" t="s">
        <v>899</v>
      </c>
      <c r="AV139" s="225" t="s">
        <v>1292</v>
      </c>
      <c r="AW139" s="225" t="s">
        <v>172</v>
      </c>
      <c r="AX139" t="s">
        <v>2172</v>
      </c>
      <c r="AY139" s="224"/>
      <c r="BL139" s="223"/>
    </row>
    <row r="140" spans="1:64" x14ac:dyDescent="0.25">
      <c r="A140" s="223">
        <v>2445</v>
      </c>
      <c r="B140" s="223">
        <v>5</v>
      </c>
      <c r="C140" s="224">
        <v>45512</v>
      </c>
      <c r="D140" s="225" t="s">
        <v>1496</v>
      </c>
      <c r="E140" s="225" t="s">
        <v>859</v>
      </c>
      <c r="F140" s="225" t="s">
        <v>860</v>
      </c>
      <c r="G140" s="223" t="s">
        <v>861</v>
      </c>
      <c r="H140" s="224"/>
      <c r="I140" s="224">
        <v>45517</v>
      </c>
      <c r="J140" s="225" t="s">
        <v>2085</v>
      </c>
      <c r="K140" s="225" t="s">
        <v>98</v>
      </c>
      <c r="L140" s="225" t="s">
        <v>2</v>
      </c>
      <c r="M140" s="223">
        <v>8</v>
      </c>
      <c r="N140" s="223">
        <v>18</v>
      </c>
      <c r="O140" s="223">
        <v>532</v>
      </c>
      <c r="P140" s="223">
        <v>1</v>
      </c>
      <c r="Q140" s="223">
        <v>39.69</v>
      </c>
      <c r="R140" s="225" t="s">
        <v>12</v>
      </c>
      <c r="S140" s="230">
        <v>4466500</v>
      </c>
      <c r="T140" s="226">
        <v>112534.64</v>
      </c>
      <c r="U140" s="228"/>
      <c r="V140" s="226">
        <v>4466500</v>
      </c>
      <c r="W140" s="226">
        <v>112534.64348702444</v>
      </c>
      <c r="X140" s="228"/>
      <c r="Y140" s="228">
        <f>Юрист[[#This Row],[Итоговая цена м2 с отделкой]]-Юрист[[#This Row],[Итоговая цена м2 без отделки]]</f>
        <v>0</v>
      </c>
      <c r="Z140" s="226">
        <v>4466500</v>
      </c>
      <c r="AA140" s="223">
        <v>112534.64348702444</v>
      </c>
      <c r="AB140" s="225"/>
      <c r="AD140" s="225" t="s">
        <v>862</v>
      </c>
      <c r="AE140" s="225" t="s">
        <v>863</v>
      </c>
      <c r="AF140" s="226">
        <v>267468</v>
      </c>
      <c r="AG140" s="226">
        <v>3568651.22</v>
      </c>
      <c r="AH140" s="226">
        <v>630380.78</v>
      </c>
      <c r="AI140" s="226"/>
      <c r="AJ140" s="226"/>
      <c r="AK140" s="223" t="s">
        <v>864</v>
      </c>
      <c r="AL140" s="227">
        <v>1.4E-2</v>
      </c>
      <c r="AM140" s="229">
        <v>4.5999999999999999E-2</v>
      </c>
      <c r="AO140" s="223">
        <v>0</v>
      </c>
      <c r="AP140" s="225" t="s">
        <v>1497</v>
      </c>
      <c r="AQ140" s="223">
        <v>79297036342</v>
      </c>
      <c r="AR140" s="225" t="s">
        <v>866</v>
      </c>
      <c r="AS140" s="224">
        <v>37280</v>
      </c>
      <c r="AT140" s="225" t="s">
        <v>1498</v>
      </c>
      <c r="AU140" s="225" t="s">
        <v>899</v>
      </c>
      <c r="AV140" s="225" t="s">
        <v>879</v>
      </c>
      <c r="AW140" s="225" t="s">
        <v>172</v>
      </c>
      <c r="AX140" t="s">
        <v>2168</v>
      </c>
      <c r="AY140" s="224"/>
      <c r="BL140" s="223"/>
    </row>
    <row r="141" spans="1:64" x14ac:dyDescent="0.25">
      <c r="A141" s="223">
        <v>2442</v>
      </c>
      <c r="B141" s="223">
        <v>2</v>
      </c>
      <c r="C141" s="224">
        <v>45507</v>
      </c>
      <c r="D141" s="225" t="s">
        <v>1492</v>
      </c>
      <c r="E141" s="225" t="s">
        <v>859</v>
      </c>
      <c r="F141" s="225" t="s">
        <v>860</v>
      </c>
      <c r="G141" s="223" t="s">
        <v>861</v>
      </c>
      <c r="H141" s="224"/>
      <c r="I141" s="224">
        <v>45511</v>
      </c>
      <c r="J141" s="225" t="s">
        <v>1912</v>
      </c>
      <c r="K141" s="225" t="s">
        <v>98</v>
      </c>
      <c r="L141" s="225" t="s">
        <v>3</v>
      </c>
      <c r="M141" s="223">
        <v>2</v>
      </c>
      <c r="N141" s="223">
        <v>10</v>
      </c>
      <c r="O141" s="223">
        <v>286</v>
      </c>
      <c r="P141" s="223">
        <v>0</v>
      </c>
      <c r="Q141" s="223">
        <v>24.53</v>
      </c>
      <c r="R141" s="225" t="s">
        <v>12</v>
      </c>
      <c r="S141" s="230">
        <v>3226700</v>
      </c>
      <c r="T141" s="226">
        <v>131540.97</v>
      </c>
      <c r="U141" s="228"/>
      <c r="V141" s="226">
        <v>3226700</v>
      </c>
      <c r="W141" s="226">
        <v>131540.9702405218</v>
      </c>
      <c r="X141" s="228"/>
      <c r="Y141" s="228">
        <f>Юрист[[#This Row],[Итоговая цена м2 с отделкой]]-Юрист[[#This Row],[Итоговая цена м2 без отделки]]</f>
        <v>0</v>
      </c>
      <c r="Z141" s="226">
        <v>3226700</v>
      </c>
      <c r="AA141" s="223">
        <v>131540.9702405218</v>
      </c>
      <c r="AB141" s="225"/>
      <c r="AD141" s="225" t="s">
        <v>862</v>
      </c>
      <c r="AE141" s="225" t="s">
        <v>863</v>
      </c>
      <c r="AF141" s="226">
        <v>19000</v>
      </c>
      <c r="AG141" s="226">
        <v>2577700</v>
      </c>
      <c r="AH141" s="226">
        <v>630000</v>
      </c>
      <c r="AI141" s="226"/>
      <c r="AJ141" s="226"/>
      <c r="AK141" s="223" t="s">
        <v>864</v>
      </c>
      <c r="AL141" s="227">
        <v>1.4E-2</v>
      </c>
      <c r="AM141" s="229">
        <v>4.5999999999999999E-2</v>
      </c>
      <c r="AO141" s="223">
        <v>0</v>
      </c>
      <c r="AP141" s="225" t="s">
        <v>1493</v>
      </c>
      <c r="AQ141" s="223">
        <v>79967374701</v>
      </c>
      <c r="AR141" s="225" t="s">
        <v>866</v>
      </c>
      <c r="AS141" s="224">
        <v>36935</v>
      </c>
      <c r="AT141" s="225" t="s">
        <v>1218</v>
      </c>
      <c r="AU141" s="225" t="s">
        <v>997</v>
      </c>
      <c r="AV141" s="225" t="s">
        <v>879</v>
      </c>
      <c r="AW141" s="225" t="s">
        <v>172</v>
      </c>
      <c r="AX141" t="s">
        <v>2172</v>
      </c>
      <c r="AY141" s="224"/>
      <c r="BL141" s="223"/>
    </row>
    <row r="142" spans="1:64" x14ac:dyDescent="0.25">
      <c r="A142" s="223">
        <v>2443</v>
      </c>
      <c r="B142" s="223">
        <v>3</v>
      </c>
      <c r="C142" s="224">
        <v>45507</v>
      </c>
      <c r="D142" s="225" t="s">
        <v>1494</v>
      </c>
      <c r="E142" s="225" t="s">
        <v>859</v>
      </c>
      <c r="F142" s="225" t="s">
        <v>860</v>
      </c>
      <c r="G142" s="223" t="s">
        <v>861</v>
      </c>
      <c r="H142" s="224"/>
      <c r="I142" s="224">
        <v>45511</v>
      </c>
      <c r="J142" s="225" t="s">
        <v>2051</v>
      </c>
      <c r="K142" s="225" t="s">
        <v>98</v>
      </c>
      <c r="L142" s="225" t="s">
        <v>2</v>
      </c>
      <c r="M142" s="223">
        <v>3</v>
      </c>
      <c r="N142" s="223">
        <v>13</v>
      </c>
      <c r="O142" s="223">
        <v>487</v>
      </c>
      <c r="P142" s="223">
        <v>0</v>
      </c>
      <c r="Q142" s="223">
        <v>24.5</v>
      </c>
      <c r="R142" s="225" t="s">
        <v>12</v>
      </c>
      <c r="S142" s="230">
        <v>2990400</v>
      </c>
      <c r="T142" s="226">
        <v>122057.14</v>
      </c>
      <c r="U142" s="228"/>
      <c r="V142" s="226">
        <v>2990400</v>
      </c>
      <c r="W142" s="226">
        <v>122057.14285714286</v>
      </c>
      <c r="X142" s="228"/>
      <c r="Y142" s="228">
        <f>Юрист[[#This Row],[Итоговая цена м2 с отделкой]]-Юрист[[#This Row],[Итоговая цена м2 без отделки]]</f>
        <v>0</v>
      </c>
      <c r="Z142" s="226">
        <v>2990400</v>
      </c>
      <c r="AA142" s="223">
        <v>122057.14285714286</v>
      </c>
      <c r="AB142" s="225"/>
      <c r="AD142" s="225" t="s">
        <v>901</v>
      </c>
      <c r="AE142" s="225" t="s">
        <v>902</v>
      </c>
      <c r="AF142" s="226"/>
      <c r="AG142" s="226"/>
      <c r="AH142" s="226"/>
      <c r="AI142" s="226"/>
      <c r="AJ142" s="226"/>
      <c r="AL142" s="227"/>
      <c r="AM142" s="229"/>
      <c r="AO142" s="223">
        <v>0</v>
      </c>
      <c r="AP142" s="225" t="s">
        <v>1495</v>
      </c>
      <c r="AQ142" s="223">
        <v>79171537524</v>
      </c>
      <c r="AR142" s="225" t="s">
        <v>866</v>
      </c>
      <c r="AS142" s="224">
        <v>25782</v>
      </c>
      <c r="AT142" s="225" t="s">
        <v>907</v>
      </c>
      <c r="AU142" s="225" t="s">
        <v>899</v>
      </c>
      <c r="AV142" s="225" t="s">
        <v>902</v>
      </c>
      <c r="AW142" s="225" t="s">
        <v>2274</v>
      </c>
      <c r="AX142" t="s">
        <v>2172</v>
      </c>
      <c r="AY142" s="224">
        <v>45797</v>
      </c>
      <c r="BL142" s="223"/>
    </row>
    <row r="143" spans="1:64" x14ac:dyDescent="0.25">
      <c r="A143" s="223">
        <v>2441</v>
      </c>
      <c r="B143" s="223">
        <v>1</v>
      </c>
      <c r="C143" s="224">
        <v>45505</v>
      </c>
      <c r="D143" s="225" t="s">
        <v>1490</v>
      </c>
      <c r="E143" s="225" t="s">
        <v>859</v>
      </c>
      <c r="F143" s="225" t="s">
        <v>860</v>
      </c>
      <c r="G143" s="223" t="s">
        <v>926</v>
      </c>
      <c r="H143" s="224"/>
      <c r="I143" s="224">
        <v>45510</v>
      </c>
      <c r="J143" s="225" t="s">
        <v>2001</v>
      </c>
      <c r="K143" s="225" t="s">
        <v>98</v>
      </c>
      <c r="L143" s="225" t="s">
        <v>2</v>
      </c>
      <c r="M143" s="223">
        <v>8</v>
      </c>
      <c r="N143" s="223">
        <v>5</v>
      </c>
      <c r="O143" s="223">
        <v>428</v>
      </c>
      <c r="P143" s="223">
        <v>1</v>
      </c>
      <c r="Q143" s="223">
        <v>39.69</v>
      </c>
      <c r="R143" s="225" t="s">
        <v>14</v>
      </c>
      <c r="S143" s="230">
        <v>5139600</v>
      </c>
      <c r="T143" s="226">
        <v>129493.58</v>
      </c>
      <c r="U143" s="228">
        <v>15000</v>
      </c>
      <c r="V143" s="226">
        <v>5154600</v>
      </c>
      <c r="W143" s="226">
        <v>129871.50415721846</v>
      </c>
      <c r="X143" s="228">
        <v>793800</v>
      </c>
      <c r="Y143" s="228">
        <f>Юрист[[#This Row],[Итоговая цена м2 с отделкой]]-Юрист[[#This Row],[Итоговая цена м2 без отделки]]</f>
        <v>20000</v>
      </c>
      <c r="Z143" s="226">
        <v>4360800</v>
      </c>
      <c r="AA143" s="223">
        <v>109871.50415721846</v>
      </c>
      <c r="AB143" s="225"/>
      <c r="AD143" s="225" t="s">
        <v>862</v>
      </c>
      <c r="AE143" s="225" t="s">
        <v>1057</v>
      </c>
      <c r="AF143" s="226"/>
      <c r="AG143" s="226">
        <v>3444645</v>
      </c>
      <c r="AH143" s="226"/>
      <c r="AI143" s="226"/>
      <c r="AJ143" s="226">
        <v>1694955</v>
      </c>
      <c r="AK143" s="223" t="s">
        <v>844</v>
      </c>
      <c r="AL143" s="227"/>
      <c r="AM143" s="229">
        <v>0.06</v>
      </c>
      <c r="AO143" s="223">
        <v>0</v>
      </c>
      <c r="AP143" s="225" t="s">
        <v>1491</v>
      </c>
      <c r="AQ143" s="223">
        <v>79216088927</v>
      </c>
      <c r="AR143" s="225" t="s">
        <v>882</v>
      </c>
      <c r="AS143" s="224">
        <v>35190</v>
      </c>
      <c r="AT143" s="225" t="s">
        <v>982</v>
      </c>
      <c r="AU143" s="225" t="s">
        <v>868</v>
      </c>
      <c r="AV143" s="225" t="s">
        <v>879</v>
      </c>
      <c r="AW143" s="225" t="s">
        <v>172</v>
      </c>
      <c r="AX143" t="s">
        <v>2172</v>
      </c>
      <c r="AY143" s="224"/>
      <c r="BL143" s="223"/>
    </row>
    <row r="144" spans="1:64" x14ac:dyDescent="0.25">
      <c r="A144" s="223">
        <v>2439</v>
      </c>
      <c r="B144" s="223">
        <v>16</v>
      </c>
      <c r="C144" s="224">
        <v>45504</v>
      </c>
      <c r="D144" s="225" t="s">
        <v>1486</v>
      </c>
      <c r="E144" s="225" t="s">
        <v>859</v>
      </c>
      <c r="F144" s="225" t="s">
        <v>860</v>
      </c>
      <c r="G144" s="223" t="s">
        <v>861</v>
      </c>
      <c r="H144" s="224"/>
      <c r="I144" s="224">
        <v>45504</v>
      </c>
      <c r="J144" s="225" t="s">
        <v>2041</v>
      </c>
      <c r="K144" s="225" t="s">
        <v>98</v>
      </c>
      <c r="L144" s="225" t="s">
        <v>2</v>
      </c>
      <c r="M144" s="223">
        <v>7</v>
      </c>
      <c r="N144" s="223">
        <v>11</v>
      </c>
      <c r="O144" s="223">
        <v>475</v>
      </c>
      <c r="P144" s="223">
        <v>3</v>
      </c>
      <c r="Q144" s="223">
        <v>79.44</v>
      </c>
      <c r="R144" s="225" t="s">
        <v>14</v>
      </c>
      <c r="S144" s="230">
        <v>9300106</v>
      </c>
      <c r="T144" s="226">
        <v>117070.82</v>
      </c>
      <c r="U144" s="228"/>
      <c r="V144" s="226">
        <v>9300106</v>
      </c>
      <c r="W144" s="226">
        <v>117070.82074521652</v>
      </c>
      <c r="X144" s="228">
        <v>1588800</v>
      </c>
      <c r="Y144" s="228">
        <f>Юрист[[#This Row],[Итоговая цена м2 с отделкой]]-Юрист[[#This Row],[Итоговая цена м2 без отделки]]</f>
        <v>20000</v>
      </c>
      <c r="Z144" s="226">
        <v>7711306</v>
      </c>
      <c r="AA144" s="223">
        <v>97070.820745216522</v>
      </c>
      <c r="AB144" s="225" t="s">
        <v>162</v>
      </c>
      <c r="AC144" s="226">
        <v>238494</v>
      </c>
      <c r="AD144" s="225" t="s">
        <v>862</v>
      </c>
      <c r="AE144" s="225" t="s">
        <v>863</v>
      </c>
      <c r="AF144" s="226">
        <v>2669725.2200000002</v>
      </c>
      <c r="AG144" s="226">
        <v>6000000</v>
      </c>
      <c r="AH144" s="226">
        <v>630380.78</v>
      </c>
      <c r="AI144" s="226"/>
      <c r="AJ144" s="226"/>
      <c r="AK144" s="223" t="s">
        <v>864</v>
      </c>
      <c r="AL144" s="227">
        <v>1.4E-2</v>
      </c>
      <c r="AM144" s="229">
        <v>4.5999999999999999E-2</v>
      </c>
      <c r="AO144" s="223">
        <v>0</v>
      </c>
      <c r="AP144" s="225" t="s">
        <v>1487</v>
      </c>
      <c r="AQ144" s="223">
        <v>79277778380</v>
      </c>
      <c r="AR144" s="225" t="s">
        <v>866</v>
      </c>
      <c r="AS144" s="224">
        <v>32505</v>
      </c>
      <c r="AT144" s="225" t="s">
        <v>1022</v>
      </c>
      <c r="AU144" s="225" t="s">
        <v>899</v>
      </c>
      <c r="AV144" s="225" t="s">
        <v>1292</v>
      </c>
      <c r="AW144" s="225" t="s">
        <v>172</v>
      </c>
      <c r="AX144" t="s">
        <v>2172</v>
      </c>
      <c r="AY144" s="224"/>
      <c r="BL144" s="223"/>
    </row>
    <row r="145" spans="1:64" x14ac:dyDescent="0.25">
      <c r="A145" s="223">
        <v>2440</v>
      </c>
      <c r="B145" s="223">
        <v>17</v>
      </c>
      <c r="C145" s="224">
        <v>45504</v>
      </c>
      <c r="D145" s="225" t="s">
        <v>1488</v>
      </c>
      <c r="E145" s="225" t="s">
        <v>859</v>
      </c>
      <c r="F145" s="225" t="s">
        <v>860</v>
      </c>
      <c r="G145" s="223" t="s">
        <v>861</v>
      </c>
      <c r="H145" s="224"/>
      <c r="I145" s="224">
        <v>45504</v>
      </c>
      <c r="J145" s="225" t="s">
        <v>1859</v>
      </c>
      <c r="K145" s="225" t="s">
        <v>98</v>
      </c>
      <c r="L145" s="225" t="s">
        <v>4</v>
      </c>
      <c r="M145" s="223">
        <v>2</v>
      </c>
      <c r="N145" s="223">
        <v>15</v>
      </c>
      <c r="O145" s="223">
        <v>210</v>
      </c>
      <c r="P145" s="223">
        <v>0</v>
      </c>
      <c r="Q145" s="223">
        <v>24.28</v>
      </c>
      <c r="R145" s="225" t="s">
        <v>14</v>
      </c>
      <c r="S145" s="230">
        <v>3567000</v>
      </c>
      <c r="T145" s="226">
        <v>146911.04000000001</v>
      </c>
      <c r="U145" s="228"/>
      <c r="V145" s="226">
        <v>3567000</v>
      </c>
      <c r="W145" s="226">
        <v>146911.03789126853</v>
      </c>
      <c r="X145" s="228">
        <v>485600</v>
      </c>
      <c r="Y145" s="228">
        <f>Юрист[[#This Row],[Итоговая цена м2 с отделкой]]-Юрист[[#This Row],[Итоговая цена м2 без отделки]]</f>
        <v>20000</v>
      </c>
      <c r="Z145" s="226">
        <v>3081400</v>
      </c>
      <c r="AA145" s="223">
        <v>126911.03789126853</v>
      </c>
      <c r="AB145" s="225"/>
      <c r="AD145" s="225" t="s">
        <v>862</v>
      </c>
      <c r="AE145" s="225" t="s">
        <v>863</v>
      </c>
      <c r="AF145" s="226">
        <v>86619.22</v>
      </c>
      <c r="AG145" s="226">
        <v>2850033</v>
      </c>
      <c r="AH145" s="226">
        <v>630380.78</v>
      </c>
      <c r="AI145" s="226"/>
      <c r="AJ145" s="226"/>
      <c r="AK145" s="223" t="s">
        <v>864</v>
      </c>
      <c r="AL145" s="227">
        <v>1.4E-2</v>
      </c>
      <c r="AM145" s="229">
        <v>4.5999999999999999E-2</v>
      </c>
      <c r="AO145" s="223">
        <v>0</v>
      </c>
      <c r="AP145" s="225" t="s">
        <v>1489</v>
      </c>
      <c r="AQ145" s="223">
        <v>79371721333</v>
      </c>
      <c r="AR145" s="225" t="s">
        <v>866</v>
      </c>
      <c r="AS145" s="224">
        <v>34097</v>
      </c>
      <c r="AT145" s="225" t="s">
        <v>888</v>
      </c>
      <c r="AU145" s="225" t="s">
        <v>997</v>
      </c>
      <c r="AV145" s="225" t="s">
        <v>1292</v>
      </c>
      <c r="AW145" s="225" t="s">
        <v>172</v>
      </c>
      <c r="AX145" t="s">
        <v>2172</v>
      </c>
      <c r="AY145" s="224"/>
      <c r="BL145" s="223"/>
    </row>
    <row r="146" spans="1:64" x14ac:dyDescent="0.25">
      <c r="A146" s="223">
        <v>2437</v>
      </c>
      <c r="B146" s="223">
        <v>14</v>
      </c>
      <c r="C146" s="224">
        <v>45503</v>
      </c>
      <c r="D146" s="225" t="s">
        <v>1484</v>
      </c>
      <c r="E146" s="225" t="s">
        <v>859</v>
      </c>
      <c r="F146" s="225" t="s">
        <v>860</v>
      </c>
      <c r="G146" s="223" t="s">
        <v>861</v>
      </c>
      <c r="H146" s="224"/>
      <c r="I146" s="224">
        <v>45504</v>
      </c>
      <c r="J146" s="225" t="s">
        <v>1774</v>
      </c>
      <c r="K146" s="225" t="s">
        <v>98</v>
      </c>
      <c r="L146" s="225" t="s">
        <v>5</v>
      </c>
      <c r="M146" s="223">
        <v>7</v>
      </c>
      <c r="N146" s="223">
        <v>12</v>
      </c>
      <c r="O146" s="223">
        <v>83</v>
      </c>
      <c r="P146" s="223">
        <v>1</v>
      </c>
      <c r="Q146" s="223">
        <v>42.75</v>
      </c>
      <c r="R146" s="225" t="s">
        <v>780</v>
      </c>
      <c r="S146" s="230">
        <v>4972050</v>
      </c>
      <c r="T146" s="226">
        <v>116305.26</v>
      </c>
      <c r="U146" s="228"/>
      <c r="V146" s="226">
        <v>4972050</v>
      </c>
      <c r="W146" s="226">
        <v>116305.26315789473</v>
      </c>
      <c r="X146" s="228">
        <v>299250</v>
      </c>
      <c r="Y146" s="228">
        <f>Юрист[[#This Row],[Итоговая цена м2 с отделкой]]-Юрист[[#This Row],[Итоговая цена м2 без отделки]]</f>
        <v>7000</v>
      </c>
      <c r="Z146" s="226">
        <v>4672800</v>
      </c>
      <c r="AA146" s="223">
        <v>109305.26315789473</v>
      </c>
      <c r="AB146" s="225" t="s">
        <v>1403</v>
      </c>
      <c r="AC146" s="226">
        <v>50000</v>
      </c>
      <c r="AD146" s="225" t="s">
        <v>862</v>
      </c>
      <c r="AE146" s="225" t="s">
        <v>863</v>
      </c>
      <c r="AF146" s="226">
        <v>166975.26</v>
      </c>
      <c r="AG146" s="226">
        <v>3972050</v>
      </c>
      <c r="AH146" s="226">
        <v>833024.74</v>
      </c>
      <c r="AI146" s="226"/>
      <c r="AJ146" s="226"/>
      <c r="AK146" s="223" t="s">
        <v>864</v>
      </c>
      <c r="AL146" s="227">
        <v>1.4E-2</v>
      </c>
      <c r="AM146" s="229">
        <v>4.5999999999999999E-2</v>
      </c>
      <c r="AO146" s="223">
        <v>0</v>
      </c>
      <c r="AP146" s="225" t="s">
        <v>1485</v>
      </c>
      <c r="AQ146" s="223">
        <v>79277654036</v>
      </c>
      <c r="AR146" s="225" t="s">
        <v>866</v>
      </c>
      <c r="AS146" s="224">
        <v>29713</v>
      </c>
      <c r="AT146" s="225" t="s">
        <v>878</v>
      </c>
      <c r="AU146" s="225" t="s">
        <v>899</v>
      </c>
      <c r="AV146" s="225" t="s">
        <v>1292</v>
      </c>
      <c r="AW146" s="225" t="s">
        <v>172</v>
      </c>
      <c r="AX146" t="s">
        <v>2172</v>
      </c>
      <c r="AY146" s="224"/>
      <c r="BL146" s="223"/>
    </row>
    <row r="147" spans="1:64" x14ac:dyDescent="0.25">
      <c r="A147" s="223">
        <v>2435</v>
      </c>
      <c r="B147" s="223">
        <v>12</v>
      </c>
      <c r="C147" s="224">
        <v>45502</v>
      </c>
      <c r="D147" s="225" t="s">
        <v>1480</v>
      </c>
      <c r="E147" s="225" t="s">
        <v>859</v>
      </c>
      <c r="F147" s="225" t="s">
        <v>860</v>
      </c>
      <c r="G147" s="223" t="s">
        <v>861</v>
      </c>
      <c r="H147" s="224"/>
      <c r="I147" s="224">
        <v>45504</v>
      </c>
      <c r="J147" s="225" t="s">
        <v>1752</v>
      </c>
      <c r="K147" s="225" t="s">
        <v>98</v>
      </c>
      <c r="L147" s="225" t="s">
        <v>5</v>
      </c>
      <c r="M147" s="223">
        <v>6</v>
      </c>
      <c r="N147" s="223">
        <v>7</v>
      </c>
      <c r="O147" s="223">
        <v>47</v>
      </c>
      <c r="P147" s="223">
        <v>2</v>
      </c>
      <c r="Q147" s="223">
        <v>58.16</v>
      </c>
      <c r="R147" s="225" t="s">
        <v>780</v>
      </c>
      <c r="S147" s="230">
        <v>6203120</v>
      </c>
      <c r="T147" s="226">
        <v>106656.12</v>
      </c>
      <c r="U147" s="228"/>
      <c r="V147" s="226">
        <v>6203120</v>
      </c>
      <c r="W147" s="226">
        <v>106656.12104539202</v>
      </c>
      <c r="X147" s="228">
        <v>407120</v>
      </c>
      <c r="Y147" s="228">
        <f>Юрист[[#This Row],[Итоговая цена м2 с отделкой]]-Юрист[[#This Row],[Итоговая цена м2 без отделки]]</f>
        <v>7000</v>
      </c>
      <c r="Z147" s="226">
        <v>5796000</v>
      </c>
      <c r="AA147" s="223">
        <v>99656.121045392021</v>
      </c>
      <c r="AB147" s="225"/>
      <c r="AD147" s="225" t="s">
        <v>862</v>
      </c>
      <c r="AE147" s="225" t="s">
        <v>863</v>
      </c>
      <c r="AF147" s="226">
        <v>1247000</v>
      </c>
      <c r="AG147" s="226">
        <v>4956120</v>
      </c>
      <c r="AH147" s="226"/>
      <c r="AI147" s="226"/>
      <c r="AJ147" s="226"/>
      <c r="AK147" s="223" t="s">
        <v>864</v>
      </c>
      <c r="AL147" s="227">
        <v>1.4E-2</v>
      </c>
      <c r="AM147" s="229">
        <v>4.5999999999999999E-2</v>
      </c>
      <c r="AO147" s="223">
        <v>0</v>
      </c>
      <c r="AP147" s="225" t="s">
        <v>1481</v>
      </c>
      <c r="AQ147" s="223">
        <v>79626053460</v>
      </c>
      <c r="AR147" s="225" t="s">
        <v>866</v>
      </c>
      <c r="AS147" s="224">
        <v>34482</v>
      </c>
      <c r="AT147" s="225" t="s">
        <v>875</v>
      </c>
      <c r="AU147" s="225" t="s">
        <v>997</v>
      </c>
      <c r="AV147" s="225" t="s">
        <v>879</v>
      </c>
      <c r="AW147" s="225" t="s">
        <v>172</v>
      </c>
      <c r="AX147" t="s">
        <v>2172</v>
      </c>
      <c r="AY147" s="224"/>
      <c r="BL147" s="223"/>
    </row>
    <row r="148" spans="1:64" x14ac:dyDescent="0.25">
      <c r="A148" s="223">
        <v>2436</v>
      </c>
      <c r="B148" s="223">
        <v>13</v>
      </c>
      <c r="C148" s="224">
        <v>45502</v>
      </c>
      <c r="D148" s="225" t="s">
        <v>1482</v>
      </c>
      <c r="E148" s="225" t="s">
        <v>859</v>
      </c>
      <c r="F148" s="225" t="s">
        <v>860</v>
      </c>
      <c r="G148" s="223" t="s">
        <v>861</v>
      </c>
      <c r="H148" s="224"/>
      <c r="I148" s="224">
        <v>45504</v>
      </c>
      <c r="J148" s="225" t="s">
        <v>2012</v>
      </c>
      <c r="K148" s="225" t="s">
        <v>98</v>
      </c>
      <c r="L148" s="225" t="s">
        <v>2</v>
      </c>
      <c r="M148" s="223">
        <v>5</v>
      </c>
      <c r="N148" s="223">
        <v>7</v>
      </c>
      <c r="O148" s="223">
        <v>441</v>
      </c>
      <c r="P148" s="223">
        <v>2</v>
      </c>
      <c r="Q148" s="223">
        <v>57.8</v>
      </c>
      <c r="R148" s="225" t="s">
        <v>780</v>
      </c>
      <c r="S148" s="230">
        <v>6001000</v>
      </c>
      <c r="T148" s="226">
        <v>103823.53</v>
      </c>
      <c r="U148" s="228"/>
      <c r="V148" s="226">
        <v>6001000</v>
      </c>
      <c r="W148" s="226">
        <v>103823.52941176471</v>
      </c>
      <c r="X148" s="228">
        <v>404600</v>
      </c>
      <c r="Y148" s="228">
        <f>Юрист[[#This Row],[Итоговая цена м2 с отделкой]]-Юрист[[#This Row],[Итоговая цена м2 без отделки]]</f>
        <v>7000</v>
      </c>
      <c r="Z148" s="226">
        <v>5596400</v>
      </c>
      <c r="AA148" s="223">
        <v>96823.529411764714</v>
      </c>
      <c r="AB148" s="225"/>
      <c r="AD148" s="225" t="s">
        <v>862</v>
      </c>
      <c r="AE148" s="225" t="s">
        <v>863</v>
      </c>
      <c r="AF148" s="226">
        <v>1206201</v>
      </c>
      <c r="AG148" s="226">
        <v>4794799</v>
      </c>
      <c r="AH148" s="226"/>
      <c r="AI148" s="226"/>
      <c r="AJ148" s="226"/>
      <c r="AK148" s="223" t="s">
        <v>864</v>
      </c>
      <c r="AL148" s="227">
        <v>1.4E-2</v>
      </c>
      <c r="AM148" s="229">
        <v>4.5999999999999999E-2</v>
      </c>
      <c r="AO148" s="223">
        <v>0</v>
      </c>
      <c r="AP148" s="225" t="s">
        <v>1483</v>
      </c>
      <c r="AQ148" s="223">
        <v>79874339520</v>
      </c>
      <c r="AR148" s="225" t="s">
        <v>866</v>
      </c>
      <c r="AS148" s="224">
        <v>31949</v>
      </c>
      <c r="AT148" s="225" t="s">
        <v>878</v>
      </c>
      <c r="AU148" s="225" t="s">
        <v>899</v>
      </c>
      <c r="AV148" s="225" t="s">
        <v>879</v>
      </c>
      <c r="AW148" s="225" t="s">
        <v>172</v>
      </c>
      <c r="AX148" t="s">
        <v>2172</v>
      </c>
      <c r="AY148" s="224"/>
      <c r="BL148" s="223"/>
    </row>
    <row r="149" spans="1:64" x14ac:dyDescent="0.25">
      <c r="A149" s="223">
        <v>2434</v>
      </c>
      <c r="B149" s="223">
        <v>11</v>
      </c>
      <c r="C149" s="224">
        <v>45499</v>
      </c>
      <c r="D149" s="225" t="s">
        <v>1478</v>
      </c>
      <c r="E149" s="225" t="s">
        <v>859</v>
      </c>
      <c r="F149" s="225" t="s">
        <v>860</v>
      </c>
      <c r="G149" s="223" t="s">
        <v>861</v>
      </c>
      <c r="H149" s="224"/>
      <c r="I149" s="224">
        <v>45503</v>
      </c>
      <c r="J149" s="225" t="s">
        <v>1893</v>
      </c>
      <c r="K149" s="225" t="s">
        <v>98</v>
      </c>
      <c r="L149" s="225" t="s">
        <v>3</v>
      </c>
      <c r="M149" s="223">
        <v>6</v>
      </c>
      <c r="N149" s="223">
        <v>6</v>
      </c>
      <c r="O149" s="223">
        <v>262</v>
      </c>
      <c r="P149" s="223">
        <v>3</v>
      </c>
      <c r="Q149" s="223">
        <v>80.97</v>
      </c>
      <c r="R149" s="225" t="s">
        <v>12</v>
      </c>
      <c r="S149" s="230">
        <v>7537400</v>
      </c>
      <c r="T149" s="226">
        <v>93088.8</v>
      </c>
      <c r="U149" s="228"/>
      <c r="V149" s="226">
        <v>7537400</v>
      </c>
      <c r="W149" s="226">
        <v>93088.798320365575</v>
      </c>
      <c r="X149" s="228"/>
      <c r="Y149" s="228">
        <f>Юрист[[#This Row],[Итоговая цена м2 с отделкой]]-Юрист[[#This Row],[Итоговая цена м2 без отделки]]</f>
        <v>0</v>
      </c>
      <c r="Z149" s="226">
        <v>7537400</v>
      </c>
      <c r="AA149" s="223">
        <v>93088.798320365575</v>
      </c>
      <c r="AB149" s="225"/>
      <c r="AD149" s="225" t="s">
        <v>862</v>
      </c>
      <c r="AE149" s="225" t="s">
        <v>863</v>
      </c>
      <c r="AF149" s="226">
        <v>1537400</v>
      </c>
      <c r="AG149" s="226">
        <v>6000000</v>
      </c>
      <c r="AH149" s="226"/>
      <c r="AI149" s="226"/>
      <c r="AJ149" s="226"/>
      <c r="AK149" s="223" t="s">
        <v>864</v>
      </c>
      <c r="AL149" s="227">
        <v>1.4E-2</v>
      </c>
      <c r="AM149" s="229">
        <v>4.5999999999999999E-2</v>
      </c>
      <c r="AO149" s="223">
        <v>0</v>
      </c>
      <c r="AP149" s="225" t="s">
        <v>1479</v>
      </c>
      <c r="AQ149" s="223">
        <v>79022368527</v>
      </c>
      <c r="AR149" s="225" t="s">
        <v>882</v>
      </c>
      <c r="AS149" s="224">
        <v>33535</v>
      </c>
      <c r="AT149" s="225" t="s">
        <v>970</v>
      </c>
      <c r="AU149" s="225" t="s">
        <v>997</v>
      </c>
      <c r="AV149" s="225" t="s">
        <v>879</v>
      </c>
      <c r="AW149" s="225" t="s">
        <v>172</v>
      </c>
      <c r="AX149" t="s">
        <v>2172</v>
      </c>
      <c r="AY149" s="224"/>
      <c r="BL149" s="223"/>
    </row>
    <row r="150" spans="1:64" x14ac:dyDescent="0.25">
      <c r="A150" s="223">
        <v>2433</v>
      </c>
      <c r="B150" s="223">
        <v>10</v>
      </c>
      <c r="C150" s="224">
        <v>45498</v>
      </c>
      <c r="D150" s="225" t="s">
        <v>1476</v>
      </c>
      <c r="E150" s="225" t="s">
        <v>859</v>
      </c>
      <c r="F150" s="225" t="s">
        <v>860</v>
      </c>
      <c r="G150" s="223" t="s">
        <v>861</v>
      </c>
      <c r="H150" s="224"/>
      <c r="I150" s="224">
        <v>45503</v>
      </c>
      <c r="J150" s="225" t="s">
        <v>1790</v>
      </c>
      <c r="K150" s="225" t="s">
        <v>98</v>
      </c>
      <c r="L150" s="225" t="s">
        <v>5</v>
      </c>
      <c r="M150" s="223">
        <v>2</v>
      </c>
      <c r="N150" s="223">
        <v>16</v>
      </c>
      <c r="O150" s="223">
        <v>106</v>
      </c>
      <c r="P150" s="223">
        <v>2</v>
      </c>
      <c r="Q150" s="223">
        <v>68.5</v>
      </c>
      <c r="R150" s="225" t="s">
        <v>14</v>
      </c>
      <c r="S150" s="230">
        <v>8021200</v>
      </c>
      <c r="T150" s="226">
        <v>117097.81</v>
      </c>
      <c r="U150" s="228"/>
      <c r="V150" s="226">
        <v>8021200</v>
      </c>
      <c r="W150" s="226">
        <v>117097.81021897811</v>
      </c>
      <c r="X150" s="228">
        <v>1370000</v>
      </c>
      <c r="Y150" s="228">
        <f>Юрист[[#This Row],[Итоговая цена м2 с отделкой]]-Юрист[[#This Row],[Итоговая цена м2 без отделки]]</f>
        <v>20000</v>
      </c>
      <c r="Z150" s="226">
        <v>6651200</v>
      </c>
      <c r="AA150" s="223">
        <v>97097.810218978106</v>
      </c>
      <c r="AB150" s="225" t="s">
        <v>806</v>
      </c>
      <c r="AC150" s="226">
        <v>200000</v>
      </c>
      <c r="AD150" s="225" t="s">
        <v>862</v>
      </c>
      <c r="AE150" s="225" t="s">
        <v>863</v>
      </c>
      <c r="AF150" s="226">
        <v>1500000</v>
      </c>
      <c r="AG150" s="226">
        <v>5890819.2199999997</v>
      </c>
      <c r="AH150" s="226">
        <v>630380.78</v>
      </c>
      <c r="AI150" s="226"/>
      <c r="AJ150" s="226"/>
      <c r="AK150" s="223" t="s">
        <v>864</v>
      </c>
      <c r="AL150" s="227">
        <v>1.4E-2</v>
      </c>
      <c r="AM150" s="229">
        <v>4.5999999999999999E-2</v>
      </c>
      <c r="AO150" s="223">
        <v>0</v>
      </c>
      <c r="AP150" s="225" t="s">
        <v>1477</v>
      </c>
      <c r="AQ150" s="223">
        <v>79878979018</v>
      </c>
      <c r="AR150" s="225" t="s">
        <v>882</v>
      </c>
      <c r="AS150" s="224">
        <v>32170</v>
      </c>
      <c r="AT150" s="225" t="s">
        <v>878</v>
      </c>
      <c r="AU150" s="225" t="s">
        <v>899</v>
      </c>
      <c r="AV150" s="225" t="s">
        <v>1292</v>
      </c>
      <c r="AW150" s="225" t="s">
        <v>172</v>
      </c>
      <c r="AX150" t="s">
        <v>2172</v>
      </c>
      <c r="AY150" s="224"/>
      <c r="BL150" s="223"/>
    </row>
    <row r="151" spans="1:64" x14ac:dyDescent="0.25">
      <c r="A151" s="223">
        <v>2432</v>
      </c>
      <c r="B151" s="223">
        <v>9</v>
      </c>
      <c r="C151" s="224">
        <v>45495</v>
      </c>
      <c r="D151" s="225" t="s">
        <v>1474</v>
      </c>
      <c r="E151" s="225" t="s">
        <v>859</v>
      </c>
      <c r="F151" s="225" t="s">
        <v>860</v>
      </c>
      <c r="G151" s="223" t="s">
        <v>861</v>
      </c>
      <c r="H151" s="224"/>
      <c r="I151" s="224">
        <v>45498</v>
      </c>
      <c r="J151" s="225" t="s">
        <v>2074</v>
      </c>
      <c r="K151" s="225" t="s">
        <v>98</v>
      </c>
      <c r="L151" s="225" t="s">
        <v>2</v>
      </c>
      <c r="M151" s="223">
        <v>8</v>
      </c>
      <c r="N151" s="223">
        <v>16</v>
      </c>
      <c r="O151" s="223">
        <v>516</v>
      </c>
      <c r="P151" s="223">
        <v>1</v>
      </c>
      <c r="Q151" s="223">
        <v>39.69</v>
      </c>
      <c r="R151" s="225" t="s">
        <v>780</v>
      </c>
      <c r="S151" s="230">
        <v>4660430</v>
      </c>
      <c r="T151" s="226">
        <v>117420.76</v>
      </c>
      <c r="U151" s="228"/>
      <c r="V151" s="226">
        <v>4660430</v>
      </c>
      <c r="W151" s="226">
        <v>117420.76089695138</v>
      </c>
      <c r="X151" s="228">
        <v>277830</v>
      </c>
      <c r="Y151" s="228">
        <f>Юрист[[#This Row],[Итоговая цена м2 с отделкой]]-Юрист[[#This Row],[Итоговая цена м2 без отделки]]</f>
        <v>7000</v>
      </c>
      <c r="Z151" s="226">
        <v>4382600</v>
      </c>
      <c r="AA151" s="223">
        <v>110420.76089695138</v>
      </c>
      <c r="AB151" s="225"/>
      <c r="AD151" s="225" t="s">
        <v>862</v>
      </c>
      <c r="AE151" s="225" t="s">
        <v>863</v>
      </c>
      <c r="AF151" s="226">
        <v>1000000</v>
      </c>
      <c r="AG151" s="226">
        <v>3660430</v>
      </c>
      <c r="AH151" s="226"/>
      <c r="AI151" s="226"/>
      <c r="AJ151" s="226"/>
      <c r="AK151" s="223" t="s">
        <v>864</v>
      </c>
      <c r="AL151" s="227">
        <v>1.4E-2</v>
      </c>
      <c r="AM151" s="229">
        <v>4.5999999999999999E-2</v>
      </c>
      <c r="AO151" s="223">
        <v>0</v>
      </c>
      <c r="AP151" s="225" t="s">
        <v>1475</v>
      </c>
      <c r="AQ151" s="223">
        <v>79277440385</v>
      </c>
      <c r="AR151" s="225" t="s">
        <v>866</v>
      </c>
      <c r="AS151" s="224">
        <v>31119</v>
      </c>
      <c r="AT151" s="225" t="s">
        <v>907</v>
      </c>
      <c r="AU151" s="225" t="s">
        <v>997</v>
      </c>
      <c r="AV151" s="225" t="s">
        <v>1292</v>
      </c>
      <c r="AW151" s="225" t="s">
        <v>172</v>
      </c>
      <c r="AX151" t="s">
        <v>2172</v>
      </c>
      <c r="AY151" s="224"/>
      <c r="BL151" s="223"/>
    </row>
    <row r="152" spans="1:64" x14ac:dyDescent="0.25">
      <c r="A152" s="223">
        <v>2431</v>
      </c>
      <c r="B152" s="223">
        <v>8</v>
      </c>
      <c r="C152" s="224">
        <v>45493</v>
      </c>
      <c r="D152" s="225" t="s">
        <v>1472</v>
      </c>
      <c r="E152" s="225" t="s">
        <v>859</v>
      </c>
      <c r="F152" s="225" t="s">
        <v>860</v>
      </c>
      <c r="G152" s="223" t="s">
        <v>861</v>
      </c>
      <c r="H152" s="224"/>
      <c r="I152" s="224">
        <v>45497</v>
      </c>
      <c r="J152" s="225" t="s">
        <v>2046</v>
      </c>
      <c r="K152" s="225" t="s">
        <v>98</v>
      </c>
      <c r="L152" s="225" t="s">
        <v>2</v>
      </c>
      <c r="M152" s="223">
        <v>5</v>
      </c>
      <c r="N152" s="223">
        <v>12</v>
      </c>
      <c r="O152" s="223">
        <v>481</v>
      </c>
      <c r="P152" s="223">
        <v>2</v>
      </c>
      <c r="Q152" s="223">
        <v>57.8</v>
      </c>
      <c r="R152" s="225" t="s">
        <v>14</v>
      </c>
      <c r="S152" s="230">
        <v>6669700</v>
      </c>
      <c r="T152" s="226">
        <v>115392.73</v>
      </c>
      <c r="U152" s="228"/>
      <c r="V152" s="226">
        <v>6669700</v>
      </c>
      <c r="W152" s="226">
        <v>115392.73356401385</v>
      </c>
      <c r="X152" s="228">
        <v>1156000</v>
      </c>
      <c r="Y152" s="228">
        <f>Юрист[[#This Row],[Итоговая цена м2 с отделкой]]-Юрист[[#This Row],[Итоговая цена м2 без отделки]]</f>
        <v>20000</v>
      </c>
      <c r="Z152" s="226">
        <v>5513700</v>
      </c>
      <c r="AA152" s="223">
        <v>95392.733564013848</v>
      </c>
      <c r="AB152" s="225"/>
      <c r="AD152" s="225" t="s">
        <v>862</v>
      </c>
      <c r="AE152" s="225" t="s">
        <v>863</v>
      </c>
      <c r="AF152" s="226">
        <v>507975.26</v>
      </c>
      <c r="AG152" s="226">
        <v>5328700</v>
      </c>
      <c r="AH152" s="226">
        <v>833024.74</v>
      </c>
      <c r="AI152" s="226"/>
      <c r="AJ152" s="226"/>
      <c r="AK152" s="223" t="s">
        <v>864</v>
      </c>
      <c r="AL152" s="227">
        <v>1.4E-2</v>
      </c>
      <c r="AM152" s="229">
        <v>4.5999999999999999E-2</v>
      </c>
      <c r="AO152" s="223">
        <v>0</v>
      </c>
      <c r="AP152" s="225" t="s">
        <v>1473</v>
      </c>
      <c r="AQ152" s="223">
        <v>79966213628</v>
      </c>
      <c r="AR152" s="225" t="s">
        <v>866</v>
      </c>
      <c r="AS152" s="224">
        <v>34961</v>
      </c>
      <c r="AT152" s="225" t="s">
        <v>878</v>
      </c>
      <c r="AU152" s="225" t="s">
        <v>997</v>
      </c>
      <c r="AV152" s="225" t="s">
        <v>1292</v>
      </c>
      <c r="AW152" s="225" t="s">
        <v>172</v>
      </c>
      <c r="AX152" t="s">
        <v>2172</v>
      </c>
      <c r="AY152" s="224"/>
      <c r="BL152" s="223"/>
    </row>
    <row r="153" spans="1:64" x14ac:dyDescent="0.25">
      <c r="A153" s="223">
        <v>2430</v>
      </c>
      <c r="B153" s="223">
        <v>7</v>
      </c>
      <c r="C153" s="224">
        <v>45492</v>
      </c>
      <c r="D153" s="225" t="s">
        <v>1470</v>
      </c>
      <c r="E153" s="225" t="s">
        <v>859</v>
      </c>
      <c r="F153" s="225" t="s">
        <v>860</v>
      </c>
      <c r="G153" s="223" t="s">
        <v>861</v>
      </c>
      <c r="H153" s="224"/>
      <c r="I153" s="224">
        <v>45497</v>
      </c>
      <c r="J153" s="225" t="s">
        <v>1813</v>
      </c>
      <c r="K153" s="225" t="s">
        <v>98</v>
      </c>
      <c r="L153" s="225" t="s">
        <v>4</v>
      </c>
      <c r="M153" s="223">
        <v>1</v>
      </c>
      <c r="N153" s="223">
        <v>5</v>
      </c>
      <c r="O153" s="223">
        <v>139</v>
      </c>
      <c r="P153" s="223">
        <v>2</v>
      </c>
      <c r="Q153" s="223">
        <v>60.22</v>
      </c>
      <c r="R153" s="225" t="s">
        <v>780</v>
      </c>
      <c r="S153" s="230">
        <v>6278940</v>
      </c>
      <c r="T153" s="226">
        <v>104266.69</v>
      </c>
      <c r="U153" s="228"/>
      <c r="V153" s="226">
        <v>6278940</v>
      </c>
      <c r="W153" s="226">
        <v>104266.68880770508</v>
      </c>
      <c r="X153" s="228">
        <v>421540</v>
      </c>
      <c r="Y153" s="228">
        <f>Юрист[[#This Row],[Итоговая цена м2 с отделкой]]-Юрист[[#This Row],[Итоговая цена м2 без отделки]]</f>
        <v>7000</v>
      </c>
      <c r="Z153" s="226">
        <v>5857400</v>
      </c>
      <c r="AA153" s="223">
        <v>97266.688807705083</v>
      </c>
      <c r="AB153" s="225"/>
      <c r="AD153" s="225" t="s">
        <v>862</v>
      </c>
      <c r="AE153" s="225" t="s">
        <v>863</v>
      </c>
      <c r="AF153" s="226">
        <v>632619.22</v>
      </c>
      <c r="AG153" s="226">
        <v>5015940</v>
      </c>
      <c r="AH153" s="226">
        <v>630380.78</v>
      </c>
      <c r="AI153" s="226"/>
      <c r="AJ153" s="226"/>
      <c r="AK153" s="223" t="s">
        <v>864</v>
      </c>
      <c r="AL153" s="227">
        <v>1.4E-2</v>
      </c>
      <c r="AM153" s="229">
        <v>4.5999999999999999E-2</v>
      </c>
      <c r="AO153" s="223">
        <v>0</v>
      </c>
      <c r="AP153" s="225" t="s">
        <v>1471</v>
      </c>
      <c r="AQ153" s="223">
        <v>79272613163</v>
      </c>
      <c r="AR153" s="225" t="s">
        <v>882</v>
      </c>
      <c r="AS153" s="224">
        <v>34633</v>
      </c>
      <c r="AT153" s="225" t="s">
        <v>878</v>
      </c>
      <c r="AU153" s="225" t="s">
        <v>997</v>
      </c>
      <c r="AV153" s="225" t="s">
        <v>879</v>
      </c>
      <c r="AW153" s="225" t="s">
        <v>172</v>
      </c>
      <c r="AX153" t="s">
        <v>2172</v>
      </c>
      <c r="AY153" s="224"/>
      <c r="BL153" s="223"/>
    </row>
    <row r="154" spans="1:64" x14ac:dyDescent="0.25">
      <c r="A154" s="223">
        <v>2429</v>
      </c>
      <c r="B154" s="223">
        <v>6</v>
      </c>
      <c r="C154" s="224">
        <v>45490</v>
      </c>
      <c r="D154" s="225" t="s">
        <v>1468</v>
      </c>
      <c r="E154" s="225" t="s">
        <v>859</v>
      </c>
      <c r="F154" s="225" t="s">
        <v>860</v>
      </c>
      <c r="G154" s="223" t="s">
        <v>861</v>
      </c>
      <c r="H154" s="224"/>
      <c r="I154" s="224">
        <v>45495</v>
      </c>
      <c r="J154" s="225" t="s">
        <v>1886</v>
      </c>
      <c r="K154" s="225" t="s">
        <v>98</v>
      </c>
      <c r="L154" s="225" t="s">
        <v>3</v>
      </c>
      <c r="M154" s="223">
        <v>3</v>
      </c>
      <c r="N154" s="223">
        <v>5</v>
      </c>
      <c r="O154" s="223">
        <v>252</v>
      </c>
      <c r="P154" s="223">
        <v>2</v>
      </c>
      <c r="Q154" s="223">
        <v>56.58</v>
      </c>
      <c r="R154" s="225" t="s">
        <v>780</v>
      </c>
      <c r="S154" s="230">
        <v>5964060</v>
      </c>
      <c r="T154" s="226">
        <v>105409.33</v>
      </c>
      <c r="U154" s="228"/>
      <c r="V154" s="226">
        <v>5964060</v>
      </c>
      <c r="W154" s="226">
        <v>105409.33191940615</v>
      </c>
      <c r="X154" s="228">
        <v>396060</v>
      </c>
      <c r="Y154" s="228">
        <f>Юрист[[#This Row],[Итоговая цена м2 с отделкой]]-Юрист[[#This Row],[Итоговая цена м2 без отделки]]</f>
        <v>7000</v>
      </c>
      <c r="Z154" s="226">
        <v>5568000</v>
      </c>
      <c r="AA154" s="223">
        <v>98409.331919406148</v>
      </c>
      <c r="AB154" s="225"/>
      <c r="AD154" s="225" t="s">
        <v>862</v>
      </c>
      <c r="AE154" s="225" t="s">
        <v>863</v>
      </c>
      <c r="AF154" s="226">
        <v>400000</v>
      </c>
      <c r="AG154" s="226">
        <v>4731035.26</v>
      </c>
      <c r="AH154" s="226">
        <v>833024.74</v>
      </c>
      <c r="AI154" s="226"/>
      <c r="AJ154" s="226"/>
      <c r="AK154" s="223" t="s">
        <v>864</v>
      </c>
      <c r="AL154" s="227">
        <v>1.4E-2</v>
      </c>
      <c r="AM154" s="229">
        <v>4.5999999999999999E-2</v>
      </c>
      <c r="AO154" s="223">
        <v>0</v>
      </c>
      <c r="AP154" s="225" t="s">
        <v>1469</v>
      </c>
      <c r="AQ154" s="223">
        <v>79179500666</v>
      </c>
      <c r="AR154" s="225" t="s">
        <v>866</v>
      </c>
      <c r="AS154" s="224">
        <v>34592</v>
      </c>
      <c r="AT154" s="225" t="s">
        <v>907</v>
      </c>
      <c r="AU154" s="225" t="s">
        <v>899</v>
      </c>
      <c r="AV154" s="225" t="s">
        <v>1292</v>
      </c>
      <c r="AW154" s="225" t="s">
        <v>172</v>
      </c>
      <c r="AX154" t="s">
        <v>2172</v>
      </c>
      <c r="AY154" s="224"/>
      <c r="BL154" s="223"/>
    </row>
    <row r="155" spans="1:64" x14ac:dyDescent="0.25">
      <c r="A155" s="223">
        <v>2427</v>
      </c>
      <c r="B155" s="223">
        <v>4</v>
      </c>
      <c r="C155" s="224">
        <v>45488</v>
      </c>
      <c r="D155" s="225" t="s">
        <v>1466</v>
      </c>
      <c r="E155" s="225" t="s">
        <v>859</v>
      </c>
      <c r="F155" s="225" t="s">
        <v>860</v>
      </c>
      <c r="G155" s="223" t="s">
        <v>926</v>
      </c>
      <c r="H155" s="224"/>
      <c r="I155" s="224">
        <v>45491</v>
      </c>
      <c r="J155" s="225" t="s">
        <v>1731</v>
      </c>
      <c r="K155" s="225" t="s">
        <v>98</v>
      </c>
      <c r="L155" s="225" t="s">
        <v>5</v>
      </c>
      <c r="M155" s="223">
        <v>7</v>
      </c>
      <c r="N155" s="223">
        <v>3</v>
      </c>
      <c r="O155" s="223">
        <v>20</v>
      </c>
      <c r="P155" s="223">
        <v>1</v>
      </c>
      <c r="Q155" s="223">
        <v>42.75</v>
      </c>
      <c r="R155" s="225" t="s">
        <v>14</v>
      </c>
      <c r="S155" s="230">
        <v>5374362</v>
      </c>
      <c r="T155" s="226">
        <v>125716.07</v>
      </c>
      <c r="U155" s="228">
        <v>15000</v>
      </c>
      <c r="V155" s="226">
        <v>5389362</v>
      </c>
      <c r="W155" s="226">
        <v>126066.94736842105</v>
      </c>
      <c r="X155" s="228">
        <v>855000</v>
      </c>
      <c r="Y155" s="228">
        <f>Юрист[[#This Row],[Итоговая цена м2 с отделкой]]-Юрист[[#This Row],[Итоговая цена м2 без отделки]]</f>
        <v>20000</v>
      </c>
      <c r="Z155" s="226">
        <v>4534362</v>
      </c>
      <c r="AA155" s="223">
        <v>106066.94736842105</v>
      </c>
      <c r="AB155" s="225" t="s">
        <v>162</v>
      </c>
      <c r="AC155" s="226">
        <v>140238</v>
      </c>
      <c r="AD155" s="225" t="s">
        <v>862</v>
      </c>
      <c r="AE155" s="225" t="s">
        <v>1057</v>
      </c>
      <c r="AF155" s="226">
        <v>60890</v>
      </c>
      <c r="AG155" s="226">
        <v>2596077</v>
      </c>
      <c r="AH155" s="226"/>
      <c r="AI155" s="226"/>
      <c r="AJ155" s="226">
        <v>2717395</v>
      </c>
      <c r="AK155" s="223" t="s">
        <v>844</v>
      </c>
      <c r="AL155" s="227"/>
      <c r="AM155" s="229">
        <v>0.08</v>
      </c>
      <c r="AO155" s="223">
        <v>0</v>
      </c>
      <c r="AP155" s="225" t="s">
        <v>1467</v>
      </c>
      <c r="AQ155" s="223">
        <v>79279842544</v>
      </c>
      <c r="AR155" s="225" t="s">
        <v>882</v>
      </c>
      <c r="AS155" s="224">
        <v>32870</v>
      </c>
      <c r="AT155" s="225" t="s">
        <v>878</v>
      </c>
      <c r="AU155" s="225" t="s">
        <v>899</v>
      </c>
      <c r="AV155" s="225" t="s">
        <v>879</v>
      </c>
      <c r="AW155" s="225" t="s">
        <v>172</v>
      </c>
      <c r="AX155" t="s">
        <v>2172</v>
      </c>
      <c r="AY155" s="224"/>
      <c r="BL155" s="223"/>
    </row>
    <row r="156" spans="1:64" x14ac:dyDescent="0.25">
      <c r="A156" s="223">
        <v>2425</v>
      </c>
      <c r="B156" s="223">
        <v>2</v>
      </c>
      <c r="C156" s="224">
        <v>45481</v>
      </c>
      <c r="D156" s="225" t="s">
        <v>1464</v>
      </c>
      <c r="E156" s="225" t="s">
        <v>859</v>
      </c>
      <c r="F156" s="225" t="s">
        <v>860</v>
      </c>
      <c r="G156" s="223" t="s">
        <v>926</v>
      </c>
      <c r="H156" s="224"/>
      <c r="I156" s="224">
        <v>45484</v>
      </c>
      <c r="J156" s="225" t="s">
        <v>1841</v>
      </c>
      <c r="K156" s="225" t="s">
        <v>98</v>
      </c>
      <c r="L156" s="225" t="s">
        <v>4</v>
      </c>
      <c r="M156" s="223">
        <v>2</v>
      </c>
      <c r="N156" s="223">
        <v>11</v>
      </c>
      <c r="O156" s="223">
        <v>182</v>
      </c>
      <c r="P156" s="223">
        <v>0</v>
      </c>
      <c r="Q156" s="223">
        <v>24.28</v>
      </c>
      <c r="R156" s="225" t="s">
        <v>14</v>
      </c>
      <c r="S156" s="230">
        <v>3430326</v>
      </c>
      <c r="T156" s="226">
        <v>141281.96</v>
      </c>
      <c r="U156" s="228"/>
      <c r="V156" s="226">
        <v>3430326</v>
      </c>
      <c r="W156" s="226">
        <v>141281.96046128499</v>
      </c>
      <c r="X156" s="228">
        <v>485600</v>
      </c>
      <c r="Y156" s="228">
        <f>Юрист[[#This Row],[Итоговая цена м2 с отделкой]]-Юрист[[#This Row],[Итоговая цена м2 без отделки]]</f>
        <v>19999.999999999985</v>
      </c>
      <c r="Z156" s="226">
        <v>2944726</v>
      </c>
      <c r="AA156" s="223">
        <v>121281.96046128501</v>
      </c>
      <c r="AB156" s="225" t="s">
        <v>1165</v>
      </c>
      <c r="AC156" s="226">
        <v>91073.999999999534</v>
      </c>
      <c r="AD156" s="225" t="s">
        <v>936</v>
      </c>
      <c r="AE156" s="225" t="s">
        <v>902</v>
      </c>
      <c r="AF156" s="226"/>
      <c r="AG156" s="226"/>
      <c r="AH156" s="226"/>
      <c r="AI156" s="226"/>
      <c r="AJ156" s="226"/>
      <c r="AL156" s="227"/>
      <c r="AM156" s="229"/>
      <c r="AO156" s="223">
        <v>0</v>
      </c>
      <c r="AP156" s="225" t="s">
        <v>1465</v>
      </c>
      <c r="AQ156" s="223">
        <v>79272985949</v>
      </c>
      <c r="AR156" s="225" t="s">
        <v>882</v>
      </c>
      <c r="AS156" s="224">
        <v>19109</v>
      </c>
      <c r="AT156" s="225" t="s">
        <v>878</v>
      </c>
      <c r="AU156" s="225" t="s">
        <v>899</v>
      </c>
      <c r="AV156" s="225" t="s">
        <v>902</v>
      </c>
      <c r="AW156" s="225" t="s">
        <v>172</v>
      </c>
      <c r="AX156" t="s">
        <v>2172</v>
      </c>
      <c r="AY156" s="224"/>
      <c r="BL156" s="223"/>
    </row>
    <row r="157" spans="1:64" x14ac:dyDescent="0.25">
      <c r="A157" s="223">
        <v>2424</v>
      </c>
      <c r="B157" s="223">
        <v>1</v>
      </c>
      <c r="C157" s="224">
        <v>45474</v>
      </c>
      <c r="D157" s="225" t="s">
        <v>1462</v>
      </c>
      <c r="E157" s="225" t="s">
        <v>859</v>
      </c>
      <c r="F157" s="225" t="s">
        <v>860</v>
      </c>
      <c r="G157" s="223" t="s">
        <v>861</v>
      </c>
      <c r="H157" s="224"/>
      <c r="I157" s="224">
        <v>45477</v>
      </c>
      <c r="J157" s="225" t="s">
        <v>1755</v>
      </c>
      <c r="K157" s="225" t="s">
        <v>98</v>
      </c>
      <c r="L157" s="225" t="s">
        <v>5</v>
      </c>
      <c r="M157" s="223">
        <v>2</v>
      </c>
      <c r="N157" s="223">
        <v>8</v>
      </c>
      <c r="O157" s="223">
        <v>50</v>
      </c>
      <c r="P157" s="223">
        <v>2</v>
      </c>
      <c r="Q157" s="223">
        <v>68.5</v>
      </c>
      <c r="R157" s="225" t="s">
        <v>12</v>
      </c>
      <c r="S157" s="230">
        <v>6717100</v>
      </c>
      <c r="T157" s="226">
        <v>98059.85</v>
      </c>
      <c r="U157" s="228"/>
      <c r="V157" s="226">
        <v>6717100</v>
      </c>
      <c r="W157" s="226">
        <v>98059.854014598546</v>
      </c>
      <c r="X157" s="228"/>
      <c r="Y157" s="228">
        <f>Юрист[[#This Row],[Итоговая цена м2 с отделкой]]-Юрист[[#This Row],[Итоговая цена м2 без отделки]]</f>
        <v>0</v>
      </c>
      <c r="Z157" s="226">
        <v>6717100</v>
      </c>
      <c r="AA157" s="223">
        <v>98059.854014598546</v>
      </c>
      <c r="AB157" s="225" t="s">
        <v>171</v>
      </c>
      <c r="AC157" s="226">
        <v>100000</v>
      </c>
      <c r="AD157" s="225" t="s">
        <v>862</v>
      </c>
      <c r="AE157" s="225" t="s">
        <v>863</v>
      </c>
      <c r="AF157" s="226">
        <v>1351000</v>
      </c>
      <c r="AG157" s="226">
        <v>5366100</v>
      </c>
      <c r="AH157" s="226"/>
      <c r="AI157" s="226"/>
      <c r="AJ157" s="226"/>
      <c r="AK157" s="223" t="s">
        <v>864</v>
      </c>
      <c r="AL157" s="227">
        <v>1.4E-2</v>
      </c>
      <c r="AM157" s="229">
        <v>4.5999999999999999E-2</v>
      </c>
      <c r="AO157" s="223">
        <v>0</v>
      </c>
      <c r="AP157" s="225" t="s">
        <v>1463</v>
      </c>
      <c r="AQ157" s="223">
        <v>79878197739</v>
      </c>
      <c r="AR157" s="225" t="s">
        <v>882</v>
      </c>
      <c r="AS157" s="224">
        <v>28370</v>
      </c>
      <c r="AT157" s="225" t="s">
        <v>878</v>
      </c>
      <c r="AU157" s="225" t="s">
        <v>899</v>
      </c>
      <c r="AV157" s="225" t="s">
        <v>1292</v>
      </c>
      <c r="AW157" s="225" t="s">
        <v>172</v>
      </c>
      <c r="AX157" t="s">
        <v>2172</v>
      </c>
      <c r="AY157" s="224"/>
      <c r="BL157" s="223"/>
    </row>
    <row r="158" spans="1:64" x14ac:dyDescent="0.25">
      <c r="A158" s="223">
        <v>2423</v>
      </c>
      <c r="B158" s="223">
        <v>58</v>
      </c>
      <c r="C158" s="224">
        <v>45472</v>
      </c>
      <c r="D158" s="225" t="s">
        <v>1460</v>
      </c>
      <c r="E158" s="225" t="s">
        <v>859</v>
      </c>
      <c r="F158" s="225" t="s">
        <v>860</v>
      </c>
      <c r="G158" s="223" t="s">
        <v>861</v>
      </c>
      <c r="H158" s="224"/>
      <c r="I158" s="224">
        <v>45472</v>
      </c>
      <c r="J158" s="225" t="s">
        <v>1856</v>
      </c>
      <c r="K158" s="225" t="s">
        <v>98</v>
      </c>
      <c r="L158" s="225" t="s">
        <v>4</v>
      </c>
      <c r="M158" s="223">
        <v>6</v>
      </c>
      <c r="N158" s="223">
        <v>14</v>
      </c>
      <c r="O158" s="223">
        <v>207</v>
      </c>
      <c r="P158" s="223">
        <v>3</v>
      </c>
      <c r="Q158" s="223">
        <v>84.99</v>
      </c>
      <c r="R158" s="225" t="s">
        <v>12</v>
      </c>
      <c r="S158" s="230">
        <v>7450861</v>
      </c>
      <c r="T158" s="226">
        <v>87667.5</v>
      </c>
      <c r="U158" s="228"/>
      <c r="V158" s="226">
        <v>7450861</v>
      </c>
      <c r="W158" s="226">
        <v>87667.50205906578</v>
      </c>
      <c r="X158" s="228"/>
      <c r="Y158" s="228">
        <f>Юрист[[#This Row],[Итоговая цена м2 с отделкой]]-Юрист[[#This Row],[Итоговая цена м2 без отделки]]</f>
        <v>0</v>
      </c>
      <c r="Z158" s="226">
        <v>7450861</v>
      </c>
      <c r="AA158" s="223">
        <v>87667.50205906578</v>
      </c>
      <c r="AB158" s="225" t="s">
        <v>167</v>
      </c>
      <c r="AC158" s="226">
        <v>230439.00000000093</v>
      </c>
      <c r="AD158" s="225" t="s">
        <v>862</v>
      </c>
      <c r="AE158" s="225" t="s">
        <v>863</v>
      </c>
      <c r="AF158" s="226">
        <v>1614619.22</v>
      </c>
      <c r="AG158" s="226">
        <v>5205861</v>
      </c>
      <c r="AH158" s="226">
        <v>630380.78</v>
      </c>
      <c r="AI158" s="226"/>
      <c r="AJ158" s="226"/>
      <c r="AK158" s="223" t="s">
        <v>864</v>
      </c>
      <c r="AL158" s="227">
        <v>1.4E-2</v>
      </c>
      <c r="AM158" s="229">
        <v>4.5999999999999999E-2</v>
      </c>
      <c r="AO158" s="223">
        <v>0</v>
      </c>
      <c r="AP158" s="225" t="s">
        <v>1461</v>
      </c>
      <c r="AQ158" s="223">
        <v>79171426823</v>
      </c>
      <c r="AR158" s="225" t="s">
        <v>866</v>
      </c>
      <c r="AS158" s="224">
        <v>33140</v>
      </c>
      <c r="AT158" s="225" t="s">
        <v>867</v>
      </c>
      <c r="AU158" s="225" t="s">
        <v>997</v>
      </c>
      <c r="AV158" s="225" t="s">
        <v>1292</v>
      </c>
      <c r="AW158" s="225" t="s">
        <v>172</v>
      </c>
      <c r="AX158" t="s">
        <v>2168</v>
      </c>
      <c r="AY158" s="224"/>
      <c r="BL158" s="223"/>
    </row>
    <row r="159" spans="1:64" x14ac:dyDescent="0.25">
      <c r="A159" s="223">
        <v>2418</v>
      </c>
      <c r="B159" s="223">
        <v>53</v>
      </c>
      <c r="C159" s="224">
        <v>45471</v>
      </c>
      <c r="D159" s="225" t="s">
        <v>1452</v>
      </c>
      <c r="E159" s="225" t="s">
        <v>859</v>
      </c>
      <c r="F159" s="225" t="s">
        <v>860</v>
      </c>
      <c r="G159" s="223" t="s">
        <v>861</v>
      </c>
      <c r="H159" s="224"/>
      <c r="I159" s="224">
        <v>45471</v>
      </c>
      <c r="J159" s="225" t="s">
        <v>1802</v>
      </c>
      <c r="K159" s="225" t="s">
        <v>98</v>
      </c>
      <c r="L159" s="225" t="s">
        <v>4</v>
      </c>
      <c r="M159" s="223">
        <v>3</v>
      </c>
      <c r="N159" s="223">
        <v>3</v>
      </c>
      <c r="O159" s="223">
        <v>127</v>
      </c>
      <c r="P159" s="223">
        <v>2</v>
      </c>
      <c r="Q159" s="223">
        <v>57.6</v>
      </c>
      <c r="R159" s="225" t="s">
        <v>12</v>
      </c>
      <c r="S159" s="230">
        <v>5521400</v>
      </c>
      <c r="T159" s="226">
        <v>95857.64</v>
      </c>
      <c r="U159" s="228"/>
      <c r="V159" s="226">
        <v>5521400</v>
      </c>
      <c r="W159" s="226">
        <v>95857.638888888891</v>
      </c>
      <c r="X159" s="228"/>
      <c r="Y159" s="228">
        <f>Юрист[[#This Row],[Итоговая цена м2 с отделкой]]-Юрист[[#This Row],[Итоговая цена м2 без отделки]]</f>
        <v>0</v>
      </c>
      <c r="Z159" s="226">
        <v>5521400</v>
      </c>
      <c r="AA159" s="223">
        <v>95857.638888888891</v>
      </c>
      <c r="AB159" s="225"/>
      <c r="AD159" s="225" t="s">
        <v>862</v>
      </c>
      <c r="AE159" s="225" t="s">
        <v>863</v>
      </c>
      <c r="AF159" s="226">
        <v>303600</v>
      </c>
      <c r="AG159" s="226">
        <v>4411400</v>
      </c>
      <c r="AH159" s="226"/>
      <c r="AI159" s="226">
        <v>806400</v>
      </c>
      <c r="AJ159" s="226"/>
      <c r="AK159" s="223" t="s">
        <v>864</v>
      </c>
      <c r="AL159" s="227">
        <v>1.4E-2</v>
      </c>
      <c r="AM159" s="229">
        <v>4.5999999999999999E-2</v>
      </c>
      <c r="AO159" s="223">
        <v>0</v>
      </c>
      <c r="AP159" s="225" t="s">
        <v>1453</v>
      </c>
      <c r="AQ159" s="223">
        <v>79276980204</v>
      </c>
      <c r="AR159" s="225" t="s">
        <v>866</v>
      </c>
      <c r="AS159" s="224">
        <v>32694</v>
      </c>
      <c r="AT159" s="225" t="s">
        <v>878</v>
      </c>
      <c r="AU159" s="225" t="s">
        <v>997</v>
      </c>
      <c r="AV159" s="225" t="s">
        <v>879</v>
      </c>
      <c r="AW159" s="225" t="s">
        <v>172</v>
      </c>
      <c r="AX159" t="s">
        <v>2172</v>
      </c>
      <c r="AY159" s="224"/>
      <c r="BL159" s="223"/>
    </row>
    <row r="160" spans="1:64" x14ac:dyDescent="0.25">
      <c r="A160" s="223">
        <v>2417</v>
      </c>
      <c r="B160" s="223">
        <v>52</v>
      </c>
      <c r="C160" s="224">
        <v>45471</v>
      </c>
      <c r="D160" s="225" t="s">
        <v>1450</v>
      </c>
      <c r="E160" s="225" t="s">
        <v>859</v>
      </c>
      <c r="F160" s="225" t="s">
        <v>860</v>
      </c>
      <c r="G160" s="223" t="s">
        <v>861</v>
      </c>
      <c r="H160" s="224"/>
      <c r="I160" s="224">
        <v>45471</v>
      </c>
      <c r="J160" s="225" t="s">
        <v>1919</v>
      </c>
      <c r="K160" s="225" t="s">
        <v>98</v>
      </c>
      <c r="L160" s="225" t="s">
        <v>3</v>
      </c>
      <c r="M160" s="223">
        <v>6</v>
      </c>
      <c r="N160" s="223">
        <v>11</v>
      </c>
      <c r="O160" s="223">
        <v>297</v>
      </c>
      <c r="P160" s="223">
        <v>3</v>
      </c>
      <c r="Q160" s="223">
        <v>80.97</v>
      </c>
      <c r="R160" s="225" t="s">
        <v>14</v>
      </c>
      <c r="S160" s="230">
        <v>8829800</v>
      </c>
      <c r="T160" s="226">
        <v>109050.27</v>
      </c>
      <c r="U160" s="228"/>
      <c r="V160" s="226">
        <v>8829800</v>
      </c>
      <c r="W160" s="226">
        <v>109050.26553044337</v>
      </c>
      <c r="X160" s="228">
        <v>1619400</v>
      </c>
      <c r="Y160" s="228">
        <f>Юрист[[#This Row],[Итоговая цена м2 с отделкой]]-Юрист[[#This Row],[Итоговая цена м2 без отделки]]</f>
        <v>20000</v>
      </c>
      <c r="Z160" s="226">
        <v>7210400</v>
      </c>
      <c r="AA160" s="223">
        <v>89050.265530443372</v>
      </c>
      <c r="AB160" s="225"/>
      <c r="AD160" s="225" t="s">
        <v>862</v>
      </c>
      <c r="AE160" s="225" t="s">
        <v>863</v>
      </c>
      <c r="AF160" s="226">
        <v>2199419.2200000002</v>
      </c>
      <c r="AG160" s="226">
        <v>6000000</v>
      </c>
      <c r="AH160" s="226">
        <v>630380.78</v>
      </c>
      <c r="AI160" s="226"/>
      <c r="AJ160" s="226"/>
      <c r="AK160" s="223" t="s">
        <v>864</v>
      </c>
      <c r="AL160" s="227">
        <v>1.4E-2</v>
      </c>
      <c r="AM160" s="229">
        <v>4.5999999999999999E-2</v>
      </c>
      <c r="AO160" s="223">
        <v>0</v>
      </c>
      <c r="AP160" s="225" t="s">
        <v>1451</v>
      </c>
      <c r="AQ160" s="223">
        <v>79225330988</v>
      </c>
      <c r="AR160" s="225" t="s">
        <v>866</v>
      </c>
      <c r="AS160" s="224">
        <v>33730</v>
      </c>
      <c r="AT160" s="225" t="s">
        <v>885</v>
      </c>
      <c r="AU160" s="225" t="s">
        <v>868</v>
      </c>
      <c r="AV160" s="225" t="s">
        <v>879</v>
      </c>
      <c r="AW160" s="225" t="s">
        <v>172</v>
      </c>
      <c r="AX160" t="s">
        <v>2172</v>
      </c>
      <c r="AY160" s="224"/>
      <c r="BL160" s="223"/>
    </row>
    <row r="161" spans="1:64" x14ac:dyDescent="0.25">
      <c r="A161" s="223">
        <v>2419</v>
      </c>
      <c r="B161" s="223">
        <v>54</v>
      </c>
      <c r="C161" s="224">
        <v>45471</v>
      </c>
      <c r="D161" s="225" t="s">
        <v>1454</v>
      </c>
      <c r="E161" s="225" t="s">
        <v>859</v>
      </c>
      <c r="F161" s="225" t="s">
        <v>860</v>
      </c>
      <c r="G161" s="223" t="s">
        <v>861</v>
      </c>
      <c r="H161" s="224"/>
      <c r="I161" s="224">
        <v>45471</v>
      </c>
      <c r="J161" s="225" t="s">
        <v>2026</v>
      </c>
      <c r="K161" s="225" t="s">
        <v>98</v>
      </c>
      <c r="L161" s="225" t="s">
        <v>2</v>
      </c>
      <c r="M161" s="223">
        <v>4</v>
      </c>
      <c r="N161" s="223">
        <v>9</v>
      </c>
      <c r="O161" s="223">
        <v>456</v>
      </c>
      <c r="P161" s="223">
        <v>2</v>
      </c>
      <c r="Q161" s="223">
        <v>58.24</v>
      </c>
      <c r="R161" s="225" t="s">
        <v>780</v>
      </c>
      <c r="S161" s="230">
        <v>5990380</v>
      </c>
      <c r="T161" s="226">
        <v>102856.8</v>
      </c>
      <c r="U161" s="228"/>
      <c r="V161" s="226">
        <v>5990380</v>
      </c>
      <c r="W161" s="226">
        <v>102856.79945054944</v>
      </c>
      <c r="X161" s="228">
        <v>407680</v>
      </c>
      <c r="Y161" s="228">
        <f>Юрист[[#This Row],[Итоговая цена м2 с отделкой]]-Юрист[[#This Row],[Итоговая цена м2 без отделки]]</f>
        <v>7000</v>
      </c>
      <c r="Z161" s="226">
        <v>5582700</v>
      </c>
      <c r="AA161" s="223">
        <v>95856.799450549443</v>
      </c>
      <c r="AB161" s="225"/>
      <c r="AD161" s="225" t="s">
        <v>862</v>
      </c>
      <c r="AE161" s="225" t="s">
        <v>863</v>
      </c>
      <c r="AF161" s="226">
        <v>371975.26</v>
      </c>
      <c r="AG161" s="226">
        <v>4785380</v>
      </c>
      <c r="AH161" s="226">
        <v>833024.74</v>
      </c>
      <c r="AI161" s="226"/>
      <c r="AJ161" s="226"/>
      <c r="AK161" s="223" t="s">
        <v>864</v>
      </c>
      <c r="AL161" s="227">
        <v>1.4E-2</v>
      </c>
      <c r="AM161" s="229">
        <v>4.5999999999999999E-2</v>
      </c>
      <c r="AO161" s="223">
        <v>0</v>
      </c>
      <c r="AP161" s="225" t="s">
        <v>1455</v>
      </c>
      <c r="AQ161" s="223">
        <v>79879292643</v>
      </c>
      <c r="AR161" s="225" t="s">
        <v>882</v>
      </c>
      <c r="AS161" s="224">
        <v>33883</v>
      </c>
      <c r="AT161" s="225" t="s">
        <v>970</v>
      </c>
      <c r="AU161" s="225" t="s">
        <v>997</v>
      </c>
      <c r="AV161" s="225" t="s">
        <v>879</v>
      </c>
      <c r="AW161" s="225" t="s">
        <v>172</v>
      </c>
      <c r="AX161" t="s">
        <v>2172</v>
      </c>
      <c r="AY161" s="224"/>
      <c r="BL161" s="223"/>
    </row>
    <row r="162" spans="1:64" x14ac:dyDescent="0.25">
      <c r="A162" s="223">
        <v>2422</v>
      </c>
      <c r="B162" s="223">
        <v>57</v>
      </c>
      <c r="C162" s="224">
        <v>45471</v>
      </c>
      <c r="D162" s="225" t="s">
        <v>1458</v>
      </c>
      <c r="E162" s="225" t="s">
        <v>859</v>
      </c>
      <c r="F162" s="225" t="s">
        <v>860</v>
      </c>
      <c r="G162" s="223" t="s">
        <v>861</v>
      </c>
      <c r="H162" s="224"/>
      <c r="I162" s="224">
        <v>45471</v>
      </c>
      <c r="J162" s="225" t="s">
        <v>1952</v>
      </c>
      <c r="K162" s="225" t="s">
        <v>98</v>
      </c>
      <c r="L162" s="225" t="s">
        <v>3</v>
      </c>
      <c r="M162" s="223">
        <v>5</v>
      </c>
      <c r="N162" s="223">
        <v>18</v>
      </c>
      <c r="O162" s="223">
        <v>345</v>
      </c>
      <c r="P162" s="223">
        <v>1</v>
      </c>
      <c r="Q162" s="223">
        <v>37.81</v>
      </c>
      <c r="R162" s="225" t="s">
        <v>12</v>
      </c>
      <c r="S162" s="230">
        <v>4430900</v>
      </c>
      <c r="T162" s="226">
        <v>117188.57</v>
      </c>
      <c r="U162" s="228"/>
      <c r="V162" s="226">
        <v>4430900</v>
      </c>
      <c r="W162" s="226">
        <v>117188.57445120339</v>
      </c>
      <c r="X162" s="228"/>
      <c r="Y162" s="228">
        <f>Юрист[[#This Row],[Итоговая цена м2 с отделкой]]-Юрист[[#This Row],[Итоговая цена м2 без отделки]]</f>
        <v>0</v>
      </c>
      <c r="Z162" s="226">
        <v>4430900</v>
      </c>
      <c r="AA162" s="223">
        <v>117188.57445120339</v>
      </c>
      <c r="AB162" s="225"/>
      <c r="AD162" s="225" t="s">
        <v>862</v>
      </c>
      <c r="AE162" s="225" t="s">
        <v>863</v>
      </c>
      <c r="AF162" s="226">
        <v>891000</v>
      </c>
      <c r="AG162" s="226">
        <v>3539900</v>
      </c>
      <c r="AH162" s="226"/>
      <c r="AI162" s="226"/>
      <c r="AJ162" s="226"/>
      <c r="AK162" s="223" t="s">
        <v>864</v>
      </c>
      <c r="AL162" s="227">
        <v>1.4E-2</v>
      </c>
      <c r="AM162" s="229">
        <v>2.1999999999999999E-2</v>
      </c>
      <c r="AO162" s="223">
        <v>0</v>
      </c>
      <c r="AP162" s="225" t="s">
        <v>1459</v>
      </c>
      <c r="AQ162" s="223">
        <v>79270254476</v>
      </c>
      <c r="AR162" s="225" t="s">
        <v>882</v>
      </c>
      <c r="AS162" s="224">
        <v>29785</v>
      </c>
      <c r="AT162" s="225" t="s">
        <v>907</v>
      </c>
      <c r="AU162" s="225" t="s">
        <v>997</v>
      </c>
      <c r="AV162" s="225" t="s">
        <v>869</v>
      </c>
      <c r="AW162" s="225" t="s">
        <v>172</v>
      </c>
      <c r="AX162" t="s">
        <v>2172</v>
      </c>
      <c r="AY162" s="224"/>
      <c r="BL162" s="223"/>
    </row>
    <row r="163" spans="1:64" x14ac:dyDescent="0.25">
      <c r="A163" s="223">
        <v>2420</v>
      </c>
      <c r="B163" s="223">
        <v>55</v>
      </c>
      <c r="C163" s="224">
        <v>45471</v>
      </c>
      <c r="D163" s="225" t="s">
        <v>1456</v>
      </c>
      <c r="E163" s="225" t="s">
        <v>859</v>
      </c>
      <c r="F163" s="225" t="s">
        <v>860</v>
      </c>
      <c r="G163" s="223" t="s">
        <v>861</v>
      </c>
      <c r="H163" s="224"/>
      <c r="I163" s="224">
        <v>45471</v>
      </c>
      <c r="J163" s="225" t="s">
        <v>2078</v>
      </c>
      <c r="K163" s="225" t="s">
        <v>98</v>
      </c>
      <c r="L163" s="225" t="s">
        <v>2</v>
      </c>
      <c r="M163" s="223">
        <v>5</v>
      </c>
      <c r="N163" s="223">
        <v>17</v>
      </c>
      <c r="O163" s="223">
        <v>521</v>
      </c>
      <c r="P163" s="223">
        <v>2</v>
      </c>
      <c r="Q163" s="223">
        <v>57.8</v>
      </c>
      <c r="R163" s="225" t="s">
        <v>14</v>
      </c>
      <c r="S163" s="230">
        <v>6669700</v>
      </c>
      <c r="T163" s="226">
        <v>115392.73</v>
      </c>
      <c r="U163" s="228"/>
      <c r="V163" s="226">
        <v>6669700</v>
      </c>
      <c r="W163" s="226">
        <v>115392.73356401385</v>
      </c>
      <c r="X163" s="228">
        <v>1156000</v>
      </c>
      <c r="Y163" s="228">
        <f>Юрист[[#This Row],[Итоговая цена м2 с отделкой]]-Юрист[[#This Row],[Итоговая цена м2 без отделки]]</f>
        <v>20000</v>
      </c>
      <c r="Z163" s="226">
        <v>5513700</v>
      </c>
      <c r="AA163" s="223">
        <v>95392.733564013848</v>
      </c>
      <c r="AB163" s="225"/>
      <c r="AD163" s="225" t="s">
        <v>862</v>
      </c>
      <c r="AE163" s="225" t="s">
        <v>863</v>
      </c>
      <c r="AF163" s="226">
        <v>710619.22</v>
      </c>
      <c r="AG163" s="226">
        <v>5328700</v>
      </c>
      <c r="AH163" s="226">
        <v>630380.78</v>
      </c>
      <c r="AI163" s="226"/>
      <c r="AJ163" s="226"/>
      <c r="AK163" s="223" t="s">
        <v>864</v>
      </c>
      <c r="AL163" s="227">
        <v>1.4E-2</v>
      </c>
      <c r="AM163" s="229">
        <v>4.5999999999999999E-2</v>
      </c>
      <c r="AO163" s="223">
        <v>0</v>
      </c>
      <c r="AP163" s="225" t="s">
        <v>1457</v>
      </c>
      <c r="AQ163" s="223">
        <v>79244112114</v>
      </c>
      <c r="AR163" s="225" t="s">
        <v>866</v>
      </c>
      <c r="AS163" s="224">
        <v>35205</v>
      </c>
      <c r="AT163" s="225" t="s">
        <v>878</v>
      </c>
      <c r="AU163" s="225" t="s">
        <v>899</v>
      </c>
      <c r="AV163" s="225" t="s">
        <v>1292</v>
      </c>
      <c r="AW163" s="225" t="s">
        <v>172</v>
      </c>
      <c r="AX163" t="s">
        <v>2172</v>
      </c>
      <c r="AY163" s="224"/>
      <c r="BL163" s="223"/>
    </row>
    <row r="164" spans="1:64" x14ac:dyDescent="0.25">
      <c r="A164" s="223">
        <v>2413</v>
      </c>
      <c r="B164" s="223">
        <v>48</v>
      </c>
      <c r="C164" s="224">
        <v>45470</v>
      </c>
      <c r="D164" s="225" t="s">
        <v>1444</v>
      </c>
      <c r="E164" s="225" t="s">
        <v>859</v>
      </c>
      <c r="F164" s="225" t="s">
        <v>860</v>
      </c>
      <c r="G164" s="223" t="s">
        <v>861</v>
      </c>
      <c r="H164" s="224"/>
      <c r="I164" s="224">
        <v>45471</v>
      </c>
      <c r="J164" s="225" t="s">
        <v>1883</v>
      </c>
      <c r="K164" s="225" t="s">
        <v>98</v>
      </c>
      <c r="L164" s="225" t="s">
        <v>3</v>
      </c>
      <c r="M164" s="223">
        <v>7</v>
      </c>
      <c r="N164" s="223">
        <v>4</v>
      </c>
      <c r="O164" s="223">
        <v>249</v>
      </c>
      <c r="P164" s="223">
        <v>1</v>
      </c>
      <c r="Q164" s="223">
        <v>34.81</v>
      </c>
      <c r="R164" s="225" t="s">
        <v>14</v>
      </c>
      <c r="S164" s="230">
        <v>4948400</v>
      </c>
      <c r="T164" s="226">
        <v>142154.54999999999</v>
      </c>
      <c r="U164" s="228"/>
      <c r="V164" s="226">
        <v>4948400</v>
      </c>
      <c r="W164" s="226">
        <v>142154.55328928467</v>
      </c>
      <c r="X164" s="228">
        <v>696200</v>
      </c>
      <c r="Y164" s="228">
        <f>Юрист[[#This Row],[Итоговая цена м2 с отделкой]]-Юрист[[#This Row],[Итоговая цена м2 без отделки]]</f>
        <v>19999.999999999985</v>
      </c>
      <c r="Z164" s="226">
        <v>4252200</v>
      </c>
      <c r="AA164" s="223">
        <v>122154.55328928468</v>
      </c>
      <c r="AB164" s="225"/>
      <c r="AD164" s="225" t="s">
        <v>862</v>
      </c>
      <c r="AE164" s="225" t="s">
        <v>863</v>
      </c>
      <c r="AF164" s="226">
        <v>995000</v>
      </c>
      <c r="AG164" s="226">
        <v>3953400</v>
      </c>
      <c r="AH164" s="226"/>
      <c r="AI164" s="226"/>
      <c r="AJ164" s="226"/>
      <c r="AK164" s="223" t="s">
        <v>895</v>
      </c>
      <c r="AL164" s="227">
        <v>1.4E-2</v>
      </c>
      <c r="AM164" s="229">
        <v>3.5999999999999997E-2</v>
      </c>
      <c r="AO164" s="223">
        <v>0</v>
      </c>
      <c r="AP164" s="225" t="s">
        <v>1445</v>
      </c>
      <c r="AQ164" s="223">
        <v>79228306585</v>
      </c>
      <c r="AR164" s="225" t="s">
        <v>866</v>
      </c>
      <c r="AS164" s="224">
        <v>34462</v>
      </c>
      <c r="AT164" s="225" t="s">
        <v>878</v>
      </c>
      <c r="AU164" s="225" t="s">
        <v>868</v>
      </c>
      <c r="AV164" s="225" t="s">
        <v>879</v>
      </c>
      <c r="AW164" s="225" t="s">
        <v>172</v>
      </c>
      <c r="AX164" t="s">
        <v>2172</v>
      </c>
      <c r="AY164" s="224"/>
      <c r="BL164" s="223"/>
    </row>
    <row r="165" spans="1:64" x14ac:dyDescent="0.25">
      <c r="A165" s="223">
        <v>2415</v>
      </c>
      <c r="B165" s="223">
        <v>50</v>
      </c>
      <c r="C165" s="224">
        <v>45470</v>
      </c>
      <c r="D165" s="225" t="s">
        <v>1447</v>
      </c>
      <c r="E165" s="225" t="s">
        <v>859</v>
      </c>
      <c r="F165" s="225" t="s">
        <v>860</v>
      </c>
      <c r="G165" s="223" t="s">
        <v>861</v>
      </c>
      <c r="H165" s="224"/>
      <c r="I165" s="224">
        <v>45471</v>
      </c>
      <c r="J165" s="225" t="s">
        <v>1873</v>
      </c>
      <c r="K165" s="225" t="s">
        <v>98</v>
      </c>
      <c r="L165" s="225" t="s">
        <v>3</v>
      </c>
      <c r="M165" s="223">
        <v>5</v>
      </c>
      <c r="N165" s="223">
        <v>2</v>
      </c>
      <c r="O165" s="223">
        <v>233</v>
      </c>
      <c r="P165" s="223">
        <v>1</v>
      </c>
      <c r="Q165" s="223">
        <v>37.81</v>
      </c>
      <c r="R165" s="225" t="s">
        <v>780</v>
      </c>
      <c r="S165" s="230">
        <v>4655470</v>
      </c>
      <c r="T165" s="226">
        <v>123128.01</v>
      </c>
      <c r="U165" s="228"/>
      <c r="V165" s="226">
        <v>4655470</v>
      </c>
      <c r="W165" s="226">
        <v>123128.00846336948</v>
      </c>
      <c r="X165" s="228">
        <v>264670</v>
      </c>
      <c r="Y165" s="228">
        <f>Юрист[[#This Row],[Итоговая цена м2 с отделкой]]-Юрист[[#This Row],[Итоговая цена м2 без отделки]]</f>
        <v>7000</v>
      </c>
      <c r="Z165" s="226">
        <v>4390800</v>
      </c>
      <c r="AA165" s="223">
        <v>116128.00846336948</v>
      </c>
      <c r="AB165" s="225"/>
      <c r="AD165" s="225" t="s">
        <v>862</v>
      </c>
      <c r="AE165" s="225" t="s">
        <v>863</v>
      </c>
      <c r="AF165" s="226">
        <v>936000</v>
      </c>
      <c r="AG165" s="226">
        <v>3719470</v>
      </c>
      <c r="AH165" s="226"/>
      <c r="AI165" s="226"/>
      <c r="AJ165" s="226"/>
      <c r="AK165" s="223" t="s">
        <v>864</v>
      </c>
      <c r="AL165" s="227">
        <v>1.4E-2</v>
      </c>
      <c r="AM165" s="229">
        <v>4.5999999999999999E-2</v>
      </c>
      <c r="AO165" s="223">
        <v>0</v>
      </c>
      <c r="AP165" s="225" t="s">
        <v>1448</v>
      </c>
      <c r="AQ165" s="223">
        <v>79371835386</v>
      </c>
      <c r="AR165" s="225" t="s">
        <v>866</v>
      </c>
      <c r="AS165" s="224">
        <v>31006</v>
      </c>
      <c r="AT165" s="225" t="s">
        <v>1061</v>
      </c>
      <c r="AU165" s="225" t="s">
        <v>899</v>
      </c>
      <c r="AV165" s="225" t="s">
        <v>1292</v>
      </c>
      <c r="AW165" s="225" t="s">
        <v>172</v>
      </c>
      <c r="AX165" t="s">
        <v>2172</v>
      </c>
      <c r="AY165" s="224"/>
      <c r="BL165" s="223"/>
    </row>
    <row r="166" spans="1:64" x14ac:dyDescent="0.25">
      <c r="A166" s="223">
        <v>2409</v>
      </c>
      <c r="B166" s="223">
        <v>44</v>
      </c>
      <c r="C166" s="224">
        <v>45469</v>
      </c>
      <c r="D166" s="225" t="s">
        <v>1438</v>
      </c>
      <c r="E166" s="225" t="s">
        <v>859</v>
      </c>
      <c r="F166" s="225" t="s">
        <v>860</v>
      </c>
      <c r="G166" s="223" t="s">
        <v>861</v>
      </c>
      <c r="H166" s="224"/>
      <c r="I166" s="224">
        <v>45471</v>
      </c>
      <c r="J166" s="225" t="s">
        <v>1932</v>
      </c>
      <c r="K166" s="225" t="s">
        <v>98</v>
      </c>
      <c r="L166" s="225" t="s">
        <v>3</v>
      </c>
      <c r="M166" s="223">
        <v>3</v>
      </c>
      <c r="N166" s="223">
        <v>14</v>
      </c>
      <c r="O166" s="223">
        <v>315</v>
      </c>
      <c r="P166" s="223">
        <v>2</v>
      </c>
      <c r="Q166" s="223">
        <v>56.58</v>
      </c>
      <c r="R166" s="225" t="s">
        <v>14</v>
      </c>
      <c r="S166" s="230">
        <v>6669100</v>
      </c>
      <c r="T166" s="226">
        <v>117870.27</v>
      </c>
      <c r="U166" s="228"/>
      <c r="V166" s="226">
        <v>6669100</v>
      </c>
      <c r="W166" s="226">
        <v>117870.27218098268</v>
      </c>
      <c r="X166" s="228">
        <v>1131600</v>
      </c>
      <c r="Y166" s="228">
        <f>Юрист[[#This Row],[Итоговая цена м2 с отделкой]]-Юрист[[#This Row],[Итоговая цена м2 без отделки]]</f>
        <v>20000</v>
      </c>
      <c r="Z166" s="226">
        <v>5537500</v>
      </c>
      <c r="AA166" s="223">
        <v>97870.272180982676</v>
      </c>
      <c r="AB166" s="225"/>
      <c r="AD166" s="225" t="s">
        <v>862</v>
      </c>
      <c r="AE166" s="225" t="s">
        <v>863</v>
      </c>
      <c r="AF166" s="226">
        <v>710109.22</v>
      </c>
      <c r="AG166" s="226">
        <v>5328610</v>
      </c>
      <c r="AH166" s="226">
        <v>630380.78</v>
      </c>
      <c r="AI166" s="226"/>
      <c r="AJ166" s="226"/>
      <c r="AK166" s="223" t="s">
        <v>864</v>
      </c>
      <c r="AL166" s="227">
        <v>1.4E-2</v>
      </c>
      <c r="AM166" s="229">
        <v>4.5999999999999999E-2</v>
      </c>
      <c r="AO166" s="223">
        <v>0</v>
      </c>
      <c r="AP166" s="225" t="s">
        <v>1439</v>
      </c>
      <c r="AQ166" s="223">
        <v>79996836594</v>
      </c>
      <c r="AR166" s="225" t="s">
        <v>882</v>
      </c>
      <c r="AS166" s="224">
        <v>34131</v>
      </c>
      <c r="AT166" s="225" t="s">
        <v>982</v>
      </c>
      <c r="AU166" s="225" t="s">
        <v>899</v>
      </c>
      <c r="AV166" s="225" t="s">
        <v>869</v>
      </c>
      <c r="AW166" s="225" t="s">
        <v>172</v>
      </c>
      <c r="AX166" t="s">
        <v>2172</v>
      </c>
      <c r="AY166" s="224"/>
      <c r="BL166" s="223"/>
    </row>
    <row r="167" spans="1:64" x14ac:dyDescent="0.25">
      <c r="A167" s="223">
        <v>2410</v>
      </c>
      <c r="B167" s="223">
        <v>45</v>
      </c>
      <c r="C167" s="224">
        <v>45469</v>
      </c>
      <c r="D167" s="225" t="s">
        <v>1440</v>
      </c>
      <c r="E167" s="225" t="s">
        <v>859</v>
      </c>
      <c r="F167" s="225" t="s">
        <v>860</v>
      </c>
      <c r="G167" s="223" t="s">
        <v>861</v>
      </c>
      <c r="H167" s="224"/>
      <c r="I167" s="224">
        <v>45471</v>
      </c>
      <c r="J167" s="225" t="s">
        <v>1735</v>
      </c>
      <c r="K167" s="225" t="s">
        <v>98</v>
      </c>
      <c r="L167" s="225" t="s">
        <v>5</v>
      </c>
      <c r="M167" s="223">
        <v>6</v>
      </c>
      <c r="N167" s="223">
        <v>4</v>
      </c>
      <c r="O167" s="223">
        <v>26</v>
      </c>
      <c r="P167" s="223">
        <v>2</v>
      </c>
      <c r="Q167" s="223">
        <v>58.16</v>
      </c>
      <c r="R167" s="225" t="s">
        <v>12</v>
      </c>
      <c r="S167" s="230">
        <v>5591565</v>
      </c>
      <c r="T167" s="226">
        <v>96141.08</v>
      </c>
      <c r="U167" s="228"/>
      <c r="V167" s="226">
        <v>5591565</v>
      </c>
      <c r="W167" s="226">
        <v>96141.076341127933</v>
      </c>
      <c r="X167" s="228"/>
      <c r="Y167" s="228">
        <f>Юрист[[#This Row],[Итоговая цена м2 с отделкой]]-Юрист[[#This Row],[Итоговая цена м2 без отделки]]</f>
        <v>0</v>
      </c>
      <c r="Z167" s="226">
        <v>5591565</v>
      </c>
      <c r="AA167" s="223">
        <v>96141.076341127933</v>
      </c>
      <c r="AB167" s="225" t="s">
        <v>167</v>
      </c>
      <c r="AC167" s="226">
        <v>172935.00000000093</v>
      </c>
      <c r="AD167" s="225" t="s">
        <v>862</v>
      </c>
      <c r="AE167" s="225" t="s">
        <v>863</v>
      </c>
      <c r="AF167" s="226">
        <v>1124000</v>
      </c>
      <c r="AG167" s="226">
        <v>4467565</v>
      </c>
      <c r="AH167" s="226"/>
      <c r="AI167" s="226"/>
      <c r="AJ167" s="226"/>
      <c r="AK167" s="223" t="s">
        <v>864</v>
      </c>
      <c r="AL167" s="227">
        <v>1.4E-2</v>
      </c>
      <c r="AM167" s="229">
        <v>4.5999999999999999E-2</v>
      </c>
      <c r="AO167" s="223">
        <v>0</v>
      </c>
      <c r="AP167" s="225" t="s">
        <v>1441</v>
      </c>
      <c r="AQ167" s="223">
        <v>79330144607</v>
      </c>
      <c r="AR167" s="225" t="s">
        <v>882</v>
      </c>
      <c r="AS167" s="224">
        <v>32443</v>
      </c>
      <c r="AT167" s="225" t="s">
        <v>885</v>
      </c>
      <c r="AU167" s="225" t="s">
        <v>997</v>
      </c>
      <c r="AV167" s="225" t="s">
        <v>879</v>
      </c>
      <c r="AW167" s="225" t="s">
        <v>172</v>
      </c>
      <c r="AX167" t="s">
        <v>2172</v>
      </c>
      <c r="AY167" s="224"/>
      <c r="BL167" s="223"/>
    </row>
    <row r="168" spans="1:64" x14ac:dyDescent="0.25">
      <c r="A168" s="223">
        <v>2411</v>
      </c>
      <c r="B168" s="223">
        <v>46</v>
      </c>
      <c r="C168" s="224">
        <v>45469</v>
      </c>
      <c r="D168" s="225" t="s">
        <v>1442</v>
      </c>
      <c r="E168" s="225" t="s">
        <v>859</v>
      </c>
      <c r="F168" s="225" t="s">
        <v>860</v>
      </c>
      <c r="G168" s="223" t="s">
        <v>861</v>
      </c>
      <c r="H168" s="224"/>
      <c r="I168" s="224">
        <v>45471</v>
      </c>
      <c r="J168" s="225" t="s">
        <v>1858</v>
      </c>
      <c r="K168" s="225" t="s">
        <v>98</v>
      </c>
      <c r="L168" s="225" t="s">
        <v>4</v>
      </c>
      <c r="M168" s="223">
        <v>1</v>
      </c>
      <c r="N168" s="223">
        <v>15</v>
      </c>
      <c r="O168" s="223">
        <v>209</v>
      </c>
      <c r="P168" s="223">
        <v>2</v>
      </c>
      <c r="Q168" s="223">
        <v>60.22</v>
      </c>
      <c r="R168" s="225" t="s">
        <v>12</v>
      </c>
      <c r="S168" s="230">
        <v>5770900</v>
      </c>
      <c r="T168" s="226">
        <v>95830.29</v>
      </c>
      <c r="U168" s="228"/>
      <c r="V168" s="226">
        <v>5770900</v>
      </c>
      <c r="W168" s="226">
        <v>95830.288940551312</v>
      </c>
      <c r="X168" s="228"/>
      <c r="Y168" s="228">
        <f>Юрист[[#This Row],[Итоговая цена м2 с отделкой]]-Юрист[[#This Row],[Итоговая цена м2 без отделки]]</f>
        <v>0</v>
      </c>
      <c r="Z168" s="226">
        <v>5770900</v>
      </c>
      <c r="AA168" s="223">
        <v>95830.288940551312</v>
      </c>
      <c r="AB168" s="225"/>
      <c r="AD168" s="225" t="s">
        <v>862</v>
      </c>
      <c r="AE168" s="225" t="s">
        <v>863</v>
      </c>
      <c r="AF168" s="226">
        <v>530000</v>
      </c>
      <c r="AG168" s="226">
        <v>4610519.22</v>
      </c>
      <c r="AH168" s="226">
        <v>630380.78</v>
      </c>
      <c r="AI168" s="226"/>
      <c r="AJ168" s="226"/>
      <c r="AK168" s="223" t="s">
        <v>864</v>
      </c>
      <c r="AL168" s="227">
        <v>1.4E-2</v>
      </c>
      <c r="AM168" s="229">
        <v>4.5999999999999999E-2</v>
      </c>
      <c r="AO168" s="223">
        <v>0</v>
      </c>
      <c r="AP168" s="225" t="s">
        <v>1443</v>
      </c>
      <c r="AQ168" s="223">
        <v>79272661973</v>
      </c>
      <c r="AR168" s="225" t="s">
        <v>866</v>
      </c>
      <c r="AS168" s="224">
        <v>34817</v>
      </c>
      <c r="AT168" s="225" t="s">
        <v>982</v>
      </c>
      <c r="AU168" s="225" t="s">
        <v>899</v>
      </c>
      <c r="AV168" s="225" t="s">
        <v>1292</v>
      </c>
      <c r="AW168" s="225" t="s">
        <v>172</v>
      </c>
      <c r="AX168" t="s">
        <v>2172</v>
      </c>
      <c r="AY168" s="224"/>
      <c r="BB168" s="239"/>
      <c r="BL168" s="223"/>
    </row>
    <row r="169" spans="1:64" x14ac:dyDescent="0.25">
      <c r="A169" s="223">
        <v>2406</v>
      </c>
      <c r="B169" s="223">
        <v>41</v>
      </c>
      <c r="C169" s="224">
        <v>45468</v>
      </c>
      <c r="D169" s="225" t="s">
        <v>1432</v>
      </c>
      <c r="E169" s="225" t="s">
        <v>859</v>
      </c>
      <c r="F169" s="225" t="s">
        <v>860</v>
      </c>
      <c r="G169" s="223" t="s">
        <v>861</v>
      </c>
      <c r="H169" s="224"/>
      <c r="I169" s="224">
        <v>45471</v>
      </c>
      <c r="J169" s="225" t="s">
        <v>2066</v>
      </c>
      <c r="K169" s="225" t="s">
        <v>98</v>
      </c>
      <c r="L169" s="225" t="s">
        <v>2</v>
      </c>
      <c r="M169" s="223">
        <v>6</v>
      </c>
      <c r="N169" s="223">
        <v>15</v>
      </c>
      <c r="O169" s="223">
        <v>506</v>
      </c>
      <c r="P169" s="223">
        <v>1</v>
      </c>
      <c r="Q169" s="223">
        <v>38.299999999999997</v>
      </c>
      <c r="R169" s="225" t="s">
        <v>12</v>
      </c>
      <c r="S169" s="230">
        <v>4266700</v>
      </c>
      <c r="T169" s="226">
        <v>111402.09</v>
      </c>
      <c r="U169" s="228"/>
      <c r="V169" s="226">
        <v>4266700</v>
      </c>
      <c r="W169" s="226">
        <v>111402.08877284596</v>
      </c>
      <c r="X169" s="228"/>
      <c r="Y169" s="228">
        <f>Юрист[[#This Row],[Итоговая цена м2 с отделкой]]-Юрист[[#This Row],[Итоговая цена м2 без отделки]]</f>
        <v>0</v>
      </c>
      <c r="Z169" s="226">
        <v>4266700</v>
      </c>
      <c r="AA169" s="223">
        <v>111402.08877284596</v>
      </c>
      <c r="AB169" s="225"/>
      <c r="AD169" s="225" t="s">
        <v>862</v>
      </c>
      <c r="AE169" s="225" t="s">
        <v>863</v>
      </c>
      <c r="AF169" s="226">
        <v>858000</v>
      </c>
      <c r="AG169" s="226">
        <v>3408700</v>
      </c>
      <c r="AH169" s="226"/>
      <c r="AI169" s="226"/>
      <c r="AJ169" s="226"/>
      <c r="AK169" s="223" t="s">
        <v>864</v>
      </c>
      <c r="AL169" s="227">
        <v>1.4E-2</v>
      </c>
      <c r="AM169" s="229">
        <v>4.5999999999999999E-2</v>
      </c>
      <c r="AO169" s="223">
        <v>0</v>
      </c>
      <c r="AP169" s="225" t="s">
        <v>1433</v>
      </c>
      <c r="AQ169" s="223">
        <v>79967446630</v>
      </c>
      <c r="AR169" s="225" t="s">
        <v>866</v>
      </c>
      <c r="AS169" s="224">
        <v>29602</v>
      </c>
      <c r="AT169" s="225" t="s">
        <v>878</v>
      </c>
      <c r="AU169" s="225" t="s">
        <v>868</v>
      </c>
      <c r="AV169" s="225" t="s">
        <v>1292</v>
      </c>
      <c r="AW169" s="225" t="s">
        <v>172</v>
      </c>
      <c r="AX169" t="s">
        <v>2172</v>
      </c>
      <c r="AY169" s="224"/>
      <c r="BB169" s="239"/>
      <c r="BL169" s="223"/>
    </row>
    <row r="170" spans="1:64" x14ac:dyDescent="0.25">
      <c r="A170" s="223">
        <v>2407</v>
      </c>
      <c r="B170" s="223">
        <v>42</v>
      </c>
      <c r="C170" s="224">
        <v>45468</v>
      </c>
      <c r="D170" s="225" t="s">
        <v>1434</v>
      </c>
      <c r="E170" s="225" t="s">
        <v>859</v>
      </c>
      <c r="F170" s="225" t="s">
        <v>860</v>
      </c>
      <c r="G170" s="223" t="s">
        <v>861</v>
      </c>
      <c r="H170" s="224"/>
      <c r="I170" s="224">
        <v>45471</v>
      </c>
      <c r="J170" s="225" t="s">
        <v>1849</v>
      </c>
      <c r="K170" s="225" t="s">
        <v>98</v>
      </c>
      <c r="L170" s="225" t="s">
        <v>4</v>
      </c>
      <c r="M170" s="223">
        <v>7</v>
      </c>
      <c r="N170" s="223">
        <v>12</v>
      </c>
      <c r="O170" s="223">
        <v>194</v>
      </c>
      <c r="P170" s="223">
        <v>1</v>
      </c>
      <c r="Q170" s="223">
        <v>42.28</v>
      </c>
      <c r="R170" s="225" t="s">
        <v>780</v>
      </c>
      <c r="S170" s="230">
        <v>4964760</v>
      </c>
      <c r="T170" s="226">
        <v>117425.73</v>
      </c>
      <c r="U170" s="228"/>
      <c r="V170" s="226">
        <v>4964760</v>
      </c>
      <c r="W170" s="226">
        <v>117425.73320719016</v>
      </c>
      <c r="X170" s="228">
        <v>295960</v>
      </c>
      <c r="Y170" s="228">
        <f>Юрист[[#This Row],[Итоговая цена м2 с отделкой]]-Юрист[[#This Row],[Итоговая цена м2 без отделки]]</f>
        <v>7000</v>
      </c>
      <c r="Z170" s="226">
        <v>4668800</v>
      </c>
      <c r="AA170" s="223">
        <v>110425.73320719016</v>
      </c>
      <c r="AB170" s="225"/>
      <c r="AD170" s="225" t="s">
        <v>862</v>
      </c>
      <c r="AE170" s="225" t="s">
        <v>863</v>
      </c>
      <c r="AF170" s="226">
        <v>164975.26</v>
      </c>
      <c r="AG170" s="226">
        <v>3966760</v>
      </c>
      <c r="AH170" s="226">
        <v>833024.74</v>
      </c>
      <c r="AI170" s="226"/>
      <c r="AJ170" s="226"/>
      <c r="AK170" s="223" t="s">
        <v>864</v>
      </c>
      <c r="AL170" s="227">
        <v>1.4E-2</v>
      </c>
      <c r="AM170" s="229">
        <v>4.5999999999999999E-2</v>
      </c>
      <c r="AO170" s="223">
        <v>0</v>
      </c>
      <c r="AP170" s="225" t="s">
        <v>1435</v>
      </c>
      <c r="AQ170" s="223">
        <v>79270011828</v>
      </c>
      <c r="AR170" s="225" t="s">
        <v>882</v>
      </c>
      <c r="AS170" s="224">
        <v>33257</v>
      </c>
      <c r="AT170" s="225" t="s">
        <v>1061</v>
      </c>
      <c r="AU170" s="225" t="s">
        <v>899</v>
      </c>
      <c r="AV170" s="225" t="s">
        <v>1292</v>
      </c>
      <c r="AW170" s="225" t="s">
        <v>172</v>
      </c>
      <c r="AX170" t="s">
        <v>2172</v>
      </c>
      <c r="AY170" s="224"/>
      <c r="BL170" s="223"/>
    </row>
    <row r="171" spans="1:64" x14ac:dyDescent="0.25">
      <c r="A171" s="223">
        <v>2408</v>
      </c>
      <c r="B171" s="223">
        <v>43</v>
      </c>
      <c r="C171" s="224">
        <v>45468</v>
      </c>
      <c r="D171" s="225" t="s">
        <v>1436</v>
      </c>
      <c r="E171" s="225" t="s">
        <v>859</v>
      </c>
      <c r="F171" s="225" t="s">
        <v>860</v>
      </c>
      <c r="G171" s="223" t="s">
        <v>926</v>
      </c>
      <c r="H171" s="224"/>
      <c r="I171" s="224">
        <v>45471</v>
      </c>
      <c r="J171" s="225" t="s">
        <v>1947</v>
      </c>
      <c r="K171" s="225" t="s">
        <v>98</v>
      </c>
      <c r="L171" s="225" t="s">
        <v>3</v>
      </c>
      <c r="M171" s="223">
        <v>3</v>
      </c>
      <c r="N171" s="223">
        <v>17</v>
      </c>
      <c r="O171" s="223">
        <v>336</v>
      </c>
      <c r="P171" s="223">
        <v>2</v>
      </c>
      <c r="Q171" s="223">
        <v>56.58</v>
      </c>
      <c r="R171" s="225" t="s">
        <v>14</v>
      </c>
      <c r="S171" s="230">
        <v>6451856</v>
      </c>
      <c r="T171" s="226">
        <v>114030.68</v>
      </c>
      <c r="U171" s="228"/>
      <c r="V171" s="226">
        <v>6451856</v>
      </c>
      <c r="W171" s="226">
        <v>114030.68221986567</v>
      </c>
      <c r="X171" s="228">
        <v>1131600</v>
      </c>
      <c r="Y171" s="228">
        <f>Юрист[[#This Row],[Итоговая цена м2 с отделкой]]-Юрист[[#This Row],[Итоговая цена м2 без отделки]]</f>
        <v>20000</v>
      </c>
      <c r="Z171" s="226">
        <v>5320256</v>
      </c>
      <c r="AA171" s="223">
        <v>94030.682219865674</v>
      </c>
      <c r="AB171" s="225" t="s">
        <v>1165</v>
      </c>
      <c r="AC171" s="226">
        <v>164544</v>
      </c>
      <c r="AD171" s="225" t="s">
        <v>936</v>
      </c>
      <c r="AE171" s="225" t="s">
        <v>902</v>
      </c>
      <c r="AF171" s="226"/>
      <c r="AG171" s="226"/>
      <c r="AH171" s="226"/>
      <c r="AI171" s="226"/>
      <c r="AJ171" s="226"/>
      <c r="AL171" s="227"/>
      <c r="AM171" s="229"/>
      <c r="AO171" s="223">
        <v>0</v>
      </c>
      <c r="AP171" s="225" t="s">
        <v>1437</v>
      </c>
      <c r="AQ171" s="223">
        <v>77477353964</v>
      </c>
      <c r="AR171" s="225" t="s">
        <v>866</v>
      </c>
      <c r="AS171" s="224">
        <v>31449</v>
      </c>
      <c r="AT171" s="225" t="s">
        <v>1285</v>
      </c>
      <c r="AU171" s="225" t="s">
        <v>899</v>
      </c>
      <c r="AV171" s="225" t="s">
        <v>902</v>
      </c>
      <c r="AW171" s="225" t="s">
        <v>172</v>
      </c>
      <c r="AX171" t="s">
        <v>2168</v>
      </c>
      <c r="AY171" s="224"/>
      <c r="BL171" s="223"/>
    </row>
    <row r="172" spans="1:64" x14ac:dyDescent="0.25">
      <c r="A172" s="223">
        <v>2403</v>
      </c>
      <c r="B172" s="223">
        <v>38</v>
      </c>
      <c r="C172" s="224">
        <v>45467</v>
      </c>
      <c r="D172" s="225" t="s">
        <v>1426</v>
      </c>
      <c r="E172" s="225" t="s">
        <v>859</v>
      </c>
      <c r="F172" s="225" t="s">
        <v>860</v>
      </c>
      <c r="G172" s="223" t="s">
        <v>861</v>
      </c>
      <c r="H172" s="224"/>
      <c r="I172" s="224">
        <v>45471</v>
      </c>
      <c r="J172" s="225" t="s">
        <v>1983</v>
      </c>
      <c r="K172" s="225" t="s">
        <v>98</v>
      </c>
      <c r="L172" s="225" t="s">
        <v>2</v>
      </c>
      <c r="M172" s="223">
        <v>4</v>
      </c>
      <c r="N172" s="223">
        <v>3</v>
      </c>
      <c r="O172" s="223">
        <v>408</v>
      </c>
      <c r="P172" s="223">
        <v>2</v>
      </c>
      <c r="Q172" s="223">
        <v>58.24</v>
      </c>
      <c r="R172" s="225" t="s">
        <v>14</v>
      </c>
      <c r="S172" s="230">
        <v>6640900</v>
      </c>
      <c r="T172" s="226">
        <v>114026.44</v>
      </c>
      <c r="U172" s="228">
        <v>15000</v>
      </c>
      <c r="V172" s="226">
        <v>6655900</v>
      </c>
      <c r="W172" s="226">
        <v>114283.99725274724</v>
      </c>
      <c r="X172" s="228">
        <v>1164800</v>
      </c>
      <c r="Y172" s="228">
        <f>Юрист[[#This Row],[Итоговая цена м2 с отделкой]]-Юрист[[#This Row],[Итоговая цена м2 без отделки]]</f>
        <v>19999.999999999985</v>
      </c>
      <c r="Z172" s="226">
        <v>5491100</v>
      </c>
      <c r="AA172" s="223">
        <v>94283.997252747256</v>
      </c>
      <c r="AB172" s="225" t="s">
        <v>791</v>
      </c>
      <c r="AC172" s="226">
        <v>90000</v>
      </c>
      <c r="AD172" s="225" t="s">
        <v>862</v>
      </c>
      <c r="AE172" s="225" t="s">
        <v>863</v>
      </c>
      <c r="AF172" s="226">
        <v>670983.21</v>
      </c>
      <c r="AG172" s="226">
        <v>5305900</v>
      </c>
      <c r="AH172" s="226">
        <v>664016.79</v>
      </c>
      <c r="AI172" s="226"/>
      <c r="AJ172" s="226"/>
      <c r="AK172" s="223" t="s">
        <v>864</v>
      </c>
      <c r="AL172" s="227">
        <v>1.4E-2</v>
      </c>
      <c r="AM172" s="229">
        <v>4.5999999999999999E-2</v>
      </c>
      <c r="AO172" s="223">
        <v>0</v>
      </c>
      <c r="AP172" s="225" t="s">
        <v>1427</v>
      </c>
      <c r="AQ172" s="223">
        <v>79276042725</v>
      </c>
      <c r="AR172" s="225" t="s">
        <v>882</v>
      </c>
      <c r="AS172" s="224">
        <v>33152</v>
      </c>
      <c r="AT172" s="225" t="s">
        <v>939</v>
      </c>
      <c r="AU172" s="225" t="s">
        <v>868</v>
      </c>
      <c r="AV172" s="225" t="s">
        <v>879</v>
      </c>
      <c r="AW172" s="225" t="s">
        <v>172</v>
      </c>
      <c r="AX172" t="s">
        <v>2172</v>
      </c>
      <c r="AY172" s="224"/>
      <c r="BL172" s="223"/>
    </row>
    <row r="173" spans="1:64" x14ac:dyDescent="0.25">
      <c r="A173" s="223">
        <v>2404</v>
      </c>
      <c r="B173" s="223">
        <v>39</v>
      </c>
      <c r="C173" s="224">
        <v>45467</v>
      </c>
      <c r="D173" s="225" t="s">
        <v>1428</v>
      </c>
      <c r="E173" s="225" t="s">
        <v>859</v>
      </c>
      <c r="F173" s="225" t="s">
        <v>860</v>
      </c>
      <c r="G173" s="223" t="s">
        <v>861</v>
      </c>
      <c r="H173" s="224"/>
      <c r="I173" s="224">
        <v>45471</v>
      </c>
      <c r="J173" s="225" t="s">
        <v>1865</v>
      </c>
      <c r="K173" s="225" t="s">
        <v>98</v>
      </c>
      <c r="L173" s="225" t="s">
        <v>4</v>
      </c>
      <c r="M173" s="223">
        <v>3</v>
      </c>
      <c r="N173" s="223">
        <v>16</v>
      </c>
      <c r="O173" s="223">
        <v>218</v>
      </c>
      <c r="P173" s="223">
        <v>2</v>
      </c>
      <c r="Q173" s="223">
        <v>57.6</v>
      </c>
      <c r="R173" s="225" t="s">
        <v>780</v>
      </c>
      <c r="S173" s="230">
        <v>5978200</v>
      </c>
      <c r="T173" s="226">
        <v>103788.19</v>
      </c>
      <c r="U173" s="228"/>
      <c r="V173" s="226">
        <v>5978200</v>
      </c>
      <c r="W173" s="226">
        <v>103788.19444444444</v>
      </c>
      <c r="X173" s="228">
        <v>403200</v>
      </c>
      <c r="Y173" s="228">
        <f>Юрист[[#This Row],[Итоговая цена м2 с отделкой]]-Юрист[[#This Row],[Итоговая цена м2 без отделки]]</f>
        <v>7000</v>
      </c>
      <c r="Z173" s="226">
        <v>5575000</v>
      </c>
      <c r="AA173" s="223">
        <v>96788.194444444438</v>
      </c>
      <c r="AB173" s="225"/>
      <c r="AD173" s="225" t="s">
        <v>862</v>
      </c>
      <c r="AE173" s="225" t="s">
        <v>863</v>
      </c>
      <c r="AF173" s="226">
        <v>1202000</v>
      </c>
      <c r="AG173" s="226">
        <v>4776200</v>
      </c>
      <c r="AH173" s="226"/>
      <c r="AI173" s="226"/>
      <c r="AJ173" s="226"/>
      <c r="AK173" s="223" t="s">
        <v>864</v>
      </c>
      <c r="AL173" s="227">
        <v>1.4E-2</v>
      </c>
      <c r="AM173" s="229">
        <v>4.5999999999999999E-2</v>
      </c>
      <c r="AO173" s="223">
        <v>0</v>
      </c>
      <c r="AP173" s="225" t="s">
        <v>1429</v>
      </c>
      <c r="AQ173" s="223">
        <v>79623298042</v>
      </c>
      <c r="AR173" s="225" t="s">
        <v>866</v>
      </c>
      <c r="AS173" s="224">
        <v>29942</v>
      </c>
      <c r="AT173" s="225" t="s">
        <v>903</v>
      </c>
      <c r="AU173" s="225" t="s">
        <v>868</v>
      </c>
      <c r="AV173" s="225" t="s">
        <v>869</v>
      </c>
      <c r="AW173" s="225" t="s">
        <v>172</v>
      </c>
      <c r="AX173" t="s">
        <v>2172</v>
      </c>
      <c r="AY173" s="224"/>
      <c r="BL173" s="223"/>
    </row>
    <row r="174" spans="1:64" x14ac:dyDescent="0.25">
      <c r="A174" s="223">
        <v>2405</v>
      </c>
      <c r="B174" s="223">
        <v>40</v>
      </c>
      <c r="C174" s="224">
        <v>45467</v>
      </c>
      <c r="D174" s="225" t="s">
        <v>1430</v>
      </c>
      <c r="E174" s="225" t="s">
        <v>859</v>
      </c>
      <c r="F174" s="225" t="s">
        <v>860</v>
      </c>
      <c r="G174" s="223" t="s">
        <v>861</v>
      </c>
      <c r="H174" s="224"/>
      <c r="I174" s="224">
        <v>45471</v>
      </c>
      <c r="J174" s="225" t="s">
        <v>1974</v>
      </c>
      <c r="K174" s="225" t="s">
        <v>98</v>
      </c>
      <c r="L174" s="225" t="s">
        <v>2</v>
      </c>
      <c r="M174" s="223">
        <v>6</v>
      </c>
      <c r="N174" s="223">
        <v>1</v>
      </c>
      <c r="O174" s="223">
        <v>395</v>
      </c>
      <c r="P174" s="223">
        <v>3</v>
      </c>
      <c r="Q174" s="223">
        <v>79.44</v>
      </c>
      <c r="R174" s="225" t="s">
        <v>12</v>
      </c>
      <c r="S174" s="230">
        <v>8531500</v>
      </c>
      <c r="T174" s="226">
        <v>107395.52</v>
      </c>
      <c r="U174" s="228"/>
      <c r="V174" s="226">
        <v>8531500</v>
      </c>
      <c r="W174" s="226">
        <v>107395.51863041289</v>
      </c>
      <c r="X174" s="228"/>
      <c r="Y174" s="228">
        <f>Юрист[[#This Row],[Итоговая цена м2 с отделкой]]-Юрист[[#This Row],[Итоговая цена м2 без отделки]]</f>
        <v>0</v>
      </c>
      <c r="Z174" s="226">
        <v>8531500</v>
      </c>
      <c r="AA174" s="223">
        <v>107395.51863041289</v>
      </c>
      <c r="AB174" s="225" t="s">
        <v>1403</v>
      </c>
      <c r="AC174" s="226">
        <v>150000</v>
      </c>
      <c r="AD174" s="225" t="s">
        <v>862</v>
      </c>
      <c r="AE174" s="225" t="s">
        <v>863</v>
      </c>
      <c r="AF174" s="226">
        <v>2531500</v>
      </c>
      <c r="AG174" s="226">
        <v>6000000</v>
      </c>
      <c r="AH174" s="226"/>
      <c r="AI174" s="226"/>
      <c r="AJ174" s="226"/>
      <c r="AK174" s="223" t="s">
        <v>864</v>
      </c>
      <c r="AL174" s="227">
        <v>1.4E-2</v>
      </c>
      <c r="AM174" s="229">
        <v>4.5999999999999999E-2</v>
      </c>
      <c r="AO174" s="223">
        <v>0</v>
      </c>
      <c r="AP174" s="225" t="s">
        <v>1431</v>
      </c>
      <c r="AQ174" s="223">
        <v>79276090898</v>
      </c>
      <c r="AR174" s="225" t="s">
        <v>882</v>
      </c>
      <c r="AS174" s="224">
        <v>33915</v>
      </c>
      <c r="AT174" s="225" t="s">
        <v>939</v>
      </c>
      <c r="AU174" s="225" t="s">
        <v>899</v>
      </c>
      <c r="AV174" s="225" t="s">
        <v>879</v>
      </c>
      <c r="AW174" s="225" t="s">
        <v>172</v>
      </c>
      <c r="AX174" t="s">
        <v>2172</v>
      </c>
      <c r="AY174" s="224"/>
      <c r="BL174" s="223"/>
    </row>
    <row r="175" spans="1:64" x14ac:dyDescent="0.25">
      <c r="A175" s="223">
        <v>2401</v>
      </c>
      <c r="B175" s="223">
        <v>36</v>
      </c>
      <c r="C175" s="224">
        <v>45466</v>
      </c>
      <c r="D175" s="225" t="s">
        <v>1424</v>
      </c>
      <c r="E175" s="225" t="s">
        <v>859</v>
      </c>
      <c r="F175" s="225" t="s">
        <v>860</v>
      </c>
      <c r="G175" s="223" t="s">
        <v>861</v>
      </c>
      <c r="H175" s="224"/>
      <c r="I175" s="224">
        <v>45471</v>
      </c>
      <c r="J175" s="225" t="s">
        <v>1808</v>
      </c>
      <c r="K175" s="225" t="s">
        <v>98</v>
      </c>
      <c r="L175" s="225" t="s">
        <v>4</v>
      </c>
      <c r="M175" s="223">
        <v>3</v>
      </c>
      <c r="N175" s="223">
        <v>4</v>
      </c>
      <c r="O175" s="223">
        <v>134</v>
      </c>
      <c r="P175" s="223">
        <v>2</v>
      </c>
      <c r="Q175" s="223">
        <v>57.6</v>
      </c>
      <c r="R175" s="225" t="s">
        <v>14</v>
      </c>
      <c r="S175" s="230">
        <v>6611742</v>
      </c>
      <c r="T175" s="226">
        <v>114787.19</v>
      </c>
      <c r="U175" s="228"/>
      <c r="V175" s="226">
        <v>6611742</v>
      </c>
      <c r="W175" s="226">
        <v>114787.1875</v>
      </c>
      <c r="X175" s="228">
        <v>1152000</v>
      </c>
      <c r="Y175" s="228">
        <f>Юрист[[#This Row],[Итоговая цена м2 с отделкой]]-Юрист[[#This Row],[Итоговая цена м2 без отделки]]</f>
        <v>20000</v>
      </c>
      <c r="Z175" s="226">
        <v>5459742</v>
      </c>
      <c r="AA175" s="223">
        <v>94787.1875</v>
      </c>
      <c r="AB175" s="225" t="s">
        <v>162</v>
      </c>
      <c r="AC175" s="226">
        <v>168858</v>
      </c>
      <c r="AD175" s="225" t="s">
        <v>862</v>
      </c>
      <c r="AE175" s="225" t="s">
        <v>863</v>
      </c>
      <c r="AF175" s="226">
        <v>2000000</v>
      </c>
      <c r="AG175" s="226">
        <v>4611742</v>
      </c>
      <c r="AH175" s="226"/>
      <c r="AI175" s="226"/>
      <c r="AJ175" s="226"/>
      <c r="AK175" s="223" t="s">
        <v>873</v>
      </c>
      <c r="AL175" s="227">
        <v>1.4E-2</v>
      </c>
      <c r="AM175" s="229">
        <v>6.6000000000000003E-2</v>
      </c>
      <c r="AO175" s="223">
        <v>0</v>
      </c>
      <c r="AP175" s="225" t="s">
        <v>1425</v>
      </c>
      <c r="AQ175" s="223">
        <v>79270133858</v>
      </c>
      <c r="AR175" s="225" t="s">
        <v>866</v>
      </c>
      <c r="AS175" s="224">
        <v>29556</v>
      </c>
      <c r="AT175" s="225" t="s">
        <v>878</v>
      </c>
      <c r="AU175" s="225" t="s">
        <v>868</v>
      </c>
      <c r="AV175" s="225" t="s">
        <v>869</v>
      </c>
      <c r="AW175" s="225" t="s">
        <v>172</v>
      </c>
      <c r="AX175" t="s">
        <v>2172</v>
      </c>
      <c r="AY175" s="224"/>
      <c r="BL175" s="223"/>
    </row>
    <row r="176" spans="1:64" x14ac:dyDescent="0.25">
      <c r="A176" s="223">
        <v>2396</v>
      </c>
      <c r="B176" s="223">
        <v>31</v>
      </c>
      <c r="C176" s="224">
        <v>45465</v>
      </c>
      <c r="D176" s="225" t="s">
        <v>1417</v>
      </c>
      <c r="E176" s="225" t="s">
        <v>859</v>
      </c>
      <c r="F176" s="225" t="s">
        <v>860</v>
      </c>
      <c r="G176" s="223" t="s">
        <v>861</v>
      </c>
      <c r="H176" s="224"/>
      <c r="I176" s="224">
        <v>45470</v>
      </c>
      <c r="J176" s="225" t="s">
        <v>1785</v>
      </c>
      <c r="K176" s="225" t="s">
        <v>98</v>
      </c>
      <c r="L176" s="225" t="s">
        <v>5</v>
      </c>
      <c r="M176" s="223">
        <v>2</v>
      </c>
      <c r="N176" s="223">
        <v>15</v>
      </c>
      <c r="O176" s="223">
        <v>99</v>
      </c>
      <c r="P176" s="223">
        <v>2</v>
      </c>
      <c r="Q176" s="223">
        <v>68.5</v>
      </c>
      <c r="R176" s="225" t="s">
        <v>780</v>
      </c>
      <c r="S176" s="230">
        <v>6596600</v>
      </c>
      <c r="T176" s="226">
        <v>96300.73</v>
      </c>
      <c r="U176" s="228"/>
      <c r="V176" s="226">
        <v>6596600</v>
      </c>
      <c r="W176" s="226">
        <v>96300.729927007298</v>
      </c>
      <c r="X176" s="228">
        <v>479500</v>
      </c>
      <c r="Y176" s="228">
        <f>Юрист[[#This Row],[Итоговая цена м2 с отделкой]]-Юрист[[#This Row],[Итоговая цена м2 без отделки]]</f>
        <v>7000</v>
      </c>
      <c r="Z176" s="226">
        <v>6117100</v>
      </c>
      <c r="AA176" s="223">
        <v>89300.729927007298</v>
      </c>
      <c r="AB176" s="225" t="s">
        <v>1418</v>
      </c>
      <c r="AC176" s="226">
        <v>700000</v>
      </c>
      <c r="AD176" s="225" t="s">
        <v>862</v>
      </c>
      <c r="AE176" s="225" t="s">
        <v>863</v>
      </c>
      <c r="AF176" s="226">
        <v>1990000</v>
      </c>
      <c r="AG176" s="226">
        <v>4606600</v>
      </c>
      <c r="AH176" s="226"/>
      <c r="AI176" s="226"/>
      <c r="AJ176" s="226"/>
      <c r="AK176" s="223" t="s">
        <v>873</v>
      </c>
      <c r="AL176" s="227">
        <v>1.4E-2</v>
      </c>
      <c r="AM176" s="229">
        <v>6.6000000000000003E-2</v>
      </c>
      <c r="AO176" s="223">
        <v>0</v>
      </c>
      <c r="AP176" s="225" t="s">
        <v>1419</v>
      </c>
      <c r="AQ176" s="223">
        <v>79171360808</v>
      </c>
      <c r="AR176" s="225" t="s">
        <v>866</v>
      </c>
      <c r="AS176" s="224">
        <v>31674</v>
      </c>
      <c r="AT176" s="225" t="s">
        <v>878</v>
      </c>
      <c r="AU176" s="225" t="s">
        <v>904</v>
      </c>
      <c r="AV176" s="225" t="s">
        <v>869</v>
      </c>
      <c r="AW176" s="225" t="s">
        <v>172</v>
      </c>
      <c r="AX176" t="s">
        <v>2172</v>
      </c>
      <c r="AY176" s="224"/>
      <c r="BL176" s="223"/>
    </row>
    <row r="177" spans="1:64" s="244" customFormat="1" x14ac:dyDescent="0.25">
      <c r="A177" s="223">
        <v>2395</v>
      </c>
      <c r="B177" s="223">
        <v>30</v>
      </c>
      <c r="C177" s="224">
        <v>45465</v>
      </c>
      <c r="D177" s="225" t="s">
        <v>1415</v>
      </c>
      <c r="E177" s="225" t="s">
        <v>859</v>
      </c>
      <c r="F177" s="225" t="s">
        <v>860</v>
      </c>
      <c r="G177" s="223" t="s">
        <v>861</v>
      </c>
      <c r="H177" s="224"/>
      <c r="I177" s="224">
        <v>45470</v>
      </c>
      <c r="J177" s="225" t="s">
        <v>2089</v>
      </c>
      <c r="K177" s="225" t="s">
        <v>98</v>
      </c>
      <c r="L177" s="225" t="s">
        <v>2</v>
      </c>
      <c r="M177" s="223">
        <v>6</v>
      </c>
      <c r="N177" s="223">
        <v>20</v>
      </c>
      <c r="O177" s="223">
        <v>546</v>
      </c>
      <c r="P177" s="223">
        <v>1</v>
      </c>
      <c r="Q177" s="223">
        <v>38.299999999999997</v>
      </c>
      <c r="R177" s="225" t="s">
        <v>780</v>
      </c>
      <c r="S177" s="230">
        <v>4752900</v>
      </c>
      <c r="T177" s="226">
        <v>124096.61</v>
      </c>
      <c r="U177" s="228">
        <v>30000</v>
      </c>
      <c r="V177" s="226">
        <v>4782900</v>
      </c>
      <c r="W177" s="226">
        <v>124879.89556135771</v>
      </c>
      <c r="X177" s="228">
        <v>268100</v>
      </c>
      <c r="Y177" s="228">
        <f>Юрист[[#This Row],[Итоговая цена м2 с отделкой]]-Юрист[[#This Row],[Итоговая цена м2 без отделки]]</f>
        <v>7000</v>
      </c>
      <c r="Z177" s="226">
        <v>4514800</v>
      </c>
      <c r="AA177" s="223">
        <v>117879.89556135771</v>
      </c>
      <c r="AB177" s="225"/>
      <c r="AC177" s="226"/>
      <c r="AD177" s="225" t="s">
        <v>862</v>
      </c>
      <c r="AE177" s="225" t="s">
        <v>863</v>
      </c>
      <c r="AF177" s="226">
        <v>1431000</v>
      </c>
      <c r="AG177" s="226">
        <v>3321900</v>
      </c>
      <c r="AH177" s="226"/>
      <c r="AI177" s="226"/>
      <c r="AJ177" s="226"/>
      <c r="AK177" s="223" t="s">
        <v>873</v>
      </c>
      <c r="AL177" s="227">
        <v>1.4E-2</v>
      </c>
      <c r="AM177" s="229">
        <v>6.6000000000000003E-2</v>
      </c>
      <c r="AN177" s="223"/>
      <c r="AO177" s="223">
        <v>0</v>
      </c>
      <c r="AP177" s="225" t="s">
        <v>1416</v>
      </c>
      <c r="AQ177" s="223">
        <v>79061265716</v>
      </c>
      <c r="AR177" s="225" t="s">
        <v>866</v>
      </c>
      <c r="AS177" s="224">
        <v>34485</v>
      </c>
      <c r="AT177" s="225" t="s">
        <v>878</v>
      </c>
      <c r="AU177" s="225" t="s">
        <v>1292</v>
      </c>
      <c r="AV177" s="225" t="s">
        <v>1292</v>
      </c>
      <c r="AW177" s="225" t="s">
        <v>172</v>
      </c>
      <c r="AX177" t="s">
        <v>2172</v>
      </c>
      <c r="AY177" s="224"/>
      <c r="AZ177" s="223"/>
    </row>
    <row r="178" spans="1:64" x14ac:dyDescent="0.25">
      <c r="A178" s="223">
        <v>2400</v>
      </c>
      <c r="B178" s="223">
        <v>35</v>
      </c>
      <c r="C178" s="224">
        <v>45465</v>
      </c>
      <c r="D178" s="225" t="s">
        <v>1422</v>
      </c>
      <c r="E178" s="225" t="s">
        <v>859</v>
      </c>
      <c r="F178" s="225" t="s">
        <v>860</v>
      </c>
      <c r="G178" s="223" t="s">
        <v>861</v>
      </c>
      <c r="H178" s="224"/>
      <c r="I178" s="224">
        <v>45470</v>
      </c>
      <c r="J178" s="225" t="s">
        <v>1866</v>
      </c>
      <c r="K178" s="225" t="s">
        <v>98</v>
      </c>
      <c r="L178" s="225" t="s">
        <v>4</v>
      </c>
      <c r="M178" s="223">
        <v>7</v>
      </c>
      <c r="N178" s="223">
        <v>16</v>
      </c>
      <c r="O178" s="223">
        <v>222</v>
      </c>
      <c r="P178" s="223">
        <v>1</v>
      </c>
      <c r="Q178" s="223">
        <v>42.28</v>
      </c>
      <c r="R178" s="225" t="s">
        <v>14</v>
      </c>
      <c r="S178" s="230">
        <v>5514400</v>
      </c>
      <c r="T178" s="226">
        <v>130425.73</v>
      </c>
      <c r="U178" s="228"/>
      <c r="V178" s="226">
        <v>5514400</v>
      </c>
      <c r="W178" s="226">
        <v>130425.73320719016</v>
      </c>
      <c r="X178" s="228">
        <v>845600</v>
      </c>
      <c r="Y178" s="228">
        <f>Юрист[[#This Row],[Итоговая цена м2 с отделкой]]-Юрист[[#This Row],[Итоговая цена м2 без отделки]]</f>
        <v>20000</v>
      </c>
      <c r="Z178" s="226">
        <v>4668800</v>
      </c>
      <c r="AA178" s="223">
        <v>110425.73320719016</v>
      </c>
      <c r="AB178" s="225"/>
      <c r="AD178" s="225" t="s">
        <v>862</v>
      </c>
      <c r="AE178" s="225" t="s">
        <v>863</v>
      </c>
      <c r="AF178" s="226">
        <v>1660000</v>
      </c>
      <c r="AG178" s="226">
        <v>3854400</v>
      </c>
      <c r="AH178" s="226"/>
      <c r="AI178" s="226"/>
      <c r="AJ178" s="226"/>
      <c r="AK178" s="223" t="s">
        <v>873</v>
      </c>
      <c r="AL178" s="227">
        <v>1.4E-2</v>
      </c>
      <c r="AM178" s="229">
        <v>6.6000000000000003E-2</v>
      </c>
      <c r="AO178" s="223">
        <v>0</v>
      </c>
      <c r="AP178" s="225" t="s">
        <v>1423</v>
      </c>
      <c r="AQ178" s="223">
        <v>79879270179</v>
      </c>
      <c r="AR178" s="225" t="s">
        <v>882</v>
      </c>
      <c r="AS178" s="224">
        <v>35824</v>
      </c>
      <c r="AT178" s="225" t="s">
        <v>878</v>
      </c>
      <c r="AU178" s="225" t="s">
        <v>899</v>
      </c>
      <c r="AV178" s="225" t="s">
        <v>869</v>
      </c>
      <c r="AW178" s="225" t="s">
        <v>172</v>
      </c>
      <c r="AX178" t="s">
        <v>2172</v>
      </c>
      <c r="AY178" s="224"/>
      <c r="BL178" s="223"/>
    </row>
    <row r="179" spans="1:64" x14ac:dyDescent="0.25">
      <c r="A179" s="223">
        <v>2399</v>
      </c>
      <c r="B179" s="223">
        <v>34</v>
      </c>
      <c r="C179" s="224">
        <v>45465</v>
      </c>
      <c r="D179" s="225" t="s">
        <v>1420</v>
      </c>
      <c r="E179" s="225" t="s">
        <v>859</v>
      </c>
      <c r="F179" s="225" t="s">
        <v>860</v>
      </c>
      <c r="G179" s="223" t="s">
        <v>861</v>
      </c>
      <c r="H179" s="224"/>
      <c r="I179" s="224">
        <v>45470</v>
      </c>
      <c r="J179" s="225" t="s">
        <v>1834</v>
      </c>
      <c r="K179" s="225" t="s">
        <v>98</v>
      </c>
      <c r="L179" s="225" t="s">
        <v>4</v>
      </c>
      <c r="M179" s="223">
        <v>7</v>
      </c>
      <c r="N179" s="223">
        <v>9</v>
      </c>
      <c r="O179" s="223">
        <v>173</v>
      </c>
      <c r="P179" s="223">
        <v>1</v>
      </c>
      <c r="Q179" s="223">
        <v>42.28</v>
      </c>
      <c r="R179" s="225" t="s">
        <v>780</v>
      </c>
      <c r="S179" s="230">
        <v>4876260</v>
      </c>
      <c r="T179" s="226">
        <v>115332.54</v>
      </c>
      <c r="U179" s="228"/>
      <c r="V179" s="226">
        <v>4876260</v>
      </c>
      <c r="W179" s="226">
        <v>115332.54493850521</v>
      </c>
      <c r="X179" s="228">
        <v>295960</v>
      </c>
      <c r="Y179" s="228">
        <f>Юрист[[#This Row],[Итоговая цена м2 с отделкой]]-Юрист[[#This Row],[Итоговая цена м2 без отделки]]</f>
        <v>7000</v>
      </c>
      <c r="Z179" s="226">
        <v>4580300</v>
      </c>
      <c r="AA179" s="223">
        <v>108332.54493850521</v>
      </c>
      <c r="AB179" s="225"/>
      <c r="AD179" s="225" t="s">
        <v>862</v>
      </c>
      <c r="AE179" s="225" t="s">
        <v>863</v>
      </c>
      <c r="AF179" s="226">
        <v>1468000</v>
      </c>
      <c r="AG179" s="226">
        <v>3408260</v>
      </c>
      <c r="AH179" s="226"/>
      <c r="AI179" s="226"/>
      <c r="AJ179" s="226"/>
      <c r="AK179" s="223" t="s">
        <v>873</v>
      </c>
      <c r="AL179" s="227">
        <v>1.4E-2</v>
      </c>
      <c r="AM179" s="229">
        <v>6.6000000000000003E-2</v>
      </c>
      <c r="AO179" s="223">
        <v>0</v>
      </c>
      <c r="AP179" s="225" t="s">
        <v>1421</v>
      </c>
      <c r="AQ179" s="223">
        <v>79501138206</v>
      </c>
      <c r="AR179" s="225" t="s">
        <v>882</v>
      </c>
      <c r="AS179" s="224">
        <v>35433</v>
      </c>
      <c r="AT179" s="225" t="s">
        <v>878</v>
      </c>
      <c r="AU179" s="225" t="s">
        <v>899</v>
      </c>
      <c r="AV179" s="225" t="s">
        <v>1292</v>
      </c>
      <c r="AW179" s="225" t="s">
        <v>172</v>
      </c>
      <c r="AX179" t="s">
        <v>2172</v>
      </c>
      <c r="AY179" s="224"/>
      <c r="BL179" s="223"/>
    </row>
    <row r="180" spans="1:64" x14ac:dyDescent="0.25">
      <c r="A180" s="223">
        <v>2389</v>
      </c>
      <c r="B180" s="223">
        <v>24</v>
      </c>
      <c r="C180" s="224">
        <v>45464</v>
      </c>
      <c r="D180" s="225" t="s">
        <v>1402</v>
      </c>
      <c r="E180" s="225" t="s">
        <v>859</v>
      </c>
      <c r="F180" s="225" t="s">
        <v>860</v>
      </c>
      <c r="G180" s="223" t="s">
        <v>861</v>
      </c>
      <c r="H180" s="224"/>
      <c r="I180" s="224">
        <v>45469</v>
      </c>
      <c r="J180" s="225" t="s">
        <v>1763</v>
      </c>
      <c r="K180" s="225" t="s">
        <v>98</v>
      </c>
      <c r="L180" s="225" t="s">
        <v>5</v>
      </c>
      <c r="M180" s="223">
        <v>2</v>
      </c>
      <c r="N180" s="223">
        <v>10</v>
      </c>
      <c r="O180" s="223">
        <v>64</v>
      </c>
      <c r="P180" s="223">
        <v>2</v>
      </c>
      <c r="Q180" s="223">
        <v>68.5</v>
      </c>
      <c r="R180" s="225" t="s">
        <v>780</v>
      </c>
      <c r="S180" s="230">
        <v>7196600</v>
      </c>
      <c r="T180" s="226">
        <v>105059.85</v>
      </c>
      <c r="U180" s="228"/>
      <c r="V180" s="226">
        <v>7196600</v>
      </c>
      <c r="W180" s="226">
        <v>105059.85401459855</v>
      </c>
      <c r="X180" s="228">
        <v>479500</v>
      </c>
      <c r="Y180" s="228">
        <f>Юрист[[#This Row],[Итоговая цена м2 с отделкой]]-Юрист[[#This Row],[Итоговая цена м2 без отделки]]</f>
        <v>7000</v>
      </c>
      <c r="Z180" s="226">
        <v>6717100</v>
      </c>
      <c r="AA180" s="223">
        <v>98059.854014598546</v>
      </c>
      <c r="AB180" s="225" t="s">
        <v>1403</v>
      </c>
      <c r="AC180" s="226">
        <v>100000</v>
      </c>
      <c r="AD180" s="225" t="s">
        <v>862</v>
      </c>
      <c r="AE180" s="225" t="s">
        <v>863</v>
      </c>
      <c r="AF180" s="226">
        <v>2167000</v>
      </c>
      <c r="AG180" s="226">
        <v>5029600</v>
      </c>
      <c r="AH180" s="226"/>
      <c r="AI180" s="226"/>
      <c r="AJ180" s="226"/>
      <c r="AK180" s="223" t="s">
        <v>873</v>
      </c>
      <c r="AL180" s="227">
        <v>1.4E-2</v>
      </c>
      <c r="AM180" s="229">
        <v>6.6000000000000003E-2</v>
      </c>
      <c r="AO180" s="223">
        <v>0</v>
      </c>
      <c r="AP180" s="225" t="s">
        <v>1404</v>
      </c>
      <c r="AQ180" s="223">
        <v>79379966364</v>
      </c>
      <c r="AR180" s="225" t="s">
        <v>866</v>
      </c>
      <c r="AS180" s="224">
        <v>31157</v>
      </c>
      <c r="AT180" s="225" t="s">
        <v>913</v>
      </c>
      <c r="AU180" s="225" t="s">
        <v>997</v>
      </c>
      <c r="AV180" s="225" t="s">
        <v>879</v>
      </c>
      <c r="AW180" s="225" t="s">
        <v>172</v>
      </c>
      <c r="AX180" t="s">
        <v>2172</v>
      </c>
      <c r="AY180" s="224"/>
      <c r="BL180" s="223"/>
    </row>
    <row r="181" spans="1:64" x14ac:dyDescent="0.25">
      <c r="A181" s="223">
        <v>2390</v>
      </c>
      <c r="B181" s="223">
        <v>25</v>
      </c>
      <c r="C181" s="224">
        <v>45464</v>
      </c>
      <c r="D181" s="225" t="s">
        <v>1405</v>
      </c>
      <c r="E181" s="225" t="s">
        <v>859</v>
      </c>
      <c r="F181" s="225" t="s">
        <v>860</v>
      </c>
      <c r="G181" s="223" t="s">
        <v>861</v>
      </c>
      <c r="H181" s="224"/>
      <c r="I181" s="224">
        <v>45469</v>
      </c>
      <c r="J181" s="225" t="s">
        <v>1960</v>
      </c>
      <c r="K181" s="225" t="s">
        <v>98</v>
      </c>
      <c r="L181" s="225" t="s">
        <v>3</v>
      </c>
      <c r="M181" s="223">
        <v>6</v>
      </c>
      <c r="N181" s="223">
        <v>21</v>
      </c>
      <c r="O181" s="223">
        <v>367</v>
      </c>
      <c r="P181" s="223">
        <v>3</v>
      </c>
      <c r="Q181" s="223">
        <v>80.97</v>
      </c>
      <c r="R181" s="225" t="s">
        <v>12</v>
      </c>
      <c r="S181" s="230">
        <v>7688026</v>
      </c>
      <c r="T181" s="226">
        <v>94949.07</v>
      </c>
      <c r="U181" s="228"/>
      <c r="V181" s="226">
        <v>7688026</v>
      </c>
      <c r="W181" s="226">
        <v>94949.067555884903</v>
      </c>
      <c r="X181" s="228"/>
      <c r="Y181" s="228">
        <f>Юрист[[#This Row],[Итоговая цена м2 с отделкой]]-Юрист[[#This Row],[Итоговая цена м2 без отделки]]</f>
        <v>0</v>
      </c>
      <c r="Z181" s="226">
        <v>7688026</v>
      </c>
      <c r="AA181" s="223">
        <v>94949.067555884903</v>
      </c>
      <c r="AB181" s="225" t="s">
        <v>167</v>
      </c>
      <c r="AC181" s="226">
        <v>237774.00000000093</v>
      </c>
      <c r="AD181" s="225" t="s">
        <v>862</v>
      </c>
      <c r="AE181" s="225" t="s">
        <v>863</v>
      </c>
      <c r="AF181" s="226">
        <v>1088026</v>
      </c>
      <c r="AG181" s="226">
        <v>6000000</v>
      </c>
      <c r="AH181" s="226">
        <v>600000</v>
      </c>
      <c r="AI181" s="226"/>
      <c r="AJ181" s="226"/>
      <c r="AK181" s="223" t="s">
        <v>864</v>
      </c>
      <c r="AL181" s="227">
        <v>1.4E-2</v>
      </c>
      <c r="AM181" s="229">
        <v>4.5999999999999999E-2</v>
      </c>
      <c r="AO181" s="223">
        <v>0</v>
      </c>
      <c r="AP181" s="225" t="s">
        <v>1406</v>
      </c>
      <c r="AQ181" s="223">
        <v>79879404380</v>
      </c>
      <c r="AR181" s="225" t="s">
        <v>882</v>
      </c>
      <c r="AS181" s="224">
        <v>34603</v>
      </c>
      <c r="AT181" s="225" t="s">
        <v>888</v>
      </c>
      <c r="AU181" s="225" t="s">
        <v>997</v>
      </c>
      <c r="AV181" s="225" t="s">
        <v>869</v>
      </c>
      <c r="AW181" s="225" t="s">
        <v>172</v>
      </c>
      <c r="AX181" t="s">
        <v>2172</v>
      </c>
      <c r="AY181" s="224"/>
      <c r="BL181" s="223"/>
    </row>
    <row r="182" spans="1:64" x14ac:dyDescent="0.25">
      <c r="A182" s="223">
        <v>2386</v>
      </c>
      <c r="B182" s="223">
        <v>21</v>
      </c>
      <c r="C182" s="224">
        <v>45464</v>
      </c>
      <c r="D182" s="225" t="s">
        <v>1398</v>
      </c>
      <c r="E182" s="225" t="s">
        <v>859</v>
      </c>
      <c r="F182" s="225" t="s">
        <v>860</v>
      </c>
      <c r="G182" s="223" t="s">
        <v>861</v>
      </c>
      <c r="H182" s="224"/>
      <c r="I182" s="224">
        <v>45469</v>
      </c>
      <c r="J182" s="225" t="s">
        <v>1784</v>
      </c>
      <c r="K182" s="225" t="s">
        <v>98</v>
      </c>
      <c r="L182" s="225" t="s">
        <v>5</v>
      </c>
      <c r="M182" s="223">
        <v>1</v>
      </c>
      <c r="N182" s="223">
        <v>15</v>
      </c>
      <c r="O182" s="223">
        <v>98</v>
      </c>
      <c r="P182" s="223">
        <v>1</v>
      </c>
      <c r="Q182" s="223">
        <v>34.39</v>
      </c>
      <c r="R182" s="225" t="s">
        <v>12</v>
      </c>
      <c r="S182" s="230">
        <v>4103900</v>
      </c>
      <c r="T182" s="226">
        <v>119334.11</v>
      </c>
      <c r="U182" s="228"/>
      <c r="V182" s="226">
        <v>4103900</v>
      </c>
      <c r="W182" s="226">
        <v>119334.10875254434</v>
      </c>
      <c r="X182" s="228"/>
      <c r="Y182" s="228">
        <f>Юрист[[#This Row],[Итоговая цена м2 с отделкой]]-Юрист[[#This Row],[Итоговая цена м2 без отделки]]</f>
        <v>0</v>
      </c>
      <c r="Z182" s="226">
        <v>4103900</v>
      </c>
      <c r="AA182" s="223">
        <v>119334.10875254434</v>
      </c>
      <c r="AB182" s="225"/>
      <c r="AD182" s="225" t="s">
        <v>862</v>
      </c>
      <c r="AE182" s="225" t="s">
        <v>863</v>
      </c>
      <c r="AF182" s="226">
        <v>1236000</v>
      </c>
      <c r="AG182" s="226">
        <v>2867900</v>
      </c>
      <c r="AH182" s="226"/>
      <c r="AI182" s="226"/>
      <c r="AJ182" s="226"/>
      <c r="AK182" s="223" t="s">
        <v>873</v>
      </c>
      <c r="AL182" s="227">
        <v>1.4E-2</v>
      </c>
      <c r="AM182" s="229">
        <v>6.6000000000000003E-2</v>
      </c>
      <c r="AO182" s="223">
        <v>0</v>
      </c>
      <c r="AP182" s="225" t="s">
        <v>1399</v>
      </c>
      <c r="AQ182" s="223">
        <v>79279065319</v>
      </c>
      <c r="AR182" s="225" t="s">
        <v>882</v>
      </c>
      <c r="AS182" s="224">
        <v>37707</v>
      </c>
      <c r="AT182" s="225" t="s">
        <v>1335</v>
      </c>
      <c r="AU182" s="225" t="s">
        <v>899</v>
      </c>
      <c r="AV182" s="225" t="s">
        <v>869</v>
      </c>
      <c r="AW182" s="225" t="s">
        <v>172</v>
      </c>
      <c r="AX182" t="s">
        <v>2168</v>
      </c>
      <c r="AY182" s="224"/>
      <c r="BL182" s="223"/>
    </row>
    <row r="183" spans="1:64" x14ac:dyDescent="0.25">
      <c r="A183" s="223">
        <v>2388</v>
      </c>
      <c r="B183" s="223">
        <v>23</v>
      </c>
      <c r="C183" s="224">
        <v>45464</v>
      </c>
      <c r="D183" s="225" t="s">
        <v>1400</v>
      </c>
      <c r="E183" s="225" t="s">
        <v>859</v>
      </c>
      <c r="F183" s="225" t="s">
        <v>860</v>
      </c>
      <c r="G183" s="223" t="s">
        <v>861</v>
      </c>
      <c r="H183" s="224"/>
      <c r="I183" s="224">
        <v>45469</v>
      </c>
      <c r="J183" s="225" t="s">
        <v>1842</v>
      </c>
      <c r="K183" s="225" t="s">
        <v>98</v>
      </c>
      <c r="L183" s="225" t="s">
        <v>4</v>
      </c>
      <c r="M183" s="223">
        <v>3</v>
      </c>
      <c r="N183" s="223">
        <v>11</v>
      </c>
      <c r="O183" s="223">
        <v>183</v>
      </c>
      <c r="P183" s="223">
        <v>2</v>
      </c>
      <c r="Q183" s="223">
        <v>57.6</v>
      </c>
      <c r="R183" s="225" t="s">
        <v>14</v>
      </c>
      <c r="S183" s="230">
        <v>6619800</v>
      </c>
      <c r="T183" s="226">
        <v>114927.08</v>
      </c>
      <c r="U183" s="228"/>
      <c r="V183" s="226">
        <v>6619800</v>
      </c>
      <c r="W183" s="226">
        <v>114927.08333333333</v>
      </c>
      <c r="X183" s="228">
        <v>1152000</v>
      </c>
      <c r="Y183" s="228">
        <f>Юрист[[#This Row],[Итоговая цена м2 с отделкой]]-Юрист[[#This Row],[Итоговая цена м2 без отделки]]</f>
        <v>20000</v>
      </c>
      <c r="Z183" s="226">
        <v>5467800</v>
      </c>
      <c r="AA183" s="223">
        <v>94927.083333333328</v>
      </c>
      <c r="AB183" s="225"/>
      <c r="AD183" s="225" t="s">
        <v>862</v>
      </c>
      <c r="AE183" s="225" t="s">
        <v>863</v>
      </c>
      <c r="AF183" s="226">
        <v>2000000</v>
      </c>
      <c r="AG183" s="226">
        <v>4619800</v>
      </c>
      <c r="AH183" s="226"/>
      <c r="AI183" s="226"/>
      <c r="AJ183" s="226"/>
      <c r="AK183" s="223" t="s">
        <v>873</v>
      </c>
      <c r="AL183" s="227">
        <v>1.4E-2</v>
      </c>
      <c r="AM183" s="229">
        <v>6.6000000000000003E-2</v>
      </c>
      <c r="AO183" s="223">
        <v>0</v>
      </c>
      <c r="AP183" s="225" t="s">
        <v>1401</v>
      </c>
      <c r="AQ183" s="223">
        <v>79228229564</v>
      </c>
      <c r="AR183" s="225" t="s">
        <v>866</v>
      </c>
      <c r="AS183" s="224">
        <v>29155</v>
      </c>
      <c r="AT183" s="225" t="s">
        <v>867</v>
      </c>
      <c r="AU183" s="225" t="s">
        <v>997</v>
      </c>
      <c r="AV183" s="225" t="s">
        <v>1292</v>
      </c>
      <c r="AW183" s="225" t="s">
        <v>172</v>
      </c>
      <c r="AX183" t="s">
        <v>2168</v>
      </c>
      <c r="AY183" s="224"/>
      <c r="BL183" s="223"/>
    </row>
    <row r="184" spans="1:64" x14ac:dyDescent="0.25">
      <c r="A184" s="223">
        <v>2393</v>
      </c>
      <c r="B184" s="223">
        <v>28</v>
      </c>
      <c r="C184" s="224">
        <v>45464</v>
      </c>
      <c r="D184" s="225" t="s">
        <v>1411</v>
      </c>
      <c r="E184" s="225" t="s">
        <v>859</v>
      </c>
      <c r="F184" s="225" t="s">
        <v>860</v>
      </c>
      <c r="G184" s="223" t="s">
        <v>861</v>
      </c>
      <c r="H184" s="224"/>
      <c r="I184" s="224">
        <v>45469</v>
      </c>
      <c r="J184" s="225" t="s">
        <v>1914</v>
      </c>
      <c r="K184" s="225" t="s">
        <v>98</v>
      </c>
      <c r="L184" s="225" t="s">
        <v>3</v>
      </c>
      <c r="M184" s="223">
        <v>5</v>
      </c>
      <c r="N184" s="223">
        <v>10</v>
      </c>
      <c r="O184" s="223">
        <v>289</v>
      </c>
      <c r="P184" s="223">
        <v>1</v>
      </c>
      <c r="Q184" s="223">
        <v>37.81</v>
      </c>
      <c r="R184" s="225" t="s">
        <v>12</v>
      </c>
      <c r="S184" s="230">
        <v>4430900</v>
      </c>
      <c r="T184" s="226">
        <v>117188.57</v>
      </c>
      <c r="U184" s="228"/>
      <c r="V184" s="226">
        <v>4430900</v>
      </c>
      <c r="W184" s="226">
        <v>117188.57445120339</v>
      </c>
      <c r="X184" s="228"/>
      <c r="Y184" s="228">
        <f>Юрист[[#This Row],[Итоговая цена м2 с отделкой]]-Юрист[[#This Row],[Итоговая цена м2 без отделки]]</f>
        <v>0</v>
      </c>
      <c r="Z184" s="226">
        <v>4430900</v>
      </c>
      <c r="AA184" s="223">
        <v>117188.57445120339</v>
      </c>
      <c r="AB184" s="225"/>
      <c r="AD184" s="225" t="s">
        <v>862</v>
      </c>
      <c r="AE184" s="225" t="s">
        <v>863</v>
      </c>
      <c r="AF184" s="226">
        <v>1334000</v>
      </c>
      <c r="AG184" s="226">
        <v>3096900</v>
      </c>
      <c r="AH184" s="226"/>
      <c r="AI184" s="226"/>
      <c r="AJ184" s="226"/>
      <c r="AK184" s="223" t="s">
        <v>873</v>
      </c>
      <c r="AL184" s="227">
        <v>1.4E-2</v>
      </c>
      <c r="AM184" s="229">
        <v>6.6000000000000003E-2</v>
      </c>
      <c r="AO184" s="223">
        <v>0</v>
      </c>
      <c r="AP184" s="225" t="s">
        <v>1412</v>
      </c>
      <c r="AQ184" s="223">
        <v>79171041781</v>
      </c>
      <c r="AR184" s="225" t="s">
        <v>866</v>
      </c>
      <c r="AS184" s="224">
        <v>29693</v>
      </c>
      <c r="AT184" s="225" t="s">
        <v>1218</v>
      </c>
      <c r="AU184" s="225" t="s">
        <v>899</v>
      </c>
      <c r="AV184" s="225" t="s">
        <v>1292</v>
      </c>
      <c r="AW184" s="225" t="s">
        <v>172</v>
      </c>
      <c r="AX184" t="s">
        <v>2172</v>
      </c>
      <c r="AY184" s="224"/>
      <c r="BL184" s="223"/>
    </row>
    <row r="185" spans="1:64" x14ac:dyDescent="0.25">
      <c r="A185" s="223">
        <v>2394</v>
      </c>
      <c r="B185" s="223">
        <v>29</v>
      </c>
      <c r="C185" s="224">
        <v>45464</v>
      </c>
      <c r="D185" s="225" t="s">
        <v>1413</v>
      </c>
      <c r="E185" s="225" t="s">
        <v>859</v>
      </c>
      <c r="F185" s="225" t="s">
        <v>860</v>
      </c>
      <c r="G185" s="223" t="s">
        <v>861</v>
      </c>
      <c r="H185" s="224"/>
      <c r="I185" s="224">
        <v>45469</v>
      </c>
      <c r="J185" s="225" t="s">
        <v>2008</v>
      </c>
      <c r="K185" s="225" t="s">
        <v>98</v>
      </c>
      <c r="L185" s="225" t="s">
        <v>2</v>
      </c>
      <c r="M185" s="223">
        <v>8</v>
      </c>
      <c r="N185" s="223">
        <v>6</v>
      </c>
      <c r="O185" s="223">
        <v>436</v>
      </c>
      <c r="P185" s="223">
        <v>1</v>
      </c>
      <c r="Q185" s="223">
        <v>39.69</v>
      </c>
      <c r="R185" s="225" t="s">
        <v>14</v>
      </c>
      <c r="S185" s="230">
        <v>5154600</v>
      </c>
      <c r="T185" s="226">
        <v>129871.5</v>
      </c>
      <c r="U185" s="228"/>
      <c r="V185" s="226">
        <v>5154600</v>
      </c>
      <c r="W185" s="226">
        <v>129871.50415721846</v>
      </c>
      <c r="X185" s="228">
        <v>793800</v>
      </c>
      <c r="Y185" s="228">
        <f>Юрист[[#This Row],[Итоговая цена м2 с отделкой]]-Юрист[[#This Row],[Итоговая цена м2 без отделки]]</f>
        <v>20000</v>
      </c>
      <c r="Z185" s="226">
        <v>4360800</v>
      </c>
      <c r="AA185" s="223">
        <v>109871.50415721846</v>
      </c>
      <c r="AB185" s="225"/>
      <c r="AD185" s="225" t="s">
        <v>862</v>
      </c>
      <c r="AE185" s="225" t="s">
        <v>863</v>
      </c>
      <c r="AF185" s="226">
        <v>1552000</v>
      </c>
      <c r="AG185" s="226">
        <v>3602600</v>
      </c>
      <c r="AH185" s="226"/>
      <c r="AI185" s="226"/>
      <c r="AJ185" s="226"/>
      <c r="AK185" s="223" t="s">
        <v>873</v>
      </c>
      <c r="AL185" s="227">
        <v>1.4E-2</v>
      </c>
      <c r="AM185" s="229">
        <v>6.6000000000000003E-2</v>
      </c>
      <c r="AO185" s="223">
        <v>0</v>
      </c>
      <c r="AP185" s="225" t="s">
        <v>1414</v>
      </c>
      <c r="AQ185" s="223">
        <v>79276064300</v>
      </c>
      <c r="AR185" s="225" t="s">
        <v>866</v>
      </c>
      <c r="AS185" s="224">
        <v>33632</v>
      </c>
      <c r="AT185" s="225" t="s">
        <v>913</v>
      </c>
      <c r="AU185" s="225" t="s">
        <v>899</v>
      </c>
      <c r="AV185" s="225" t="s">
        <v>1292</v>
      </c>
      <c r="AW185" s="225" t="s">
        <v>172</v>
      </c>
      <c r="AX185" t="s">
        <v>2172</v>
      </c>
      <c r="AY185" s="224"/>
      <c r="BL185" s="223"/>
    </row>
    <row r="186" spans="1:64" x14ac:dyDescent="0.25">
      <c r="A186" s="223">
        <v>2391</v>
      </c>
      <c r="B186" s="223">
        <v>26</v>
      </c>
      <c r="C186" s="224">
        <v>45464</v>
      </c>
      <c r="D186" s="225" t="s">
        <v>1407</v>
      </c>
      <c r="E186" s="225" t="s">
        <v>859</v>
      </c>
      <c r="F186" s="225" t="s">
        <v>860</v>
      </c>
      <c r="G186" s="223" t="s">
        <v>861</v>
      </c>
      <c r="H186" s="224"/>
      <c r="I186" s="224">
        <v>45469</v>
      </c>
      <c r="J186" s="225" t="s">
        <v>1777</v>
      </c>
      <c r="K186" s="225" t="s">
        <v>98</v>
      </c>
      <c r="L186" s="225" t="s">
        <v>5</v>
      </c>
      <c r="M186" s="223">
        <v>4</v>
      </c>
      <c r="N186" s="223">
        <v>13</v>
      </c>
      <c r="O186" s="223">
        <v>87</v>
      </c>
      <c r="P186" s="223">
        <v>2</v>
      </c>
      <c r="Q186" s="223">
        <v>59.09</v>
      </c>
      <c r="R186" s="225" t="s">
        <v>780</v>
      </c>
      <c r="S186" s="230">
        <v>6132830</v>
      </c>
      <c r="T186" s="226">
        <v>103787.95</v>
      </c>
      <c r="U186" s="228"/>
      <c r="V186" s="226">
        <v>6132830</v>
      </c>
      <c r="W186" s="226">
        <v>103787.95058385513</v>
      </c>
      <c r="X186" s="228">
        <v>413630</v>
      </c>
      <c r="Y186" s="228">
        <f>Юрист[[#This Row],[Итоговая цена м2 с отделкой]]-Юрист[[#This Row],[Итоговая цена м2 без отделки]]</f>
        <v>7000</v>
      </c>
      <c r="Z186" s="226">
        <v>5719200</v>
      </c>
      <c r="AA186" s="223">
        <v>96787.950583855127</v>
      </c>
      <c r="AB186" s="225"/>
      <c r="AD186" s="225" t="s">
        <v>862</v>
      </c>
      <c r="AE186" s="225" t="s">
        <v>863</v>
      </c>
      <c r="AF186" s="226">
        <v>1846000</v>
      </c>
      <c r="AG186" s="226">
        <v>4286830</v>
      </c>
      <c r="AH186" s="226"/>
      <c r="AI186" s="226"/>
      <c r="AJ186" s="226"/>
      <c r="AK186" s="223" t="s">
        <v>873</v>
      </c>
      <c r="AL186" s="227">
        <v>1.4E-2</v>
      </c>
      <c r="AM186" s="229">
        <v>6.6000000000000003E-2</v>
      </c>
      <c r="AO186" s="223">
        <v>0</v>
      </c>
      <c r="AP186" s="225" t="s">
        <v>1408</v>
      </c>
      <c r="AQ186" s="223">
        <v>79371823545</v>
      </c>
      <c r="AR186" s="225" t="s">
        <v>882</v>
      </c>
      <c r="AS186" s="224">
        <v>34335</v>
      </c>
      <c r="AT186" s="225" t="s">
        <v>1173</v>
      </c>
      <c r="AU186" s="225" t="s">
        <v>997</v>
      </c>
      <c r="AV186" s="225" t="s">
        <v>879</v>
      </c>
      <c r="AW186" s="225" t="s">
        <v>172</v>
      </c>
      <c r="AX186" t="s">
        <v>2168</v>
      </c>
      <c r="AY186" s="224"/>
      <c r="BL186" s="223"/>
    </row>
    <row r="187" spans="1:64" x14ac:dyDescent="0.25">
      <c r="A187" s="223">
        <v>2392</v>
      </c>
      <c r="B187" s="223">
        <v>27</v>
      </c>
      <c r="C187" s="224">
        <v>45464</v>
      </c>
      <c r="D187" s="225" t="s">
        <v>1409</v>
      </c>
      <c r="E187" s="225" t="s">
        <v>859</v>
      </c>
      <c r="F187" s="225" t="s">
        <v>860</v>
      </c>
      <c r="G187" s="223" t="s">
        <v>861</v>
      </c>
      <c r="H187" s="224"/>
      <c r="I187" s="224">
        <v>45469</v>
      </c>
      <c r="J187" s="225" t="s">
        <v>1906</v>
      </c>
      <c r="K187" s="225" t="s">
        <v>98</v>
      </c>
      <c r="L187" s="225" t="s">
        <v>3</v>
      </c>
      <c r="M187" s="223">
        <v>7</v>
      </c>
      <c r="N187" s="223">
        <v>8</v>
      </c>
      <c r="O187" s="223">
        <v>277</v>
      </c>
      <c r="P187" s="223">
        <v>1</v>
      </c>
      <c r="Q187" s="223">
        <v>34.81</v>
      </c>
      <c r="R187" s="225" t="s">
        <v>12</v>
      </c>
      <c r="S187" s="230">
        <v>4212300</v>
      </c>
      <c r="T187" s="226">
        <v>121008.33</v>
      </c>
      <c r="U187" s="228"/>
      <c r="V187" s="226">
        <v>4212300</v>
      </c>
      <c r="W187" s="226">
        <v>121008.33093938523</v>
      </c>
      <c r="X187" s="228"/>
      <c r="Y187" s="228">
        <f>Юрист[[#This Row],[Итоговая цена м2 с отделкой]]-Юрист[[#This Row],[Итоговая цена м2 без отделки]]</f>
        <v>0</v>
      </c>
      <c r="Z187" s="226">
        <v>4212300</v>
      </c>
      <c r="AA187" s="223">
        <v>121008.33093938523</v>
      </c>
      <c r="AB187" s="225"/>
      <c r="AD187" s="225" t="s">
        <v>862</v>
      </c>
      <c r="AE187" s="225" t="s">
        <v>863</v>
      </c>
      <c r="AF187" s="226">
        <v>1268000</v>
      </c>
      <c r="AG187" s="226">
        <v>2944300</v>
      </c>
      <c r="AH187" s="226"/>
      <c r="AI187" s="226"/>
      <c r="AJ187" s="226"/>
      <c r="AK187" s="223" t="s">
        <v>873</v>
      </c>
      <c r="AL187" s="227">
        <v>1.4E-2</v>
      </c>
      <c r="AM187" s="229">
        <v>6.6000000000000003E-2</v>
      </c>
      <c r="AO187" s="223">
        <v>0</v>
      </c>
      <c r="AP187" s="225" t="s">
        <v>1410</v>
      </c>
      <c r="AQ187" s="223">
        <v>79871535680</v>
      </c>
      <c r="AR187" s="225" t="s">
        <v>882</v>
      </c>
      <c r="AS187" s="224">
        <v>34919</v>
      </c>
      <c r="AT187" s="225" t="s">
        <v>903</v>
      </c>
      <c r="AU187" s="225" t="s">
        <v>899</v>
      </c>
      <c r="AV187" s="225" t="s">
        <v>1292</v>
      </c>
      <c r="AW187" s="225" t="s">
        <v>172</v>
      </c>
      <c r="AX187" t="s">
        <v>2172</v>
      </c>
      <c r="AY187" s="224"/>
      <c r="BL187" s="223"/>
    </row>
    <row r="188" spans="1:64" x14ac:dyDescent="0.25">
      <c r="A188" s="223">
        <v>2385</v>
      </c>
      <c r="B188" s="223">
        <v>20</v>
      </c>
      <c r="C188" s="224">
        <v>45463</v>
      </c>
      <c r="D188" s="225" t="s">
        <v>1396</v>
      </c>
      <c r="E188" s="225" t="s">
        <v>859</v>
      </c>
      <c r="F188" s="225" t="s">
        <v>860</v>
      </c>
      <c r="G188" s="223" t="s">
        <v>861</v>
      </c>
      <c r="H188" s="224"/>
      <c r="I188" s="224">
        <v>45468</v>
      </c>
      <c r="J188" s="225" t="s">
        <v>1771</v>
      </c>
      <c r="K188" s="225" t="s">
        <v>98</v>
      </c>
      <c r="L188" s="225" t="s">
        <v>5</v>
      </c>
      <c r="M188" s="223">
        <v>3</v>
      </c>
      <c r="N188" s="223">
        <v>12</v>
      </c>
      <c r="O188" s="223">
        <v>79</v>
      </c>
      <c r="P188" s="223">
        <v>1</v>
      </c>
      <c r="Q188" s="223">
        <v>37.729999999999997</v>
      </c>
      <c r="R188" s="225" t="s">
        <v>14</v>
      </c>
      <c r="S188" s="230">
        <v>5273900</v>
      </c>
      <c r="T188" s="226">
        <v>139780.01999999999</v>
      </c>
      <c r="U188" s="228"/>
      <c r="V188" s="226">
        <v>5273900</v>
      </c>
      <c r="W188" s="226">
        <v>139780.01590246489</v>
      </c>
      <c r="X188" s="228">
        <v>754600</v>
      </c>
      <c r="Y188" s="228">
        <f>Юрист[[#This Row],[Итоговая цена м2 с отделкой]]-Юрист[[#This Row],[Итоговая цена м2 без отделки]]</f>
        <v>20000</v>
      </c>
      <c r="Z188" s="226">
        <v>4519300</v>
      </c>
      <c r="AA188" s="223">
        <v>119780.01590246489</v>
      </c>
      <c r="AB188" s="225"/>
      <c r="AD188" s="225" t="s">
        <v>862</v>
      </c>
      <c r="AE188" s="225" t="s">
        <v>863</v>
      </c>
      <c r="AF188" s="226">
        <v>1588000</v>
      </c>
      <c r="AG188" s="226">
        <v>3685900</v>
      </c>
      <c r="AH188" s="226"/>
      <c r="AI188" s="226"/>
      <c r="AJ188" s="226"/>
      <c r="AK188" s="223" t="s">
        <v>873</v>
      </c>
      <c r="AL188" s="227">
        <v>1.4E-2</v>
      </c>
      <c r="AM188" s="229">
        <v>6.6000000000000003E-2</v>
      </c>
      <c r="AO188" s="223">
        <v>0</v>
      </c>
      <c r="AP188" s="225" t="s">
        <v>1397</v>
      </c>
      <c r="AQ188" s="223">
        <v>79966200740</v>
      </c>
      <c r="AR188" s="225" t="s">
        <v>882</v>
      </c>
      <c r="AS188" s="224">
        <v>36393</v>
      </c>
      <c r="AT188" s="225" t="s">
        <v>878</v>
      </c>
      <c r="AU188" s="225" t="s">
        <v>899</v>
      </c>
      <c r="AV188" s="225" t="s">
        <v>879</v>
      </c>
      <c r="AW188" s="225" t="s">
        <v>172</v>
      </c>
      <c r="AX188" t="s">
        <v>2172</v>
      </c>
      <c r="AY188" s="224"/>
      <c r="BL188" s="223"/>
    </row>
    <row r="189" spans="1:64" x14ac:dyDescent="0.25">
      <c r="A189" s="223">
        <v>2381</v>
      </c>
      <c r="B189" s="223">
        <v>16</v>
      </c>
      <c r="C189" s="224">
        <v>45461</v>
      </c>
      <c r="D189" s="225" t="s">
        <v>1390</v>
      </c>
      <c r="E189" s="225" t="s">
        <v>859</v>
      </c>
      <c r="F189" s="225" t="s">
        <v>860</v>
      </c>
      <c r="G189" s="223" t="s">
        <v>861</v>
      </c>
      <c r="H189" s="224"/>
      <c r="I189" s="224">
        <v>45464</v>
      </c>
      <c r="J189" s="225" t="s">
        <v>1901</v>
      </c>
      <c r="K189" s="225" t="s">
        <v>98</v>
      </c>
      <c r="L189" s="225" t="s">
        <v>3</v>
      </c>
      <c r="M189" s="223">
        <v>1</v>
      </c>
      <c r="N189" s="223">
        <v>8</v>
      </c>
      <c r="O189" s="223">
        <v>271</v>
      </c>
      <c r="P189" s="223">
        <v>2</v>
      </c>
      <c r="Q189" s="223">
        <v>73.7</v>
      </c>
      <c r="R189" s="225" t="s">
        <v>780</v>
      </c>
      <c r="S189" s="230">
        <v>7578500</v>
      </c>
      <c r="T189" s="226">
        <v>102829.04</v>
      </c>
      <c r="U189" s="228"/>
      <c r="V189" s="226">
        <v>7578500</v>
      </c>
      <c r="W189" s="226">
        <v>102829.03663500678</v>
      </c>
      <c r="X189" s="228">
        <v>515900</v>
      </c>
      <c r="Y189" s="228">
        <f>Юрист[[#This Row],[Итоговая цена м2 с отделкой]]-Юрист[[#This Row],[Итоговая цена м2 без отделки]]</f>
        <v>7000</v>
      </c>
      <c r="Z189" s="226">
        <v>7062600</v>
      </c>
      <c r="AA189" s="223">
        <v>95829.036635006778</v>
      </c>
      <c r="AB189" s="225"/>
      <c r="AD189" s="225" t="s">
        <v>862</v>
      </c>
      <c r="AE189" s="225" t="s">
        <v>863</v>
      </c>
      <c r="AF189" s="226">
        <v>2000000</v>
      </c>
      <c r="AG189" s="226">
        <v>5578500</v>
      </c>
      <c r="AH189" s="226"/>
      <c r="AI189" s="226"/>
      <c r="AJ189" s="226"/>
      <c r="AK189" s="223" t="s">
        <v>864</v>
      </c>
      <c r="AL189" s="227">
        <v>1.4E-2</v>
      </c>
      <c r="AM189" s="229">
        <v>4.5999999999999999E-2</v>
      </c>
      <c r="AO189" s="223">
        <v>0</v>
      </c>
      <c r="AP189" s="225" t="s">
        <v>1391</v>
      </c>
      <c r="AQ189" s="223">
        <v>79276024747</v>
      </c>
      <c r="AR189" s="225" t="s">
        <v>882</v>
      </c>
      <c r="AS189" s="224">
        <v>28563</v>
      </c>
      <c r="AT189" s="225" t="s">
        <v>970</v>
      </c>
      <c r="AU189" s="225" t="s">
        <v>997</v>
      </c>
      <c r="AV189" s="225" t="s">
        <v>879</v>
      </c>
      <c r="AW189" s="225" t="s">
        <v>172</v>
      </c>
      <c r="AX189" t="s">
        <v>2172</v>
      </c>
      <c r="AY189" s="224"/>
      <c r="BL189" s="223"/>
    </row>
    <row r="190" spans="1:64" x14ac:dyDescent="0.25">
      <c r="A190" s="223">
        <v>2382</v>
      </c>
      <c r="B190" s="223">
        <v>17</v>
      </c>
      <c r="C190" s="224">
        <v>45461</v>
      </c>
      <c r="D190" s="225" t="s">
        <v>1392</v>
      </c>
      <c r="E190" s="225" t="s">
        <v>859</v>
      </c>
      <c r="F190" s="225" t="s">
        <v>860</v>
      </c>
      <c r="G190" s="223" t="s">
        <v>861</v>
      </c>
      <c r="H190" s="224"/>
      <c r="I190" s="224">
        <v>45464</v>
      </c>
      <c r="J190" s="225" t="s">
        <v>1732</v>
      </c>
      <c r="K190" s="225" t="s">
        <v>98</v>
      </c>
      <c r="L190" s="225" t="s">
        <v>5</v>
      </c>
      <c r="M190" s="223">
        <v>1</v>
      </c>
      <c r="N190" s="223">
        <v>4</v>
      </c>
      <c r="O190" s="223">
        <v>21</v>
      </c>
      <c r="P190" s="223">
        <v>1</v>
      </c>
      <c r="Q190" s="223">
        <v>34.39</v>
      </c>
      <c r="R190" s="225" t="s">
        <v>780</v>
      </c>
      <c r="S190" s="230">
        <v>4303630</v>
      </c>
      <c r="T190" s="226">
        <v>125141.9</v>
      </c>
      <c r="U190" s="228"/>
      <c r="V190" s="226">
        <v>4303630</v>
      </c>
      <c r="W190" s="226">
        <v>125141.90171561501</v>
      </c>
      <c r="X190" s="228">
        <v>240730</v>
      </c>
      <c r="Y190" s="228">
        <f>Юрист[[#This Row],[Итоговая цена м2 с отделкой]]-Юрист[[#This Row],[Итоговая цена м2 без отделки]]</f>
        <v>7000</v>
      </c>
      <c r="Z190" s="226">
        <v>4062900</v>
      </c>
      <c r="AA190" s="223">
        <v>118141.90171561501</v>
      </c>
      <c r="AB190" s="225"/>
      <c r="AD190" s="225" t="s">
        <v>862</v>
      </c>
      <c r="AE190" s="225" t="s">
        <v>863</v>
      </c>
      <c r="AF190" s="226">
        <v>1296000</v>
      </c>
      <c r="AG190" s="226">
        <v>3007630</v>
      </c>
      <c r="AH190" s="226"/>
      <c r="AI190" s="226"/>
      <c r="AJ190" s="226"/>
      <c r="AK190" s="223" t="s">
        <v>873</v>
      </c>
      <c r="AL190" s="227">
        <v>1.4E-2</v>
      </c>
      <c r="AM190" s="229">
        <v>6.6000000000000003E-2</v>
      </c>
      <c r="AO190" s="223">
        <v>0</v>
      </c>
      <c r="AP190" s="225" t="s">
        <v>1393</v>
      </c>
      <c r="AQ190" s="223">
        <v>79873268477</v>
      </c>
      <c r="AR190" s="225" t="s">
        <v>882</v>
      </c>
      <c r="AS190" s="224">
        <v>30528</v>
      </c>
      <c r="AT190" s="225" t="s">
        <v>878</v>
      </c>
      <c r="AU190" s="225" t="s">
        <v>899</v>
      </c>
      <c r="AV190" s="225" t="s">
        <v>879</v>
      </c>
      <c r="AW190" s="225" t="s">
        <v>172</v>
      </c>
      <c r="AX190" t="s">
        <v>2172</v>
      </c>
      <c r="AY190" s="224"/>
      <c r="BL190" s="223"/>
    </row>
    <row r="191" spans="1:64" x14ac:dyDescent="0.25">
      <c r="A191" s="223">
        <v>2383</v>
      </c>
      <c r="B191" s="223">
        <v>18</v>
      </c>
      <c r="C191" s="224">
        <v>45461</v>
      </c>
      <c r="D191" s="225" t="s">
        <v>1394</v>
      </c>
      <c r="E191" s="225" t="s">
        <v>859</v>
      </c>
      <c r="F191" s="225" t="s">
        <v>860</v>
      </c>
      <c r="G191" s="223" t="s">
        <v>861</v>
      </c>
      <c r="H191" s="224"/>
      <c r="I191" s="224">
        <v>45464</v>
      </c>
      <c r="J191" s="225" t="s">
        <v>1997</v>
      </c>
      <c r="K191" s="225" t="s">
        <v>98</v>
      </c>
      <c r="L191" s="225" t="s">
        <v>2</v>
      </c>
      <c r="M191" s="223">
        <v>3</v>
      </c>
      <c r="N191" s="223">
        <v>5</v>
      </c>
      <c r="O191" s="223">
        <v>423</v>
      </c>
      <c r="P191" s="223">
        <v>0</v>
      </c>
      <c r="Q191" s="223">
        <v>24.5</v>
      </c>
      <c r="R191" s="225" t="s">
        <v>14</v>
      </c>
      <c r="S191" s="230">
        <v>3387500</v>
      </c>
      <c r="T191" s="226">
        <v>138265.31</v>
      </c>
      <c r="U191" s="228"/>
      <c r="V191" s="226">
        <v>3387500</v>
      </c>
      <c r="W191" s="226">
        <v>138265.30612244899</v>
      </c>
      <c r="X191" s="228">
        <v>489999.99999999953</v>
      </c>
      <c r="Y191" s="228">
        <f>Юрист[[#This Row],[Итоговая цена м2 с отделкой]]-Юрист[[#This Row],[Итоговая цена м2 без отделки]]</f>
        <v>20000</v>
      </c>
      <c r="Z191" s="226">
        <v>2897500.0000000005</v>
      </c>
      <c r="AA191" s="223">
        <v>118265.30612244899</v>
      </c>
      <c r="AB191" s="225" t="s">
        <v>1011</v>
      </c>
      <c r="AC191" s="226">
        <v>20000</v>
      </c>
      <c r="AD191" s="225" t="s">
        <v>862</v>
      </c>
      <c r="AE191" s="225" t="s">
        <v>863</v>
      </c>
      <c r="AF191" s="226">
        <v>1020000</v>
      </c>
      <c r="AG191" s="226">
        <v>2367500</v>
      </c>
      <c r="AH191" s="226"/>
      <c r="AI191" s="226"/>
      <c r="AJ191" s="226"/>
      <c r="AK191" s="223" t="s">
        <v>873</v>
      </c>
      <c r="AL191" s="227">
        <v>1.4E-2</v>
      </c>
      <c r="AM191" s="229">
        <v>6.6000000000000003E-2</v>
      </c>
      <c r="AO191" s="223">
        <v>0</v>
      </c>
      <c r="AP191" s="225" t="s">
        <v>1395</v>
      </c>
      <c r="AQ191" s="223">
        <v>79276066820</v>
      </c>
      <c r="AR191" s="225" t="s">
        <v>866</v>
      </c>
      <c r="AS191" s="224">
        <v>27775</v>
      </c>
      <c r="AT191" s="225" t="s">
        <v>878</v>
      </c>
      <c r="AU191" s="225" t="s">
        <v>899</v>
      </c>
      <c r="AV191" s="225" t="s">
        <v>1292</v>
      </c>
      <c r="AW191" s="225" t="s">
        <v>172</v>
      </c>
      <c r="AX191" t="s">
        <v>2172</v>
      </c>
      <c r="AY191" s="224"/>
      <c r="BL191" s="223"/>
    </row>
    <row r="192" spans="1:64" x14ac:dyDescent="0.25">
      <c r="A192" s="223">
        <v>2379</v>
      </c>
      <c r="B192" s="223">
        <v>14</v>
      </c>
      <c r="C192" s="224">
        <v>45457</v>
      </c>
      <c r="D192" s="225" t="s">
        <v>1386</v>
      </c>
      <c r="E192" s="225" t="s">
        <v>859</v>
      </c>
      <c r="F192" s="225" t="s">
        <v>860</v>
      </c>
      <c r="G192" s="223" t="s">
        <v>926</v>
      </c>
      <c r="H192" s="224"/>
      <c r="I192" s="224">
        <v>45462</v>
      </c>
      <c r="J192" s="225" t="s">
        <v>1812</v>
      </c>
      <c r="K192" s="225" t="s">
        <v>98</v>
      </c>
      <c r="L192" s="225" t="s">
        <v>4</v>
      </c>
      <c r="M192" s="223">
        <v>7</v>
      </c>
      <c r="N192" s="223">
        <v>4</v>
      </c>
      <c r="O192" s="223">
        <v>138</v>
      </c>
      <c r="P192" s="223">
        <v>1</v>
      </c>
      <c r="Q192" s="223">
        <v>42.28</v>
      </c>
      <c r="R192" s="225" t="s">
        <v>14</v>
      </c>
      <c r="S192" s="230">
        <v>5558600</v>
      </c>
      <c r="T192" s="226">
        <v>131471.14000000001</v>
      </c>
      <c r="U192" s="228"/>
      <c r="V192" s="226">
        <v>5558600</v>
      </c>
      <c r="W192" s="226">
        <v>131471.14474929046</v>
      </c>
      <c r="X192" s="228">
        <v>845599.99999999907</v>
      </c>
      <c r="Y192" s="228">
        <f>Юрист[[#This Row],[Итоговая цена м2 с отделкой]]-Юрист[[#This Row],[Итоговая цена м2 без отделки]]</f>
        <v>19999.999999999985</v>
      </c>
      <c r="Z192" s="226">
        <v>4713000.0000000009</v>
      </c>
      <c r="AA192" s="223">
        <v>111471.14474929047</v>
      </c>
      <c r="AB192" s="225"/>
      <c r="AD192" s="225" t="s">
        <v>862</v>
      </c>
      <c r="AE192" s="225" t="s">
        <v>1018</v>
      </c>
      <c r="AF192" s="226">
        <v>1674000</v>
      </c>
      <c r="AG192" s="226">
        <v>3884600</v>
      </c>
      <c r="AH192" s="226"/>
      <c r="AI192" s="226"/>
      <c r="AJ192" s="226"/>
      <c r="AK192" s="223" t="s">
        <v>873</v>
      </c>
      <c r="AL192" s="227"/>
      <c r="AM192" s="229">
        <v>0.08</v>
      </c>
      <c r="AO192" s="223">
        <v>0</v>
      </c>
      <c r="AP192" s="225" t="s">
        <v>1387</v>
      </c>
      <c r="AQ192" s="223">
        <v>79608163300</v>
      </c>
      <c r="AR192" s="225" t="s">
        <v>882</v>
      </c>
      <c r="AS192" s="224">
        <v>38105</v>
      </c>
      <c r="AT192" s="225" t="s">
        <v>1285</v>
      </c>
      <c r="AU192" s="225" t="s">
        <v>899</v>
      </c>
      <c r="AV192" s="225" t="s">
        <v>879</v>
      </c>
      <c r="AW192" s="225" t="s">
        <v>172</v>
      </c>
      <c r="AX192" t="s">
        <v>2168</v>
      </c>
      <c r="AY192" s="224"/>
      <c r="BL192" s="223"/>
    </row>
    <row r="193" spans="1:64" x14ac:dyDescent="0.25">
      <c r="A193" s="223">
        <v>2380</v>
      </c>
      <c r="B193" s="223">
        <v>15</v>
      </c>
      <c r="C193" s="224">
        <v>45457</v>
      </c>
      <c r="D193" s="225" t="s">
        <v>1388</v>
      </c>
      <c r="E193" s="225" t="s">
        <v>859</v>
      </c>
      <c r="F193" s="225" t="s">
        <v>860</v>
      </c>
      <c r="G193" s="223" t="s">
        <v>861</v>
      </c>
      <c r="H193" s="224"/>
      <c r="I193" s="224">
        <v>45462</v>
      </c>
      <c r="J193" s="225" t="s">
        <v>1775</v>
      </c>
      <c r="K193" s="225" t="s">
        <v>98</v>
      </c>
      <c r="L193" s="225" t="s">
        <v>5</v>
      </c>
      <c r="M193" s="223">
        <v>1</v>
      </c>
      <c r="N193" s="223">
        <v>13</v>
      </c>
      <c r="O193" s="223">
        <v>84</v>
      </c>
      <c r="P193" s="223">
        <v>1</v>
      </c>
      <c r="Q193" s="223">
        <v>34.39</v>
      </c>
      <c r="R193" s="225" t="s">
        <v>12</v>
      </c>
      <c r="S193" s="230">
        <v>4008400</v>
      </c>
      <c r="T193" s="226">
        <v>116557.14</v>
      </c>
      <c r="U193" s="228">
        <v>15000</v>
      </c>
      <c r="V193" s="226">
        <v>4023400</v>
      </c>
      <c r="W193" s="226">
        <v>116993.31200930502</v>
      </c>
      <c r="X193" s="228"/>
      <c r="Y193" s="228">
        <f>Юрист[[#This Row],[Итоговая цена м2 с отделкой]]-Юрист[[#This Row],[Итоговая цена м2 без отделки]]</f>
        <v>0</v>
      </c>
      <c r="Z193" s="226">
        <v>4023400</v>
      </c>
      <c r="AA193" s="223">
        <v>116993.31200930502</v>
      </c>
      <c r="AB193" s="225"/>
      <c r="AD193" s="225" t="s">
        <v>862</v>
      </c>
      <c r="AE193" s="225" t="s">
        <v>863</v>
      </c>
      <c r="AF193" s="226">
        <v>806000</v>
      </c>
      <c r="AG193" s="226">
        <v>3202400</v>
      </c>
      <c r="AH193" s="226"/>
      <c r="AI193" s="226"/>
      <c r="AJ193" s="226"/>
      <c r="AK193" s="223" t="s">
        <v>864</v>
      </c>
      <c r="AL193" s="227">
        <v>1.4E-2</v>
      </c>
      <c r="AM193" s="229">
        <v>4.5999999999999999E-2</v>
      </c>
      <c r="AO193" s="223">
        <v>0</v>
      </c>
      <c r="AP193" s="225" t="s">
        <v>1389</v>
      </c>
      <c r="AQ193" s="223">
        <v>79292707865</v>
      </c>
      <c r="AR193" s="225" t="s">
        <v>882</v>
      </c>
      <c r="AS193" s="224">
        <v>32505</v>
      </c>
      <c r="AT193" s="225" t="s">
        <v>878</v>
      </c>
      <c r="AU193" s="225" t="s">
        <v>899</v>
      </c>
      <c r="AV193" s="225" t="s">
        <v>869</v>
      </c>
      <c r="AW193" s="225" t="s">
        <v>172</v>
      </c>
      <c r="AX193" t="s">
        <v>2172</v>
      </c>
      <c r="AY193" s="224"/>
      <c r="BL193" s="223"/>
    </row>
    <row r="194" spans="1:64" x14ac:dyDescent="0.25">
      <c r="A194" s="223">
        <v>2377</v>
      </c>
      <c r="B194" s="223">
        <v>12</v>
      </c>
      <c r="C194" s="224">
        <v>45456</v>
      </c>
      <c r="D194" s="225" t="s">
        <v>1384</v>
      </c>
      <c r="E194" s="225" t="s">
        <v>859</v>
      </c>
      <c r="F194" s="225" t="s">
        <v>860</v>
      </c>
      <c r="G194" s="223" t="s">
        <v>861</v>
      </c>
      <c r="H194" s="224"/>
      <c r="I194" s="224">
        <v>45461</v>
      </c>
      <c r="J194" s="225" t="s">
        <v>1792</v>
      </c>
      <c r="K194" s="225" t="s">
        <v>98</v>
      </c>
      <c r="L194" s="225" t="s">
        <v>5</v>
      </c>
      <c r="M194" s="223">
        <v>5</v>
      </c>
      <c r="N194" s="223">
        <v>16</v>
      </c>
      <c r="O194" s="223">
        <v>109</v>
      </c>
      <c r="P194" s="223">
        <v>2</v>
      </c>
      <c r="Q194" s="223">
        <v>62.17</v>
      </c>
      <c r="R194" s="225" t="s">
        <v>12</v>
      </c>
      <c r="S194" s="230">
        <v>6076900</v>
      </c>
      <c r="T194" s="226">
        <v>97746.5</v>
      </c>
      <c r="U194" s="228"/>
      <c r="V194" s="226">
        <v>6076900</v>
      </c>
      <c r="W194" s="226">
        <v>97746.501528068198</v>
      </c>
      <c r="X194" s="228"/>
      <c r="Y194" s="228">
        <f>Юрист[[#This Row],[Итоговая цена м2 с отделкой]]-Юрист[[#This Row],[Итоговая цена м2 без отделки]]</f>
        <v>0</v>
      </c>
      <c r="Z194" s="226">
        <v>6076900</v>
      </c>
      <c r="AA194" s="223">
        <v>97746.501528068198</v>
      </c>
      <c r="AB194" s="225"/>
      <c r="AD194" s="225" t="s">
        <v>862</v>
      </c>
      <c r="AE194" s="225" t="s">
        <v>863</v>
      </c>
      <c r="AF194" s="226">
        <v>3000000</v>
      </c>
      <c r="AG194" s="226">
        <v>3076900</v>
      </c>
      <c r="AH194" s="226"/>
      <c r="AI194" s="226"/>
      <c r="AJ194" s="226"/>
      <c r="AK194" s="223" t="s">
        <v>873</v>
      </c>
      <c r="AL194" s="227">
        <v>1.4E-2</v>
      </c>
      <c r="AM194" s="229">
        <v>6.6000000000000003E-2</v>
      </c>
      <c r="AO194" s="223">
        <v>0</v>
      </c>
      <c r="AP194" s="225" t="s">
        <v>1385</v>
      </c>
      <c r="AQ194" s="223">
        <v>79871575046</v>
      </c>
      <c r="AR194" s="225" t="s">
        <v>882</v>
      </c>
      <c r="AS194" s="224">
        <v>35256</v>
      </c>
      <c r="AT194" s="225" t="s">
        <v>878</v>
      </c>
      <c r="AU194" s="225" t="s">
        <v>1292</v>
      </c>
      <c r="AV194" s="225" t="s">
        <v>879</v>
      </c>
      <c r="AW194" s="225" t="s">
        <v>172</v>
      </c>
      <c r="AX194" t="s">
        <v>2172</v>
      </c>
      <c r="AY194" s="224"/>
      <c r="BL194" s="223"/>
    </row>
    <row r="195" spans="1:64" x14ac:dyDescent="0.25">
      <c r="A195" s="223">
        <v>2374</v>
      </c>
      <c r="B195" s="223">
        <v>9</v>
      </c>
      <c r="C195" s="224">
        <v>45454</v>
      </c>
      <c r="D195" s="225" t="s">
        <v>1378</v>
      </c>
      <c r="E195" s="225" t="s">
        <v>859</v>
      </c>
      <c r="F195" s="225" t="s">
        <v>860</v>
      </c>
      <c r="G195" s="223" t="s">
        <v>861</v>
      </c>
      <c r="H195" s="224"/>
      <c r="I195" s="224">
        <v>45460</v>
      </c>
      <c r="J195" s="225" t="s">
        <v>2027</v>
      </c>
      <c r="K195" s="225" t="s">
        <v>98</v>
      </c>
      <c r="L195" s="225" t="s">
        <v>2</v>
      </c>
      <c r="M195" s="223">
        <v>6</v>
      </c>
      <c r="N195" s="223">
        <v>9</v>
      </c>
      <c r="O195" s="223">
        <v>458</v>
      </c>
      <c r="P195" s="223">
        <v>1</v>
      </c>
      <c r="Q195" s="223">
        <v>38.299999999999997</v>
      </c>
      <c r="R195" s="225" t="s">
        <v>780</v>
      </c>
      <c r="S195" s="230">
        <v>4386138</v>
      </c>
      <c r="T195" s="226">
        <v>114520.57</v>
      </c>
      <c r="U195" s="228"/>
      <c r="V195" s="226">
        <v>4386138</v>
      </c>
      <c r="W195" s="226">
        <v>114520.57441253265</v>
      </c>
      <c r="X195" s="228">
        <v>268100</v>
      </c>
      <c r="Y195" s="228">
        <f>Юрист[[#This Row],[Итоговая цена м2 с отделкой]]-Юрист[[#This Row],[Итоговая цена м2 без отделки]]</f>
        <v>7000</v>
      </c>
      <c r="Z195" s="226">
        <v>4118038</v>
      </c>
      <c r="AA195" s="223">
        <v>107520.57441253265</v>
      </c>
      <c r="AB195" s="225" t="s">
        <v>162</v>
      </c>
      <c r="AC195" s="226">
        <v>127362</v>
      </c>
      <c r="AD195" s="225" t="s">
        <v>862</v>
      </c>
      <c r="AE195" s="225" t="s">
        <v>863</v>
      </c>
      <c r="AF195" s="226">
        <v>2500000</v>
      </c>
      <c r="AG195" s="226">
        <v>1886138</v>
      </c>
      <c r="AH195" s="226"/>
      <c r="AI195" s="226"/>
      <c r="AJ195" s="226"/>
      <c r="AK195" s="223" t="s">
        <v>864</v>
      </c>
      <c r="AL195" s="227">
        <v>1.4E-2</v>
      </c>
      <c r="AM195" s="229">
        <v>4.5999999999999999E-2</v>
      </c>
      <c r="AO195" s="223">
        <v>0</v>
      </c>
      <c r="AP195" s="225" t="s">
        <v>1379</v>
      </c>
      <c r="AQ195" s="223">
        <v>79171020410</v>
      </c>
      <c r="AR195" s="225" t="s">
        <v>866</v>
      </c>
      <c r="AS195" s="224">
        <v>32571</v>
      </c>
      <c r="AT195" s="225" t="s">
        <v>875</v>
      </c>
      <c r="AU195" s="225" t="s">
        <v>868</v>
      </c>
      <c r="AV195" s="225" t="s">
        <v>1292</v>
      </c>
      <c r="AW195" s="225" t="s">
        <v>172</v>
      </c>
      <c r="AX195" t="s">
        <v>2172</v>
      </c>
      <c r="AY195" s="224"/>
      <c r="BL195" s="223"/>
    </row>
    <row r="196" spans="1:64" x14ac:dyDescent="0.25">
      <c r="A196" s="223">
        <v>2373</v>
      </c>
      <c r="B196" s="223">
        <v>8</v>
      </c>
      <c r="C196" s="224">
        <v>45454</v>
      </c>
      <c r="D196" s="225" t="s">
        <v>1376</v>
      </c>
      <c r="E196" s="225" t="s">
        <v>859</v>
      </c>
      <c r="F196" s="225" t="s">
        <v>860</v>
      </c>
      <c r="G196" s="223" t="s">
        <v>861</v>
      </c>
      <c r="H196" s="224"/>
      <c r="I196" s="224">
        <v>45460</v>
      </c>
      <c r="J196" s="225" t="s">
        <v>2096</v>
      </c>
      <c r="K196" s="225" t="s">
        <v>98</v>
      </c>
      <c r="L196" s="225" t="s">
        <v>2</v>
      </c>
      <c r="M196" s="223">
        <v>3</v>
      </c>
      <c r="N196" s="223">
        <v>23</v>
      </c>
      <c r="O196" s="223">
        <v>567</v>
      </c>
      <c r="P196" s="223">
        <v>0</v>
      </c>
      <c r="Q196" s="223">
        <v>24.5</v>
      </c>
      <c r="R196" s="225" t="s">
        <v>14</v>
      </c>
      <c r="S196" s="230">
        <v>3616300</v>
      </c>
      <c r="T196" s="226">
        <v>147604.07999999999</v>
      </c>
      <c r="U196" s="228"/>
      <c r="V196" s="226">
        <v>3616300</v>
      </c>
      <c r="W196" s="226">
        <v>147604.08163265305</v>
      </c>
      <c r="X196" s="228">
        <v>490000</v>
      </c>
      <c r="Y196" s="228">
        <f>Юрист[[#This Row],[Итоговая цена м2 с отделкой]]-Юрист[[#This Row],[Итоговая цена м2 без отделки]]</f>
        <v>19999.999999999985</v>
      </c>
      <c r="Z196" s="226">
        <v>3126300</v>
      </c>
      <c r="AA196" s="223">
        <v>127604.08163265306</v>
      </c>
      <c r="AB196" s="225"/>
      <c r="AD196" s="225" t="s">
        <v>862</v>
      </c>
      <c r="AE196" s="225" t="s">
        <v>863</v>
      </c>
      <c r="AF196" s="226">
        <v>1089000</v>
      </c>
      <c r="AG196" s="226">
        <v>2527300</v>
      </c>
      <c r="AH196" s="226"/>
      <c r="AI196" s="226"/>
      <c r="AJ196" s="226"/>
      <c r="AK196" s="223" t="s">
        <v>873</v>
      </c>
      <c r="AL196" s="227">
        <v>1.4E-2</v>
      </c>
      <c r="AM196" s="229">
        <v>6.6000000000000003E-2</v>
      </c>
      <c r="AO196" s="223">
        <v>0</v>
      </c>
      <c r="AP196" s="225" t="s">
        <v>1377</v>
      </c>
      <c r="AQ196" s="223">
        <v>79276090607</v>
      </c>
      <c r="AR196" s="225" t="s">
        <v>866</v>
      </c>
      <c r="AS196" s="224">
        <v>31441</v>
      </c>
      <c r="AT196" s="225" t="s">
        <v>867</v>
      </c>
      <c r="AU196" s="225" t="s">
        <v>868</v>
      </c>
      <c r="AV196" s="225" t="s">
        <v>869</v>
      </c>
      <c r="AW196" s="225" t="s">
        <v>172</v>
      </c>
      <c r="AX196" t="s">
        <v>2168</v>
      </c>
      <c r="AY196" s="224"/>
      <c r="BL196" s="223"/>
    </row>
    <row r="197" spans="1:64" x14ac:dyDescent="0.25">
      <c r="A197" s="223">
        <v>2376</v>
      </c>
      <c r="B197" s="223">
        <v>11</v>
      </c>
      <c r="C197" s="224">
        <v>45454</v>
      </c>
      <c r="D197" s="225" t="s">
        <v>1382</v>
      </c>
      <c r="E197" s="225" t="s">
        <v>859</v>
      </c>
      <c r="F197" s="225" t="s">
        <v>860</v>
      </c>
      <c r="G197" s="223" t="s">
        <v>861</v>
      </c>
      <c r="H197" s="224"/>
      <c r="I197" s="224">
        <v>45460</v>
      </c>
      <c r="J197" s="225" t="s">
        <v>1989</v>
      </c>
      <c r="K197" s="225" t="s">
        <v>98</v>
      </c>
      <c r="L197" s="225" t="s">
        <v>2</v>
      </c>
      <c r="M197" s="223">
        <v>3</v>
      </c>
      <c r="N197" s="223">
        <v>4</v>
      </c>
      <c r="O197" s="223">
        <v>415</v>
      </c>
      <c r="P197" s="223">
        <v>0</v>
      </c>
      <c r="Q197" s="223">
        <v>24.5</v>
      </c>
      <c r="R197" s="225" t="s">
        <v>780</v>
      </c>
      <c r="S197" s="230">
        <v>3014473</v>
      </c>
      <c r="T197" s="226">
        <v>123039.71</v>
      </c>
      <c r="U197" s="228"/>
      <c r="V197" s="226">
        <v>3014473</v>
      </c>
      <c r="W197" s="226">
        <v>123039.71428571429</v>
      </c>
      <c r="X197" s="228">
        <v>171500</v>
      </c>
      <c r="Y197" s="228">
        <f>Юрист[[#This Row],[Итоговая цена м2 с отделкой]]-Юрист[[#This Row],[Итоговая цена м2 без отделки]]</f>
        <v>7000</v>
      </c>
      <c r="Z197" s="226">
        <v>2842973</v>
      </c>
      <c r="AA197" s="223">
        <v>116039.71428571429</v>
      </c>
      <c r="AB197" s="225" t="s">
        <v>1165</v>
      </c>
      <c r="AC197" s="226">
        <v>87927</v>
      </c>
      <c r="AD197" s="225" t="s">
        <v>936</v>
      </c>
      <c r="AE197" s="225" t="s">
        <v>902</v>
      </c>
      <c r="AF197" s="226"/>
      <c r="AG197" s="226"/>
      <c r="AH197" s="226"/>
      <c r="AI197" s="226"/>
      <c r="AJ197" s="226"/>
      <c r="AL197" s="227"/>
      <c r="AM197" s="229"/>
      <c r="AO197" s="223">
        <v>0</v>
      </c>
      <c r="AP197" s="225" t="s">
        <v>1383</v>
      </c>
      <c r="AQ197" s="223">
        <v>79171071608</v>
      </c>
      <c r="AR197" s="225" t="s">
        <v>866</v>
      </c>
      <c r="AS197" s="224">
        <v>23325</v>
      </c>
      <c r="AT197" s="225" t="s">
        <v>878</v>
      </c>
      <c r="AU197" s="225" t="s">
        <v>899</v>
      </c>
      <c r="AV197" s="225" t="s">
        <v>902</v>
      </c>
      <c r="AW197" s="225" t="s">
        <v>172</v>
      </c>
      <c r="AX197" t="s">
        <v>2172</v>
      </c>
      <c r="AY197" s="224"/>
      <c r="BL197" s="223"/>
    </row>
    <row r="198" spans="1:64" x14ac:dyDescent="0.25">
      <c r="A198" s="223">
        <v>2375</v>
      </c>
      <c r="B198" s="223">
        <v>10</v>
      </c>
      <c r="C198" s="224">
        <v>45454</v>
      </c>
      <c r="D198" s="225" t="s">
        <v>1380</v>
      </c>
      <c r="E198" s="225" t="s">
        <v>859</v>
      </c>
      <c r="F198" s="225" t="s">
        <v>860</v>
      </c>
      <c r="G198" s="223" t="s">
        <v>926</v>
      </c>
      <c r="H198" s="224"/>
      <c r="I198" s="224">
        <v>45460</v>
      </c>
      <c r="J198" s="225" t="s">
        <v>1819</v>
      </c>
      <c r="K198" s="225" t="s">
        <v>98</v>
      </c>
      <c r="L198" s="225" t="s">
        <v>4</v>
      </c>
      <c r="M198" s="223">
        <v>5</v>
      </c>
      <c r="N198" s="223">
        <v>6</v>
      </c>
      <c r="O198" s="223">
        <v>150</v>
      </c>
      <c r="P198" s="223">
        <v>1</v>
      </c>
      <c r="Q198" s="223">
        <v>37.86</v>
      </c>
      <c r="R198" s="225" t="s">
        <v>12</v>
      </c>
      <c r="S198" s="230">
        <v>4422500</v>
      </c>
      <c r="T198" s="226">
        <v>116811.94</v>
      </c>
      <c r="U198" s="228"/>
      <c r="V198" s="226">
        <v>4422500</v>
      </c>
      <c r="W198" s="226">
        <v>116811.93872160591</v>
      </c>
      <c r="X198" s="228"/>
      <c r="Y198" s="228">
        <f>Юрист[[#This Row],[Итоговая цена м2 с отделкой]]-Юрист[[#This Row],[Итоговая цена м2 без отделки]]</f>
        <v>0</v>
      </c>
      <c r="Z198" s="226">
        <v>4422500</v>
      </c>
      <c r="AA198" s="223">
        <v>116811.93872160591</v>
      </c>
      <c r="AB198" s="225"/>
      <c r="AD198" s="225" t="s">
        <v>862</v>
      </c>
      <c r="AE198" s="225" t="s">
        <v>1018</v>
      </c>
      <c r="AF198" s="226">
        <v>1332000</v>
      </c>
      <c r="AG198" s="226">
        <v>3090500</v>
      </c>
      <c r="AH198" s="226"/>
      <c r="AI198" s="226"/>
      <c r="AJ198" s="226"/>
      <c r="AK198" s="223" t="s">
        <v>873</v>
      </c>
      <c r="AL198" s="227"/>
      <c r="AM198" s="229">
        <v>0.08</v>
      </c>
      <c r="AO198" s="223">
        <v>0</v>
      </c>
      <c r="AP198" s="225" t="s">
        <v>1381</v>
      </c>
      <c r="AQ198" s="223">
        <v>79026922075</v>
      </c>
      <c r="AR198" s="225" t="s">
        <v>866</v>
      </c>
      <c r="AS198" s="224">
        <v>30880</v>
      </c>
      <c r="AT198" s="225" t="s">
        <v>885</v>
      </c>
      <c r="AU198" s="225" t="s">
        <v>899</v>
      </c>
      <c r="AV198" s="225" t="s">
        <v>869</v>
      </c>
      <c r="AW198" s="225" t="s">
        <v>172</v>
      </c>
      <c r="AX198" t="s">
        <v>2172</v>
      </c>
      <c r="AY198" s="224"/>
      <c r="BL198" s="223"/>
    </row>
    <row r="199" spans="1:64" x14ac:dyDescent="0.25">
      <c r="A199" s="223">
        <v>2371</v>
      </c>
      <c r="B199" s="223">
        <v>6</v>
      </c>
      <c r="C199" s="224">
        <v>45453</v>
      </c>
      <c r="D199" s="225" t="s">
        <v>1372</v>
      </c>
      <c r="E199" s="225" t="s">
        <v>859</v>
      </c>
      <c r="F199" s="225" t="s">
        <v>860</v>
      </c>
      <c r="G199" s="223" t="s">
        <v>861</v>
      </c>
      <c r="H199" s="224"/>
      <c r="I199" s="224">
        <v>45456</v>
      </c>
      <c r="J199" s="225" t="s">
        <v>1979</v>
      </c>
      <c r="K199" s="225" t="s">
        <v>98</v>
      </c>
      <c r="L199" s="225" t="s">
        <v>2</v>
      </c>
      <c r="M199" s="223">
        <v>8</v>
      </c>
      <c r="N199" s="223">
        <v>2</v>
      </c>
      <c r="O199" s="223">
        <v>404</v>
      </c>
      <c r="P199" s="223">
        <v>1</v>
      </c>
      <c r="Q199" s="223">
        <v>39.69</v>
      </c>
      <c r="R199" s="225" t="s">
        <v>14</v>
      </c>
      <c r="S199" s="230">
        <v>5196400</v>
      </c>
      <c r="T199" s="226">
        <v>130924.67</v>
      </c>
      <c r="U199" s="228"/>
      <c r="V199" s="226">
        <v>5196400</v>
      </c>
      <c r="W199" s="226">
        <v>130924.66616276141</v>
      </c>
      <c r="X199" s="228">
        <v>793800</v>
      </c>
      <c r="Y199" s="228">
        <f>Юрист[[#This Row],[Итоговая цена м2 с отделкой]]-Юрист[[#This Row],[Итоговая цена м2 без отделки]]</f>
        <v>20000</v>
      </c>
      <c r="Z199" s="226">
        <v>4402600</v>
      </c>
      <c r="AA199" s="223">
        <v>110924.66616276141</v>
      </c>
      <c r="AB199" s="225"/>
      <c r="AD199" s="225" t="s">
        <v>862</v>
      </c>
      <c r="AE199" s="225" t="s">
        <v>863</v>
      </c>
      <c r="AF199" s="226">
        <v>1045000</v>
      </c>
      <c r="AG199" s="226">
        <v>4151400</v>
      </c>
      <c r="AH199" s="226"/>
      <c r="AI199" s="226"/>
      <c r="AJ199" s="226"/>
      <c r="AK199" s="223" t="s">
        <v>864</v>
      </c>
      <c r="AL199" s="227">
        <v>1.4E-2</v>
      </c>
      <c r="AM199" s="229">
        <v>4.5999999999999999E-2</v>
      </c>
      <c r="AO199" s="223">
        <v>0</v>
      </c>
      <c r="AP199" s="225" t="s">
        <v>1373</v>
      </c>
      <c r="AQ199" s="223">
        <v>79276534882</v>
      </c>
      <c r="AR199" s="225" t="s">
        <v>882</v>
      </c>
      <c r="AS199" s="224">
        <v>25893</v>
      </c>
      <c r="AT199" s="225" t="s">
        <v>878</v>
      </c>
      <c r="AU199" s="225" t="s">
        <v>997</v>
      </c>
      <c r="AV199" s="225" t="s">
        <v>1292</v>
      </c>
      <c r="AW199" s="225" t="s">
        <v>172</v>
      </c>
      <c r="AX199" t="s">
        <v>2172</v>
      </c>
      <c r="AY199" s="224"/>
      <c r="BL199" s="223"/>
    </row>
    <row r="200" spans="1:64" x14ac:dyDescent="0.25">
      <c r="A200" s="223">
        <v>2372</v>
      </c>
      <c r="B200" s="223">
        <v>7</v>
      </c>
      <c r="C200" s="224">
        <v>45453</v>
      </c>
      <c r="D200" s="225" t="s">
        <v>1374</v>
      </c>
      <c r="E200" s="225" t="s">
        <v>859</v>
      </c>
      <c r="F200" s="225" t="s">
        <v>860</v>
      </c>
      <c r="G200" s="223" t="s">
        <v>861</v>
      </c>
      <c r="H200" s="224"/>
      <c r="I200" s="224">
        <v>45456</v>
      </c>
      <c r="J200" s="225" t="s">
        <v>1780</v>
      </c>
      <c r="K200" s="225" t="s">
        <v>98</v>
      </c>
      <c r="L200" s="225" t="s">
        <v>5</v>
      </c>
      <c r="M200" s="223">
        <v>2</v>
      </c>
      <c r="N200" s="223">
        <v>14</v>
      </c>
      <c r="O200" s="223">
        <v>92</v>
      </c>
      <c r="P200" s="223">
        <v>2</v>
      </c>
      <c r="Q200" s="223">
        <v>68.5</v>
      </c>
      <c r="R200" s="225" t="s">
        <v>780</v>
      </c>
      <c r="S200" s="230">
        <v>7296600</v>
      </c>
      <c r="T200" s="226">
        <v>106519.71</v>
      </c>
      <c r="U200" s="228"/>
      <c r="V200" s="226">
        <v>7296600</v>
      </c>
      <c r="W200" s="226">
        <v>106519.70802919708</v>
      </c>
      <c r="X200" s="228">
        <v>479500</v>
      </c>
      <c r="Y200" s="228">
        <f>Юрист[[#This Row],[Итоговая цена м2 с отделкой]]-Юрист[[#This Row],[Итоговая цена м2 без отделки]]</f>
        <v>7000</v>
      </c>
      <c r="Z200" s="226">
        <v>6817100</v>
      </c>
      <c r="AA200" s="223">
        <v>99519.708029197078</v>
      </c>
      <c r="AB200" s="225"/>
      <c r="AD200" s="225" t="s">
        <v>862</v>
      </c>
      <c r="AE200" s="225" t="s">
        <v>863</v>
      </c>
      <c r="AF200" s="226">
        <v>2197000</v>
      </c>
      <c r="AG200" s="226">
        <v>5099600</v>
      </c>
      <c r="AH200" s="226"/>
      <c r="AI200" s="226"/>
      <c r="AJ200" s="226"/>
      <c r="AK200" s="223" t="s">
        <v>873</v>
      </c>
      <c r="AL200" s="227">
        <v>1.4E-2</v>
      </c>
      <c r="AM200" s="229">
        <v>6.6000000000000003E-2</v>
      </c>
      <c r="AO200" s="223">
        <v>0</v>
      </c>
      <c r="AP200" s="225" t="s">
        <v>1375</v>
      </c>
      <c r="AQ200" s="223">
        <v>79608190805</v>
      </c>
      <c r="AR200" s="225" t="s">
        <v>882</v>
      </c>
      <c r="AS200" s="224">
        <v>30378</v>
      </c>
      <c r="AT200" s="225" t="s">
        <v>913</v>
      </c>
      <c r="AU200" s="225" t="s">
        <v>997</v>
      </c>
      <c r="AV200" s="225" t="s">
        <v>869</v>
      </c>
      <c r="AW200" s="225" t="s">
        <v>172</v>
      </c>
      <c r="AX200" t="s">
        <v>2172</v>
      </c>
      <c r="AY200" s="224"/>
      <c r="BL200" s="223"/>
    </row>
    <row r="201" spans="1:64" x14ac:dyDescent="0.25">
      <c r="A201" s="223">
        <v>2370</v>
      </c>
      <c r="B201" s="223">
        <v>5</v>
      </c>
      <c r="C201" s="224">
        <v>45449</v>
      </c>
      <c r="D201" s="225" t="s">
        <v>1370</v>
      </c>
      <c r="E201" s="225" t="s">
        <v>859</v>
      </c>
      <c r="F201" s="225" t="s">
        <v>860</v>
      </c>
      <c r="G201" s="223" t="s">
        <v>861</v>
      </c>
      <c r="H201" s="224"/>
      <c r="I201" s="224">
        <v>45454</v>
      </c>
      <c r="J201" s="225" t="s">
        <v>2028</v>
      </c>
      <c r="K201" s="225" t="s">
        <v>98</v>
      </c>
      <c r="L201" s="225" t="s">
        <v>2</v>
      </c>
      <c r="M201" s="223">
        <v>7</v>
      </c>
      <c r="N201" s="223">
        <v>9</v>
      </c>
      <c r="O201" s="223">
        <v>459</v>
      </c>
      <c r="P201" s="223">
        <v>3</v>
      </c>
      <c r="Q201" s="223">
        <v>79.44</v>
      </c>
      <c r="R201" s="225" t="s">
        <v>780</v>
      </c>
      <c r="S201" s="230">
        <v>7931766</v>
      </c>
      <c r="T201" s="226">
        <v>99846</v>
      </c>
      <c r="U201" s="228"/>
      <c r="V201" s="226">
        <v>7931766</v>
      </c>
      <c r="W201" s="226">
        <v>99845.996978851967</v>
      </c>
      <c r="X201" s="228">
        <v>556080</v>
      </c>
      <c r="Y201" s="228">
        <f>Юрист[[#This Row],[Итоговая цена м2 с отделкой]]-Юрист[[#This Row],[Итоговая цена м2 без отделки]]</f>
        <v>7000</v>
      </c>
      <c r="Z201" s="226">
        <v>7375686</v>
      </c>
      <c r="AA201" s="223">
        <v>92845.996978851967</v>
      </c>
      <c r="AB201" s="225" t="s">
        <v>162</v>
      </c>
      <c r="AC201" s="226">
        <v>228114</v>
      </c>
      <c r="AD201" s="225" t="s">
        <v>862</v>
      </c>
      <c r="AE201" s="225" t="s">
        <v>863</v>
      </c>
      <c r="AF201" s="226">
        <v>3000000</v>
      </c>
      <c r="AG201" s="226">
        <v>4931766</v>
      </c>
      <c r="AH201" s="226"/>
      <c r="AI201" s="226"/>
      <c r="AJ201" s="226"/>
      <c r="AK201" s="223" t="s">
        <v>873</v>
      </c>
      <c r="AL201" s="227">
        <v>1.4E-2</v>
      </c>
      <c r="AM201" s="229">
        <v>6.6000000000000003E-2</v>
      </c>
      <c r="AO201" s="223">
        <v>0</v>
      </c>
      <c r="AP201" s="225" t="s">
        <v>1371</v>
      </c>
      <c r="AQ201" s="223">
        <v>79272031365</v>
      </c>
      <c r="AR201" s="225" t="s">
        <v>866</v>
      </c>
      <c r="AS201" s="224">
        <v>30032</v>
      </c>
      <c r="AT201" s="225" t="s">
        <v>970</v>
      </c>
      <c r="AU201" s="225" t="s">
        <v>899</v>
      </c>
      <c r="AV201" s="225" t="s">
        <v>869</v>
      </c>
      <c r="AW201" s="225" t="s">
        <v>172</v>
      </c>
      <c r="AX201" t="s">
        <v>2172</v>
      </c>
      <c r="AY201" s="224"/>
      <c r="BL201" s="223"/>
    </row>
    <row r="202" spans="1:64" x14ac:dyDescent="0.25">
      <c r="A202" s="223">
        <v>2369</v>
      </c>
      <c r="B202" s="223">
        <v>4</v>
      </c>
      <c r="C202" s="224">
        <v>45448</v>
      </c>
      <c r="D202" s="225" t="s">
        <v>1368</v>
      </c>
      <c r="E202" s="225" t="s">
        <v>859</v>
      </c>
      <c r="F202" s="225" t="s">
        <v>860</v>
      </c>
      <c r="G202" s="223" t="s">
        <v>861</v>
      </c>
      <c r="H202" s="224"/>
      <c r="I202" s="224">
        <v>45453</v>
      </c>
      <c r="J202" s="225" t="s">
        <v>1929</v>
      </c>
      <c r="K202" s="225" t="s">
        <v>98</v>
      </c>
      <c r="L202" s="225" t="s">
        <v>3</v>
      </c>
      <c r="M202" s="223">
        <v>6</v>
      </c>
      <c r="N202" s="223">
        <v>13</v>
      </c>
      <c r="O202" s="223">
        <v>311</v>
      </c>
      <c r="P202" s="223">
        <v>3</v>
      </c>
      <c r="Q202" s="223">
        <v>80.97</v>
      </c>
      <c r="R202" s="225" t="s">
        <v>12</v>
      </c>
      <c r="S202" s="230">
        <v>7174500</v>
      </c>
      <c r="T202" s="226">
        <v>88606.89</v>
      </c>
      <c r="U202" s="228"/>
      <c r="V202" s="226">
        <v>7174500</v>
      </c>
      <c r="W202" s="226">
        <v>88606.891441274551</v>
      </c>
      <c r="X202" s="228">
        <v>0</v>
      </c>
      <c r="Y202" s="228">
        <f>Юрист[[#This Row],[Итоговая цена м2 с отделкой]]-Юрист[[#This Row],[Итоговая цена м2 без отделки]]</f>
        <v>0</v>
      </c>
      <c r="Z202" s="226">
        <v>7174500</v>
      </c>
      <c r="AA202" s="223">
        <v>88606.891441274551</v>
      </c>
      <c r="AB202" s="225"/>
      <c r="AD202" s="225" t="s">
        <v>862</v>
      </c>
      <c r="AE202" s="225" t="s">
        <v>863</v>
      </c>
      <c r="AF202" s="226">
        <v>609975.26</v>
      </c>
      <c r="AG202" s="226">
        <v>5731500</v>
      </c>
      <c r="AH202" s="226">
        <v>833024.74</v>
      </c>
      <c r="AI202" s="226"/>
      <c r="AJ202" s="226"/>
      <c r="AK202" s="223" t="s">
        <v>864</v>
      </c>
      <c r="AL202" s="227">
        <v>1.4E-2</v>
      </c>
      <c r="AM202" s="229">
        <v>4.5999999999999999E-2</v>
      </c>
      <c r="AO202" s="223">
        <v>0</v>
      </c>
      <c r="AP202" s="225" t="s">
        <v>1369</v>
      </c>
      <c r="AQ202" s="223">
        <v>79370608072</v>
      </c>
      <c r="AR202" s="225" t="s">
        <v>882</v>
      </c>
      <c r="AS202" s="224">
        <v>32392</v>
      </c>
      <c r="AT202" s="225" t="s">
        <v>878</v>
      </c>
      <c r="AU202" s="225" t="s">
        <v>868</v>
      </c>
      <c r="AV202" s="225" t="s">
        <v>879</v>
      </c>
      <c r="AW202" s="225" t="s">
        <v>172</v>
      </c>
      <c r="AX202" t="s">
        <v>2172</v>
      </c>
      <c r="AY202" s="224"/>
      <c r="BL202" s="223"/>
    </row>
    <row r="203" spans="1:64" x14ac:dyDescent="0.25">
      <c r="A203" s="223">
        <v>2367</v>
      </c>
      <c r="B203" s="223">
        <v>2</v>
      </c>
      <c r="C203" s="224">
        <v>45447</v>
      </c>
      <c r="D203" s="225" t="s">
        <v>1364</v>
      </c>
      <c r="E203" s="225" t="s">
        <v>859</v>
      </c>
      <c r="F203" s="225" t="s">
        <v>860</v>
      </c>
      <c r="G203" s="223" t="s">
        <v>861</v>
      </c>
      <c r="H203" s="224"/>
      <c r="I203" s="224">
        <v>45450</v>
      </c>
      <c r="J203" s="225" t="s">
        <v>1765</v>
      </c>
      <c r="K203" s="225" t="s">
        <v>98</v>
      </c>
      <c r="L203" s="225" t="s">
        <v>5</v>
      </c>
      <c r="M203" s="223">
        <v>6</v>
      </c>
      <c r="N203" s="223">
        <v>10</v>
      </c>
      <c r="O203" s="223">
        <v>68</v>
      </c>
      <c r="P203" s="223">
        <v>2</v>
      </c>
      <c r="Q203" s="223">
        <v>58.16</v>
      </c>
      <c r="R203" s="225" t="s">
        <v>14</v>
      </c>
      <c r="S203" s="230">
        <v>6802000</v>
      </c>
      <c r="T203" s="226">
        <v>116953.23</v>
      </c>
      <c r="U203" s="228">
        <v>15000</v>
      </c>
      <c r="V203" s="226">
        <v>6817000</v>
      </c>
      <c r="W203" s="226">
        <v>117211.14167812931</v>
      </c>
      <c r="X203" s="228">
        <v>1163200</v>
      </c>
      <c r="Y203" s="228">
        <f>Юрист[[#This Row],[Итоговая цена м2 с отделкой]]-Юрист[[#This Row],[Итоговая цена м2 без отделки]]</f>
        <v>20000</v>
      </c>
      <c r="Z203" s="226">
        <v>5653800</v>
      </c>
      <c r="AA203" s="223">
        <v>97211.141678129308</v>
      </c>
      <c r="AB203" s="225"/>
      <c r="AD203" s="225" t="s">
        <v>862</v>
      </c>
      <c r="AE203" s="225" t="s">
        <v>863</v>
      </c>
      <c r="AF203" s="226">
        <v>5000000</v>
      </c>
      <c r="AG203" s="226">
        <v>1802000</v>
      </c>
      <c r="AH203" s="226"/>
      <c r="AI203" s="226"/>
      <c r="AJ203" s="226"/>
      <c r="AK203" s="223" t="s">
        <v>873</v>
      </c>
      <c r="AL203" s="227">
        <v>1.4E-2</v>
      </c>
      <c r="AM203" s="229">
        <v>6.6000000000000003E-2</v>
      </c>
      <c r="AO203" s="223">
        <v>0</v>
      </c>
      <c r="AP203" s="225" t="s">
        <v>1365</v>
      </c>
      <c r="AQ203" s="223">
        <v>79871514619</v>
      </c>
      <c r="AR203" s="225" t="s">
        <v>866</v>
      </c>
      <c r="AS203" s="224">
        <v>28409</v>
      </c>
      <c r="AT203" s="225" t="s">
        <v>963</v>
      </c>
      <c r="AU203" s="225" t="s">
        <v>899</v>
      </c>
      <c r="AV203" s="225" t="s">
        <v>879</v>
      </c>
      <c r="AW203" s="225" t="s">
        <v>172</v>
      </c>
      <c r="AX203" t="s">
        <v>2172</v>
      </c>
      <c r="AY203" s="224"/>
      <c r="BL203" s="223"/>
    </row>
    <row r="204" spans="1:64" x14ac:dyDescent="0.25">
      <c r="A204" s="223">
        <v>2368</v>
      </c>
      <c r="B204" s="223">
        <v>3</v>
      </c>
      <c r="C204" s="224">
        <v>45447</v>
      </c>
      <c r="D204" s="225" t="s">
        <v>1366</v>
      </c>
      <c r="E204" s="225" t="s">
        <v>859</v>
      </c>
      <c r="F204" s="225" t="s">
        <v>860</v>
      </c>
      <c r="G204" s="223" t="s">
        <v>861</v>
      </c>
      <c r="H204" s="224"/>
      <c r="I204" s="224">
        <v>45450</v>
      </c>
      <c r="J204" s="225" t="s">
        <v>2003</v>
      </c>
      <c r="K204" s="225" t="s">
        <v>98</v>
      </c>
      <c r="L204" s="225" t="s">
        <v>2</v>
      </c>
      <c r="M204" s="223">
        <v>2</v>
      </c>
      <c r="N204" s="223">
        <v>6</v>
      </c>
      <c r="O204" s="223">
        <v>430</v>
      </c>
      <c r="P204" s="223">
        <v>1</v>
      </c>
      <c r="Q204" s="223">
        <v>43.21</v>
      </c>
      <c r="R204" s="225" t="s">
        <v>780</v>
      </c>
      <c r="S204" s="230">
        <v>4980970</v>
      </c>
      <c r="T204" s="226">
        <v>115273.55</v>
      </c>
      <c r="U204" s="228"/>
      <c r="V204" s="226">
        <v>4980970</v>
      </c>
      <c r="W204" s="226">
        <v>115273.54778986346</v>
      </c>
      <c r="X204" s="228">
        <v>302470</v>
      </c>
      <c r="Y204" s="228">
        <f>Юрист[[#This Row],[Итоговая цена м2 с отделкой]]-Юрист[[#This Row],[Итоговая цена м2 без отделки]]</f>
        <v>7000</v>
      </c>
      <c r="Z204" s="226">
        <v>4678500</v>
      </c>
      <c r="AA204" s="223">
        <v>108273.54778986346</v>
      </c>
      <c r="AB204" s="225"/>
      <c r="AD204" s="225" t="s">
        <v>862</v>
      </c>
      <c r="AE204" s="225" t="s">
        <v>863</v>
      </c>
      <c r="AF204" s="226">
        <v>2000000</v>
      </c>
      <c r="AG204" s="226">
        <v>2980970</v>
      </c>
      <c r="AH204" s="226"/>
      <c r="AI204" s="226"/>
      <c r="AJ204" s="226"/>
      <c r="AK204" s="223" t="s">
        <v>873</v>
      </c>
      <c r="AL204" s="227">
        <v>1.4E-2</v>
      </c>
      <c r="AM204" s="229">
        <v>6.6000000000000003E-2</v>
      </c>
      <c r="AO204" s="223">
        <v>0</v>
      </c>
      <c r="AP204" s="225" t="s">
        <v>1367</v>
      </c>
      <c r="AQ204" s="223">
        <v>79227741146</v>
      </c>
      <c r="AR204" s="225" t="s">
        <v>882</v>
      </c>
      <c r="AS204" s="224">
        <v>25352</v>
      </c>
      <c r="AT204" s="225" t="s">
        <v>875</v>
      </c>
      <c r="AU204" s="225" t="s">
        <v>899</v>
      </c>
      <c r="AV204" s="225" t="s">
        <v>869</v>
      </c>
      <c r="AW204" s="225" t="s">
        <v>172</v>
      </c>
      <c r="AX204" t="s">
        <v>2172</v>
      </c>
      <c r="AY204" s="224"/>
      <c r="BL204" s="223"/>
    </row>
    <row r="205" spans="1:64" x14ac:dyDescent="0.25">
      <c r="A205" s="223">
        <v>2363</v>
      </c>
      <c r="B205" s="223">
        <v>36</v>
      </c>
      <c r="C205" s="224">
        <v>45443</v>
      </c>
      <c r="D205" s="225" t="s">
        <v>1358</v>
      </c>
      <c r="E205" s="225" t="s">
        <v>859</v>
      </c>
      <c r="F205" s="225" t="s">
        <v>860</v>
      </c>
      <c r="G205" s="223" t="s">
        <v>861</v>
      </c>
      <c r="H205" s="224"/>
      <c r="I205" s="224">
        <v>45443</v>
      </c>
      <c r="J205" s="225" t="s">
        <v>1972</v>
      </c>
      <c r="K205" s="225" t="s">
        <v>98</v>
      </c>
      <c r="L205" s="225" t="s">
        <v>2</v>
      </c>
      <c r="M205" s="223">
        <v>4</v>
      </c>
      <c r="N205" s="223">
        <v>1</v>
      </c>
      <c r="O205" s="223">
        <v>393</v>
      </c>
      <c r="P205" s="223">
        <v>2</v>
      </c>
      <c r="Q205" s="223">
        <v>58.24</v>
      </c>
      <c r="R205" s="225" t="s">
        <v>12</v>
      </c>
      <c r="S205" s="230">
        <v>6119900</v>
      </c>
      <c r="T205" s="226">
        <v>105080.7</v>
      </c>
      <c r="U205" s="228"/>
      <c r="V205" s="226">
        <v>6119900</v>
      </c>
      <c r="W205" s="226">
        <v>105080.70054945054</v>
      </c>
      <c r="X205" s="228"/>
      <c r="Y205" s="228">
        <f>Юрист[[#This Row],[Итоговая цена м2 с отделкой]]-Юрист[[#This Row],[Итоговая цена м2 без отделки]]</f>
        <v>0</v>
      </c>
      <c r="Z205" s="226">
        <v>6119900</v>
      </c>
      <c r="AA205" s="223">
        <v>105080.70054945054</v>
      </c>
      <c r="AB205" s="225"/>
      <c r="AD205" s="225" t="s">
        <v>862</v>
      </c>
      <c r="AE205" s="225" t="s">
        <v>863</v>
      </c>
      <c r="AF205" s="226">
        <v>1231000</v>
      </c>
      <c r="AG205" s="226">
        <v>4888900</v>
      </c>
      <c r="AH205" s="226"/>
      <c r="AI205" s="226"/>
      <c r="AJ205" s="226"/>
      <c r="AK205" s="223" t="s">
        <v>864</v>
      </c>
      <c r="AL205" s="227">
        <v>1.4E-2</v>
      </c>
      <c r="AM205" s="229">
        <v>4.5999999999999999E-2</v>
      </c>
      <c r="AO205" s="223">
        <v>0</v>
      </c>
      <c r="AP205" s="225" t="s">
        <v>1359</v>
      </c>
      <c r="AQ205" s="223">
        <v>79277024053</v>
      </c>
      <c r="AR205" s="225" t="s">
        <v>882</v>
      </c>
      <c r="AS205" s="224">
        <v>32550</v>
      </c>
      <c r="AT205" s="225" t="s">
        <v>913</v>
      </c>
      <c r="AU205" s="225" t="s">
        <v>899</v>
      </c>
      <c r="AV205" s="225" t="s">
        <v>869</v>
      </c>
      <c r="AW205" s="225" t="s">
        <v>172</v>
      </c>
      <c r="AX205" t="s">
        <v>2172</v>
      </c>
      <c r="AY205" s="224"/>
      <c r="BL205" s="223"/>
    </row>
    <row r="206" spans="1:64" x14ac:dyDescent="0.25">
      <c r="A206" s="223">
        <v>2364</v>
      </c>
      <c r="B206" s="223">
        <v>37</v>
      </c>
      <c r="C206" s="224">
        <v>45443</v>
      </c>
      <c r="D206" s="225" t="s">
        <v>1360</v>
      </c>
      <c r="E206" s="225" t="s">
        <v>859</v>
      </c>
      <c r="F206" s="225" t="s">
        <v>860</v>
      </c>
      <c r="G206" s="223" t="s">
        <v>861</v>
      </c>
      <c r="H206" s="224"/>
      <c r="I206" s="224">
        <v>45443</v>
      </c>
      <c r="J206" s="225" t="s">
        <v>1980</v>
      </c>
      <c r="K206" s="225" t="s">
        <v>98</v>
      </c>
      <c r="L206" s="225" t="s">
        <v>2</v>
      </c>
      <c r="M206" s="223">
        <v>1</v>
      </c>
      <c r="N206" s="223">
        <v>3</v>
      </c>
      <c r="O206" s="223">
        <v>405</v>
      </c>
      <c r="P206" s="223">
        <v>0</v>
      </c>
      <c r="Q206" s="223">
        <v>29.4</v>
      </c>
      <c r="R206" s="225" t="s">
        <v>12</v>
      </c>
      <c r="S206" s="230">
        <v>3450000</v>
      </c>
      <c r="T206" s="226">
        <v>117346.94</v>
      </c>
      <c r="U206" s="228"/>
      <c r="V206" s="226">
        <v>3450000</v>
      </c>
      <c r="W206" s="226">
        <v>117346.93877551021</v>
      </c>
      <c r="X206" s="228"/>
      <c r="Y206" s="228">
        <f>Юрист[[#This Row],[Итоговая цена м2 с отделкой]]-Юрист[[#This Row],[Итоговая цена м2 без отделки]]</f>
        <v>0</v>
      </c>
      <c r="Z206" s="226">
        <v>3450000</v>
      </c>
      <c r="AA206" s="223">
        <v>117346.93877551021</v>
      </c>
      <c r="AB206" s="225"/>
      <c r="AD206" s="225" t="s">
        <v>862</v>
      </c>
      <c r="AE206" s="225" t="s">
        <v>863</v>
      </c>
      <c r="AF206" s="226">
        <v>1039000</v>
      </c>
      <c r="AG206" s="226">
        <v>2411000</v>
      </c>
      <c r="AH206" s="226"/>
      <c r="AI206" s="226"/>
      <c r="AJ206" s="226"/>
      <c r="AK206" s="223" t="s">
        <v>873</v>
      </c>
      <c r="AL206" s="227">
        <v>1.4E-2</v>
      </c>
      <c r="AM206" s="229">
        <v>6.6000000000000003E-2</v>
      </c>
      <c r="AO206" s="223">
        <v>0</v>
      </c>
      <c r="AP206" s="225" t="s">
        <v>1361</v>
      </c>
      <c r="AQ206" s="223">
        <v>79277106246</v>
      </c>
      <c r="AR206" s="225" t="s">
        <v>866</v>
      </c>
      <c r="AS206" s="224">
        <v>25076</v>
      </c>
      <c r="AT206" s="225" t="s">
        <v>867</v>
      </c>
      <c r="AU206" s="225" t="s">
        <v>997</v>
      </c>
      <c r="AV206" s="225" t="s">
        <v>869</v>
      </c>
      <c r="AW206" s="225" t="s">
        <v>172</v>
      </c>
      <c r="AX206" t="s">
        <v>2168</v>
      </c>
      <c r="AY206" s="224"/>
      <c r="BL206" s="223"/>
    </row>
    <row r="207" spans="1:64" x14ac:dyDescent="0.25">
      <c r="A207" s="223">
        <v>2365</v>
      </c>
      <c r="B207" s="223">
        <v>38</v>
      </c>
      <c r="C207" s="224">
        <v>45443</v>
      </c>
      <c r="D207" s="225" t="s">
        <v>1362</v>
      </c>
      <c r="E207" s="225" t="s">
        <v>859</v>
      </c>
      <c r="F207" s="225" t="s">
        <v>860</v>
      </c>
      <c r="G207" s="223" t="s">
        <v>861</v>
      </c>
      <c r="H207" s="224"/>
      <c r="I207" s="224">
        <v>45443</v>
      </c>
      <c r="J207" s="225" t="s">
        <v>1759</v>
      </c>
      <c r="K207" s="225" t="s">
        <v>98</v>
      </c>
      <c r="L207" s="225" t="s">
        <v>5</v>
      </c>
      <c r="M207" s="223">
        <v>3</v>
      </c>
      <c r="N207" s="223">
        <v>9</v>
      </c>
      <c r="O207" s="223">
        <v>58</v>
      </c>
      <c r="P207" s="223">
        <v>1</v>
      </c>
      <c r="Q207" s="223">
        <v>37.729999999999997</v>
      </c>
      <c r="R207" s="225" t="s">
        <v>14</v>
      </c>
      <c r="S207" s="230">
        <v>5229200</v>
      </c>
      <c r="T207" s="226">
        <v>138595.28</v>
      </c>
      <c r="U207" s="228"/>
      <c r="V207" s="226">
        <v>5229200</v>
      </c>
      <c r="W207" s="226">
        <v>138595.28226875167</v>
      </c>
      <c r="X207" s="228">
        <v>754599.99999999988</v>
      </c>
      <c r="Y207" s="228">
        <f>Юрист[[#This Row],[Итоговая цена м2 с отделкой]]-Юрист[[#This Row],[Итоговая цена м2 без отделки]]</f>
        <v>20000.000000000015</v>
      </c>
      <c r="Z207" s="226">
        <v>4474600</v>
      </c>
      <c r="AA207" s="223">
        <v>118595.28226875166</v>
      </c>
      <c r="AB207" s="225"/>
      <c r="AD207" s="225" t="s">
        <v>862</v>
      </c>
      <c r="AE207" s="225" t="s">
        <v>863</v>
      </c>
      <c r="AF207" s="226">
        <v>466975.26</v>
      </c>
      <c r="AG207" s="226">
        <v>3929200</v>
      </c>
      <c r="AH207" s="226">
        <v>833024.74</v>
      </c>
      <c r="AI207" s="226"/>
      <c r="AJ207" s="226"/>
      <c r="AK207" s="223" t="s">
        <v>864</v>
      </c>
      <c r="AL207" s="227">
        <v>1.4E-2</v>
      </c>
      <c r="AM207" s="229">
        <v>4.5999999999999999E-2</v>
      </c>
      <c r="AO207" s="223">
        <v>0</v>
      </c>
      <c r="AP207" s="225" t="s">
        <v>1363</v>
      </c>
      <c r="AQ207" s="223">
        <v>79397162575</v>
      </c>
      <c r="AR207" s="225" t="s">
        <v>866</v>
      </c>
      <c r="AS207" s="224">
        <v>30707</v>
      </c>
      <c r="AT207" s="225" t="s">
        <v>987</v>
      </c>
      <c r="AU207" s="225" t="s">
        <v>910</v>
      </c>
      <c r="AV207" s="225" t="s">
        <v>869</v>
      </c>
      <c r="AW207" s="225" t="s">
        <v>172</v>
      </c>
      <c r="AX207" t="s">
        <v>2172</v>
      </c>
      <c r="AY207" s="224"/>
      <c r="BL207" s="223"/>
    </row>
    <row r="208" spans="1:64" x14ac:dyDescent="0.25">
      <c r="A208" s="223">
        <v>2358</v>
      </c>
      <c r="B208" s="223">
        <v>31</v>
      </c>
      <c r="C208" s="224">
        <v>45442</v>
      </c>
      <c r="D208" s="225" t="s">
        <v>1356</v>
      </c>
      <c r="E208" s="225" t="s">
        <v>859</v>
      </c>
      <c r="F208" s="225" t="s">
        <v>860</v>
      </c>
      <c r="G208" s="223" t="s">
        <v>861</v>
      </c>
      <c r="H208" s="224"/>
      <c r="I208" s="224">
        <v>45443</v>
      </c>
      <c r="J208" s="225" t="s">
        <v>1756</v>
      </c>
      <c r="K208" s="225" t="s">
        <v>98</v>
      </c>
      <c r="L208" s="225" t="s">
        <v>5</v>
      </c>
      <c r="M208" s="223">
        <v>3</v>
      </c>
      <c r="N208" s="223">
        <v>8</v>
      </c>
      <c r="O208" s="223">
        <v>51</v>
      </c>
      <c r="P208" s="223">
        <v>1</v>
      </c>
      <c r="Q208" s="223">
        <v>37.729999999999997</v>
      </c>
      <c r="R208" s="225" t="s">
        <v>14</v>
      </c>
      <c r="S208" s="230">
        <v>5141400</v>
      </c>
      <c r="T208" s="226">
        <v>136268.22</v>
      </c>
      <c r="U208" s="228"/>
      <c r="V208" s="226">
        <v>5141400</v>
      </c>
      <c r="W208" s="226">
        <v>136268.22157434403</v>
      </c>
      <c r="X208" s="228">
        <v>754600</v>
      </c>
      <c r="Y208" s="228">
        <f>Юрист[[#This Row],[Итоговая цена м2 с отделкой]]-Юрист[[#This Row],[Итоговая цена м2 без отделки]]</f>
        <v>20000</v>
      </c>
      <c r="Z208" s="226">
        <v>4386800</v>
      </c>
      <c r="AA208" s="223">
        <v>116268.22157434403</v>
      </c>
      <c r="AB208" s="225"/>
      <c r="AD208" s="225" t="s">
        <v>862</v>
      </c>
      <c r="AE208" s="225" t="s">
        <v>863</v>
      </c>
      <c r="AF208" s="226">
        <v>1000000</v>
      </c>
      <c r="AG208" s="226">
        <v>3511020</v>
      </c>
      <c r="AH208" s="226">
        <v>630380</v>
      </c>
      <c r="AI208" s="226"/>
      <c r="AJ208" s="226"/>
      <c r="AK208" s="223" t="s">
        <v>864</v>
      </c>
      <c r="AL208" s="227">
        <v>1.4E-2</v>
      </c>
      <c r="AM208" s="229">
        <v>4.5999999999999999E-2</v>
      </c>
      <c r="AO208" s="223">
        <v>0</v>
      </c>
      <c r="AP208" s="225" t="s">
        <v>1357</v>
      </c>
      <c r="AQ208" s="223">
        <v>79370771080</v>
      </c>
      <c r="AR208" s="225" t="s">
        <v>866</v>
      </c>
      <c r="AS208" s="224">
        <v>31527</v>
      </c>
      <c r="AT208" s="225" t="s">
        <v>1061</v>
      </c>
      <c r="AU208" s="225" t="s">
        <v>1292</v>
      </c>
      <c r="AV208" s="225" t="s">
        <v>879</v>
      </c>
      <c r="AW208" s="225" t="s">
        <v>172</v>
      </c>
      <c r="AX208" t="s">
        <v>2172</v>
      </c>
      <c r="AY208" s="224"/>
      <c r="BL208" s="223"/>
    </row>
    <row r="209" spans="1:64" x14ac:dyDescent="0.25">
      <c r="A209" s="223">
        <v>2355</v>
      </c>
      <c r="B209" s="223">
        <v>28</v>
      </c>
      <c r="C209" s="224">
        <v>45441</v>
      </c>
      <c r="D209" s="225" t="s">
        <v>1350</v>
      </c>
      <c r="E209" s="225" t="s">
        <v>859</v>
      </c>
      <c r="F209" s="225" t="s">
        <v>860</v>
      </c>
      <c r="G209" s="223" t="s">
        <v>861</v>
      </c>
      <c r="H209" s="224"/>
      <c r="I209" s="224">
        <v>45443</v>
      </c>
      <c r="J209" s="225" t="s">
        <v>1891</v>
      </c>
      <c r="K209" s="225" t="s">
        <v>98</v>
      </c>
      <c r="L209" s="225" t="s">
        <v>3</v>
      </c>
      <c r="M209" s="223">
        <v>2</v>
      </c>
      <c r="N209" s="223">
        <v>6</v>
      </c>
      <c r="O209" s="223">
        <v>258</v>
      </c>
      <c r="P209" s="223">
        <v>0</v>
      </c>
      <c r="Q209" s="223">
        <v>24.53</v>
      </c>
      <c r="R209" s="225" t="s">
        <v>14</v>
      </c>
      <c r="S209" s="230">
        <v>3594200</v>
      </c>
      <c r="T209" s="226">
        <v>146522.63</v>
      </c>
      <c r="U209" s="228"/>
      <c r="V209" s="226">
        <v>3594200</v>
      </c>
      <c r="W209" s="226">
        <v>146522.62535670606</v>
      </c>
      <c r="X209" s="228">
        <v>490600</v>
      </c>
      <c r="Y209" s="228">
        <f>Юрист[[#This Row],[Итоговая цена м2 с отделкой]]-Юрист[[#This Row],[Итоговая цена м2 без отделки]]</f>
        <v>20000</v>
      </c>
      <c r="Z209" s="226">
        <v>3103600</v>
      </c>
      <c r="AA209" s="223">
        <v>126522.62535670606</v>
      </c>
      <c r="AB209" s="225"/>
      <c r="AD209" s="225" t="s">
        <v>862</v>
      </c>
      <c r="AE209" s="225" t="s">
        <v>863</v>
      </c>
      <c r="AF209" s="226">
        <v>754782</v>
      </c>
      <c r="AG209" s="226">
        <v>2839418</v>
      </c>
      <c r="AH209" s="226"/>
      <c r="AI209" s="226"/>
      <c r="AJ209" s="226"/>
      <c r="AK209" s="223" t="s">
        <v>873</v>
      </c>
      <c r="AL209" s="227">
        <v>1.4E-2</v>
      </c>
      <c r="AM209" s="229">
        <v>6.6000000000000003E-2</v>
      </c>
      <c r="AO209" s="223">
        <v>0</v>
      </c>
      <c r="AP209" s="225" t="s">
        <v>1351</v>
      </c>
      <c r="AQ209" s="223">
        <v>79969249255</v>
      </c>
      <c r="AR209" s="225" t="s">
        <v>866</v>
      </c>
      <c r="AS209" s="224">
        <v>30721</v>
      </c>
      <c r="AT209" s="225" t="s">
        <v>867</v>
      </c>
      <c r="AU209" s="225" t="s">
        <v>899</v>
      </c>
      <c r="AV209" s="225" t="s">
        <v>869</v>
      </c>
      <c r="AW209" s="225" t="s">
        <v>172</v>
      </c>
      <c r="AX209" t="s">
        <v>2168</v>
      </c>
      <c r="AY209" s="224"/>
      <c r="BL209" s="223"/>
    </row>
    <row r="210" spans="1:64" x14ac:dyDescent="0.25">
      <c r="A210" s="223">
        <v>2354</v>
      </c>
      <c r="B210" s="223">
        <v>27</v>
      </c>
      <c r="C210" s="224">
        <v>45441</v>
      </c>
      <c r="D210" s="225" t="s">
        <v>1348</v>
      </c>
      <c r="E210" s="225" t="s">
        <v>859</v>
      </c>
      <c r="F210" s="225" t="s">
        <v>860</v>
      </c>
      <c r="G210" s="223" t="s">
        <v>861</v>
      </c>
      <c r="H210" s="224"/>
      <c r="I210" s="224">
        <v>45443</v>
      </c>
      <c r="J210" s="225" t="s">
        <v>2015</v>
      </c>
      <c r="K210" s="225" t="s">
        <v>98</v>
      </c>
      <c r="L210" s="225" t="s">
        <v>2</v>
      </c>
      <c r="M210" s="223">
        <v>8</v>
      </c>
      <c r="N210" s="223">
        <v>7</v>
      </c>
      <c r="O210" s="223">
        <v>444</v>
      </c>
      <c r="P210" s="223">
        <v>1</v>
      </c>
      <c r="Q210" s="223">
        <v>39.69</v>
      </c>
      <c r="R210" s="225" t="s">
        <v>780</v>
      </c>
      <c r="S210" s="230">
        <v>4638630</v>
      </c>
      <c r="T210" s="226">
        <v>116871.5</v>
      </c>
      <c r="U210" s="228"/>
      <c r="V210" s="226">
        <v>4638630</v>
      </c>
      <c r="W210" s="226">
        <v>116871.50415721846</v>
      </c>
      <c r="X210" s="228">
        <v>277830</v>
      </c>
      <c r="Y210" s="228">
        <f>Юрист[[#This Row],[Итоговая цена м2 с отделкой]]-Юрист[[#This Row],[Итоговая цена м2 без отделки]]</f>
        <v>7000</v>
      </c>
      <c r="Z210" s="226">
        <v>4360800</v>
      </c>
      <c r="AA210" s="223">
        <v>109871.50415721846</v>
      </c>
      <c r="AB210" s="225"/>
      <c r="AD210" s="225" t="s">
        <v>862</v>
      </c>
      <c r="AE210" s="225" t="s">
        <v>863</v>
      </c>
      <c r="AF210" s="226">
        <v>302619.21999999997</v>
      </c>
      <c r="AG210" s="226">
        <v>3705630</v>
      </c>
      <c r="AH210" s="226">
        <v>630380.78</v>
      </c>
      <c r="AI210" s="226"/>
      <c r="AJ210" s="226"/>
      <c r="AK210" s="223" t="s">
        <v>864</v>
      </c>
      <c r="AL210" s="227">
        <v>1.4E-2</v>
      </c>
      <c r="AM210" s="229">
        <v>4.5999999999999999E-2</v>
      </c>
      <c r="AO210" s="223">
        <v>0</v>
      </c>
      <c r="AP210" s="225" t="s">
        <v>1349</v>
      </c>
      <c r="AQ210" s="223">
        <v>79939452257</v>
      </c>
      <c r="AR210" s="225" t="s">
        <v>866</v>
      </c>
      <c r="AS210" s="224">
        <v>31779</v>
      </c>
      <c r="AT210" s="225" t="s">
        <v>1285</v>
      </c>
      <c r="AU210" s="225" t="s">
        <v>868</v>
      </c>
      <c r="AV210" s="225" t="s">
        <v>869</v>
      </c>
      <c r="AW210" s="225" t="s">
        <v>172</v>
      </c>
      <c r="AX210" t="s">
        <v>2168</v>
      </c>
      <c r="AY210" s="224"/>
      <c r="BL210" s="223"/>
    </row>
    <row r="211" spans="1:64" x14ac:dyDescent="0.25">
      <c r="A211" s="223">
        <v>2357</v>
      </c>
      <c r="B211" s="223">
        <v>30</v>
      </c>
      <c r="C211" s="224">
        <v>45441</v>
      </c>
      <c r="D211" s="225" t="s">
        <v>1354</v>
      </c>
      <c r="E211" s="225" t="s">
        <v>859</v>
      </c>
      <c r="F211" s="225" t="s">
        <v>860</v>
      </c>
      <c r="G211" s="223" t="s">
        <v>861</v>
      </c>
      <c r="H211" s="224"/>
      <c r="I211" s="224">
        <v>45443</v>
      </c>
      <c r="J211" s="225" t="s">
        <v>1851</v>
      </c>
      <c r="K211" s="225" t="s">
        <v>98</v>
      </c>
      <c r="L211" s="225" t="s">
        <v>4</v>
      </c>
      <c r="M211" s="223">
        <v>4</v>
      </c>
      <c r="N211" s="223">
        <v>13</v>
      </c>
      <c r="O211" s="223">
        <v>198</v>
      </c>
      <c r="P211" s="223">
        <v>2</v>
      </c>
      <c r="Q211" s="223">
        <v>58.31</v>
      </c>
      <c r="R211" s="225" t="s">
        <v>14</v>
      </c>
      <c r="S211" s="230">
        <v>6560370</v>
      </c>
      <c r="T211" s="226">
        <v>112508.49</v>
      </c>
      <c r="U211" s="228"/>
      <c r="V211" s="226">
        <v>6560370</v>
      </c>
      <c r="W211" s="226">
        <v>112508.48910992968</v>
      </c>
      <c r="X211" s="228">
        <v>1166200</v>
      </c>
      <c r="Y211" s="228">
        <f>Юрист[[#This Row],[Итоговая цена м2 с отделкой]]-Юрист[[#This Row],[Итоговая цена м2 без отделки]]</f>
        <v>20000</v>
      </c>
      <c r="Z211" s="226">
        <v>5394170</v>
      </c>
      <c r="AA211" s="223">
        <v>92508.48910992968</v>
      </c>
      <c r="AB211" s="225" t="s">
        <v>162</v>
      </c>
      <c r="AC211" s="226">
        <v>166830</v>
      </c>
      <c r="AD211" s="225" t="s">
        <v>862</v>
      </c>
      <c r="AE211" s="225" t="s">
        <v>863</v>
      </c>
      <c r="AF211" s="226">
        <v>2000000</v>
      </c>
      <c r="AG211" s="226">
        <v>4560370</v>
      </c>
      <c r="AH211" s="226"/>
      <c r="AI211" s="226"/>
      <c r="AJ211" s="226"/>
      <c r="AK211" s="223" t="s">
        <v>864</v>
      </c>
      <c r="AL211" s="227">
        <v>1.4E-2</v>
      </c>
      <c r="AM211" s="229">
        <v>4.5999999999999999E-2</v>
      </c>
      <c r="AO211" s="223">
        <v>0</v>
      </c>
      <c r="AP211" s="225" t="s">
        <v>1355</v>
      </c>
      <c r="AQ211" s="223">
        <v>79874319562</v>
      </c>
      <c r="AR211" s="225" t="s">
        <v>866</v>
      </c>
      <c r="AS211" s="224">
        <v>33809</v>
      </c>
      <c r="AT211" s="225" t="s">
        <v>907</v>
      </c>
      <c r="AU211" s="225" t="s">
        <v>899</v>
      </c>
      <c r="AV211" s="225" t="s">
        <v>869</v>
      </c>
      <c r="AW211" s="225" t="s">
        <v>172</v>
      </c>
      <c r="AX211" t="s">
        <v>2172</v>
      </c>
      <c r="AY211" s="224"/>
      <c r="BL211" s="223"/>
    </row>
    <row r="212" spans="1:64" x14ac:dyDescent="0.25">
      <c r="A212" s="223">
        <v>2356</v>
      </c>
      <c r="B212" s="223">
        <v>29</v>
      </c>
      <c r="C212" s="224">
        <v>45441</v>
      </c>
      <c r="D212" s="225" t="s">
        <v>1352</v>
      </c>
      <c r="E212" s="225" t="s">
        <v>859</v>
      </c>
      <c r="F212" s="225" t="s">
        <v>860</v>
      </c>
      <c r="G212" s="223" t="s">
        <v>861</v>
      </c>
      <c r="H212" s="224"/>
      <c r="I212" s="224">
        <v>45443</v>
      </c>
      <c r="J212" s="225" t="s">
        <v>2030</v>
      </c>
      <c r="K212" s="225" t="s">
        <v>98</v>
      </c>
      <c r="L212" s="225" t="s">
        <v>2</v>
      </c>
      <c r="M212" s="223">
        <v>1</v>
      </c>
      <c r="N212" s="223">
        <v>10</v>
      </c>
      <c r="O212" s="223">
        <v>461</v>
      </c>
      <c r="P212" s="223">
        <v>0</v>
      </c>
      <c r="Q212" s="223">
        <v>29.4</v>
      </c>
      <c r="R212" s="225" t="s">
        <v>14</v>
      </c>
      <c r="S212" s="230">
        <v>4063300</v>
      </c>
      <c r="T212" s="226">
        <v>138207.48000000001</v>
      </c>
      <c r="U212" s="228"/>
      <c r="V212" s="226">
        <v>4063300</v>
      </c>
      <c r="W212" s="226">
        <v>138207.48299319728</v>
      </c>
      <c r="X212" s="228">
        <v>588000</v>
      </c>
      <c r="Y212" s="228">
        <f>Юрист[[#This Row],[Итоговая цена м2 с отделкой]]-Юрист[[#This Row],[Итоговая цена м2 без отделки]]</f>
        <v>20000</v>
      </c>
      <c r="Z212" s="226">
        <v>3475300</v>
      </c>
      <c r="AA212" s="223">
        <v>118207.48299319728</v>
      </c>
      <c r="AB212" s="225"/>
      <c r="AD212" s="225" t="s">
        <v>862</v>
      </c>
      <c r="AE212" s="225" t="s">
        <v>863</v>
      </c>
      <c r="AF212" s="226">
        <v>1224000</v>
      </c>
      <c r="AG212" s="226">
        <v>2839300</v>
      </c>
      <c r="AH212" s="226"/>
      <c r="AI212" s="226"/>
      <c r="AJ212" s="226"/>
      <c r="AK212" s="223" t="s">
        <v>873</v>
      </c>
      <c r="AL212" s="227">
        <v>1.4E-2</v>
      </c>
      <c r="AM212" s="229">
        <v>6.6000000000000003E-2</v>
      </c>
      <c r="AO212" s="223">
        <v>0</v>
      </c>
      <c r="AP212" s="225" t="s">
        <v>1353</v>
      </c>
      <c r="AQ212" s="223">
        <v>79276013557</v>
      </c>
      <c r="AR212" s="225" t="s">
        <v>882</v>
      </c>
      <c r="AS212" s="224">
        <v>36214</v>
      </c>
      <c r="AT212" s="225" t="s">
        <v>888</v>
      </c>
      <c r="AU212" s="225" t="s">
        <v>899</v>
      </c>
      <c r="AV212" s="225" t="s">
        <v>869</v>
      </c>
      <c r="AW212" s="225" t="s">
        <v>172</v>
      </c>
      <c r="AX212" t="s">
        <v>2172</v>
      </c>
      <c r="AY212" s="224"/>
      <c r="BL212" s="223"/>
    </row>
    <row r="213" spans="1:64" x14ac:dyDescent="0.25">
      <c r="A213" s="223">
        <v>2353</v>
      </c>
      <c r="B213" s="223">
        <v>26</v>
      </c>
      <c r="C213" s="224">
        <v>45440</v>
      </c>
      <c r="D213" s="225" t="s">
        <v>1345</v>
      </c>
      <c r="E213" s="225" t="s">
        <v>859</v>
      </c>
      <c r="F213" s="225" t="s">
        <v>860</v>
      </c>
      <c r="G213" s="223" t="s">
        <v>861</v>
      </c>
      <c r="H213" s="224"/>
      <c r="I213" s="224">
        <v>45443</v>
      </c>
      <c r="J213" s="225" t="s">
        <v>1924</v>
      </c>
      <c r="K213" s="225" t="s">
        <v>98</v>
      </c>
      <c r="L213" s="225" t="s">
        <v>3</v>
      </c>
      <c r="M213" s="223">
        <v>5</v>
      </c>
      <c r="N213" s="223">
        <v>12</v>
      </c>
      <c r="O213" s="223">
        <v>303</v>
      </c>
      <c r="P213" s="223">
        <v>1</v>
      </c>
      <c r="Q213" s="223">
        <v>37.81</v>
      </c>
      <c r="R213" s="225" t="s">
        <v>780</v>
      </c>
      <c r="S213" s="230">
        <v>4695570</v>
      </c>
      <c r="T213" s="226">
        <v>124188.57</v>
      </c>
      <c r="U213" s="228"/>
      <c r="V213" s="226">
        <v>4695570</v>
      </c>
      <c r="W213" s="226">
        <v>124188.57445120337</v>
      </c>
      <c r="X213" s="228">
        <v>264670</v>
      </c>
      <c r="Y213" s="228">
        <f>Юрист[[#This Row],[Итоговая цена м2 с отделкой]]-Юрист[[#This Row],[Итоговая цена м2 без отделки]]</f>
        <v>6999.9999999999854</v>
      </c>
      <c r="Z213" s="226">
        <v>4430900</v>
      </c>
      <c r="AA213" s="223">
        <v>117188.57445120339</v>
      </c>
      <c r="AB213" s="225"/>
      <c r="AD213" s="225" t="s">
        <v>862</v>
      </c>
      <c r="AE213" s="225" t="s">
        <v>863</v>
      </c>
      <c r="AF213" s="226">
        <v>1414000</v>
      </c>
      <c r="AG213" s="226">
        <v>3281570</v>
      </c>
      <c r="AH213" s="226"/>
      <c r="AI213" s="226"/>
      <c r="AJ213" s="226"/>
      <c r="AK213" s="223" t="s">
        <v>873</v>
      </c>
      <c r="AL213" s="227"/>
      <c r="AM213" s="229">
        <v>0.08</v>
      </c>
      <c r="AO213" s="223">
        <v>0</v>
      </c>
      <c r="AP213" s="225" t="s">
        <v>1346</v>
      </c>
      <c r="AQ213" s="223">
        <v>79376575120</v>
      </c>
      <c r="AR213" s="225" t="s">
        <v>866</v>
      </c>
      <c r="AS213" s="224">
        <v>33153</v>
      </c>
      <c r="AT213" s="225" t="s">
        <v>1347</v>
      </c>
      <c r="AU213" s="225" t="s">
        <v>899</v>
      </c>
      <c r="AV213" s="225" t="s">
        <v>869</v>
      </c>
      <c r="AW213" s="225" t="s">
        <v>172</v>
      </c>
      <c r="AX213" t="s">
        <v>2168</v>
      </c>
      <c r="AY213" s="224"/>
      <c r="AZ213" s="223" t="s">
        <v>1089</v>
      </c>
      <c r="BL213" s="223"/>
    </row>
    <row r="214" spans="1:64" x14ac:dyDescent="0.25">
      <c r="A214" s="223">
        <v>2352</v>
      </c>
      <c r="B214" s="223">
        <v>25</v>
      </c>
      <c r="C214" s="224">
        <v>45440</v>
      </c>
      <c r="D214" s="225" t="s">
        <v>1343</v>
      </c>
      <c r="E214" s="225" t="s">
        <v>859</v>
      </c>
      <c r="F214" s="225" t="s">
        <v>860</v>
      </c>
      <c r="G214" s="223" t="s">
        <v>861</v>
      </c>
      <c r="H214" s="224"/>
      <c r="I214" s="224">
        <v>45443</v>
      </c>
      <c r="J214" s="225" t="s">
        <v>1860</v>
      </c>
      <c r="K214" s="225" t="s">
        <v>98</v>
      </c>
      <c r="L214" s="225" t="s">
        <v>4</v>
      </c>
      <c r="M214" s="223">
        <v>3</v>
      </c>
      <c r="N214" s="223">
        <v>15</v>
      </c>
      <c r="O214" s="223">
        <v>211</v>
      </c>
      <c r="P214" s="223">
        <v>2</v>
      </c>
      <c r="Q214" s="223">
        <v>57.6</v>
      </c>
      <c r="R214" s="225" t="s">
        <v>14</v>
      </c>
      <c r="S214" s="230">
        <v>6619800</v>
      </c>
      <c r="T214" s="226">
        <v>114927.08</v>
      </c>
      <c r="U214" s="228"/>
      <c r="V214" s="226">
        <v>6619800</v>
      </c>
      <c r="W214" s="226">
        <v>114927.08333333333</v>
      </c>
      <c r="X214" s="228">
        <v>1152000</v>
      </c>
      <c r="Y214" s="228">
        <f>Юрист[[#This Row],[Итоговая цена м2 с отделкой]]-Юрист[[#This Row],[Итоговая цена м2 без отделки]]</f>
        <v>20000</v>
      </c>
      <c r="Z214" s="226">
        <v>5467800</v>
      </c>
      <c r="AA214" s="223">
        <v>94927.083333333328</v>
      </c>
      <c r="AB214" s="225"/>
      <c r="AD214" s="225" t="s">
        <v>862</v>
      </c>
      <c r="AE214" s="225" t="s">
        <v>863</v>
      </c>
      <c r="AF214" s="226">
        <v>1993000</v>
      </c>
      <c r="AG214" s="226">
        <v>4626800</v>
      </c>
      <c r="AH214" s="226"/>
      <c r="AI214" s="226"/>
      <c r="AJ214" s="226"/>
      <c r="AK214" s="223" t="s">
        <v>873</v>
      </c>
      <c r="AL214" s="227">
        <v>1.4E-2</v>
      </c>
      <c r="AM214" s="229">
        <v>6.6000000000000003E-2</v>
      </c>
      <c r="AO214" s="223">
        <v>0</v>
      </c>
      <c r="AP214" s="225" t="s">
        <v>1344</v>
      </c>
      <c r="AQ214" s="223">
        <v>79276520852</v>
      </c>
      <c r="AR214" s="225" t="s">
        <v>882</v>
      </c>
      <c r="AS214" s="224">
        <v>35926</v>
      </c>
      <c r="AT214" s="225" t="s">
        <v>878</v>
      </c>
      <c r="AU214" s="225" t="s">
        <v>910</v>
      </c>
      <c r="AV214" s="225" t="s">
        <v>869</v>
      </c>
      <c r="AW214" s="225" t="s">
        <v>172</v>
      </c>
      <c r="AX214" t="s">
        <v>2172</v>
      </c>
      <c r="AY214" s="224"/>
      <c r="BL214" s="223"/>
    </row>
    <row r="215" spans="1:64" x14ac:dyDescent="0.25">
      <c r="A215" s="223">
        <v>2351</v>
      </c>
      <c r="B215" s="223">
        <v>24</v>
      </c>
      <c r="C215" s="224">
        <v>45440</v>
      </c>
      <c r="D215" s="225" t="s">
        <v>1341</v>
      </c>
      <c r="E215" s="225" t="s">
        <v>859</v>
      </c>
      <c r="F215" s="225" t="s">
        <v>860</v>
      </c>
      <c r="G215" s="223" t="s">
        <v>926</v>
      </c>
      <c r="H215" s="224"/>
      <c r="I215" s="224">
        <v>45443</v>
      </c>
      <c r="J215" s="225" t="s">
        <v>2025</v>
      </c>
      <c r="K215" s="225" t="s">
        <v>98</v>
      </c>
      <c r="L215" s="225" t="s">
        <v>2</v>
      </c>
      <c r="M215" s="223">
        <v>3</v>
      </c>
      <c r="N215" s="223">
        <v>9</v>
      </c>
      <c r="O215" s="223">
        <v>455</v>
      </c>
      <c r="P215" s="223">
        <v>0</v>
      </c>
      <c r="Q215" s="223">
        <v>24.5</v>
      </c>
      <c r="R215" s="225" t="s">
        <v>14</v>
      </c>
      <c r="S215" s="230">
        <v>3364200</v>
      </c>
      <c r="T215" s="226">
        <v>137314.29</v>
      </c>
      <c r="U215" s="228"/>
      <c r="V215" s="226">
        <v>3364200</v>
      </c>
      <c r="W215" s="226">
        <v>137314.28571428571</v>
      </c>
      <c r="X215" s="228">
        <v>490000</v>
      </c>
      <c r="Y215" s="228">
        <f>Юрист[[#This Row],[Итоговая цена м2 с отделкой]]-Юрист[[#This Row],[Итоговая цена м2 без отделки]]</f>
        <v>20000</v>
      </c>
      <c r="Z215" s="226">
        <v>2874200</v>
      </c>
      <c r="AA215" s="223">
        <v>117314.28571428571</v>
      </c>
      <c r="AB215" s="225"/>
      <c r="AD215" s="225" t="s">
        <v>862</v>
      </c>
      <c r="AE215" s="225" t="s">
        <v>1018</v>
      </c>
      <c r="AF215" s="226">
        <v>1013000</v>
      </c>
      <c r="AG215" s="226">
        <v>2351200</v>
      </c>
      <c r="AH215" s="226"/>
      <c r="AI215" s="226"/>
      <c r="AJ215" s="226"/>
      <c r="AK215" s="223" t="s">
        <v>873</v>
      </c>
      <c r="AL215" s="227"/>
      <c r="AM215" s="229">
        <v>0.08</v>
      </c>
      <c r="AO215" s="223">
        <v>0</v>
      </c>
      <c r="AP215" s="225" t="s">
        <v>1342</v>
      </c>
      <c r="AQ215" s="223">
        <v>79682770721</v>
      </c>
      <c r="AR215" s="225" t="s">
        <v>866</v>
      </c>
      <c r="AS215" s="224">
        <v>28744</v>
      </c>
      <c r="AT215" s="225" t="s">
        <v>903</v>
      </c>
      <c r="AU215" s="225" t="s">
        <v>868</v>
      </c>
      <c r="AV215" s="225" t="s">
        <v>879</v>
      </c>
      <c r="AW215" s="225" t="s">
        <v>172</v>
      </c>
      <c r="AX215" t="s">
        <v>2172</v>
      </c>
      <c r="AY215" s="224"/>
      <c r="BL215" s="223"/>
    </row>
    <row r="216" spans="1:64" x14ac:dyDescent="0.25">
      <c r="A216" s="223">
        <v>2349</v>
      </c>
      <c r="B216" s="223">
        <v>22</v>
      </c>
      <c r="C216" s="224">
        <v>45439</v>
      </c>
      <c r="D216" s="225" t="s">
        <v>1336</v>
      </c>
      <c r="E216" s="225" t="s">
        <v>859</v>
      </c>
      <c r="F216" s="225" t="s">
        <v>860</v>
      </c>
      <c r="G216" s="223" t="s">
        <v>861</v>
      </c>
      <c r="H216" s="224"/>
      <c r="I216" s="224">
        <v>45442</v>
      </c>
      <c r="J216" s="225" t="s">
        <v>1747</v>
      </c>
      <c r="K216" s="225" t="s">
        <v>98</v>
      </c>
      <c r="L216" s="225" t="s">
        <v>5</v>
      </c>
      <c r="M216" s="223">
        <v>7</v>
      </c>
      <c r="N216" s="223">
        <v>6</v>
      </c>
      <c r="O216" s="223">
        <v>41</v>
      </c>
      <c r="P216" s="223">
        <v>1</v>
      </c>
      <c r="Q216" s="223">
        <v>42.75</v>
      </c>
      <c r="R216" s="225" t="s">
        <v>780</v>
      </c>
      <c r="S216" s="230">
        <v>4929050</v>
      </c>
      <c r="T216" s="226">
        <v>115299.42</v>
      </c>
      <c r="U216" s="228"/>
      <c r="V216" s="226">
        <v>4929050</v>
      </c>
      <c r="W216" s="226">
        <v>115299.41520467836</v>
      </c>
      <c r="X216" s="228">
        <v>299250</v>
      </c>
      <c r="Y216" s="228">
        <f>Юрист[[#This Row],[Итоговая цена м2 с отделкой]]-Юрист[[#This Row],[Итоговая цена м2 без отделки]]</f>
        <v>7000</v>
      </c>
      <c r="Z216" s="226">
        <v>4629800</v>
      </c>
      <c r="AA216" s="223">
        <v>108299.41520467836</v>
      </c>
      <c r="AB216" s="225"/>
      <c r="AD216" s="225" t="s">
        <v>862</v>
      </c>
      <c r="AE216" s="225" t="s">
        <v>863</v>
      </c>
      <c r="AF216" s="226">
        <v>990740</v>
      </c>
      <c r="AG216" s="226">
        <v>3938310</v>
      </c>
      <c r="AH216" s="226"/>
      <c r="AI216" s="226"/>
      <c r="AJ216" s="226"/>
      <c r="AK216" s="223" t="s">
        <v>864</v>
      </c>
      <c r="AL216" s="227"/>
      <c r="AM216" s="229">
        <v>0.06</v>
      </c>
      <c r="AO216" s="223">
        <v>0</v>
      </c>
      <c r="AP216" s="225" t="s">
        <v>1337</v>
      </c>
      <c r="AQ216" s="223">
        <v>79276574297</v>
      </c>
      <c r="AR216" s="225" t="s">
        <v>882</v>
      </c>
      <c r="AS216" s="224">
        <v>31069</v>
      </c>
      <c r="AT216" s="225" t="s">
        <v>1338</v>
      </c>
      <c r="AU216" s="225" t="s">
        <v>1292</v>
      </c>
      <c r="AV216" s="225" t="s">
        <v>879</v>
      </c>
      <c r="AW216" s="225" t="s">
        <v>172</v>
      </c>
      <c r="AX216" t="s">
        <v>2172</v>
      </c>
      <c r="AY216" s="224"/>
      <c r="AZ216" s="223" t="s">
        <v>1089</v>
      </c>
      <c r="BL216" s="223"/>
    </row>
    <row r="217" spans="1:64" x14ac:dyDescent="0.25">
      <c r="A217" s="223">
        <v>2350</v>
      </c>
      <c r="B217" s="223">
        <v>23</v>
      </c>
      <c r="C217" s="224">
        <v>45439</v>
      </c>
      <c r="D217" s="225" t="s">
        <v>1339</v>
      </c>
      <c r="E217" s="225" t="s">
        <v>859</v>
      </c>
      <c r="F217" s="225" t="s">
        <v>860</v>
      </c>
      <c r="G217" s="223" t="s">
        <v>861</v>
      </c>
      <c r="H217" s="224"/>
      <c r="I217" s="224">
        <v>45442</v>
      </c>
      <c r="J217" s="225" t="s">
        <v>1902</v>
      </c>
      <c r="K217" s="225" t="s">
        <v>98</v>
      </c>
      <c r="L217" s="225" t="s">
        <v>3</v>
      </c>
      <c r="M217" s="223">
        <v>3</v>
      </c>
      <c r="N217" s="223">
        <v>8</v>
      </c>
      <c r="O217" s="223">
        <v>273</v>
      </c>
      <c r="P217" s="223">
        <v>2</v>
      </c>
      <c r="Q217" s="223">
        <v>56.58</v>
      </c>
      <c r="R217" s="225" t="s">
        <v>780</v>
      </c>
      <c r="S217" s="230">
        <v>5773760</v>
      </c>
      <c r="T217" s="226">
        <v>102045.95</v>
      </c>
      <c r="U217" s="228">
        <v>15000</v>
      </c>
      <c r="V217" s="226">
        <v>5788760</v>
      </c>
      <c r="W217" s="226">
        <v>102311.06398020503</v>
      </c>
      <c r="X217" s="228">
        <v>396060</v>
      </c>
      <c r="Y217" s="228">
        <f>Юрист[[#This Row],[Итоговая цена м2 с отделкой]]-Юрист[[#This Row],[Итоговая цена м2 без отделки]]</f>
        <v>7000</v>
      </c>
      <c r="Z217" s="226">
        <v>5392700</v>
      </c>
      <c r="AA217" s="223">
        <v>95311.063980205028</v>
      </c>
      <c r="AB217" s="225" t="s">
        <v>791</v>
      </c>
      <c r="AC217" s="226">
        <v>90000</v>
      </c>
      <c r="AD217" s="225" t="s">
        <v>862</v>
      </c>
      <c r="AE217" s="225" t="s">
        <v>863</v>
      </c>
      <c r="AF217" s="226">
        <v>769619.22</v>
      </c>
      <c r="AG217" s="226">
        <v>4373760</v>
      </c>
      <c r="AH217" s="226">
        <v>630380.78</v>
      </c>
      <c r="AI217" s="226"/>
      <c r="AJ217" s="226"/>
      <c r="AK217" s="223" t="s">
        <v>864</v>
      </c>
      <c r="AL217" s="227">
        <v>1.4E-2</v>
      </c>
      <c r="AM217" s="229">
        <v>4.5999999999999999E-2</v>
      </c>
      <c r="AO217" s="223">
        <v>0</v>
      </c>
      <c r="AP217" s="225" t="s">
        <v>1340</v>
      </c>
      <c r="AQ217" s="223">
        <v>79272663164</v>
      </c>
      <c r="AR217" s="225" t="s">
        <v>866</v>
      </c>
      <c r="AS217" s="224">
        <v>28689</v>
      </c>
      <c r="AT217" s="225" t="s">
        <v>970</v>
      </c>
      <c r="AU217" s="225" t="s">
        <v>997</v>
      </c>
      <c r="AV217" s="225" t="s">
        <v>869</v>
      </c>
      <c r="AW217" s="225" t="s">
        <v>172</v>
      </c>
      <c r="AX217" t="s">
        <v>2172</v>
      </c>
      <c r="AY217" s="224"/>
      <c r="BL217" s="223"/>
    </row>
    <row r="218" spans="1:64" x14ac:dyDescent="0.25">
      <c r="A218" s="223">
        <v>2345</v>
      </c>
      <c r="B218" s="223">
        <v>18</v>
      </c>
      <c r="C218" s="224">
        <v>45436</v>
      </c>
      <c r="D218" s="225" t="s">
        <v>1331</v>
      </c>
      <c r="E218" s="225" t="s">
        <v>859</v>
      </c>
      <c r="F218" s="225" t="s">
        <v>860</v>
      </c>
      <c r="G218" s="223" t="s">
        <v>861</v>
      </c>
      <c r="H218" s="224"/>
      <c r="I218" s="224">
        <v>45441</v>
      </c>
      <c r="J218" s="225" t="s">
        <v>2092</v>
      </c>
      <c r="K218" s="225" t="s">
        <v>98</v>
      </c>
      <c r="L218" s="225" t="s">
        <v>2</v>
      </c>
      <c r="M218" s="223">
        <v>1</v>
      </c>
      <c r="N218" s="223">
        <v>21</v>
      </c>
      <c r="O218" s="223">
        <v>549</v>
      </c>
      <c r="P218" s="223">
        <v>0</v>
      </c>
      <c r="Q218" s="223">
        <v>29.4</v>
      </c>
      <c r="R218" s="225" t="s">
        <v>14</v>
      </c>
      <c r="S218" s="230">
        <v>4236000</v>
      </c>
      <c r="T218" s="226">
        <v>144081.63</v>
      </c>
      <c r="U218" s="228"/>
      <c r="V218" s="226">
        <v>4236000</v>
      </c>
      <c r="W218" s="226">
        <v>144081.63265306124</v>
      </c>
      <c r="X218" s="228">
        <v>587999.99999999953</v>
      </c>
      <c r="Y218" s="228">
        <f>Юрист[[#This Row],[Итоговая цена м2 с отделкой]]-Юрист[[#This Row],[Итоговая цена м2 без отделки]]</f>
        <v>20000</v>
      </c>
      <c r="Z218" s="226">
        <v>3648000.0000000005</v>
      </c>
      <c r="AA218" s="223">
        <v>124081.63265306124</v>
      </c>
      <c r="AB218" s="225"/>
      <c r="AD218" s="225" t="s">
        <v>862</v>
      </c>
      <c r="AE218" s="225" t="s">
        <v>863</v>
      </c>
      <c r="AF218" s="226">
        <v>18975.259999999998</v>
      </c>
      <c r="AG218" s="226">
        <v>3384000</v>
      </c>
      <c r="AH218" s="226">
        <v>833024.74</v>
      </c>
      <c r="AI218" s="226"/>
      <c r="AJ218" s="226"/>
      <c r="AK218" s="223" t="s">
        <v>864</v>
      </c>
      <c r="AL218" s="227">
        <v>1.4E-2</v>
      </c>
      <c r="AM218" s="229">
        <v>4.5999999999999999E-2</v>
      </c>
      <c r="AO218" s="223">
        <v>0</v>
      </c>
      <c r="AP218" s="225" t="s">
        <v>1332</v>
      </c>
      <c r="AQ218" s="223">
        <v>79272101156</v>
      </c>
      <c r="AR218" s="225" t="s">
        <v>882</v>
      </c>
      <c r="AS218" s="224">
        <v>34110</v>
      </c>
      <c r="AT218" s="225" t="s">
        <v>885</v>
      </c>
      <c r="AU218" s="225" t="s">
        <v>910</v>
      </c>
      <c r="AV218" s="225" t="s">
        <v>869</v>
      </c>
      <c r="AW218" s="225" t="s">
        <v>172</v>
      </c>
      <c r="AX218" t="s">
        <v>2172</v>
      </c>
      <c r="AY218" s="224"/>
      <c r="BL218" s="223"/>
    </row>
    <row r="219" spans="1:64" x14ac:dyDescent="0.25">
      <c r="A219" s="223">
        <v>2347</v>
      </c>
      <c r="B219" s="223">
        <v>20</v>
      </c>
      <c r="C219" s="224">
        <v>45436</v>
      </c>
      <c r="D219" s="225" t="s">
        <v>1333</v>
      </c>
      <c r="E219" s="225" t="s">
        <v>859</v>
      </c>
      <c r="F219" s="225" t="s">
        <v>860</v>
      </c>
      <c r="G219" s="223" t="s">
        <v>861</v>
      </c>
      <c r="H219" s="224"/>
      <c r="I219" s="224">
        <v>45441</v>
      </c>
      <c r="J219" s="225" t="s">
        <v>1896</v>
      </c>
      <c r="K219" s="225" t="s">
        <v>98</v>
      </c>
      <c r="L219" s="225" t="s">
        <v>3</v>
      </c>
      <c r="M219" s="223">
        <v>3</v>
      </c>
      <c r="N219" s="223">
        <v>7</v>
      </c>
      <c r="O219" s="223">
        <v>266</v>
      </c>
      <c r="P219" s="223">
        <v>2</v>
      </c>
      <c r="Q219" s="223">
        <v>56.58</v>
      </c>
      <c r="R219" s="225" t="s">
        <v>780</v>
      </c>
      <c r="S219" s="230">
        <v>5880760</v>
      </c>
      <c r="T219" s="226">
        <v>103937.08</v>
      </c>
      <c r="U219" s="228"/>
      <c r="V219" s="226">
        <v>5880760</v>
      </c>
      <c r="W219" s="226">
        <v>103937.08024036762</v>
      </c>
      <c r="X219" s="228">
        <v>396060</v>
      </c>
      <c r="Y219" s="228">
        <f>Юрист[[#This Row],[Итоговая цена м2 с отделкой]]-Юрист[[#This Row],[Итоговая цена м2 без отделки]]</f>
        <v>7000</v>
      </c>
      <c r="Z219" s="226">
        <v>5484700</v>
      </c>
      <c r="AA219" s="223">
        <v>96937.080240367621</v>
      </c>
      <c r="AB219" s="225"/>
      <c r="AD219" s="225" t="s">
        <v>862</v>
      </c>
      <c r="AE219" s="225" t="s">
        <v>863</v>
      </c>
      <c r="AF219" s="226">
        <v>552619.22</v>
      </c>
      <c r="AG219" s="226">
        <v>4697760</v>
      </c>
      <c r="AH219" s="226">
        <v>630380.78</v>
      </c>
      <c r="AI219" s="226"/>
      <c r="AJ219" s="226"/>
      <c r="AK219" s="223" t="s">
        <v>864</v>
      </c>
      <c r="AL219" s="227">
        <v>1.4E-2</v>
      </c>
      <c r="AM219" s="229">
        <v>4.5999999999999999E-2</v>
      </c>
      <c r="AO219" s="223">
        <v>0</v>
      </c>
      <c r="AP219" s="225" t="s">
        <v>1334</v>
      </c>
      <c r="AQ219" s="223">
        <v>79279099096</v>
      </c>
      <c r="AR219" s="225" t="s">
        <v>882</v>
      </c>
      <c r="AS219" s="224">
        <v>32736</v>
      </c>
      <c r="AT219" s="225" t="s">
        <v>1335</v>
      </c>
      <c r="AU219" s="225" t="s">
        <v>868</v>
      </c>
      <c r="AV219" s="225" t="s">
        <v>869</v>
      </c>
      <c r="AW219" s="225" t="s">
        <v>172</v>
      </c>
      <c r="AX219" t="s">
        <v>2168</v>
      </c>
      <c r="AY219" s="224"/>
      <c r="BL219" s="223"/>
    </row>
    <row r="220" spans="1:64" s="244" customFormat="1" x14ac:dyDescent="0.25">
      <c r="A220" s="223">
        <v>2344</v>
      </c>
      <c r="B220" s="223">
        <v>17</v>
      </c>
      <c r="C220" s="224">
        <v>45435</v>
      </c>
      <c r="D220" s="225" t="s">
        <v>1329</v>
      </c>
      <c r="E220" s="225" t="s">
        <v>859</v>
      </c>
      <c r="F220" s="225" t="s">
        <v>860</v>
      </c>
      <c r="G220" s="223" t="s">
        <v>861</v>
      </c>
      <c r="H220" s="224"/>
      <c r="I220" s="224">
        <v>45440</v>
      </c>
      <c r="J220" s="225" t="s">
        <v>1742</v>
      </c>
      <c r="K220" s="225" t="s">
        <v>98</v>
      </c>
      <c r="L220" s="225" t="s">
        <v>5</v>
      </c>
      <c r="M220" s="223">
        <v>7</v>
      </c>
      <c r="N220" s="223">
        <v>5</v>
      </c>
      <c r="O220" s="223">
        <v>34</v>
      </c>
      <c r="P220" s="223">
        <v>1</v>
      </c>
      <c r="Q220" s="223">
        <v>42.75</v>
      </c>
      <c r="R220" s="225" t="s">
        <v>12</v>
      </c>
      <c r="S220" s="230">
        <v>4629800</v>
      </c>
      <c r="T220" s="226">
        <v>108299.42</v>
      </c>
      <c r="U220" s="228"/>
      <c r="V220" s="226">
        <v>4629800</v>
      </c>
      <c r="W220" s="226">
        <v>108299.41520467836</v>
      </c>
      <c r="X220" s="228"/>
      <c r="Y220" s="228">
        <f>Юрист[[#This Row],[Итоговая цена м2 с отделкой]]-Юрист[[#This Row],[Итоговая цена м2 без отделки]]</f>
        <v>0</v>
      </c>
      <c r="Z220" s="226">
        <v>4629800</v>
      </c>
      <c r="AA220" s="223">
        <v>108299.41520467836</v>
      </c>
      <c r="AB220" s="225"/>
      <c r="AC220" s="226"/>
      <c r="AD220" s="225" t="s">
        <v>862</v>
      </c>
      <c r="AE220" s="225" t="s">
        <v>863</v>
      </c>
      <c r="AF220" s="226">
        <v>1394000</v>
      </c>
      <c r="AG220" s="226">
        <v>3235800</v>
      </c>
      <c r="AH220" s="226"/>
      <c r="AI220" s="226"/>
      <c r="AJ220" s="226"/>
      <c r="AK220" s="223" t="s">
        <v>873</v>
      </c>
      <c r="AL220" s="227">
        <v>1.4E-2</v>
      </c>
      <c r="AM220" s="229">
        <v>6.6000000000000003E-2</v>
      </c>
      <c r="AN220" s="223"/>
      <c r="AO220" s="223">
        <v>0</v>
      </c>
      <c r="AP220" s="225" t="s">
        <v>1330</v>
      </c>
      <c r="AQ220" s="223">
        <v>79297023939</v>
      </c>
      <c r="AR220" s="225" t="s">
        <v>882</v>
      </c>
      <c r="AS220" s="224">
        <v>29082</v>
      </c>
      <c r="AT220" s="225" t="s">
        <v>1285</v>
      </c>
      <c r="AU220" s="225" t="s">
        <v>910</v>
      </c>
      <c r="AV220" s="225" t="s">
        <v>869</v>
      </c>
      <c r="AW220" s="225" t="s">
        <v>172</v>
      </c>
      <c r="AX220" t="s">
        <v>2168</v>
      </c>
      <c r="AY220" s="224"/>
      <c r="AZ220" s="223"/>
    </row>
    <row r="221" spans="1:64" x14ac:dyDescent="0.25">
      <c r="A221" s="223">
        <v>2338</v>
      </c>
      <c r="B221" s="223">
        <v>11</v>
      </c>
      <c r="C221" s="224">
        <v>45433</v>
      </c>
      <c r="D221" s="225" t="s">
        <v>1323</v>
      </c>
      <c r="E221" s="225" t="s">
        <v>859</v>
      </c>
      <c r="F221" s="225" t="s">
        <v>860</v>
      </c>
      <c r="G221" s="223" t="s">
        <v>861</v>
      </c>
      <c r="H221" s="224"/>
      <c r="I221" s="224">
        <v>45436</v>
      </c>
      <c r="J221" s="225" t="s">
        <v>1846</v>
      </c>
      <c r="K221" s="225" t="s">
        <v>98</v>
      </c>
      <c r="L221" s="225" t="s">
        <v>4</v>
      </c>
      <c r="M221" s="223">
        <v>1</v>
      </c>
      <c r="N221" s="223">
        <v>12</v>
      </c>
      <c r="O221" s="223">
        <v>188</v>
      </c>
      <c r="P221" s="223">
        <v>2</v>
      </c>
      <c r="Q221" s="223">
        <v>60.22</v>
      </c>
      <c r="R221" s="225" t="s">
        <v>780</v>
      </c>
      <c r="S221" s="230">
        <v>6303340</v>
      </c>
      <c r="T221" s="226">
        <v>104671.87</v>
      </c>
      <c r="U221" s="228"/>
      <c r="V221" s="226">
        <v>6303340</v>
      </c>
      <c r="W221" s="226">
        <v>104671.86981069413</v>
      </c>
      <c r="X221" s="228">
        <v>421540</v>
      </c>
      <c r="Y221" s="228">
        <f>Юрист[[#This Row],[Итоговая цена м2 с отделкой]]-Юрист[[#This Row],[Итоговая цена м2 без отделки]]</f>
        <v>7000</v>
      </c>
      <c r="Z221" s="226">
        <v>5881800</v>
      </c>
      <c r="AA221" s="223">
        <v>97671.86981069413</v>
      </c>
      <c r="AB221" s="225"/>
      <c r="AD221" s="225" t="s">
        <v>862</v>
      </c>
      <c r="AE221" s="225" t="s">
        <v>863</v>
      </c>
      <c r="AF221" s="226">
        <v>1898000</v>
      </c>
      <c r="AG221" s="226">
        <v>4405340</v>
      </c>
      <c r="AH221" s="226"/>
      <c r="AI221" s="226"/>
      <c r="AJ221" s="226"/>
      <c r="AK221" s="223" t="s">
        <v>873</v>
      </c>
      <c r="AL221" s="227">
        <v>1.4E-2</v>
      </c>
      <c r="AM221" s="229">
        <v>6.6000000000000003E-2</v>
      </c>
      <c r="AO221" s="223">
        <v>0</v>
      </c>
      <c r="AP221" s="225" t="s">
        <v>1324</v>
      </c>
      <c r="AQ221" s="223">
        <v>79376552780</v>
      </c>
      <c r="AR221" s="225" t="s">
        <v>882</v>
      </c>
      <c r="AS221" s="224">
        <v>34915</v>
      </c>
      <c r="AT221" s="225" t="s">
        <v>987</v>
      </c>
      <c r="AU221" s="225" t="s">
        <v>899</v>
      </c>
      <c r="AV221" s="225" t="s">
        <v>879</v>
      </c>
      <c r="AW221" s="225" t="s">
        <v>172</v>
      </c>
      <c r="AX221" t="s">
        <v>2172</v>
      </c>
      <c r="AY221" s="224"/>
      <c r="BL221" s="223"/>
    </row>
    <row r="222" spans="1:64" x14ac:dyDescent="0.25">
      <c r="A222" s="223">
        <v>2337</v>
      </c>
      <c r="B222" s="223">
        <v>10</v>
      </c>
      <c r="C222" s="224">
        <v>45433</v>
      </c>
      <c r="D222" s="225" t="s">
        <v>1321</v>
      </c>
      <c r="E222" s="225" t="s">
        <v>859</v>
      </c>
      <c r="F222" s="225" t="s">
        <v>860</v>
      </c>
      <c r="G222" s="223" t="s">
        <v>861</v>
      </c>
      <c r="H222" s="224"/>
      <c r="I222" s="224">
        <v>45436</v>
      </c>
      <c r="J222" s="225" t="s">
        <v>2014</v>
      </c>
      <c r="K222" s="225" t="s">
        <v>98</v>
      </c>
      <c r="L222" s="225" t="s">
        <v>2</v>
      </c>
      <c r="M222" s="223">
        <v>7</v>
      </c>
      <c r="N222" s="223">
        <v>7</v>
      </c>
      <c r="O222" s="223">
        <v>443</v>
      </c>
      <c r="P222" s="223">
        <v>3</v>
      </c>
      <c r="Q222" s="223">
        <v>79.44</v>
      </c>
      <c r="R222" s="225" t="s">
        <v>14</v>
      </c>
      <c r="S222" s="230">
        <v>8723700</v>
      </c>
      <c r="T222" s="226">
        <v>109814.95</v>
      </c>
      <c r="U222" s="228">
        <v>15000</v>
      </c>
      <c r="V222" s="226">
        <v>8738700</v>
      </c>
      <c r="W222" s="226">
        <v>110003.77643504532</v>
      </c>
      <c r="X222" s="228">
        <v>1588800</v>
      </c>
      <c r="Y222" s="228">
        <f>Юрист[[#This Row],[Итоговая цена м2 с отделкой]]-Юрист[[#This Row],[Итоговая цена м2 без отделки]]</f>
        <v>20000</v>
      </c>
      <c r="Z222" s="226">
        <v>7149900</v>
      </c>
      <c r="AA222" s="223">
        <v>90003.776435045322</v>
      </c>
      <c r="AB222" s="225" t="s">
        <v>791</v>
      </c>
      <c r="AC222" s="226">
        <v>90000</v>
      </c>
      <c r="AD222" s="225" t="s">
        <v>862</v>
      </c>
      <c r="AE222" s="225" t="s">
        <v>863</v>
      </c>
      <c r="AF222" s="226">
        <v>921000</v>
      </c>
      <c r="AG222" s="226">
        <v>6969675.2599999998</v>
      </c>
      <c r="AH222" s="226">
        <v>833024.74</v>
      </c>
      <c r="AI222" s="226"/>
      <c r="AJ222" s="226"/>
      <c r="AK222" s="223" t="s">
        <v>895</v>
      </c>
      <c r="AL222" s="227">
        <v>1.4E-2</v>
      </c>
      <c r="AM222" s="229">
        <v>3.5999999999999997E-2</v>
      </c>
      <c r="AO222" s="223">
        <v>0</v>
      </c>
      <c r="AP222" s="225" t="s">
        <v>1322</v>
      </c>
      <c r="AQ222" s="223">
        <v>79371767198</v>
      </c>
      <c r="AR222" s="225" t="s">
        <v>882</v>
      </c>
      <c r="AS222" s="224">
        <v>31287</v>
      </c>
      <c r="AT222" s="225" t="s">
        <v>878</v>
      </c>
      <c r="AU222" s="225" t="s">
        <v>899</v>
      </c>
      <c r="AV222" s="225" t="s">
        <v>879</v>
      </c>
      <c r="AW222" s="225" t="s">
        <v>172</v>
      </c>
      <c r="AX222" t="s">
        <v>2172</v>
      </c>
      <c r="AY222" s="224"/>
      <c r="BL222" s="223"/>
    </row>
    <row r="223" spans="1:64" x14ac:dyDescent="0.25">
      <c r="A223" s="223">
        <v>2341</v>
      </c>
      <c r="B223" s="223">
        <v>14</v>
      </c>
      <c r="C223" s="224">
        <v>45433</v>
      </c>
      <c r="D223" s="225" t="s">
        <v>1327</v>
      </c>
      <c r="E223" s="225" t="s">
        <v>859</v>
      </c>
      <c r="F223" s="225" t="s">
        <v>860</v>
      </c>
      <c r="G223" s="223" t="s">
        <v>861</v>
      </c>
      <c r="H223" s="224"/>
      <c r="I223" s="224">
        <v>45436</v>
      </c>
      <c r="J223" s="225" t="s">
        <v>1786</v>
      </c>
      <c r="K223" s="225" t="s">
        <v>98</v>
      </c>
      <c r="L223" s="225" t="s">
        <v>5</v>
      </c>
      <c r="M223" s="223">
        <v>3</v>
      </c>
      <c r="N223" s="223">
        <v>15</v>
      </c>
      <c r="O223" s="223">
        <v>100</v>
      </c>
      <c r="P223" s="223">
        <v>1</v>
      </c>
      <c r="Q223" s="223">
        <v>37.729999999999997</v>
      </c>
      <c r="R223" s="225" t="s">
        <v>14</v>
      </c>
      <c r="S223" s="230">
        <v>5141400</v>
      </c>
      <c r="T223" s="226">
        <v>136268.22</v>
      </c>
      <c r="U223" s="228"/>
      <c r="V223" s="226">
        <v>5141400</v>
      </c>
      <c r="W223" s="226">
        <v>136268.22157434403</v>
      </c>
      <c r="X223" s="228">
        <v>754600</v>
      </c>
      <c r="Y223" s="228">
        <f>Юрист[[#This Row],[Итоговая цена м2 с отделкой]]-Юрист[[#This Row],[Итоговая цена м2 без отделки]]</f>
        <v>20000</v>
      </c>
      <c r="Z223" s="226">
        <v>4386800</v>
      </c>
      <c r="AA223" s="223">
        <v>116268.22157434403</v>
      </c>
      <c r="AB223" s="225"/>
      <c r="AD223" s="225" t="s">
        <v>862</v>
      </c>
      <c r="AE223" s="225" t="s">
        <v>863</v>
      </c>
      <c r="AF223" s="226">
        <v>1034000</v>
      </c>
      <c r="AG223" s="226">
        <v>4107400</v>
      </c>
      <c r="AH223" s="226"/>
      <c r="AI223" s="226"/>
      <c r="AJ223" s="226"/>
      <c r="AK223" s="223" t="s">
        <v>864</v>
      </c>
      <c r="AL223" s="227">
        <v>1.4E-2</v>
      </c>
      <c r="AM223" s="229">
        <v>4.5999999999999999E-2</v>
      </c>
      <c r="AO223" s="223">
        <v>0</v>
      </c>
      <c r="AP223" s="225" t="s">
        <v>1328</v>
      </c>
      <c r="AQ223" s="223">
        <v>79271400561</v>
      </c>
      <c r="AR223" s="225" t="s">
        <v>866</v>
      </c>
      <c r="AS223" s="224">
        <v>30148</v>
      </c>
      <c r="AT223" s="225" t="s">
        <v>867</v>
      </c>
      <c r="AU223" s="225" t="s">
        <v>997</v>
      </c>
      <c r="AV223" s="225" t="s">
        <v>879</v>
      </c>
      <c r="AW223" s="225" t="s">
        <v>172</v>
      </c>
      <c r="AX223" t="s">
        <v>2168</v>
      </c>
      <c r="AY223" s="224"/>
      <c r="BL223" s="223"/>
    </row>
    <row r="224" spans="1:64" x14ac:dyDescent="0.25">
      <c r="A224" s="223">
        <v>2339</v>
      </c>
      <c r="B224" s="223">
        <v>12</v>
      </c>
      <c r="C224" s="224">
        <v>45433</v>
      </c>
      <c r="D224" s="225" t="s">
        <v>1325</v>
      </c>
      <c r="E224" s="225" t="s">
        <v>859</v>
      </c>
      <c r="F224" s="225" t="s">
        <v>860</v>
      </c>
      <c r="G224" s="223" t="s">
        <v>861</v>
      </c>
      <c r="H224" s="224"/>
      <c r="I224" s="224">
        <v>45436</v>
      </c>
      <c r="J224" s="225" t="s">
        <v>1733</v>
      </c>
      <c r="K224" s="225" t="s">
        <v>98</v>
      </c>
      <c r="L224" s="225" t="s">
        <v>5</v>
      </c>
      <c r="M224" s="223">
        <v>3</v>
      </c>
      <c r="N224" s="223">
        <v>4</v>
      </c>
      <c r="O224" s="223">
        <v>23</v>
      </c>
      <c r="P224" s="223">
        <v>1</v>
      </c>
      <c r="Q224" s="223">
        <v>37.729999999999997</v>
      </c>
      <c r="R224" s="225" t="s">
        <v>14</v>
      </c>
      <c r="S224" s="230">
        <v>5182000</v>
      </c>
      <c r="T224" s="226">
        <v>137344.29</v>
      </c>
      <c r="U224" s="228"/>
      <c r="V224" s="226">
        <v>5182000</v>
      </c>
      <c r="W224" s="226">
        <v>137344.28836469655</v>
      </c>
      <c r="X224" s="228">
        <v>754600</v>
      </c>
      <c r="Y224" s="228">
        <f>Юрист[[#This Row],[Итоговая цена м2 с отделкой]]-Юрист[[#This Row],[Итоговая цена м2 без отделки]]</f>
        <v>20000.000000000015</v>
      </c>
      <c r="Z224" s="226">
        <v>4427400</v>
      </c>
      <c r="AA224" s="223">
        <v>117344.28836469653</v>
      </c>
      <c r="AB224" s="225"/>
      <c r="AD224" s="225" t="s">
        <v>862</v>
      </c>
      <c r="AE224" s="225" t="s">
        <v>863</v>
      </c>
      <c r="AF224" s="226">
        <v>411619.22</v>
      </c>
      <c r="AG224" s="226">
        <v>4140000</v>
      </c>
      <c r="AH224" s="226">
        <v>630380.78</v>
      </c>
      <c r="AI224" s="226"/>
      <c r="AJ224" s="226"/>
      <c r="AK224" s="223" t="s">
        <v>864</v>
      </c>
      <c r="AL224" s="227">
        <v>1.4E-2</v>
      </c>
      <c r="AM224" s="229">
        <v>4.5999999999999999E-2</v>
      </c>
      <c r="AO224" s="223">
        <v>0</v>
      </c>
      <c r="AP224" s="225" t="s">
        <v>1326</v>
      </c>
      <c r="AQ224" s="223">
        <v>79262398498</v>
      </c>
      <c r="AR224" s="225" t="s">
        <v>866</v>
      </c>
      <c r="AS224" s="224">
        <v>28642</v>
      </c>
      <c r="AT224" s="225" t="s">
        <v>1285</v>
      </c>
      <c r="AU224" s="225" t="s">
        <v>868</v>
      </c>
      <c r="AV224" s="225" t="s">
        <v>869</v>
      </c>
      <c r="AW224" s="225" t="s">
        <v>172</v>
      </c>
      <c r="AX224" t="s">
        <v>2168</v>
      </c>
      <c r="AY224" s="224"/>
      <c r="BL224" s="223"/>
    </row>
    <row r="225" spans="1:64" x14ac:dyDescent="0.25">
      <c r="A225" s="223">
        <v>2336</v>
      </c>
      <c r="B225" s="223">
        <v>9</v>
      </c>
      <c r="C225" s="224">
        <v>45429</v>
      </c>
      <c r="D225" s="225" t="s">
        <v>1319</v>
      </c>
      <c r="E225" s="225" t="s">
        <v>859</v>
      </c>
      <c r="F225" s="225" t="s">
        <v>860</v>
      </c>
      <c r="G225" s="223" t="s">
        <v>861</v>
      </c>
      <c r="H225" s="224"/>
      <c r="I225" s="224">
        <v>45434</v>
      </c>
      <c r="J225" s="225" t="s">
        <v>1962</v>
      </c>
      <c r="K225" s="225" t="s">
        <v>98</v>
      </c>
      <c r="L225" s="225" t="s">
        <v>3</v>
      </c>
      <c r="M225" s="223">
        <v>3</v>
      </c>
      <c r="N225" s="223">
        <v>22</v>
      </c>
      <c r="O225" s="223">
        <v>371</v>
      </c>
      <c r="P225" s="223">
        <v>2</v>
      </c>
      <c r="Q225" s="223">
        <v>56.58</v>
      </c>
      <c r="R225" s="225" t="s">
        <v>14</v>
      </c>
      <c r="S225" s="230">
        <v>6941300</v>
      </c>
      <c r="T225" s="226">
        <v>122681.16</v>
      </c>
      <c r="U225" s="228"/>
      <c r="V225" s="226">
        <v>6941300</v>
      </c>
      <c r="W225" s="226">
        <v>122681.15942028986</v>
      </c>
      <c r="X225" s="228">
        <v>1131600</v>
      </c>
      <c r="Y225" s="228">
        <f>Юрист[[#This Row],[Итоговая цена м2 с отделкой]]-Юрист[[#This Row],[Итоговая цена м2 без отделки]]</f>
        <v>20000</v>
      </c>
      <c r="Z225" s="226">
        <v>5809700</v>
      </c>
      <c r="AA225" s="223">
        <v>102681.15942028986</v>
      </c>
      <c r="AB225" s="225" t="s">
        <v>791</v>
      </c>
      <c r="AC225" s="226">
        <v>90000</v>
      </c>
      <c r="AD225" s="225" t="s">
        <v>862</v>
      </c>
      <c r="AE225" s="225" t="s">
        <v>863</v>
      </c>
      <c r="AF225" s="226">
        <v>765619.22</v>
      </c>
      <c r="AG225" s="226">
        <v>5545300</v>
      </c>
      <c r="AH225" s="226">
        <v>630380.78</v>
      </c>
      <c r="AI225" s="226"/>
      <c r="AJ225" s="226"/>
      <c r="AK225" s="223" t="s">
        <v>864</v>
      </c>
      <c r="AL225" s="227">
        <v>1.4E-2</v>
      </c>
      <c r="AM225" s="229">
        <v>4.5999999999999999E-2</v>
      </c>
      <c r="AO225" s="223">
        <v>0</v>
      </c>
      <c r="AP225" s="225" t="s">
        <v>1320</v>
      </c>
      <c r="AQ225" s="223">
        <v>79025174529</v>
      </c>
      <c r="AR225" s="225" t="s">
        <v>866</v>
      </c>
      <c r="AS225" s="224">
        <v>31372</v>
      </c>
      <c r="AT225" s="225" t="s">
        <v>1285</v>
      </c>
      <c r="AU225" s="225" t="s">
        <v>868</v>
      </c>
      <c r="AV225" s="225" t="s">
        <v>879</v>
      </c>
      <c r="AW225" s="225" t="s">
        <v>172</v>
      </c>
      <c r="AX225" t="s">
        <v>2168</v>
      </c>
      <c r="AY225" s="224"/>
      <c r="BL225" s="223"/>
    </row>
    <row r="226" spans="1:64" x14ac:dyDescent="0.25">
      <c r="A226" s="223">
        <v>2332</v>
      </c>
      <c r="B226" s="223">
        <v>5</v>
      </c>
      <c r="C226" s="224">
        <v>45427</v>
      </c>
      <c r="D226" s="225" t="s">
        <v>1315</v>
      </c>
      <c r="E226" s="225" t="s">
        <v>859</v>
      </c>
      <c r="F226" s="225" t="s">
        <v>860</v>
      </c>
      <c r="G226" s="223" t="s">
        <v>861</v>
      </c>
      <c r="H226" s="224"/>
      <c r="I226" s="224">
        <v>45432</v>
      </c>
      <c r="J226" s="225" t="s">
        <v>1840</v>
      </c>
      <c r="K226" s="225" t="s">
        <v>98</v>
      </c>
      <c r="L226" s="225" t="s">
        <v>4</v>
      </c>
      <c r="M226" s="223">
        <v>6</v>
      </c>
      <c r="N226" s="223">
        <v>10</v>
      </c>
      <c r="O226" s="223">
        <v>179</v>
      </c>
      <c r="P226" s="223">
        <v>3</v>
      </c>
      <c r="Q226" s="223">
        <v>84.99</v>
      </c>
      <c r="R226" s="225" t="s">
        <v>12</v>
      </c>
      <c r="S226" s="230">
        <v>7351200</v>
      </c>
      <c r="T226" s="226">
        <v>86494.88</v>
      </c>
      <c r="U226" s="228">
        <v>15000</v>
      </c>
      <c r="V226" s="226">
        <v>7366200</v>
      </c>
      <c r="W226" s="226">
        <v>86671.373102717975</v>
      </c>
      <c r="X226" s="228"/>
      <c r="Y226" s="228">
        <f>Юрист[[#This Row],[Итоговая цена м2 с отделкой]]-Юрист[[#This Row],[Итоговая цена м2 без отделки]]</f>
        <v>0</v>
      </c>
      <c r="Z226" s="226">
        <v>7366200</v>
      </c>
      <c r="AA226" s="223">
        <v>86671.373102717975</v>
      </c>
      <c r="AB226" s="225" t="s">
        <v>791</v>
      </c>
      <c r="AC226" s="226">
        <v>90000</v>
      </c>
      <c r="AD226" s="225" t="s">
        <v>862</v>
      </c>
      <c r="AE226" s="225" t="s">
        <v>863</v>
      </c>
      <c r="AF226" s="226">
        <v>1478000</v>
      </c>
      <c r="AG226" s="226">
        <v>5873200</v>
      </c>
      <c r="AH226" s="226"/>
      <c r="AI226" s="226"/>
      <c r="AJ226" s="226"/>
      <c r="AK226" s="223" t="s">
        <v>895</v>
      </c>
      <c r="AL226" s="227">
        <v>1.4E-2</v>
      </c>
      <c r="AM226" s="229">
        <v>3.5999999999999997E-2</v>
      </c>
      <c r="AO226" s="223">
        <v>0</v>
      </c>
      <c r="AP226" s="225" t="s">
        <v>1316</v>
      </c>
      <c r="AQ226" s="223">
        <v>79276093195</v>
      </c>
      <c r="AR226" s="225" t="s">
        <v>882</v>
      </c>
      <c r="AS226" s="224">
        <v>36279</v>
      </c>
      <c r="AT226" s="225" t="s">
        <v>878</v>
      </c>
      <c r="AU226" s="225" t="s">
        <v>899</v>
      </c>
      <c r="AV226" s="225" t="s">
        <v>869</v>
      </c>
      <c r="AW226" s="225" t="s">
        <v>172</v>
      </c>
      <c r="AX226" t="s">
        <v>2172</v>
      </c>
      <c r="AY226" s="224"/>
      <c r="BL226" s="223"/>
    </row>
    <row r="227" spans="1:64" x14ac:dyDescent="0.25">
      <c r="A227" s="223">
        <v>2333</v>
      </c>
      <c r="B227" s="223">
        <v>6</v>
      </c>
      <c r="C227" s="224">
        <v>45427</v>
      </c>
      <c r="D227" s="225" t="s">
        <v>1317</v>
      </c>
      <c r="E227" s="225" t="s">
        <v>859</v>
      </c>
      <c r="F227" s="225" t="s">
        <v>860</v>
      </c>
      <c r="G227" s="223" t="s">
        <v>861</v>
      </c>
      <c r="H227" s="224"/>
      <c r="I227" s="224">
        <v>45432</v>
      </c>
      <c r="J227" s="225" t="s">
        <v>2069</v>
      </c>
      <c r="K227" s="225" t="s">
        <v>98</v>
      </c>
      <c r="L227" s="225" t="s">
        <v>2</v>
      </c>
      <c r="M227" s="223">
        <v>1</v>
      </c>
      <c r="N227" s="223">
        <v>16</v>
      </c>
      <c r="O227" s="223">
        <v>509</v>
      </c>
      <c r="P227" s="223">
        <v>0</v>
      </c>
      <c r="Q227" s="223">
        <v>29.4</v>
      </c>
      <c r="R227" s="225" t="s">
        <v>14</v>
      </c>
      <c r="S227" s="230">
        <v>3970700</v>
      </c>
      <c r="T227" s="226">
        <v>135057.82</v>
      </c>
      <c r="U227" s="228"/>
      <c r="V227" s="226">
        <v>3970700</v>
      </c>
      <c r="W227" s="226">
        <v>135057.82312925172</v>
      </c>
      <c r="X227" s="228">
        <v>587999.99999999953</v>
      </c>
      <c r="Y227" s="228">
        <f>Юрист[[#This Row],[Итоговая цена м2 с отделкой]]-Юрист[[#This Row],[Итоговая цена м2 без отделки]]</f>
        <v>20000</v>
      </c>
      <c r="Z227" s="226">
        <v>3382700.0000000005</v>
      </c>
      <c r="AA227" s="223">
        <v>115057.82312925172</v>
      </c>
      <c r="AB227" s="225"/>
      <c r="AD227" s="225" t="s">
        <v>862</v>
      </c>
      <c r="AE227" s="225" t="s">
        <v>863</v>
      </c>
      <c r="AF227" s="226">
        <v>1196000</v>
      </c>
      <c r="AG227" s="226">
        <v>2774700</v>
      </c>
      <c r="AH227" s="226"/>
      <c r="AI227" s="226"/>
      <c r="AJ227" s="226"/>
      <c r="AK227" s="223" t="s">
        <v>873</v>
      </c>
      <c r="AL227" s="227">
        <v>1.4E-2</v>
      </c>
      <c r="AM227" s="229">
        <v>6.6000000000000003E-2</v>
      </c>
      <c r="AO227" s="223">
        <v>0</v>
      </c>
      <c r="AP227" s="225" t="s">
        <v>1318</v>
      </c>
      <c r="AQ227" s="223">
        <v>79874406383</v>
      </c>
      <c r="AR227" s="225" t="s">
        <v>866</v>
      </c>
      <c r="AS227" s="224">
        <v>33036</v>
      </c>
      <c r="AT227" s="225" t="s">
        <v>1218</v>
      </c>
      <c r="AU227" s="225" t="s">
        <v>868</v>
      </c>
      <c r="AV227" s="225" t="s">
        <v>879</v>
      </c>
      <c r="AW227" s="225" t="s">
        <v>172</v>
      </c>
      <c r="AX227" t="s">
        <v>2172</v>
      </c>
      <c r="AY227" s="224"/>
      <c r="BL227" s="223"/>
    </row>
    <row r="228" spans="1:64" x14ac:dyDescent="0.25">
      <c r="A228" s="223">
        <v>2330</v>
      </c>
      <c r="B228" s="223">
        <v>3</v>
      </c>
      <c r="C228" s="224">
        <v>45420</v>
      </c>
      <c r="D228" s="225" t="s">
        <v>1313</v>
      </c>
      <c r="E228" s="225" t="s">
        <v>859</v>
      </c>
      <c r="F228" s="225" t="s">
        <v>860</v>
      </c>
      <c r="G228" s="223" t="s">
        <v>861</v>
      </c>
      <c r="H228" s="224"/>
      <c r="I228" s="224">
        <v>45427</v>
      </c>
      <c r="J228" s="225" t="s">
        <v>2058</v>
      </c>
      <c r="K228" s="225" t="s">
        <v>98</v>
      </c>
      <c r="L228" s="225" t="s">
        <v>2</v>
      </c>
      <c r="M228" s="223">
        <v>6</v>
      </c>
      <c r="N228" s="223">
        <v>14</v>
      </c>
      <c r="O228" s="223">
        <v>498</v>
      </c>
      <c r="P228" s="223">
        <v>1</v>
      </c>
      <c r="Q228" s="223">
        <v>38.299999999999997</v>
      </c>
      <c r="R228" s="225" t="s">
        <v>780</v>
      </c>
      <c r="S228" s="230">
        <v>4471500</v>
      </c>
      <c r="T228" s="226">
        <v>116749.35</v>
      </c>
      <c r="U228" s="228"/>
      <c r="V228" s="226">
        <v>4471500</v>
      </c>
      <c r="W228" s="226">
        <v>116749.34725848565</v>
      </c>
      <c r="X228" s="228">
        <v>268100</v>
      </c>
      <c r="Y228" s="228">
        <f>Юрист[[#This Row],[Итоговая цена м2 с отделкой]]-Юрист[[#This Row],[Итоговая цена м2 без отделки]]</f>
        <v>7000</v>
      </c>
      <c r="Z228" s="226">
        <v>4203400</v>
      </c>
      <c r="AA228" s="223">
        <v>109749.34725848565</v>
      </c>
      <c r="AB228" s="225"/>
      <c r="AD228" s="225" t="s">
        <v>862</v>
      </c>
      <c r="AE228" s="225" t="s">
        <v>863</v>
      </c>
      <c r="AF228" s="226">
        <v>1347000</v>
      </c>
      <c r="AG228" s="226">
        <v>3124500</v>
      </c>
      <c r="AH228" s="226"/>
      <c r="AI228" s="226"/>
      <c r="AJ228" s="226"/>
      <c r="AK228" s="223" t="s">
        <v>873</v>
      </c>
      <c r="AL228" s="227">
        <v>1.4E-2</v>
      </c>
      <c r="AM228" s="229">
        <v>6.6000000000000003E-2</v>
      </c>
      <c r="AO228" s="223">
        <v>0</v>
      </c>
      <c r="AP228" s="225" t="s">
        <v>1314</v>
      </c>
      <c r="AQ228" s="223">
        <v>79170328454</v>
      </c>
      <c r="AR228" s="225" t="s">
        <v>866</v>
      </c>
      <c r="AS228" s="224">
        <v>36237</v>
      </c>
      <c r="AT228" s="225" t="s">
        <v>1285</v>
      </c>
      <c r="AU228" s="225" t="s">
        <v>910</v>
      </c>
      <c r="AV228" s="225" t="s">
        <v>869</v>
      </c>
      <c r="AW228" s="225" t="s">
        <v>172</v>
      </c>
      <c r="AX228" t="s">
        <v>2168</v>
      </c>
      <c r="AY228" s="224"/>
      <c r="BL228" s="223"/>
    </row>
    <row r="229" spans="1:64" s="244" customFormat="1" x14ac:dyDescent="0.25">
      <c r="A229" s="223">
        <v>2328</v>
      </c>
      <c r="B229" s="223">
        <v>1</v>
      </c>
      <c r="C229" s="224">
        <v>45419</v>
      </c>
      <c r="D229" s="225" t="s">
        <v>1309</v>
      </c>
      <c r="E229" s="225" t="s">
        <v>859</v>
      </c>
      <c r="F229" s="225" t="s">
        <v>860</v>
      </c>
      <c r="G229" s="223" t="s">
        <v>861</v>
      </c>
      <c r="H229" s="224"/>
      <c r="I229" s="224">
        <v>45426</v>
      </c>
      <c r="J229" s="225" t="s">
        <v>1935</v>
      </c>
      <c r="K229" s="225" t="s">
        <v>98</v>
      </c>
      <c r="L229" s="225" t="s">
        <v>3</v>
      </c>
      <c r="M229" s="223">
        <v>7</v>
      </c>
      <c r="N229" s="223">
        <v>14</v>
      </c>
      <c r="O229" s="223">
        <v>319</v>
      </c>
      <c r="P229" s="223">
        <v>1</v>
      </c>
      <c r="Q229" s="223">
        <v>34.81</v>
      </c>
      <c r="R229" s="225" t="s">
        <v>14</v>
      </c>
      <c r="S229" s="230">
        <v>4908500</v>
      </c>
      <c r="T229" s="226">
        <v>141008.32999999999</v>
      </c>
      <c r="U229" s="228"/>
      <c r="V229" s="226">
        <v>4908500</v>
      </c>
      <c r="W229" s="226">
        <v>141008.33093938523</v>
      </c>
      <c r="X229" s="228">
        <v>696200</v>
      </c>
      <c r="Y229" s="228">
        <f>Юрист[[#This Row],[Итоговая цена м2 с отделкой]]-Юрист[[#This Row],[Итоговая цена м2 без отделки]]</f>
        <v>20000</v>
      </c>
      <c r="Z229" s="226">
        <v>4212300</v>
      </c>
      <c r="AA229" s="223">
        <v>121008.33093938523</v>
      </c>
      <c r="AB229" s="225"/>
      <c r="AC229" s="226"/>
      <c r="AD229" s="225" t="s">
        <v>862</v>
      </c>
      <c r="AE229" s="225" t="s">
        <v>863</v>
      </c>
      <c r="AF229" s="226">
        <v>1478000</v>
      </c>
      <c r="AG229" s="226">
        <v>3430500</v>
      </c>
      <c r="AH229" s="226"/>
      <c r="AI229" s="226"/>
      <c r="AJ229" s="226"/>
      <c r="AK229" s="223" t="s">
        <v>873</v>
      </c>
      <c r="AL229" s="227">
        <v>1.4E-2</v>
      </c>
      <c r="AM229" s="229">
        <v>6.6000000000000003E-2</v>
      </c>
      <c r="AN229" s="223"/>
      <c r="AO229" s="223">
        <v>0</v>
      </c>
      <c r="AP229" s="225" t="s">
        <v>1310</v>
      </c>
      <c r="AQ229" s="223">
        <v>79372115551</v>
      </c>
      <c r="AR229" s="225" t="s">
        <v>882</v>
      </c>
      <c r="AS229" s="224">
        <v>35948</v>
      </c>
      <c r="AT229" s="225" t="s">
        <v>1285</v>
      </c>
      <c r="AU229" s="225" t="s">
        <v>868</v>
      </c>
      <c r="AV229" s="225" t="s">
        <v>879</v>
      </c>
      <c r="AW229" s="225" t="s">
        <v>172</v>
      </c>
      <c r="AX229" t="s">
        <v>2168</v>
      </c>
      <c r="AY229" s="224"/>
      <c r="AZ229" s="223"/>
    </row>
    <row r="230" spans="1:64" s="244" customFormat="1" x14ac:dyDescent="0.25">
      <c r="A230" s="223">
        <v>2329</v>
      </c>
      <c r="B230" s="223">
        <v>2</v>
      </c>
      <c r="C230" s="224">
        <v>45419</v>
      </c>
      <c r="D230" s="225" t="s">
        <v>1311</v>
      </c>
      <c r="E230" s="225" t="s">
        <v>859</v>
      </c>
      <c r="F230" s="225" t="s">
        <v>860</v>
      </c>
      <c r="G230" s="223" t="s">
        <v>861</v>
      </c>
      <c r="H230" s="224"/>
      <c r="I230" s="224">
        <v>45426</v>
      </c>
      <c r="J230" s="225" t="s">
        <v>1939</v>
      </c>
      <c r="K230" s="225" t="s">
        <v>98</v>
      </c>
      <c r="L230" s="225" t="s">
        <v>3</v>
      </c>
      <c r="M230" s="223">
        <v>6</v>
      </c>
      <c r="N230" s="223">
        <v>15</v>
      </c>
      <c r="O230" s="223">
        <v>325</v>
      </c>
      <c r="P230" s="223">
        <v>3</v>
      </c>
      <c r="Q230" s="223">
        <v>80.97</v>
      </c>
      <c r="R230" s="225" t="s">
        <v>780</v>
      </c>
      <c r="S230" s="230">
        <v>7457185</v>
      </c>
      <c r="T230" s="226">
        <v>92098.12</v>
      </c>
      <c r="U230" s="228"/>
      <c r="V230" s="226">
        <v>7457185</v>
      </c>
      <c r="W230" s="226">
        <v>92098.122761516614</v>
      </c>
      <c r="X230" s="228">
        <v>566790</v>
      </c>
      <c r="Y230" s="228">
        <f>Юрист[[#This Row],[Итоговая цена м2 с отделкой]]-Юрист[[#This Row],[Итоговая цена м2 без отделки]]</f>
        <v>7000</v>
      </c>
      <c r="Z230" s="226">
        <v>6890395</v>
      </c>
      <c r="AA230" s="223">
        <v>85098.122761516614</v>
      </c>
      <c r="AB230" s="225" t="s">
        <v>167</v>
      </c>
      <c r="AC230" s="226">
        <v>213105</v>
      </c>
      <c r="AD230" s="225" t="s">
        <v>862</v>
      </c>
      <c r="AE230" s="225" t="s">
        <v>863</v>
      </c>
      <c r="AF230" s="226">
        <v>1499000</v>
      </c>
      <c r="AG230" s="226">
        <v>5958185</v>
      </c>
      <c r="AH230" s="226"/>
      <c r="AI230" s="226"/>
      <c r="AJ230" s="226"/>
      <c r="AK230" s="223" t="s">
        <v>864</v>
      </c>
      <c r="AL230" s="227">
        <v>1.4E-2</v>
      </c>
      <c r="AM230" s="229">
        <v>4.5999999999999999E-2</v>
      </c>
      <c r="AN230" s="223"/>
      <c r="AO230" s="223">
        <v>0</v>
      </c>
      <c r="AP230" s="225" t="s">
        <v>1312</v>
      </c>
      <c r="AQ230" s="223">
        <v>79276046820</v>
      </c>
      <c r="AR230" s="225" t="s">
        <v>882</v>
      </c>
      <c r="AS230" s="224">
        <v>32031</v>
      </c>
      <c r="AT230" s="225" t="s">
        <v>1061</v>
      </c>
      <c r="AU230" s="225" t="s">
        <v>899</v>
      </c>
      <c r="AV230" s="225" t="s">
        <v>869</v>
      </c>
      <c r="AW230" s="225" t="s">
        <v>172</v>
      </c>
      <c r="AX230" t="s">
        <v>2172</v>
      </c>
      <c r="AY230" s="224"/>
      <c r="AZ230" s="223"/>
    </row>
    <row r="231" spans="1:64" x14ac:dyDescent="0.25">
      <c r="A231" s="223">
        <v>2325</v>
      </c>
      <c r="B231" s="223">
        <v>25</v>
      </c>
      <c r="C231" s="224">
        <v>45412</v>
      </c>
      <c r="D231" s="225" t="s">
        <v>1303</v>
      </c>
      <c r="E231" s="225" t="s">
        <v>859</v>
      </c>
      <c r="F231" s="225" t="s">
        <v>860</v>
      </c>
      <c r="G231" s="223" t="s">
        <v>861</v>
      </c>
      <c r="H231" s="224"/>
      <c r="I231" s="224">
        <v>45415</v>
      </c>
      <c r="J231" s="225" t="s">
        <v>2073</v>
      </c>
      <c r="K231" s="225" t="s">
        <v>98</v>
      </c>
      <c r="L231" s="225" t="s">
        <v>2</v>
      </c>
      <c r="M231" s="223">
        <v>7</v>
      </c>
      <c r="N231" s="223">
        <v>16</v>
      </c>
      <c r="O231" s="223">
        <v>515</v>
      </c>
      <c r="P231" s="223">
        <v>3</v>
      </c>
      <c r="Q231" s="223">
        <v>79.44</v>
      </c>
      <c r="R231" s="225" t="s">
        <v>12</v>
      </c>
      <c r="S231" s="230">
        <v>7149900</v>
      </c>
      <c r="T231" s="226">
        <v>90003.78</v>
      </c>
      <c r="U231" s="228"/>
      <c r="V231" s="226">
        <v>7149900</v>
      </c>
      <c r="W231" s="226">
        <v>90003.776435045322</v>
      </c>
      <c r="X231" s="228"/>
      <c r="Y231" s="228">
        <f>Юрист[[#This Row],[Итоговая цена м2 с отделкой]]-Юрист[[#This Row],[Итоговая цена м2 без отделки]]</f>
        <v>0</v>
      </c>
      <c r="Z231" s="226">
        <v>7149900</v>
      </c>
      <c r="AA231" s="223">
        <v>90003.776435045322</v>
      </c>
      <c r="AB231" s="225" t="s">
        <v>791</v>
      </c>
      <c r="AC231" s="226">
        <v>90000</v>
      </c>
      <c r="AD231" s="225" t="s">
        <v>862</v>
      </c>
      <c r="AE231" s="225" t="s">
        <v>863</v>
      </c>
      <c r="AF231" s="226">
        <v>969619.22</v>
      </c>
      <c r="AG231" s="226">
        <v>5549900</v>
      </c>
      <c r="AH231" s="226">
        <v>630380.78</v>
      </c>
      <c r="AI231" s="226"/>
      <c r="AJ231" s="226"/>
      <c r="AK231" s="223" t="s">
        <v>895</v>
      </c>
      <c r="AL231" s="227">
        <v>1.4E-2</v>
      </c>
      <c r="AM231" s="229">
        <v>3.5999999999999997E-2</v>
      </c>
      <c r="AO231" s="223">
        <v>0</v>
      </c>
      <c r="AP231" s="225" t="s">
        <v>1304</v>
      </c>
      <c r="AQ231" s="223">
        <v>79276197344</v>
      </c>
      <c r="AR231" s="225" t="s">
        <v>882</v>
      </c>
      <c r="AS231" s="224">
        <v>34760</v>
      </c>
      <c r="AT231" s="225" t="s">
        <v>987</v>
      </c>
      <c r="AU231" s="225" t="s">
        <v>997</v>
      </c>
      <c r="AV231" s="225" t="s">
        <v>879</v>
      </c>
      <c r="AW231" s="225" t="s">
        <v>172</v>
      </c>
      <c r="AX231" t="s">
        <v>2172</v>
      </c>
      <c r="AY231" s="224"/>
      <c r="BL231" s="223"/>
    </row>
    <row r="232" spans="1:64" x14ac:dyDescent="0.25">
      <c r="A232" s="223">
        <v>2326</v>
      </c>
      <c r="B232" s="223">
        <v>26</v>
      </c>
      <c r="C232" s="224">
        <v>45412</v>
      </c>
      <c r="D232" s="225" t="s">
        <v>1305</v>
      </c>
      <c r="E232" s="225" t="s">
        <v>859</v>
      </c>
      <c r="F232" s="225" t="s">
        <v>860</v>
      </c>
      <c r="G232" s="223" t="s">
        <v>861</v>
      </c>
      <c r="H232" s="224"/>
      <c r="I232" s="224">
        <v>45415</v>
      </c>
      <c r="J232" s="225" t="s">
        <v>1761</v>
      </c>
      <c r="K232" s="225" t="s">
        <v>98</v>
      </c>
      <c r="L232" s="225" t="s">
        <v>5</v>
      </c>
      <c r="M232" s="223">
        <v>7</v>
      </c>
      <c r="N232" s="223">
        <v>9</v>
      </c>
      <c r="O232" s="223">
        <v>62</v>
      </c>
      <c r="P232" s="223">
        <v>1</v>
      </c>
      <c r="Q232" s="223">
        <v>42.75</v>
      </c>
      <c r="R232" s="225" t="s">
        <v>14</v>
      </c>
      <c r="S232" s="230">
        <v>5345906</v>
      </c>
      <c r="T232" s="226">
        <v>125050.43</v>
      </c>
      <c r="U232" s="228"/>
      <c r="V232" s="226">
        <v>5345906</v>
      </c>
      <c r="W232" s="226">
        <v>125050.43274853801</v>
      </c>
      <c r="X232" s="228">
        <v>855000</v>
      </c>
      <c r="Y232" s="228">
        <f>Юрист[[#This Row],[Итоговая цена м2 с отделкой]]-Юрист[[#This Row],[Итоговая цена м2 без отделки]]</f>
        <v>20000</v>
      </c>
      <c r="Z232" s="226">
        <v>4490906</v>
      </c>
      <c r="AA232" s="223">
        <v>105050.43274853801</v>
      </c>
      <c r="AB232" s="225" t="s">
        <v>162</v>
      </c>
      <c r="AC232" s="226">
        <v>138894</v>
      </c>
      <c r="AD232" s="225" t="s">
        <v>862</v>
      </c>
      <c r="AE232" s="225" t="s">
        <v>863</v>
      </c>
      <c r="AF232" s="226">
        <v>1400000</v>
      </c>
      <c r="AG232" s="226">
        <v>3112881.26</v>
      </c>
      <c r="AH232" s="226">
        <v>833024.74</v>
      </c>
      <c r="AI232" s="226"/>
      <c r="AJ232" s="226"/>
      <c r="AK232" s="223" t="s">
        <v>864</v>
      </c>
      <c r="AL232" s="227">
        <v>1.4E-2</v>
      </c>
      <c r="AM232" s="229">
        <v>4.5999999999999999E-2</v>
      </c>
      <c r="AO232" s="223">
        <v>0</v>
      </c>
      <c r="AP232" s="225" t="s">
        <v>1306</v>
      </c>
      <c r="AQ232" s="223">
        <v>79016853637</v>
      </c>
      <c r="AR232" s="225" t="s">
        <v>882</v>
      </c>
      <c r="AS232" s="224">
        <v>32291</v>
      </c>
      <c r="AT232" s="225" t="s">
        <v>970</v>
      </c>
      <c r="AU232" s="225" t="s">
        <v>899</v>
      </c>
      <c r="AV232" s="225" t="s">
        <v>879</v>
      </c>
      <c r="AW232" s="225" t="s">
        <v>172</v>
      </c>
      <c r="AX232" t="s">
        <v>2172</v>
      </c>
      <c r="AY232" s="224"/>
      <c r="BL232" s="223"/>
    </row>
    <row r="233" spans="1:64" x14ac:dyDescent="0.25">
      <c r="A233" s="223">
        <v>2327</v>
      </c>
      <c r="B233" s="223">
        <v>27</v>
      </c>
      <c r="C233" s="224">
        <v>45409</v>
      </c>
      <c r="D233" s="225" t="s">
        <v>1307</v>
      </c>
      <c r="E233" s="225" t="s">
        <v>859</v>
      </c>
      <c r="F233" s="225" t="s">
        <v>860</v>
      </c>
      <c r="G233" s="223" t="s">
        <v>861</v>
      </c>
      <c r="H233" s="224"/>
      <c r="I233" s="224">
        <v>45415</v>
      </c>
      <c r="J233" s="225" t="s">
        <v>1741</v>
      </c>
      <c r="K233" s="225" t="s">
        <v>98</v>
      </c>
      <c r="L233" s="225" t="s">
        <v>5</v>
      </c>
      <c r="M233" s="223">
        <v>6</v>
      </c>
      <c r="N233" s="223">
        <v>5</v>
      </c>
      <c r="O233" s="223">
        <v>33</v>
      </c>
      <c r="P233" s="223">
        <v>2</v>
      </c>
      <c r="Q233" s="223">
        <v>58.16</v>
      </c>
      <c r="R233" s="225" t="s">
        <v>14</v>
      </c>
      <c r="S233" s="230">
        <v>6714000</v>
      </c>
      <c r="T233" s="226">
        <v>115440.17</v>
      </c>
      <c r="U233" s="228">
        <v>15000</v>
      </c>
      <c r="V233" s="226">
        <v>6729000</v>
      </c>
      <c r="W233" s="226">
        <v>115698.0742778542</v>
      </c>
      <c r="X233" s="228">
        <v>1163200</v>
      </c>
      <c r="Y233" s="228">
        <f>Юрист[[#This Row],[Итоговая цена м2 с отделкой]]-Юрист[[#This Row],[Итоговая цена м2 без отделки]]</f>
        <v>20000</v>
      </c>
      <c r="Z233" s="226">
        <v>5565800</v>
      </c>
      <c r="AA233" s="223">
        <v>95698.074277854204</v>
      </c>
      <c r="AB233" s="225" t="s">
        <v>781</v>
      </c>
      <c r="AC233" s="226">
        <v>88000</v>
      </c>
      <c r="AD233" s="225" t="s">
        <v>862</v>
      </c>
      <c r="AE233" s="225" t="s">
        <v>863</v>
      </c>
      <c r="AF233" s="226">
        <v>719619.22</v>
      </c>
      <c r="AG233" s="226">
        <v>5364000</v>
      </c>
      <c r="AH233" s="226">
        <v>630380.78</v>
      </c>
      <c r="AI233" s="226"/>
      <c r="AJ233" s="226"/>
      <c r="AK233" s="223" t="s">
        <v>864</v>
      </c>
      <c r="AL233" s="227">
        <v>1.4E-2</v>
      </c>
      <c r="AM233" s="229">
        <v>4.5999999999999999E-2</v>
      </c>
      <c r="AO233" s="223">
        <v>0</v>
      </c>
      <c r="AP233" s="225" t="s">
        <v>1308</v>
      </c>
      <c r="AQ233" s="223">
        <v>79878894893</v>
      </c>
      <c r="AR233" s="225" t="s">
        <v>866</v>
      </c>
      <c r="AS233" s="224">
        <v>35725</v>
      </c>
      <c r="AT233" s="225" t="s">
        <v>878</v>
      </c>
      <c r="AU233" s="225" t="s">
        <v>997</v>
      </c>
      <c r="AV233" s="225" t="s">
        <v>879</v>
      </c>
      <c r="AW233" s="225" t="s">
        <v>172</v>
      </c>
      <c r="AX233" t="s">
        <v>2172</v>
      </c>
      <c r="AY233" s="224"/>
      <c r="BL233" s="223"/>
    </row>
    <row r="234" spans="1:64" x14ac:dyDescent="0.25">
      <c r="A234" s="223">
        <v>2324</v>
      </c>
      <c r="B234" s="223">
        <v>24</v>
      </c>
      <c r="C234" s="224">
        <v>45408</v>
      </c>
      <c r="D234" s="225" t="s">
        <v>1301</v>
      </c>
      <c r="E234" s="225" t="s">
        <v>859</v>
      </c>
      <c r="F234" s="225" t="s">
        <v>860</v>
      </c>
      <c r="G234" s="223" t="s">
        <v>861</v>
      </c>
      <c r="H234" s="224"/>
      <c r="I234" s="224">
        <v>45410</v>
      </c>
      <c r="J234" s="225" t="s">
        <v>2047</v>
      </c>
      <c r="K234" s="225" t="s">
        <v>98</v>
      </c>
      <c r="L234" s="225" t="s">
        <v>2</v>
      </c>
      <c r="M234" s="223">
        <v>7</v>
      </c>
      <c r="N234" s="223">
        <v>12</v>
      </c>
      <c r="O234" s="223">
        <v>483</v>
      </c>
      <c r="P234" s="223">
        <v>3</v>
      </c>
      <c r="Q234" s="223">
        <v>79.44</v>
      </c>
      <c r="R234" s="225" t="s">
        <v>12</v>
      </c>
      <c r="S234" s="230">
        <v>7285200</v>
      </c>
      <c r="T234" s="226">
        <v>91706.95</v>
      </c>
      <c r="U234" s="228"/>
      <c r="V234" s="226">
        <v>7285200</v>
      </c>
      <c r="W234" s="226">
        <v>91706.948640483388</v>
      </c>
      <c r="X234" s="228"/>
      <c r="Y234" s="228">
        <f>Юрист[[#This Row],[Итоговая цена м2 с отделкой]]-Юрист[[#This Row],[Итоговая цена м2 без отделки]]</f>
        <v>0</v>
      </c>
      <c r="Z234" s="226">
        <v>7285200</v>
      </c>
      <c r="AA234" s="223">
        <v>91706.948640483388</v>
      </c>
      <c r="AB234" s="225" t="s">
        <v>791</v>
      </c>
      <c r="AC234" s="226">
        <v>90000</v>
      </c>
      <c r="AD234" s="225" t="s">
        <v>862</v>
      </c>
      <c r="AE234" s="225" t="s">
        <v>863</v>
      </c>
      <c r="AF234" s="226">
        <v>1465000</v>
      </c>
      <c r="AG234" s="226">
        <v>5820200</v>
      </c>
      <c r="AH234" s="226"/>
      <c r="AI234" s="226"/>
      <c r="AJ234" s="226"/>
      <c r="AK234" s="223" t="s">
        <v>864</v>
      </c>
      <c r="AL234" s="227">
        <v>1.4E-2</v>
      </c>
      <c r="AM234" s="229">
        <v>4.5999999999999999E-2</v>
      </c>
      <c r="AO234" s="223">
        <v>0</v>
      </c>
      <c r="AP234" s="225" t="s">
        <v>1302</v>
      </c>
      <c r="AQ234" s="223">
        <v>79379942526</v>
      </c>
      <c r="AR234" s="225" t="s">
        <v>866</v>
      </c>
      <c r="AS234" s="224">
        <v>34016</v>
      </c>
      <c r="AT234" s="225" t="s">
        <v>878</v>
      </c>
      <c r="AU234" s="225" t="s">
        <v>997</v>
      </c>
      <c r="AV234" s="225" t="s">
        <v>879</v>
      </c>
      <c r="AW234" s="225" t="s">
        <v>172</v>
      </c>
      <c r="AX234" t="s">
        <v>2172</v>
      </c>
      <c r="AY234" s="224"/>
      <c r="BL234" s="223"/>
    </row>
    <row r="235" spans="1:64" s="244" customFormat="1" x14ac:dyDescent="0.25">
      <c r="A235" s="223">
        <v>2319</v>
      </c>
      <c r="B235" s="223">
        <v>19</v>
      </c>
      <c r="C235" s="224">
        <v>45407</v>
      </c>
      <c r="D235" s="225" t="s">
        <v>1295</v>
      </c>
      <c r="E235" s="225" t="s">
        <v>859</v>
      </c>
      <c r="F235" s="225" t="s">
        <v>860</v>
      </c>
      <c r="G235" s="223" t="s">
        <v>861</v>
      </c>
      <c r="H235" s="224"/>
      <c r="I235" s="224">
        <v>45410</v>
      </c>
      <c r="J235" s="225" t="s">
        <v>2018</v>
      </c>
      <c r="K235" s="225" t="s">
        <v>98</v>
      </c>
      <c r="L235" s="225" t="s">
        <v>2</v>
      </c>
      <c r="M235" s="223">
        <v>3</v>
      </c>
      <c r="N235" s="223">
        <v>8</v>
      </c>
      <c r="O235" s="223">
        <v>447</v>
      </c>
      <c r="P235" s="223">
        <v>0</v>
      </c>
      <c r="Q235" s="223">
        <v>24.5</v>
      </c>
      <c r="R235" s="225" t="s">
        <v>780</v>
      </c>
      <c r="S235" s="230">
        <v>3045700</v>
      </c>
      <c r="T235" s="226">
        <v>124314.29</v>
      </c>
      <c r="U235" s="228"/>
      <c r="V235" s="226">
        <v>3045700</v>
      </c>
      <c r="W235" s="226">
        <v>124314.28571428571</v>
      </c>
      <c r="X235" s="228">
        <v>171500</v>
      </c>
      <c r="Y235" s="228">
        <f>Юрист[[#This Row],[Итоговая цена м2 с отделкой]]-Юрист[[#This Row],[Итоговая цена м2 без отделки]]</f>
        <v>7000</v>
      </c>
      <c r="Z235" s="226">
        <v>2874200</v>
      </c>
      <c r="AA235" s="223">
        <v>117314.28571428571</v>
      </c>
      <c r="AB235" s="225"/>
      <c r="AC235" s="226"/>
      <c r="AD235" s="225" t="s">
        <v>862</v>
      </c>
      <c r="AE235" s="225" t="s">
        <v>863</v>
      </c>
      <c r="AF235" s="226">
        <v>613000</v>
      </c>
      <c r="AG235" s="226">
        <v>2432700</v>
      </c>
      <c r="AH235" s="226"/>
      <c r="AI235" s="226"/>
      <c r="AJ235" s="226"/>
      <c r="AK235" s="223" t="s">
        <v>864</v>
      </c>
      <c r="AL235" s="227">
        <v>1.4E-2</v>
      </c>
      <c r="AM235" s="229">
        <v>4.5999999999999999E-2</v>
      </c>
      <c r="AN235" s="223"/>
      <c r="AO235" s="223">
        <v>0</v>
      </c>
      <c r="AP235" s="225" t="s">
        <v>1296</v>
      </c>
      <c r="AQ235" s="223">
        <v>79228585399</v>
      </c>
      <c r="AR235" s="225" t="s">
        <v>866</v>
      </c>
      <c r="AS235" s="224">
        <v>31421</v>
      </c>
      <c r="AT235" s="225" t="s">
        <v>1218</v>
      </c>
      <c r="AU235" s="225" t="s">
        <v>1292</v>
      </c>
      <c r="AV235" s="225" t="s">
        <v>869</v>
      </c>
      <c r="AW235" s="225" t="s">
        <v>172</v>
      </c>
      <c r="AX235" t="s">
        <v>2172</v>
      </c>
      <c r="AY235" s="224"/>
      <c r="AZ235" s="223"/>
    </row>
    <row r="236" spans="1:64" x14ac:dyDescent="0.25">
      <c r="A236" s="223">
        <v>2321</v>
      </c>
      <c r="B236" s="223">
        <v>21</v>
      </c>
      <c r="C236" s="224">
        <v>45407</v>
      </c>
      <c r="D236" s="225" t="s">
        <v>1297</v>
      </c>
      <c r="E236" s="225" t="s">
        <v>859</v>
      </c>
      <c r="F236" s="225" t="s">
        <v>860</v>
      </c>
      <c r="G236" s="223" t="s">
        <v>861</v>
      </c>
      <c r="H236" s="224"/>
      <c r="I236" s="224">
        <v>45409</v>
      </c>
      <c r="J236" s="225" t="s">
        <v>2052</v>
      </c>
      <c r="K236" s="225" t="s">
        <v>98</v>
      </c>
      <c r="L236" s="225" t="s">
        <v>2</v>
      </c>
      <c r="M236" s="223">
        <v>4</v>
      </c>
      <c r="N236" s="223">
        <v>13</v>
      </c>
      <c r="O236" s="223">
        <v>488</v>
      </c>
      <c r="P236" s="223">
        <v>2</v>
      </c>
      <c r="Q236" s="223">
        <v>58.24</v>
      </c>
      <c r="R236" s="225" t="s">
        <v>12</v>
      </c>
      <c r="S236" s="230">
        <v>5437400</v>
      </c>
      <c r="T236" s="226">
        <v>93361.95</v>
      </c>
      <c r="U236" s="228"/>
      <c r="V236" s="226">
        <v>5437400</v>
      </c>
      <c r="W236" s="226">
        <v>93361.950549450543</v>
      </c>
      <c r="X236" s="228"/>
      <c r="Y236" s="228">
        <f>Юрист[[#This Row],[Итоговая цена м2 с отделкой]]-Юрист[[#This Row],[Итоговая цена м2 без отделки]]</f>
        <v>0</v>
      </c>
      <c r="Z236" s="226">
        <v>5437400</v>
      </c>
      <c r="AA236" s="223">
        <v>93361.950549450543</v>
      </c>
      <c r="AB236" s="225" t="s">
        <v>791</v>
      </c>
      <c r="AC236" s="226">
        <v>90000</v>
      </c>
      <c r="AD236" s="225" t="s">
        <v>862</v>
      </c>
      <c r="AE236" s="225" t="s">
        <v>863</v>
      </c>
      <c r="AF236" s="226">
        <v>1637000</v>
      </c>
      <c r="AG236" s="226">
        <v>3800400</v>
      </c>
      <c r="AH236" s="226"/>
      <c r="AI236" s="226"/>
      <c r="AJ236" s="226"/>
      <c r="AK236" s="223" t="s">
        <v>873</v>
      </c>
      <c r="AL236" s="227">
        <v>1.4E-2</v>
      </c>
      <c r="AM236" s="229">
        <v>6.6000000000000003E-2</v>
      </c>
      <c r="AO236" s="223">
        <v>0</v>
      </c>
      <c r="AP236" s="225" t="s">
        <v>1298</v>
      </c>
      <c r="AQ236" s="223">
        <v>79871602748</v>
      </c>
      <c r="AR236" s="225" t="s">
        <v>866</v>
      </c>
      <c r="AS236" s="224">
        <v>36171</v>
      </c>
      <c r="AT236" s="225" t="s">
        <v>888</v>
      </c>
      <c r="AU236" s="225" t="s">
        <v>1292</v>
      </c>
      <c r="AV236" s="225" t="s">
        <v>869</v>
      </c>
      <c r="AW236" s="225" t="s">
        <v>172</v>
      </c>
      <c r="AX236" t="s">
        <v>2172</v>
      </c>
      <c r="AY236" s="224"/>
      <c r="BL236" s="223"/>
    </row>
    <row r="237" spans="1:64" x14ac:dyDescent="0.25">
      <c r="A237" s="223">
        <v>2322</v>
      </c>
      <c r="B237" s="223">
        <v>22</v>
      </c>
      <c r="C237" s="224">
        <v>45407</v>
      </c>
      <c r="D237" s="225" t="s">
        <v>1299</v>
      </c>
      <c r="E237" s="225" t="s">
        <v>859</v>
      </c>
      <c r="F237" s="225" t="s">
        <v>860</v>
      </c>
      <c r="G237" s="223" t="s">
        <v>861</v>
      </c>
      <c r="H237" s="224"/>
      <c r="I237" s="224">
        <v>45409</v>
      </c>
      <c r="J237" s="225" t="s">
        <v>1969</v>
      </c>
      <c r="K237" s="225" t="s">
        <v>98</v>
      </c>
      <c r="L237" s="225" t="s">
        <v>3</v>
      </c>
      <c r="M237" s="223">
        <v>6</v>
      </c>
      <c r="N237" s="223">
        <v>24</v>
      </c>
      <c r="O237" s="223">
        <v>388</v>
      </c>
      <c r="P237" s="223">
        <v>3</v>
      </c>
      <c r="Q237" s="223">
        <v>80.97</v>
      </c>
      <c r="R237" s="225" t="s">
        <v>14</v>
      </c>
      <c r="S237" s="230">
        <v>9253600</v>
      </c>
      <c r="T237" s="226">
        <v>114284.3</v>
      </c>
      <c r="U237" s="228"/>
      <c r="V237" s="226">
        <v>9253600</v>
      </c>
      <c r="W237" s="226">
        <v>114284.30282820798</v>
      </c>
      <c r="X237" s="228">
        <v>1619400</v>
      </c>
      <c r="Y237" s="228">
        <f>Юрист[[#This Row],[Итоговая цена м2 с отделкой]]-Юрист[[#This Row],[Итоговая цена м2 без отделки]]</f>
        <v>20000</v>
      </c>
      <c r="Z237" s="226">
        <v>7634200</v>
      </c>
      <c r="AA237" s="223">
        <v>94284.302828207976</v>
      </c>
      <c r="AB237" s="225" t="s">
        <v>791</v>
      </c>
      <c r="AC237" s="226">
        <v>90000</v>
      </c>
      <c r="AD237" s="225" t="s">
        <v>862</v>
      </c>
      <c r="AE237" s="225" t="s">
        <v>863</v>
      </c>
      <c r="AF237" s="226">
        <v>1860600</v>
      </c>
      <c r="AG237" s="226">
        <v>7393000</v>
      </c>
      <c r="AH237" s="226"/>
      <c r="AI237" s="226"/>
      <c r="AJ237" s="226"/>
      <c r="AK237" s="223" t="s">
        <v>895</v>
      </c>
      <c r="AL237" s="227">
        <v>1.4E-2</v>
      </c>
      <c r="AM237" s="229">
        <v>3.5999999999999997E-2</v>
      </c>
      <c r="AO237" s="223">
        <v>0</v>
      </c>
      <c r="AP237" s="225" t="s">
        <v>1300</v>
      </c>
      <c r="AQ237" s="223">
        <v>79967447157</v>
      </c>
      <c r="AR237" s="225" t="s">
        <v>882</v>
      </c>
      <c r="AS237" s="224">
        <v>36217</v>
      </c>
      <c r="AT237" s="225" t="s">
        <v>878</v>
      </c>
      <c r="AU237" s="225" t="s">
        <v>997</v>
      </c>
      <c r="AV237" s="225" t="s">
        <v>879</v>
      </c>
      <c r="AW237" s="225" t="s">
        <v>172</v>
      </c>
      <c r="AX237" t="s">
        <v>2172</v>
      </c>
      <c r="AY237" s="224"/>
      <c r="BL237" s="223"/>
    </row>
    <row r="238" spans="1:64" x14ac:dyDescent="0.25">
      <c r="A238" s="223">
        <v>2316</v>
      </c>
      <c r="B238" s="223">
        <v>16</v>
      </c>
      <c r="C238" s="224">
        <v>45405</v>
      </c>
      <c r="D238" s="225" t="s">
        <v>1293</v>
      </c>
      <c r="E238" s="225" t="s">
        <v>859</v>
      </c>
      <c r="F238" s="225" t="s">
        <v>860</v>
      </c>
      <c r="G238" s="223" t="s">
        <v>861</v>
      </c>
      <c r="H238" s="224"/>
      <c r="I238" s="224">
        <v>45408</v>
      </c>
      <c r="J238" s="225" t="s">
        <v>1778</v>
      </c>
      <c r="K238" s="225" t="s">
        <v>98</v>
      </c>
      <c r="L238" s="225" t="s">
        <v>5</v>
      </c>
      <c r="M238" s="223">
        <v>5</v>
      </c>
      <c r="N238" s="223">
        <v>13</v>
      </c>
      <c r="O238" s="223">
        <v>88</v>
      </c>
      <c r="P238" s="223">
        <v>2</v>
      </c>
      <c r="Q238" s="223">
        <v>62.17</v>
      </c>
      <c r="R238" s="225" t="s">
        <v>12</v>
      </c>
      <c r="S238" s="230">
        <v>5853812</v>
      </c>
      <c r="T238" s="226">
        <v>94158.15</v>
      </c>
      <c r="U238" s="228">
        <v>15000</v>
      </c>
      <c r="V238" s="226">
        <v>5868812</v>
      </c>
      <c r="W238" s="226">
        <v>94399.420942576806</v>
      </c>
      <c r="X238" s="228"/>
      <c r="Y238" s="228">
        <f>Юрист[[#This Row],[Итоговая цена м2 с отделкой]]-Юрист[[#This Row],[Итоговая цена м2 без отделки]]</f>
        <v>0</v>
      </c>
      <c r="Z238" s="226">
        <v>5868812</v>
      </c>
      <c r="AA238" s="223">
        <v>94399.420942576806</v>
      </c>
      <c r="AB238" s="225" t="s">
        <v>781</v>
      </c>
      <c r="AC238" s="226">
        <v>88888</v>
      </c>
      <c r="AD238" s="225" t="s">
        <v>862</v>
      </c>
      <c r="AE238" s="225" t="s">
        <v>863</v>
      </c>
      <c r="AF238" s="226">
        <v>1762000</v>
      </c>
      <c r="AG238" s="226">
        <v>4091812</v>
      </c>
      <c r="AH238" s="226"/>
      <c r="AI238" s="226"/>
      <c r="AJ238" s="226"/>
      <c r="AK238" s="223" t="s">
        <v>873</v>
      </c>
      <c r="AL238" s="227">
        <v>1.4E-2</v>
      </c>
      <c r="AM238" s="229">
        <v>6.6000000000000003E-2</v>
      </c>
      <c r="AO238" s="223">
        <v>0</v>
      </c>
      <c r="AP238" s="225" t="s">
        <v>1294</v>
      </c>
      <c r="AQ238" s="223">
        <v>79179529157</v>
      </c>
      <c r="AR238" s="225" t="s">
        <v>882</v>
      </c>
      <c r="AS238" s="224">
        <v>33934</v>
      </c>
      <c r="AT238" s="225" t="s">
        <v>878</v>
      </c>
      <c r="AU238" s="225" t="s">
        <v>899</v>
      </c>
      <c r="AV238" s="225" t="s">
        <v>869</v>
      </c>
      <c r="AW238" s="225" t="s">
        <v>172</v>
      </c>
      <c r="AX238" t="s">
        <v>2172</v>
      </c>
      <c r="AY238" s="224"/>
      <c r="BL238" s="223"/>
    </row>
    <row r="239" spans="1:64" x14ac:dyDescent="0.25">
      <c r="A239" s="223">
        <v>2315</v>
      </c>
      <c r="B239" s="223">
        <v>15</v>
      </c>
      <c r="C239" s="224">
        <v>45404</v>
      </c>
      <c r="D239" s="225" t="s">
        <v>1290</v>
      </c>
      <c r="E239" s="225" t="s">
        <v>859</v>
      </c>
      <c r="F239" s="225" t="s">
        <v>860</v>
      </c>
      <c r="G239" s="223" t="s">
        <v>861</v>
      </c>
      <c r="H239" s="224"/>
      <c r="I239" s="224">
        <v>45407</v>
      </c>
      <c r="J239" s="225" t="s">
        <v>1868</v>
      </c>
      <c r="K239" s="225" t="s">
        <v>98</v>
      </c>
      <c r="L239" s="225" t="s">
        <v>3</v>
      </c>
      <c r="M239" s="223">
        <v>4</v>
      </c>
      <c r="N239" s="223">
        <v>1</v>
      </c>
      <c r="O239" s="223">
        <v>226</v>
      </c>
      <c r="P239" s="223">
        <v>2</v>
      </c>
      <c r="Q239" s="223">
        <v>47.74</v>
      </c>
      <c r="R239" s="225" t="s">
        <v>12</v>
      </c>
      <c r="S239" s="230">
        <v>5299692</v>
      </c>
      <c r="T239" s="226">
        <v>111011.56</v>
      </c>
      <c r="U239" s="228"/>
      <c r="V239" s="226">
        <v>5299692</v>
      </c>
      <c r="W239" s="226">
        <v>111011.56263091747</v>
      </c>
      <c r="X239" s="228"/>
      <c r="Y239" s="228">
        <f>Юрист[[#This Row],[Итоговая цена м2 с отделкой]]-Юрист[[#This Row],[Итоговая цена м2 без отделки]]</f>
        <v>0</v>
      </c>
      <c r="Z239" s="226">
        <v>5299692</v>
      </c>
      <c r="AA239" s="223">
        <v>111011.56263091747</v>
      </c>
      <c r="AB239" s="225" t="s">
        <v>162</v>
      </c>
      <c r="AC239" s="226">
        <v>163908</v>
      </c>
      <c r="AD239" s="225" t="s">
        <v>862</v>
      </c>
      <c r="AE239" s="225" t="s">
        <v>863</v>
      </c>
      <c r="AF239" s="226">
        <v>1099692</v>
      </c>
      <c r="AG239" s="226">
        <v>4200000</v>
      </c>
      <c r="AH239" s="226"/>
      <c r="AI239" s="226"/>
      <c r="AJ239" s="226"/>
      <c r="AK239" s="223" t="s">
        <v>864</v>
      </c>
      <c r="AL239" s="227">
        <v>1.4E-2</v>
      </c>
      <c r="AM239" s="229">
        <v>4.5999999999999999E-2</v>
      </c>
      <c r="AO239" s="223">
        <v>0</v>
      </c>
      <c r="AP239" s="225" t="s">
        <v>1291</v>
      </c>
      <c r="AQ239" s="223">
        <v>79171694722</v>
      </c>
      <c r="AR239" s="225" t="s">
        <v>882</v>
      </c>
      <c r="AS239" s="224">
        <v>30759</v>
      </c>
      <c r="AT239" s="225" t="s">
        <v>907</v>
      </c>
      <c r="AU239" s="225" t="s">
        <v>1292</v>
      </c>
      <c r="AV239" s="225" t="s">
        <v>869</v>
      </c>
      <c r="AW239" s="225" t="s">
        <v>172</v>
      </c>
      <c r="AX239" t="s">
        <v>2172</v>
      </c>
      <c r="AY239" s="224"/>
      <c r="BL239" s="223"/>
    </row>
    <row r="240" spans="1:64" x14ac:dyDescent="0.25">
      <c r="A240" s="223">
        <v>2312</v>
      </c>
      <c r="B240" s="223">
        <v>12</v>
      </c>
      <c r="C240" s="224">
        <v>45402</v>
      </c>
      <c r="D240" s="225" t="s">
        <v>1283</v>
      </c>
      <c r="E240" s="225" t="s">
        <v>859</v>
      </c>
      <c r="F240" s="225" t="s">
        <v>860</v>
      </c>
      <c r="G240" s="223" t="s">
        <v>861</v>
      </c>
      <c r="H240" s="224"/>
      <c r="I240" s="224">
        <v>45406</v>
      </c>
      <c r="J240" s="225" t="s">
        <v>1869</v>
      </c>
      <c r="K240" s="225" t="s">
        <v>98</v>
      </c>
      <c r="L240" s="225" t="s">
        <v>3</v>
      </c>
      <c r="M240" s="223">
        <v>5</v>
      </c>
      <c r="N240" s="223">
        <v>1</v>
      </c>
      <c r="O240" s="223">
        <v>227</v>
      </c>
      <c r="P240" s="223">
        <v>3</v>
      </c>
      <c r="Q240" s="223">
        <v>80.97</v>
      </c>
      <c r="R240" s="225" t="s">
        <v>12</v>
      </c>
      <c r="S240" s="230">
        <v>7491800</v>
      </c>
      <c r="T240" s="226">
        <v>92525.63</v>
      </c>
      <c r="U240" s="228"/>
      <c r="V240" s="226">
        <v>7491800</v>
      </c>
      <c r="W240" s="226">
        <v>92525.626775348894</v>
      </c>
      <c r="X240" s="228"/>
      <c r="Y240" s="228">
        <f>Юрист[[#This Row],[Итоговая цена м2 с отделкой]]-Юрист[[#This Row],[Итоговая цена м2 без отделки]]</f>
        <v>0</v>
      </c>
      <c r="Z240" s="226">
        <v>7491800</v>
      </c>
      <c r="AA240" s="223">
        <v>92525.626775348894</v>
      </c>
      <c r="AB240" s="225" t="s">
        <v>791</v>
      </c>
      <c r="AC240" s="226">
        <v>90000</v>
      </c>
      <c r="AD240" s="225" t="s">
        <v>862</v>
      </c>
      <c r="AE240" s="225" t="s">
        <v>863</v>
      </c>
      <c r="AF240" s="226">
        <v>875619.22</v>
      </c>
      <c r="AG240" s="226">
        <v>5985800</v>
      </c>
      <c r="AH240" s="226">
        <v>630380.78</v>
      </c>
      <c r="AI240" s="226"/>
      <c r="AJ240" s="226"/>
      <c r="AK240" s="223" t="s">
        <v>864</v>
      </c>
      <c r="AL240" s="227">
        <v>1.4E-2</v>
      </c>
      <c r="AM240" s="229">
        <v>4.5999999999999999E-2</v>
      </c>
      <c r="AO240" s="223">
        <v>0</v>
      </c>
      <c r="AP240" s="225" t="s">
        <v>1284</v>
      </c>
      <c r="AQ240" s="223">
        <v>79966247101</v>
      </c>
      <c r="AR240" s="225" t="s">
        <v>882</v>
      </c>
      <c r="AS240" s="224">
        <v>33048</v>
      </c>
      <c r="AT240" s="225" t="s">
        <v>1285</v>
      </c>
      <c r="AU240" s="225" t="s">
        <v>868</v>
      </c>
      <c r="AV240" s="225" t="s">
        <v>879</v>
      </c>
      <c r="AW240" s="225" t="s">
        <v>172</v>
      </c>
      <c r="AX240" t="s">
        <v>2168</v>
      </c>
      <c r="AY240" s="224"/>
      <c r="BL240" s="223"/>
    </row>
    <row r="241" spans="1:64" x14ac:dyDescent="0.25">
      <c r="A241" s="223">
        <v>2313</v>
      </c>
      <c r="B241" s="223">
        <v>13</v>
      </c>
      <c r="C241" s="224">
        <v>45401</v>
      </c>
      <c r="D241" s="225" t="s">
        <v>1286</v>
      </c>
      <c r="E241" s="225" t="s">
        <v>859</v>
      </c>
      <c r="F241" s="225" t="s">
        <v>860</v>
      </c>
      <c r="G241" s="223" t="s">
        <v>861</v>
      </c>
      <c r="H241" s="224"/>
      <c r="I241" s="224">
        <v>45406</v>
      </c>
      <c r="J241" s="225" t="s">
        <v>1825</v>
      </c>
      <c r="K241" s="225" t="s">
        <v>98</v>
      </c>
      <c r="L241" s="225" t="s">
        <v>4</v>
      </c>
      <c r="M241" s="223">
        <v>4</v>
      </c>
      <c r="N241" s="223">
        <v>7</v>
      </c>
      <c r="O241" s="223">
        <v>156</v>
      </c>
      <c r="P241" s="223">
        <v>2</v>
      </c>
      <c r="Q241" s="223">
        <v>58.31</v>
      </c>
      <c r="R241" s="225" t="s">
        <v>12</v>
      </c>
      <c r="S241" s="230">
        <v>5382112</v>
      </c>
      <c r="T241" s="226">
        <v>92301.7</v>
      </c>
      <c r="U241" s="228"/>
      <c r="V241" s="226">
        <v>5382112</v>
      </c>
      <c r="W241" s="226">
        <v>92301.69782198593</v>
      </c>
      <c r="X241" s="228"/>
      <c r="Y241" s="228">
        <f>Юрист[[#This Row],[Итоговая цена м2 с отделкой]]-Юрист[[#This Row],[Итоговая цена м2 без отделки]]</f>
        <v>0</v>
      </c>
      <c r="Z241" s="226">
        <v>5382112</v>
      </c>
      <c r="AA241" s="223">
        <v>92301.69782198593</v>
      </c>
      <c r="AB241" s="225" t="s">
        <v>767</v>
      </c>
      <c r="AC241" s="226">
        <v>178888</v>
      </c>
      <c r="AD241" s="225" t="s">
        <v>862</v>
      </c>
      <c r="AE241" s="225" t="s">
        <v>863</v>
      </c>
      <c r="AF241" s="226">
        <v>456619.22</v>
      </c>
      <c r="AG241" s="226">
        <v>4300112</v>
      </c>
      <c r="AH241" s="226">
        <v>625380.78</v>
      </c>
      <c r="AI241" s="226"/>
      <c r="AJ241" s="226"/>
      <c r="AK241" s="223" t="s">
        <v>864</v>
      </c>
      <c r="AL241" s="227">
        <v>1.4E-2</v>
      </c>
      <c r="AM241" s="229">
        <v>4.5999999999999999E-2</v>
      </c>
      <c r="AO241" s="223">
        <v>0</v>
      </c>
      <c r="AP241" s="225" t="s">
        <v>1287</v>
      </c>
      <c r="AQ241" s="223">
        <v>79053016388</v>
      </c>
      <c r="AR241" s="225" t="s">
        <v>882</v>
      </c>
      <c r="AS241" s="224">
        <v>31495</v>
      </c>
      <c r="AT241" s="225" t="s">
        <v>970</v>
      </c>
      <c r="AU241" s="225" t="s">
        <v>868</v>
      </c>
      <c r="AV241" s="225" t="s">
        <v>879</v>
      </c>
      <c r="AW241" s="225" t="s">
        <v>172</v>
      </c>
      <c r="AX241" t="s">
        <v>2172</v>
      </c>
      <c r="AY241" s="224"/>
      <c r="BL241" s="223"/>
    </row>
    <row r="242" spans="1:64" x14ac:dyDescent="0.25">
      <c r="A242" s="223">
        <v>2314</v>
      </c>
      <c r="B242" s="223">
        <v>14</v>
      </c>
      <c r="C242" s="224">
        <v>45401</v>
      </c>
      <c r="D242" s="225" t="s">
        <v>1288</v>
      </c>
      <c r="E242" s="225" t="s">
        <v>859</v>
      </c>
      <c r="F242" s="225" t="s">
        <v>860</v>
      </c>
      <c r="G242" s="223" t="s">
        <v>861</v>
      </c>
      <c r="H242" s="224"/>
      <c r="I242" s="224">
        <v>45406</v>
      </c>
      <c r="J242" s="225" t="s">
        <v>1993</v>
      </c>
      <c r="K242" s="225" t="s">
        <v>98</v>
      </c>
      <c r="L242" s="225" t="s">
        <v>2</v>
      </c>
      <c r="M242" s="223">
        <v>7</v>
      </c>
      <c r="N242" s="223">
        <v>4</v>
      </c>
      <c r="O242" s="223">
        <v>419</v>
      </c>
      <c r="P242" s="223">
        <v>3</v>
      </c>
      <c r="Q242" s="223">
        <v>79.44</v>
      </c>
      <c r="R242" s="225" t="s">
        <v>780</v>
      </c>
      <c r="S242" s="230">
        <v>7773680</v>
      </c>
      <c r="T242" s="226">
        <v>97855.99</v>
      </c>
      <c r="U242" s="228"/>
      <c r="V242" s="226">
        <v>7773680</v>
      </c>
      <c r="W242" s="226">
        <v>97855.991943605244</v>
      </c>
      <c r="X242" s="228">
        <v>556080</v>
      </c>
      <c r="Y242" s="228">
        <f>Юрист[[#This Row],[Итоговая цена м2 с отделкой]]-Юрист[[#This Row],[Итоговая цена м2 без отделки]]</f>
        <v>7000</v>
      </c>
      <c r="Z242" s="226">
        <v>7217600</v>
      </c>
      <c r="AA242" s="223">
        <v>90855.991943605244</v>
      </c>
      <c r="AB242" s="225" t="s">
        <v>791</v>
      </c>
      <c r="AC242" s="226">
        <v>90000</v>
      </c>
      <c r="AD242" s="225" t="s">
        <v>862</v>
      </c>
      <c r="AE242" s="225" t="s">
        <v>863</v>
      </c>
      <c r="AF242" s="226">
        <v>1143299.22</v>
      </c>
      <c r="AG242" s="226">
        <v>6000000</v>
      </c>
      <c r="AH242" s="226">
        <v>630380.78</v>
      </c>
      <c r="AI242" s="226"/>
      <c r="AJ242" s="226"/>
      <c r="AK242" s="223" t="s">
        <v>864</v>
      </c>
      <c r="AL242" s="227">
        <v>1.4E-2</v>
      </c>
      <c r="AM242" s="229">
        <v>4.5999999999999999E-2</v>
      </c>
      <c r="AO242" s="223">
        <v>0</v>
      </c>
      <c r="AP242" s="225" t="s">
        <v>1289</v>
      </c>
      <c r="AQ242" s="223">
        <v>79228131115</v>
      </c>
      <c r="AR242" s="225" t="s">
        <v>882</v>
      </c>
      <c r="AS242" s="224">
        <v>32284</v>
      </c>
      <c r="AT242" s="225" t="s">
        <v>875</v>
      </c>
      <c r="AU242" s="225" t="s">
        <v>868</v>
      </c>
      <c r="AV242" s="225" t="s">
        <v>879</v>
      </c>
      <c r="AW242" s="225" t="s">
        <v>172</v>
      </c>
      <c r="AX242" t="s">
        <v>2172</v>
      </c>
      <c r="AY242" s="224"/>
      <c r="BL242" s="223"/>
    </row>
    <row r="243" spans="1:64" x14ac:dyDescent="0.25">
      <c r="A243" s="223">
        <v>2309</v>
      </c>
      <c r="B243" s="223">
        <v>9</v>
      </c>
      <c r="C243" s="224">
        <v>45397</v>
      </c>
      <c r="D243" s="225" t="s">
        <v>1279</v>
      </c>
      <c r="E243" s="225" t="s">
        <v>859</v>
      </c>
      <c r="F243" s="225" t="s">
        <v>860</v>
      </c>
      <c r="G243" s="223" t="s">
        <v>861</v>
      </c>
      <c r="H243" s="224"/>
      <c r="I243" s="224">
        <v>45400</v>
      </c>
      <c r="J243" s="225" t="s">
        <v>1990</v>
      </c>
      <c r="K243" s="225" t="s">
        <v>98</v>
      </c>
      <c r="L243" s="225" t="s">
        <v>2</v>
      </c>
      <c r="M243" s="223">
        <v>4</v>
      </c>
      <c r="N243" s="223">
        <v>4</v>
      </c>
      <c r="O243" s="223">
        <v>416</v>
      </c>
      <c r="P243" s="223">
        <v>2</v>
      </c>
      <c r="Q243" s="223">
        <v>58.24</v>
      </c>
      <c r="R243" s="225" t="s">
        <v>14</v>
      </c>
      <c r="S243" s="230">
        <v>6546500</v>
      </c>
      <c r="T243" s="226">
        <v>112405.56</v>
      </c>
      <c r="U243" s="228"/>
      <c r="V243" s="226">
        <v>6546500</v>
      </c>
      <c r="W243" s="226">
        <v>112405.56318681319</v>
      </c>
      <c r="X243" s="228">
        <v>1164800</v>
      </c>
      <c r="Y243" s="228">
        <f>Юрист[[#This Row],[Итоговая цена м2 с отделкой]]-Юрист[[#This Row],[Итоговая цена м2 без отделки]]</f>
        <v>20000</v>
      </c>
      <c r="Z243" s="226">
        <v>5381700</v>
      </c>
      <c r="AA243" s="223">
        <v>92405.56318681319</v>
      </c>
      <c r="AB243" s="225" t="s">
        <v>791</v>
      </c>
      <c r="AC243" s="226">
        <v>90000</v>
      </c>
      <c r="AD243" s="225" t="s">
        <v>862</v>
      </c>
      <c r="AE243" s="225" t="s">
        <v>863</v>
      </c>
      <c r="AF243" s="226">
        <v>1000000</v>
      </c>
      <c r="AG243" s="226">
        <v>4916119.22</v>
      </c>
      <c r="AH243" s="226">
        <v>630380.78</v>
      </c>
      <c r="AI243" s="226"/>
      <c r="AJ243" s="226"/>
      <c r="AK243" s="223" t="s">
        <v>864</v>
      </c>
      <c r="AL243" s="227">
        <v>1.4E-2</v>
      </c>
      <c r="AM243" s="229">
        <v>4.5999999999999999E-2</v>
      </c>
      <c r="AO243" s="223">
        <v>0</v>
      </c>
      <c r="AP243" s="225" t="s">
        <v>1280</v>
      </c>
      <c r="AQ243" s="223">
        <v>79171070374</v>
      </c>
      <c r="AR243" s="225" t="s">
        <v>882</v>
      </c>
      <c r="AS243" s="224">
        <v>33337</v>
      </c>
      <c r="AT243" s="225" t="s">
        <v>878</v>
      </c>
      <c r="AU243" s="225" t="s">
        <v>997</v>
      </c>
      <c r="AV243" s="225" t="s">
        <v>869</v>
      </c>
      <c r="AW243" s="225" t="s">
        <v>172</v>
      </c>
      <c r="AX243" t="s">
        <v>2172</v>
      </c>
      <c r="AY243" s="224"/>
      <c r="BL243" s="223"/>
    </row>
    <row r="244" spans="1:64" s="244" customFormat="1" x14ac:dyDescent="0.25">
      <c r="A244" s="223">
        <v>2310</v>
      </c>
      <c r="B244" s="223">
        <v>10</v>
      </c>
      <c r="C244" s="224">
        <v>45397</v>
      </c>
      <c r="D244" s="225" t="s">
        <v>1281</v>
      </c>
      <c r="E244" s="225" t="s">
        <v>859</v>
      </c>
      <c r="F244" s="225" t="s">
        <v>860</v>
      </c>
      <c r="G244" s="223" t="s">
        <v>861</v>
      </c>
      <c r="H244" s="224"/>
      <c r="I244" s="224">
        <v>45400</v>
      </c>
      <c r="J244" s="225" t="s">
        <v>1829</v>
      </c>
      <c r="K244" s="225" t="s">
        <v>98</v>
      </c>
      <c r="L244" s="225" t="s">
        <v>4</v>
      </c>
      <c r="M244" s="223">
        <v>5</v>
      </c>
      <c r="N244" s="223">
        <v>8</v>
      </c>
      <c r="O244" s="223">
        <v>164</v>
      </c>
      <c r="P244" s="223">
        <v>1</v>
      </c>
      <c r="Q244" s="223">
        <v>37.86</v>
      </c>
      <c r="R244" s="225" t="s">
        <v>14</v>
      </c>
      <c r="S244" s="230">
        <v>5047012</v>
      </c>
      <c r="T244" s="226">
        <v>133307.24</v>
      </c>
      <c r="U244" s="228"/>
      <c r="V244" s="226">
        <v>5047012</v>
      </c>
      <c r="W244" s="226">
        <v>133307.23718964605</v>
      </c>
      <c r="X244" s="228">
        <v>757200</v>
      </c>
      <c r="Y244" s="228">
        <f>Юрист[[#This Row],[Итоговая цена м2 с отделкой]]-Юрист[[#This Row],[Итоговая цена м2 без отделки]]</f>
        <v>19999.999999999985</v>
      </c>
      <c r="Z244" s="226">
        <v>4289812</v>
      </c>
      <c r="AA244" s="223">
        <v>113307.23718964607</v>
      </c>
      <c r="AB244" s="225" t="s">
        <v>781</v>
      </c>
      <c r="AC244" s="226">
        <v>88888</v>
      </c>
      <c r="AD244" s="225" t="s">
        <v>862</v>
      </c>
      <c r="AE244" s="225" t="s">
        <v>863</v>
      </c>
      <c r="AF244" s="226">
        <v>1015000</v>
      </c>
      <c r="AG244" s="226">
        <v>4032012</v>
      </c>
      <c r="AH244" s="226"/>
      <c r="AI244" s="226"/>
      <c r="AJ244" s="226"/>
      <c r="AK244" s="223" t="s">
        <v>864</v>
      </c>
      <c r="AL244" s="227">
        <v>1.4E-2</v>
      </c>
      <c r="AM244" s="229">
        <v>4.5999999999999999E-2</v>
      </c>
      <c r="AN244" s="223"/>
      <c r="AO244" s="223">
        <v>0</v>
      </c>
      <c r="AP244" s="225" t="s">
        <v>1282</v>
      </c>
      <c r="AQ244" s="223">
        <v>79279055424</v>
      </c>
      <c r="AR244" s="225" t="s">
        <v>882</v>
      </c>
      <c r="AS244" s="224">
        <v>31708</v>
      </c>
      <c r="AT244" s="225" t="s">
        <v>885</v>
      </c>
      <c r="AU244" s="225" t="s">
        <v>899</v>
      </c>
      <c r="AV244" s="225" t="s">
        <v>869</v>
      </c>
      <c r="AW244" s="225" t="s">
        <v>172</v>
      </c>
      <c r="AX244" t="s">
        <v>2172</v>
      </c>
      <c r="AY244" s="224"/>
      <c r="AZ244" s="223"/>
    </row>
    <row r="245" spans="1:64" x14ac:dyDescent="0.25">
      <c r="A245" s="223">
        <v>2307</v>
      </c>
      <c r="B245" s="223">
        <v>7</v>
      </c>
      <c r="C245" s="224">
        <v>45395</v>
      </c>
      <c r="D245" s="225" t="s">
        <v>1275</v>
      </c>
      <c r="E245" s="225" t="s">
        <v>859</v>
      </c>
      <c r="F245" s="225" t="s">
        <v>860</v>
      </c>
      <c r="G245" s="223" t="s">
        <v>861</v>
      </c>
      <c r="H245" s="224"/>
      <c r="I245" s="224">
        <v>45399</v>
      </c>
      <c r="J245" s="225" t="s">
        <v>1768</v>
      </c>
      <c r="K245" s="225" t="s">
        <v>98</v>
      </c>
      <c r="L245" s="225" t="s">
        <v>5</v>
      </c>
      <c r="M245" s="223">
        <v>4</v>
      </c>
      <c r="N245" s="223">
        <v>11</v>
      </c>
      <c r="O245" s="223">
        <v>73</v>
      </c>
      <c r="P245" s="223">
        <v>2</v>
      </c>
      <c r="Q245" s="223">
        <v>59.09</v>
      </c>
      <c r="R245" s="225" t="s">
        <v>780</v>
      </c>
      <c r="S245" s="230">
        <v>5987342</v>
      </c>
      <c r="T245" s="226">
        <v>101325.81</v>
      </c>
      <c r="U245" s="228"/>
      <c r="V245" s="226">
        <v>5987342</v>
      </c>
      <c r="W245" s="226">
        <v>101325.80808935521</v>
      </c>
      <c r="X245" s="228">
        <v>413630</v>
      </c>
      <c r="Y245" s="228">
        <f>Юрист[[#This Row],[Итоговая цена м2 с отделкой]]-Юрист[[#This Row],[Итоговая цена м2 без отделки]]</f>
        <v>7000</v>
      </c>
      <c r="Z245" s="226">
        <v>5573712</v>
      </c>
      <c r="AA245" s="223">
        <v>94325.808089355211</v>
      </c>
      <c r="AB245" s="225" t="s">
        <v>781</v>
      </c>
      <c r="AC245" s="226">
        <v>88888</v>
      </c>
      <c r="AD245" s="225" t="s">
        <v>862</v>
      </c>
      <c r="AE245" s="225" t="s">
        <v>863</v>
      </c>
      <c r="AF245" s="226">
        <v>1803000</v>
      </c>
      <c r="AG245" s="226">
        <v>4184342</v>
      </c>
      <c r="AH245" s="226"/>
      <c r="AI245" s="226"/>
      <c r="AJ245" s="226"/>
      <c r="AK245" s="223" t="s">
        <v>873</v>
      </c>
      <c r="AL245" s="227">
        <v>1.4E-2</v>
      </c>
      <c r="AM245" s="229">
        <v>6.6000000000000003E-2</v>
      </c>
      <c r="AO245" s="223">
        <v>0</v>
      </c>
      <c r="AP245" s="225" t="s">
        <v>1276</v>
      </c>
      <c r="AQ245" s="223">
        <v>79179788482</v>
      </c>
      <c r="AR245" s="225" t="s">
        <v>882</v>
      </c>
      <c r="AS245" s="224">
        <v>33940</v>
      </c>
      <c r="AT245" s="225" t="s">
        <v>878</v>
      </c>
      <c r="AU245" s="225" t="s">
        <v>997</v>
      </c>
      <c r="AV245" s="225" t="s">
        <v>879</v>
      </c>
      <c r="AW245" s="225" t="s">
        <v>172</v>
      </c>
      <c r="AX245" t="s">
        <v>2172</v>
      </c>
      <c r="AY245" s="224"/>
      <c r="BL245" s="223"/>
    </row>
    <row r="246" spans="1:64" x14ac:dyDescent="0.25">
      <c r="A246" s="223">
        <v>2308</v>
      </c>
      <c r="B246" s="223">
        <v>8</v>
      </c>
      <c r="C246" s="224">
        <v>45394</v>
      </c>
      <c r="D246" s="225" t="s">
        <v>1277</v>
      </c>
      <c r="E246" s="225" t="s">
        <v>859</v>
      </c>
      <c r="F246" s="225" t="s">
        <v>860</v>
      </c>
      <c r="G246" s="223" t="s">
        <v>861</v>
      </c>
      <c r="H246" s="224"/>
      <c r="I246" s="224">
        <v>45399</v>
      </c>
      <c r="J246" s="225" t="s">
        <v>1937</v>
      </c>
      <c r="K246" s="225" t="s">
        <v>98</v>
      </c>
      <c r="L246" s="225" t="s">
        <v>3</v>
      </c>
      <c r="M246" s="223">
        <v>3</v>
      </c>
      <c r="N246" s="223">
        <v>15</v>
      </c>
      <c r="O246" s="223">
        <v>322</v>
      </c>
      <c r="P246" s="223">
        <v>2</v>
      </c>
      <c r="Q246" s="223">
        <v>56.58</v>
      </c>
      <c r="R246" s="225" t="s">
        <v>14</v>
      </c>
      <c r="S246" s="230">
        <v>6463600</v>
      </c>
      <c r="T246" s="226">
        <v>114238.25</v>
      </c>
      <c r="U246" s="228"/>
      <c r="V246" s="226">
        <v>6463600</v>
      </c>
      <c r="W246" s="226">
        <v>114238.24673029339</v>
      </c>
      <c r="X246" s="228">
        <v>1131600</v>
      </c>
      <c r="Y246" s="228">
        <f>Юрист[[#This Row],[Итоговая цена м2 с отделкой]]-Юрист[[#This Row],[Итоговая цена м2 без отделки]]</f>
        <v>20000</v>
      </c>
      <c r="Z246" s="226">
        <v>5332000</v>
      </c>
      <c r="AA246" s="223">
        <v>94238.246730293395</v>
      </c>
      <c r="AB246" s="225" t="s">
        <v>791</v>
      </c>
      <c r="AC246" s="226">
        <v>90000</v>
      </c>
      <c r="AD246" s="225" t="s">
        <v>862</v>
      </c>
      <c r="AE246" s="225" t="s">
        <v>863</v>
      </c>
      <c r="AF246" s="226">
        <v>1946000</v>
      </c>
      <c r="AG246" s="226">
        <v>4517600</v>
      </c>
      <c r="AH246" s="226"/>
      <c r="AI246" s="226"/>
      <c r="AJ246" s="226"/>
      <c r="AK246" s="223" t="s">
        <v>873</v>
      </c>
      <c r="AL246" s="227">
        <v>1.4E-2</v>
      </c>
      <c r="AM246" s="229">
        <v>6.6000000000000003E-2</v>
      </c>
      <c r="AO246" s="223">
        <v>0</v>
      </c>
      <c r="AP246" s="225" t="s">
        <v>1278</v>
      </c>
      <c r="AQ246" s="223">
        <v>79371779019</v>
      </c>
      <c r="AR246" s="225" t="s">
        <v>882</v>
      </c>
      <c r="AS246" s="224">
        <v>35639</v>
      </c>
      <c r="AT246" s="225" t="s">
        <v>970</v>
      </c>
      <c r="AU246" s="225" t="s">
        <v>868</v>
      </c>
      <c r="AV246" s="225" t="s">
        <v>869</v>
      </c>
      <c r="AW246" s="225" t="s">
        <v>172</v>
      </c>
      <c r="AX246" t="s">
        <v>2172</v>
      </c>
      <c r="AY246" s="224"/>
      <c r="BL246" s="223"/>
    </row>
    <row r="247" spans="1:64" x14ac:dyDescent="0.25">
      <c r="A247" s="223">
        <v>2303</v>
      </c>
      <c r="B247" s="223">
        <v>3</v>
      </c>
      <c r="C247" s="224">
        <v>45393</v>
      </c>
      <c r="D247" s="225" t="s">
        <v>1269</v>
      </c>
      <c r="E247" s="225" t="s">
        <v>859</v>
      </c>
      <c r="F247" s="225" t="s">
        <v>860</v>
      </c>
      <c r="G247" s="223" t="s">
        <v>861</v>
      </c>
      <c r="H247" s="224"/>
      <c r="I247" s="224">
        <v>45397</v>
      </c>
      <c r="J247" s="225" t="s">
        <v>2082</v>
      </c>
      <c r="K247" s="225" t="s">
        <v>98</v>
      </c>
      <c r="L247" s="225" t="s">
        <v>2</v>
      </c>
      <c r="M247" s="223">
        <v>2</v>
      </c>
      <c r="N247" s="223">
        <v>18</v>
      </c>
      <c r="O247" s="223">
        <v>526</v>
      </c>
      <c r="P247" s="223">
        <v>1</v>
      </c>
      <c r="Q247" s="223">
        <v>43.21</v>
      </c>
      <c r="R247" s="225" t="s">
        <v>14</v>
      </c>
      <c r="S247" s="230">
        <v>5407412</v>
      </c>
      <c r="T247" s="226">
        <v>125142.61</v>
      </c>
      <c r="U247" s="228"/>
      <c r="V247" s="226">
        <v>5407412</v>
      </c>
      <c r="W247" s="226">
        <v>125142.60587826892</v>
      </c>
      <c r="X247" s="228">
        <v>864200</v>
      </c>
      <c r="Y247" s="228">
        <f>Юрист[[#This Row],[Итоговая цена м2 с отделкой]]-Юрист[[#This Row],[Итоговая цена м2 без отделки]]</f>
        <v>20000</v>
      </c>
      <c r="Z247" s="226">
        <v>4543212</v>
      </c>
      <c r="AA247" s="223">
        <v>105142.60587826892</v>
      </c>
      <c r="AB247" s="225" t="s">
        <v>781</v>
      </c>
      <c r="AC247" s="226">
        <v>88888</v>
      </c>
      <c r="AD247" s="225" t="s">
        <v>862</v>
      </c>
      <c r="AE247" s="225" t="s">
        <v>863</v>
      </c>
      <c r="AF247" s="226">
        <v>1628000</v>
      </c>
      <c r="AG247" s="226">
        <v>3779412</v>
      </c>
      <c r="AH247" s="226"/>
      <c r="AI247" s="226"/>
      <c r="AJ247" s="226"/>
      <c r="AK247" s="223" t="s">
        <v>873</v>
      </c>
      <c r="AL247" s="227">
        <v>1.4E-2</v>
      </c>
      <c r="AM247" s="229">
        <v>6.6000000000000003E-2</v>
      </c>
      <c r="AO247" s="223">
        <v>0</v>
      </c>
      <c r="AP247" s="225" t="s">
        <v>1270</v>
      </c>
      <c r="AQ247" s="223">
        <v>79270060306</v>
      </c>
      <c r="AR247" s="225" t="s">
        <v>866</v>
      </c>
      <c r="AS247" s="224">
        <v>26594</v>
      </c>
      <c r="AT247" s="225" t="s">
        <v>867</v>
      </c>
      <c r="AU247" s="225" t="s">
        <v>899</v>
      </c>
      <c r="AV247" s="225" t="s">
        <v>869</v>
      </c>
      <c r="AW247" s="225" t="s">
        <v>172</v>
      </c>
      <c r="AX247" t="s">
        <v>2168</v>
      </c>
      <c r="AY247" s="224"/>
      <c r="BL247" s="223"/>
    </row>
    <row r="248" spans="1:64" x14ac:dyDescent="0.25">
      <c r="A248" s="223">
        <v>2304</v>
      </c>
      <c r="B248" s="223">
        <v>4</v>
      </c>
      <c r="C248" s="224">
        <v>45393</v>
      </c>
      <c r="D248" s="225" t="s">
        <v>1271</v>
      </c>
      <c r="E248" s="225" t="s">
        <v>859</v>
      </c>
      <c r="F248" s="225" t="s">
        <v>860</v>
      </c>
      <c r="G248" s="223" t="s">
        <v>861</v>
      </c>
      <c r="H248" s="224"/>
      <c r="I248" s="224">
        <v>45397</v>
      </c>
      <c r="J248" s="225" t="s">
        <v>2000</v>
      </c>
      <c r="K248" s="225" t="s">
        <v>98</v>
      </c>
      <c r="L248" s="225" t="s">
        <v>2</v>
      </c>
      <c r="M248" s="223">
        <v>6</v>
      </c>
      <c r="N248" s="223">
        <v>5</v>
      </c>
      <c r="O248" s="223">
        <v>426</v>
      </c>
      <c r="P248" s="223">
        <v>1</v>
      </c>
      <c r="Q248" s="223">
        <v>38.299999999999997</v>
      </c>
      <c r="R248" s="225" t="s">
        <v>780</v>
      </c>
      <c r="S248" s="230">
        <v>4382612</v>
      </c>
      <c r="T248" s="226">
        <v>114428.51</v>
      </c>
      <c r="U248" s="228"/>
      <c r="V248" s="226">
        <v>4382612</v>
      </c>
      <c r="W248" s="226">
        <v>114428.51174934726</v>
      </c>
      <c r="X248" s="228">
        <v>268100</v>
      </c>
      <c r="Y248" s="228">
        <f>Юрист[[#This Row],[Итоговая цена м2 с отделкой]]-Юрист[[#This Row],[Итоговая цена м2 без отделки]]</f>
        <v>7000</v>
      </c>
      <c r="Z248" s="226">
        <v>4114512</v>
      </c>
      <c r="AA248" s="223">
        <v>107428.51174934726</v>
      </c>
      <c r="AB248" s="225" t="s">
        <v>781</v>
      </c>
      <c r="AC248" s="226">
        <v>88888</v>
      </c>
      <c r="AD248" s="225" t="s">
        <v>862</v>
      </c>
      <c r="AE248" s="225" t="s">
        <v>863</v>
      </c>
      <c r="AF248" s="226">
        <v>1320000</v>
      </c>
      <c r="AG248" s="226">
        <v>3062612</v>
      </c>
      <c r="AH248" s="226"/>
      <c r="AI248" s="226"/>
      <c r="AJ248" s="226"/>
      <c r="AK248" s="223" t="s">
        <v>873</v>
      </c>
      <c r="AL248" s="227">
        <v>1.4E-2</v>
      </c>
      <c r="AM248" s="229">
        <v>6.6000000000000003E-2</v>
      </c>
      <c r="AO248" s="223">
        <v>0</v>
      </c>
      <c r="AP248" s="225" t="s">
        <v>1272</v>
      </c>
      <c r="AQ248" s="223">
        <v>79276436802</v>
      </c>
      <c r="AR248" s="225" t="s">
        <v>882</v>
      </c>
      <c r="AS248" s="224">
        <v>32322</v>
      </c>
      <c r="AT248" s="225" t="s">
        <v>907</v>
      </c>
      <c r="AU248" s="225" t="s">
        <v>868</v>
      </c>
      <c r="AV248" s="225" t="s">
        <v>869</v>
      </c>
      <c r="AW248" s="225" t="s">
        <v>172</v>
      </c>
      <c r="AX248" t="s">
        <v>2172</v>
      </c>
      <c r="AY248" s="224"/>
      <c r="BL248" s="223"/>
    </row>
    <row r="249" spans="1:64" x14ac:dyDescent="0.25">
      <c r="A249" s="223">
        <v>2306</v>
      </c>
      <c r="B249" s="223">
        <v>6</v>
      </c>
      <c r="C249" s="224">
        <v>45393</v>
      </c>
      <c r="D249" s="225" t="s">
        <v>1273</v>
      </c>
      <c r="E249" s="225" t="s">
        <v>859</v>
      </c>
      <c r="F249" s="225" t="s">
        <v>860</v>
      </c>
      <c r="G249" s="223" t="s">
        <v>861</v>
      </c>
      <c r="H249" s="224"/>
      <c r="I249" s="224">
        <v>45397</v>
      </c>
      <c r="J249" s="225" t="s">
        <v>1913</v>
      </c>
      <c r="K249" s="225" t="s">
        <v>98</v>
      </c>
      <c r="L249" s="225" t="s">
        <v>3</v>
      </c>
      <c r="M249" s="223">
        <v>3</v>
      </c>
      <c r="N249" s="223">
        <v>10</v>
      </c>
      <c r="O249" s="223">
        <v>287</v>
      </c>
      <c r="P249" s="223">
        <v>2</v>
      </c>
      <c r="Q249" s="223">
        <v>56.58</v>
      </c>
      <c r="R249" s="225" t="s">
        <v>14</v>
      </c>
      <c r="S249" s="230">
        <v>6515800</v>
      </c>
      <c r="T249" s="226">
        <v>115160.83</v>
      </c>
      <c r="U249" s="228"/>
      <c r="V249" s="226">
        <v>6515800</v>
      </c>
      <c r="W249" s="226">
        <v>115160.83421703783</v>
      </c>
      <c r="X249" s="228">
        <v>1131600</v>
      </c>
      <c r="Y249" s="228">
        <f>Юрист[[#This Row],[Итоговая цена м2 с отделкой]]-Юрист[[#This Row],[Итоговая цена м2 без отделки]]</f>
        <v>20000</v>
      </c>
      <c r="Z249" s="226">
        <v>5384200</v>
      </c>
      <c r="AA249" s="223">
        <v>95160.834217037831</v>
      </c>
      <c r="AB249" s="225" t="s">
        <v>791</v>
      </c>
      <c r="AC249" s="226">
        <v>90000</v>
      </c>
      <c r="AD249" s="225" t="s">
        <v>862</v>
      </c>
      <c r="AE249" s="225" t="s">
        <v>863</v>
      </c>
      <c r="AF249" s="226">
        <v>679619.22</v>
      </c>
      <c r="AG249" s="226">
        <v>5205800</v>
      </c>
      <c r="AH249" s="226">
        <v>630380.78</v>
      </c>
      <c r="AI249" s="226"/>
      <c r="AJ249" s="226"/>
      <c r="AK249" s="223" t="s">
        <v>864</v>
      </c>
      <c r="AL249" s="227">
        <v>1.4E-2</v>
      </c>
      <c r="AM249" s="229">
        <v>4.5999999999999999E-2</v>
      </c>
      <c r="AO249" s="223">
        <v>0</v>
      </c>
      <c r="AP249" s="225" t="s">
        <v>1274</v>
      </c>
      <c r="AQ249" s="223">
        <v>79170566266</v>
      </c>
      <c r="AR249" s="225" t="s">
        <v>882</v>
      </c>
      <c r="AS249" s="224">
        <v>35047</v>
      </c>
      <c r="AT249" s="225" t="s">
        <v>878</v>
      </c>
      <c r="AU249" s="225" t="s">
        <v>868</v>
      </c>
      <c r="AV249" s="225" t="s">
        <v>869</v>
      </c>
      <c r="AW249" s="225" t="s">
        <v>172</v>
      </c>
      <c r="AX249" t="s">
        <v>2172</v>
      </c>
      <c r="AY249" s="224"/>
      <c r="BL249" s="223"/>
    </row>
    <row r="250" spans="1:64" x14ac:dyDescent="0.25">
      <c r="A250" s="223">
        <v>2300</v>
      </c>
      <c r="B250" s="223">
        <v>32</v>
      </c>
      <c r="C250" s="224">
        <v>45380</v>
      </c>
      <c r="D250" s="225" t="s">
        <v>1267</v>
      </c>
      <c r="E250" s="225" t="s">
        <v>859</v>
      </c>
      <c r="F250" s="225" t="s">
        <v>860</v>
      </c>
      <c r="G250" s="223" t="s">
        <v>926</v>
      </c>
      <c r="H250" s="224"/>
      <c r="I250" s="224">
        <v>45386</v>
      </c>
      <c r="J250" s="225" t="s">
        <v>1957</v>
      </c>
      <c r="K250" s="225" t="s">
        <v>98</v>
      </c>
      <c r="L250" s="225" t="s">
        <v>3</v>
      </c>
      <c r="M250" s="223">
        <v>6</v>
      </c>
      <c r="N250" s="223">
        <v>19</v>
      </c>
      <c r="O250" s="223">
        <v>353</v>
      </c>
      <c r="P250" s="223">
        <v>3</v>
      </c>
      <c r="Q250" s="223">
        <v>80.97</v>
      </c>
      <c r="R250" s="225" t="s">
        <v>12</v>
      </c>
      <c r="S250" s="230">
        <v>6546248.7199999997</v>
      </c>
      <c r="T250" s="226">
        <v>80847.83</v>
      </c>
      <c r="U250" s="228">
        <v>45000</v>
      </c>
      <c r="V250" s="226">
        <v>6591248.7199999997</v>
      </c>
      <c r="W250" s="226">
        <v>81403.590465604546</v>
      </c>
      <c r="X250" s="228"/>
      <c r="Y250" s="228">
        <f>Юрист[[#This Row],[Итоговая цена м2 с отделкой]]-Юрист[[#This Row],[Итоговая цена м2 без отделки]]</f>
        <v>0</v>
      </c>
      <c r="Z250" s="226">
        <v>6591248.7199999997</v>
      </c>
      <c r="AA250" s="223">
        <v>81403.590465604546</v>
      </c>
      <c r="AB250" s="225" t="s">
        <v>162</v>
      </c>
      <c r="AC250" s="226">
        <v>346907.82750000001</v>
      </c>
      <c r="AD250" s="225" t="s">
        <v>936</v>
      </c>
      <c r="AE250" s="225" t="s">
        <v>902</v>
      </c>
      <c r="AF250" s="226">
        <v>5220078.1500000004</v>
      </c>
      <c r="AG250" s="226"/>
      <c r="AH250" s="226"/>
      <c r="AI250" s="226"/>
      <c r="AJ250" s="226">
        <v>1326170.57</v>
      </c>
      <c r="AL250" s="227"/>
      <c r="AM250" s="229"/>
      <c r="AO250" s="223">
        <v>0</v>
      </c>
      <c r="AP250" s="225" t="s">
        <v>1268</v>
      </c>
      <c r="AQ250" s="223">
        <v>79995827465</v>
      </c>
      <c r="AR250" s="225" t="s">
        <v>866</v>
      </c>
      <c r="AS250" s="224">
        <v>28601</v>
      </c>
      <c r="AT250" s="225" t="s">
        <v>878</v>
      </c>
      <c r="AU250" s="225" t="s">
        <v>899</v>
      </c>
      <c r="AV250" s="225" t="s">
        <v>902</v>
      </c>
      <c r="AW250" s="225" t="s">
        <v>172</v>
      </c>
      <c r="AX250" t="s">
        <v>2172</v>
      </c>
      <c r="AY250" s="224"/>
      <c r="BL250" s="223"/>
    </row>
    <row r="251" spans="1:64" s="244" customFormat="1" x14ac:dyDescent="0.25">
      <c r="A251" s="223">
        <v>2295</v>
      </c>
      <c r="B251" s="223">
        <v>27</v>
      </c>
      <c r="C251" s="224">
        <v>45377</v>
      </c>
      <c r="D251" s="225" t="s">
        <v>1260</v>
      </c>
      <c r="E251" s="225" t="s">
        <v>859</v>
      </c>
      <c r="F251" s="225" t="s">
        <v>860</v>
      </c>
      <c r="G251" s="223" t="s">
        <v>861</v>
      </c>
      <c r="H251" s="224"/>
      <c r="I251" s="224">
        <v>45380</v>
      </c>
      <c r="J251" s="225" t="s">
        <v>1750</v>
      </c>
      <c r="K251" s="225" t="s">
        <v>98</v>
      </c>
      <c r="L251" s="225" t="s">
        <v>5</v>
      </c>
      <c r="M251" s="223">
        <v>4</v>
      </c>
      <c r="N251" s="223">
        <v>7</v>
      </c>
      <c r="O251" s="223">
        <v>45</v>
      </c>
      <c r="P251" s="223">
        <v>2</v>
      </c>
      <c r="Q251" s="223">
        <v>59.09</v>
      </c>
      <c r="R251" s="225" t="s">
        <v>780</v>
      </c>
      <c r="S251" s="230">
        <v>5798585</v>
      </c>
      <c r="T251" s="226">
        <v>98131.41</v>
      </c>
      <c r="U251" s="228"/>
      <c r="V251" s="226">
        <v>5798585</v>
      </c>
      <c r="W251" s="226">
        <v>98131.409713995599</v>
      </c>
      <c r="X251" s="228">
        <v>413630</v>
      </c>
      <c r="Y251" s="228">
        <f>Юрист[[#This Row],[Итоговая цена м2 с отделкой]]-Юрист[[#This Row],[Итоговая цена м2 без отделки]]</f>
        <v>7000</v>
      </c>
      <c r="Z251" s="226">
        <v>5384955</v>
      </c>
      <c r="AA251" s="223">
        <v>91131.409713995599</v>
      </c>
      <c r="AB251" s="225" t="s">
        <v>1261</v>
      </c>
      <c r="AC251" s="226">
        <v>166545</v>
      </c>
      <c r="AD251" s="225" t="s">
        <v>936</v>
      </c>
      <c r="AE251" s="225" t="s">
        <v>902</v>
      </c>
      <c r="AF251" s="226"/>
      <c r="AG251" s="226"/>
      <c r="AH251" s="226"/>
      <c r="AI251" s="226"/>
      <c r="AJ251" s="226"/>
      <c r="AK251" s="223"/>
      <c r="AL251" s="227"/>
      <c r="AM251" s="229"/>
      <c r="AN251" s="223"/>
      <c r="AO251" s="223">
        <v>0</v>
      </c>
      <c r="AP251" s="225" t="s">
        <v>1262</v>
      </c>
      <c r="AQ251" s="223">
        <v>79521094044</v>
      </c>
      <c r="AR251" s="225" t="s">
        <v>882</v>
      </c>
      <c r="AS251" s="224">
        <v>34931</v>
      </c>
      <c r="AT251" s="225" t="s">
        <v>878</v>
      </c>
      <c r="AU251" s="225" t="s">
        <v>868</v>
      </c>
      <c r="AV251" s="225" t="s">
        <v>902</v>
      </c>
      <c r="AW251" s="225" t="s">
        <v>172</v>
      </c>
      <c r="AX251" t="s">
        <v>2172</v>
      </c>
      <c r="AY251" s="224"/>
      <c r="AZ251" s="223"/>
    </row>
    <row r="252" spans="1:64" x14ac:dyDescent="0.25">
      <c r="A252" s="223">
        <v>2294</v>
      </c>
      <c r="B252" s="223">
        <v>26</v>
      </c>
      <c r="C252" s="224">
        <v>45377</v>
      </c>
      <c r="D252" s="225" t="s">
        <v>1258</v>
      </c>
      <c r="E252" s="225" t="s">
        <v>859</v>
      </c>
      <c r="F252" s="225" t="s">
        <v>860</v>
      </c>
      <c r="G252" s="223" t="s">
        <v>926</v>
      </c>
      <c r="H252" s="224"/>
      <c r="I252" s="224">
        <v>45380</v>
      </c>
      <c r="J252" s="225" t="s">
        <v>1862</v>
      </c>
      <c r="K252" s="225" t="s">
        <v>98</v>
      </c>
      <c r="L252" s="225" t="s">
        <v>4</v>
      </c>
      <c r="M252" s="223">
        <v>6</v>
      </c>
      <c r="N252" s="223">
        <v>15</v>
      </c>
      <c r="O252" s="223">
        <v>214</v>
      </c>
      <c r="P252" s="223">
        <v>3</v>
      </c>
      <c r="Q252" s="223">
        <v>84.99</v>
      </c>
      <c r="R252" s="225" t="s">
        <v>14</v>
      </c>
      <c r="S252" s="230">
        <v>8712300</v>
      </c>
      <c r="T252" s="226">
        <v>102509.71</v>
      </c>
      <c r="U252" s="228">
        <v>15000</v>
      </c>
      <c r="V252" s="226">
        <v>8727300</v>
      </c>
      <c r="W252" s="226">
        <v>102686.19837627957</v>
      </c>
      <c r="X252" s="228">
        <v>1699800</v>
      </c>
      <c r="Y252" s="228">
        <f>Юрист[[#This Row],[Итоговая цена м2 с отделкой]]-Юрист[[#This Row],[Итоговая цена м2 без отделки]]</f>
        <v>20000</v>
      </c>
      <c r="Z252" s="226">
        <v>7027500</v>
      </c>
      <c r="AA252" s="223">
        <v>82686.198376279572</v>
      </c>
      <c r="AB252" s="225"/>
      <c r="AD252" s="225" t="s">
        <v>862</v>
      </c>
      <c r="AE252" s="225" t="s">
        <v>1018</v>
      </c>
      <c r="AF252" s="226">
        <v>2500000</v>
      </c>
      <c r="AG252" s="226">
        <v>6212300</v>
      </c>
      <c r="AH252" s="226"/>
      <c r="AI252" s="226"/>
      <c r="AJ252" s="226"/>
      <c r="AK252" s="223" t="s">
        <v>895</v>
      </c>
      <c r="AL252" s="227"/>
      <c r="AM252" s="229">
        <v>0.05</v>
      </c>
      <c r="AO252" s="223">
        <v>0</v>
      </c>
      <c r="AP252" s="225" t="s">
        <v>1259</v>
      </c>
      <c r="AQ252" s="223">
        <v>79874341505</v>
      </c>
      <c r="AR252" s="225" t="s">
        <v>882</v>
      </c>
      <c r="AS252" s="224">
        <v>35762</v>
      </c>
      <c r="AT252" s="225" t="s">
        <v>1218</v>
      </c>
      <c r="AU252" s="225" t="s">
        <v>899</v>
      </c>
      <c r="AV252" s="225" t="s">
        <v>879</v>
      </c>
      <c r="AW252" s="225" t="s">
        <v>172</v>
      </c>
      <c r="AX252" t="s">
        <v>2172</v>
      </c>
      <c r="AY252" s="224"/>
      <c r="BL252" s="223"/>
    </row>
    <row r="253" spans="1:64" x14ac:dyDescent="0.25">
      <c r="A253" s="223">
        <v>2297</v>
      </c>
      <c r="B253" s="223">
        <v>29</v>
      </c>
      <c r="C253" s="224">
        <v>45377</v>
      </c>
      <c r="D253" s="225" t="s">
        <v>1265</v>
      </c>
      <c r="E253" s="225" t="s">
        <v>859</v>
      </c>
      <c r="F253" s="225" t="s">
        <v>860</v>
      </c>
      <c r="G253" s="223" t="s">
        <v>861</v>
      </c>
      <c r="H253" s="224"/>
      <c r="I253" s="224">
        <v>45380</v>
      </c>
      <c r="J253" s="225" t="s">
        <v>1766</v>
      </c>
      <c r="K253" s="225" t="s">
        <v>98</v>
      </c>
      <c r="L253" s="225" t="s">
        <v>5</v>
      </c>
      <c r="M253" s="223">
        <v>1</v>
      </c>
      <c r="N253" s="223">
        <v>11</v>
      </c>
      <c r="O253" s="223">
        <v>70</v>
      </c>
      <c r="P253" s="223">
        <v>1</v>
      </c>
      <c r="Q253" s="223">
        <v>34.39</v>
      </c>
      <c r="R253" s="225" t="s">
        <v>14</v>
      </c>
      <c r="S253" s="230">
        <v>4622312</v>
      </c>
      <c r="T253" s="226">
        <v>134408.60999999999</v>
      </c>
      <c r="U253" s="228"/>
      <c r="V253" s="226">
        <v>4622312</v>
      </c>
      <c r="W253" s="226">
        <v>134408.60715324222</v>
      </c>
      <c r="X253" s="228">
        <v>687800</v>
      </c>
      <c r="Y253" s="228">
        <f>Юрист[[#This Row],[Итоговая цена м2 с отделкой]]-Юрист[[#This Row],[Итоговая цена м2 без отделки]]</f>
        <v>20000</v>
      </c>
      <c r="Z253" s="226">
        <v>3934512</v>
      </c>
      <c r="AA253" s="223">
        <v>114408.60715324222</v>
      </c>
      <c r="AB253" s="225" t="s">
        <v>781</v>
      </c>
      <c r="AC253" s="226">
        <v>88888</v>
      </c>
      <c r="AD253" s="225" t="s">
        <v>862</v>
      </c>
      <c r="AE253" s="225" t="s">
        <v>863</v>
      </c>
      <c r="AF253" s="226">
        <v>1000000</v>
      </c>
      <c r="AG253" s="226">
        <v>3622312</v>
      </c>
      <c r="AH253" s="226"/>
      <c r="AI253" s="226"/>
      <c r="AJ253" s="226"/>
      <c r="AK253" s="223" t="s">
        <v>864</v>
      </c>
      <c r="AL253" s="227">
        <v>1.4E-2</v>
      </c>
      <c r="AM253" s="229">
        <v>4.5999999999999999E-2</v>
      </c>
      <c r="AN253" s="223">
        <v>4.3999999999999997E-2</v>
      </c>
      <c r="AO253" s="223">
        <v>159382</v>
      </c>
      <c r="AP253" s="225" t="s">
        <v>1266</v>
      </c>
      <c r="AQ253" s="223">
        <v>79279071128</v>
      </c>
      <c r="AR253" s="225" t="s">
        <v>866</v>
      </c>
      <c r="AS253" s="224">
        <v>29239</v>
      </c>
      <c r="AT253" s="225" t="s">
        <v>888</v>
      </c>
      <c r="AU253" s="225" t="s">
        <v>997</v>
      </c>
      <c r="AV253" s="225" t="s">
        <v>879</v>
      </c>
      <c r="AW253" s="225" t="s">
        <v>172</v>
      </c>
      <c r="AX253" t="s">
        <v>2172</v>
      </c>
      <c r="AY253" s="224"/>
      <c r="BL253" s="223"/>
    </row>
    <row r="254" spans="1:64" x14ac:dyDescent="0.25">
      <c r="A254" s="223">
        <v>2296</v>
      </c>
      <c r="B254" s="223">
        <v>28</v>
      </c>
      <c r="C254" s="224">
        <v>45377</v>
      </c>
      <c r="D254" s="225" t="s">
        <v>1263</v>
      </c>
      <c r="E254" s="225" t="s">
        <v>859</v>
      </c>
      <c r="F254" s="225" t="s">
        <v>860</v>
      </c>
      <c r="G254" s="223" t="s">
        <v>861</v>
      </c>
      <c r="H254" s="224"/>
      <c r="I254" s="224">
        <v>45380</v>
      </c>
      <c r="J254" s="225" t="s">
        <v>2091</v>
      </c>
      <c r="K254" s="225" t="s">
        <v>98</v>
      </c>
      <c r="L254" s="225" t="s">
        <v>2</v>
      </c>
      <c r="M254" s="223">
        <v>8</v>
      </c>
      <c r="N254" s="223">
        <v>20</v>
      </c>
      <c r="O254" s="223">
        <v>548</v>
      </c>
      <c r="P254" s="223">
        <v>1</v>
      </c>
      <c r="Q254" s="223">
        <v>39.69</v>
      </c>
      <c r="R254" s="225" t="s">
        <v>12</v>
      </c>
      <c r="S254" s="230">
        <v>4689212</v>
      </c>
      <c r="T254" s="226">
        <v>118145.93</v>
      </c>
      <c r="U254" s="228"/>
      <c r="V254" s="226">
        <v>4689212</v>
      </c>
      <c r="W254" s="226">
        <v>118145.93096497859</v>
      </c>
      <c r="X254" s="228"/>
      <c r="Y254" s="228">
        <f>Юрист[[#This Row],[Итоговая цена м2 с отделкой]]-Юрист[[#This Row],[Итоговая цена м2 без отделки]]</f>
        <v>0</v>
      </c>
      <c r="Z254" s="226">
        <v>4689212</v>
      </c>
      <c r="AA254" s="223">
        <v>118145.93096497859</v>
      </c>
      <c r="AB254" s="225" t="s">
        <v>781</v>
      </c>
      <c r="AC254" s="226">
        <v>88888</v>
      </c>
      <c r="AD254" s="225" t="s">
        <v>862</v>
      </c>
      <c r="AE254" s="225" t="s">
        <v>863</v>
      </c>
      <c r="AF254" s="226">
        <v>1412000</v>
      </c>
      <c r="AG254" s="226">
        <v>3277212</v>
      </c>
      <c r="AH254" s="226"/>
      <c r="AI254" s="226"/>
      <c r="AJ254" s="226"/>
      <c r="AK254" s="223" t="s">
        <v>873</v>
      </c>
      <c r="AL254" s="227">
        <v>1.4E-2</v>
      </c>
      <c r="AM254" s="229">
        <v>6.6000000000000003E-2</v>
      </c>
      <c r="AN254" s="223">
        <v>3.9E-2</v>
      </c>
      <c r="AO254" s="223">
        <v>127811</v>
      </c>
      <c r="AP254" s="225" t="s">
        <v>1264</v>
      </c>
      <c r="AQ254" s="223">
        <v>79276080036</v>
      </c>
      <c r="AR254" s="225" t="s">
        <v>866</v>
      </c>
      <c r="AS254" s="224">
        <v>30944</v>
      </c>
      <c r="AT254" s="225" t="s">
        <v>867</v>
      </c>
      <c r="AU254" s="225" t="s">
        <v>868</v>
      </c>
      <c r="AV254" s="225" t="s">
        <v>869</v>
      </c>
      <c r="AW254" s="225" t="s">
        <v>172</v>
      </c>
      <c r="AX254" t="s">
        <v>2168</v>
      </c>
      <c r="AY254" s="224"/>
      <c r="BL254" s="223"/>
    </row>
    <row r="255" spans="1:64" x14ac:dyDescent="0.25">
      <c r="A255" s="223">
        <v>2291</v>
      </c>
      <c r="B255" s="223">
        <v>23</v>
      </c>
      <c r="C255" s="224">
        <v>45373</v>
      </c>
      <c r="D255" s="225" t="s">
        <v>1256</v>
      </c>
      <c r="E255" s="225" t="s">
        <v>859</v>
      </c>
      <c r="F255" s="225" t="s">
        <v>860</v>
      </c>
      <c r="G255" s="223" t="s">
        <v>861</v>
      </c>
      <c r="H255" s="224"/>
      <c r="I255" s="224">
        <v>45378</v>
      </c>
      <c r="J255" s="225" t="s">
        <v>1959</v>
      </c>
      <c r="K255" s="225" t="s">
        <v>98</v>
      </c>
      <c r="L255" s="225" t="s">
        <v>3</v>
      </c>
      <c r="M255" s="223">
        <v>5</v>
      </c>
      <c r="N255" s="223">
        <v>21</v>
      </c>
      <c r="O255" s="223">
        <v>366</v>
      </c>
      <c r="P255" s="223">
        <v>1</v>
      </c>
      <c r="Q255" s="223">
        <v>37.81</v>
      </c>
      <c r="R255" s="225" t="s">
        <v>12</v>
      </c>
      <c r="S255" s="230">
        <v>4440612</v>
      </c>
      <c r="T255" s="226">
        <v>117445.44</v>
      </c>
      <c r="U255" s="228"/>
      <c r="V255" s="226">
        <v>4440612</v>
      </c>
      <c r="W255" s="226">
        <v>117445.43771489023</v>
      </c>
      <c r="X255" s="228"/>
      <c r="Y255" s="228">
        <f>Юрист[[#This Row],[Итоговая цена м2 с отделкой]]-Юрист[[#This Row],[Итоговая цена м2 без отделки]]</f>
        <v>0</v>
      </c>
      <c r="Z255" s="226">
        <v>4440612</v>
      </c>
      <c r="AA255" s="223">
        <v>117445.43771489023</v>
      </c>
      <c r="AB255" s="225" t="s">
        <v>781</v>
      </c>
      <c r="AC255" s="226">
        <v>88888</v>
      </c>
      <c r="AD255" s="225" t="s">
        <v>862</v>
      </c>
      <c r="AE255" s="225" t="s">
        <v>863</v>
      </c>
      <c r="AF255" s="226">
        <v>1000000</v>
      </c>
      <c r="AG255" s="226">
        <v>3440612</v>
      </c>
      <c r="AH255" s="226"/>
      <c r="AI255" s="226"/>
      <c r="AJ255" s="226"/>
      <c r="AK255" s="223" t="s">
        <v>864</v>
      </c>
      <c r="AL255" s="227">
        <v>1.4E-2</v>
      </c>
      <c r="AM255" s="229">
        <v>4.5999999999999999E-2</v>
      </c>
      <c r="AN255" s="223">
        <v>4.3999999999999997E-2</v>
      </c>
      <c r="AO255" s="223">
        <v>151387</v>
      </c>
      <c r="AP255" s="225" t="s">
        <v>1257</v>
      </c>
      <c r="AQ255" s="223">
        <v>79277244284</v>
      </c>
      <c r="AR255" s="225" t="s">
        <v>882</v>
      </c>
      <c r="AS255" s="224">
        <v>32282</v>
      </c>
      <c r="AT255" s="225" t="s">
        <v>1218</v>
      </c>
      <c r="AU255" s="225" t="s">
        <v>997</v>
      </c>
      <c r="AV255" s="225" t="s">
        <v>869</v>
      </c>
      <c r="AW255" s="225" t="s">
        <v>172</v>
      </c>
      <c r="AX255" t="s">
        <v>2172</v>
      </c>
      <c r="AY255" s="224"/>
      <c r="BL255" s="223"/>
    </row>
    <row r="256" spans="1:64" x14ac:dyDescent="0.25">
      <c r="A256" s="223">
        <v>2287</v>
      </c>
      <c r="B256" s="223">
        <v>19</v>
      </c>
      <c r="C256" s="224">
        <v>45372</v>
      </c>
      <c r="D256" s="225" t="s">
        <v>1247</v>
      </c>
      <c r="E256" s="225" t="s">
        <v>859</v>
      </c>
      <c r="F256" s="225" t="s">
        <v>860</v>
      </c>
      <c r="G256" s="223" t="s">
        <v>861</v>
      </c>
      <c r="H256" s="224"/>
      <c r="I256" s="224">
        <v>45378</v>
      </c>
      <c r="J256" s="225" t="s">
        <v>2062</v>
      </c>
      <c r="K256" s="225" t="s">
        <v>98</v>
      </c>
      <c r="L256" s="225" t="s">
        <v>2</v>
      </c>
      <c r="M256" s="223">
        <v>2</v>
      </c>
      <c r="N256" s="223">
        <v>15</v>
      </c>
      <c r="O256" s="223">
        <v>502</v>
      </c>
      <c r="P256" s="223">
        <v>1</v>
      </c>
      <c r="Q256" s="223">
        <v>43.21</v>
      </c>
      <c r="R256" s="225" t="s">
        <v>12</v>
      </c>
      <c r="S256" s="230">
        <v>4521612</v>
      </c>
      <c r="T256" s="226">
        <v>104642.72</v>
      </c>
      <c r="U256" s="228"/>
      <c r="V256" s="226">
        <v>4521612</v>
      </c>
      <c r="W256" s="226">
        <v>104642.72159222401</v>
      </c>
      <c r="X256" s="228"/>
      <c r="Y256" s="228">
        <f>Юрист[[#This Row],[Итоговая цена м2 с отделкой]]-Юрист[[#This Row],[Итоговая цена м2 без отделки]]</f>
        <v>0</v>
      </c>
      <c r="Z256" s="226">
        <v>4521612</v>
      </c>
      <c r="AA256" s="223">
        <v>104642.72159222401</v>
      </c>
      <c r="AB256" s="225" t="s">
        <v>781</v>
      </c>
      <c r="AC256" s="226">
        <v>88888</v>
      </c>
      <c r="AD256" s="225" t="s">
        <v>862</v>
      </c>
      <c r="AE256" s="225" t="s">
        <v>863</v>
      </c>
      <c r="AF256" s="226">
        <v>77000</v>
      </c>
      <c r="AG256" s="226">
        <v>3611587.26</v>
      </c>
      <c r="AH256" s="226">
        <v>833024.74</v>
      </c>
      <c r="AI256" s="226"/>
      <c r="AJ256" s="226"/>
      <c r="AK256" s="223" t="s">
        <v>864</v>
      </c>
      <c r="AL256" s="227">
        <v>1.4E-2</v>
      </c>
      <c r="AM256" s="229">
        <v>4.5999999999999999E-2</v>
      </c>
      <c r="AN256" s="223">
        <v>4.3999999999999997E-2</v>
      </c>
      <c r="AO256" s="223">
        <v>158910</v>
      </c>
      <c r="AP256" s="225" t="s">
        <v>1248</v>
      </c>
      <c r="AQ256" s="223">
        <v>79033340500</v>
      </c>
      <c r="AR256" s="225" t="s">
        <v>866</v>
      </c>
      <c r="AS256" s="224">
        <v>32652</v>
      </c>
      <c r="AT256" s="225" t="s">
        <v>878</v>
      </c>
      <c r="AU256" s="225" t="s">
        <v>899</v>
      </c>
      <c r="AV256" s="225" t="s">
        <v>879</v>
      </c>
      <c r="AW256" s="225" t="s">
        <v>172</v>
      </c>
      <c r="AX256" t="s">
        <v>2172</v>
      </c>
      <c r="AY256" s="224"/>
      <c r="BL256" s="223"/>
    </row>
    <row r="257" spans="1:64" x14ac:dyDescent="0.25">
      <c r="A257" s="223">
        <v>2285</v>
      </c>
      <c r="B257" s="223">
        <v>17</v>
      </c>
      <c r="C257" s="224">
        <v>45372</v>
      </c>
      <c r="D257" s="225" t="s">
        <v>1245</v>
      </c>
      <c r="E257" s="225" t="s">
        <v>859</v>
      </c>
      <c r="F257" s="225" t="s">
        <v>860</v>
      </c>
      <c r="G257" s="223" t="s">
        <v>861</v>
      </c>
      <c r="H257" s="224"/>
      <c r="I257" s="224">
        <v>45378</v>
      </c>
      <c r="J257" s="225" t="s">
        <v>2031</v>
      </c>
      <c r="K257" s="225" t="s">
        <v>98</v>
      </c>
      <c r="L257" s="225" t="s">
        <v>2</v>
      </c>
      <c r="M257" s="223">
        <v>2</v>
      </c>
      <c r="N257" s="223">
        <v>10</v>
      </c>
      <c r="O257" s="223">
        <v>462</v>
      </c>
      <c r="P257" s="223">
        <v>1</v>
      </c>
      <c r="Q257" s="223">
        <v>43.21</v>
      </c>
      <c r="R257" s="225" t="s">
        <v>12</v>
      </c>
      <c r="S257" s="230">
        <v>4461200</v>
      </c>
      <c r="T257" s="226">
        <v>103244.62</v>
      </c>
      <c r="U257" s="228">
        <v>15000</v>
      </c>
      <c r="V257" s="226">
        <v>4476200</v>
      </c>
      <c r="W257" s="226">
        <v>103591.76116639667</v>
      </c>
      <c r="X257" s="228"/>
      <c r="Y257" s="228">
        <f>Юрист[[#This Row],[Итоговая цена м2 с отделкой]]-Юрист[[#This Row],[Итоговая цена м2 без отделки]]</f>
        <v>0</v>
      </c>
      <c r="Z257" s="226">
        <v>4476200</v>
      </c>
      <c r="AA257" s="223">
        <v>103591.76116639667</v>
      </c>
      <c r="AB257" s="225"/>
      <c r="AD257" s="225" t="s">
        <v>862</v>
      </c>
      <c r="AE257" s="225" t="s">
        <v>863</v>
      </c>
      <c r="AF257" s="226">
        <v>1343000</v>
      </c>
      <c r="AG257" s="226">
        <v>3118200</v>
      </c>
      <c r="AH257" s="226"/>
      <c r="AI257" s="226"/>
      <c r="AJ257" s="226"/>
      <c r="AK257" s="223" t="s">
        <v>873</v>
      </c>
      <c r="AL257" s="227">
        <v>1.4E-2</v>
      </c>
      <c r="AM257" s="229">
        <v>6.6000000000000003E-2</v>
      </c>
      <c r="AN257" s="223">
        <v>3.9E-2</v>
      </c>
      <c r="AO257" s="223">
        <v>121610</v>
      </c>
      <c r="AP257" s="225" t="s">
        <v>1246</v>
      </c>
      <c r="AQ257" s="223">
        <v>79371727094</v>
      </c>
      <c r="AR257" s="225" t="s">
        <v>866</v>
      </c>
      <c r="AS257" s="224">
        <v>37110</v>
      </c>
      <c r="AT257" s="225" t="s">
        <v>907</v>
      </c>
      <c r="AU257" s="225" t="s">
        <v>899</v>
      </c>
      <c r="AV257" s="225" t="s">
        <v>879</v>
      </c>
      <c r="AW257" s="225" t="s">
        <v>172</v>
      </c>
      <c r="AX257" t="s">
        <v>2172</v>
      </c>
      <c r="AY257" s="224"/>
      <c r="BL257" s="223"/>
    </row>
    <row r="258" spans="1:64" x14ac:dyDescent="0.25">
      <c r="A258" s="223">
        <v>2288</v>
      </c>
      <c r="B258" s="223">
        <v>20</v>
      </c>
      <c r="C258" s="224">
        <v>45372</v>
      </c>
      <c r="D258" s="225" t="s">
        <v>1249</v>
      </c>
      <c r="E258" s="225" t="s">
        <v>859</v>
      </c>
      <c r="F258" s="225" t="s">
        <v>860</v>
      </c>
      <c r="G258" s="223" t="s">
        <v>861</v>
      </c>
      <c r="H258" s="224"/>
      <c r="I258" s="224">
        <v>45379</v>
      </c>
      <c r="J258" s="225" t="s">
        <v>1934</v>
      </c>
      <c r="K258" s="225" t="s">
        <v>98</v>
      </c>
      <c r="L258" s="225" t="s">
        <v>3</v>
      </c>
      <c r="M258" s="223">
        <v>5</v>
      </c>
      <c r="N258" s="223">
        <v>14</v>
      </c>
      <c r="O258" s="223">
        <v>317</v>
      </c>
      <c r="P258" s="223">
        <v>1</v>
      </c>
      <c r="Q258" s="223">
        <v>37.81</v>
      </c>
      <c r="R258" s="225" t="s">
        <v>12</v>
      </c>
      <c r="S258" s="230">
        <v>4298212</v>
      </c>
      <c r="T258" s="226">
        <v>113679.24</v>
      </c>
      <c r="U258" s="228"/>
      <c r="V258" s="226">
        <v>4298212</v>
      </c>
      <c r="W258" s="226">
        <v>113679.23829674689</v>
      </c>
      <c r="X258" s="228"/>
      <c r="Y258" s="228">
        <f>Юрист[[#This Row],[Итоговая цена м2 с отделкой]]-Юрист[[#This Row],[Итоговая цена м2 без отделки]]</f>
        <v>0</v>
      </c>
      <c r="Z258" s="226">
        <v>4298212</v>
      </c>
      <c r="AA258" s="223">
        <v>113679.23829674689</v>
      </c>
      <c r="AB258" s="225" t="s">
        <v>781</v>
      </c>
      <c r="AC258" s="226">
        <v>88888</v>
      </c>
      <c r="AD258" s="225" t="s">
        <v>862</v>
      </c>
      <c r="AE258" s="225" t="s">
        <v>863</v>
      </c>
      <c r="AF258" s="226">
        <v>1294000</v>
      </c>
      <c r="AG258" s="226">
        <v>3004212</v>
      </c>
      <c r="AH258" s="226"/>
      <c r="AI258" s="226"/>
      <c r="AJ258" s="226"/>
      <c r="AK258" s="223" t="s">
        <v>873</v>
      </c>
      <c r="AL258" s="227"/>
      <c r="AM258" s="229">
        <v>0.04</v>
      </c>
      <c r="AN258" s="223">
        <v>3.9E-2</v>
      </c>
      <c r="AO258" s="223">
        <v>117164</v>
      </c>
      <c r="AP258" s="225" t="s">
        <v>1250</v>
      </c>
      <c r="AQ258" s="223">
        <v>79370717973</v>
      </c>
      <c r="AR258" s="225" t="s">
        <v>882</v>
      </c>
      <c r="AS258" s="224">
        <v>35744</v>
      </c>
      <c r="AT258" s="225" t="s">
        <v>1218</v>
      </c>
      <c r="AU258" s="225" t="s">
        <v>997</v>
      </c>
      <c r="AV258" s="225" t="s">
        <v>879</v>
      </c>
      <c r="AW258" s="225" t="s">
        <v>172</v>
      </c>
      <c r="AX258" t="s">
        <v>2172</v>
      </c>
      <c r="AY258" s="224"/>
      <c r="AZ258" s="223" t="s">
        <v>1251</v>
      </c>
      <c r="BL258" s="223"/>
    </row>
    <row r="259" spans="1:64" x14ac:dyDescent="0.25">
      <c r="A259" s="223">
        <v>2290</v>
      </c>
      <c r="B259" s="223">
        <v>22</v>
      </c>
      <c r="C259" s="224">
        <v>45372</v>
      </c>
      <c r="D259" s="225" t="s">
        <v>1254</v>
      </c>
      <c r="E259" s="225" t="s">
        <v>859</v>
      </c>
      <c r="F259" s="225" t="s">
        <v>860</v>
      </c>
      <c r="G259" s="223" t="s">
        <v>861</v>
      </c>
      <c r="H259" s="224"/>
      <c r="I259" s="224">
        <v>45378</v>
      </c>
      <c r="J259" s="225" t="s">
        <v>1803</v>
      </c>
      <c r="K259" s="225" t="s">
        <v>98</v>
      </c>
      <c r="L259" s="225" t="s">
        <v>4</v>
      </c>
      <c r="M259" s="223">
        <v>4</v>
      </c>
      <c r="N259" s="223">
        <v>3</v>
      </c>
      <c r="O259" s="223">
        <v>128</v>
      </c>
      <c r="P259" s="223">
        <v>2</v>
      </c>
      <c r="Q259" s="223">
        <v>58.31</v>
      </c>
      <c r="R259" s="225" t="s">
        <v>780</v>
      </c>
      <c r="S259" s="230">
        <v>5823882</v>
      </c>
      <c r="T259" s="226">
        <v>99877.93</v>
      </c>
      <c r="U259" s="228"/>
      <c r="V259" s="226">
        <v>5823882</v>
      </c>
      <c r="W259" s="226">
        <v>99877.928314182805</v>
      </c>
      <c r="X259" s="228">
        <v>408170</v>
      </c>
      <c r="Y259" s="228">
        <f>Юрист[[#This Row],[Итоговая цена м2 с отделкой]]-Юрист[[#This Row],[Итоговая цена м2 без отделки]]</f>
        <v>7000</v>
      </c>
      <c r="Z259" s="226">
        <v>5415712</v>
      </c>
      <c r="AA259" s="223">
        <v>92877.928314182805</v>
      </c>
      <c r="AB259" s="225" t="s">
        <v>781</v>
      </c>
      <c r="AC259" s="226">
        <v>88888</v>
      </c>
      <c r="AD259" s="225" t="s">
        <v>862</v>
      </c>
      <c r="AE259" s="225" t="s">
        <v>863</v>
      </c>
      <c r="AF259" s="226">
        <v>1122619.22</v>
      </c>
      <c r="AG259" s="226">
        <v>4070882</v>
      </c>
      <c r="AH259" s="226">
        <v>630380.78</v>
      </c>
      <c r="AI259" s="226"/>
      <c r="AJ259" s="226"/>
      <c r="AK259" s="223" t="s">
        <v>873</v>
      </c>
      <c r="AL259" s="227">
        <v>1.4E-2</v>
      </c>
      <c r="AM259" s="229">
        <v>6.6000000000000003E-2</v>
      </c>
      <c r="AN259" s="223">
        <v>3.9E-2</v>
      </c>
      <c r="AO259" s="223">
        <v>158764</v>
      </c>
      <c r="AP259" s="225" t="s">
        <v>1255</v>
      </c>
      <c r="AQ259" s="223">
        <v>79068586069</v>
      </c>
      <c r="AR259" s="225" t="s">
        <v>866</v>
      </c>
      <c r="AS259" s="224">
        <v>29251</v>
      </c>
      <c r="AT259" s="225" t="s">
        <v>907</v>
      </c>
      <c r="AU259" s="225" t="s">
        <v>997</v>
      </c>
      <c r="AV259" s="225" t="s">
        <v>869</v>
      </c>
      <c r="AW259" s="225" t="s">
        <v>172</v>
      </c>
      <c r="AX259" t="s">
        <v>2172</v>
      </c>
      <c r="AY259" s="224"/>
      <c r="BL259" s="223"/>
    </row>
    <row r="260" spans="1:64" x14ac:dyDescent="0.25">
      <c r="A260" s="223">
        <v>2289</v>
      </c>
      <c r="B260" s="223">
        <v>21</v>
      </c>
      <c r="C260" s="224">
        <v>45372</v>
      </c>
      <c r="D260" s="225" t="s">
        <v>1252</v>
      </c>
      <c r="E260" s="225" t="s">
        <v>859</v>
      </c>
      <c r="F260" s="225" t="s">
        <v>860</v>
      </c>
      <c r="G260" s="223" t="s">
        <v>861</v>
      </c>
      <c r="H260" s="224"/>
      <c r="I260" s="224">
        <v>45378</v>
      </c>
      <c r="J260" s="225" t="s">
        <v>1831</v>
      </c>
      <c r="K260" s="225" t="s">
        <v>98</v>
      </c>
      <c r="L260" s="225" t="s">
        <v>4</v>
      </c>
      <c r="M260" s="223">
        <v>3</v>
      </c>
      <c r="N260" s="223">
        <v>9</v>
      </c>
      <c r="O260" s="223">
        <v>169</v>
      </c>
      <c r="P260" s="223">
        <v>2</v>
      </c>
      <c r="Q260" s="223">
        <v>57.6</v>
      </c>
      <c r="R260" s="225" t="s">
        <v>780</v>
      </c>
      <c r="S260" s="230">
        <v>5450498</v>
      </c>
      <c r="T260" s="226">
        <v>94626.7</v>
      </c>
      <c r="U260" s="228"/>
      <c r="V260" s="226">
        <v>5450498</v>
      </c>
      <c r="W260" s="226">
        <v>94626.701388888891</v>
      </c>
      <c r="X260" s="228">
        <v>403200</v>
      </c>
      <c r="Y260" s="228">
        <f>Юрист[[#This Row],[Итоговая цена м2 с отделкой]]-Юрист[[#This Row],[Итоговая цена м2 без отделки]]</f>
        <v>7000</v>
      </c>
      <c r="Z260" s="226">
        <v>5047298</v>
      </c>
      <c r="AA260" s="223">
        <v>87626.701388888891</v>
      </c>
      <c r="AB260" s="225" t="s">
        <v>162</v>
      </c>
      <c r="AC260" s="226">
        <v>156102</v>
      </c>
      <c r="AD260" s="225" t="s">
        <v>901</v>
      </c>
      <c r="AE260" s="225" t="s">
        <v>902</v>
      </c>
      <c r="AF260" s="226"/>
      <c r="AG260" s="226"/>
      <c r="AH260" s="226"/>
      <c r="AI260" s="226"/>
      <c r="AJ260" s="226"/>
      <c r="AL260" s="227"/>
      <c r="AM260" s="229"/>
      <c r="AO260" s="223">
        <v>0</v>
      </c>
      <c r="AP260" s="225" t="s">
        <v>1253</v>
      </c>
      <c r="AQ260" s="223">
        <v>79874496211</v>
      </c>
      <c r="AR260" s="225" t="s">
        <v>882</v>
      </c>
      <c r="AS260" s="224">
        <v>32602</v>
      </c>
      <c r="AT260" s="225" t="s">
        <v>878</v>
      </c>
      <c r="AU260" s="225" t="s">
        <v>868</v>
      </c>
      <c r="AV260" s="225" t="s">
        <v>902</v>
      </c>
      <c r="AW260" s="225" t="s">
        <v>172</v>
      </c>
      <c r="AX260" t="s">
        <v>2172</v>
      </c>
      <c r="AY260" s="224"/>
      <c r="BL260" s="223"/>
    </row>
    <row r="261" spans="1:64" x14ac:dyDescent="0.25">
      <c r="A261" s="223">
        <v>2281</v>
      </c>
      <c r="B261" s="223">
        <v>13</v>
      </c>
      <c r="C261" s="224">
        <v>45370</v>
      </c>
      <c r="D261" s="225" t="s">
        <v>1241</v>
      </c>
      <c r="E261" s="225" t="s">
        <v>859</v>
      </c>
      <c r="F261" s="225" t="s">
        <v>860</v>
      </c>
      <c r="G261" s="223" t="s">
        <v>861</v>
      </c>
      <c r="H261" s="224"/>
      <c r="I261" s="224">
        <v>45373</v>
      </c>
      <c r="J261" s="225" t="s">
        <v>1911</v>
      </c>
      <c r="K261" s="225" t="s">
        <v>98</v>
      </c>
      <c r="L261" s="225" t="s">
        <v>3</v>
      </c>
      <c r="M261" s="223">
        <v>1</v>
      </c>
      <c r="N261" s="223">
        <v>10</v>
      </c>
      <c r="O261" s="223">
        <v>285</v>
      </c>
      <c r="P261" s="223">
        <v>2</v>
      </c>
      <c r="Q261" s="223">
        <v>73.7</v>
      </c>
      <c r="R261" s="225" t="s">
        <v>12</v>
      </c>
      <c r="S261" s="230">
        <v>6788400</v>
      </c>
      <c r="T261" s="226">
        <v>92108.55</v>
      </c>
      <c r="U261" s="228"/>
      <c r="V261" s="226">
        <v>6788400</v>
      </c>
      <c r="W261" s="226">
        <v>92108.548168249661</v>
      </c>
      <c r="X261" s="228"/>
      <c r="Y261" s="228">
        <f>Юрист[[#This Row],[Итоговая цена м2 с отделкой]]-Юрист[[#This Row],[Итоговая цена м2 без отделки]]</f>
        <v>0</v>
      </c>
      <c r="Z261" s="226">
        <v>6788400</v>
      </c>
      <c r="AA261" s="223">
        <v>92108.548168249661</v>
      </c>
      <c r="AB261" s="225"/>
      <c r="AD261" s="225" t="s">
        <v>862</v>
      </c>
      <c r="AE261" s="225" t="s">
        <v>863</v>
      </c>
      <c r="AF261" s="226">
        <v>734619.22</v>
      </c>
      <c r="AG261" s="226">
        <v>5423400</v>
      </c>
      <c r="AH261" s="226">
        <v>630380.78</v>
      </c>
      <c r="AI261" s="226"/>
      <c r="AJ261" s="226"/>
      <c r="AK261" s="223" t="s">
        <v>864</v>
      </c>
      <c r="AL261" s="227">
        <v>1.4E-2</v>
      </c>
      <c r="AM261" s="229">
        <v>4.5999999999999999E-2</v>
      </c>
      <c r="AN261" s="223">
        <v>4.3999999999999997E-2</v>
      </c>
      <c r="AO261" s="223">
        <v>238630</v>
      </c>
      <c r="AP261" s="225" t="s">
        <v>1242</v>
      </c>
      <c r="AQ261" s="223">
        <v>79869529641</v>
      </c>
      <c r="AR261" s="225" t="s">
        <v>866</v>
      </c>
      <c r="AS261" s="224">
        <v>33382</v>
      </c>
      <c r="AT261" s="225" t="s">
        <v>907</v>
      </c>
      <c r="AU261" s="225" t="s">
        <v>997</v>
      </c>
      <c r="AV261" s="225" t="s">
        <v>869</v>
      </c>
      <c r="AW261" s="225" t="s">
        <v>172</v>
      </c>
      <c r="AX261" t="s">
        <v>2172</v>
      </c>
      <c r="AY261" s="224"/>
      <c r="BL261" s="223"/>
    </row>
    <row r="262" spans="1:64" x14ac:dyDescent="0.25">
      <c r="A262" s="223">
        <v>2282</v>
      </c>
      <c r="B262" s="223">
        <v>14</v>
      </c>
      <c r="C262" s="224">
        <v>45370</v>
      </c>
      <c r="D262" s="225" t="s">
        <v>1243</v>
      </c>
      <c r="E262" s="225" t="s">
        <v>859</v>
      </c>
      <c r="F262" s="225" t="s">
        <v>860</v>
      </c>
      <c r="G262" s="223" t="s">
        <v>926</v>
      </c>
      <c r="H262" s="224"/>
      <c r="I262" s="224">
        <v>45373</v>
      </c>
      <c r="J262" s="225" t="s">
        <v>2044</v>
      </c>
      <c r="K262" s="225" t="s">
        <v>98</v>
      </c>
      <c r="L262" s="225" t="s">
        <v>2</v>
      </c>
      <c r="M262" s="223">
        <v>2</v>
      </c>
      <c r="N262" s="223">
        <v>12</v>
      </c>
      <c r="O262" s="223">
        <v>478</v>
      </c>
      <c r="P262" s="223">
        <v>1</v>
      </c>
      <c r="Q262" s="223">
        <v>43.21</v>
      </c>
      <c r="R262" s="225" t="s">
        <v>12</v>
      </c>
      <c r="S262" s="230">
        <v>4521612</v>
      </c>
      <c r="T262" s="226">
        <v>104642.72</v>
      </c>
      <c r="U262" s="228"/>
      <c r="V262" s="226">
        <v>4521612</v>
      </c>
      <c r="W262" s="226">
        <v>104642.72159222401</v>
      </c>
      <c r="X262" s="228"/>
      <c r="Y262" s="228">
        <f>Юрист[[#This Row],[Итоговая цена м2 с отделкой]]-Юрист[[#This Row],[Итоговая цена м2 без отделки]]</f>
        <v>0</v>
      </c>
      <c r="Z262" s="226">
        <v>4521612</v>
      </c>
      <c r="AA262" s="223">
        <v>104642.72159222401</v>
      </c>
      <c r="AB262" s="225" t="s">
        <v>781</v>
      </c>
      <c r="AC262" s="226">
        <v>88888</v>
      </c>
      <c r="AD262" s="225" t="s">
        <v>862</v>
      </c>
      <c r="AE262" s="225" t="s">
        <v>1018</v>
      </c>
      <c r="AF262" s="226">
        <v>910000</v>
      </c>
      <c r="AG262" s="226">
        <v>3611612</v>
      </c>
      <c r="AH262" s="226"/>
      <c r="AI262" s="226"/>
      <c r="AJ262" s="226"/>
      <c r="AK262" s="223" t="s">
        <v>864</v>
      </c>
      <c r="AL262" s="227"/>
      <c r="AM262" s="229">
        <v>0.06</v>
      </c>
      <c r="AO262" s="223">
        <v>0</v>
      </c>
      <c r="AP262" s="225" t="s">
        <v>1244</v>
      </c>
      <c r="AQ262" s="223">
        <v>79033340500</v>
      </c>
      <c r="AR262" s="225" t="s">
        <v>882</v>
      </c>
      <c r="AS262" s="224">
        <v>32226</v>
      </c>
      <c r="AT262" s="225" t="s">
        <v>878</v>
      </c>
      <c r="AU262" s="225" t="s">
        <v>899</v>
      </c>
      <c r="AV262" s="225" t="s">
        <v>879</v>
      </c>
      <c r="AW262" s="225" t="s">
        <v>172</v>
      </c>
      <c r="AX262" t="s">
        <v>2172</v>
      </c>
      <c r="AY262" s="224"/>
      <c r="BL262" s="223"/>
    </row>
    <row r="263" spans="1:64" x14ac:dyDescent="0.25">
      <c r="A263" s="223">
        <v>2277</v>
      </c>
      <c r="B263" s="223">
        <v>9</v>
      </c>
      <c r="C263" s="224">
        <v>45367</v>
      </c>
      <c r="D263" s="225" t="s">
        <v>1239</v>
      </c>
      <c r="E263" s="225" t="s">
        <v>859</v>
      </c>
      <c r="F263" s="225" t="s">
        <v>860</v>
      </c>
      <c r="G263" s="223" t="s">
        <v>861</v>
      </c>
      <c r="H263" s="224"/>
      <c r="I263" s="224">
        <v>45371</v>
      </c>
      <c r="J263" s="225" t="s">
        <v>1749</v>
      </c>
      <c r="K263" s="225" t="s">
        <v>98</v>
      </c>
      <c r="L263" s="225" t="s">
        <v>5</v>
      </c>
      <c r="M263" s="223">
        <v>3</v>
      </c>
      <c r="N263" s="223">
        <v>7</v>
      </c>
      <c r="O263" s="223">
        <v>44</v>
      </c>
      <c r="P263" s="223">
        <v>1</v>
      </c>
      <c r="Q263" s="223">
        <v>37.729999999999997</v>
      </c>
      <c r="R263" s="225" t="s">
        <v>12</v>
      </c>
      <c r="S263" s="230">
        <v>4170212</v>
      </c>
      <c r="T263" s="226">
        <v>110527.75</v>
      </c>
      <c r="U263" s="228"/>
      <c r="V263" s="226">
        <v>4170212</v>
      </c>
      <c r="W263" s="226">
        <v>110527.74980121919</v>
      </c>
      <c r="X263" s="228"/>
      <c r="Y263" s="228">
        <f>Юрист[[#This Row],[Итоговая цена м2 с отделкой]]-Юрист[[#This Row],[Итоговая цена м2 без отделки]]</f>
        <v>0</v>
      </c>
      <c r="Z263" s="226">
        <v>4170212</v>
      </c>
      <c r="AA263" s="223">
        <v>110527.74980121919</v>
      </c>
      <c r="AB263" s="225" t="s">
        <v>781</v>
      </c>
      <c r="AC263" s="226">
        <v>88888</v>
      </c>
      <c r="AD263" s="225" t="s">
        <v>862</v>
      </c>
      <c r="AE263" s="225" t="s">
        <v>863</v>
      </c>
      <c r="AF263" s="226">
        <v>1256000</v>
      </c>
      <c r="AG263" s="226">
        <v>2914212</v>
      </c>
      <c r="AH263" s="226"/>
      <c r="AI263" s="226"/>
      <c r="AJ263" s="226"/>
      <c r="AK263" s="223" t="s">
        <v>873</v>
      </c>
      <c r="AL263" s="227"/>
      <c r="AM263" s="229">
        <v>0.08</v>
      </c>
      <c r="AN263" s="223">
        <v>0</v>
      </c>
      <c r="AO263" s="223">
        <v>0</v>
      </c>
      <c r="AP263" s="225" t="s">
        <v>1240</v>
      </c>
      <c r="AQ263" s="223">
        <v>79272033329</v>
      </c>
      <c r="AR263" s="225" t="s">
        <v>882</v>
      </c>
      <c r="AS263" s="224">
        <v>32742</v>
      </c>
      <c r="AT263" s="225" t="s">
        <v>878</v>
      </c>
      <c r="AU263" s="225" t="s">
        <v>899</v>
      </c>
      <c r="AV263" s="225" t="s">
        <v>879</v>
      </c>
      <c r="AW263" s="225" t="s">
        <v>172</v>
      </c>
      <c r="AX263" t="s">
        <v>2172</v>
      </c>
      <c r="AY263" s="224"/>
      <c r="AZ263" s="223" t="s">
        <v>1089</v>
      </c>
      <c r="BL263" s="223"/>
    </row>
    <row r="264" spans="1:64" x14ac:dyDescent="0.25">
      <c r="A264" s="223">
        <v>2272</v>
      </c>
      <c r="B264" s="223">
        <v>4</v>
      </c>
      <c r="C264" s="224">
        <v>45363</v>
      </c>
      <c r="D264" s="225" t="s">
        <v>1237</v>
      </c>
      <c r="E264" s="225" t="s">
        <v>859</v>
      </c>
      <c r="F264" s="225" t="s">
        <v>860</v>
      </c>
      <c r="G264" s="223" t="s">
        <v>861</v>
      </c>
      <c r="H264" s="224"/>
      <c r="I264" s="224">
        <v>45369</v>
      </c>
      <c r="J264" s="225" t="s">
        <v>1898</v>
      </c>
      <c r="K264" s="225" t="s">
        <v>98</v>
      </c>
      <c r="L264" s="225" t="s">
        <v>3</v>
      </c>
      <c r="M264" s="223">
        <v>5</v>
      </c>
      <c r="N264" s="223">
        <v>7</v>
      </c>
      <c r="O264" s="223">
        <v>268</v>
      </c>
      <c r="P264" s="223">
        <v>1</v>
      </c>
      <c r="Q264" s="223">
        <v>37.81</v>
      </c>
      <c r="R264" s="225" t="s">
        <v>14</v>
      </c>
      <c r="S264" s="230">
        <v>4888012</v>
      </c>
      <c r="T264" s="226">
        <v>129278.29</v>
      </c>
      <c r="U264" s="228"/>
      <c r="V264" s="226">
        <v>4888012</v>
      </c>
      <c r="W264" s="226">
        <v>129278.2861676805</v>
      </c>
      <c r="X264" s="228">
        <v>756200</v>
      </c>
      <c r="Y264" s="228">
        <f>Юрист[[#This Row],[Итоговая цена м2 с отделкой]]-Юрист[[#This Row],[Итоговая цена м2 без отделки]]</f>
        <v>20000</v>
      </c>
      <c r="Z264" s="226">
        <v>4131812</v>
      </c>
      <c r="AA264" s="223">
        <v>109278.2861676805</v>
      </c>
      <c r="AB264" s="225" t="s">
        <v>781</v>
      </c>
      <c r="AC264" s="226">
        <v>88888</v>
      </c>
      <c r="AD264" s="225" t="s">
        <v>862</v>
      </c>
      <c r="AE264" s="225" t="s">
        <v>863</v>
      </c>
      <c r="AF264" s="226">
        <v>1472000</v>
      </c>
      <c r="AG264" s="226">
        <v>3416012</v>
      </c>
      <c r="AH264" s="226"/>
      <c r="AI264" s="226"/>
      <c r="AJ264" s="226"/>
      <c r="AK264" s="223" t="s">
        <v>873</v>
      </c>
      <c r="AL264" s="227">
        <v>1.4E-2</v>
      </c>
      <c r="AM264" s="229">
        <v>6.6000000000000003E-2</v>
      </c>
      <c r="AN264" s="223">
        <v>3.9E-2</v>
      </c>
      <c r="AO264" s="223">
        <v>133224</v>
      </c>
      <c r="AP264" s="225" t="s">
        <v>1238</v>
      </c>
      <c r="AQ264" s="223">
        <v>79222840055</v>
      </c>
      <c r="AR264" s="225" t="s">
        <v>866</v>
      </c>
      <c r="AS264" s="224">
        <v>25511</v>
      </c>
      <c r="AT264" s="225" t="s">
        <v>888</v>
      </c>
      <c r="AU264" s="225" t="s">
        <v>997</v>
      </c>
      <c r="AV264" s="225" t="s">
        <v>879</v>
      </c>
      <c r="AW264" s="225" t="s">
        <v>172</v>
      </c>
      <c r="AX264" t="s">
        <v>2172</v>
      </c>
      <c r="AY264" s="224"/>
      <c r="BL264" s="223"/>
    </row>
    <row r="265" spans="1:64" x14ac:dyDescent="0.25">
      <c r="A265" s="223">
        <v>2270</v>
      </c>
      <c r="B265" s="223">
        <v>2</v>
      </c>
      <c r="C265" s="224">
        <v>45358</v>
      </c>
      <c r="D265" s="225" t="s">
        <v>1235</v>
      </c>
      <c r="E265" s="225" t="s">
        <v>859</v>
      </c>
      <c r="F265" s="225" t="s">
        <v>860</v>
      </c>
      <c r="G265" s="223" t="s">
        <v>861</v>
      </c>
      <c r="H265" s="224"/>
      <c r="I265" s="224">
        <v>45364</v>
      </c>
      <c r="J265" s="225" t="s">
        <v>1903</v>
      </c>
      <c r="K265" s="225" t="s">
        <v>98</v>
      </c>
      <c r="L265" s="225" t="s">
        <v>3</v>
      </c>
      <c r="M265" s="223">
        <v>4</v>
      </c>
      <c r="N265" s="223">
        <v>8</v>
      </c>
      <c r="O265" s="223">
        <v>274</v>
      </c>
      <c r="P265" s="223">
        <v>2</v>
      </c>
      <c r="Q265" s="223">
        <v>60.24</v>
      </c>
      <c r="R265" s="225" t="s">
        <v>14</v>
      </c>
      <c r="S265" s="230">
        <v>6768041</v>
      </c>
      <c r="T265" s="226">
        <v>112351.28</v>
      </c>
      <c r="U265" s="228"/>
      <c r="V265" s="226">
        <v>6768041</v>
      </c>
      <c r="W265" s="226">
        <v>112351.27822045152</v>
      </c>
      <c r="X265" s="228">
        <v>1204800</v>
      </c>
      <c r="Y265" s="228">
        <f>Юрист[[#This Row],[Итоговая цена м2 с отделкой]]-Юрист[[#This Row],[Итоговая цена м2 без отделки]]</f>
        <v>20000</v>
      </c>
      <c r="Z265" s="226">
        <v>5563241</v>
      </c>
      <c r="AA265" s="223">
        <v>92351.278220451524</v>
      </c>
      <c r="AB265" s="225" t="s">
        <v>162</v>
      </c>
      <c r="AC265" s="226">
        <v>172059</v>
      </c>
      <c r="AD265" s="225" t="s">
        <v>862</v>
      </c>
      <c r="AE265" s="225" t="s">
        <v>863</v>
      </c>
      <c r="AF265" s="226">
        <v>2500000</v>
      </c>
      <c r="AG265" s="226">
        <v>3672447.74</v>
      </c>
      <c r="AH265" s="226">
        <v>595593.26</v>
      </c>
      <c r="AI265" s="226"/>
      <c r="AJ265" s="226"/>
      <c r="AK265" s="223" t="s">
        <v>864</v>
      </c>
      <c r="AL265" s="227">
        <v>1.4E-2</v>
      </c>
      <c r="AM265" s="229">
        <v>4.5999999999999999E-2</v>
      </c>
      <c r="AN265" s="223">
        <v>4.3999999999999997E-2</v>
      </c>
      <c r="AO265" s="223">
        <v>161588</v>
      </c>
      <c r="AP265" s="225" t="s">
        <v>1236</v>
      </c>
      <c r="AQ265" s="223">
        <v>79276973695</v>
      </c>
      <c r="AR265" s="225" t="s">
        <v>882</v>
      </c>
      <c r="AS265" s="224">
        <v>30448</v>
      </c>
      <c r="AT265" s="225" t="s">
        <v>867</v>
      </c>
      <c r="AU265" s="225" t="s">
        <v>899</v>
      </c>
      <c r="AV265" s="225" t="s">
        <v>879</v>
      </c>
      <c r="AW265" s="225" t="s">
        <v>172</v>
      </c>
      <c r="AX265" t="s">
        <v>2168</v>
      </c>
      <c r="AY265" s="224"/>
      <c r="BL265" s="223"/>
    </row>
    <row r="266" spans="1:64" x14ac:dyDescent="0.25">
      <c r="A266" s="223">
        <v>2263</v>
      </c>
      <c r="B266" s="223">
        <v>20</v>
      </c>
      <c r="C266" s="224">
        <v>45351</v>
      </c>
      <c r="D266" s="225" t="s">
        <v>1227</v>
      </c>
      <c r="E266" s="225" t="s">
        <v>859</v>
      </c>
      <c r="F266" s="225" t="s">
        <v>860</v>
      </c>
      <c r="G266" s="223" t="s">
        <v>861</v>
      </c>
      <c r="H266" s="224"/>
      <c r="I266" s="224">
        <v>45356</v>
      </c>
      <c r="J266" s="225" t="s">
        <v>1863</v>
      </c>
      <c r="K266" s="225" t="s">
        <v>98</v>
      </c>
      <c r="L266" s="225" t="s">
        <v>4</v>
      </c>
      <c r="M266" s="223">
        <v>1</v>
      </c>
      <c r="N266" s="223">
        <v>16</v>
      </c>
      <c r="O266" s="223">
        <v>216</v>
      </c>
      <c r="P266" s="223">
        <v>2</v>
      </c>
      <c r="Q266" s="223">
        <v>60.22</v>
      </c>
      <c r="R266" s="225" t="s">
        <v>12</v>
      </c>
      <c r="S266" s="230">
        <v>5653400</v>
      </c>
      <c r="T266" s="226">
        <v>93879.11</v>
      </c>
      <c r="U266" s="228"/>
      <c r="V266" s="226">
        <v>5653400</v>
      </c>
      <c r="W266" s="226">
        <v>93879.109930255727</v>
      </c>
      <c r="X266" s="228"/>
      <c r="Y266" s="228">
        <f>Юрист[[#This Row],[Итоговая цена м2 с отделкой]]-Юрист[[#This Row],[Итоговая цена м2 без отделки]]</f>
        <v>0</v>
      </c>
      <c r="Z266" s="226">
        <v>5653400</v>
      </c>
      <c r="AA266" s="223">
        <v>93879.109930255727</v>
      </c>
      <c r="AB266" s="225"/>
      <c r="AD266" s="225" t="s">
        <v>862</v>
      </c>
      <c r="AE266" s="225" t="s">
        <v>863</v>
      </c>
      <c r="AF266" s="226">
        <v>2000000.22</v>
      </c>
      <c r="AG266" s="226">
        <v>3023019</v>
      </c>
      <c r="AH266" s="226">
        <v>630380.78</v>
      </c>
      <c r="AI266" s="226"/>
      <c r="AJ266" s="226"/>
      <c r="AK266" s="223" t="s">
        <v>873</v>
      </c>
      <c r="AL266" s="227">
        <v>1.4E-2</v>
      </c>
      <c r="AM266" s="229">
        <v>6.6000000000000003E-2</v>
      </c>
      <c r="AN266" s="223">
        <v>3.9E-2</v>
      </c>
      <c r="AO266" s="223">
        <v>117898</v>
      </c>
      <c r="AP266" s="225" t="s">
        <v>1228</v>
      </c>
      <c r="AQ266" s="223">
        <v>79969132460</v>
      </c>
      <c r="AR266" s="225" t="s">
        <v>882</v>
      </c>
      <c r="AS266" s="224">
        <v>32324</v>
      </c>
      <c r="AT266" s="225" t="s">
        <v>878</v>
      </c>
      <c r="AU266" s="225" t="s">
        <v>868</v>
      </c>
      <c r="AV266" s="225" t="s">
        <v>869</v>
      </c>
      <c r="AW266" s="225" t="s">
        <v>172</v>
      </c>
      <c r="AX266" t="s">
        <v>2172</v>
      </c>
      <c r="AY266" s="224"/>
      <c r="BL266" s="223"/>
    </row>
    <row r="267" spans="1:64" x14ac:dyDescent="0.25">
      <c r="A267" s="223">
        <v>2262</v>
      </c>
      <c r="B267" s="223">
        <v>19</v>
      </c>
      <c r="C267" s="224">
        <v>45351</v>
      </c>
      <c r="D267" s="225" t="s">
        <v>1225</v>
      </c>
      <c r="E267" s="225" t="s">
        <v>859</v>
      </c>
      <c r="F267" s="225" t="s">
        <v>860</v>
      </c>
      <c r="G267" s="223" t="s">
        <v>861</v>
      </c>
      <c r="H267" s="224"/>
      <c r="I267" s="224">
        <v>45356</v>
      </c>
      <c r="J267" s="225" t="s">
        <v>2013</v>
      </c>
      <c r="K267" s="225" t="s">
        <v>98</v>
      </c>
      <c r="L267" s="225" t="s">
        <v>2</v>
      </c>
      <c r="M267" s="223">
        <v>6</v>
      </c>
      <c r="N267" s="223">
        <v>7</v>
      </c>
      <c r="O267" s="223">
        <v>442</v>
      </c>
      <c r="P267" s="223">
        <v>1</v>
      </c>
      <c r="Q267" s="223">
        <v>38.299999999999997</v>
      </c>
      <c r="R267" s="225" t="s">
        <v>780</v>
      </c>
      <c r="S267" s="230">
        <v>4349100</v>
      </c>
      <c r="T267" s="226">
        <v>113553.52</v>
      </c>
      <c r="U267" s="228"/>
      <c r="V267" s="226">
        <v>4349100</v>
      </c>
      <c r="W267" s="226">
        <v>113553.52480417755</v>
      </c>
      <c r="X267" s="228">
        <v>268100</v>
      </c>
      <c r="Y267" s="228">
        <f>Юрист[[#This Row],[Итоговая цена м2 с отделкой]]-Юрист[[#This Row],[Итоговая цена м2 без отделки]]</f>
        <v>7000</v>
      </c>
      <c r="Z267" s="226">
        <v>4081000</v>
      </c>
      <c r="AA267" s="223">
        <v>106553.52480417755</v>
      </c>
      <c r="AB267" s="225"/>
      <c r="AD267" s="225" t="s">
        <v>862</v>
      </c>
      <c r="AE267" s="225" t="s">
        <v>863</v>
      </c>
      <c r="AF267" s="226">
        <v>875000</v>
      </c>
      <c r="AG267" s="226">
        <v>3474100</v>
      </c>
      <c r="AH267" s="226"/>
      <c r="AI267" s="226"/>
      <c r="AJ267" s="226"/>
      <c r="AK267" s="223" t="s">
        <v>864</v>
      </c>
      <c r="AL267" s="227">
        <v>1.4E-2</v>
      </c>
      <c r="AM267" s="229">
        <v>4.5999999999999999E-2</v>
      </c>
      <c r="AN267" s="223">
        <v>4.3999999999999997E-2</v>
      </c>
      <c r="AO267" s="223">
        <v>152860</v>
      </c>
      <c r="AP267" s="225" t="s">
        <v>1226</v>
      </c>
      <c r="AQ267" s="223">
        <v>79879436750</v>
      </c>
      <c r="AR267" s="225" t="s">
        <v>882</v>
      </c>
      <c r="AS267" s="224">
        <v>33079</v>
      </c>
      <c r="AT267" s="225" t="s">
        <v>888</v>
      </c>
      <c r="AU267" s="225" t="s">
        <v>997</v>
      </c>
      <c r="AV267" s="225" t="s">
        <v>879</v>
      </c>
      <c r="AW267" s="225" t="s">
        <v>172</v>
      </c>
      <c r="AX267" t="s">
        <v>2172</v>
      </c>
      <c r="AY267" s="224"/>
      <c r="BL267" s="223"/>
    </row>
    <row r="268" spans="1:64" x14ac:dyDescent="0.25">
      <c r="A268" s="223">
        <v>2261</v>
      </c>
      <c r="B268" s="223">
        <v>18</v>
      </c>
      <c r="C268" s="224">
        <v>45351</v>
      </c>
      <c r="D268" s="225" t="s">
        <v>1223</v>
      </c>
      <c r="E268" s="225" t="s">
        <v>859</v>
      </c>
      <c r="F268" s="225" t="s">
        <v>860</v>
      </c>
      <c r="G268" s="223" t="s">
        <v>861</v>
      </c>
      <c r="H268" s="224"/>
      <c r="I268" s="224">
        <v>45356</v>
      </c>
      <c r="J268" s="225" t="s">
        <v>1822</v>
      </c>
      <c r="K268" s="225" t="s">
        <v>98</v>
      </c>
      <c r="L268" s="225" t="s">
        <v>4</v>
      </c>
      <c r="M268" s="223">
        <v>1</v>
      </c>
      <c r="N268" s="223">
        <v>7</v>
      </c>
      <c r="O268" s="223">
        <v>153</v>
      </c>
      <c r="P268" s="223">
        <v>2</v>
      </c>
      <c r="Q268" s="223">
        <v>60.22</v>
      </c>
      <c r="R268" s="225" t="s">
        <v>14</v>
      </c>
      <c r="S268" s="230">
        <v>6584796</v>
      </c>
      <c r="T268" s="226">
        <v>109345.67</v>
      </c>
      <c r="U268" s="228"/>
      <c r="V268" s="226">
        <v>6584796</v>
      </c>
      <c r="W268" s="226">
        <v>109345.66589173033</v>
      </c>
      <c r="X268" s="228">
        <v>1204400</v>
      </c>
      <c r="Y268" s="228">
        <f>Юрист[[#This Row],[Итоговая цена м2 с отделкой]]-Юрист[[#This Row],[Итоговая цена м2 без отделки]]</f>
        <v>20000</v>
      </c>
      <c r="Z268" s="226">
        <v>5380396</v>
      </c>
      <c r="AA268" s="223">
        <v>89345.665891730328</v>
      </c>
      <c r="AB268" s="225" t="s">
        <v>162</v>
      </c>
      <c r="AC268" s="226">
        <v>166404</v>
      </c>
      <c r="AD268" s="225" t="s">
        <v>862</v>
      </c>
      <c r="AE268" s="225" t="s">
        <v>863</v>
      </c>
      <c r="AF268" s="226">
        <v>3700000</v>
      </c>
      <c r="AG268" s="226">
        <v>2884796</v>
      </c>
      <c r="AH268" s="226"/>
      <c r="AI268" s="226"/>
      <c r="AJ268" s="226"/>
      <c r="AK268" s="223" t="s">
        <v>873</v>
      </c>
      <c r="AL268" s="227">
        <v>1.4E-2</v>
      </c>
      <c r="AM268" s="229">
        <v>6.6000000000000003E-2</v>
      </c>
      <c r="AN268" s="223">
        <v>3.9E-2</v>
      </c>
      <c r="AO268" s="223">
        <v>112507</v>
      </c>
      <c r="AP268" s="225" t="s">
        <v>1224</v>
      </c>
      <c r="AQ268" s="223">
        <v>79277660549</v>
      </c>
      <c r="AR268" s="225" t="s">
        <v>866</v>
      </c>
      <c r="AS268" s="224">
        <v>34094</v>
      </c>
      <c r="AT268" s="225" t="s">
        <v>987</v>
      </c>
      <c r="AU268" s="225" t="s">
        <v>899</v>
      </c>
      <c r="AV268" s="225" t="s">
        <v>869</v>
      </c>
      <c r="AW268" s="225" t="s">
        <v>172</v>
      </c>
      <c r="AX268" t="s">
        <v>2172</v>
      </c>
      <c r="AY268" s="224"/>
      <c r="BL268" s="223"/>
    </row>
    <row r="269" spans="1:64" x14ac:dyDescent="0.25">
      <c r="A269" s="223">
        <v>2268</v>
      </c>
      <c r="B269" s="223">
        <v>25</v>
      </c>
      <c r="C269" s="224">
        <v>45351</v>
      </c>
      <c r="D269" s="225" t="s">
        <v>1233</v>
      </c>
      <c r="E269" s="225" t="s">
        <v>859</v>
      </c>
      <c r="F269" s="225" t="s">
        <v>860</v>
      </c>
      <c r="G269" s="223" t="s">
        <v>861</v>
      </c>
      <c r="H269" s="224"/>
      <c r="I269" s="224">
        <v>45356</v>
      </c>
      <c r="J269" s="225" t="s">
        <v>1838</v>
      </c>
      <c r="K269" s="225" t="s">
        <v>98</v>
      </c>
      <c r="L269" s="225" t="s">
        <v>4</v>
      </c>
      <c r="M269" s="223">
        <v>4</v>
      </c>
      <c r="N269" s="223">
        <v>10</v>
      </c>
      <c r="O269" s="223">
        <v>177</v>
      </c>
      <c r="P269" s="223">
        <v>2</v>
      </c>
      <c r="Q269" s="223">
        <v>58.31</v>
      </c>
      <c r="R269" s="225" t="s">
        <v>14</v>
      </c>
      <c r="S269" s="230">
        <v>6614500</v>
      </c>
      <c r="T269" s="226">
        <v>113436.8</v>
      </c>
      <c r="U269" s="228"/>
      <c r="V269" s="226">
        <v>6614500</v>
      </c>
      <c r="W269" s="226">
        <v>113436.80329274567</v>
      </c>
      <c r="X269" s="228">
        <v>1166200</v>
      </c>
      <c r="Y269" s="228">
        <f>Юрист[[#This Row],[Итоговая цена м2 с отделкой]]-Юрист[[#This Row],[Итоговая цена м2 без отделки]]</f>
        <v>20000</v>
      </c>
      <c r="Z269" s="226">
        <v>5448300</v>
      </c>
      <c r="AA269" s="223">
        <v>93436.803292745666</v>
      </c>
      <c r="AB269" s="225"/>
      <c r="AD269" s="225" t="s">
        <v>862</v>
      </c>
      <c r="AE269" s="225" t="s">
        <v>863</v>
      </c>
      <c r="AF269" s="226">
        <v>879667.13</v>
      </c>
      <c r="AG269" s="226">
        <v>5273400</v>
      </c>
      <c r="AH269" s="226">
        <v>461432.87</v>
      </c>
      <c r="AI269" s="226"/>
      <c r="AJ269" s="226"/>
      <c r="AK269" s="223" t="s">
        <v>864</v>
      </c>
      <c r="AL269" s="227">
        <v>1.4E-2</v>
      </c>
      <c r="AM269" s="229">
        <v>4.5999999999999999E-2</v>
      </c>
      <c r="AN269" s="223">
        <v>4.3999999999999997E-2</v>
      </c>
      <c r="AO269" s="223">
        <v>232030</v>
      </c>
      <c r="AP269" s="225" t="s">
        <v>1234</v>
      </c>
      <c r="AQ269" s="223">
        <v>79991719345</v>
      </c>
      <c r="AR269" s="225" t="s">
        <v>866</v>
      </c>
      <c r="AS269" s="224">
        <v>36984</v>
      </c>
      <c r="AT269" s="225" t="s">
        <v>885</v>
      </c>
      <c r="AU269" s="225" t="s">
        <v>997</v>
      </c>
      <c r="AV269" s="225" t="s">
        <v>879</v>
      </c>
      <c r="AW269" s="225" t="s">
        <v>172</v>
      </c>
      <c r="AX269" t="s">
        <v>2172</v>
      </c>
      <c r="AY269" s="224"/>
      <c r="BL269" s="223"/>
    </row>
    <row r="270" spans="1:64" x14ac:dyDescent="0.25">
      <c r="A270" s="223">
        <v>2265</v>
      </c>
      <c r="B270" s="223">
        <v>22</v>
      </c>
      <c r="C270" s="224">
        <v>45351</v>
      </c>
      <c r="D270" s="225" t="s">
        <v>1231</v>
      </c>
      <c r="E270" s="225" t="s">
        <v>859</v>
      </c>
      <c r="F270" s="225" t="s">
        <v>860</v>
      </c>
      <c r="G270" s="223" t="s">
        <v>861</v>
      </c>
      <c r="H270" s="224"/>
      <c r="I270" s="224">
        <v>45356</v>
      </c>
      <c r="J270" s="225" t="s">
        <v>1835</v>
      </c>
      <c r="K270" s="225" t="s">
        <v>98</v>
      </c>
      <c r="L270" s="225" t="s">
        <v>4</v>
      </c>
      <c r="M270" s="223">
        <v>1</v>
      </c>
      <c r="N270" s="223">
        <v>10</v>
      </c>
      <c r="O270" s="223">
        <v>174</v>
      </c>
      <c r="P270" s="223">
        <v>2</v>
      </c>
      <c r="Q270" s="223">
        <v>60.22</v>
      </c>
      <c r="R270" s="225" t="s">
        <v>12</v>
      </c>
      <c r="S270" s="230">
        <v>5653400</v>
      </c>
      <c r="T270" s="226">
        <v>93879.11</v>
      </c>
      <c r="U270" s="228"/>
      <c r="V270" s="226">
        <v>5653400</v>
      </c>
      <c r="W270" s="226">
        <v>93879.109930255727</v>
      </c>
      <c r="X270" s="228"/>
      <c r="Y270" s="228">
        <f>Юрист[[#This Row],[Итоговая цена м2 с отделкой]]-Юрист[[#This Row],[Итоговая цена м2 без отделки]]</f>
        <v>0</v>
      </c>
      <c r="Z270" s="226">
        <v>5653400</v>
      </c>
      <c r="AA270" s="223">
        <v>93879.109930255727</v>
      </c>
      <c r="AB270" s="225"/>
      <c r="AD270" s="225" t="s">
        <v>862</v>
      </c>
      <c r="AE270" s="225" t="s">
        <v>863</v>
      </c>
      <c r="AF270" s="226">
        <v>1758000</v>
      </c>
      <c r="AG270" s="226">
        <v>3895400</v>
      </c>
      <c r="AH270" s="226"/>
      <c r="AI270" s="226"/>
      <c r="AJ270" s="226"/>
      <c r="AK270" s="223" t="s">
        <v>864</v>
      </c>
      <c r="AL270" s="227">
        <v>1.4E-2</v>
      </c>
      <c r="AM270" s="229">
        <v>4.5999999999999999E-2</v>
      </c>
      <c r="AN270" s="223">
        <v>4.3999999999999997E-2</v>
      </c>
      <c r="AO270" s="223">
        <v>171398</v>
      </c>
      <c r="AP270" s="225" t="s">
        <v>1232</v>
      </c>
      <c r="AQ270" s="223">
        <v>79371755575</v>
      </c>
      <c r="AR270" s="225" t="s">
        <v>866</v>
      </c>
      <c r="AS270" s="224">
        <v>31528</v>
      </c>
      <c r="AT270" s="225" t="s">
        <v>867</v>
      </c>
      <c r="AU270" s="225" t="s">
        <v>997</v>
      </c>
      <c r="AV270" s="225" t="s">
        <v>869</v>
      </c>
      <c r="AW270" s="225" t="s">
        <v>172</v>
      </c>
      <c r="AX270" t="s">
        <v>2168</v>
      </c>
      <c r="AY270" s="224"/>
      <c r="BL270" s="223"/>
    </row>
    <row r="271" spans="1:64" s="244" customFormat="1" x14ac:dyDescent="0.25">
      <c r="A271" s="223">
        <v>2264</v>
      </c>
      <c r="B271" s="223">
        <v>21</v>
      </c>
      <c r="C271" s="224">
        <v>45351</v>
      </c>
      <c r="D271" s="225" t="s">
        <v>1229</v>
      </c>
      <c r="E271" s="225" t="s">
        <v>859</v>
      </c>
      <c r="F271" s="225" t="s">
        <v>860</v>
      </c>
      <c r="G271" s="223" t="s">
        <v>861</v>
      </c>
      <c r="H271" s="224"/>
      <c r="I271" s="224">
        <v>45356</v>
      </c>
      <c r="J271" s="225" t="s">
        <v>2086</v>
      </c>
      <c r="K271" s="225" t="s">
        <v>98</v>
      </c>
      <c r="L271" s="225" t="s">
        <v>2</v>
      </c>
      <c r="M271" s="223">
        <v>2</v>
      </c>
      <c r="N271" s="223">
        <v>19</v>
      </c>
      <c r="O271" s="223">
        <v>534</v>
      </c>
      <c r="P271" s="223">
        <v>1</v>
      </c>
      <c r="Q271" s="223">
        <v>43.21</v>
      </c>
      <c r="R271" s="225" t="s">
        <v>12</v>
      </c>
      <c r="S271" s="230">
        <v>4817300</v>
      </c>
      <c r="T271" s="226">
        <v>111485.77</v>
      </c>
      <c r="U271" s="228"/>
      <c r="V271" s="226">
        <v>4817300</v>
      </c>
      <c r="W271" s="226">
        <v>111485.76718352233</v>
      </c>
      <c r="X271" s="228"/>
      <c r="Y271" s="228">
        <f>Юрист[[#This Row],[Итоговая цена м2 с отделкой]]-Юрист[[#This Row],[Итоговая цена м2 без отделки]]</f>
        <v>0</v>
      </c>
      <c r="Z271" s="226">
        <v>4817300</v>
      </c>
      <c r="AA271" s="223">
        <v>111485.76718352233</v>
      </c>
      <c r="AB271" s="225"/>
      <c r="AC271" s="226"/>
      <c r="AD271" s="225" t="s">
        <v>862</v>
      </c>
      <c r="AE271" s="225" t="s">
        <v>863</v>
      </c>
      <c r="AF271" s="226">
        <v>338619.22</v>
      </c>
      <c r="AG271" s="226">
        <v>3848300</v>
      </c>
      <c r="AH271" s="226">
        <v>630380.78</v>
      </c>
      <c r="AI271" s="226"/>
      <c r="AJ271" s="226"/>
      <c r="AK271" s="223" t="s">
        <v>864</v>
      </c>
      <c r="AL271" s="227">
        <v>1.4E-2</v>
      </c>
      <c r="AM271" s="229">
        <v>4.5999999999999999E-2</v>
      </c>
      <c r="AN271" s="223">
        <v>4.3999999999999997E-2</v>
      </c>
      <c r="AO271" s="223">
        <v>169325</v>
      </c>
      <c r="AP271" s="225" t="s">
        <v>1230</v>
      </c>
      <c r="AQ271" s="223">
        <v>79277285444</v>
      </c>
      <c r="AR271" s="225" t="s">
        <v>882</v>
      </c>
      <c r="AS271" s="224">
        <v>30776</v>
      </c>
      <c r="AT271" s="225" t="s">
        <v>878</v>
      </c>
      <c r="AU271" s="225" t="s">
        <v>868</v>
      </c>
      <c r="AV271" s="225" t="s">
        <v>869</v>
      </c>
      <c r="AW271" s="225" t="s">
        <v>172</v>
      </c>
      <c r="AX271" t="s">
        <v>2172</v>
      </c>
      <c r="AY271" s="224"/>
      <c r="AZ271" s="223"/>
    </row>
    <row r="272" spans="1:64" x14ac:dyDescent="0.25">
      <c r="A272" s="223">
        <v>2256</v>
      </c>
      <c r="B272" s="223">
        <v>13</v>
      </c>
      <c r="C272" s="224">
        <v>45349</v>
      </c>
      <c r="D272" s="225" t="s">
        <v>1219</v>
      </c>
      <c r="E272" s="225" t="s">
        <v>859</v>
      </c>
      <c r="F272" s="225" t="s">
        <v>860</v>
      </c>
      <c r="G272" s="223" t="s">
        <v>861</v>
      </c>
      <c r="H272" s="224"/>
      <c r="I272" s="224">
        <v>45350</v>
      </c>
      <c r="J272" s="225" t="s">
        <v>1850</v>
      </c>
      <c r="K272" s="225" t="s">
        <v>98</v>
      </c>
      <c r="L272" s="225" t="s">
        <v>4</v>
      </c>
      <c r="M272" s="223">
        <v>1</v>
      </c>
      <c r="N272" s="223">
        <v>13</v>
      </c>
      <c r="O272" s="223">
        <v>195</v>
      </c>
      <c r="P272" s="223">
        <v>2</v>
      </c>
      <c r="Q272" s="223">
        <v>60.22</v>
      </c>
      <c r="R272" s="225" t="s">
        <v>12</v>
      </c>
      <c r="S272" s="230">
        <v>5546800</v>
      </c>
      <c r="T272" s="226">
        <v>92108.93</v>
      </c>
      <c r="U272" s="228"/>
      <c r="V272" s="226">
        <v>5546800</v>
      </c>
      <c r="W272" s="226">
        <v>92108.933909000334</v>
      </c>
      <c r="X272" s="228"/>
      <c r="Y272" s="228">
        <f>Юрист[[#This Row],[Итоговая цена м2 с отделкой]]-Юрист[[#This Row],[Итоговая цена м2 без отделки]]</f>
        <v>0</v>
      </c>
      <c r="Z272" s="226">
        <v>5546800</v>
      </c>
      <c r="AA272" s="223">
        <v>92108.933909000334</v>
      </c>
      <c r="AB272" s="225"/>
      <c r="AD272" s="225" t="s">
        <v>862</v>
      </c>
      <c r="AE272" s="225" t="s">
        <v>863</v>
      </c>
      <c r="AF272" s="226">
        <v>1115000</v>
      </c>
      <c r="AG272" s="226">
        <v>4431800</v>
      </c>
      <c r="AH272" s="226"/>
      <c r="AI272" s="226"/>
      <c r="AJ272" s="226"/>
      <c r="AK272" s="223" t="s">
        <v>864</v>
      </c>
      <c r="AL272" s="227">
        <v>1.4E-2</v>
      </c>
      <c r="AM272" s="229">
        <v>4.5999999999999999E-2</v>
      </c>
      <c r="AN272" s="223">
        <v>4.3999999999999997E-2</v>
      </c>
      <c r="AO272" s="223">
        <v>194999</v>
      </c>
      <c r="AP272" s="225" t="s">
        <v>1220</v>
      </c>
      <c r="AQ272" s="223">
        <v>79061494376</v>
      </c>
      <c r="AR272" s="225" t="s">
        <v>866</v>
      </c>
      <c r="AS272" s="224">
        <v>30616</v>
      </c>
      <c r="AT272" s="225" t="s">
        <v>878</v>
      </c>
      <c r="AU272" s="225" t="s">
        <v>997</v>
      </c>
      <c r="AV272" s="225" t="s">
        <v>869</v>
      </c>
      <c r="AW272" s="225" t="s">
        <v>172</v>
      </c>
      <c r="AX272" t="s">
        <v>2172</v>
      </c>
      <c r="AY272" s="224"/>
      <c r="BL272" s="223"/>
    </row>
    <row r="273" spans="1:64" x14ac:dyDescent="0.25">
      <c r="A273" s="223">
        <v>2257</v>
      </c>
      <c r="B273" s="223">
        <v>14</v>
      </c>
      <c r="C273" s="224">
        <v>45349</v>
      </c>
      <c r="D273" s="225" t="s">
        <v>1221</v>
      </c>
      <c r="E273" s="225" t="s">
        <v>859</v>
      </c>
      <c r="F273" s="225" t="s">
        <v>860</v>
      </c>
      <c r="G273" s="223" t="s">
        <v>861</v>
      </c>
      <c r="H273" s="224"/>
      <c r="I273" s="224">
        <v>45350</v>
      </c>
      <c r="J273" s="225" t="s">
        <v>1748</v>
      </c>
      <c r="K273" s="225" t="s">
        <v>98</v>
      </c>
      <c r="L273" s="225" t="s">
        <v>5</v>
      </c>
      <c r="M273" s="223">
        <v>1</v>
      </c>
      <c r="N273" s="223">
        <v>7</v>
      </c>
      <c r="O273" s="223">
        <v>42</v>
      </c>
      <c r="P273" s="223">
        <v>1</v>
      </c>
      <c r="Q273" s="223">
        <v>34.39</v>
      </c>
      <c r="R273" s="225" t="s">
        <v>14</v>
      </c>
      <c r="S273" s="230">
        <v>4476814</v>
      </c>
      <c r="T273" s="226">
        <v>130177.78</v>
      </c>
      <c r="U273" s="228"/>
      <c r="V273" s="226">
        <v>4476814</v>
      </c>
      <c r="W273" s="226">
        <v>130177.78423960453</v>
      </c>
      <c r="X273" s="228">
        <v>687800</v>
      </c>
      <c r="Y273" s="228">
        <f>Юрист[[#This Row],[Итоговая цена м2 с отделкой]]-Юрист[[#This Row],[Итоговая цена м2 без отделки]]</f>
        <v>20000</v>
      </c>
      <c r="Z273" s="226">
        <v>3789014</v>
      </c>
      <c r="AA273" s="223">
        <v>110177.78423960453</v>
      </c>
      <c r="AB273" s="225" t="s">
        <v>162</v>
      </c>
      <c r="AC273" s="226">
        <v>117186</v>
      </c>
      <c r="AD273" s="225" t="s">
        <v>862</v>
      </c>
      <c r="AE273" s="225" t="s">
        <v>863</v>
      </c>
      <c r="AF273" s="226">
        <v>269619.21999999997</v>
      </c>
      <c r="AG273" s="226">
        <v>3576814</v>
      </c>
      <c r="AH273" s="226">
        <v>630380.78</v>
      </c>
      <c r="AI273" s="226"/>
      <c r="AJ273" s="226"/>
      <c r="AK273" s="223" t="s">
        <v>864</v>
      </c>
      <c r="AL273" s="227"/>
      <c r="AM273" s="229">
        <v>0.06</v>
      </c>
      <c r="AN273" s="223">
        <v>0</v>
      </c>
      <c r="AO273" s="223">
        <v>0</v>
      </c>
      <c r="AP273" s="225" t="s">
        <v>1222</v>
      </c>
      <c r="AQ273" s="223">
        <v>79122010467</v>
      </c>
      <c r="AR273" s="225" t="s">
        <v>866</v>
      </c>
      <c r="AS273" s="224">
        <v>31921</v>
      </c>
      <c r="AT273" s="225" t="s">
        <v>1218</v>
      </c>
      <c r="AU273" s="225" t="s">
        <v>997</v>
      </c>
      <c r="AV273" s="225" t="s">
        <v>869</v>
      </c>
      <c r="AW273" s="225" t="s">
        <v>172</v>
      </c>
      <c r="AX273" t="s">
        <v>2172</v>
      </c>
      <c r="AY273" s="224"/>
      <c r="BL273" s="223"/>
    </row>
    <row r="274" spans="1:64" x14ac:dyDescent="0.25">
      <c r="A274" s="223">
        <v>2255</v>
      </c>
      <c r="B274" s="223">
        <v>12</v>
      </c>
      <c r="C274" s="224">
        <v>45348</v>
      </c>
      <c r="D274" s="225" t="s">
        <v>1216</v>
      </c>
      <c r="E274" s="225" t="s">
        <v>859</v>
      </c>
      <c r="F274" s="225" t="s">
        <v>860</v>
      </c>
      <c r="G274" s="223" t="s">
        <v>861</v>
      </c>
      <c r="H274" s="224"/>
      <c r="I274" s="224">
        <v>45351</v>
      </c>
      <c r="J274" s="225" t="s">
        <v>2059</v>
      </c>
      <c r="K274" s="225" t="s">
        <v>98</v>
      </c>
      <c r="L274" s="225" t="s">
        <v>2</v>
      </c>
      <c r="M274" s="223">
        <v>7</v>
      </c>
      <c r="N274" s="223">
        <v>14</v>
      </c>
      <c r="O274" s="223">
        <v>499</v>
      </c>
      <c r="P274" s="223">
        <v>3</v>
      </c>
      <c r="Q274" s="223">
        <v>79.44</v>
      </c>
      <c r="R274" s="225" t="s">
        <v>12</v>
      </c>
      <c r="S274" s="230">
        <v>6876233</v>
      </c>
      <c r="T274" s="226">
        <v>86558.82</v>
      </c>
      <c r="U274" s="228"/>
      <c r="V274" s="226">
        <v>6876233</v>
      </c>
      <c r="W274" s="226">
        <v>86558.824269889228</v>
      </c>
      <c r="X274" s="228"/>
      <c r="Y274" s="228">
        <f>Юрист[[#This Row],[Итоговая цена м2 с отделкой]]-Юрист[[#This Row],[Итоговая цена м2 без отделки]]</f>
        <v>0</v>
      </c>
      <c r="Z274" s="226">
        <v>6876233</v>
      </c>
      <c r="AA274" s="223">
        <v>86558.824269889228</v>
      </c>
      <c r="AB274" s="225" t="s">
        <v>167</v>
      </c>
      <c r="AC274" s="226">
        <v>212667</v>
      </c>
      <c r="AD274" s="225" t="s">
        <v>862</v>
      </c>
      <c r="AE274" s="225" t="s">
        <v>863</v>
      </c>
      <c r="AF274" s="226"/>
      <c r="AG274" s="226">
        <v>5090621.22</v>
      </c>
      <c r="AH274" s="226">
        <v>630380.78</v>
      </c>
      <c r="AI274" s="226">
        <v>1155231</v>
      </c>
      <c r="AJ274" s="226"/>
      <c r="AK274" s="223" t="s">
        <v>864</v>
      </c>
      <c r="AL274" s="227">
        <v>1.4E-2</v>
      </c>
      <c r="AM274" s="229">
        <v>4.5999999999999999E-2</v>
      </c>
      <c r="AN274" s="223">
        <v>4.3999999999999997E-2</v>
      </c>
      <c r="AO274" s="223">
        <v>223987</v>
      </c>
      <c r="AP274" s="225" t="s">
        <v>1217</v>
      </c>
      <c r="AQ274" s="223">
        <v>79370647824</v>
      </c>
      <c r="AR274" s="225" t="s">
        <v>882</v>
      </c>
      <c r="AS274" s="224">
        <v>33733</v>
      </c>
      <c r="AT274" s="225" t="s">
        <v>1218</v>
      </c>
      <c r="AU274" s="225" t="s">
        <v>899</v>
      </c>
      <c r="AV274" s="225" t="s">
        <v>879</v>
      </c>
      <c r="AW274" s="225" t="s">
        <v>172</v>
      </c>
      <c r="AX274" t="s">
        <v>2172</v>
      </c>
      <c r="AY274" s="224"/>
      <c r="BL274" s="223"/>
    </row>
    <row r="275" spans="1:64" x14ac:dyDescent="0.25">
      <c r="A275" s="223">
        <v>2250</v>
      </c>
      <c r="B275" s="223">
        <v>7</v>
      </c>
      <c r="C275" s="224">
        <v>45344</v>
      </c>
      <c r="D275" s="225" t="s">
        <v>1212</v>
      </c>
      <c r="E275" s="225" t="s">
        <v>859</v>
      </c>
      <c r="F275" s="225" t="s">
        <v>860</v>
      </c>
      <c r="G275" s="223" t="s">
        <v>861</v>
      </c>
      <c r="H275" s="224"/>
      <c r="I275" s="224">
        <v>45350</v>
      </c>
      <c r="J275" s="225" t="s">
        <v>1806</v>
      </c>
      <c r="K275" s="225" t="s">
        <v>98</v>
      </c>
      <c r="L275" s="225" t="s">
        <v>4</v>
      </c>
      <c r="M275" s="223">
        <v>1</v>
      </c>
      <c r="N275" s="223">
        <v>4</v>
      </c>
      <c r="O275" s="223">
        <v>132</v>
      </c>
      <c r="P275" s="223">
        <v>2</v>
      </c>
      <c r="Q275" s="223">
        <v>60.22</v>
      </c>
      <c r="R275" s="225" t="s">
        <v>14</v>
      </c>
      <c r="S275" s="230">
        <v>6739995.9972999999</v>
      </c>
      <c r="T275" s="226">
        <v>111922.88</v>
      </c>
      <c r="U275" s="228"/>
      <c r="V275" s="226">
        <v>6739995.9972999999</v>
      </c>
      <c r="W275" s="226">
        <v>111922.88271836599</v>
      </c>
      <c r="X275" s="228">
        <v>1204400</v>
      </c>
      <c r="Y275" s="228">
        <f>Юрист[[#This Row],[Итоговая цена м2 с отделкой]]-Юрист[[#This Row],[Итоговая цена м2 без отделки]]</f>
        <v>20000</v>
      </c>
      <c r="Z275" s="226">
        <v>5535595.9972999999</v>
      </c>
      <c r="AA275" s="223">
        <v>91922.882718365989</v>
      </c>
      <c r="AB275" s="225" t="s">
        <v>162</v>
      </c>
      <c r="AC275" s="226">
        <v>171203.99991649482</v>
      </c>
      <c r="AD275" s="225" t="s">
        <v>862</v>
      </c>
      <c r="AE275" s="225" t="s">
        <v>863</v>
      </c>
      <c r="AF275" s="226">
        <v>4799999.9972999999</v>
      </c>
      <c r="AG275" s="226">
        <v>1939996</v>
      </c>
      <c r="AH275" s="226"/>
      <c r="AI275" s="226"/>
      <c r="AJ275" s="226"/>
      <c r="AK275" s="223" t="s">
        <v>873</v>
      </c>
      <c r="AL275" s="227">
        <v>1.4E-2</v>
      </c>
      <c r="AM275" s="229">
        <v>6.6000000000000003E-2</v>
      </c>
      <c r="AN275" s="223">
        <v>3.9E-2</v>
      </c>
      <c r="AO275" s="223">
        <v>75660</v>
      </c>
      <c r="AP275" s="225" t="s">
        <v>1213</v>
      </c>
      <c r="AQ275" s="223">
        <v>79277755296</v>
      </c>
      <c r="AR275" s="225" t="s">
        <v>866</v>
      </c>
      <c r="AS275" s="224">
        <v>26884</v>
      </c>
      <c r="AT275" s="225" t="s">
        <v>987</v>
      </c>
      <c r="AU275" s="225" t="s">
        <v>899</v>
      </c>
      <c r="AV275" s="225" t="s">
        <v>879</v>
      </c>
      <c r="AW275" s="225" t="s">
        <v>172</v>
      </c>
      <c r="AX275" t="s">
        <v>2172</v>
      </c>
      <c r="AY275" s="224"/>
      <c r="BL275" s="223"/>
    </row>
    <row r="276" spans="1:64" x14ac:dyDescent="0.25">
      <c r="A276" s="223">
        <v>2251</v>
      </c>
      <c r="B276" s="223">
        <v>8</v>
      </c>
      <c r="C276" s="224">
        <v>45344</v>
      </c>
      <c r="D276" s="225" t="s">
        <v>1214</v>
      </c>
      <c r="E276" s="225" t="s">
        <v>859</v>
      </c>
      <c r="F276" s="225" t="s">
        <v>860</v>
      </c>
      <c r="G276" s="223" t="s">
        <v>926</v>
      </c>
      <c r="H276" s="224"/>
      <c r="I276" s="224">
        <v>45350</v>
      </c>
      <c r="J276" s="225" t="s">
        <v>2076</v>
      </c>
      <c r="K276" s="225" t="s">
        <v>98</v>
      </c>
      <c r="L276" s="225" t="s">
        <v>2</v>
      </c>
      <c r="M276" s="223">
        <v>3</v>
      </c>
      <c r="N276" s="223">
        <v>17</v>
      </c>
      <c r="O276" s="223">
        <v>519</v>
      </c>
      <c r="P276" s="223">
        <v>0</v>
      </c>
      <c r="Q276" s="223">
        <v>24.5</v>
      </c>
      <c r="R276" s="225" t="s">
        <v>14</v>
      </c>
      <c r="S276" s="230">
        <v>3280500</v>
      </c>
      <c r="T276" s="226">
        <v>133897.96</v>
      </c>
      <c r="U276" s="228"/>
      <c r="V276" s="226">
        <v>3280500</v>
      </c>
      <c r="W276" s="226">
        <v>133897.95918367346</v>
      </c>
      <c r="X276" s="228">
        <v>490000.00000000047</v>
      </c>
      <c r="Y276" s="228">
        <f>Юрист[[#This Row],[Итоговая цена м2 с отделкой]]-Юрист[[#This Row],[Итоговая цена м2 без отделки]]</f>
        <v>20000.000000000015</v>
      </c>
      <c r="Z276" s="226">
        <v>2790499.9999999995</v>
      </c>
      <c r="AA276" s="223">
        <v>113897.95918367345</v>
      </c>
      <c r="AB276" s="225"/>
      <c r="AD276" s="225" t="s">
        <v>862</v>
      </c>
      <c r="AE276" s="225" t="s">
        <v>1018</v>
      </c>
      <c r="AF276" s="226">
        <v>800000</v>
      </c>
      <c r="AG276" s="226">
        <v>2480500</v>
      </c>
      <c r="AH276" s="226"/>
      <c r="AI276" s="226"/>
      <c r="AJ276" s="226"/>
      <c r="AK276" s="223" t="s">
        <v>864</v>
      </c>
      <c r="AL276" s="227"/>
      <c r="AM276" s="229">
        <v>0.06</v>
      </c>
      <c r="AN276" s="223">
        <v>8.4000000000000005E-2</v>
      </c>
      <c r="AO276" s="223">
        <v>208362</v>
      </c>
      <c r="AP276" s="225" t="s">
        <v>1215</v>
      </c>
      <c r="AQ276" s="223">
        <v>79277146203</v>
      </c>
      <c r="AR276" s="225" t="s">
        <v>882</v>
      </c>
      <c r="AS276" s="224">
        <v>32612</v>
      </c>
      <c r="AT276" s="225" t="s">
        <v>878</v>
      </c>
      <c r="AU276" s="225" t="s">
        <v>899</v>
      </c>
      <c r="AV276" s="225" t="s">
        <v>869</v>
      </c>
      <c r="AW276" s="225" t="s">
        <v>172</v>
      </c>
      <c r="AX276" t="s">
        <v>2172</v>
      </c>
      <c r="AY276" s="224"/>
      <c r="BL276" s="223"/>
    </row>
    <row r="277" spans="1:64" x14ac:dyDescent="0.25">
      <c r="A277" s="223">
        <v>2248</v>
      </c>
      <c r="B277" s="223">
        <v>5</v>
      </c>
      <c r="C277" s="224">
        <v>45336</v>
      </c>
      <c r="D277" s="225" t="s">
        <v>1210</v>
      </c>
      <c r="E277" s="225" t="s">
        <v>859</v>
      </c>
      <c r="F277" s="225" t="s">
        <v>860</v>
      </c>
      <c r="G277" s="223" t="s">
        <v>861</v>
      </c>
      <c r="H277" s="224"/>
      <c r="I277" s="224">
        <v>45341</v>
      </c>
      <c r="J277" s="225" t="s">
        <v>2039</v>
      </c>
      <c r="K277" s="225" t="s">
        <v>98</v>
      </c>
      <c r="L277" s="225" t="s">
        <v>2</v>
      </c>
      <c r="M277" s="223">
        <v>5</v>
      </c>
      <c r="N277" s="223">
        <v>11</v>
      </c>
      <c r="O277" s="223">
        <v>473</v>
      </c>
      <c r="P277" s="223">
        <v>2</v>
      </c>
      <c r="Q277" s="223">
        <v>57.8</v>
      </c>
      <c r="R277" s="225" t="s">
        <v>780</v>
      </c>
      <c r="S277" s="230">
        <v>5546758</v>
      </c>
      <c r="T277" s="226">
        <v>95964.67</v>
      </c>
      <c r="U277" s="228"/>
      <c r="V277" s="226">
        <v>5546758</v>
      </c>
      <c r="W277" s="226">
        <v>95964.671280276816</v>
      </c>
      <c r="X277" s="228">
        <v>404600</v>
      </c>
      <c r="Y277" s="228">
        <f>Юрист[[#This Row],[Итоговая цена м2 с отделкой]]-Юрист[[#This Row],[Итоговая цена м2 без отделки]]</f>
        <v>7000</v>
      </c>
      <c r="Z277" s="226">
        <v>5142158</v>
      </c>
      <c r="AA277" s="223">
        <v>88964.671280276816</v>
      </c>
      <c r="AB277" s="225" t="s">
        <v>757</v>
      </c>
      <c r="AC277" s="226">
        <v>104942</v>
      </c>
      <c r="AD277" s="225" t="s">
        <v>862</v>
      </c>
      <c r="AE277" s="225" t="s">
        <v>863</v>
      </c>
      <c r="AF277" s="226">
        <v>1670000</v>
      </c>
      <c r="AG277" s="226">
        <v>3876758</v>
      </c>
      <c r="AH277" s="226"/>
      <c r="AI277" s="226"/>
      <c r="AJ277" s="226"/>
      <c r="AK277" s="223" t="s">
        <v>873</v>
      </c>
      <c r="AL277" s="227">
        <v>1.4E-2</v>
      </c>
      <c r="AM277" s="229">
        <v>6.6000000000000003E-2</v>
      </c>
      <c r="AN277" s="223">
        <v>7.4999999999999997E-2</v>
      </c>
      <c r="AO277" s="223">
        <v>290757</v>
      </c>
      <c r="AP277" s="225" t="s">
        <v>1211</v>
      </c>
      <c r="AQ277" s="223">
        <v>79228754406</v>
      </c>
      <c r="AR277" s="225" t="s">
        <v>866</v>
      </c>
      <c r="AS277" s="224">
        <v>28416</v>
      </c>
      <c r="AT277" s="225" t="s">
        <v>888</v>
      </c>
      <c r="AU277" s="225" t="s">
        <v>899</v>
      </c>
      <c r="AV277" s="225" t="s">
        <v>879</v>
      </c>
      <c r="AW277" s="225" t="s">
        <v>172</v>
      </c>
      <c r="AX277" t="s">
        <v>2172</v>
      </c>
      <c r="AY277" s="224"/>
      <c r="BL277" s="223"/>
    </row>
    <row r="278" spans="1:64" x14ac:dyDescent="0.25">
      <c r="A278" s="223">
        <v>2244</v>
      </c>
      <c r="B278" s="223">
        <v>1</v>
      </c>
      <c r="C278" s="224">
        <v>45328</v>
      </c>
      <c r="D278" s="225" t="s">
        <v>1207</v>
      </c>
      <c r="E278" s="225" t="s">
        <v>859</v>
      </c>
      <c r="F278" s="225" t="s">
        <v>860</v>
      </c>
      <c r="G278" s="223" t="s">
        <v>926</v>
      </c>
      <c r="H278" s="224"/>
      <c r="I278" s="224">
        <v>45331</v>
      </c>
      <c r="J278" s="225" t="s">
        <v>1970</v>
      </c>
      <c r="K278" s="225" t="s">
        <v>98</v>
      </c>
      <c r="L278" s="225" t="s">
        <v>2</v>
      </c>
      <c r="M278" s="223">
        <v>2</v>
      </c>
      <c r="N278" s="223">
        <v>1</v>
      </c>
      <c r="O278" s="223">
        <v>391</v>
      </c>
      <c r="P278" s="223">
        <v>1</v>
      </c>
      <c r="Q278" s="223">
        <v>43.21</v>
      </c>
      <c r="R278" s="225" t="s">
        <v>13</v>
      </c>
      <c r="S278" s="230">
        <v>3638753.01</v>
      </c>
      <c r="T278" s="226">
        <v>84210.9</v>
      </c>
      <c r="U278" s="228">
        <v>15000</v>
      </c>
      <c r="V278" s="226">
        <v>3653753.01</v>
      </c>
      <c r="W278" s="226">
        <v>84558.042351307566</v>
      </c>
      <c r="X278" s="228">
        <v>194445</v>
      </c>
      <c r="Y278" s="228">
        <f>Юрист[[#This Row],[Итоговая цена м2 с отделкой]]-Юрист[[#This Row],[Итоговая цена м2 без отделки]]</f>
        <v>4500</v>
      </c>
      <c r="Z278" s="226">
        <v>3459308.01</v>
      </c>
      <c r="AA278" s="223">
        <v>80058.042351307566</v>
      </c>
      <c r="AB278" s="225" t="s">
        <v>162</v>
      </c>
      <c r="AC278" s="226">
        <v>220806.89425531961</v>
      </c>
      <c r="AD278" s="225" t="s">
        <v>862</v>
      </c>
      <c r="AE278" s="225" t="s">
        <v>1208</v>
      </c>
      <c r="AF278" s="226">
        <v>565737.91</v>
      </c>
      <c r="AG278" s="226">
        <v>2600000</v>
      </c>
      <c r="AH278" s="226"/>
      <c r="AI278" s="226"/>
      <c r="AJ278" s="226">
        <v>473015.1</v>
      </c>
      <c r="AK278" s="223" t="s">
        <v>844</v>
      </c>
      <c r="AL278" s="227"/>
      <c r="AM278" s="229">
        <v>0.06</v>
      </c>
      <c r="AN278" s="223">
        <v>0</v>
      </c>
      <c r="AO278" s="223">
        <v>0</v>
      </c>
      <c r="AP278" s="225" t="s">
        <v>1209</v>
      </c>
      <c r="AQ278" s="223">
        <v>79061292192</v>
      </c>
      <c r="AR278" s="225" t="s">
        <v>882</v>
      </c>
      <c r="AS278" s="224">
        <v>32125</v>
      </c>
      <c r="AT278" s="225" t="s">
        <v>878</v>
      </c>
      <c r="AU278" s="225" t="s">
        <v>868</v>
      </c>
      <c r="AV278" s="225" t="s">
        <v>869</v>
      </c>
      <c r="AW278" s="225" t="s">
        <v>172</v>
      </c>
      <c r="AX278" t="s">
        <v>2172</v>
      </c>
      <c r="AY278" s="224"/>
      <c r="BL278" s="223"/>
    </row>
    <row r="279" spans="1:64" x14ac:dyDescent="0.25">
      <c r="A279" s="223">
        <v>2242</v>
      </c>
      <c r="B279" s="223">
        <v>15</v>
      </c>
      <c r="C279" s="224">
        <v>45321</v>
      </c>
      <c r="D279" s="225" t="s">
        <v>1203</v>
      </c>
      <c r="E279" s="225" t="s">
        <v>859</v>
      </c>
      <c r="F279" s="225" t="s">
        <v>860</v>
      </c>
      <c r="G279" s="223" t="s">
        <v>861</v>
      </c>
      <c r="H279" s="224"/>
      <c r="I279" s="224">
        <v>45322</v>
      </c>
      <c r="J279" s="225" t="s">
        <v>1881</v>
      </c>
      <c r="K279" s="225" t="s">
        <v>98</v>
      </c>
      <c r="L279" s="225" t="s">
        <v>3</v>
      </c>
      <c r="M279" s="223">
        <v>2</v>
      </c>
      <c r="N279" s="223">
        <v>4</v>
      </c>
      <c r="O279" s="223">
        <v>244</v>
      </c>
      <c r="P279" s="223">
        <v>0</v>
      </c>
      <c r="Q279" s="223">
        <v>24.53</v>
      </c>
      <c r="R279" s="225" t="s">
        <v>14</v>
      </c>
      <c r="S279" s="230">
        <v>3510360</v>
      </c>
      <c r="T279" s="226">
        <v>143104.76999999999</v>
      </c>
      <c r="U279" s="228"/>
      <c r="V279" s="226">
        <v>3510360</v>
      </c>
      <c r="W279" s="226">
        <v>143104.76966979209</v>
      </c>
      <c r="X279" s="228">
        <v>588720</v>
      </c>
      <c r="Y279" s="228">
        <f>Юрист[[#This Row],[Итоговая цена м2 с отделкой]]-Юрист[[#This Row],[Итоговая цена м2 без отделки]]</f>
        <v>24000</v>
      </c>
      <c r="Z279" s="226">
        <v>2921640</v>
      </c>
      <c r="AA279" s="223">
        <v>119104.76966979209</v>
      </c>
      <c r="AB279" s="225" t="s">
        <v>167</v>
      </c>
      <c r="AC279" s="226">
        <v>90360</v>
      </c>
      <c r="AD279" s="225" t="s">
        <v>862</v>
      </c>
      <c r="AE279" s="225" t="s">
        <v>863</v>
      </c>
      <c r="AF279" s="226">
        <v>622000</v>
      </c>
      <c r="AG279" s="226">
        <v>2471350</v>
      </c>
      <c r="AH279" s="226"/>
      <c r="AI279" s="226"/>
      <c r="AJ279" s="226"/>
      <c r="AK279" s="223" t="s">
        <v>864</v>
      </c>
      <c r="AL279" s="227">
        <v>1.4E-2</v>
      </c>
      <c r="AM279" s="229">
        <v>4.5999999999999999E-2</v>
      </c>
      <c r="AN279" s="223">
        <v>8.4000000000000005E-2</v>
      </c>
      <c r="AO279" s="223">
        <v>207593</v>
      </c>
      <c r="AP279" s="225" t="s">
        <v>1204</v>
      </c>
      <c r="AQ279" s="223">
        <v>79225592762</v>
      </c>
      <c r="AR279" s="225" t="s">
        <v>866</v>
      </c>
      <c r="AS279" s="224">
        <v>31810</v>
      </c>
      <c r="AT279" s="225" t="s">
        <v>867</v>
      </c>
      <c r="AU279" s="225" t="s">
        <v>868</v>
      </c>
      <c r="AV279" s="225" t="s">
        <v>869</v>
      </c>
      <c r="AW279" s="225" t="s">
        <v>172</v>
      </c>
      <c r="AX279" t="s">
        <v>2168</v>
      </c>
      <c r="AY279" s="224"/>
      <c r="AZ279" s="223" t="s">
        <v>1159</v>
      </c>
      <c r="BL279" s="223"/>
    </row>
    <row r="280" spans="1:64" x14ac:dyDescent="0.25">
      <c r="A280" s="223">
        <v>2243</v>
      </c>
      <c r="B280" s="223">
        <v>16</v>
      </c>
      <c r="C280" s="224">
        <v>45321</v>
      </c>
      <c r="D280" s="225" t="s">
        <v>1205</v>
      </c>
      <c r="E280" s="225" t="s">
        <v>859</v>
      </c>
      <c r="F280" s="225" t="s">
        <v>860</v>
      </c>
      <c r="G280" s="223" t="s">
        <v>861</v>
      </c>
      <c r="H280" s="224"/>
      <c r="I280" s="224">
        <v>45322</v>
      </c>
      <c r="J280" s="225" t="s">
        <v>1942</v>
      </c>
      <c r="K280" s="225" t="s">
        <v>98</v>
      </c>
      <c r="L280" s="225" t="s">
        <v>3</v>
      </c>
      <c r="M280" s="223">
        <v>2</v>
      </c>
      <c r="N280" s="223">
        <v>16</v>
      </c>
      <c r="O280" s="223">
        <v>328</v>
      </c>
      <c r="P280" s="223">
        <v>0</v>
      </c>
      <c r="Q280" s="223">
        <v>24.53</v>
      </c>
      <c r="R280" s="225" t="s">
        <v>14</v>
      </c>
      <c r="S280" s="230">
        <v>3409672</v>
      </c>
      <c r="T280" s="226">
        <v>139000.07999999999</v>
      </c>
      <c r="U280" s="228"/>
      <c r="V280" s="226">
        <v>3409672</v>
      </c>
      <c r="W280" s="226">
        <v>139000.08153281696</v>
      </c>
      <c r="X280" s="228">
        <v>490600</v>
      </c>
      <c r="Y280" s="228">
        <f>Юрист[[#This Row],[Итоговая цена м2 с отделкой]]-Юрист[[#This Row],[Итоговая цена м2 без отделки]]</f>
        <v>20000</v>
      </c>
      <c r="Z280" s="226">
        <v>2919072</v>
      </c>
      <c r="AA280" s="223">
        <v>119000.08153281696</v>
      </c>
      <c r="AB280" s="225" t="s">
        <v>162</v>
      </c>
      <c r="AC280" s="226">
        <v>121628.00000000047</v>
      </c>
      <c r="AD280" s="225" t="s">
        <v>862</v>
      </c>
      <c r="AE280" s="225" t="s">
        <v>863</v>
      </c>
      <c r="AF280" s="226">
        <v>1500000</v>
      </c>
      <c r="AG280" s="226">
        <v>1909672</v>
      </c>
      <c r="AH280" s="226"/>
      <c r="AI280" s="226"/>
      <c r="AJ280" s="226"/>
      <c r="AK280" s="223" t="s">
        <v>864</v>
      </c>
      <c r="AL280" s="227"/>
      <c r="AM280" s="229">
        <v>0.06</v>
      </c>
      <c r="AN280" s="223">
        <v>8.4000000000000005E-2</v>
      </c>
      <c r="AO280" s="223">
        <v>160412</v>
      </c>
      <c r="AP280" s="225" t="s">
        <v>1206</v>
      </c>
      <c r="AQ280" s="223">
        <v>79297009984</v>
      </c>
      <c r="AR280" s="225" t="s">
        <v>882</v>
      </c>
      <c r="AS280" s="224">
        <v>30710</v>
      </c>
      <c r="AT280" s="225" t="s">
        <v>1061</v>
      </c>
      <c r="AU280" s="225" t="s">
        <v>997</v>
      </c>
      <c r="AV280" s="225" t="s">
        <v>869</v>
      </c>
      <c r="AW280" s="225" t="s">
        <v>172</v>
      </c>
      <c r="AX280" t="s">
        <v>2172</v>
      </c>
      <c r="AY280" s="224"/>
      <c r="BL280" s="223"/>
    </row>
    <row r="281" spans="1:64" x14ac:dyDescent="0.25">
      <c r="A281" s="223">
        <v>2235</v>
      </c>
      <c r="B281" s="223">
        <v>8</v>
      </c>
      <c r="C281" s="224">
        <v>45315</v>
      </c>
      <c r="D281" s="225" t="s">
        <v>1198</v>
      </c>
      <c r="E281" s="225" t="s">
        <v>859</v>
      </c>
      <c r="F281" s="225" t="s">
        <v>860</v>
      </c>
      <c r="G281" s="223" t="s">
        <v>861</v>
      </c>
      <c r="H281" s="224"/>
      <c r="I281" s="224">
        <v>45320</v>
      </c>
      <c r="J281" s="225" t="s">
        <v>2084</v>
      </c>
      <c r="K281" s="225" t="s">
        <v>98</v>
      </c>
      <c r="L281" s="225" t="s">
        <v>2</v>
      </c>
      <c r="M281" s="223">
        <v>7</v>
      </c>
      <c r="N281" s="223">
        <v>18</v>
      </c>
      <c r="O281" s="223">
        <v>531</v>
      </c>
      <c r="P281" s="223">
        <v>3</v>
      </c>
      <c r="Q281" s="223">
        <v>79.44</v>
      </c>
      <c r="R281" s="225" t="s">
        <v>780</v>
      </c>
      <c r="S281" s="230">
        <v>7644980</v>
      </c>
      <c r="T281" s="226">
        <v>96235.9</v>
      </c>
      <c r="U281" s="228"/>
      <c r="V281" s="226">
        <v>7644980</v>
      </c>
      <c r="W281" s="226">
        <v>96235.901309164154</v>
      </c>
      <c r="X281" s="228">
        <v>556080</v>
      </c>
      <c r="Y281" s="228">
        <f>Юрист[[#This Row],[Итоговая цена м2 с отделкой]]-Юрист[[#This Row],[Итоговая цена м2 без отделки]]</f>
        <v>7000</v>
      </c>
      <c r="Z281" s="226">
        <v>7088900</v>
      </c>
      <c r="AA281" s="223">
        <v>89235.901309164154</v>
      </c>
      <c r="AB281" s="225"/>
      <c r="AD281" s="225" t="s">
        <v>862</v>
      </c>
      <c r="AE281" s="225" t="s">
        <v>863</v>
      </c>
      <c r="AF281" s="226">
        <v>1058033.28</v>
      </c>
      <c r="AG281" s="226">
        <v>6000000</v>
      </c>
      <c r="AH281" s="226">
        <v>586946.72</v>
      </c>
      <c r="AI281" s="226"/>
      <c r="AJ281" s="226"/>
      <c r="AK281" s="223" t="s">
        <v>864</v>
      </c>
      <c r="AL281" s="227">
        <v>1.4E-2</v>
      </c>
      <c r="AM281" s="229">
        <v>4.5999999999999999E-2</v>
      </c>
      <c r="AN281" s="223">
        <v>8.4000000000000005E-2</v>
      </c>
      <c r="AO281" s="223">
        <v>504000</v>
      </c>
      <c r="AP281" s="225" t="s">
        <v>1199</v>
      </c>
      <c r="AQ281" s="223">
        <v>79871575647</v>
      </c>
      <c r="AR281" s="225" t="s">
        <v>866</v>
      </c>
      <c r="AS281" s="224">
        <v>34700</v>
      </c>
      <c r="AT281" s="225" t="s">
        <v>885</v>
      </c>
      <c r="AU281" s="225" t="s">
        <v>1200</v>
      </c>
      <c r="AV281" s="225" t="s">
        <v>869</v>
      </c>
      <c r="AW281" s="225" t="s">
        <v>172</v>
      </c>
      <c r="AX281" t="s">
        <v>2172</v>
      </c>
      <c r="AY281" s="224"/>
      <c r="BL281" s="223"/>
    </row>
    <row r="282" spans="1:64" x14ac:dyDescent="0.25">
      <c r="A282" s="223">
        <v>2236</v>
      </c>
      <c r="B282" s="223">
        <v>9</v>
      </c>
      <c r="C282" s="224">
        <v>45315</v>
      </c>
      <c r="D282" s="225" t="s">
        <v>1201</v>
      </c>
      <c r="E282" s="225" t="s">
        <v>859</v>
      </c>
      <c r="F282" s="225" t="s">
        <v>860</v>
      </c>
      <c r="G282" s="223" t="s">
        <v>861</v>
      </c>
      <c r="H282" s="224"/>
      <c r="I282" s="224">
        <v>45320</v>
      </c>
      <c r="J282" s="225" t="s">
        <v>1820</v>
      </c>
      <c r="K282" s="225" t="s">
        <v>98</v>
      </c>
      <c r="L282" s="225" t="s">
        <v>4</v>
      </c>
      <c r="M282" s="223">
        <v>6</v>
      </c>
      <c r="N282" s="223">
        <v>6</v>
      </c>
      <c r="O282" s="223">
        <v>151</v>
      </c>
      <c r="P282" s="223">
        <v>3</v>
      </c>
      <c r="Q282" s="223">
        <v>84.99</v>
      </c>
      <c r="R282" s="225" t="s">
        <v>780</v>
      </c>
      <c r="S282" s="230">
        <v>7474866</v>
      </c>
      <c r="T282" s="226">
        <v>87949.95</v>
      </c>
      <c r="U282" s="228"/>
      <c r="V282" s="226">
        <v>7474866</v>
      </c>
      <c r="W282" s="226">
        <v>87949.947052594434</v>
      </c>
      <c r="X282" s="228">
        <v>594930</v>
      </c>
      <c r="Y282" s="228">
        <f>Юрист[[#This Row],[Итоговая цена м2 с отделкой]]-Юрист[[#This Row],[Итоговая цена м2 без отделки]]</f>
        <v>7000</v>
      </c>
      <c r="Z282" s="226">
        <v>6879936</v>
      </c>
      <c r="AA282" s="223">
        <v>80949.947052594434</v>
      </c>
      <c r="AB282" s="225" t="s">
        <v>162</v>
      </c>
      <c r="AC282" s="226">
        <v>286664</v>
      </c>
      <c r="AD282" s="225" t="s">
        <v>862</v>
      </c>
      <c r="AE282" s="225" t="s">
        <v>863</v>
      </c>
      <c r="AF282" s="226">
        <v>917053.28</v>
      </c>
      <c r="AG282" s="226">
        <v>5970866</v>
      </c>
      <c r="AH282" s="226">
        <v>586946.72</v>
      </c>
      <c r="AI282" s="226"/>
      <c r="AJ282" s="226"/>
      <c r="AK282" s="223" t="s">
        <v>864</v>
      </c>
      <c r="AL282" s="227">
        <v>1.4E-2</v>
      </c>
      <c r="AM282" s="229">
        <v>4.5999999999999999E-2</v>
      </c>
      <c r="AN282" s="223">
        <v>8.4000000000000005E-2</v>
      </c>
      <c r="AO282" s="223">
        <v>501553</v>
      </c>
      <c r="AP282" s="225" t="s">
        <v>1202</v>
      </c>
      <c r="AQ282" s="223">
        <v>79879156329</v>
      </c>
      <c r="AR282" s="225" t="s">
        <v>882</v>
      </c>
      <c r="AS282" s="224">
        <v>34088</v>
      </c>
      <c r="AT282" s="225" t="s">
        <v>878</v>
      </c>
      <c r="AU282" s="225" t="s">
        <v>868</v>
      </c>
      <c r="AV282" s="225" t="s">
        <v>879</v>
      </c>
      <c r="AW282" s="225" t="s">
        <v>172</v>
      </c>
      <c r="AX282" t="s">
        <v>2172</v>
      </c>
      <c r="AY282" s="224"/>
      <c r="BL282" s="223"/>
    </row>
    <row r="283" spans="1:64" x14ac:dyDescent="0.25">
      <c r="A283" s="223">
        <v>2228</v>
      </c>
      <c r="B283" s="223">
        <v>1</v>
      </c>
      <c r="C283" s="224">
        <v>45309</v>
      </c>
      <c r="D283" s="225" t="s">
        <v>1194</v>
      </c>
      <c r="E283" s="225" t="s">
        <v>859</v>
      </c>
      <c r="F283" s="225" t="s">
        <v>860</v>
      </c>
      <c r="G283" s="223" t="s">
        <v>861</v>
      </c>
      <c r="H283" s="224"/>
      <c r="I283" s="224">
        <v>45310</v>
      </c>
      <c r="J283" s="225" t="s">
        <v>1956</v>
      </c>
      <c r="K283" s="225" t="s">
        <v>98</v>
      </c>
      <c r="L283" s="225" t="s">
        <v>3</v>
      </c>
      <c r="M283" s="223">
        <v>5</v>
      </c>
      <c r="N283" s="223">
        <v>19</v>
      </c>
      <c r="O283" s="223">
        <v>352</v>
      </c>
      <c r="P283" s="223">
        <v>1</v>
      </c>
      <c r="Q283" s="223">
        <v>37.81</v>
      </c>
      <c r="R283" s="225" t="s">
        <v>14</v>
      </c>
      <c r="S283" s="230">
        <v>5285700</v>
      </c>
      <c r="T283" s="226">
        <v>139796.35</v>
      </c>
      <c r="U283" s="228"/>
      <c r="V283" s="226">
        <v>5285700</v>
      </c>
      <c r="W283" s="226">
        <v>139796.35017191217</v>
      </c>
      <c r="X283" s="228">
        <v>756200</v>
      </c>
      <c r="Y283" s="228">
        <f>Юрист[[#This Row],[Итоговая цена м2 с отделкой]]-Юрист[[#This Row],[Итоговая цена м2 без отделки]]</f>
        <v>19999.999999999985</v>
      </c>
      <c r="Z283" s="226">
        <v>4529500</v>
      </c>
      <c r="AA283" s="223">
        <v>119796.35017191219</v>
      </c>
      <c r="AB283" s="225"/>
      <c r="AD283" s="225" t="s">
        <v>862</v>
      </c>
      <c r="AE283" s="225" t="s">
        <v>863</v>
      </c>
      <c r="AF283" s="226">
        <v>1591000</v>
      </c>
      <c r="AG283" s="226">
        <v>3694700</v>
      </c>
      <c r="AH283" s="226"/>
      <c r="AI283" s="226"/>
      <c r="AJ283" s="226"/>
      <c r="AK283" s="223" t="s">
        <v>873</v>
      </c>
      <c r="AL283" s="227">
        <v>1.4E-2</v>
      </c>
      <c r="AM283" s="229">
        <v>6.6000000000000003E-2</v>
      </c>
      <c r="AN283" s="223">
        <v>7.4999999999999997E-2</v>
      </c>
      <c r="AO283" s="223">
        <v>277102</v>
      </c>
      <c r="AP283" s="225" t="s">
        <v>1195</v>
      </c>
      <c r="AQ283" s="223">
        <v>79397010028</v>
      </c>
      <c r="AR283" s="225" t="s">
        <v>866</v>
      </c>
      <c r="AS283" s="224">
        <v>37257</v>
      </c>
      <c r="AT283" s="225" t="s">
        <v>888</v>
      </c>
      <c r="AU283" s="225" t="s">
        <v>997</v>
      </c>
      <c r="AV283" s="225" t="s">
        <v>869</v>
      </c>
      <c r="AW283" s="225" t="s">
        <v>172</v>
      </c>
      <c r="AX283" t="s">
        <v>2172</v>
      </c>
      <c r="AY283" s="224"/>
      <c r="BL283" s="223"/>
    </row>
    <row r="284" spans="1:64" x14ac:dyDescent="0.25">
      <c r="A284" s="223">
        <v>2229</v>
      </c>
      <c r="B284" s="223">
        <v>2</v>
      </c>
      <c r="C284" s="224">
        <v>45309</v>
      </c>
      <c r="D284" s="225" t="s">
        <v>1196</v>
      </c>
      <c r="E284" s="225" t="s">
        <v>859</v>
      </c>
      <c r="F284" s="225" t="s">
        <v>860</v>
      </c>
      <c r="G284" s="223" t="s">
        <v>861</v>
      </c>
      <c r="H284" s="224"/>
      <c r="I284" s="224">
        <v>45310</v>
      </c>
      <c r="J284" s="225" t="s">
        <v>2005</v>
      </c>
      <c r="K284" s="225" t="s">
        <v>98</v>
      </c>
      <c r="L284" s="225" t="s">
        <v>2</v>
      </c>
      <c r="M284" s="223">
        <v>4</v>
      </c>
      <c r="N284" s="223">
        <v>6</v>
      </c>
      <c r="O284" s="223">
        <v>432</v>
      </c>
      <c r="P284" s="223">
        <v>2</v>
      </c>
      <c r="Q284" s="223">
        <v>58.24</v>
      </c>
      <c r="R284" s="225" t="s">
        <v>780</v>
      </c>
      <c r="S284" s="230">
        <v>5614224</v>
      </c>
      <c r="T284" s="226">
        <v>96398.080000000002</v>
      </c>
      <c r="U284" s="228"/>
      <c r="V284" s="226">
        <v>5614224</v>
      </c>
      <c r="W284" s="226">
        <v>96398.076923076922</v>
      </c>
      <c r="X284" s="228">
        <v>407680</v>
      </c>
      <c r="Y284" s="228">
        <f>Юрист[[#This Row],[Итоговая цена м2 с отделкой]]-Юрист[[#This Row],[Итоговая цена м2 без отделки]]</f>
        <v>7000</v>
      </c>
      <c r="Z284" s="226">
        <v>5206544</v>
      </c>
      <c r="AA284" s="223">
        <v>89398.076923076922</v>
      </c>
      <c r="AB284" s="225" t="s">
        <v>757</v>
      </c>
      <c r="AC284" s="226">
        <v>106256.00000000093</v>
      </c>
      <c r="AD284" s="225" t="s">
        <v>862</v>
      </c>
      <c r="AE284" s="225" t="s">
        <v>863</v>
      </c>
      <c r="AF284" s="226">
        <v>542053.28</v>
      </c>
      <c r="AG284" s="226">
        <v>4485224</v>
      </c>
      <c r="AH284" s="226">
        <v>586946.72</v>
      </c>
      <c r="AI284" s="226"/>
      <c r="AJ284" s="226"/>
      <c r="AK284" s="223" t="s">
        <v>864</v>
      </c>
      <c r="AL284" s="227">
        <v>1.4E-2</v>
      </c>
      <c r="AM284" s="229">
        <v>4.5999999999999999E-2</v>
      </c>
      <c r="AN284" s="223">
        <v>8.4000000000000005E-2</v>
      </c>
      <c r="AO284" s="223">
        <v>376759</v>
      </c>
      <c r="AP284" s="225" t="s">
        <v>1197</v>
      </c>
      <c r="AQ284" s="223">
        <v>79270214133</v>
      </c>
      <c r="AR284" s="225" t="s">
        <v>882</v>
      </c>
      <c r="AS284" s="224">
        <v>34849</v>
      </c>
      <c r="AT284" s="225" t="s">
        <v>878</v>
      </c>
      <c r="AU284" s="225" t="s">
        <v>997</v>
      </c>
      <c r="AV284" s="225" t="s">
        <v>869</v>
      </c>
      <c r="AW284" s="225" t="s">
        <v>172</v>
      </c>
      <c r="AX284" t="s">
        <v>2172</v>
      </c>
      <c r="AY284" s="224"/>
      <c r="BL284" s="223"/>
    </row>
    <row r="285" spans="1:64" x14ac:dyDescent="0.25">
      <c r="A285" s="223">
        <v>2227</v>
      </c>
      <c r="B285" s="223">
        <v>49</v>
      </c>
      <c r="C285" s="224">
        <v>45290</v>
      </c>
      <c r="D285" s="225" t="s">
        <v>1192</v>
      </c>
      <c r="E285" s="225" t="s">
        <v>859</v>
      </c>
      <c r="F285" s="225" t="s">
        <v>860</v>
      </c>
      <c r="G285" s="223" t="s">
        <v>861</v>
      </c>
      <c r="H285" s="224"/>
      <c r="I285" s="224">
        <v>45302</v>
      </c>
      <c r="J285" s="225" t="s">
        <v>2029</v>
      </c>
      <c r="K285" s="225" t="s">
        <v>98</v>
      </c>
      <c r="L285" s="225" t="s">
        <v>2</v>
      </c>
      <c r="M285" s="223">
        <v>8</v>
      </c>
      <c r="N285" s="223">
        <v>9</v>
      </c>
      <c r="O285" s="223">
        <v>460</v>
      </c>
      <c r="P285" s="223">
        <v>1</v>
      </c>
      <c r="Q285" s="223">
        <v>39.69</v>
      </c>
      <c r="R285" s="225" t="s">
        <v>14</v>
      </c>
      <c r="S285" s="230">
        <v>4738445</v>
      </c>
      <c r="T285" s="226">
        <v>119386.37</v>
      </c>
      <c r="U285" s="228"/>
      <c r="V285" s="226">
        <v>4738445</v>
      </c>
      <c r="W285" s="226">
        <v>119386.36936255984</v>
      </c>
      <c r="X285" s="228">
        <v>873180</v>
      </c>
      <c r="Y285" s="228">
        <f>Юрист[[#This Row],[Итоговая цена м2 с отделкой]]-Юрист[[#This Row],[Итоговая цена м2 без отделки]]</f>
        <v>22000</v>
      </c>
      <c r="Z285" s="226">
        <v>3865265</v>
      </c>
      <c r="AA285" s="223">
        <v>97386.369362559839</v>
      </c>
      <c r="AB285" s="225" t="s">
        <v>162</v>
      </c>
      <c r="AC285" s="226">
        <v>203435</v>
      </c>
      <c r="AD285" s="225" t="s">
        <v>862</v>
      </c>
      <c r="AE285" s="225" t="s">
        <v>863</v>
      </c>
      <c r="AF285" s="226">
        <v>1427000</v>
      </c>
      <c r="AG285" s="226">
        <v>3311445</v>
      </c>
      <c r="AH285" s="226"/>
      <c r="AI285" s="226"/>
      <c r="AJ285" s="226"/>
      <c r="AK285" s="223" t="s">
        <v>873</v>
      </c>
      <c r="AL285" s="227">
        <v>1.4E-2</v>
      </c>
      <c r="AM285" s="229">
        <v>6.6000000000000003E-2</v>
      </c>
      <c r="AO285" s="223">
        <v>0</v>
      </c>
      <c r="AP285" s="225" t="s">
        <v>1193</v>
      </c>
      <c r="AQ285" s="223">
        <v>79879223624</v>
      </c>
      <c r="AR285" s="225" t="s">
        <v>882</v>
      </c>
      <c r="AS285" s="224">
        <v>35653</v>
      </c>
      <c r="AT285" s="225" t="s">
        <v>878</v>
      </c>
      <c r="AU285" s="225" t="s">
        <v>997</v>
      </c>
      <c r="AV285" s="225" t="s">
        <v>869</v>
      </c>
      <c r="AW285" s="225" t="s">
        <v>172</v>
      </c>
      <c r="AX285" t="s">
        <v>2172</v>
      </c>
      <c r="AY285" s="224"/>
      <c r="BL285" s="223"/>
    </row>
    <row r="286" spans="1:64" x14ac:dyDescent="0.25">
      <c r="A286" s="223">
        <v>2221</v>
      </c>
      <c r="B286" s="223">
        <v>43</v>
      </c>
      <c r="C286" s="224">
        <v>45289</v>
      </c>
      <c r="D286" s="225" t="s">
        <v>1186</v>
      </c>
      <c r="E286" s="225" t="s">
        <v>859</v>
      </c>
      <c r="F286" s="225" t="s">
        <v>860</v>
      </c>
      <c r="G286" s="223" t="s">
        <v>861</v>
      </c>
      <c r="H286" s="224"/>
      <c r="I286" s="224">
        <v>45301</v>
      </c>
      <c r="J286" s="225" t="s">
        <v>1844</v>
      </c>
      <c r="K286" s="225" t="s">
        <v>98</v>
      </c>
      <c r="L286" s="225" t="s">
        <v>4</v>
      </c>
      <c r="M286" s="223">
        <v>5</v>
      </c>
      <c r="N286" s="223">
        <v>11</v>
      </c>
      <c r="O286" s="223">
        <v>185</v>
      </c>
      <c r="P286" s="223">
        <v>1</v>
      </c>
      <c r="Q286" s="223">
        <v>37.86</v>
      </c>
      <c r="R286" s="225" t="s">
        <v>14</v>
      </c>
      <c r="S286" s="230">
        <v>4768720</v>
      </c>
      <c r="T286" s="226">
        <v>125956.68</v>
      </c>
      <c r="U286" s="228"/>
      <c r="V286" s="226">
        <v>4768720</v>
      </c>
      <c r="W286" s="226">
        <v>125956.6825145272</v>
      </c>
      <c r="X286" s="228">
        <v>832920</v>
      </c>
      <c r="Y286" s="228">
        <f>Юрист[[#This Row],[Итоговая цена м2 с отделкой]]-Юрист[[#This Row],[Итоговая цена м2 без отделки]]</f>
        <v>22000</v>
      </c>
      <c r="Z286" s="226">
        <v>3935800</v>
      </c>
      <c r="AA286" s="223">
        <v>103956.6825145272</v>
      </c>
      <c r="AB286" s="225"/>
      <c r="AD286" s="225" t="s">
        <v>862</v>
      </c>
      <c r="AE286" s="225" t="s">
        <v>863</v>
      </c>
      <c r="AF286" s="226">
        <v>959000</v>
      </c>
      <c r="AG286" s="226">
        <v>3809720</v>
      </c>
      <c r="AH286" s="226"/>
      <c r="AI286" s="226"/>
      <c r="AJ286" s="226"/>
      <c r="AK286" s="223" t="s">
        <v>864</v>
      </c>
      <c r="AL286" s="227">
        <v>1.4E-2</v>
      </c>
      <c r="AM286" s="229">
        <v>4.5999999999999999E-2</v>
      </c>
      <c r="AO286" s="223">
        <v>0</v>
      </c>
      <c r="AP286" s="225" t="s">
        <v>1187</v>
      </c>
      <c r="AQ286" s="223">
        <v>79033330944</v>
      </c>
      <c r="AR286" s="225" t="s">
        <v>882</v>
      </c>
      <c r="AS286" s="224">
        <v>29872</v>
      </c>
      <c r="AT286" s="225" t="s">
        <v>888</v>
      </c>
      <c r="AU286" s="225" t="s">
        <v>868</v>
      </c>
      <c r="AV286" s="225" t="s">
        <v>879</v>
      </c>
      <c r="AW286" s="225" t="s">
        <v>172</v>
      </c>
      <c r="AX286" t="s">
        <v>2172</v>
      </c>
      <c r="AY286" s="224"/>
      <c r="BL286" s="223"/>
    </row>
    <row r="287" spans="1:64" x14ac:dyDescent="0.25">
      <c r="A287" s="223">
        <v>2222</v>
      </c>
      <c r="B287" s="223">
        <v>44</v>
      </c>
      <c r="C287" s="224">
        <v>45289</v>
      </c>
      <c r="D287" s="225" t="s">
        <v>1188</v>
      </c>
      <c r="E287" s="225" t="s">
        <v>859</v>
      </c>
      <c r="F287" s="225" t="s">
        <v>860</v>
      </c>
      <c r="G287" s="223" t="s">
        <v>861</v>
      </c>
      <c r="H287" s="224"/>
      <c r="I287" s="224">
        <v>45301</v>
      </c>
      <c r="J287" s="225" t="s">
        <v>1848</v>
      </c>
      <c r="K287" s="225" t="s">
        <v>98</v>
      </c>
      <c r="L287" s="225" t="s">
        <v>4</v>
      </c>
      <c r="M287" s="223">
        <v>6</v>
      </c>
      <c r="N287" s="223">
        <v>12</v>
      </c>
      <c r="O287" s="223">
        <v>193</v>
      </c>
      <c r="P287" s="223">
        <v>3</v>
      </c>
      <c r="Q287" s="223">
        <v>84.99</v>
      </c>
      <c r="R287" s="225" t="s">
        <v>12</v>
      </c>
      <c r="S287" s="230">
        <v>6419910</v>
      </c>
      <c r="T287" s="226">
        <v>75537.240000000005</v>
      </c>
      <c r="U287" s="228"/>
      <c r="V287" s="226">
        <v>6419910</v>
      </c>
      <c r="W287" s="226">
        <v>75537.239675255914</v>
      </c>
      <c r="X287" s="228"/>
      <c r="Y287" s="228">
        <f>Юрист[[#This Row],[Итоговая цена м2 с отделкой]]-Юрист[[#This Row],[Итоговая цена м2 без отделки]]</f>
        <v>0</v>
      </c>
      <c r="Z287" s="226">
        <v>6419910</v>
      </c>
      <c r="AA287" s="223">
        <v>75537.239675255914</v>
      </c>
      <c r="AB287" s="225" t="s">
        <v>162</v>
      </c>
      <c r="AC287" s="226">
        <v>337890</v>
      </c>
      <c r="AD287" s="225" t="s">
        <v>862</v>
      </c>
      <c r="AE287" s="225" t="s">
        <v>863</v>
      </c>
      <c r="AF287" s="226">
        <v>705000</v>
      </c>
      <c r="AG287" s="226">
        <v>5127963.28</v>
      </c>
      <c r="AH287" s="226">
        <v>586946.72</v>
      </c>
      <c r="AI287" s="226"/>
      <c r="AJ287" s="226"/>
      <c r="AK287" s="223" t="s">
        <v>864</v>
      </c>
      <c r="AL287" s="227">
        <v>1.4E-2</v>
      </c>
      <c r="AM287" s="229">
        <v>4.5999999999999999E-2</v>
      </c>
      <c r="AO287" s="223">
        <v>0</v>
      </c>
      <c r="AP287" s="225" t="s">
        <v>1189</v>
      </c>
      <c r="AQ287" s="223">
        <v>79378083435</v>
      </c>
      <c r="AR287" s="225" t="s">
        <v>882</v>
      </c>
      <c r="AS287" s="224">
        <v>27915</v>
      </c>
      <c r="AT287" s="225" t="s">
        <v>888</v>
      </c>
      <c r="AU287" s="225" t="s">
        <v>899</v>
      </c>
      <c r="AV287" s="225" t="s">
        <v>869</v>
      </c>
      <c r="AW287" s="225" t="s">
        <v>172</v>
      </c>
      <c r="AX287" t="s">
        <v>2172</v>
      </c>
      <c r="AY287" s="224"/>
      <c r="BL287" s="223"/>
    </row>
    <row r="288" spans="1:64" s="244" customFormat="1" x14ac:dyDescent="0.25">
      <c r="A288" s="223">
        <v>2223</v>
      </c>
      <c r="B288" s="223">
        <v>45</v>
      </c>
      <c r="C288" s="224">
        <v>45289</v>
      </c>
      <c r="D288" s="225" t="s">
        <v>1190</v>
      </c>
      <c r="E288" s="225" t="s">
        <v>859</v>
      </c>
      <c r="F288" s="225" t="s">
        <v>860</v>
      </c>
      <c r="G288" s="223" t="s">
        <v>861</v>
      </c>
      <c r="H288" s="224"/>
      <c r="I288" s="224">
        <v>45301</v>
      </c>
      <c r="J288" s="225" t="s">
        <v>1730</v>
      </c>
      <c r="K288" s="225" t="s">
        <v>98</v>
      </c>
      <c r="L288" s="225" t="s">
        <v>5</v>
      </c>
      <c r="M288" s="223">
        <v>5</v>
      </c>
      <c r="N288" s="223">
        <v>3</v>
      </c>
      <c r="O288" s="223">
        <v>18</v>
      </c>
      <c r="P288" s="223">
        <v>2</v>
      </c>
      <c r="Q288" s="223">
        <v>62.17</v>
      </c>
      <c r="R288" s="225" t="s">
        <v>13</v>
      </c>
      <c r="S288" s="230">
        <v>5887875</v>
      </c>
      <c r="T288" s="226">
        <v>94706.05</v>
      </c>
      <c r="U288" s="228"/>
      <c r="V288" s="226">
        <v>5887875</v>
      </c>
      <c r="W288" s="226">
        <v>94706.047933086695</v>
      </c>
      <c r="X288" s="228">
        <v>466275</v>
      </c>
      <c r="Y288" s="228">
        <f>Юрист[[#This Row],[Итоговая цена м2 с отделкой]]-Юрист[[#This Row],[Итоговая цена м2 без отделки]]</f>
        <v>7500</v>
      </c>
      <c r="Z288" s="226">
        <v>5421600</v>
      </c>
      <c r="AA288" s="223">
        <v>87206.047933086695</v>
      </c>
      <c r="AB288" s="225" t="s">
        <v>766</v>
      </c>
      <c r="AC288" s="226">
        <v>30000</v>
      </c>
      <c r="AD288" s="225" t="s">
        <v>862</v>
      </c>
      <c r="AE288" s="225" t="s">
        <v>863</v>
      </c>
      <c r="AF288" s="226">
        <v>598000</v>
      </c>
      <c r="AG288" s="226">
        <v>4702928.28</v>
      </c>
      <c r="AH288" s="226">
        <v>586946.72</v>
      </c>
      <c r="AI288" s="226"/>
      <c r="AJ288" s="226"/>
      <c r="AK288" s="223" t="s">
        <v>864</v>
      </c>
      <c r="AL288" s="227">
        <v>1.4E-2</v>
      </c>
      <c r="AM288" s="229">
        <v>4.5999999999999999E-2</v>
      </c>
      <c r="AN288" s="223"/>
      <c r="AO288" s="223">
        <v>0</v>
      </c>
      <c r="AP288" s="225" t="s">
        <v>1191</v>
      </c>
      <c r="AQ288" s="223">
        <v>79966205972</v>
      </c>
      <c r="AR288" s="225" t="s">
        <v>866</v>
      </c>
      <c r="AS288" s="224">
        <v>32606</v>
      </c>
      <c r="AT288" s="225" t="s">
        <v>1115</v>
      </c>
      <c r="AU288" s="225" t="s">
        <v>899</v>
      </c>
      <c r="AV288" s="225" t="s">
        <v>869</v>
      </c>
      <c r="AW288" s="225" t="s">
        <v>172</v>
      </c>
      <c r="AX288" t="s">
        <v>2168</v>
      </c>
      <c r="AY288" s="224"/>
      <c r="AZ288" s="223"/>
    </row>
    <row r="289" spans="1:64" s="244" customFormat="1" x14ac:dyDescent="0.25">
      <c r="A289" s="223">
        <v>2216</v>
      </c>
      <c r="B289" s="223">
        <v>38</v>
      </c>
      <c r="C289" s="224">
        <v>45288</v>
      </c>
      <c r="D289" s="225" t="s">
        <v>1182</v>
      </c>
      <c r="E289" s="225" t="s">
        <v>859</v>
      </c>
      <c r="F289" s="225" t="s">
        <v>860</v>
      </c>
      <c r="G289" s="223" t="s">
        <v>861</v>
      </c>
      <c r="H289" s="224"/>
      <c r="I289" s="224">
        <v>45300</v>
      </c>
      <c r="J289" s="225" t="s">
        <v>1927</v>
      </c>
      <c r="K289" s="225" t="s">
        <v>98</v>
      </c>
      <c r="L289" s="225" t="s">
        <v>3</v>
      </c>
      <c r="M289" s="223">
        <v>2</v>
      </c>
      <c r="N289" s="223">
        <v>13</v>
      </c>
      <c r="O289" s="223">
        <v>307</v>
      </c>
      <c r="P289" s="223">
        <v>0</v>
      </c>
      <c r="Q289" s="223">
        <v>24.53</v>
      </c>
      <c r="R289" s="225" t="s">
        <v>12</v>
      </c>
      <c r="S289" s="230">
        <v>2768342.55</v>
      </c>
      <c r="T289" s="226">
        <v>112855.38</v>
      </c>
      <c r="U289" s="228">
        <v>15000</v>
      </c>
      <c r="V289" s="226">
        <v>2783342.55</v>
      </c>
      <c r="W289" s="226">
        <v>113466.87933143089</v>
      </c>
      <c r="X289" s="228"/>
      <c r="Y289" s="228">
        <f>Юрист[[#This Row],[Итоговая цена м2 с отделкой]]-Юрист[[#This Row],[Итоговая цена м2 без отделки]]</f>
        <v>0</v>
      </c>
      <c r="Z289" s="226">
        <v>2783342.55</v>
      </c>
      <c r="AA289" s="223">
        <v>113466.87933143089</v>
      </c>
      <c r="AB289" s="225" t="s">
        <v>978</v>
      </c>
      <c r="AC289" s="226">
        <v>56802.91</v>
      </c>
      <c r="AD289" s="225" t="s">
        <v>901</v>
      </c>
      <c r="AE289" s="225" t="s">
        <v>902</v>
      </c>
      <c r="AF289" s="226"/>
      <c r="AG289" s="226"/>
      <c r="AH289" s="226"/>
      <c r="AI289" s="226"/>
      <c r="AJ289" s="226"/>
      <c r="AK289" s="223"/>
      <c r="AL289" s="227"/>
      <c r="AM289" s="229"/>
      <c r="AN289" s="223"/>
      <c r="AO289" s="223">
        <v>0</v>
      </c>
      <c r="AP289" s="225" t="s">
        <v>1183</v>
      </c>
      <c r="AQ289" s="223">
        <v>79272052428</v>
      </c>
      <c r="AR289" s="225" t="s">
        <v>866</v>
      </c>
      <c r="AS289" s="224">
        <v>27500</v>
      </c>
      <c r="AT289" s="225" t="s">
        <v>907</v>
      </c>
      <c r="AU289" s="225" t="s">
        <v>997</v>
      </c>
      <c r="AV289" s="225" t="s">
        <v>902</v>
      </c>
      <c r="AW289" s="225" t="s">
        <v>172</v>
      </c>
      <c r="AX289" t="s">
        <v>2172</v>
      </c>
      <c r="AY289" s="224"/>
      <c r="AZ289" s="223"/>
    </row>
    <row r="290" spans="1:64" x14ac:dyDescent="0.25">
      <c r="A290" s="223">
        <v>2220</v>
      </c>
      <c r="B290" s="223">
        <v>42</v>
      </c>
      <c r="C290" s="224">
        <v>45288</v>
      </c>
      <c r="D290" s="225" t="s">
        <v>1184</v>
      </c>
      <c r="E290" s="225" t="s">
        <v>859</v>
      </c>
      <c r="F290" s="225" t="s">
        <v>860</v>
      </c>
      <c r="G290" s="223" t="s">
        <v>861</v>
      </c>
      <c r="H290" s="224"/>
      <c r="I290" s="224">
        <v>45300</v>
      </c>
      <c r="J290" s="225" t="s">
        <v>2040</v>
      </c>
      <c r="K290" s="225" t="s">
        <v>98</v>
      </c>
      <c r="L290" s="225" t="s">
        <v>2</v>
      </c>
      <c r="M290" s="223">
        <v>6</v>
      </c>
      <c r="N290" s="223">
        <v>11</v>
      </c>
      <c r="O290" s="223">
        <v>474</v>
      </c>
      <c r="P290" s="223">
        <v>1</v>
      </c>
      <c r="Q290" s="223">
        <v>38.299999999999997</v>
      </c>
      <c r="R290" s="225" t="s">
        <v>14</v>
      </c>
      <c r="S290" s="230">
        <v>4498390</v>
      </c>
      <c r="T290" s="226">
        <v>117451.44</v>
      </c>
      <c r="U290" s="228"/>
      <c r="V290" s="226">
        <v>4498390</v>
      </c>
      <c r="W290" s="226">
        <v>117451.4360313316</v>
      </c>
      <c r="X290" s="228">
        <v>842599.99999999988</v>
      </c>
      <c r="Y290" s="228">
        <f>Юрист[[#This Row],[Итоговая цена м2 с отделкой]]-Юрист[[#This Row],[Итоговая цена м2 без отделки]]</f>
        <v>22000</v>
      </c>
      <c r="Z290" s="226">
        <v>3655790</v>
      </c>
      <c r="AA290" s="223">
        <v>95451.436031331599</v>
      </c>
      <c r="AB290" s="225" t="s">
        <v>162</v>
      </c>
      <c r="AC290" s="226">
        <v>192410</v>
      </c>
      <c r="AD290" s="225" t="s">
        <v>936</v>
      </c>
      <c r="AE290" s="225" t="s">
        <v>902</v>
      </c>
      <c r="AF290" s="226"/>
      <c r="AG290" s="226"/>
      <c r="AH290" s="226"/>
      <c r="AI290" s="226"/>
      <c r="AJ290" s="226"/>
      <c r="AL290" s="227"/>
      <c r="AM290" s="229"/>
      <c r="AO290" s="223">
        <v>0</v>
      </c>
      <c r="AP290" s="225" t="s">
        <v>1185</v>
      </c>
      <c r="AQ290" s="223">
        <v>79171635049</v>
      </c>
      <c r="AR290" s="225" t="s">
        <v>866</v>
      </c>
      <c r="AS290" s="224">
        <v>31872</v>
      </c>
      <c r="AT290" s="225" t="s">
        <v>878</v>
      </c>
      <c r="AU290" s="225" t="s">
        <v>997</v>
      </c>
      <c r="AV290" s="225" t="s">
        <v>902</v>
      </c>
      <c r="AW290" s="225" t="s">
        <v>172</v>
      </c>
      <c r="AX290" t="s">
        <v>2172</v>
      </c>
      <c r="AY290" s="224"/>
      <c r="BL290" s="223"/>
    </row>
    <row r="291" spans="1:64" x14ac:dyDescent="0.25">
      <c r="A291" s="223">
        <v>2215</v>
      </c>
      <c r="B291" s="223">
        <v>37</v>
      </c>
      <c r="C291" s="224">
        <v>45287</v>
      </c>
      <c r="D291" s="225" t="s">
        <v>1180</v>
      </c>
      <c r="E291" s="225" t="s">
        <v>859</v>
      </c>
      <c r="F291" s="225" t="s">
        <v>860</v>
      </c>
      <c r="G291" s="223" t="s">
        <v>861</v>
      </c>
      <c r="H291" s="224"/>
      <c r="I291" s="224">
        <v>45289</v>
      </c>
      <c r="J291" s="225" t="s">
        <v>1963</v>
      </c>
      <c r="K291" s="225" t="s">
        <v>98</v>
      </c>
      <c r="L291" s="225" t="s">
        <v>3</v>
      </c>
      <c r="M291" s="223">
        <v>7</v>
      </c>
      <c r="N291" s="223">
        <v>22</v>
      </c>
      <c r="O291" s="223">
        <v>375</v>
      </c>
      <c r="P291" s="223">
        <v>1</v>
      </c>
      <c r="Q291" s="223">
        <v>34.81</v>
      </c>
      <c r="R291" s="225" t="s">
        <v>14</v>
      </c>
      <c r="S291" s="230">
        <v>4707085</v>
      </c>
      <c r="T291" s="226">
        <v>135222.21</v>
      </c>
      <c r="U291" s="228"/>
      <c r="V291" s="226">
        <v>4707085</v>
      </c>
      <c r="W291" s="226">
        <v>135222.20626256822</v>
      </c>
      <c r="X291" s="228">
        <v>765820</v>
      </c>
      <c r="Y291" s="228">
        <f>Юрист[[#This Row],[Итоговая цена м2 с отделкой]]-Юрист[[#This Row],[Итоговая цена м2 без отделки]]</f>
        <v>22000</v>
      </c>
      <c r="Z291" s="226">
        <v>3941265</v>
      </c>
      <c r="AA291" s="223">
        <v>113222.20626256822</v>
      </c>
      <c r="AB291" s="225" t="s">
        <v>162</v>
      </c>
      <c r="AC291" s="226">
        <v>207435</v>
      </c>
      <c r="AD291" s="225" t="s">
        <v>901</v>
      </c>
      <c r="AE291" s="225" t="s">
        <v>902</v>
      </c>
      <c r="AF291" s="226"/>
      <c r="AG291" s="226"/>
      <c r="AH291" s="226"/>
      <c r="AI291" s="226"/>
      <c r="AJ291" s="226"/>
      <c r="AL291" s="227"/>
      <c r="AM291" s="229"/>
      <c r="AO291" s="223">
        <v>0</v>
      </c>
      <c r="AP291" s="225" t="s">
        <v>1181</v>
      </c>
      <c r="AQ291" s="223">
        <v>79277046938</v>
      </c>
      <c r="AR291" s="225" t="s">
        <v>882</v>
      </c>
      <c r="AS291" s="224">
        <v>34697</v>
      </c>
      <c r="AT291" s="225" t="s">
        <v>907</v>
      </c>
      <c r="AU291" s="225" t="s">
        <v>997</v>
      </c>
      <c r="AV291" s="225" t="s">
        <v>902</v>
      </c>
      <c r="AW291" s="225" t="s">
        <v>172</v>
      </c>
      <c r="AX291" t="s">
        <v>2172</v>
      </c>
      <c r="AY291" s="224"/>
      <c r="BL291" s="223"/>
    </row>
    <row r="292" spans="1:64" x14ac:dyDescent="0.25">
      <c r="A292" s="223">
        <v>2211</v>
      </c>
      <c r="B292" s="223">
        <v>33</v>
      </c>
      <c r="C292" s="224">
        <v>45285</v>
      </c>
      <c r="D292" s="225" t="s">
        <v>1176</v>
      </c>
      <c r="E292" s="225" t="s">
        <v>859</v>
      </c>
      <c r="F292" s="225" t="s">
        <v>860</v>
      </c>
      <c r="G292" s="223" t="s">
        <v>861</v>
      </c>
      <c r="H292" s="224"/>
      <c r="I292" s="224">
        <v>45288</v>
      </c>
      <c r="J292" s="225" t="s">
        <v>1757</v>
      </c>
      <c r="K292" s="225" t="s">
        <v>98</v>
      </c>
      <c r="L292" s="225" t="s">
        <v>5</v>
      </c>
      <c r="M292" s="223">
        <v>6</v>
      </c>
      <c r="N292" s="223">
        <v>8</v>
      </c>
      <c r="O292" s="223">
        <v>54</v>
      </c>
      <c r="P292" s="223">
        <v>2</v>
      </c>
      <c r="Q292" s="223">
        <v>58.16</v>
      </c>
      <c r="R292" s="225" t="s">
        <v>14</v>
      </c>
      <c r="S292" s="230">
        <v>6301334</v>
      </c>
      <c r="T292" s="226">
        <v>108344.81</v>
      </c>
      <c r="U292" s="228"/>
      <c r="V292" s="226">
        <v>6301334</v>
      </c>
      <c r="W292" s="226">
        <v>108344.80742778543</v>
      </c>
      <c r="X292" s="228">
        <v>1279520</v>
      </c>
      <c r="Y292" s="228">
        <f>Юрист[[#This Row],[Итоговая цена м2 с отделкой]]-Юрист[[#This Row],[Итоговая цена м2 без отделки]]</f>
        <v>22000.000000000015</v>
      </c>
      <c r="Z292" s="226">
        <v>5021814</v>
      </c>
      <c r="AA292" s="223">
        <v>86344.807427785418</v>
      </c>
      <c r="AB292" s="225" t="s">
        <v>757</v>
      </c>
      <c r="AC292" s="226">
        <v>102486</v>
      </c>
      <c r="AD292" s="225" t="s">
        <v>862</v>
      </c>
      <c r="AE292" s="225" t="s">
        <v>863</v>
      </c>
      <c r="AF292" s="226">
        <v>3000000</v>
      </c>
      <c r="AG292" s="226">
        <v>3301334</v>
      </c>
      <c r="AH292" s="226"/>
      <c r="AI292" s="226"/>
      <c r="AJ292" s="226"/>
      <c r="AK292" s="223" t="s">
        <v>873</v>
      </c>
      <c r="AL292" s="227">
        <v>1.4E-2</v>
      </c>
      <c r="AM292" s="229">
        <v>6.6000000000000003E-2</v>
      </c>
      <c r="AO292" s="223">
        <v>0</v>
      </c>
      <c r="AP292" s="225" t="s">
        <v>1177</v>
      </c>
      <c r="AQ292" s="223">
        <v>79272472343</v>
      </c>
      <c r="AR292" s="225" t="s">
        <v>866</v>
      </c>
      <c r="AS292" s="224">
        <v>30898</v>
      </c>
      <c r="AT292" s="225" t="s">
        <v>885</v>
      </c>
      <c r="AU292" s="225" t="s">
        <v>899</v>
      </c>
      <c r="AV292" s="225" t="s">
        <v>879</v>
      </c>
      <c r="AW292" s="225" t="s">
        <v>172</v>
      </c>
      <c r="AX292" t="s">
        <v>2172</v>
      </c>
      <c r="AY292" s="224"/>
      <c r="BL292" s="223"/>
    </row>
    <row r="293" spans="1:64" x14ac:dyDescent="0.25">
      <c r="A293" s="223">
        <v>2212</v>
      </c>
      <c r="B293" s="223">
        <v>34</v>
      </c>
      <c r="C293" s="224">
        <v>45285</v>
      </c>
      <c r="D293" s="225" t="s">
        <v>1178</v>
      </c>
      <c r="E293" s="225" t="s">
        <v>859</v>
      </c>
      <c r="F293" s="225" t="s">
        <v>860</v>
      </c>
      <c r="G293" s="223" t="s">
        <v>861</v>
      </c>
      <c r="H293" s="224"/>
      <c r="I293" s="224">
        <v>45288</v>
      </c>
      <c r="J293" s="225" t="s">
        <v>1890</v>
      </c>
      <c r="K293" s="225" t="s">
        <v>98</v>
      </c>
      <c r="L293" s="225" t="s">
        <v>3</v>
      </c>
      <c r="M293" s="223">
        <v>1</v>
      </c>
      <c r="N293" s="223">
        <v>6</v>
      </c>
      <c r="O293" s="223">
        <v>257</v>
      </c>
      <c r="P293" s="223">
        <v>2</v>
      </c>
      <c r="Q293" s="223">
        <v>73.7</v>
      </c>
      <c r="R293" s="225" t="s">
        <v>14</v>
      </c>
      <c r="S293" s="230">
        <v>7894478</v>
      </c>
      <c r="T293" s="226">
        <v>107116.39</v>
      </c>
      <c r="U293" s="228"/>
      <c r="V293" s="226">
        <v>7894478</v>
      </c>
      <c r="W293" s="226">
        <v>107116.3907734057</v>
      </c>
      <c r="X293" s="228">
        <v>1621400</v>
      </c>
      <c r="Y293" s="228">
        <f>Юрист[[#This Row],[Итоговая цена м2 с отделкой]]-Юрист[[#This Row],[Итоговая цена м2 без отделки]]</f>
        <v>22000</v>
      </c>
      <c r="Z293" s="226">
        <v>6273078</v>
      </c>
      <c r="AA293" s="223">
        <v>85116.390773405699</v>
      </c>
      <c r="AB293" s="225" t="s">
        <v>757</v>
      </c>
      <c r="AC293" s="226">
        <v>128022</v>
      </c>
      <c r="AD293" s="225" t="s">
        <v>936</v>
      </c>
      <c r="AE293" s="225" t="s">
        <v>902</v>
      </c>
      <c r="AF293" s="226"/>
      <c r="AG293" s="226"/>
      <c r="AH293" s="226"/>
      <c r="AI293" s="226"/>
      <c r="AJ293" s="226"/>
      <c r="AL293" s="227"/>
      <c r="AM293" s="229"/>
      <c r="AO293" s="223">
        <v>0</v>
      </c>
      <c r="AP293" s="225" t="s">
        <v>1179</v>
      </c>
      <c r="AQ293" s="223">
        <v>79121244044</v>
      </c>
      <c r="AR293" s="225" t="s">
        <v>882</v>
      </c>
      <c r="AS293" s="224">
        <v>31639</v>
      </c>
      <c r="AT293" s="225" t="s">
        <v>878</v>
      </c>
      <c r="AU293" s="225" t="s">
        <v>899</v>
      </c>
      <c r="AV293" s="225" t="s">
        <v>902</v>
      </c>
      <c r="AW293" s="225" t="s">
        <v>172</v>
      </c>
      <c r="AX293" t="s">
        <v>2172</v>
      </c>
      <c r="AY293" s="224"/>
      <c r="BL293" s="223"/>
    </row>
    <row r="294" spans="1:64" x14ac:dyDescent="0.25">
      <c r="A294" s="223">
        <v>2207</v>
      </c>
      <c r="B294" s="223">
        <v>29</v>
      </c>
      <c r="C294" s="224">
        <v>45282</v>
      </c>
      <c r="D294" s="225" t="s">
        <v>1169</v>
      </c>
      <c r="E294" s="225" t="s">
        <v>859</v>
      </c>
      <c r="F294" s="225" t="s">
        <v>860</v>
      </c>
      <c r="G294" s="223" t="s">
        <v>861</v>
      </c>
      <c r="H294" s="224"/>
      <c r="I294" s="224">
        <v>45287</v>
      </c>
      <c r="J294" s="225" t="s">
        <v>1830</v>
      </c>
      <c r="K294" s="225" t="s">
        <v>98</v>
      </c>
      <c r="L294" s="225" t="s">
        <v>4</v>
      </c>
      <c r="M294" s="223">
        <v>6</v>
      </c>
      <c r="N294" s="223">
        <v>8</v>
      </c>
      <c r="O294" s="223">
        <v>165</v>
      </c>
      <c r="P294" s="223">
        <v>3</v>
      </c>
      <c r="Q294" s="223">
        <v>84.99</v>
      </c>
      <c r="R294" s="225" t="s">
        <v>13</v>
      </c>
      <c r="S294" s="230">
        <v>7365173.6799999997</v>
      </c>
      <c r="T294" s="226">
        <v>86659.3</v>
      </c>
      <c r="U294" s="228">
        <v>30000</v>
      </c>
      <c r="V294" s="226">
        <v>7395173.6799999997</v>
      </c>
      <c r="W294" s="226">
        <v>87012.280032945055</v>
      </c>
      <c r="X294" s="228">
        <v>637425</v>
      </c>
      <c r="Y294" s="228">
        <f>Юрист[[#This Row],[Итоговая цена м2 с отделкой]]-Юрист[[#This Row],[Итоговая цена м2 без отделки]]</f>
        <v>7500</v>
      </c>
      <c r="Z294" s="226">
        <v>6757748.6799999997</v>
      </c>
      <c r="AA294" s="223">
        <v>79512.280032945055</v>
      </c>
      <c r="AB294" s="225"/>
      <c r="AD294" s="225" t="s">
        <v>862</v>
      </c>
      <c r="AE294" s="225" t="s">
        <v>863</v>
      </c>
      <c r="AF294" s="226">
        <v>2000000</v>
      </c>
      <c r="AG294" s="226">
        <v>4793226.96</v>
      </c>
      <c r="AH294" s="226">
        <v>586946.72</v>
      </c>
      <c r="AI294" s="226"/>
      <c r="AJ294" s="226"/>
      <c r="AK294" s="223" t="s">
        <v>864</v>
      </c>
      <c r="AL294" s="227">
        <v>1.4E-2</v>
      </c>
      <c r="AM294" s="229">
        <v>4.5999999999999999E-2</v>
      </c>
      <c r="AO294" s="223">
        <v>0</v>
      </c>
      <c r="AP294" s="225" t="s">
        <v>1170</v>
      </c>
      <c r="AQ294" s="223">
        <v>79270951999</v>
      </c>
      <c r="AR294" s="225" t="s">
        <v>882</v>
      </c>
      <c r="AS294" s="224">
        <v>32182</v>
      </c>
      <c r="AT294" s="225" t="s">
        <v>867</v>
      </c>
      <c r="AU294" s="225" t="s">
        <v>997</v>
      </c>
      <c r="AV294" s="225" t="s">
        <v>869</v>
      </c>
      <c r="AW294" s="225" t="s">
        <v>172</v>
      </c>
      <c r="AX294" t="s">
        <v>2168</v>
      </c>
      <c r="AY294" s="224"/>
      <c r="BL294" s="223"/>
    </row>
    <row r="295" spans="1:64" x14ac:dyDescent="0.25">
      <c r="A295" s="223">
        <v>2208</v>
      </c>
      <c r="B295" s="223">
        <v>30</v>
      </c>
      <c r="C295" s="224">
        <v>45282</v>
      </c>
      <c r="D295" s="225" t="s">
        <v>1171</v>
      </c>
      <c r="E295" s="225" t="s">
        <v>859</v>
      </c>
      <c r="F295" s="225" t="s">
        <v>860</v>
      </c>
      <c r="G295" s="223" t="s">
        <v>861</v>
      </c>
      <c r="H295" s="224"/>
      <c r="I295" s="224">
        <v>45287</v>
      </c>
      <c r="J295" s="225" t="s">
        <v>2097</v>
      </c>
      <c r="K295" s="225" t="s">
        <v>98</v>
      </c>
      <c r="L295" s="225" t="s">
        <v>2</v>
      </c>
      <c r="M295" s="223">
        <v>4</v>
      </c>
      <c r="N295" s="223">
        <v>23</v>
      </c>
      <c r="O295" s="223">
        <v>568</v>
      </c>
      <c r="P295" s="223">
        <v>2</v>
      </c>
      <c r="Q295" s="223">
        <v>58.24</v>
      </c>
      <c r="R295" s="225" t="s">
        <v>14</v>
      </c>
      <c r="S295" s="230">
        <v>6572104</v>
      </c>
      <c r="T295" s="226">
        <v>112845.19</v>
      </c>
      <c r="U295" s="228"/>
      <c r="V295" s="226">
        <v>6572104</v>
      </c>
      <c r="W295" s="226">
        <v>112845.1923076923</v>
      </c>
      <c r="X295" s="228">
        <v>1281280</v>
      </c>
      <c r="Y295" s="228">
        <f>Юрист[[#This Row],[Итоговая цена м2 с отделкой]]-Юрист[[#This Row],[Итоговая цена м2 без отделки]]</f>
        <v>22000</v>
      </c>
      <c r="Z295" s="226">
        <v>5290824</v>
      </c>
      <c r="AA295" s="223">
        <v>90845.192307692298</v>
      </c>
      <c r="AB295" s="225" t="s">
        <v>757</v>
      </c>
      <c r="AC295" s="226">
        <v>107976</v>
      </c>
      <c r="AD295" s="225" t="s">
        <v>862</v>
      </c>
      <c r="AE295" s="225" t="s">
        <v>863</v>
      </c>
      <c r="AF295" s="226">
        <v>545371.75</v>
      </c>
      <c r="AG295" s="226">
        <v>5251104</v>
      </c>
      <c r="AH295" s="226">
        <v>775628.25</v>
      </c>
      <c r="AI295" s="226"/>
      <c r="AJ295" s="226"/>
      <c r="AK295" s="223" t="s">
        <v>864</v>
      </c>
      <c r="AL295" s="227">
        <v>1.4E-2</v>
      </c>
      <c r="AM295" s="229">
        <v>4.5999999999999999E-2</v>
      </c>
      <c r="AO295" s="223">
        <v>0</v>
      </c>
      <c r="AP295" s="225" t="s">
        <v>1172</v>
      </c>
      <c r="AQ295" s="223">
        <v>79991726421</v>
      </c>
      <c r="AR295" s="225" t="s">
        <v>866</v>
      </c>
      <c r="AS295" s="224">
        <v>34004</v>
      </c>
      <c r="AT295" s="225" t="s">
        <v>1173</v>
      </c>
      <c r="AU295" s="225" t="s">
        <v>868</v>
      </c>
      <c r="AV295" s="225" t="s">
        <v>869</v>
      </c>
      <c r="AW295" s="225" t="s">
        <v>172</v>
      </c>
      <c r="AX295" t="s">
        <v>2168</v>
      </c>
      <c r="AY295" s="224"/>
      <c r="BL295" s="223"/>
    </row>
    <row r="296" spans="1:64" x14ac:dyDescent="0.25">
      <c r="A296" s="223">
        <v>2210</v>
      </c>
      <c r="B296" s="223">
        <v>32</v>
      </c>
      <c r="C296" s="224">
        <v>45282</v>
      </c>
      <c r="D296" s="225" t="s">
        <v>1174</v>
      </c>
      <c r="E296" s="225" t="s">
        <v>859</v>
      </c>
      <c r="F296" s="225" t="s">
        <v>860</v>
      </c>
      <c r="G296" s="223" t="s">
        <v>861</v>
      </c>
      <c r="H296" s="224"/>
      <c r="I296" s="224">
        <v>45287</v>
      </c>
      <c r="J296" s="225" t="s">
        <v>1910</v>
      </c>
      <c r="K296" s="225" t="s">
        <v>98</v>
      </c>
      <c r="L296" s="225" t="s">
        <v>3</v>
      </c>
      <c r="M296" s="223">
        <v>7</v>
      </c>
      <c r="N296" s="223">
        <v>9</v>
      </c>
      <c r="O296" s="223">
        <v>284</v>
      </c>
      <c r="P296" s="223">
        <v>1</v>
      </c>
      <c r="Q296" s="223">
        <v>34.81</v>
      </c>
      <c r="R296" s="225" t="s">
        <v>13</v>
      </c>
      <c r="S296" s="230">
        <v>4030775</v>
      </c>
      <c r="T296" s="226">
        <v>115793.59</v>
      </c>
      <c r="U296" s="228"/>
      <c r="V296" s="226">
        <v>4030775</v>
      </c>
      <c r="W296" s="226">
        <v>115793.59379488652</v>
      </c>
      <c r="X296" s="228">
        <v>261075</v>
      </c>
      <c r="Y296" s="228">
        <f>Юрист[[#This Row],[Итоговая цена м2 с отделкой]]-Юрист[[#This Row],[Итоговая цена м2 без отделки]]</f>
        <v>7500</v>
      </c>
      <c r="Z296" s="226">
        <v>3769700</v>
      </c>
      <c r="AA296" s="223">
        <v>108293.59379488652</v>
      </c>
      <c r="AB296" s="225" t="s">
        <v>766</v>
      </c>
      <c r="AC296" s="226">
        <v>50000</v>
      </c>
      <c r="AD296" s="225" t="s">
        <v>862</v>
      </c>
      <c r="AE296" s="225" t="s">
        <v>863</v>
      </c>
      <c r="AF296" s="226">
        <v>1330000</v>
      </c>
      <c r="AG296" s="226">
        <v>2700775</v>
      </c>
      <c r="AH296" s="226"/>
      <c r="AI296" s="226"/>
      <c r="AJ296" s="226"/>
      <c r="AK296" s="223" t="s">
        <v>873</v>
      </c>
      <c r="AL296" s="227">
        <v>1.4E-2</v>
      </c>
      <c r="AM296" s="229">
        <v>6.6000000000000003E-2</v>
      </c>
      <c r="AO296" s="223">
        <v>0</v>
      </c>
      <c r="AP296" s="225" t="s">
        <v>1175</v>
      </c>
      <c r="AQ296" s="223">
        <v>79277604024</v>
      </c>
      <c r="AR296" s="225" t="s">
        <v>866</v>
      </c>
      <c r="AS296" s="224">
        <v>22389</v>
      </c>
      <c r="AT296" s="225" t="s">
        <v>878</v>
      </c>
      <c r="AU296" s="225" t="s">
        <v>899</v>
      </c>
      <c r="AV296" s="225" t="s">
        <v>869</v>
      </c>
      <c r="AW296" s="225" t="s">
        <v>172</v>
      </c>
      <c r="AX296" t="s">
        <v>2172</v>
      </c>
      <c r="AY296" s="224"/>
      <c r="BL296" s="223"/>
    </row>
    <row r="297" spans="1:64" x14ac:dyDescent="0.25">
      <c r="A297" s="223">
        <v>2204</v>
      </c>
      <c r="B297" s="223">
        <v>26</v>
      </c>
      <c r="C297" s="224">
        <v>45281</v>
      </c>
      <c r="D297" s="225" t="s">
        <v>1162</v>
      </c>
      <c r="E297" s="225" t="s">
        <v>859</v>
      </c>
      <c r="F297" s="225" t="s">
        <v>860</v>
      </c>
      <c r="G297" s="223" t="s">
        <v>861</v>
      </c>
      <c r="H297" s="224"/>
      <c r="I297" s="224">
        <v>45286</v>
      </c>
      <c r="J297" s="225" t="s">
        <v>1814</v>
      </c>
      <c r="K297" s="225" t="s">
        <v>98</v>
      </c>
      <c r="L297" s="225" t="s">
        <v>4</v>
      </c>
      <c r="M297" s="223">
        <v>3</v>
      </c>
      <c r="N297" s="223">
        <v>5</v>
      </c>
      <c r="O297" s="223">
        <v>141</v>
      </c>
      <c r="P297" s="223">
        <v>2</v>
      </c>
      <c r="Q297" s="223">
        <v>57.6</v>
      </c>
      <c r="R297" s="225" t="s">
        <v>12</v>
      </c>
      <c r="S297" s="230">
        <v>4876600</v>
      </c>
      <c r="T297" s="226">
        <v>84663.19</v>
      </c>
      <c r="U297" s="228"/>
      <c r="V297" s="226">
        <v>4876600</v>
      </c>
      <c r="W297" s="226">
        <v>84663.194444444438</v>
      </c>
      <c r="X297" s="228"/>
      <c r="Y297" s="228">
        <f>Юрист[[#This Row],[Итоговая цена м2 с отделкой]]-Юрист[[#This Row],[Итоговая цена м2 без отделки]]</f>
        <v>0</v>
      </c>
      <c r="Z297" s="226">
        <v>4876600</v>
      </c>
      <c r="AA297" s="223">
        <v>84663.194444444438</v>
      </c>
      <c r="AB297" s="225" t="s">
        <v>766</v>
      </c>
      <c r="AC297" s="226">
        <v>30000</v>
      </c>
      <c r="AD297" s="225" t="s">
        <v>862</v>
      </c>
      <c r="AE297" s="225" t="s">
        <v>863</v>
      </c>
      <c r="AF297" s="226">
        <v>981000</v>
      </c>
      <c r="AG297" s="226">
        <v>3895600</v>
      </c>
      <c r="AH297" s="226"/>
      <c r="AI297" s="226"/>
      <c r="AJ297" s="226"/>
      <c r="AK297" s="223" t="s">
        <v>873</v>
      </c>
      <c r="AL297" s="227">
        <v>1.4E-2</v>
      </c>
      <c r="AM297" s="229">
        <v>6.6000000000000003E-2</v>
      </c>
      <c r="AO297" s="223">
        <v>0</v>
      </c>
      <c r="AP297" s="225" t="s">
        <v>1163</v>
      </c>
      <c r="AQ297" s="223">
        <v>79264537075</v>
      </c>
      <c r="AR297" s="225" t="s">
        <v>866</v>
      </c>
      <c r="AS297" s="224">
        <v>27028</v>
      </c>
      <c r="AT297" s="225" t="s">
        <v>987</v>
      </c>
      <c r="AU297" s="225" t="s">
        <v>997</v>
      </c>
      <c r="AV297" s="225" t="s">
        <v>869</v>
      </c>
      <c r="AW297" s="225" t="s">
        <v>172</v>
      </c>
      <c r="AX297" t="s">
        <v>2172</v>
      </c>
      <c r="AY297" s="224"/>
      <c r="BL297" s="223"/>
    </row>
    <row r="298" spans="1:64" x14ac:dyDescent="0.25">
      <c r="A298" s="223">
        <v>2205</v>
      </c>
      <c r="B298" s="223">
        <v>27</v>
      </c>
      <c r="C298" s="224">
        <v>45281</v>
      </c>
      <c r="D298" s="225" t="s">
        <v>1164</v>
      </c>
      <c r="E298" s="225" t="s">
        <v>859</v>
      </c>
      <c r="F298" s="225" t="s">
        <v>860</v>
      </c>
      <c r="G298" s="223" t="s">
        <v>861</v>
      </c>
      <c r="H298" s="224"/>
      <c r="I298" s="224">
        <v>45286</v>
      </c>
      <c r="J298" s="225" t="s">
        <v>2056</v>
      </c>
      <c r="K298" s="225" t="s">
        <v>98</v>
      </c>
      <c r="L298" s="225" t="s">
        <v>2</v>
      </c>
      <c r="M298" s="223">
        <v>2</v>
      </c>
      <c r="N298" s="223">
        <v>14</v>
      </c>
      <c r="O298" s="223">
        <v>494</v>
      </c>
      <c r="P298" s="223">
        <v>1</v>
      </c>
      <c r="Q298" s="223">
        <v>43.21</v>
      </c>
      <c r="R298" s="225" t="s">
        <v>12</v>
      </c>
      <c r="S298" s="230">
        <v>4136482</v>
      </c>
      <c r="T298" s="226">
        <v>95729.74</v>
      </c>
      <c r="U298" s="228"/>
      <c r="V298" s="226">
        <v>4136482</v>
      </c>
      <c r="W298" s="226">
        <v>95729.738486461472</v>
      </c>
      <c r="X298" s="228"/>
      <c r="Y298" s="228">
        <f>Юрист[[#This Row],[Итоговая цена м2 с отделкой]]-Юрист[[#This Row],[Итоговая цена м2 без отделки]]</f>
        <v>0</v>
      </c>
      <c r="Z298" s="226">
        <v>4136482</v>
      </c>
      <c r="AA298" s="223">
        <v>95729.738486461472</v>
      </c>
      <c r="AB298" s="225" t="s">
        <v>1165</v>
      </c>
      <c r="AC298" s="226">
        <v>84418</v>
      </c>
      <c r="AD298" s="225" t="s">
        <v>936</v>
      </c>
      <c r="AE298" s="225" t="s">
        <v>902</v>
      </c>
      <c r="AF298" s="226"/>
      <c r="AG298" s="226"/>
      <c r="AH298" s="226"/>
      <c r="AI298" s="226"/>
      <c r="AJ298" s="226"/>
      <c r="AL298" s="227"/>
      <c r="AM298" s="229"/>
      <c r="AO298" s="223">
        <v>0</v>
      </c>
      <c r="AP298" s="225" t="s">
        <v>1166</v>
      </c>
      <c r="AQ298" s="223">
        <v>79270522212</v>
      </c>
      <c r="AR298" s="225" t="s">
        <v>866</v>
      </c>
      <c r="AS298" s="224">
        <v>29917</v>
      </c>
      <c r="AT298" s="225" t="s">
        <v>888</v>
      </c>
      <c r="AU298" s="225" t="s">
        <v>899</v>
      </c>
      <c r="AV298" s="225" t="s">
        <v>902</v>
      </c>
      <c r="AW298" s="225" t="s">
        <v>172</v>
      </c>
      <c r="AX298" t="s">
        <v>2172</v>
      </c>
      <c r="AY298" s="224"/>
      <c r="BL298" s="223"/>
    </row>
    <row r="299" spans="1:64" x14ac:dyDescent="0.25">
      <c r="A299" s="223">
        <v>2206</v>
      </c>
      <c r="B299" s="223">
        <v>28</v>
      </c>
      <c r="C299" s="224">
        <v>45281</v>
      </c>
      <c r="D299" s="225" t="s">
        <v>1167</v>
      </c>
      <c r="E299" s="225" t="s">
        <v>859</v>
      </c>
      <c r="F299" s="225" t="s">
        <v>860</v>
      </c>
      <c r="G299" s="223" t="s">
        <v>861</v>
      </c>
      <c r="H299" s="224"/>
      <c r="I299" s="224">
        <v>45286</v>
      </c>
      <c r="J299" s="225" t="s">
        <v>1985</v>
      </c>
      <c r="K299" s="225" t="s">
        <v>98</v>
      </c>
      <c r="L299" s="225" t="s">
        <v>2</v>
      </c>
      <c r="M299" s="223">
        <v>6</v>
      </c>
      <c r="N299" s="223">
        <v>3</v>
      </c>
      <c r="O299" s="223">
        <v>410</v>
      </c>
      <c r="P299" s="223">
        <v>1</v>
      </c>
      <c r="Q299" s="223">
        <v>38.299999999999997</v>
      </c>
      <c r="R299" s="225" t="s">
        <v>13</v>
      </c>
      <c r="S299" s="230">
        <v>4121050</v>
      </c>
      <c r="T299" s="226">
        <v>107599.22</v>
      </c>
      <c r="U299" s="228"/>
      <c r="V299" s="226">
        <v>4121050</v>
      </c>
      <c r="W299" s="226">
        <v>107599.21671018278</v>
      </c>
      <c r="X299" s="228">
        <v>287250</v>
      </c>
      <c r="Y299" s="228">
        <f>Юрист[[#This Row],[Итоговая цена м2 с отделкой]]-Юрист[[#This Row],[Итоговая цена м2 без отделки]]</f>
        <v>7500</v>
      </c>
      <c r="Z299" s="226">
        <v>3833800</v>
      </c>
      <c r="AA299" s="223">
        <v>100099.21671018278</v>
      </c>
      <c r="AB299" s="225" t="s">
        <v>766</v>
      </c>
      <c r="AC299" s="226">
        <v>50000</v>
      </c>
      <c r="AD299" s="225" t="s">
        <v>862</v>
      </c>
      <c r="AE299" s="225" t="s">
        <v>863</v>
      </c>
      <c r="AF299" s="226">
        <v>829000</v>
      </c>
      <c r="AG299" s="226">
        <v>3292050</v>
      </c>
      <c r="AH299" s="226"/>
      <c r="AI299" s="226"/>
      <c r="AJ299" s="226"/>
      <c r="AK299" s="223" t="s">
        <v>864</v>
      </c>
      <c r="AL299" s="227">
        <v>1.4E-2</v>
      </c>
      <c r="AM299" s="229">
        <v>4.5999999999999999E-2</v>
      </c>
      <c r="AO299" s="223">
        <v>0</v>
      </c>
      <c r="AP299" s="225" t="s">
        <v>1168</v>
      </c>
      <c r="AQ299" s="223">
        <v>79379994288</v>
      </c>
      <c r="AR299" s="225" t="s">
        <v>866</v>
      </c>
      <c r="AS299" s="224">
        <v>32421</v>
      </c>
      <c r="AT299" s="225" t="s">
        <v>878</v>
      </c>
      <c r="AU299" s="225" t="s">
        <v>868</v>
      </c>
      <c r="AV299" s="225" t="s">
        <v>869</v>
      </c>
      <c r="AW299" s="225" t="s">
        <v>172</v>
      </c>
      <c r="AX299" t="s">
        <v>2172</v>
      </c>
      <c r="AY299" s="224"/>
      <c r="BL299" s="223"/>
    </row>
    <row r="300" spans="1:64" x14ac:dyDescent="0.25">
      <c r="A300" s="223">
        <v>2202</v>
      </c>
      <c r="B300" s="223">
        <v>24</v>
      </c>
      <c r="C300" s="224">
        <v>45279</v>
      </c>
      <c r="D300" s="225" t="s">
        <v>1160</v>
      </c>
      <c r="E300" s="225" t="s">
        <v>859</v>
      </c>
      <c r="F300" s="225" t="s">
        <v>860</v>
      </c>
      <c r="G300" s="223" t="s">
        <v>861</v>
      </c>
      <c r="H300" s="224"/>
      <c r="I300" s="224">
        <v>45282</v>
      </c>
      <c r="J300" s="225" t="s">
        <v>1826</v>
      </c>
      <c r="K300" s="225" t="s">
        <v>98</v>
      </c>
      <c r="L300" s="225" t="s">
        <v>4</v>
      </c>
      <c r="M300" s="223">
        <v>7</v>
      </c>
      <c r="N300" s="223">
        <v>7</v>
      </c>
      <c r="O300" s="223">
        <v>159</v>
      </c>
      <c r="P300" s="223">
        <v>1</v>
      </c>
      <c r="Q300" s="223">
        <v>42.28</v>
      </c>
      <c r="R300" s="225" t="s">
        <v>13</v>
      </c>
      <c r="S300" s="230">
        <v>4468800</v>
      </c>
      <c r="T300" s="226">
        <v>105695.36</v>
      </c>
      <c r="U300" s="228"/>
      <c r="V300" s="226">
        <v>4468800</v>
      </c>
      <c r="W300" s="226">
        <v>105695.36423841059</v>
      </c>
      <c r="X300" s="228">
        <v>317100</v>
      </c>
      <c r="Y300" s="228">
        <f>Юрист[[#This Row],[Итоговая цена м2 с отделкой]]-Юрист[[#This Row],[Итоговая цена м2 без отделки]]</f>
        <v>7500</v>
      </c>
      <c r="Z300" s="226">
        <v>4151700</v>
      </c>
      <c r="AA300" s="223">
        <v>98195.364238410591</v>
      </c>
      <c r="AB300" s="225"/>
      <c r="AD300" s="225" t="s">
        <v>862</v>
      </c>
      <c r="AE300" s="225" t="s">
        <v>863</v>
      </c>
      <c r="AF300" s="226">
        <v>1000000</v>
      </c>
      <c r="AG300" s="226">
        <v>3468800</v>
      </c>
      <c r="AH300" s="226"/>
      <c r="AI300" s="226"/>
      <c r="AJ300" s="226"/>
      <c r="AK300" s="223" t="s">
        <v>873</v>
      </c>
      <c r="AL300" s="227">
        <v>1.4E-2</v>
      </c>
      <c r="AM300" s="229">
        <v>6.6000000000000003E-2</v>
      </c>
      <c r="AO300" s="223">
        <v>0</v>
      </c>
      <c r="AP300" s="225" t="s">
        <v>1161</v>
      </c>
      <c r="AQ300" s="223">
        <v>79277636554</v>
      </c>
      <c r="AR300" s="225" t="s">
        <v>866</v>
      </c>
      <c r="AS300" s="224">
        <v>28051</v>
      </c>
      <c r="AT300" s="225" t="s">
        <v>970</v>
      </c>
      <c r="AU300" s="225" t="s">
        <v>868</v>
      </c>
      <c r="AV300" s="225" t="s">
        <v>879</v>
      </c>
      <c r="AW300" s="225" t="s">
        <v>172</v>
      </c>
      <c r="AX300" t="s">
        <v>2172</v>
      </c>
      <c r="AY300" s="224"/>
      <c r="BL300" s="223"/>
    </row>
    <row r="301" spans="1:64" x14ac:dyDescent="0.25">
      <c r="A301" s="223">
        <v>2195</v>
      </c>
      <c r="B301" s="223">
        <v>17</v>
      </c>
      <c r="C301" s="224">
        <v>45275</v>
      </c>
      <c r="D301" s="225" t="s">
        <v>1153</v>
      </c>
      <c r="E301" s="225" t="s">
        <v>859</v>
      </c>
      <c r="F301" s="225" t="s">
        <v>860</v>
      </c>
      <c r="G301" s="223" t="s">
        <v>861</v>
      </c>
      <c r="H301" s="224"/>
      <c r="I301" s="224">
        <v>45280</v>
      </c>
      <c r="J301" s="225" t="s">
        <v>1727</v>
      </c>
      <c r="K301" s="225" t="s">
        <v>98</v>
      </c>
      <c r="L301" s="225" t="s">
        <v>5</v>
      </c>
      <c r="M301" s="223">
        <v>7</v>
      </c>
      <c r="N301" s="223">
        <v>2</v>
      </c>
      <c r="O301" s="223">
        <v>13</v>
      </c>
      <c r="P301" s="223">
        <v>1</v>
      </c>
      <c r="Q301" s="223">
        <v>42.75</v>
      </c>
      <c r="R301" s="225" t="s">
        <v>13</v>
      </c>
      <c r="S301" s="230">
        <v>4381304.84</v>
      </c>
      <c r="T301" s="226">
        <v>102486.66</v>
      </c>
      <c r="U301" s="228">
        <v>15000</v>
      </c>
      <c r="V301" s="226">
        <v>4396304.84</v>
      </c>
      <c r="W301" s="226">
        <v>102837.54011695906</v>
      </c>
      <c r="X301" s="228">
        <v>320625</v>
      </c>
      <c r="Y301" s="228">
        <f>Юрист[[#This Row],[Итоговая цена м2 с отделкой]]-Юрист[[#This Row],[Итоговая цена м2 без отделки]]</f>
        <v>7500</v>
      </c>
      <c r="Z301" s="226">
        <v>4075679.84</v>
      </c>
      <c r="AA301" s="223">
        <v>95337.540116959062</v>
      </c>
      <c r="AB301" s="225"/>
      <c r="AD301" s="225" t="s">
        <v>862</v>
      </c>
      <c r="AE301" s="225" t="s">
        <v>863</v>
      </c>
      <c r="AF301" s="226">
        <v>881000</v>
      </c>
      <c r="AG301" s="226">
        <v>3500304.84</v>
      </c>
      <c r="AH301" s="226"/>
      <c r="AI301" s="226"/>
      <c r="AJ301" s="226"/>
      <c r="AK301" s="223" t="s">
        <v>873</v>
      </c>
      <c r="AL301" s="227">
        <v>1.4E-2</v>
      </c>
      <c r="AM301" s="229">
        <v>6.6000000000000003E-2</v>
      </c>
      <c r="AO301" s="223">
        <v>0</v>
      </c>
      <c r="AP301" s="225" t="s">
        <v>1154</v>
      </c>
      <c r="AQ301" s="223">
        <v>79967450709</v>
      </c>
      <c r="AR301" s="225" t="s">
        <v>866</v>
      </c>
      <c r="AS301" s="224">
        <v>28481</v>
      </c>
      <c r="AT301" s="225" t="s">
        <v>878</v>
      </c>
      <c r="AU301" s="225" t="s">
        <v>899</v>
      </c>
      <c r="AV301" s="225" t="s">
        <v>879</v>
      </c>
      <c r="AW301" s="225" t="s">
        <v>172</v>
      </c>
      <c r="AX301" t="s">
        <v>2172</v>
      </c>
      <c r="AY301" s="224"/>
      <c r="BL301" s="223"/>
    </row>
    <row r="302" spans="1:64" x14ac:dyDescent="0.25">
      <c r="A302" s="223">
        <v>2196</v>
      </c>
      <c r="B302" s="223">
        <v>18</v>
      </c>
      <c r="C302" s="224">
        <v>45275</v>
      </c>
      <c r="D302" s="225" t="s">
        <v>1155</v>
      </c>
      <c r="E302" s="225" t="s">
        <v>859</v>
      </c>
      <c r="F302" s="225" t="s">
        <v>860</v>
      </c>
      <c r="G302" s="223" t="s">
        <v>861</v>
      </c>
      <c r="H302" s="224"/>
      <c r="I302" s="224">
        <v>45280</v>
      </c>
      <c r="J302" s="225" t="s">
        <v>1941</v>
      </c>
      <c r="K302" s="225" t="s">
        <v>98</v>
      </c>
      <c r="L302" s="225" t="s">
        <v>3</v>
      </c>
      <c r="M302" s="223">
        <v>1</v>
      </c>
      <c r="N302" s="223">
        <v>16</v>
      </c>
      <c r="O302" s="223">
        <v>327</v>
      </c>
      <c r="P302" s="223">
        <v>2</v>
      </c>
      <c r="Q302" s="223">
        <v>73.7</v>
      </c>
      <c r="R302" s="225" t="s">
        <v>12</v>
      </c>
      <c r="S302" s="230">
        <v>6273078</v>
      </c>
      <c r="T302" s="226">
        <v>85116.39</v>
      </c>
      <c r="U302" s="228"/>
      <c r="V302" s="226">
        <v>6273078</v>
      </c>
      <c r="W302" s="226">
        <v>85116.390773405699</v>
      </c>
      <c r="X302" s="228"/>
      <c r="Y302" s="228">
        <f>Юрист[[#This Row],[Итоговая цена м2 с отделкой]]-Юрист[[#This Row],[Итоговая цена м2 без отделки]]</f>
        <v>0</v>
      </c>
      <c r="Z302" s="226">
        <v>6273078</v>
      </c>
      <c r="AA302" s="223">
        <v>85116.390773405699</v>
      </c>
      <c r="AB302" s="225" t="s">
        <v>757</v>
      </c>
      <c r="AC302" s="226">
        <v>128022</v>
      </c>
      <c r="AD302" s="225" t="s">
        <v>862</v>
      </c>
      <c r="AE302" s="225" t="s">
        <v>863</v>
      </c>
      <c r="AF302" s="226">
        <v>1261000</v>
      </c>
      <c r="AG302" s="226">
        <v>5012078</v>
      </c>
      <c r="AH302" s="226"/>
      <c r="AI302" s="226"/>
      <c r="AJ302" s="226"/>
      <c r="AK302" s="223" t="s">
        <v>873</v>
      </c>
      <c r="AL302" s="227">
        <v>1.4E-2</v>
      </c>
      <c r="AM302" s="229">
        <v>6.6000000000000003E-2</v>
      </c>
      <c r="AO302" s="223">
        <v>0</v>
      </c>
      <c r="AP302" s="225" t="s">
        <v>1156</v>
      </c>
      <c r="AQ302" s="223">
        <v>79276927529</v>
      </c>
      <c r="AR302" s="225" t="s">
        <v>866</v>
      </c>
      <c r="AS302" s="224">
        <v>29478</v>
      </c>
      <c r="AT302" s="225" t="s">
        <v>878</v>
      </c>
      <c r="AU302" s="225" t="s">
        <v>997</v>
      </c>
      <c r="AV302" s="225" t="s">
        <v>879</v>
      </c>
      <c r="AW302" s="225" t="s">
        <v>172</v>
      </c>
      <c r="AX302" t="s">
        <v>2172</v>
      </c>
      <c r="AY302" s="224"/>
      <c r="BL302" s="223"/>
    </row>
    <row r="303" spans="1:64" x14ac:dyDescent="0.25">
      <c r="A303" s="223">
        <v>2197</v>
      </c>
      <c r="B303" s="223">
        <v>19</v>
      </c>
      <c r="C303" s="224">
        <v>45275</v>
      </c>
      <c r="D303" s="225" t="s">
        <v>1157</v>
      </c>
      <c r="E303" s="225" t="s">
        <v>859</v>
      </c>
      <c r="F303" s="225" t="s">
        <v>860</v>
      </c>
      <c r="G303" s="223" t="s">
        <v>861</v>
      </c>
      <c r="H303" s="224"/>
      <c r="I303" s="224">
        <v>45280</v>
      </c>
      <c r="J303" s="225" t="s">
        <v>1854</v>
      </c>
      <c r="K303" s="225" t="s">
        <v>98</v>
      </c>
      <c r="L303" s="225" t="s">
        <v>4</v>
      </c>
      <c r="M303" s="223">
        <v>4</v>
      </c>
      <c r="N303" s="223">
        <v>14</v>
      </c>
      <c r="O303" s="223">
        <v>205</v>
      </c>
      <c r="P303" s="223">
        <v>2</v>
      </c>
      <c r="Q303" s="223">
        <v>58.31</v>
      </c>
      <c r="R303" s="225" t="s">
        <v>14</v>
      </c>
      <c r="S303" s="230">
        <v>5317950</v>
      </c>
      <c r="T303" s="226">
        <v>91201.34</v>
      </c>
      <c r="U303" s="228"/>
      <c r="V303" s="226">
        <v>5317950</v>
      </c>
      <c r="W303" s="226">
        <v>91201.337677928313</v>
      </c>
      <c r="X303" s="228">
        <v>437325</v>
      </c>
      <c r="Y303" s="228">
        <f>Юрист[[#This Row],[Итоговая цена м2 с отделкой]]-Юрист[[#This Row],[Итоговая цена м2 без отделки]]</f>
        <v>7500</v>
      </c>
      <c r="Z303" s="226">
        <v>4880625</v>
      </c>
      <c r="AA303" s="223">
        <v>83701.337677928313</v>
      </c>
      <c r="AB303" s="225" t="s">
        <v>162</v>
      </c>
      <c r="AC303" s="226">
        <v>256875</v>
      </c>
      <c r="AD303" s="225" t="s">
        <v>862</v>
      </c>
      <c r="AE303" s="225" t="s">
        <v>863</v>
      </c>
      <c r="AF303" s="226">
        <v>1000000</v>
      </c>
      <c r="AG303" s="226">
        <v>3756915.82</v>
      </c>
      <c r="AH303" s="226">
        <v>561034.18000000005</v>
      </c>
      <c r="AI303" s="226"/>
      <c r="AJ303" s="226"/>
      <c r="AK303" s="223" t="s">
        <v>873</v>
      </c>
      <c r="AL303" s="227">
        <v>1.4E-2</v>
      </c>
      <c r="AM303" s="229">
        <v>6.6000000000000003E-2</v>
      </c>
      <c r="AO303" s="223">
        <v>0</v>
      </c>
      <c r="AP303" s="225" t="s">
        <v>1158</v>
      </c>
      <c r="AQ303" s="223">
        <v>79171191415</v>
      </c>
      <c r="AR303" s="225" t="s">
        <v>866</v>
      </c>
      <c r="AS303" s="224">
        <v>30358</v>
      </c>
      <c r="AT303" s="225" t="s">
        <v>987</v>
      </c>
      <c r="AU303" s="225" t="s">
        <v>899</v>
      </c>
      <c r="AV303" s="225" t="s">
        <v>869</v>
      </c>
      <c r="AW303" s="225" t="s">
        <v>172</v>
      </c>
      <c r="AX303" t="s">
        <v>2172</v>
      </c>
      <c r="AY303" s="224"/>
      <c r="AZ303" s="223" t="s">
        <v>1159</v>
      </c>
      <c r="BL303" s="223"/>
    </row>
    <row r="304" spans="1:64" x14ac:dyDescent="0.25">
      <c r="A304" s="223">
        <v>2193</v>
      </c>
      <c r="B304" s="223">
        <v>15</v>
      </c>
      <c r="C304" s="224">
        <v>45274</v>
      </c>
      <c r="D304" s="225" t="s">
        <v>1149</v>
      </c>
      <c r="E304" s="225" t="s">
        <v>859</v>
      </c>
      <c r="F304" s="225" t="s">
        <v>860</v>
      </c>
      <c r="G304" s="223" t="s">
        <v>861</v>
      </c>
      <c r="H304" s="224"/>
      <c r="I304" s="224">
        <v>45279</v>
      </c>
      <c r="J304" s="225" t="s">
        <v>1772</v>
      </c>
      <c r="K304" s="225" t="s">
        <v>98</v>
      </c>
      <c r="L304" s="225" t="s">
        <v>5</v>
      </c>
      <c r="M304" s="223">
        <v>4</v>
      </c>
      <c r="N304" s="223">
        <v>12</v>
      </c>
      <c r="O304" s="223">
        <v>80</v>
      </c>
      <c r="P304" s="223">
        <v>2</v>
      </c>
      <c r="Q304" s="223">
        <v>59.09</v>
      </c>
      <c r="R304" s="225" t="s">
        <v>13</v>
      </c>
      <c r="S304" s="230">
        <v>5475375</v>
      </c>
      <c r="T304" s="226">
        <v>92661.62</v>
      </c>
      <c r="U304" s="228"/>
      <c r="V304" s="226">
        <v>5475375</v>
      </c>
      <c r="W304" s="226">
        <v>92661.61787104416</v>
      </c>
      <c r="X304" s="228">
        <v>443175</v>
      </c>
      <c r="Y304" s="228">
        <f>Юрист[[#This Row],[Итоговая цена м2 с отделкой]]-Юрист[[#This Row],[Итоговая цена м2 без отделки]]</f>
        <v>7500</v>
      </c>
      <c r="Z304" s="226">
        <v>5032200</v>
      </c>
      <c r="AA304" s="223">
        <v>85161.61787104416</v>
      </c>
      <c r="AB304" s="225" t="s">
        <v>766</v>
      </c>
      <c r="AC304" s="226">
        <v>100000</v>
      </c>
      <c r="AD304" s="225" t="s">
        <v>862</v>
      </c>
      <c r="AE304" s="225" t="s">
        <v>863</v>
      </c>
      <c r="AF304" s="226">
        <v>1200000</v>
      </c>
      <c r="AG304" s="226">
        <v>4275375</v>
      </c>
      <c r="AH304" s="226"/>
      <c r="AI304" s="226"/>
      <c r="AJ304" s="226"/>
      <c r="AK304" s="223" t="s">
        <v>873</v>
      </c>
      <c r="AL304" s="227">
        <v>1.4E-2</v>
      </c>
      <c r="AM304" s="229">
        <v>6.6000000000000003E-2</v>
      </c>
      <c r="AO304" s="223">
        <v>0</v>
      </c>
      <c r="AP304" s="225" t="s">
        <v>1150</v>
      </c>
      <c r="AQ304" s="223">
        <v>79277088232</v>
      </c>
      <c r="AR304" s="225" t="s">
        <v>882</v>
      </c>
      <c r="AS304" s="224">
        <v>25923</v>
      </c>
      <c r="AT304" s="225" t="s">
        <v>875</v>
      </c>
      <c r="AU304" s="225" t="s">
        <v>997</v>
      </c>
      <c r="AV304" s="225" t="s">
        <v>879</v>
      </c>
      <c r="AW304" s="225" t="s">
        <v>172</v>
      </c>
      <c r="AX304" t="s">
        <v>2172</v>
      </c>
      <c r="AY304" s="224"/>
      <c r="BL304" s="223"/>
    </row>
    <row r="305" spans="1:64" x14ac:dyDescent="0.25">
      <c r="A305" s="223">
        <v>2194</v>
      </c>
      <c r="B305" s="223">
        <v>16</v>
      </c>
      <c r="C305" s="224">
        <v>45274</v>
      </c>
      <c r="D305" s="225" t="s">
        <v>1151</v>
      </c>
      <c r="E305" s="225" t="s">
        <v>859</v>
      </c>
      <c r="F305" s="225" t="s">
        <v>860</v>
      </c>
      <c r="G305" s="223" t="s">
        <v>861</v>
      </c>
      <c r="H305" s="224"/>
      <c r="I305" s="224">
        <v>45279</v>
      </c>
      <c r="J305" s="225" t="s">
        <v>2079</v>
      </c>
      <c r="K305" s="225" t="s">
        <v>98</v>
      </c>
      <c r="L305" s="225" t="s">
        <v>2</v>
      </c>
      <c r="M305" s="223">
        <v>6</v>
      </c>
      <c r="N305" s="223">
        <v>17</v>
      </c>
      <c r="O305" s="223">
        <v>522</v>
      </c>
      <c r="P305" s="223">
        <v>1</v>
      </c>
      <c r="Q305" s="223">
        <v>38.299999999999997</v>
      </c>
      <c r="R305" s="225" t="s">
        <v>13</v>
      </c>
      <c r="S305" s="230">
        <v>4058486</v>
      </c>
      <c r="T305" s="226">
        <v>105965.69</v>
      </c>
      <c r="U305" s="228"/>
      <c r="V305" s="226">
        <v>4058486</v>
      </c>
      <c r="W305" s="226">
        <v>105965.69190600523</v>
      </c>
      <c r="X305" s="228">
        <v>287250</v>
      </c>
      <c r="Y305" s="228">
        <f>Юрист[[#This Row],[Итоговая цена м2 с отделкой]]-Юрист[[#This Row],[Итоговая цена м2 без отделки]]</f>
        <v>7500</v>
      </c>
      <c r="Z305" s="226">
        <v>3771236</v>
      </c>
      <c r="AA305" s="223">
        <v>98465.691906005231</v>
      </c>
      <c r="AB305" s="225" t="s">
        <v>978</v>
      </c>
      <c r="AC305" s="226">
        <v>76964</v>
      </c>
      <c r="AD305" s="225" t="s">
        <v>862</v>
      </c>
      <c r="AE305" s="225" t="s">
        <v>863</v>
      </c>
      <c r="AF305" s="226">
        <v>1330000</v>
      </c>
      <c r="AG305" s="226">
        <v>2728486</v>
      </c>
      <c r="AH305" s="226"/>
      <c r="AI305" s="226"/>
      <c r="AJ305" s="226"/>
      <c r="AK305" s="223" t="s">
        <v>864</v>
      </c>
      <c r="AL305" s="227">
        <v>1.4E-2</v>
      </c>
      <c r="AM305" s="229">
        <v>4.5999999999999999E-2</v>
      </c>
      <c r="AO305" s="223">
        <v>0</v>
      </c>
      <c r="AP305" s="225" t="s">
        <v>1152</v>
      </c>
      <c r="AQ305" s="223">
        <v>79270028490</v>
      </c>
      <c r="AR305" s="225" t="s">
        <v>866</v>
      </c>
      <c r="AS305" s="224">
        <v>32853</v>
      </c>
      <c r="AT305" s="225" t="s">
        <v>878</v>
      </c>
      <c r="AU305" s="225" t="s">
        <v>899</v>
      </c>
      <c r="AV305" s="225" t="s">
        <v>869</v>
      </c>
      <c r="AW305" s="225" t="s">
        <v>172</v>
      </c>
      <c r="AX305" t="s">
        <v>2172</v>
      </c>
      <c r="AY305" s="224"/>
      <c r="BL305" s="223"/>
    </row>
    <row r="306" spans="1:64" x14ac:dyDescent="0.25">
      <c r="A306" s="223">
        <v>2190</v>
      </c>
      <c r="B306" s="223">
        <v>12</v>
      </c>
      <c r="C306" s="224">
        <v>45273</v>
      </c>
      <c r="D306" s="225" t="s">
        <v>1143</v>
      </c>
      <c r="E306" s="225" t="s">
        <v>859</v>
      </c>
      <c r="F306" s="225" t="s">
        <v>860</v>
      </c>
      <c r="G306" s="223" t="s">
        <v>861</v>
      </c>
      <c r="H306" s="224"/>
      <c r="I306" s="224">
        <v>45278</v>
      </c>
      <c r="J306" s="225" t="s">
        <v>1788</v>
      </c>
      <c r="K306" s="225" t="s">
        <v>98</v>
      </c>
      <c r="L306" s="225" t="s">
        <v>5</v>
      </c>
      <c r="M306" s="223">
        <v>6</v>
      </c>
      <c r="N306" s="223">
        <v>15</v>
      </c>
      <c r="O306" s="223">
        <v>103</v>
      </c>
      <c r="P306" s="223">
        <v>2</v>
      </c>
      <c r="Q306" s="223">
        <v>58.16</v>
      </c>
      <c r="R306" s="225" t="s">
        <v>14</v>
      </c>
      <c r="S306" s="230">
        <v>6301334</v>
      </c>
      <c r="T306" s="226">
        <v>108344.81</v>
      </c>
      <c r="U306" s="228"/>
      <c r="V306" s="226">
        <v>6301334</v>
      </c>
      <c r="W306" s="226">
        <v>108344.80742778543</v>
      </c>
      <c r="X306" s="228">
        <v>1279520</v>
      </c>
      <c r="Y306" s="228">
        <f>Юрист[[#This Row],[Итоговая цена м2 с отделкой]]-Юрист[[#This Row],[Итоговая цена м2 без отделки]]</f>
        <v>22000.000000000015</v>
      </c>
      <c r="Z306" s="226">
        <v>5021814</v>
      </c>
      <c r="AA306" s="223">
        <v>86344.807427785418</v>
      </c>
      <c r="AB306" s="225" t="s">
        <v>757</v>
      </c>
      <c r="AC306" s="226">
        <v>102486</v>
      </c>
      <c r="AD306" s="225" t="s">
        <v>862</v>
      </c>
      <c r="AE306" s="225" t="s">
        <v>863</v>
      </c>
      <c r="AF306" s="226">
        <v>681000</v>
      </c>
      <c r="AG306" s="226">
        <v>5033387.28</v>
      </c>
      <c r="AH306" s="226">
        <v>586946.72</v>
      </c>
      <c r="AI306" s="226"/>
      <c r="AJ306" s="226"/>
      <c r="AK306" s="223" t="s">
        <v>864</v>
      </c>
      <c r="AL306" s="227">
        <v>1.4E-2</v>
      </c>
      <c r="AM306" s="229">
        <v>4.5999999999999999E-2</v>
      </c>
      <c r="AO306" s="223">
        <v>0</v>
      </c>
      <c r="AP306" s="225" t="s">
        <v>1144</v>
      </c>
      <c r="AQ306" s="223">
        <v>79871693102</v>
      </c>
      <c r="AR306" s="225" t="s">
        <v>866</v>
      </c>
      <c r="AS306" s="224">
        <v>35334</v>
      </c>
      <c r="AT306" s="225" t="s">
        <v>939</v>
      </c>
      <c r="AU306" s="225" t="s">
        <v>899</v>
      </c>
      <c r="AV306" s="225" t="s">
        <v>869</v>
      </c>
      <c r="AW306" s="225" t="s">
        <v>172</v>
      </c>
      <c r="AX306" t="s">
        <v>2172</v>
      </c>
      <c r="AY306" s="224"/>
      <c r="BL306" s="223"/>
    </row>
    <row r="307" spans="1:64" x14ac:dyDescent="0.25">
      <c r="A307" s="223">
        <v>2189</v>
      </c>
      <c r="B307" s="223">
        <v>11</v>
      </c>
      <c r="C307" s="224">
        <v>45273</v>
      </c>
      <c r="D307" s="225" t="s">
        <v>1141</v>
      </c>
      <c r="E307" s="225" t="s">
        <v>859</v>
      </c>
      <c r="F307" s="225" t="s">
        <v>860</v>
      </c>
      <c r="G307" s="223" t="s">
        <v>861</v>
      </c>
      <c r="H307" s="224"/>
      <c r="I307" s="224">
        <v>45278</v>
      </c>
      <c r="J307" s="225" t="s">
        <v>1916</v>
      </c>
      <c r="K307" s="225" t="s">
        <v>98</v>
      </c>
      <c r="L307" s="225" t="s">
        <v>3</v>
      </c>
      <c r="M307" s="223">
        <v>3</v>
      </c>
      <c r="N307" s="223">
        <v>11</v>
      </c>
      <c r="O307" s="223">
        <v>294</v>
      </c>
      <c r="P307" s="223">
        <v>2</v>
      </c>
      <c r="Q307" s="223">
        <v>56.58</v>
      </c>
      <c r="R307" s="225" t="s">
        <v>13</v>
      </c>
      <c r="S307" s="230">
        <v>5240266</v>
      </c>
      <c r="T307" s="226">
        <v>92616.93</v>
      </c>
      <c r="U307" s="228"/>
      <c r="V307" s="226">
        <v>5240266</v>
      </c>
      <c r="W307" s="226">
        <v>92616.93177801343</v>
      </c>
      <c r="X307" s="228">
        <v>424350</v>
      </c>
      <c r="Y307" s="228">
        <f>Юрист[[#This Row],[Итоговая цена м2 с отделкой]]-Юрист[[#This Row],[Итоговая цена м2 без отделки]]</f>
        <v>7500</v>
      </c>
      <c r="Z307" s="226">
        <v>4815916</v>
      </c>
      <c r="AA307" s="223">
        <v>85116.93177801343</v>
      </c>
      <c r="AB307" s="225" t="s">
        <v>757</v>
      </c>
      <c r="AC307" s="226">
        <v>98284</v>
      </c>
      <c r="AD307" s="225" t="s">
        <v>862</v>
      </c>
      <c r="AE307" s="225" t="s">
        <v>863</v>
      </c>
      <c r="AF307" s="226">
        <v>1054000</v>
      </c>
      <c r="AG307" s="226">
        <v>4186266</v>
      </c>
      <c r="AH307" s="226"/>
      <c r="AI307" s="226"/>
      <c r="AJ307" s="226"/>
      <c r="AK307" s="223" t="s">
        <v>864</v>
      </c>
      <c r="AL307" s="227">
        <v>1.4E-2</v>
      </c>
      <c r="AM307" s="229">
        <v>4.5999999999999999E-2</v>
      </c>
      <c r="AO307" s="223">
        <v>0</v>
      </c>
      <c r="AP307" s="225" t="s">
        <v>1142</v>
      </c>
      <c r="AQ307" s="223">
        <v>79370769970</v>
      </c>
      <c r="AR307" s="225" t="s">
        <v>866</v>
      </c>
      <c r="AS307" s="224">
        <v>30773</v>
      </c>
      <c r="AT307" s="225" t="s">
        <v>888</v>
      </c>
      <c r="AU307" s="225" t="s">
        <v>997</v>
      </c>
      <c r="AV307" s="225" t="s">
        <v>869</v>
      </c>
      <c r="AW307" s="225" t="s">
        <v>172</v>
      </c>
      <c r="AX307" t="s">
        <v>2172</v>
      </c>
      <c r="AY307" s="224"/>
      <c r="BL307" s="223"/>
    </row>
    <row r="308" spans="1:64" x14ac:dyDescent="0.25">
      <c r="A308" s="223">
        <v>2192</v>
      </c>
      <c r="B308" s="223">
        <v>14</v>
      </c>
      <c r="C308" s="224">
        <v>45273</v>
      </c>
      <c r="D308" s="225" t="s">
        <v>1147</v>
      </c>
      <c r="E308" s="225" t="s">
        <v>859</v>
      </c>
      <c r="F308" s="225" t="s">
        <v>860</v>
      </c>
      <c r="G308" s="223" t="s">
        <v>861</v>
      </c>
      <c r="H308" s="224"/>
      <c r="I308" s="224">
        <v>45278</v>
      </c>
      <c r="J308" s="225" t="s">
        <v>1915</v>
      </c>
      <c r="K308" s="225" t="s">
        <v>98</v>
      </c>
      <c r="L308" s="225" t="s">
        <v>3</v>
      </c>
      <c r="M308" s="223">
        <v>6</v>
      </c>
      <c r="N308" s="223">
        <v>10</v>
      </c>
      <c r="O308" s="223">
        <v>290</v>
      </c>
      <c r="P308" s="223">
        <v>3</v>
      </c>
      <c r="Q308" s="223">
        <v>80.97</v>
      </c>
      <c r="R308" s="225" t="s">
        <v>13</v>
      </c>
      <c r="S308" s="230">
        <v>7097975</v>
      </c>
      <c r="T308" s="226">
        <v>87661.79</v>
      </c>
      <c r="U308" s="228"/>
      <c r="V308" s="226">
        <v>7097975</v>
      </c>
      <c r="W308" s="226">
        <v>87661.788316660488</v>
      </c>
      <c r="X308" s="228">
        <v>607275</v>
      </c>
      <c r="Y308" s="228">
        <f>Юрист[[#This Row],[Итоговая цена м2 с отделкой]]-Юрист[[#This Row],[Итоговая цена м2 без отделки]]</f>
        <v>7500</v>
      </c>
      <c r="Z308" s="226">
        <v>6490700</v>
      </c>
      <c r="AA308" s="223">
        <v>80161.788316660488</v>
      </c>
      <c r="AB308" s="225" t="s">
        <v>766</v>
      </c>
      <c r="AC308" s="226">
        <v>10000</v>
      </c>
      <c r="AD308" s="225" t="s">
        <v>862</v>
      </c>
      <c r="AE308" s="225" t="s">
        <v>863</v>
      </c>
      <c r="AF308" s="226">
        <v>2000000</v>
      </c>
      <c r="AG308" s="226">
        <v>5097975</v>
      </c>
      <c r="AH308" s="226"/>
      <c r="AI308" s="226"/>
      <c r="AJ308" s="226"/>
      <c r="AK308" s="223" t="s">
        <v>873</v>
      </c>
      <c r="AL308" s="227">
        <v>1.4E-2</v>
      </c>
      <c r="AM308" s="229">
        <v>6.6000000000000003E-2</v>
      </c>
      <c r="AO308" s="223">
        <v>0</v>
      </c>
      <c r="AP308" s="225" t="s">
        <v>1148</v>
      </c>
      <c r="AQ308" s="223">
        <v>79323151066</v>
      </c>
      <c r="AR308" s="225" t="s">
        <v>882</v>
      </c>
      <c r="AS308" s="224">
        <v>32187</v>
      </c>
      <c r="AT308" s="225" t="s">
        <v>888</v>
      </c>
      <c r="AU308" s="225" t="s">
        <v>868</v>
      </c>
      <c r="AV308" s="225" t="s">
        <v>869</v>
      </c>
      <c r="AW308" s="225" t="s">
        <v>172</v>
      </c>
      <c r="AX308" t="s">
        <v>2172</v>
      </c>
      <c r="AY308" s="224"/>
      <c r="BL308" s="223"/>
    </row>
    <row r="309" spans="1:64" x14ac:dyDescent="0.25">
      <c r="A309" s="223">
        <v>2191</v>
      </c>
      <c r="B309" s="223">
        <v>13</v>
      </c>
      <c r="C309" s="224">
        <v>45273</v>
      </c>
      <c r="D309" s="225" t="s">
        <v>1145</v>
      </c>
      <c r="E309" s="225" t="s">
        <v>859</v>
      </c>
      <c r="F309" s="225" t="s">
        <v>860</v>
      </c>
      <c r="G309" s="223" t="s">
        <v>861</v>
      </c>
      <c r="H309" s="224"/>
      <c r="I309" s="224">
        <v>45278</v>
      </c>
      <c r="J309" s="225" t="s">
        <v>1760</v>
      </c>
      <c r="K309" s="225" t="s">
        <v>98</v>
      </c>
      <c r="L309" s="225" t="s">
        <v>5</v>
      </c>
      <c r="M309" s="223">
        <v>4</v>
      </c>
      <c r="N309" s="223">
        <v>9</v>
      </c>
      <c r="O309" s="223">
        <v>59</v>
      </c>
      <c r="P309" s="223">
        <v>2</v>
      </c>
      <c r="Q309" s="223">
        <v>59.09</v>
      </c>
      <c r="R309" s="225" t="s">
        <v>12</v>
      </c>
      <c r="S309" s="230">
        <v>5132200</v>
      </c>
      <c r="T309" s="226">
        <v>86853.95</v>
      </c>
      <c r="U309" s="228"/>
      <c r="V309" s="226">
        <v>5132200</v>
      </c>
      <c r="W309" s="226">
        <v>86853.951599255364</v>
      </c>
      <c r="X309" s="228"/>
      <c r="Y309" s="228">
        <f>Юрист[[#This Row],[Итоговая цена м2 с отделкой]]-Юрист[[#This Row],[Итоговая цена м2 без отделки]]</f>
        <v>0</v>
      </c>
      <c r="Z309" s="226">
        <v>5132200</v>
      </c>
      <c r="AA309" s="223">
        <v>86853.951599255364</v>
      </c>
      <c r="AB309" s="225"/>
      <c r="AD309" s="225" t="s">
        <v>862</v>
      </c>
      <c r="AE309" s="225" t="s">
        <v>863</v>
      </c>
      <c r="AF309" s="226">
        <v>256371.75</v>
      </c>
      <c r="AG309" s="226">
        <v>4100200</v>
      </c>
      <c r="AH309" s="226">
        <v>775628.25</v>
      </c>
      <c r="AI309" s="226"/>
      <c r="AJ309" s="226"/>
      <c r="AK309" s="223" t="s">
        <v>864</v>
      </c>
      <c r="AL309" s="227">
        <v>1.4E-2</v>
      </c>
      <c r="AM309" s="229">
        <v>4.5999999999999999E-2</v>
      </c>
      <c r="AO309" s="223">
        <v>0</v>
      </c>
      <c r="AP309" s="225" t="s">
        <v>1146</v>
      </c>
      <c r="AQ309" s="223">
        <v>79277972164</v>
      </c>
      <c r="AR309" s="225" t="s">
        <v>866</v>
      </c>
      <c r="AS309" s="224">
        <v>35615</v>
      </c>
      <c r="AT309" s="225" t="s">
        <v>987</v>
      </c>
      <c r="AU309" s="225" t="s">
        <v>997</v>
      </c>
      <c r="AV309" s="225" t="s">
        <v>879</v>
      </c>
      <c r="AW309" s="225" t="s">
        <v>172</v>
      </c>
      <c r="AX309" t="s">
        <v>2172</v>
      </c>
      <c r="AY309" s="224"/>
      <c r="BL309" s="223"/>
    </row>
    <row r="310" spans="1:64" x14ac:dyDescent="0.25">
      <c r="A310" s="223">
        <v>2186</v>
      </c>
      <c r="B310" s="223">
        <v>8</v>
      </c>
      <c r="C310" s="224">
        <v>45272</v>
      </c>
      <c r="D310" s="225" t="s">
        <v>1139</v>
      </c>
      <c r="E310" s="225" t="s">
        <v>859</v>
      </c>
      <c r="F310" s="225" t="s">
        <v>860</v>
      </c>
      <c r="G310" s="223" t="s">
        <v>861</v>
      </c>
      <c r="H310" s="224"/>
      <c r="I310" s="224">
        <v>45275</v>
      </c>
      <c r="J310" s="225" t="s">
        <v>1751</v>
      </c>
      <c r="K310" s="225" t="s">
        <v>98</v>
      </c>
      <c r="L310" s="225" t="s">
        <v>5</v>
      </c>
      <c r="M310" s="223">
        <v>5</v>
      </c>
      <c r="N310" s="223">
        <v>7</v>
      </c>
      <c r="O310" s="223">
        <v>46</v>
      </c>
      <c r="P310" s="223">
        <v>2</v>
      </c>
      <c r="Q310" s="223">
        <v>62.17</v>
      </c>
      <c r="R310" s="225" t="s">
        <v>14</v>
      </c>
      <c r="S310" s="230">
        <v>6737440</v>
      </c>
      <c r="T310" s="226">
        <v>108371.24</v>
      </c>
      <c r="U310" s="228"/>
      <c r="V310" s="226">
        <v>6737440</v>
      </c>
      <c r="W310" s="226">
        <v>108371.24014798134</v>
      </c>
      <c r="X310" s="228">
        <v>1367740</v>
      </c>
      <c r="Y310" s="228">
        <f>Юрист[[#This Row],[Итоговая цена м2 с отделкой]]-Юрист[[#This Row],[Итоговая цена м2 без отделки]]</f>
        <v>22000</v>
      </c>
      <c r="Z310" s="226">
        <v>5369700</v>
      </c>
      <c r="AA310" s="223">
        <v>86371.240147981342</v>
      </c>
      <c r="AB310" s="225" t="s">
        <v>766</v>
      </c>
      <c r="AC310" s="226">
        <v>30000</v>
      </c>
      <c r="AD310" s="225" t="s">
        <v>862</v>
      </c>
      <c r="AE310" s="225" t="s">
        <v>863</v>
      </c>
      <c r="AF310" s="226">
        <v>774053.28</v>
      </c>
      <c r="AG310" s="226">
        <v>5376440</v>
      </c>
      <c r="AH310" s="226">
        <v>586946.72</v>
      </c>
      <c r="AI310" s="226"/>
      <c r="AJ310" s="226"/>
      <c r="AK310" s="223" t="s">
        <v>864</v>
      </c>
      <c r="AL310" s="227">
        <v>1.4E-2</v>
      </c>
      <c r="AM310" s="229">
        <v>4.5999999999999999E-2</v>
      </c>
      <c r="AO310" s="223">
        <v>0</v>
      </c>
      <c r="AP310" s="225" t="s">
        <v>1140</v>
      </c>
      <c r="AQ310" s="223">
        <v>79376417383</v>
      </c>
      <c r="AR310" s="225" t="s">
        <v>882</v>
      </c>
      <c r="AS310" s="224">
        <v>30113</v>
      </c>
      <c r="AT310" s="225" t="s">
        <v>878</v>
      </c>
      <c r="AU310" s="225" t="s">
        <v>868</v>
      </c>
      <c r="AV310" s="225" t="s">
        <v>869</v>
      </c>
      <c r="AW310" s="225" t="s">
        <v>172</v>
      </c>
      <c r="AX310" t="s">
        <v>2172</v>
      </c>
      <c r="AY310" s="224"/>
      <c r="BL310" s="223"/>
    </row>
    <row r="311" spans="1:64" x14ac:dyDescent="0.25">
      <c r="A311" s="223">
        <v>2182</v>
      </c>
      <c r="B311" s="223">
        <v>4</v>
      </c>
      <c r="C311" s="224">
        <v>45269</v>
      </c>
      <c r="D311" s="225" t="s">
        <v>1135</v>
      </c>
      <c r="E311" s="225" t="s">
        <v>859</v>
      </c>
      <c r="F311" s="225" t="s">
        <v>860</v>
      </c>
      <c r="G311" s="223" t="s">
        <v>861</v>
      </c>
      <c r="H311" s="224"/>
      <c r="I311" s="224">
        <v>45273</v>
      </c>
      <c r="J311" s="225" t="s">
        <v>1920</v>
      </c>
      <c r="K311" s="225" t="s">
        <v>98</v>
      </c>
      <c r="L311" s="225" t="s">
        <v>3</v>
      </c>
      <c r="M311" s="223">
        <v>1</v>
      </c>
      <c r="N311" s="223">
        <v>12</v>
      </c>
      <c r="O311" s="223">
        <v>299</v>
      </c>
      <c r="P311" s="223">
        <v>2</v>
      </c>
      <c r="Q311" s="223">
        <v>73.7</v>
      </c>
      <c r="R311" s="225" t="s">
        <v>12</v>
      </c>
      <c r="S311" s="230">
        <v>6273078</v>
      </c>
      <c r="T311" s="226">
        <v>85116.39</v>
      </c>
      <c r="U311" s="228"/>
      <c r="V311" s="226">
        <v>6273078</v>
      </c>
      <c r="W311" s="226">
        <v>85116.390773405699</v>
      </c>
      <c r="X311" s="228"/>
      <c r="Y311" s="228">
        <f>Юрист[[#This Row],[Итоговая цена м2 с отделкой]]-Юрист[[#This Row],[Итоговая цена м2 без отделки]]</f>
        <v>0</v>
      </c>
      <c r="Z311" s="226">
        <v>6273078</v>
      </c>
      <c r="AA311" s="223">
        <v>85116.390773405699</v>
      </c>
      <c r="AB311" s="225" t="s">
        <v>757</v>
      </c>
      <c r="AC311" s="226">
        <v>128022</v>
      </c>
      <c r="AD311" s="225" t="s">
        <v>862</v>
      </c>
      <c r="AE311" s="225" t="s">
        <v>863</v>
      </c>
      <c r="AF311" s="226">
        <v>1261000</v>
      </c>
      <c r="AG311" s="226">
        <v>5012078</v>
      </c>
      <c r="AH311" s="226"/>
      <c r="AI311" s="226"/>
      <c r="AJ311" s="226"/>
      <c r="AK311" s="223" t="s">
        <v>895</v>
      </c>
      <c r="AL311" s="227">
        <v>1.4E-2</v>
      </c>
      <c r="AM311" s="229">
        <v>3.5999999999999997E-2</v>
      </c>
      <c r="AO311" s="223">
        <v>0</v>
      </c>
      <c r="AP311" s="225" t="s">
        <v>1136</v>
      </c>
      <c r="AQ311" s="223">
        <v>79608146339</v>
      </c>
      <c r="AR311" s="225" t="s">
        <v>882</v>
      </c>
      <c r="AS311" s="224">
        <v>27952</v>
      </c>
      <c r="AT311" s="225" t="s">
        <v>878</v>
      </c>
      <c r="AU311" s="225" t="s">
        <v>899</v>
      </c>
      <c r="AV311" s="225" t="s">
        <v>879</v>
      </c>
      <c r="AW311" s="225" t="s">
        <v>172</v>
      </c>
      <c r="AX311" t="s">
        <v>2172</v>
      </c>
      <c r="AY311" s="224"/>
      <c r="BL311" s="223"/>
    </row>
    <row r="312" spans="1:64" x14ac:dyDescent="0.25">
      <c r="A312" s="223">
        <v>2183</v>
      </c>
      <c r="B312" s="223">
        <v>5</v>
      </c>
      <c r="C312" s="224">
        <v>45268</v>
      </c>
      <c r="D312" s="225" t="s">
        <v>1137</v>
      </c>
      <c r="E312" s="225" t="s">
        <v>859</v>
      </c>
      <c r="F312" s="225" t="s">
        <v>860</v>
      </c>
      <c r="G312" s="223" t="s">
        <v>861</v>
      </c>
      <c r="H312" s="224"/>
      <c r="I312" s="224">
        <v>45273</v>
      </c>
      <c r="J312" s="225" t="s">
        <v>2070</v>
      </c>
      <c r="K312" s="225" t="s">
        <v>98</v>
      </c>
      <c r="L312" s="225" t="s">
        <v>2</v>
      </c>
      <c r="M312" s="223">
        <v>3</v>
      </c>
      <c r="N312" s="223">
        <v>16</v>
      </c>
      <c r="O312" s="223">
        <v>511</v>
      </c>
      <c r="P312" s="223">
        <v>0</v>
      </c>
      <c r="Q312" s="223">
        <v>24.5</v>
      </c>
      <c r="R312" s="225" t="s">
        <v>13</v>
      </c>
      <c r="S312" s="230">
        <v>2815050</v>
      </c>
      <c r="T312" s="226">
        <v>114900</v>
      </c>
      <c r="U312" s="228"/>
      <c r="V312" s="226">
        <v>2815050</v>
      </c>
      <c r="W312" s="226">
        <v>114900</v>
      </c>
      <c r="X312" s="228">
        <v>183750</v>
      </c>
      <c r="Y312" s="228">
        <f>Юрист[[#This Row],[Итоговая цена м2 с отделкой]]-Юрист[[#This Row],[Итоговая цена м2 без отделки]]</f>
        <v>7500</v>
      </c>
      <c r="Z312" s="226">
        <v>2631300</v>
      </c>
      <c r="AA312" s="223">
        <v>107400</v>
      </c>
      <c r="AB312" s="225"/>
      <c r="AD312" s="225" t="s">
        <v>862</v>
      </c>
      <c r="AE312" s="225" t="s">
        <v>863</v>
      </c>
      <c r="AF312" s="226">
        <v>566000</v>
      </c>
      <c r="AG312" s="226">
        <v>2249050</v>
      </c>
      <c r="AH312" s="226"/>
      <c r="AI312" s="226"/>
      <c r="AJ312" s="226"/>
      <c r="AK312" s="223" t="s">
        <v>864</v>
      </c>
      <c r="AL312" s="227">
        <v>1.4E-2</v>
      </c>
      <c r="AM312" s="229">
        <v>4.5999999999999999E-2</v>
      </c>
      <c r="AO312" s="223">
        <v>0</v>
      </c>
      <c r="AP312" s="225" t="s">
        <v>1138</v>
      </c>
      <c r="AQ312" s="223">
        <v>79171130501</v>
      </c>
      <c r="AR312" s="225" t="s">
        <v>866</v>
      </c>
      <c r="AS312" s="224">
        <v>32493</v>
      </c>
      <c r="AT312" s="225" t="s">
        <v>867</v>
      </c>
      <c r="AU312" s="225" t="s">
        <v>868</v>
      </c>
      <c r="AV312" s="225" t="s">
        <v>869</v>
      </c>
      <c r="AW312" s="225" t="s">
        <v>172</v>
      </c>
      <c r="AX312" t="s">
        <v>2168</v>
      </c>
      <c r="AY312" s="224"/>
      <c r="BL312" s="223"/>
    </row>
    <row r="313" spans="1:64" x14ac:dyDescent="0.25">
      <c r="A313" s="223">
        <v>2179</v>
      </c>
      <c r="B313" s="223">
        <v>1</v>
      </c>
      <c r="C313" s="224">
        <v>45261</v>
      </c>
      <c r="D313" s="225" t="s">
        <v>1133</v>
      </c>
      <c r="E313" s="225" t="s">
        <v>859</v>
      </c>
      <c r="F313" s="225" t="s">
        <v>860</v>
      </c>
      <c r="G313" s="223" t="s">
        <v>861</v>
      </c>
      <c r="H313" s="224"/>
      <c r="I313" s="224">
        <v>45266</v>
      </c>
      <c r="J313" s="225" t="s">
        <v>1998</v>
      </c>
      <c r="K313" s="225" t="s">
        <v>98</v>
      </c>
      <c r="L313" s="225" t="s">
        <v>2</v>
      </c>
      <c r="M313" s="223">
        <v>4</v>
      </c>
      <c r="N313" s="223">
        <v>5</v>
      </c>
      <c r="O313" s="223">
        <v>424</v>
      </c>
      <c r="P313" s="223">
        <v>2</v>
      </c>
      <c r="Q313" s="223">
        <v>58.24</v>
      </c>
      <c r="R313" s="225" t="s">
        <v>13</v>
      </c>
      <c r="S313" s="230">
        <v>5346284.8499999996</v>
      </c>
      <c r="T313" s="226">
        <v>91797.47</v>
      </c>
      <c r="U313" s="228"/>
      <c r="V313" s="226">
        <v>5346284.8499999996</v>
      </c>
      <c r="W313" s="226">
        <v>91797.473385988997</v>
      </c>
      <c r="X313" s="228">
        <v>436800</v>
      </c>
      <c r="Y313" s="228">
        <f>Юрист[[#This Row],[Итоговая цена м2 с отделкой]]-Юрист[[#This Row],[Итоговая цена м2 без отделки]]</f>
        <v>7500</v>
      </c>
      <c r="Z313" s="226">
        <v>4909484.8499999996</v>
      </c>
      <c r="AA313" s="223">
        <v>84297.473385988997</v>
      </c>
      <c r="AB313" s="225" t="s">
        <v>757</v>
      </c>
      <c r="AC313" s="226">
        <v>100193.57</v>
      </c>
      <c r="AD313" s="225" t="s">
        <v>862</v>
      </c>
      <c r="AE313" s="225" t="s">
        <v>863</v>
      </c>
      <c r="AF313" s="226">
        <v>680000.13</v>
      </c>
      <c r="AG313" s="226">
        <v>4079338</v>
      </c>
      <c r="AH313" s="226">
        <v>586946.72</v>
      </c>
      <c r="AI313" s="226"/>
      <c r="AJ313" s="226"/>
      <c r="AK313" s="223" t="s">
        <v>864</v>
      </c>
      <c r="AL313" s="227">
        <v>1.4E-2</v>
      </c>
      <c r="AM313" s="229">
        <v>4.5999999999999999E-2</v>
      </c>
      <c r="AO313" s="223">
        <v>0</v>
      </c>
      <c r="AP313" s="225" t="s">
        <v>1134</v>
      </c>
      <c r="AQ313" s="223">
        <v>79674805559</v>
      </c>
      <c r="AR313" s="225" t="s">
        <v>882</v>
      </c>
      <c r="AS313" s="224">
        <v>35250</v>
      </c>
      <c r="AT313" s="225" t="s">
        <v>878</v>
      </c>
      <c r="AU313" s="225" t="s">
        <v>868</v>
      </c>
      <c r="AV313" s="225" t="s">
        <v>869</v>
      </c>
      <c r="AW313" s="225" t="s">
        <v>172</v>
      </c>
      <c r="AX313" t="s">
        <v>2172</v>
      </c>
      <c r="AY313" s="224"/>
      <c r="BL313" s="223"/>
    </row>
    <row r="314" spans="1:64" x14ac:dyDescent="0.25">
      <c r="A314" s="223">
        <v>2175</v>
      </c>
      <c r="B314" s="223">
        <v>46</v>
      </c>
      <c r="C314" s="224">
        <v>45260</v>
      </c>
      <c r="D314" s="225" t="s">
        <v>1127</v>
      </c>
      <c r="E314" s="225" t="s">
        <v>859</v>
      </c>
      <c r="F314" s="225" t="s">
        <v>860</v>
      </c>
      <c r="G314" s="223" t="s">
        <v>926</v>
      </c>
      <c r="H314" s="224"/>
      <c r="I314" s="224">
        <v>45264</v>
      </c>
      <c r="J314" s="225" t="s">
        <v>1721</v>
      </c>
      <c r="K314" s="225" t="s">
        <v>98</v>
      </c>
      <c r="L314" s="225" t="s">
        <v>5</v>
      </c>
      <c r="M314" s="223">
        <v>4</v>
      </c>
      <c r="N314" s="223">
        <v>1</v>
      </c>
      <c r="O314" s="223">
        <v>4</v>
      </c>
      <c r="P314" s="223">
        <v>2</v>
      </c>
      <c r="Q314" s="223">
        <v>73.02</v>
      </c>
      <c r="R314" s="225" t="s">
        <v>13</v>
      </c>
      <c r="S314" s="230">
        <v>6762812.3600000003</v>
      </c>
      <c r="T314" s="226">
        <v>92615.89</v>
      </c>
      <c r="U314" s="228"/>
      <c r="V314" s="226">
        <v>6762812.3600000003</v>
      </c>
      <c r="W314" s="226">
        <v>92615.890988770203</v>
      </c>
      <c r="X314" s="228">
        <v>547650</v>
      </c>
      <c r="Y314" s="228">
        <f>Юрист[[#This Row],[Итоговая цена м2 с отделкой]]-Юрист[[#This Row],[Итоговая цена м2 без отделки]]</f>
        <v>7500</v>
      </c>
      <c r="Z314" s="226">
        <v>6215162.3600000003</v>
      </c>
      <c r="AA314" s="223">
        <v>85115.890988770203</v>
      </c>
      <c r="AB314" s="225" t="s">
        <v>757</v>
      </c>
      <c r="AC314" s="226">
        <v>126840.05</v>
      </c>
      <c r="AD314" s="225" t="s">
        <v>862</v>
      </c>
      <c r="AE314" s="225" t="s">
        <v>1057</v>
      </c>
      <c r="AF314" s="226">
        <v>1562812.36</v>
      </c>
      <c r="AG314" s="226">
        <v>5200000</v>
      </c>
      <c r="AH314" s="226"/>
      <c r="AI314" s="226"/>
      <c r="AJ314" s="226"/>
      <c r="AK314" s="223" t="s">
        <v>873</v>
      </c>
      <c r="AL314" s="227"/>
      <c r="AM314" s="229">
        <v>0.08</v>
      </c>
      <c r="AO314" s="223">
        <v>0</v>
      </c>
      <c r="AP314" s="225" t="s">
        <v>1128</v>
      </c>
      <c r="AQ314" s="223">
        <v>79900447908</v>
      </c>
      <c r="AR314" s="225" t="s">
        <v>866</v>
      </c>
      <c r="AS314" s="224">
        <v>24195</v>
      </c>
      <c r="AT314" s="225" t="s">
        <v>875</v>
      </c>
      <c r="AU314" s="225" t="s">
        <v>868</v>
      </c>
      <c r="AV314" s="225" t="s">
        <v>879</v>
      </c>
      <c r="AW314" s="225" t="s">
        <v>172</v>
      </c>
      <c r="AX314" t="s">
        <v>2172</v>
      </c>
      <c r="AY314" s="224"/>
      <c r="BL314" s="223"/>
    </row>
    <row r="315" spans="1:64" x14ac:dyDescent="0.25">
      <c r="A315" s="223">
        <v>2176</v>
      </c>
      <c r="B315" s="223">
        <v>47</v>
      </c>
      <c r="C315" s="224">
        <v>45260</v>
      </c>
      <c r="D315" s="225" t="s">
        <v>1129</v>
      </c>
      <c r="E315" s="225" t="s">
        <v>859</v>
      </c>
      <c r="F315" s="225" t="s">
        <v>860</v>
      </c>
      <c r="G315" s="223" t="s">
        <v>926</v>
      </c>
      <c r="H315" s="224"/>
      <c r="I315" s="224">
        <v>45265</v>
      </c>
      <c r="J315" s="225" t="s">
        <v>2010</v>
      </c>
      <c r="K315" s="225" t="s">
        <v>98</v>
      </c>
      <c r="L315" s="225" t="s">
        <v>2</v>
      </c>
      <c r="M315" s="223">
        <v>2</v>
      </c>
      <c r="N315" s="223">
        <v>7</v>
      </c>
      <c r="O315" s="223">
        <v>438</v>
      </c>
      <c r="P315" s="223">
        <v>1</v>
      </c>
      <c r="Q315" s="223">
        <v>43.21</v>
      </c>
      <c r="R315" s="225" t="s">
        <v>12</v>
      </c>
      <c r="S315" s="230">
        <v>4220900</v>
      </c>
      <c r="T315" s="226">
        <v>97683.41</v>
      </c>
      <c r="U315" s="228"/>
      <c r="V315" s="226">
        <v>4220900</v>
      </c>
      <c r="W315" s="226">
        <v>97683.406618838228</v>
      </c>
      <c r="X315" s="228"/>
      <c r="Y315" s="228">
        <f>Юрист[[#This Row],[Итоговая цена м2 с отделкой]]-Юрист[[#This Row],[Итоговая цена м2 без отделки]]</f>
        <v>0</v>
      </c>
      <c r="Z315" s="226">
        <v>4220900</v>
      </c>
      <c r="AA315" s="223">
        <v>97683.406618838228</v>
      </c>
      <c r="AB315" s="225"/>
      <c r="AD315" s="225" t="s">
        <v>862</v>
      </c>
      <c r="AE315" s="225" t="s">
        <v>1018</v>
      </c>
      <c r="AF315" s="226">
        <v>850000</v>
      </c>
      <c r="AG315" s="226">
        <v>3370900</v>
      </c>
      <c r="AH315" s="226"/>
      <c r="AI315" s="226"/>
      <c r="AJ315" s="226"/>
      <c r="AK315" s="223" t="s">
        <v>873</v>
      </c>
      <c r="AL315" s="227"/>
      <c r="AM315" s="229">
        <v>0.05</v>
      </c>
      <c r="AO315" s="223">
        <v>0</v>
      </c>
      <c r="AP315" s="225" t="s">
        <v>1130</v>
      </c>
      <c r="AQ315" s="223">
        <v>79277254603</v>
      </c>
      <c r="AR315" s="225" t="s">
        <v>866</v>
      </c>
      <c r="AS315" s="224">
        <v>27260</v>
      </c>
      <c r="AT315" s="225" t="s">
        <v>913</v>
      </c>
      <c r="AU315" s="225" t="s">
        <v>899</v>
      </c>
      <c r="AV315" s="225" t="s">
        <v>879</v>
      </c>
      <c r="AW315" s="225" t="s">
        <v>172</v>
      </c>
      <c r="AX315" t="s">
        <v>2172</v>
      </c>
      <c r="AY315" s="224"/>
      <c r="BL315" s="223"/>
    </row>
    <row r="316" spans="1:64" x14ac:dyDescent="0.25">
      <c r="A316" s="223">
        <v>2178</v>
      </c>
      <c r="B316" s="223">
        <v>49</v>
      </c>
      <c r="C316" s="224">
        <v>45260</v>
      </c>
      <c r="D316" s="225" t="s">
        <v>1131</v>
      </c>
      <c r="E316" s="225" t="s">
        <v>859</v>
      </c>
      <c r="F316" s="225" t="s">
        <v>860</v>
      </c>
      <c r="G316" s="223" t="s">
        <v>861</v>
      </c>
      <c r="H316" s="224"/>
      <c r="I316" s="224">
        <v>45273</v>
      </c>
      <c r="J316" s="225" t="s">
        <v>2094</v>
      </c>
      <c r="K316" s="225" t="s">
        <v>98</v>
      </c>
      <c r="L316" s="225" t="s">
        <v>2</v>
      </c>
      <c r="M316" s="223">
        <v>2</v>
      </c>
      <c r="N316" s="223">
        <v>22</v>
      </c>
      <c r="O316" s="223">
        <v>558</v>
      </c>
      <c r="P316" s="223">
        <v>1</v>
      </c>
      <c r="Q316" s="223">
        <v>43.21</v>
      </c>
      <c r="R316" s="225" t="s">
        <v>14</v>
      </c>
      <c r="S316" s="230">
        <v>5175145</v>
      </c>
      <c r="T316" s="226">
        <v>119767.3</v>
      </c>
      <c r="U316" s="228"/>
      <c r="V316" s="226">
        <v>5175145</v>
      </c>
      <c r="W316" s="226">
        <v>119767.29923628789</v>
      </c>
      <c r="X316" s="228">
        <v>950620</v>
      </c>
      <c r="Y316" s="228">
        <f>Юрист[[#This Row],[Итоговая цена м2 с отделкой]]-Юрист[[#This Row],[Итоговая цена м2 без отделки]]</f>
        <v>21999.999999999985</v>
      </c>
      <c r="Z316" s="226">
        <v>4224525</v>
      </c>
      <c r="AA316" s="223">
        <v>97767.299236287901</v>
      </c>
      <c r="AB316" s="225" t="s">
        <v>767</v>
      </c>
      <c r="AC316" s="226">
        <v>317975</v>
      </c>
      <c r="AD316" s="225" t="s">
        <v>901</v>
      </c>
      <c r="AE316" s="225" t="s">
        <v>902</v>
      </c>
      <c r="AF316" s="226"/>
      <c r="AG316" s="226"/>
      <c r="AH316" s="226"/>
      <c r="AI316" s="226"/>
      <c r="AJ316" s="226"/>
      <c r="AL316" s="227"/>
      <c r="AM316" s="229"/>
      <c r="AO316" s="223">
        <v>0</v>
      </c>
      <c r="AP316" s="225" t="s">
        <v>1132</v>
      </c>
      <c r="AQ316" s="223">
        <v>79964630100</v>
      </c>
      <c r="AR316" s="225" t="s">
        <v>866</v>
      </c>
      <c r="AS316" s="224">
        <v>36782</v>
      </c>
      <c r="AT316" s="225" t="s">
        <v>954</v>
      </c>
      <c r="AU316" s="225" t="s">
        <v>868</v>
      </c>
      <c r="AV316" s="225" t="s">
        <v>902</v>
      </c>
      <c r="AW316" s="225" t="s">
        <v>172</v>
      </c>
      <c r="AX316" t="s">
        <v>2172</v>
      </c>
      <c r="AY316" s="224"/>
      <c r="BL316" s="223"/>
    </row>
    <row r="317" spans="1:64" x14ac:dyDescent="0.25">
      <c r="A317" s="223">
        <v>2174</v>
      </c>
      <c r="B317" s="223">
        <v>45</v>
      </c>
      <c r="C317" s="224">
        <v>45259</v>
      </c>
      <c r="D317" s="225" t="s">
        <v>1125</v>
      </c>
      <c r="E317" s="225" t="s">
        <v>859</v>
      </c>
      <c r="F317" s="225" t="s">
        <v>860</v>
      </c>
      <c r="G317" s="223" t="s">
        <v>861</v>
      </c>
      <c r="H317" s="224"/>
      <c r="I317" s="224">
        <v>45260</v>
      </c>
      <c r="J317" s="225" t="s">
        <v>2006</v>
      </c>
      <c r="K317" s="225" t="s">
        <v>98</v>
      </c>
      <c r="L317" s="225" t="s">
        <v>2</v>
      </c>
      <c r="M317" s="223">
        <v>5</v>
      </c>
      <c r="N317" s="223">
        <v>6</v>
      </c>
      <c r="O317" s="223">
        <v>433</v>
      </c>
      <c r="P317" s="223">
        <v>2</v>
      </c>
      <c r="Q317" s="223">
        <v>57.8</v>
      </c>
      <c r="R317" s="225" t="s">
        <v>13</v>
      </c>
      <c r="S317" s="230">
        <v>5282246</v>
      </c>
      <c r="T317" s="226">
        <v>91388.34</v>
      </c>
      <c r="U317" s="228"/>
      <c r="V317" s="226">
        <v>5282246</v>
      </c>
      <c r="W317" s="226">
        <v>91388.339100346027</v>
      </c>
      <c r="X317" s="228">
        <v>433500</v>
      </c>
      <c r="Y317" s="228">
        <f>Юрист[[#This Row],[Итоговая цена м2 с отделкой]]-Юрист[[#This Row],[Итоговая цена м2 без отделки]]</f>
        <v>7500</v>
      </c>
      <c r="Z317" s="226">
        <v>4848746</v>
      </c>
      <c r="AA317" s="223">
        <v>83888.339100346027</v>
      </c>
      <c r="AB317" s="225" t="s">
        <v>757</v>
      </c>
      <c r="AC317" s="226">
        <v>98954</v>
      </c>
      <c r="AD317" s="225" t="s">
        <v>862</v>
      </c>
      <c r="AE317" s="225" t="s">
        <v>863</v>
      </c>
      <c r="AF317" s="226">
        <v>1062000</v>
      </c>
      <c r="AG317" s="226">
        <v>4220246</v>
      </c>
      <c r="AH317" s="226"/>
      <c r="AI317" s="226"/>
      <c r="AJ317" s="226"/>
      <c r="AK317" s="223" t="s">
        <v>873</v>
      </c>
      <c r="AL317" s="227">
        <v>1.4E-2</v>
      </c>
      <c r="AM317" s="229">
        <v>6.6000000000000003E-2</v>
      </c>
      <c r="AO317" s="223">
        <v>0</v>
      </c>
      <c r="AP317" s="225" t="s">
        <v>1126</v>
      </c>
      <c r="AQ317" s="223">
        <v>79370639444</v>
      </c>
      <c r="AR317" s="225" t="s">
        <v>866</v>
      </c>
      <c r="AS317" s="224">
        <v>34823</v>
      </c>
      <c r="AT317" s="225" t="s">
        <v>888</v>
      </c>
      <c r="AU317" s="225" t="s">
        <v>899</v>
      </c>
      <c r="AV317" s="225" t="s">
        <v>879</v>
      </c>
      <c r="AW317" s="225" t="s">
        <v>172</v>
      </c>
      <c r="AX317" t="s">
        <v>2172</v>
      </c>
      <c r="AY317" s="224"/>
      <c r="BL317" s="223"/>
    </row>
    <row r="318" spans="1:64" x14ac:dyDescent="0.25">
      <c r="A318" s="223">
        <v>2171</v>
      </c>
      <c r="B318" s="223">
        <v>42</v>
      </c>
      <c r="C318" s="224">
        <v>45258</v>
      </c>
      <c r="D318" s="225" t="s">
        <v>1122</v>
      </c>
      <c r="E318" s="225" t="s">
        <v>859</v>
      </c>
      <c r="F318" s="225" t="s">
        <v>860</v>
      </c>
      <c r="G318" s="223" t="s">
        <v>861</v>
      </c>
      <c r="H318" s="224"/>
      <c r="I318" s="224">
        <v>45261</v>
      </c>
      <c r="J318" s="225" t="s">
        <v>1795</v>
      </c>
      <c r="K318" s="225" t="s">
        <v>98</v>
      </c>
      <c r="L318" s="225" t="s">
        <v>4</v>
      </c>
      <c r="M318" s="223">
        <v>5</v>
      </c>
      <c r="N318" s="223">
        <v>1</v>
      </c>
      <c r="O318" s="223">
        <v>116</v>
      </c>
      <c r="P318" s="223">
        <v>2</v>
      </c>
      <c r="Q318" s="223">
        <v>65.05</v>
      </c>
      <c r="R318" s="225" t="s">
        <v>12</v>
      </c>
      <c r="S318" s="230">
        <v>5403692.9100000001</v>
      </c>
      <c r="T318" s="226">
        <v>83069.84</v>
      </c>
      <c r="U318" s="228"/>
      <c r="V318" s="226">
        <v>5403692.9100000001</v>
      </c>
      <c r="W318" s="226">
        <v>83069.837202152194</v>
      </c>
      <c r="X318" s="228"/>
      <c r="Y318" s="228">
        <f>Юрист[[#This Row],[Итоговая цена м2 с отделкой]]-Юрист[[#This Row],[Итоговая цена м2 без отделки]]</f>
        <v>0</v>
      </c>
      <c r="Z318" s="226">
        <v>5403692.9100000001</v>
      </c>
      <c r="AA318" s="223">
        <v>83069.837202152194</v>
      </c>
      <c r="AB318" s="225" t="s">
        <v>757</v>
      </c>
      <c r="AC318" s="226">
        <v>110279.45</v>
      </c>
      <c r="AD318" s="225" t="s">
        <v>862</v>
      </c>
      <c r="AE318" s="225" t="s">
        <v>863</v>
      </c>
      <c r="AF318" s="226">
        <v>1087000</v>
      </c>
      <c r="AG318" s="226">
        <v>4316692.91</v>
      </c>
      <c r="AH318" s="226"/>
      <c r="AI318" s="226"/>
      <c r="AJ318" s="226"/>
      <c r="AK318" s="223" t="s">
        <v>873</v>
      </c>
      <c r="AL318" s="227">
        <v>1.4E-2</v>
      </c>
      <c r="AM318" s="229">
        <v>7.5999999999999998E-2</v>
      </c>
      <c r="AO318" s="223">
        <v>0</v>
      </c>
      <c r="AP318" s="225" t="s">
        <v>1123</v>
      </c>
      <c r="AQ318" s="223">
        <v>79042690304</v>
      </c>
      <c r="AR318" s="225" t="s">
        <v>882</v>
      </c>
      <c r="AS318" s="224">
        <v>22985</v>
      </c>
      <c r="AT318" s="225" t="s">
        <v>1124</v>
      </c>
      <c r="AU318" s="225" t="s">
        <v>899</v>
      </c>
      <c r="AV318" s="225" t="s">
        <v>869</v>
      </c>
      <c r="AW318" s="225" t="s">
        <v>172</v>
      </c>
      <c r="AX318" t="s">
        <v>2172</v>
      </c>
      <c r="AY318" s="224"/>
      <c r="BL318" s="223"/>
    </row>
    <row r="319" spans="1:64" x14ac:dyDescent="0.25">
      <c r="A319" s="223">
        <v>2160</v>
      </c>
      <c r="B319" s="223">
        <v>31</v>
      </c>
      <c r="C319" s="224">
        <v>45254</v>
      </c>
      <c r="D319" s="225" t="s">
        <v>1116</v>
      </c>
      <c r="E319" s="225" t="s">
        <v>859</v>
      </c>
      <c r="F319" s="225" t="s">
        <v>860</v>
      </c>
      <c r="G319" s="223" t="s">
        <v>861</v>
      </c>
      <c r="H319" s="224"/>
      <c r="I319" s="224">
        <v>45259</v>
      </c>
      <c r="J319" s="225" t="s">
        <v>1882</v>
      </c>
      <c r="K319" s="225" t="s">
        <v>98</v>
      </c>
      <c r="L319" s="225" t="s">
        <v>3</v>
      </c>
      <c r="M319" s="223">
        <v>3</v>
      </c>
      <c r="N319" s="223">
        <v>4</v>
      </c>
      <c r="O319" s="223">
        <v>245</v>
      </c>
      <c r="P319" s="223">
        <v>2</v>
      </c>
      <c r="Q319" s="223">
        <v>56.58</v>
      </c>
      <c r="R319" s="225" t="s">
        <v>14</v>
      </c>
      <c r="S319" s="230">
        <v>6060617.1100000003</v>
      </c>
      <c r="T319" s="226">
        <v>107115.89</v>
      </c>
      <c r="U319" s="228"/>
      <c r="V319" s="226">
        <v>6060617.1100000003</v>
      </c>
      <c r="W319" s="226">
        <v>107115.89095086604</v>
      </c>
      <c r="X319" s="228">
        <v>1244760</v>
      </c>
      <c r="Y319" s="228">
        <f>Юрист[[#This Row],[Итоговая цена м2 с отделкой]]-Юрист[[#This Row],[Итоговая цена м2 без отделки]]</f>
        <v>22000</v>
      </c>
      <c r="Z319" s="226">
        <v>4815857.1100000003</v>
      </c>
      <c r="AA319" s="223">
        <v>85115.890950866044</v>
      </c>
      <c r="AB319" s="225" t="s">
        <v>757</v>
      </c>
      <c r="AC319" s="226">
        <v>98282.8</v>
      </c>
      <c r="AD319" s="225" t="s">
        <v>862</v>
      </c>
      <c r="AE319" s="225" t="s">
        <v>863</v>
      </c>
      <c r="AF319" s="226">
        <v>1219000</v>
      </c>
      <c r="AG319" s="226">
        <v>4841617.1100000003</v>
      </c>
      <c r="AH319" s="226"/>
      <c r="AI319" s="226"/>
      <c r="AJ319" s="226"/>
      <c r="AK319" s="223" t="s">
        <v>864</v>
      </c>
      <c r="AL319" s="227">
        <v>1.4E-2</v>
      </c>
      <c r="AM319" s="229">
        <v>4.5999999999999999E-2</v>
      </c>
      <c r="AO319" s="223">
        <v>0</v>
      </c>
      <c r="AP319" s="225" t="s">
        <v>1117</v>
      </c>
      <c r="AQ319" s="223">
        <v>79276558805</v>
      </c>
      <c r="AR319" s="225" t="s">
        <v>866</v>
      </c>
      <c r="AS319" s="224">
        <v>32264</v>
      </c>
      <c r="AT319" s="225" t="s">
        <v>875</v>
      </c>
      <c r="AU319" s="225" t="s">
        <v>899</v>
      </c>
      <c r="AV319" s="225" t="s">
        <v>879</v>
      </c>
      <c r="AW319" s="225" t="s">
        <v>172</v>
      </c>
      <c r="AX319" t="s">
        <v>2172</v>
      </c>
      <c r="AY319" s="224"/>
      <c r="BL319" s="223"/>
    </row>
    <row r="320" spans="1:64" x14ac:dyDescent="0.25">
      <c r="A320" s="223">
        <v>2161</v>
      </c>
      <c r="B320" s="223">
        <v>32</v>
      </c>
      <c r="C320" s="224">
        <v>45254</v>
      </c>
      <c r="D320" s="225" t="s">
        <v>1118</v>
      </c>
      <c r="E320" s="225" t="s">
        <v>859</v>
      </c>
      <c r="F320" s="225" t="s">
        <v>860</v>
      </c>
      <c r="G320" s="223" t="s">
        <v>861</v>
      </c>
      <c r="H320" s="224"/>
      <c r="I320" s="224">
        <v>45259</v>
      </c>
      <c r="J320" s="225" t="s">
        <v>1828</v>
      </c>
      <c r="K320" s="225" t="s">
        <v>98</v>
      </c>
      <c r="L320" s="225" t="s">
        <v>4</v>
      </c>
      <c r="M320" s="223">
        <v>3</v>
      </c>
      <c r="N320" s="223">
        <v>8</v>
      </c>
      <c r="O320" s="223">
        <v>162</v>
      </c>
      <c r="P320" s="223">
        <v>2</v>
      </c>
      <c r="Q320" s="223">
        <v>57.6</v>
      </c>
      <c r="R320" s="225" t="s">
        <v>13</v>
      </c>
      <c r="S320" s="230">
        <v>5334675.32</v>
      </c>
      <c r="T320" s="226">
        <v>92615.89</v>
      </c>
      <c r="U320" s="228"/>
      <c r="V320" s="226">
        <v>5334675.32</v>
      </c>
      <c r="W320" s="226">
        <v>92615.890972222231</v>
      </c>
      <c r="X320" s="228">
        <v>432000</v>
      </c>
      <c r="Y320" s="228">
        <f>Юрист[[#This Row],[Итоговая цена м2 с отделкой]]-Юрист[[#This Row],[Итоговая цена м2 без отделки]]</f>
        <v>7500</v>
      </c>
      <c r="Z320" s="226">
        <v>4902675.32</v>
      </c>
      <c r="AA320" s="223">
        <v>85115.890972222231</v>
      </c>
      <c r="AB320" s="225" t="s">
        <v>757</v>
      </c>
      <c r="AC320" s="226">
        <v>100054.6</v>
      </c>
      <c r="AD320" s="225" t="s">
        <v>862</v>
      </c>
      <c r="AE320" s="225" t="s">
        <v>863</v>
      </c>
      <c r="AF320" s="226">
        <v>1073000.32</v>
      </c>
      <c r="AG320" s="226">
        <v>4261675</v>
      </c>
      <c r="AH320" s="226"/>
      <c r="AI320" s="226"/>
      <c r="AJ320" s="226"/>
      <c r="AK320" s="223" t="s">
        <v>864</v>
      </c>
      <c r="AL320" s="227">
        <v>1.4E-2</v>
      </c>
      <c r="AM320" s="229">
        <v>4.5999999999999999E-2</v>
      </c>
      <c r="AO320" s="223">
        <v>0</v>
      </c>
      <c r="AP320" s="225" t="s">
        <v>1119</v>
      </c>
      <c r="AQ320" s="223">
        <v>79378011098</v>
      </c>
      <c r="AR320" s="225" t="s">
        <v>882</v>
      </c>
      <c r="AS320" s="224">
        <v>30954</v>
      </c>
      <c r="AT320" s="225" t="s">
        <v>878</v>
      </c>
      <c r="AU320" s="225" t="s">
        <v>868</v>
      </c>
      <c r="AV320" s="225" t="s">
        <v>879</v>
      </c>
      <c r="AW320" s="225" t="s">
        <v>172</v>
      </c>
      <c r="AX320" t="s">
        <v>2172</v>
      </c>
      <c r="AY320" s="224"/>
      <c r="BL320" s="223"/>
    </row>
    <row r="321" spans="1:64" x14ac:dyDescent="0.25">
      <c r="A321" s="223">
        <v>2162</v>
      </c>
      <c r="B321" s="223">
        <v>33</v>
      </c>
      <c r="C321" s="224">
        <v>45254</v>
      </c>
      <c r="D321" s="225" t="s">
        <v>1120</v>
      </c>
      <c r="E321" s="225" t="s">
        <v>859</v>
      </c>
      <c r="F321" s="225" t="s">
        <v>860</v>
      </c>
      <c r="G321" s="223" t="s">
        <v>861</v>
      </c>
      <c r="H321" s="224"/>
      <c r="I321" s="224">
        <v>45259</v>
      </c>
      <c r="J321" s="225" t="s">
        <v>1907</v>
      </c>
      <c r="K321" s="225" t="s">
        <v>98</v>
      </c>
      <c r="L321" s="225" t="s">
        <v>3</v>
      </c>
      <c r="M321" s="223">
        <v>3</v>
      </c>
      <c r="N321" s="223">
        <v>9</v>
      </c>
      <c r="O321" s="223">
        <v>280</v>
      </c>
      <c r="P321" s="223">
        <v>2</v>
      </c>
      <c r="Q321" s="223">
        <v>56.58</v>
      </c>
      <c r="R321" s="225" t="s">
        <v>14</v>
      </c>
      <c r="S321" s="230">
        <v>6060617.1100000003</v>
      </c>
      <c r="T321" s="226">
        <v>107115.89</v>
      </c>
      <c r="U321" s="228"/>
      <c r="V321" s="226">
        <v>6060617.1100000003</v>
      </c>
      <c r="W321" s="226">
        <v>107115.89095086604</v>
      </c>
      <c r="X321" s="228">
        <v>1244760</v>
      </c>
      <c r="Y321" s="228">
        <f>Юрист[[#This Row],[Итоговая цена м2 с отделкой]]-Юрист[[#This Row],[Итоговая цена м2 без отделки]]</f>
        <v>22000</v>
      </c>
      <c r="Z321" s="226">
        <v>4815857.1100000003</v>
      </c>
      <c r="AA321" s="223">
        <v>85115.890950866044</v>
      </c>
      <c r="AB321" s="225" t="s">
        <v>757</v>
      </c>
      <c r="AC321" s="226">
        <v>98282.8</v>
      </c>
      <c r="AD321" s="225" t="s">
        <v>862</v>
      </c>
      <c r="AE321" s="225" t="s">
        <v>863</v>
      </c>
      <c r="AF321" s="226">
        <v>1914000</v>
      </c>
      <c r="AG321" s="226">
        <v>3560617.11</v>
      </c>
      <c r="AH321" s="226">
        <v>586000</v>
      </c>
      <c r="AI321" s="226"/>
      <c r="AJ321" s="226"/>
      <c r="AK321" s="223" t="s">
        <v>864</v>
      </c>
      <c r="AL321" s="227">
        <v>1.4E-2</v>
      </c>
      <c r="AM321" s="229">
        <v>4.5999999999999999E-2</v>
      </c>
      <c r="AO321" s="223">
        <v>0</v>
      </c>
      <c r="AP321" s="225" t="s">
        <v>1121</v>
      </c>
      <c r="AQ321" s="223">
        <v>79273620665</v>
      </c>
      <c r="AR321" s="225" t="s">
        <v>866</v>
      </c>
      <c r="AS321" s="224">
        <v>34038</v>
      </c>
      <c r="AT321" s="225" t="s">
        <v>867</v>
      </c>
      <c r="AU321" s="225" t="s">
        <v>899</v>
      </c>
      <c r="AV321" s="225" t="s">
        <v>879</v>
      </c>
      <c r="AW321" s="225" t="s">
        <v>172</v>
      </c>
      <c r="AX321" t="s">
        <v>2168</v>
      </c>
      <c r="AY321" s="224"/>
      <c r="BL321" s="223"/>
    </row>
    <row r="322" spans="1:64" x14ac:dyDescent="0.25">
      <c r="A322" s="223">
        <v>2158</v>
      </c>
      <c r="B322" s="223">
        <v>29</v>
      </c>
      <c r="C322" s="224">
        <v>45253</v>
      </c>
      <c r="D322" s="225" t="s">
        <v>1111</v>
      </c>
      <c r="E322" s="225" t="s">
        <v>859</v>
      </c>
      <c r="F322" s="225" t="s">
        <v>860</v>
      </c>
      <c r="G322" s="223" t="s">
        <v>861</v>
      </c>
      <c r="H322" s="224"/>
      <c r="I322" s="224">
        <v>45258</v>
      </c>
      <c r="J322" s="225" t="s">
        <v>2065</v>
      </c>
      <c r="K322" s="225" t="s">
        <v>98</v>
      </c>
      <c r="L322" s="225" t="s">
        <v>2</v>
      </c>
      <c r="M322" s="223">
        <v>5</v>
      </c>
      <c r="N322" s="223">
        <v>15</v>
      </c>
      <c r="O322" s="223">
        <v>505</v>
      </c>
      <c r="P322" s="223">
        <v>2</v>
      </c>
      <c r="Q322" s="223">
        <v>57.8</v>
      </c>
      <c r="R322" s="225" t="s">
        <v>12</v>
      </c>
      <c r="S322" s="230">
        <v>4799264.74</v>
      </c>
      <c r="T322" s="226">
        <v>83032.259999999995</v>
      </c>
      <c r="U322" s="228"/>
      <c r="V322" s="226">
        <v>4799264.74</v>
      </c>
      <c r="W322" s="226">
        <v>83032.261937716277</v>
      </c>
      <c r="X322" s="228"/>
      <c r="Y322" s="228">
        <f>Юрист[[#This Row],[Итоговая цена м2 с отделкой]]-Юрист[[#This Row],[Итоговая цена м2 без отделки]]</f>
        <v>0</v>
      </c>
      <c r="Z322" s="226">
        <v>4799264.74</v>
      </c>
      <c r="AA322" s="223">
        <v>83032.261937716277</v>
      </c>
      <c r="AB322" s="225" t="s">
        <v>167</v>
      </c>
      <c r="AC322" s="226">
        <v>148430.87</v>
      </c>
      <c r="AD322" s="225" t="s">
        <v>862</v>
      </c>
      <c r="AE322" s="225" t="s">
        <v>863</v>
      </c>
      <c r="AF322" s="226">
        <v>378054</v>
      </c>
      <c r="AG322" s="226">
        <v>3834264.02</v>
      </c>
      <c r="AH322" s="226">
        <v>586946.72</v>
      </c>
      <c r="AI322" s="226"/>
      <c r="AJ322" s="226"/>
      <c r="AK322" s="223" t="s">
        <v>864</v>
      </c>
      <c r="AL322" s="227">
        <v>1.4E-2</v>
      </c>
      <c r="AM322" s="229">
        <v>4.5999999999999999E-2</v>
      </c>
      <c r="AO322" s="223">
        <v>0</v>
      </c>
      <c r="AP322" s="225" t="s">
        <v>1112</v>
      </c>
      <c r="AQ322" s="223">
        <v>79879890855</v>
      </c>
      <c r="AR322" s="225" t="s">
        <v>882</v>
      </c>
      <c r="AS322" s="224">
        <v>32520</v>
      </c>
      <c r="AT322" s="225" t="s">
        <v>878</v>
      </c>
      <c r="AU322" s="225" t="s">
        <v>899</v>
      </c>
      <c r="AV322" s="225" t="s">
        <v>879</v>
      </c>
      <c r="AW322" s="225" t="s">
        <v>172</v>
      </c>
      <c r="AX322" t="s">
        <v>2172</v>
      </c>
      <c r="AY322" s="224"/>
      <c r="BL322" s="223"/>
    </row>
    <row r="323" spans="1:64" x14ac:dyDescent="0.25">
      <c r="A323" s="223">
        <v>2159</v>
      </c>
      <c r="B323" s="223">
        <v>30</v>
      </c>
      <c r="C323" s="224">
        <v>45253</v>
      </c>
      <c r="D323" s="225" t="s">
        <v>1113</v>
      </c>
      <c r="E323" s="225" t="s">
        <v>859</v>
      </c>
      <c r="F323" s="225" t="s">
        <v>860</v>
      </c>
      <c r="G323" s="223" t="s">
        <v>861</v>
      </c>
      <c r="H323" s="224"/>
      <c r="I323" s="224">
        <v>45258</v>
      </c>
      <c r="J323" s="225" t="s">
        <v>2043</v>
      </c>
      <c r="K323" s="225" t="s">
        <v>98</v>
      </c>
      <c r="L323" s="225" t="s">
        <v>2</v>
      </c>
      <c r="M323" s="223">
        <v>1</v>
      </c>
      <c r="N323" s="223">
        <v>12</v>
      </c>
      <c r="O323" s="223">
        <v>477</v>
      </c>
      <c r="P323" s="223">
        <v>0</v>
      </c>
      <c r="Q323" s="223">
        <v>29.4</v>
      </c>
      <c r="R323" s="225" t="s">
        <v>12</v>
      </c>
      <c r="S323" s="230">
        <v>3096792.26</v>
      </c>
      <c r="T323" s="226">
        <v>105333.07</v>
      </c>
      <c r="U323" s="228"/>
      <c r="V323" s="226">
        <v>3096792.26</v>
      </c>
      <c r="W323" s="226">
        <v>105333.07006802721</v>
      </c>
      <c r="X323" s="228"/>
      <c r="Y323" s="228">
        <f>Юрист[[#This Row],[Итоговая цена м2 с отделкой]]-Юрист[[#This Row],[Итоговая цена м2 без отделки]]</f>
        <v>0</v>
      </c>
      <c r="Z323" s="226">
        <v>3096792.26</v>
      </c>
      <c r="AA323" s="223">
        <v>105333.07006802721</v>
      </c>
      <c r="AB323" s="225"/>
      <c r="AD323" s="225" t="s">
        <v>862</v>
      </c>
      <c r="AE323" s="225" t="s">
        <v>863</v>
      </c>
      <c r="AF323" s="226">
        <v>623000.26</v>
      </c>
      <c r="AG323" s="226">
        <v>2473792</v>
      </c>
      <c r="AH323" s="226"/>
      <c r="AI323" s="226"/>
      <c r="AJ323" s="226"/>
      <c r="AK323" s="223" t="s">
        <v>864</v>
      </c>
      <c r="AL323" s="227">
        <v>1.4E-2</v>
      </c>
      <c r="AM323" s="229">
        <v>4.5999999999999999E-2</v>
      </c>
      <c r="AO323" s="223">
        <v>0</v>
      </c>
      <c r="AP323" s="225" t="s">
        <v>1114</v>
      </c>
      <c r="AQ323" s="223">
        <v>79170308827</v>
      </c>
      <c r="AR323" s="225" t="s">
        <v>882</v>
      </c>
      <c r="AS323" s="224">
        <v>30067</v>
      </c>
      <c r="AT323" s="225" t="s">
        <v>1115</v>
      </c>
      <c r="AU323" s="225" t="s">
        <v>868</v>
      </c>
      <c r="AV323" s="225" t="s">
        <v>879</v>
      </c>
      <c r="AW323" s="225" t="s">
        <v>172</v>
      </c>
      <c r="AX323" t="s">
        <v>2168</v>
      </c>
      <c r="AY323" s="224"/>
      <c r="BL323" s="223"/>
    </row>
    <row r="324" spans="1:64" x14ac:dyDescent="0.25">
      <c r="A324" s="223">
        <v>2154</v>
      </c>
      <c r="B324" s="223">
        <v>25</v>
      </c>
      <c r="C324" s="224">
        <v>45251</v>
      </c>
      <c r="D324" s="225" t="s">
        <v>1109</v>
      </c>
      <c r="E324" s="225" t="s">
        <v>859</v>
      </c>
      <c r="F324" s="225" t="s">
        <v>860</v>
      </c>
      <c r="G324" s="223" t="s">
        <v>926</v>
      </c>
      <c r="H324" s="224"/>
      <c r="I324" s="224">
        <v>45254</v>
      </c>
      <c r="J324" s="225" t="s">
        <v>1769</v>
      </c>
      <c r="K324" s="225" t="s">
        <v>98</v>
      </c>
      <c r="L324" s="225" t="s">
        <v>5</v>
      </c>
      <c r="M324" s="223">
        <v>7</v>
      </c>
      <c r="N324" s="223">
        <v>11</v>
      </c>
      <c r="O324" s="223">
        <v>76</v>
      </c>
      <c r="P324" s="223">
        <v>1</v>
      </c>
      <c r="Q324" s="223">
        <v>42.75</v>
      </c>
      <c r="R324" s="225" t="s">
        <v>13</v>
      </c>
      <c r="S324" s="230">
        <v>4276569.5999999996</v>
      </c>
      <c r="T324" s="226">
        <v>100036.72</v>
      </c>
      <c r="U324" s="228"/>
      <c r="V324" s="226">
        <v>4276569.5999999996</v>
      </c>
      <c r="W324" s="226">
        <v>100036.71578947367</v>
      </c>
      <c r="X324" s="228">
        <v>320625</v>
      </c>
      <c r="Y324" s="228">
        <f>Юрист[[#This Row],[Итоговая цена м2 с отделкой]]-Юрист[[#This Row],[Итоговая цена м2 без отделки]]</f>
        <v>7500</v>
      </c>
      <c r="Z324" s="226">
        <v>3955944.5999999996</v>
      </c>
      <c r="AA324" s="223">
        <v>92536.715789473674</v>
      </c>
      <c r="AB324" s="225" t="s">
        <v>767</v>
      </c>
      <c r="AC324" s="226">
        <v>80733.56</v>
      </c>
      <c r="AD324" s="225" t="s">
        <v>936</v>
      </c>
      <c r="AE324" s="225" t="s">
        <v>902</v>
      </c>
      <c r="AF324" s="226"/>
      <c r="AG324" s="226"/>
      <c r="AH324" s="226"/>
      <c r="AI324" s="226"/>
      <c r="AJ324" s="226"/>
      <c r="AL324" s="227"/>
      <c r="AM324" s="229"/>
      <c r="AO324" s="223">
        <v>0</v>
      </c>
      <c r="AP324" s="225" t="s">
        <v>1110</v>
      </c>
      <c r="AQ324" s="223">
        <v>79277431853</v>
      </c>
      <c r="AR324" s="225" t="s">
        <v>866</v>
      </c>
      <c r="AS324" s="224">
        <v>22437</v>
      </c>
      <c r="AT324" s="225" t="s">
        <v>888</v>
      </c>
      <c r="AU324" s="225" t="s">
        <v>997</v>
      </c>
      <c r="AV324" s="225" t="s">
        <v>902</v>
      </c>
      <c r="AW324" s="225" t="s">
        <v>172</v>
      </c>
      <c r="AX324" t="s">
        <v>2172</v>
      </c>
      <c r="AY324" s="224"/>
      <c r="BL324" s="223"/>
    </row>
    <row r="325" spans="1:64" x14ac:dyDescent="0.25">
      <c r="A325" s="223">
        <v>2152</v>
      </c>
      <c r="B325" s="223">
        <v>23</v>
      </c>
      <c r="C325" s="224">
        <v>45248</v>
      </c>
      <c r="D325" s="225" t="s">
        <v>1108</v>
      </c>
      <c r="E325" s="225" t="s">
        <v>859</v>
      </c>
      <c r="F325" s="225" t="s">
        <v>860</v>
      </c>
      <c r="G325" s="223" t="s">
        <v>861</v>
      </c>
      <c r="H325" s="224"/>
      <c r="I325" s="224">
        <v>45252</v>
      </c>
      <c r="J325" s="225" t="s">
        <v>1855</v>
      </c>
      <c r="K325" s="225" t="s">
        <v>98</v>
      </c>
      <c r="L325" s="225" t="s">
        <v>2</v>
      </c>
      <c r="M325" s="223">
        <v>6</v>
      </c>
      <c r="N325" s="223">
        <v>23</v>
      </c>
      <c r="O325" s="223">
        <v>570</v>
      </c>
      <c r="P325" s="223">
        <v>1</v>
      </c>
      <c r="Q325" s="223">
        <v>38.299999999999997</v>
      </c>
      <c r="R325" s="225" t="s">
        <v>13</v>
      </c>
      <c r="S325" s="230">
        <v>4144861.65</v>
      </c>
      <c r="T325" s="226">
        <v>108220.93</v>
      </c>
      <c r="U325" s="228"/>
      <c r="V325" s="226">
        <v>4144861.65</v>
      </c>
      <c r="W325" s="226">
        <v>108220.93080939948</v>
      </c>
      <c r="X325" s="228">
        <v>287250</v>
      </c>
      <c r="Y325" s="228">
        <f>Юрист[[#This Row],[Итоговая цена м2 с отделкой]]-Юрист[[#This Row],[Итоговая цена м2 без отделки]]</f>
        <v>7500</v>
      </c>
      <c r="Z325" s="226">
        <v>3857611.65</v>
      </c>
      <c r="AA325" s="223">
        <v>100720.93080939948</v>
      </c>
      <c r="AB325" s="225" t="s">
        <v>978</v>
      </c>
      <c r="AC325" s="226">
        <v>78726.77</v>
      </c>
      <c r="AD325" s="225" t="s">
        <v>862</v>
      </c>
      <c r="AE325" s="225" t="s">
        <v>863</v>
      </c>
      <c r="AF325" s="226">
        <v>835000</v>
      </c>
      <c r="AG325" s="226">
        <v>3309861.65</v>
      </c>
      <c r="AH325" s="226"/>
      <c r="AI325" s="226"/>
      <c r="AJ325" s="226"/>
      <c r="AK325" s="223" t="s">
        <v>864</v>
      </c>
      <c r="AL325" s="227">
        <v>1.4E-2</v>
      </c>
      <c r="AM325" s="229">
        <v>2.1999999999999999E-2</v>
      </c>
      <c r="AO325" s="223">
        <v>0</v>
      </c>
      <c r="AP325" s="225" t="s">
        <v>877</v>
      </c>
      <c r="AQ325" s="223">
        <v>79110042883</v>
      </c>
      <c r="AR325" s="225" t="s">
        <v>866</v>
      </c>
      <c r="AS325" s="224">
        <v>32046</v>
      </c>
      <c r="AT325" s="225" t="s">
        <v>907</v>
      </c>
      <c r="AU325" s="225" t="s">
        <v>899</v>
      </c>
      <c r="AV325" s="225" t="s">
        <v>879</v>
      </c>
      <c r="AW325" s="225" t="s">
        <v>172</v>
      </c>
      <c r="AX325" t="s">
        <v>2172</v>
      </c>
      <c r="AY325" s="224"/>
      <c r="BL325" s="223"/>
    </row>
    <row r="326" spans="1:64" x14ac:dyDescent="0.25">
      <c r="A326" s="223">
        <v>2150</v>
      </c>
      <c r="B326" s="223">
        <v>21</v>
      </c>
      <c r="C326" s="224">
        <v>45247</v>
      </c>
      <c r="D326" s="225" t="s">
        <v>1104</v>
      </c>
      <c r="E326" s="225" t="s">
        <v>859</v>
      </c>
      <c r="F326" s="225" t="s">
        <v>860</v>
      </c>
      <c r="G326" s="223" t="s">
        <v>861</v>
      </c>
      <c r="H326" s="224"/>
      <c r="I326" s="224">
        <v>45252</v>
      </c>
      <c r="J326" s="225" t="s">
        <v>1861</v>
      </c>
      <c r="K326" s="225" t="s">
        <v>98</v>
      </c>
      <c r="L326" s="225" t="s">
        <v>4</v>
      </c>
      <c r="M326" s="223">
        <v>4</v>
      </c>
      <c r="N326" s="223">
        <v>15</v>
      </c>
      <c r="O326" s="223">
        <v>212</v>
      </c>
      <c r="P326" s="223">
        <v>2</v>
      </c>
      <c r="Q326" s="223">
        <v>58.31</v>
      </c>
      <c r="R326" s="225" t="s">
        <v>12</v>
      </c>
      <c r="S326" s="230">
        <v>4920047.59</v>
      </c>
      <c r="T326" s="226">
        <v>84377.42</v>
      </c>
      <c r="U326" s="228"/>
      <c r="V326" s="226">
        <v>4920047.59</v>
      </c>
      <c r="W326" s="226">
        <v>84377.423941004963</v>
      </c>
      <c r="X326" s="228"/>
      <c r="Y326" s="228">
        <f>Юрист[[#This Row],[Итоговая цена м2 с отделкой]]-Юрист[[#This Row],[Итоговая цена м2 без отделки]]</f>
        <v>0</v>
      </c>
      <c r="Z326" s="226">
        <v>4920047.59</v>
      </c>
      <c r="AA326" s="223">
        <v>84377.423941004963</v>
      </c>
      <c r="AB326" s="225" t="s">
        <v>171</v>
      </c>
      <c r="AC326" s="226">
        <v>120000</v>
      </c>
      <c r="AD326" s="225" t="s">
        <v>862</v>
      </c>
      <c r="AE326" s="225" t="s">
        <v>863</v>
      </c>
      <c r="AF326" s="226">
        <v>990000.59</v>
      </c>
      <c r="AG326" s="226">
        <v>3930047</v>
      </c>
      <c r="AH326" s="226"/>
      <c r="AI326" s="226"/>
      <c r="AJ326" s="226"/>
      <c r="AK326" s="223" t="s">
        <v>873</v>
      </c>
      <c r="AL326" s="227">
        <v>1.4E-2</v>
      </c>
      <c r="AM326" s="229">
        <v>6.3E-2</v>
      </c>
      <c r="AO326" s="223">
        <v>0</v>
      </c>
      <c r="AP326" s="225" t="s">
        <v>1105</v>
      </c>
      <c r="AQ326" s="223">
        <v>79228341333</v>
      </c>
      <c r="AR326" s="225" t="s">
        <v>882</v>
      </c>
      <c r="AS326" s="224">
        <v>35205</v>
      </c>
      <c r="AT326" s="225" t="s">
        <v>878</v>
      </c>
      <c r="AU326" s="225" t="s">
        <v>868</v>
      </c>
      <c r="AV326" s="225" t="s">
        <v>869</v>
      </c>
      <c r="AW326" s="225" t="s">
        <v>172</v>
      </c>
      <c r="AX326" t="s">
        <v>2172</v>
      </c>
      <c r="AY326" s="224"/>
      <c r="BL326" s="223"/>
    </row>
    <row r="327" spans="1:64" x14ac:dyDescent="0.25">
      <c r="A327" s="223">
        <v>2151</v>
      </c>
      <c r="B327" s="223">
        <v>22</v>
      </c>
      <c r="C327" s="224">
        <v>45247</v>
      </c>
      <c r="D327" s="225" t="s">
        <v>1106</v>
      </c>
      <c r="E327" s="225" t="s">
        <v>859</v>
      </c>
      <c r="F327" s="225" t="s">
        <v>860</v>
      </c>
      <c r="G327" s="223" t="s">
        <v>926</v>
      </c>
      <c r="H327" s="224"/>
      <c r="I327" s="224">
        <v>45252</v>
      </c>
      <c r="J327" s="225" t="s">
        <v>1832</v>
      </c>
      <c r="K327" s="225" t="s">
        <v>98</v>
      </c>
      <c r="L327" s="225" t="s">
        <v>4</v>
      </c>
      <c r="M327" s="223">
        <v>4</v>
      </c>
      <c r="N327" s="223">
        <v>9</v>
      </c>
      <c r="O327" s="223">
        <v>170</v>
      </c>
      <c r="P327" s="223">
        <v>2</v>
      </c>
      <c r="Q327" s="223">
        <v>58.31</v>
      </c>
      <c r="R327" s="225" t="s">
        <v>13</v>
      </c>
      <c r="S327" s="230">
        <v>5376571.6399999997</v>
      </c>
      <c r="T327" s="226">
        <v>92206.68</v>
      </c>
      <c r="U327" s="228"/>
      <c r="V327" s="226">
        <v>5376571.6399999997</v>
      </c>
      <c r="W327" s="226">
        <v>92206.682215743436</v>
      </c>
      <c r="X327" s="228">
        <v>437325</v>
      </c>
      <c r="Y327" s="228">
        <f>Юрист[[#This Row],[Итоговая цена м2 с отделкой]]-Юрист[[#This Row],[Итоговая цена м2 без отделки]]</f>
        <v>7500</v>
      </c>
      <c r="Z327" s="226">
        <v>4939246.6399999997</v>
      </c>
      <c r="AA327" s="223">
        <v>84706.682215743436</v>
      </c>
      <c r="AB327" s="225" t="s">
        <v>757</v>
      </c>
      <c r="AC327" s="226">
        <v>100800.95</v>
      </c>
      <c r="AD327" s="225" t="s">
        <v>862</v>
      </c>
      <c r="AE327" s="225" t="s">
        <v>1057</v>
      </c>
      <c r="AF327" s="226">
        <v>1081000.6399999999</v>
      </c>
      <c r="AG327" s="226">
        <v>4295571</v>
      </c>
      <c r="AH327" s="226"/>
      <c r="AI327" s="226"/>
      <c r="AJ327" s="226"/>
      <c r="AK327" s="223" t="s">
        <v>864</v>
      </c>
      <c r="AL327" s="227"/>
      <c r="AM327" s="229">
        <v>5.7000000000000002E-2</v>
      </c>
      <c r="AO327" s="223">
        <v>0</v>
      </c>
      <c r="AP327" s="225" t="s">
        <v>1107</v>
      </c>
      <c r="AQ327" s="223">
        <v>79818872256</v>
      </c>
      <c r="AR327" s="225" t="s">
        <v>882</v>
      </c>
      <c r="AS327" s="224">
        <v>31210</v>
      </c>
      <c r="AT327" s="225" t="s">
        <v>907</v>
      </c>
      <c r="AU327" s="225" t="s">
        <v>868</v>
      </c>
      <c r="AV327" s="225" t="s">
        <v>879</v>
      </c>
      <c r="AW327" s="225" t="s">
        <v>172</v>
      </c>
      <c r="AX327" t="s">
        <v>2172</v>
      </c>
      <c r="AY327" s="224"/>
      <c r="BL327" s="223"/>
    </row>
    <row r="328" spans="1:64" x14ac:dyDescent="0.25">
      <c r="A328" s="223">
        <v>2146</v>
      </c>
      <c r="B328" s="223">
        <v>17</v>
      </c>
      <c r="C328" s="224">
        <v>45246</v>
      </c>
      <c r="D328" s="225" t="s">
        <v>1100</v>
      </c>
      <c r="E328" s="225" t="s">
        <v>859</v>
      </c>
      <c r="F328" s="225" t="s">
        <v>860</v>
      </c>
      <c r="G328" s="223" t="s">
        <v>861</v>
      </c>
      <c r="H328" s="224"/>
      <c r="I328" s="224">
        <v>45251</v>
      </c>
      <c r="J328" s="225" t="s">
        <v>1917</v>
      </c>
      <c r="K328" s="225" t="s">
        <v>98</v>
      </c>
      <c r="L328" s="225" t="s">
        <v>3</v>
      </c>
      <c r="M328" s="223">
        <v>4</v>
      </c>
      <c r="N328" s="223">
        <v>11</v>
      </c>
      <c r="O328" s="223">
        <v>295</v>
      </c>
      <c r="P328" s="223">
        <v>2</v>
      </c>
      <c r="Q328" s="223">
        <v>60.24</v>
      </c>
      <c r="R328" s="225" t="s">
        <v>12</v>
      </c>
      <c r="S328" s="230">
        <v>5089902.38</v>
      </c>
      <c r="T328" s="226">
        <v>84493.73</v>
      </c>
      <c r="U328" s="228"/>
      <c r="V328" s="226">
        <v>5089902.38</v>
      </c>
      <c r="W328" s="226">
        <v>84493.731407702522</v>
      </c>
      <c r="X328" s="228"/>
      <c r="Y328" s="228">
        <f>Юрист[[#This Row],[Итоговая цена м2 с отделкой]]-Юрист[[#This Row],[Итоговая цена м2 без отделки]]</f>
        <v>0</v>
      </c>
      <c r="Z328" s="226">
        <v>5089902.38</v>
      </c>
      <c r="AA328" s="223">
        <v>84493.731407702522</v>
      </c>
      <c r="AB328" s="225" t="s">
        <v>162</v>
      </c>
      <c r="AC328" s="226">
        <v>267889.59999999998</v>
      </c>
      <c r="AD328" s="225" t="s">
        <v>862</v>
      </c>
      <c r="AE328" s="225" t="s">
        <v>863</v>
      </c>
      <c r="AF328" s="226">
        <v>1024000.38</v>
      </c>
      <c r="AG328" s="226">
        <v>4065902</v>
      </c>
      <c r="AH328" s="226"/>
      <c r="AI328" s="226"/>
      <c r="AJ328" s="226"/>
      <c r="AK328" s="223" t="s">
        <v>873</v>
      </c>
      <c r="AL328" s="227">
        <v>1.4E-2</v>
      </c>
      <c r="AM328" s="229">
        <v>6.6000000000000003E-2</v>
      </c>
      <c r="AO328" s="223">
        <v>0</v>
      </c>
      <c r="AP328" s="225" t="s">
        <v>1101</v>
      </c>
      <c r="AQ328" s="223">
        <v>79290084756</v>
      </c>
      <c r="AR328" s="225" t="s">
        <v>882</v>
      </c>
      <c r="AS328" s="224">
        <v>35213</v>
      </c>
      <c r="AT328" s="225" t="s">
        <v>875</v>
      </c>
      <c r="AU328" s="225" t="s">
        <v>868</v>
      </c>
      <c r="AV328" s="225" t="s">
        <v>879</v>
      </c>
      <c r="AW328" s="225" t="s">
        <v>172</v>
      </c>
      <c r="AX328" t="s">
        <v>2172</v>
      </c>
      <c r="AY328" s="224"/>
      <c r="BL328" s="223"/>
    </row>
    <row r="329" spans="1:64" x14ac:dyDescent="0.25">
      <c r="A329" s="223">
        <v>2147</v>
      </c>
      <c r="B329" s="223">
        <v>18</v>
      </c>
      <c r="C329" s="224">
        <v>45246</v>
      </c>
      <c r="D329" s="225" t="s">
        <v>1102</v>
      </c>
      <c r="E329" s="225" t="s">
        <v>859</v>
      </c>
      <c r="F329" s="225" t="s">
        <v>860</v>
      </c>
      <c r="G329" s="223" t="s">
        <v>861</v>
      </c>
      <c r="H329" s="224"/>
      <c r="I329" s="224">
        <v>45251</v>
      </c>
      <c r="J329" s="225" t="s">
        <v>1726</v>
      </c>
      <c r="K329" s="225" t="s">
        <v>98</v>
      </c>
      <c r="L329" s="225" t="s">
        <v>5</v>
      </c>
      <c r="M329" s="223">
        <v>6</v>
      </c>
      <c r="N329" s="223">
        <v>2</v>
      </c>
      <c r="O329" s="223">
        <v>12</v>
      </c>
      <c r="P329" s="223">
        <v>2</v>
      </c>
      <c r="Q329" s="223">
        <v>58.16</v>
      </c>
      <c r="R329" s="225" t="s">
        <v>13</v>
      </c>
      <c r="S329" s="230">
        <v>5608995.1799999997</v>
      </c>
      <c r="T329" s="226">
        <v>96440.77</v>
      </c>
      <c r="U329" s="228"/>
      <c r="V329" s="226">
        <v>5608995.1799999997</v>
      </c>
      <c r="W329" s="226">
        <v>96440.769944979373</v>
      </c>
      <c r="X329" s="228">
        <v>436200</v>
      </c>
      <c r="Y329" s="228">
        <f>Юрист[[#This Row],[Итоговая цена м2 с отделкой]]-Юрист[[#This Row],[Итоговая цена м2 без отделки]]</f>
        <v>7500</v>
      </c>
      <c r="Z329" s="226">
        <v>5172795.18</v>
      </c>
      <c r="AA329" s="223">
        <v>88940.769944979373</v>
      </c>
      <c r="AB329" s="225"/>
      <c r="AD329" s="225" t="s">
        <v>862</v>
      </c>
      <c r="AE329" s="225" t="s">
        <v>863</v>
      </c>
      <c r="AF329" s="226">
        <v>622000</v>
      </c>
      <c r="AG329" s="226">
        <v>4480914.47</v>
      </c>
      <c r="AH329" s="226">
        <v>506080.71</v>
      </c>
      <c r="AI329" s="226"/>
      <c r="AJ329" s="226"/>
      <c r="AK329" s="223" t="s">
        <v>864</v>
      </c>
      <c r="AL329" s="227">
        <v>1.4E-2</v>
      </c>
      <c r="AM329" s="229">
        <v>4.5999999999999999E-2</v>
      </c>
      <c r="AO329" s="223">
        <v>0</v>
      </c>
      <c r="AP329" s="225" t="s">
        <v>1103</v>
      </c>
      <c r="AQ329" s="223">
        <v>79871532045</v>
      </c>
      <c r="AR329" s="225" t="s">
        <v>866</v>
      </c>
      <c r="AS329" s="224">
        <v>31762</v>
      </c>
      <c r="AT329" s="225" t="s">
        <v>867</v>
      </c>
      <c r="AU329" s="225" t="s">
        <v>899</v>
      </c>
      <c r="AV329" s="225" t="s">
        <v>879</v>
      </c>
      <c r="AW329" s="225" t="s">
        <v>172</v>
      </c>
      <c r="AX329" t="s">
        <v>2168</v>
      </c>
      <c r="AY329" s="224"/>
      <c r="BL329" s="223"/>
    </row>
    <row r="330" spans="1:64" x14ac:dyDescent="0.25">
      <c r="A330" s="223">
        <v>2140</v>
      </c>
      <c r="B330" s="223">
        <v>11</v>
      </c>
      <c r="C330" s="224">
        <v>45243</v>
      </c>
      <c r="D330" s="225" t="s">
        <v>1096</v>
      </c>
      <c r="E330" s="225" t="s">
        <v>859</v>
      </c>
      <c r="F330" s="225" t="s">
        <v>860</v>
      </c>
      <c r="G330" s="223" t="s">
        <v>861</v>
      </c>
      <c r="H330" s="224"/>
      <c r="I330" s="224">
        <v>45246</v>
      </c>
      <c r="J330" s="225" t="s">
        <v>1776</v>
      </c>
      <c r="K330" s="225" t="s">
        <v>98</v>
      </c>
      <c r="L330" s="225" t="s">
        <v>5</v>
      </c>
      <c r="M330" s="223">
        <v>3</v>
      </c>
      <c r="N330" s="223">
        <v>13</v>
      </c>
      <c r="O330" s="223">
        <v>86</v>
      </c>
      <c r="P330" s="223">
        <v>1</v>
      </c>
      <c r="Q330" s="223">
        <v>37.729999999999997</v>
      </c>
      <c r="R330" s="225" t="s">
        <v>12</v>
      </c>
      <c r="S330" s="230">
        <v>3824799.14</v>
      </c>
      <c r="T330" s="226">
        <v>101372.89</v>
      </c>
      <c r="U330" s="228"/>
      <c r="V330" s="226">
        <v>3824799.14</v>
      </c>
      <c r="W330" s="226">
        <v>101372.89000795124</v>
      </c>
      <c r="X330" s="228"/>
      <c r="Y330" s="228">
        <f>Юрист[[#This Row],[Итоговая цена м2 с отделкой]]-Юрист[[#This Row],[Итоговая цена м2 без отделки]]</f>
        <v>0</v>
      </c>
      <c r="Z330" s="226">
        <v>3824799.14</v>
      </c>
      <c r="AA330" s="223">
        <v>101372.89000795124</v>
      </c>
      <c r="AB330" s="225"/>
      <c r="AD330" s="225" t="s">
        <v>862</v>
      </c>
      <c r="AE330" s="225" t="s">
        <v>863</v>
      </c>
      <c r="AF330" s="226">
        <v>182053.28</v>
      </c>
      <c r="AG330" s="226">
        <v>3055799.14</v>
      </c>
      <c r="AH330" s="226">
        <v>586946.72</v>
      </c>
      <c r="AI330" s="226"/>
      <c r="AJ330" s="226"/>
      <c r="AK330" s="223" t="s">
        <v>864</v>
      </c>
      <c r="AL330" s="227">
        <v>1.4E-2</v>
      </c>
      <c r="AM330" s="229">
        <v>4.5999999999999999E-2</v>
      </c>
      <c r="AO330" s="223">
        <v>0</v>
      </c>
      <c r="AP330" s="225" t="s">
        <v>1097</v>
      </c>
      <c r="AQ330" s="223">
        <v>79277450211</v>
      </c>
      <c r="AR330" s="225" t="s">
        <v>866</v>
      </c>
      <c r="AS330" s="224">
        <v>33382</v>
      </c>
      <c r="AT330" s="225" t="s">
        <v>888</v>
      </c>
      <c r="AU330" s="225" t="s">
        <v>997</v>
      </c>
      <c r="AV330" s="225" t="s">
        <v>869</v>
      </c>
      <c r="AW330" s="225" t="s">
        <v>172</v>
      </c>
      <c r="AX330" t="s">
        <v>2172</v>
      </c>
      <c r="AY330" s="224"/>
      <c r="BL330" s="223"/>
    </row>
    <row r="331" spans="1:64" x14ac:dyDescent="0.25">
      <c r="A331" s="223">
        <v>2141</v>
      </c>
      <c r="B331" s="223">
        <v>12</v>
      </c>
      <c r="C331" s="224">
        <v>45243</v>
      </c>
      <c r="D331" s="225" t="s">
        <v>1098</v>
      </c>
      <c r="E331" s="225" t="s">
        <v>859</v>
      </c>
      <c r="F331" s="225" t="s">
        <v>860</v>
      </c>
      <c r="G331" s="223" t="s">
        <v>861</v>
      </c>
      <c r="H331" s="224"/>
      <c r="I331" s="224">
        <v>45246</v>
      </c>
      <c r="J331" s="225" t="s">
        <v>1888</v>
      </c>
      <c r="K331" s="225" t="s">
        <v>98</v>
      </c>
      <c r="L331" s="225" t="s">
        <v>3</v>
      </c>
      <c r="M331" s="223">
        <v>5</v>
      </c>
      <c r="N331" s="223">
        <v>5</v>
      </c>
      <c r="O331" s="223">
        <v>254</v>
      </c>
      <c r="P331" s="223">
        <v>1</v>
      </c>
      <c r="Q331" s="223">
        <v>37.81</v>
      </c>
      <c r="R331" s="225" t="s">
        <v>14</v>
      </c>
      <c r="S331" s="230">
        <v>4609836.03</v>
      </c>
      <c r="T331" s="226">
        <v>121921.08</v>
      </c>
      <c r="U331" s="228"/>
      <c r="V331" s="226">
        <v>4609836.03</v>
      </c>
      <c r="W331" s="226">
        <v>121921.07987304946</v>
      </c>
      <c r="X331" s="228">
        <v>831820</v>
      </c>
      <c r="Y331" s="228">
        <f>Юрист[[#This Row],[Итоговая цена м2 с отделкой]]-Юрист[[#This Row],[Итоговая цена м2 без отделки]]</f>
        <v>22000</v>
      </c>
      <c r="Z331" s="226">
        <v>3778016.0300000003</v>
      </c>
      <c r="AA331" s="223">
        <v>99921.079873049457</v>
      </c>
      <c r="AB331" s="225"/>
      <c r="AD331" s="225" t="s">
        <v>862</v>
      </c>
      <c r="AE331" s="225" t="s">
        <v>863</v>
      </c>
      <c r="AF331" s="226">
        <v>927000.03</v>
      </c>
      <c r="AG331" s="226">
        <v>3682836</v>
      </c>
      <c r="AH331" s="226"/>
      <c r="AI331" s="226"/>
      <c r="AJ331" s="226"/>
      <c r="AK331" s="223" t="s">
        <v>895</v>
      </c>
      <c r="AL331" s="227"/>
      <c r="AM331" s="229">
        <v>3.5999999999999997E-2</v>
      </c>
      <c r="AO331" s="223">
        <v>0</v>
      </c>
      <c r="AP331" s="225" t="s">
        <v>1099</v>
      </c>
      <c r="AQ331" s="223">
        <v>79171619461</v>
      </c>
      <c r="AR331" s="225" t="s">
        <v>866</v>
      </c>
      <c r="AS331" s="224">
        <v>35618</v>
      </c>
      <c r="AT331" s="225" t="s">
        <v>903</v>
      </c>
      <c r="AU331" s="225" t="s">
        <v>868</v>
      </c>
      <c r="AV331" s="225" t="s">
        <v>869</v>
      </c>
      <c r="AW331" s="225" t="s">
        <v>172</v>
      </c>
      <c r="AX331" t="s">
        <v>2172</v>
      </c>
      <c r="AY331" s="224"/>
      <c r="BL331" s="223"/>
    </row>
    <row r="332" spans="1:64" x14ac:dyDescent="0.25">
      <c r="A332" s="223">
        <v>2136</v>
      </c>
      <c r="B332" s="223">
        <v>7</v>
      </c>
      <c r="C332" s="224">
        <v>45241</v>
      </c>
      <c r="D332" s="225" t="s">
        <v>1092</v>
      </c>
      <c r="E332" s="225" t="s">
        <v>859</v>
      </c>
      <c r="F332" s="225" t="s">
        <v>860</v>
      </c>
      <c r="G332" s="223" t="s">
        <v>861</v>
      </c>
      <c r="H332" s="224"/>
      <c r="I332" s="224">
        <v>45245</v>
      </c>
      <c r="J332" s="225" t="s">
        <v>1773</v>
      </c>
      <c r="K332" s="225" t="s">
        <v>98</v>
      </c>
      <c r="L332" s="225" t="s">
        <v>5</v>
      </c>
      <c r="M332" s="223">
        <v>6</v>
      </c>
      <c r="N332" s="223">
        <v>12</v>
      </c>
      <c r="O332" s="223">
        <v>82</v>
      </c>
      <c r="P332" s="223">
        <v>2</v>
      </c>
      <c r="Q332" s="223">
        <v>58.16</v>
      </c>
      <c r="R332" s="225" t="s">
        <v>14</v>
      </c>
      <c r="S332" s="230">
        <v>6403744.0199999996</v>
      </c>
      <c r="T332" s="226">
        <v>110105.64</v>
      </c>
      <c r="U332" s="228"/>
      <c r="V332" s="226">
        <v>6403744.0199999996</v>
      </c>
      <c r="W332" s="226">
        <v>110105.63995873452</v>
      </c>
      <c r="X332" s="228">
        <v>1279520</v>
      </c>
      <c r="Y332" s="228">
        <f>Юрист[[#This Row],[Итоговая цена м2 с отделкой]]-Юрист[[#This Row],[Итоговая цена м2 без отделки]]</f>
        <v>22000</v>
      </c>
      <c r="Z332" s="226">
        <v>5124224.0199999996</v>
      </c>
      <c r="AA332" s="223">
        <v>88105.639958734522</v>
      </c>
      <c r="AB332" s="225"/>
      <c r="AD332" s="225" t="s">
        <v>862</v>
      </c>
      <c r="AE332" s="225" t="s">
        <v>863</v>
      </c>
      <c r="AF332" s="226">
        <v>1300000</v>
      </c>
      <c r="AG332" s="226">
        <v>5103744.0199999996</v>
      </c>
      <c r="AH332" s="226"/>
      <c r="AI332" s="226"/>
      <c r="AJ332" s="226"/>
      <c r="AK332" s="223" t="s">
        <v>895</v>
      </c>
      <c r="AL332" s="227"/>
      <c r="AM332" s="229">
        <v>3.5999999999999997E-2</v>
      </c>
      <c r="AO332" s="223">
        <v>0</v>
      </c>
      <c r="AP332" s="225" t="s">
        <v>1093</v>
      </c>
      <c r="AQ332" s="223">
        <v>79967450356</v>
      </c>
      <c r="AR332" s="225" t="s">
        <v>866</v>
      </c>
      <c r="AS332" s="224">
        <v>33157</v>
      </c>
      <c r="AT332" s="225" t="s">
        <v>878</v>
      </c>
      <c r="AU332" s="225" t="s">
        <v>997</v>
      </c>
      <c r="AV332" s="225" t="s">
        <v>869</v>
      </c>
      <c r="AW332" s="225" t="s">
        <v>172</v>
      </c>
      <c r="AX332" t="s">
        <v>2172</v>
      </c>
      <c r="AY332" s="224"/>
      <c r="BL332" s="223"/>
    </row>
    <row r="333" spans="1:64" x14ac:dyDescent="0.25">
      <c r="A333" s="223">
        <v>2137</v>
      </c>
      <c r="B333" s="223">
        <v>8</v>
      </c>
      <c r="C333" s="224">
        <v>45241</v>
      </c>
      <c r="D333" s="225" t="s">
        <v>1094</v>
      </c>
      <c r="E333" s="225" t="s">
        <v>859</v>
      </c>
      <c r="F333" s="225" t="s">
        <v>1030</v>
      </c>
      <c r="H333" s="224">
        <v>45247</v>
      </c>
      <c r="I333" s="224">
        <v>45247</v>
      </c>
      <c r="J333" s="225" t="s">
        <v>1889</v>
      </c>
      <c r="K333" s="225" t="s">
        <v>98</v>
      </c>
      <c r="L333" s="225" t="s">
        <v>3</v>
      </c>
      <c r="M333" s="223">
        <v>6</v>
      </c>
      <c r="N333" s="223">
        <v>5</v>
      </c>
      <c r="O333" s="223">
        <v>255</v>
      </c>
      <c r="P333" s="223">
        <v>3</v>
      </c>
      <c r="Q333" s="223">
        <v>80.97</v>
      </c>
      <c r="R333" s="225" t="s">
        <v>14</v>
      </c>
      <c r="S333" s="230">
        <v>6835802.7000000002</v>
      </c>
      <c r="T333" s="226">
        <v>84423.89</v>
      </c>
      <c r="U333" s="228">
        <v>15000</v>
      </c>
      <c r="V333" s="226">
        <v>6850802.7000000002</v>
      </c>
      <c r="W333" s="226">
        <v>84609.147832530565</v>
      </c>
      <c r="X333" s="228">
        <v>1255035</v>
      </c>
      <c r="Y333" s="228">
        <f>Юрист[[#This Row],[Итоговая цена м2 с отделкой]]-Юрист[[#This Row],[Итоговая цена м2 без отделки]]</f>
        <v>15500</v>
      </c>
      <c r="Z333" s="226">
        <v>5595767.7000000002</v>
      </c>
      <c r="AA333" s="223">
        <v>69109.147832530565</v>
      </c>
      <c r="AB333" s="225" t="s">
        <v>162</v>
      </c>
      <c r="AC333" s="226">
        <v>357176.66</v>
      </c>
      <c r="AD333" s="225" t="s">
        <v>862</v>
      </c>
      <c r="AE333" s="225" t="s">
        <v>1057</v>
      </c>
      <c r="AF333" s="226"/>
      <c r="AG333" s="226">
        <v>2195942.9</v>
      </c>
      <c r="AH333" s="226"/>
      <c r="AI333" s="226"/>
      <c r="AJ333" s="226">
        <v>4639860</v>
      </c>
      <c r="AK333" s="223" t="s">
        <v>844</v>
      </c>
      <c r="AL333" s="227"/>
      <c r="AM333" s="229">
        <v>0.05</v>
      </c>
      <c r="AO333" s="223">
        <v>0</v>
      </c>
      <c r="AP333" s="225" t="s">
        <v>1095</v>
      </c>
      <c r="AQ333" s="223">
        <v>79297013588</v>
      </c>
      <c r="AR333" s="225" t="s">
        <v>882</v>
      </c>
      <c r="AS333" s="224">
        <v>30126</v>
      </c>
      <c r="AT333" s="225" t="s">
        <v>888</v>
      </c>
      <c r="AU333" s="225" t="s">
        <v>889</v>
      </c>
      <c r="AV333" s="225" t="s">
        <v>869</v>
      </c>
      <c r="AW333" s="225" t="s">
        <v>172</v>
      </c>
      <c r="AX333" t="s">
        <v>2172</v>
      </c>
      <c r="AY333" s="224"/>
      <c r="BL333" s="223"/>
    </row>
    <row r="334" spans="1:64" x14ac:dyDescent="0.25">
      <c r="A334" s="223">
        <v>2134</v>
      </c>
      <c r="B334" s="223">
        <v>5</v>
      </c>
      <c r="C334" s="224">
        <v>45238</v>
      </c>
      <c r="D334" s="225" t="s">
        <v>1090</v>
      </c>
      <c r="E334" s="225" t="s">
        <v>859</v>
      </c>
      <c r="F334" s="225" t="s">
        <v>1030</v>
      </c>
      <c r="H334" s="224">
        <v>45245</v>
      </c>
      <c r="I334" s="224">
        <v>45245</v>
      </c>
      <c r="J334" s="225" t="s">
        <v>2022</v>
      </c>
      <c r="K334" s="225" t="s">
        <v>98</v>
      </c>
      <c r="L334" s="225" t="s">
        <v>2</v>
      </c>
      <c r="M334" s="223">
        <v>7</v>
      </c>
      <c r="N334" s="223">
        <v>8</v>
      </c>
      <c r="O334" s="223">
        <v>451</v>
      </c>
      <c r="P334" s="223">
        <v>3</v>
      </c>
      <c r="Q334" s="223">
        <v>79.44</v>
      </c>
      <c r="R334" s="225" t="s">
        <v>12</v>
      </c>
      <c r="S334" s="230">
        <v>6283339.8799999999</v>
      </c>
      <c r="T334" s="226">
        <v>79095.42</v>
      </c>
      <c r="U334" s="228"/>
      <c r="V334" s="226">
        <v>6283339.8799999999</v>
      </c>
      <c r="W334" s="226">
        <v>79095.416414904335</v>
      </c>
      <c r="X334" s="228"/>
      <c r="Y334" s="228">
        <f>Юрист[[#This Row],[Итоговая цена м2 с отделкой]]-Юрист[[#This Row],[Итоговая цена м2 без отделки]]</f>
        <v>0</v>
      </c>
      <c r="Z334" s="226">
        <v>6283339.8799999999</v>
      </c>
      <c r="AA334" s="223">
        <v>79095.416414904335</v>
      </c>
      <c r="AB334" s="225" t="s">
        <v>162</v>
      </c>
      <c r="AC334" s="226">
        <v>401064.25</v>
      </c>
      <c r="AD334" s="225" t="s">
        <v>862</v>
      </c>
      <c r="AE334" s="225" t="s">
        <v>1057</v>
      </c>
      <c r="AF334" s="226">
        <v>30506.14</v>
      </c>
      <c r="AG334" s="226">
        <v>4312346</v>
      </c>
      <c r="AH334" s="226">
        <v>586946.72</v>
      </c>
      <c r="AI334" s="226"/>
      <c r="AJ334" s="226">
        <v>1353541.02</v>
      </c>
      <c r="AK334" s="223" t="s">
        <v>844</v>
      </c>
      <c r="AL334" s="227"/>
      <c r="AM334" s="229">
        <v>5.6000000000000001E-2</v>
      </c>
      <c r="AO334" s="223">
        <v>0</v>
      </c>
      <c r="AP334" s="225" t="s">
        <v>1091</v>
      </c>
      <c r="AQ334" s="223">
        <v>79991720658</v>
      </c>
      <c r="AR334" s="225" t="s">
        <v>882</v>
      </c>
      <c r="AS334" s="224">
        <v>34760</v>
      </c>
      <c r="AT334" s="225" t="s">
        <v>878</v>
      </c>
      <c r="AU334" s="225" t="s">
        <v>997</v>
      </c>
      <c r="AV334" s="225" t="s">
        <v>869</v>
      </c>
      <c r="AW334" s="225" t="s">
        <v>172</v>
      </c>
      <c r="AX334" t="s">
        <v>2172</v>
      </c>
      <c r="AY334" s="224"/>
      <c r="BL334" s="223"/>
    </row>
    <row r="335" spans="1:64" x14ac:dyDescent="0.25">
      <c r="A335" s="223">
        <v>2131</v>
      </c>
      <c r="B335" s="223">
        <v>2</v>
      </c>
      <c r="C335" s="224">
        <v>45233</v>
      </c>
      <c r="D335" s="225" t="s">
        <v>1085</v>
      </c>
      <c r="E335" s="225" t="s">
        <v>859</v>
      </c>
      <c r="F335" s="225" t="s">
        <v>860</v>
      </c>
      <c r="G335" s="223" t="s">
        <v>861</v>
      </c>
      <c r="H335" s="224"/>
      <c r="I335" s="224">
        <v>45239</v>
      </c>
      <c r="J335" s="225" t="s">
        <v>2104</v>
      </c>
      <c r="K335" s="225" t="s">
        <v>98</v>
      </c>
      <c r="L335" s="225" t="s">
        <v>2</v>
      </c>
      <c r="M335" s="223">
        <v>5</v>
      </c>
      <c r="N335" s="223">
        <v>14</v>
      </c>
      <c r="O335" s="223">
        <v>497</v>
      </c>
      <c r="P335" s="223">
        <v>2</v>
      </c>
      <c r="Q335" s="223">
        <v>57.8</v>
      </c>
      <c r="R335" s="225" t="s">
        <v>12</v>
      </c>
      <c r="S335" s="230">
        <v>4848741.7</v>
      </c>
      <c r="T335" s="226">
        <v>83888.26</v>
      </c>
      <c r="U335" s="228"/>
      <c r="V335" s="226">
        <v>4848741.7</v>
      </c>
      <c r="W335" s="226">
        <v>83888.264705882364</v>
      </c>
      <c r="X335" s="228"/>
      <c r="Y335" s="228">
        <f>Юрист[[#This Row],[Итоговая цена м2 с отделкой]]-Юрист[[#This Row],[Итоговая цена м2 без отделки]]</f>
        <v>0</v>
      </c>
      <c r="Z335" s="226">
        <v>4848741.7</v>
      </c>
      <c r="AA335" s="223">
        <v>83888.264705882364</v>
      </c>
      <c r="AB335" s="225" t="s">
        <v>757</v>
      </c>
      <c r="AC335" s="226">
        <v>98953.91</v>
      </c>
      <c r="AD335" s="225" t="s">
        <v>862</v>
      </c>
      <c r="AE335" s="225" t="s">
        <v>863</v>
      </c>
      <c r="AF335" s="226">
        <v>200000</v>
      </c>
      <c r="AG335" s="226">
        <v>3873113.45</v>
      </c>
      <c r="AH335" s="226">
        <v>775628.25</v>
      </c>
      <c r="AI335" s="226"/>
      <c r="AJ335" s="226"/>
      <c r="AK335" s="223" t="s">
        <v>864</v>
      </c>
      <c r="AL335" s="227">
        <v>1.4E-2</v>
      </c>
      <c r="AM335" s="229">
        <v>4.5999999999999999E-2</v>
      </c>
      <c r="AO335" s="223">
        <v>0</v>
      </c>
      <c r="AP335" s="225" t="s">
        <v>1086</v>
      </c>
      <c r="AQ335" s="223">
        <v>79825008666</v>
      </c>
      <c r="AR335" s="225" t="s">
        <v>866</v>
      </c>
      <c r="AS335" s="224">
        <v>34062</v>
      </c>
      <c r="AT335" s="225" t="s">
        <v>888</v>
      </c>
      <c r="AU335" s="225" t="s">
        <v>899</v>
      </c>
      <c r="AV335" s="225" t="s">
        <v>869</v>
      </c>
      <c r="AW335" s="225" t="s">
        <v>172</v>
      </c>
      <c r="AX335" t="s">
        <v>2172</v>
      </c>
      <c r="AY335" s="224"/>
      <c r="BL335" s="223"/>
    </row>
    <row r="336" spans="1:64" x14ac:dyDescent="0.25">
      <c r="A336" s="223">
        <v>2132</v>
      </c>
      <c r="B336" s="223">
        <v>3</v>
      </c>
      <c r="C336" s="224">
        <v>45233</v>
      </c>
      <c r="D336" s="225" t="s">
        <v>1087</v>
      </c>
      <c r="E336" s="225" t="s">
        <v>859</v>
      </c>
      <c r="F336" s="225" t="s">
        <v>860</v>
      </c>
      <c r="G336" s="223" t="s">
        <v>861</v>
      </c>
      <c r="H336" s="224"/>
      <c r="I336" s="224">
        <v>45239</v>
      </c>
      <c r="J336" s="225" t="s">
        <v>1875</v>
      </c>
      <c r="K336" s="225" t="s">
        <v>98</v>
      </c>
      <c r="L336" s="225" t="s">
        <v>3</v>
      </c>
      <c r="M336" s="223">
        <v>7</v>
      </c>
      <c r="N336" s="223">
        <v>2</v>
      </c>
      <c r="O336" s="223">
        <v>235</v>
      </c>
      <c r="P336" s="223">
        <v>1</v>
      </c>
      <c r="Q336" s="223">
        <v>34.81</v>
      </c>
      <c r="R336" s="225" t="s">
        <v>12</v>
      </c>
      <c r="S336" s="230">
        <v>3637805.47</v>
      </c>
      <c r="T336" s="226">
        <v>104504.61</v>
      </c>
      <c r="U336" s="228"/>
      <c r="V336" s="226">
        <v>3637805.47</v>
      </c>
      <c r="W336" s="226">
        <v>104504.60988221776</v>
      </c>
      <c r="X336" s="228"/>
      <c r="Y336" s="228">
        <f>Юрист[[#This Row],[Итоговая цена м2 с отделкой]]-Юрист[[#This Row],[Итоговая цена м2 без отделки]]</f>
        <v>0</v>
      </c>
      <c r="Z336" s="226">
        <v>3637805.47</v>
      </c>
      <c r="AA336" s="223">
        <v>104504.60988221776</v>
      </c>
      <c r="AB336" s="225"/>
      <c r="AD336" s="225" t="s">
        <v>862</v>
      </c>
      <c r="AE336" s="225" t="s">
        <v>863</v>
      </c>
      <c r="AF336" s="226">
        <v>732000</v>
      </c>
      <c r="AG336" s="226">
        <v>2905805.47</v>
      </c>
      <c r="AH336" s="226"/>
      <c r="AI336" s="226"/>
      <c r="AJ336" s="226"/>
      <c r="AK336" s="223" t="s">
        <v>895</v>
      </c>
      <c r="AL336" s="227"/>
      <c r="AM336" s="229">
        <v>0.08</v>
      </c>
      <c r="AO336" s="223">
        <v>0</v>
      </c>
      <c r="AP336" s="225" t="s">
        <v>1088</v>
      </c>
      <c r="AQ336" s="223">
        <v>79371818028</v>
      </c>
      <c r="AR336" s="225" t="s">
        <v>882</v>
      </c>
      <c r="AS336" s="224">
        <v>31353</v>
      </c>
      <c r="AT336" s="225" t="s">
        <v>885</v>
      </c>
      <c r="AU336" s="225" t="s">
        <v>899</v>
      </c>
      <c r="AV336" s="225" t="s">
        <v>879</v>
      </c>
      <c r="AW336" s="225" t="s">
        <v>172</v>
      </c>
      <c r="AX336" t="s">
        <v>2172</v>
      </c>
      <c r="AY336" s="224"/>
      <c r="AZ336" s="223" t="s">
        <v>1089</v>
      </c>
      <c r="BL336" s="223"/>
    </row>
    <row r="337" spans="1:64" x14ac:dyDescent="0.25">
      <c r="A337" s="223">
        <v>2122</v>
      </c>
      <c r="B337" s="223">
        <v>30</v>
      </c>
      <c r="C337" s="224">
        <v>45230</v>
      </c>
      <c r="D337" s="225" t="s">
        <v>1070</v>
      </c>
      <c r="E337" s="225" t="s">
        <v>859</v>
      </c>
      <c r="F337" s="225" t="s">
        <v>860</v>
      </c>
      <c r="G337" s="223" t="s">
        <v>861</v>
      </c>
      <c r="H337" s="224"/>
      <c r="I337" s="224">
        <v>45233</v>
      </c>
      <c r="J337" s="225" t="s">
        <v>2038</v>
      </c>
      <c r="K337" s="225" t="s">
        <v>98</v>
      </c>
      <c r="L337" s="225" t="s">
        <v>2</v>
      </c>
      <c r="M337" s="223">
        <v>4</v>
      </c>
      <c r="N337" s="223">
        <v>11</v>
      </c>
      <c r="O337" s="223">
        <v>472</v>
      </c>
      <c r="P337" s="223">
        <v>2</v>
      </c>
      <c r="Q337" s="223">
        <v>58.24</v>
      </c>
      <c r="R337" s="225" t="s">
        <v>12</v>
      </c>
      <c r="S337" s="230">
        <v>4759194.5</v>
      </c>
      <c r="T337" s="226">
        <v>81716.94</v>
      </c>
      <c r="U337" s="228"/>
      <c r="V337" s="226">
        <v>4759194.5</v>
      </c>
      <c r="W337" s="226">
        <v>81716.938530219777</v>
      </c>
      <c r="X337" s="228"/>
      <c r="Y337" s="228">
        <f>Юрист[[#This Row],[Итоговая цена м2 с отделкой]]-Юрист[[#This Row],[Итоговая цена м2 без отделки]]</f>
        <v>0</v>
      </c>
      <c r="Z337" s="226">
        <v>4759194.5</v>
      </c>
      <c r="AA337" s="223">
        <v>81716.938530219777</v>
      </c>
      <c r="AB337" s="225" t="s">
        <v>162</v>
      </c>
      <c r="AC337" s="226">
        <v>250483.92</v>
      </c>
      <c r="AD337" s="225" t="s">
        <v>862</v>
      </c>
      <c r="AE337" s="225" t="s">
        <v>863</v>
      </c>
      <c r="AF337" s="226">
        <v>3500000</v>
      </c>
      <c r="AG337" s="226">
        <v>1259194.5</v>
      </c>
      <c r="AH337" s="226"/>
      <c r="AI337" s="226"/>
      <c r="AJ337" s="226"/>
      <c r="AK337" s="223" t="s">
        <v>873</v>
      </c>
      <c r="AL337" s="227">
        <v>1.4E-2</v>
      </c>
      <c r="AM337" s="229">
        <v>6.6000000000000003E-2</v>
      </c>
      <c r="AO337" s="223">
        <v>0</v>
      </c>
      <c r="AP337" s="225" t="s">
        <v>1071</v>
      </c>
      <c r="AQ337" s="223">
        <v>79370780901</v>
      </c>
      <c r="AR337" s="225" t="s">
        <v>882</v>
      </c>
      <c r="AS337" s="224">
        <v>34605</v>
      </c>
      <c r="AT337" s="225" t="s">
        <v>987</v>
      </c>
      <c r="AU337" s="225" t="s">
        <v>899</v>
      </c>
      <c r="AV337" s="225" t="s">
        <v>879</v>
      </c>
      <c r="AW337" s="225" t="s">
        <v>172</v>
      </c>
      <c r="AX337" t="s">
        <v>2172</v>
      </c>
      <c r="AY337" s="224"/>
      <c r="BL337" s="223"/>
    </row>
    <row r="338" spans="1:64" x14ac:dyDescent="0.25">
      <c r="A338" s="223">
        <v>2123</v>
      </c>
      <c r="B338" s="223">
        <v>31</v>
      </c>
      <c r="C338" s="224">
        <v>45230</v>
      </c>
      <c r="D338" s="225" t="s">
        <v>1072</v>
      </c>
      <c r="E338" s="225" t="s">
        <v>859</v>
      </c>
      <c r="F338" s="225" t="s">
        <v>860</v>
      </c>
      <c r="G338" s="223" t="s">
        <v>861</v>
      </c>
      <c r="H338" s="224"/>
      <c r="I338" s="224">
        <v>45233</v>
      </c>
      <c r="J338" s="225" t="s">
        <v>1736</v>
      </c>
      <c r="K338" s="225" t="s">
        <v>98</v>
      </c>
      <c r="L338" s="225" t="s">
        <v>5</v>
      </c>
      <c r="M338" s="223">
        <v>7</v>
      </c>
      <c r="N338" s="223">
        <v>4</v>
      </c>
      <c r="O338" s="223">
        <v>27</v>
      </c>
      <c r="P338" s="223">
        <v>1</v>
      </c>
      <c r="Q338" s="223">
        <v>42.75</v>
      </c>
      <c r="R338" s="225" t="s">
        <v>12</v>
      </c>
      <c r="S338" s="230">
        <v>4075679.84</v>
      </c>
      <c r="T338" s="226">
        <v>95337.54</v>
      </c>
      <c r="U338" s="228"/>
      <c r="V338" s="226">
        <v>4075679.84</v>
      </c>
      <c r="W338" s="226">
        <v>95337.540116959062</v>
      </c>
      <c r="X338" s="228"/>
      <c r="Y338" s="228">
        <f>Юрист[[#This Row],[Итоговая цена м2 с отделкой]]-Юрист[[#This Row],[Итоговая цена м2 без отделки]]</f>
        <v>0</v>
      </c>
      <c r="Z338" s="226">
        <v>4075679.84</v>
      </c>
      <c r="AA338" s="223">
        <v>95337.540116959062</v>
      </c>
      <c r="AB338" s="225"/>
      <c r="AD338" s="225" t="s">
        <v>862</v>
      </c>
      <c r="AE338" s="225" t="s">
        <v>863</v>
      </c>
      <c r="AF338" s="226">
        <v>2158679.84</v>
      </c>
      <c r="AG338" s="226">
        <v>1917000</v>
      </c>
      <c r="AH338" s="226"/>
      <c r="AI338" s="226"/>
      <c r="AJ338" s="226"/>
      <c r="AK338" s="223" t="s">
        <v>864</v>
      </c>
      <c r="AL338" s="227">
        <v>1.4E-2</v>
      </c>
      <c r="AM338" s="229">
        <v>4.5999999999999999E-2</v>
      </c>
      <c r="AO338" s="223">
        <v>0</v>
      </c>
      <c r="AP338" s="225" t="s">
        <v>1073</v>
      </c>
      <c r="AQ338" s="223">
        <v>79277582658</v>
      </c>
      <c r="AR338" s="225" t="s">
        <v>866</v>
      </c>
      <c r="AS338" s="224">
        <v>32071</v>
      </c>
      <c r="AT338" s="225" t="s">
        <v>954</v>
      </c>
      <c r="AU338" s="225" t="s">
        <v>889</v>
      </c>
      <c r="AV338" s="225" t="s">
        <v>879</v>
      </c>
      <c r="AW338" s="225" t="s">
        <v>172</v>
      </c>
      <c r="AX338" t="s">
        <v>2172</v>
      </c>
      <c r="AY338" s="224"/>
      <c r="BL338" s="223"/>
    </row>
    <row r="339" spans="1:64" x14ac:dyDescent="0.25">
      <c r="A339" s="223">
        <v>2120</v>
      </c>
      <c r="B339" s="223">
        <v>28</v>
      </c>
      <c r="C339" s="224">
        <v>45230</v>
      </c>
      <c r="D339" s="225" t="s">
        <v>1066</v>
      </c>
      <c r="E339" s="225" t="s">
        <v>859</v>
      </c>
      <c r="F339" s="225" t="s">
        <v>860</v>
      </c>
      <c r="G339" s="223" t="s">
        <v>861</v>
      </c>
      <c r="H339" s="224"/>
      <c r="I339" s="224">
        <v>45233</v>
      </c>
      <c r="J339" s="225" t="s">
        <v>2083</v>
      </c>
      <c r="K339" s="225" t="s">
        <v>98</v>
      </c>
      <c r="L339" s="225" t="s">
        <v>2</v>
      </c>
      <c r="M339" s="223">
        <v>5</v>
      </c>
      <c r="N339" s="223">
        <v>18</v>
      </c>
      <c r="O339" s="223">
        <v>529</v>
      </c>
      <c r="P339" s="223">
        <v>2</v>
      </c>
      <c r="Q339" s="223">
        <v>57.8</v>
      </c>
      <c r="R339" s="225" t="s">
        <v>13</v>
      </c>
      <c r="S339" s="230">
        <v>5232764.74</v>
      </c>
      <c r="T339" s="226">
        <v>90532.26</v>
      </c>
      <c r="U339" s="228"/>
      <c r="V339" s="226">
        <v>5232764.74</v>
      </c>
      <c r="W339" s="226">
        <v>90532.261937716277</v>
      </c>
      <c r="X339" s="228">
        <v>433500</v>
      </c>
      <c r="Y339" s="228">
        <f>Юрист[[#This Row],[Итоговая цена м2 с отделкой]]-Юрист[[#This Row],[Итоговая цена м2 без отделки]]</f>
        <v>7500</v>
      </c>
      <c r="Z339" s="226">
        <v>4799264.74</v>
      </c>
      <c r="AA339" s="223">
        <v>83032.261937716277</v>
      </c>
      <c r="AB339" s="225" t="s">
        <v>167</v>
      </c>
      <c r="AC339" s="226">
        <v>148430.87</v>
      </c>
      <c r="AD339" s="225" t="s">
        <v>862</v>
      </c>
      <c r="AE339" s="225" t="s">
        <v>863</v>
      </c>
      <c r="AF339" s="226">
        <v>1052000</v>
      </c>
      <c r="AG339" s="226">
        <v>4180764.74</v>
      </c>
      <c r="AH339" s="226"/>
      <c r="AI339" s="226"/>
      <c r="AJ339" s="226"/>
      <c r="AK339" s="223" t="s">
        <v>864</v>
      </c>
      <c r="AL339" s="227">
        <v>1.4E-2</v>
      </c>
      <c r="AM339" s="229">
        <v>4.5999999999999999E-2</v>
      </c>
      <c r="AO339" s="223">
        <v>0</v>
      </c>
      <c r="AP339" s="225" t="s">
        <v>1067</v>
      </c>
      <c r="AQ339" s="223">
        <v>79371818899</v>
      </c>
      <c r="AR339" s="225" t="s">
        <v>882</v>
      </c>
      <c r="AS339" s="224">
        <v>32757</v>
      </c>
      <c r="AT339" s="225" t="s">
        <v>878</v>
      </c>
      <c r="AU339" s="225" t="s">
        <v>889</v>
      </c>
      <c r="AV339" s="225" t="s">
        <v>879</v>
      </c>
      <c r="AW339" s="225" t="s">
        <v>172</v>
      </c>
      <c r="AX339" t="s">
        <v>2172</v>
      </c>
      <c r="AY339" s="224"/>
      <c r="BL339" s="223"/>
    </row>
    <row r="340" spans="1:64" x14ac:dyDescent="0.25">
      <c r="A340" s="223">
        <v>2121</v>
      </c>
      <c r="B340" s="223">
        <v>29</v>
      </c>
      <c r="C340" s="224">
        <v>45230</v>
      </c>
      <c r="D340" s="225" t="s">
        <v>1068</v>
      </c>
      <c r="E340" s="225" t="s">
        <v>859</v>
      </c>
      <c r="F340" s="225" t="s">
        <v>860</v>
      </c>
      <c r="G340" s="223" t="s">
        <v>861</v>
      </c>
      <c r="H340" s="224"/>
      <c r="I340" s="224">
        <v>45233</v>
      </c>
      <c r="J340" s="225" t="s">
        <v>2053</v>
      </c>
      <c r="K340" s="225" t="s">
        <v>98</v>
      </c>
      <c r="L340" s="225" t="s">
        <v>2</v>
      </c>
      <c r="M340" s="223">
        <v>5</v>
      </c>
      <c r="N340" s="223">
        <v>13</v>
      </c>
      <c r="O340" s="223">
        <v>489</v>
      </c>
      <c r="P340" s="223">
        <v>2</v>
      </c>
      <c r="Q340" s="223">
        <v>57.8</v>
      </c>
      <c r="R340" s="225" t="s">
        <v>14</v>
      </c>
      <c r="S340" s="230">
        <v>6120341.7000000002</v>
      </c>
      <c r="T340" s="226">
        <v>105888.26</v>
      </c>
      <c r="U340" s="228"/>
      <c r="V340" s="226">
        <v>6120341.7000000002</v>
      </c>
      <c r="W340" s="226">
        <v>105888.26470588236</v>
      </c>
      <c r="X340" s="228">
        <v>1271600</v>
      </c>
      <c r="Y340" s="228">
        <f>Юрист[[#This Row],[Итоговая цена м2 с отделкой]]-Юрист[[#This Row],[Итоговая цена м2 без отделки]]</f>
        <v>22000</v>
      </c>
      <c r="Z340" s="226">
        <v>4848741.7</v>
      </c>
      <c r="AA340" s="223">
        <v>83888.264705882364</v>
      </c>
      <c r="AB340" s="225" t="s">
        <v>757</v>
      </c>
      <c r="AC340" s="226">
        <v>98953.91</v>
      </c>
      <c r="AD340" s="225" t="s">
        <v>862</v>
      </c>
      <c r="AE340" s="225" t="s">
        <v>863</v>
      </c>
      <c r="AF340" s="226">
        <v>1230190</v>
      </c>
      <c r="AG340" s="226">
        <v>4890151.7</v>
      </c>
      <c r="AH340" s="226"/>
      <c r="AI340" s="226"/>
      <c r="AJ340" s="226"/>
      <c r="AK340" s="223" t="s">
        <v>864</v>
      </c>
      <c r="AL340" s="227">
        <v>1.4E-2</v>
      </c>
      <c r="AM340" s="229">
        <v>4.5999999999999999E-2</v>
      </c>
      <c r="AO340" s="223">
        <v>0</v>
      </c>
      <c r="AP340" s="225" t="s">
        <v>1069</v>
      </c>
      <c r="AQ340" s="223">
        <v>79603605225</v>
      </c>
      <c r="AR340" s="225" t="s">
        <v>866</v>
      </c>
      <c r="AS340" s="224">
        <v>32089</v>
      </c>
      <c r="AT340" s="225" t="s">
        <v>878</v>
      </c>
      <c r="AU340" s="225" t="s">
        <v>899</v>
      </c>
      <c r="AV340" s="225" t="s">
        <v>869</v>
      </c>
      <c r="AW340" s="225" t="s">
        <v>172</v>
      </c>
      <c r="AX340" t="s">
        <v>2172</v>
      </c>
      <c r="AY340" s="224"/>
      <c r="BL340" s="223"/>
    </row>
    <row r="341" spans="1:64" x14ac:dyDescent="0.25">
      <c r="A341" s="223">
        <v>2128</v>
      </c>
      <c r="B341" s="223">
        <v>36</v>
      </c>
      <c r="C341" s="224">
        <v>45230</v>
      </c>
      <c r="D341" s="225" t="s">
        <v>1078</v>
      </c>
      <c r="E341" s="225" t="s">
        <v>859</v>
      </c>
      <c r="F341" s="225" t="s">
        <v>860</v>
      </c>
      <c r="G341" s="223" t="s">
        <v>861</v>
      </c>
      <c r="H341" s="224"/>
      <c r="I341" s="224">
        <v>45233</v>
      </c>
      <c r="J341" s="225" t="s">
        <v>1823</v>
      </c>
      <c r="K341" s="225" t="s">
        <v>98</v>
      </c>
      <c r="L341" s="225" t="s">
        <v>4</v>
      </c>
      <c r="M341" s="223">
        <v>2</v>
      </c>
      <c r="N341" s="223">
        <v>7</v>
      </c>
      <c r="O341" s="223">
        <v>154</v>
      </c>
      <c r="P341" s="223">
        <v>0</v>
      </c>
      <c r="Q341" s="223">
        <v>24.28</v>
      </c>
      <c r="R341" s="225" t="s">
        <v>12</v>
      </c>
      <c r="S341" s="230">
        <v>2642977.98</v>
      </c>
      <c r="T341" s="226">
        <v>108854.12</v>
      </c>
      <c r="U341" s="228"/>
      <c r="V341" s="226">
        <v>2642977.98</v>
      </c>
      <c r="W341" s="226">
        <v>108854.11779242173</v>
      </c>
      <c r="X341" s="228"/>
      <c r="Y341" s="228">
        <f>Юрист[[#This Row],[Итоговая цена м2 с отделкой]]-Юрист[[#This Row],[Итоговая цена м2 без отделки]]</f>
        <v>0</v>
      </c>
      <c r="Z341" s="226">
        <v>2642977.98</v>
      </c>
      <c r="AA341" s="223">
        <v>108854.11779242173</v>
      </c>
      <c r="AB341" s="225" t="s">
        <v>1079</v>
      </c>
      <c r="AC341" s="226">
        <v>81741.58709999999</v>
      </c>
      <c r="AD341" s="225" t="s">
        <v>936</v>
      </c>
      <c r="AE341" s="225" t="s">
        <v>902</v>
      </c>
      <c r="AF341" s="226"/>
      <c r="AG341" s="226"/>
      <c r="AH341" s="226"/>
      <c r="AI341" s="226"/>
      <c r="AJ341" s="226"/>
      <c r="AL341" s="227"/>
      <c r="AM341" s="229"/>
      <c r="AO341" s="223">
        <v>0</v>
      </c>
      <c r="AP341" s="225" t="s">
        <v>1080</v>
      </c>
      <c r="AQ341" s="223">
        <v>79063201001</v>
      </c>
      <c r="AR341" s="225" t="s">
        <v>882</v>
      </c>
      <c r="AS341" s="224">
        <v>33112</v>
      </c>
      <c r="AT341" s="225" t="s">
        <v>1081</v>
      </c>
      <c r="AU341" s="225" t="s">
        <v>904</v>
      </c>
      <c r="AV341" s="225" t="s">
        <v>902</v>
      </c>
      <c r="AW341" s="225" t="s">
        <v>172</v>
      </c>
      <c r="AX341" t="s">
        <v>2172</v>
      </c>
      <c r="AY341" s="224"/>
      <c r="BL341" s="223"/>
    </row>
    <row r="342" spans="1:64" x14ac:dyDescent="0.25">
      <c r="A342" s="223">
        <v>2129</v>
      </c>
      <c r="B342" s="223">
        <v>37</v>
      </c>
      <c r="C342" s="224">
        <v>45230</v>
      </c>
      <c r="D342" s="225" t="s">
        <v>1082</v>
      </c>
      <c r="E342" s="225" t="s">
        <v>859</v>
      </c>
      <c r="F342" s="225" t="s">
        <v>860</v>
      </c>
      <c r="G342" s="223" t="s">
        <v>861</v>
      </c>
      <c r="H342" s="224"/>
      <c r="I342" s="224">
        <v>45240</v>
      </c>
      <c r="J342" s="225" t="s">
        <v>2048</v>
      </c>
      <c r="K342" s="225" t="s">
        <v>98</v>
      </c>
      <c r="L342" s="225" t="s">
        <v>2</v>
      </c>
      <c r="M342" s="223">
        <v>8</v>
      </c>
      <c r="N342" s="223">
        <v>12</v>
      </c>
      <c r="O342" s="223">
        <v>484</v>
      </c>
      <c r="P342" s="223">
        <v>1</v>
      </c>
      <c r="Q342" s="223">
        <v>39.69</v>
      </c>
      <c r="R342" s="225" t="s">
        <v>12</v>
      </c>
      <c r="S342" s="230">
        <v>3874907.31</v>
      </c>
      <c r="T342" s="226">
        <v>97629.31</v>
      </c>
      <c r="U342" s="228"/>
      <c r="V342" s="226">
        <v>3874907.31</v>
      </c>
      <c r="W342" s="226">
        <v>97629.309901738481</v>
      </c>
      <c r="X342" s="228"/>
      <c r="Y342" s="228">
        <f>Юрист[[#This Row],[Итоговая цена м2 с отделкой]]-Юрист[[#This Row],[Итоговая цена м2 без отделки]]</f>
        <v>0</v>
      </c>
      <c r="Z342" s="226">
        <v>3874907.31</v>
      </c>
      <c r="AA342" s="223">
        <v>97629.309901738481</v>
      </c>
      <c r="AB342" s="225"/>
      <c r="AD342" s="225" t="s">
        <v>862</v>
      </c>
      <c r="AE342" s="225" t="s">
        <v>863</v>
      </c>
      <c r="AF342" s="226">
        <v>778860</v>
      </c>
      <c r="AG342" s="226">
        <v>3096047.31</v>
      </c>
      <c r="AH342" s="226"/>
      <c r="AI342" s="226"/>
      <c r="AJ342" s="226"/>
      <c r="AK342" s="223" t="s">
        <v>864</v>
      </c>
      <c r="AL342" s="227">
        <v>1.4E-2</v>
      </c>
      <c r="AM342" s="229">
        <v>4.5999999999999999E-2</v>
      </c>
      <c r="AO342" s="223">
        <v>0</v>
      </c>
      <c r="AP342" s="225" t="s">
        <v>1083</v>
      </c>
      <c r="AQ342" s="223">
        <v>79033308908</v>
      </c>
      <c r="AR342" s="225" t="s">
        <v>882</v>
      </c>
      <c r="AS342" s="224">
        <v>31128</v>
      </c>
      <c r="AT342" s="225" t="s">
        <v>878</v>
      </c>
      <c r="AU342" s="225" t="s">
        <v>899</v>
      </c>
      <c r="AV342" s="225" t="s">
        <v>879</v>
      </c>
      <c r="AW342" s="225" t="s">
        <v>172</v>
      </c>
      <c r="AX342" t="s">
        <v>2172</v>
      </c>
      <c r="AY342" s="224"/>
      <c r="AZ342" s="223" t="s">
        <v>1084</v>
      </c>
      <c r="BL342" s="223"/>
    </row>
    <row r="343" spans="1:64" x14ac:dyDescent="0.25">
      <c r="A343" s="223">
        <v>2124</v>
      </c>
      <c r="B343" s="223">
        <v>32</v>
      </c>
      <c r="C343" s="224">
        <v>45230</v>
      </c>
      <c r="D343" s="225" t="s">
        <v>1074</v>
      </c>
      <c r="E343" s="225" t="s">
        <v>859</v>
      </c>
      <c r="F343" s="225" t="s">
        <v>860</v>
      </c>
      <c r="G343" s="223" t="s">
        <v>861</v>
      </c>
      <c r="H343" s="224"/>
      <c r="I343" s="224">
        <v>45233</v>
      </c>
      <c r="J343" s="225" t="s">
        <v>1809</v>
      </c>
      <c r="K343" s="225" t="s">
        <v>98</v>
      </c>
      <c r="L343" s="225" t="s">
        <v>4</v>
      </c>
      <c r="M343" s="223">
        <v>4</v>
      </c>
      <c r="N343" s="223">
        <v>4</v>
      </c>
      <c r="O343" s="223">
        <v>135</v>
      </c>
      <c r="P343" s="223">
        <v>2</v>
      </c>
      <c r="Q343" s="223">
        <v>58.31</v>
      </c>
      <c r="R343" s="225" t="s">
        <v>14</v>
      </c>
      <c r="S343" s="230">
        <v>6365233.5700000003</v>
      </c>
      <c r="T343" s="226">
        <v>109161.95</v>
      </c>
      <c r="U343" s="228"/>
      <c r="V343" s="226">
        <v>6365233.5700000003</v>
      </c>
      <c r="W343" s="226">
        <v>109161.95455324987</v>
      </c>
      <c r="X343" s="228">
        <v>1282820</v>
      </c>
      <c r="Y343" s="228">
        <f>Юрист[[#This Row],[Итоговая цена м2 с отделкой]]-Юрист[[#This Row],[Итоговая цена м2 без отделки]]</f>
        <v>22000</v>
      </c>
      <c r="Z343" s="226">
        <v>5082413.57</v>
      </c>
      <c r="AA343" s="223">
        <v>87161.954553249874</v>
      </c>
      <c r="AB343" s="225" t="s">
        <v>757</v>
      </c>
      <c r="AC343" s="226">
        <v>103722.73</v>
      </c>
      <c r="AD343" s="225" t="s">
        <v>862</v>
      </c>
      <c r="AE343" s="225" t="s">
        <v>863</v>
      </c>
      <c r="AF343" s="226">
        <v>1280000</v>
      </c>
      <c r="AG343" s="226">
        <v>5085233.57</v>
      </c>
      <c r="AH343" s="226"/>
      <c r="AI343" s="226"/>
      <c r="AJ343" s="226"/>
      <c r="AK343" s="223" t="s">
        <v>873</v>
      </c>
      <c r="AL343" s="227">
        <v>1.4E-2</v>
      </c>
      <c r="AM343" s="229">
        <v>6.6000000000000003E-2</v>
      </c>
      <c r="AO343" s="223">
        <v>0</v>
      </c>
      <c r="AP343" s="225" t="s">
        <v>1075</v>
      </c>
      <c r="AQ343" s="223">
        <v>79172370001</v>
      </c>
      <c r="AR343" s="225" t="s">
        <v>866</v>
      </c>
      <c r="AS343" s="224">
        <v>23728</v>
      </c>
      <c r="AT343" s="225" t="s">
        <v>878</v>
      </c>
      <c r="AU343" s="225" t="s">
        <v>889</v>
      </c>
      <c r="AV343" s="225" t="s">
        <v>869</v>
      </c>
      <c r="AW343" s="225" t="s">
        <v>172</v>
      </c>
      <c r="AX343" t="s">
        <v>2172</v>
      </c>
      <c r="AY343" s="224"/>
      <c r="BL343" s="223"/>
    </row>
    <row r="344" spans="1:64" x14ac:dyDescent="0.25">
      <c r="A344" s="223">
        <v>2126</v>
      </c>
      <c r="B344" s="223">
        <v>34</v>
      </c>
      <c r="C344" s="224">
        <v>45230</v>
      </c>
      <c r="D344" s="225" t="s">
        <v>1076</v>
      </c>
      <c r="E344" s="225" t="s">
        <v>859</v>
      </c>
      <c r="F344" s="225" t="s">
        <v>860</v>
      </c>
      <c r="G344" s="223" t="s">
        <v>861</v>
      </c>
      <c r="H344" s="224"/>
      <c r="I344" s="224">
        <v>45233</v>
      </c>
      <c r="J344" s="225" t="s">
        <v>1845</v>
      </c>
      <c r="K344" s="225" t="s">
        <v>98</v>
      </c>
      <c r="L344" s="225" t="s">
        <v>4</v>
      </c>
      <c r="M344" s="223">
        <v>7</v>
      </c>
      <c r="N344" s="223">
        <v>11</v>
      </c>
      <c r="O344" s="223">
        <v>187</v>
      </c>
      <c r="P344" s="223">
        <v>1</v>
      </c>
      <c r="Q344" s="223">
        <v>42.28</v>
      </c>
      <c r="R344" s="225" t="s">
        <v>12</v>
      </c>
      <c r="S344" s="230">
        <v>3953910.6</v>
      </c>
      <c r="T344" s="226">
        <v>93517.28</v>
      </c>
      <c r="U344" s="228"/>
      <c r="V344" s="226">
        <v>3953910.6</v>
      </c>
      <c r="W344" s="226">
        <v>93517.280037842953</v>
      </c>
      <c r="X344" s="228"/>
      <c r="Y344" s="228">
        <f>Юрист[[#This Row],[Итоговая цена м2 с отделкой]]-Юрист[[#This Row],[Итоговая цена м2 без отделки]]</f>
        <v>0</v>
      </c>
      <c r="Z344" s="226">
        <v>3953910.6</v>
      </c>
      <c r="AA344" s="223">
        <v>93517.280037842953</v>
      </c>
      <c r="AB344" s="225"/>
      <c r="AD344" s="225" t="s">
        <v>862</v>
      </c>
      <c r="AE344" s="225" t="s">
        <v>863</v>
      </c>
      <c r="AF344" s="226">
        <v>800000.6</v>
      </c>
      <c r="AG344" s="226">
        <v>3153910</v>
      </c>
      <c r="AH344" s="226"/>
      <c r="AI344" s="226"/>
      <c r="AJ344" s="226"/>
      <c r="AK344" s="223" t="s">
        <v>873</v>
      </c>
      <c r="AL344" s="227">
        <v>1.4E-2</v>
      </c>
      <c r="AM344" s="229">
        <v>6.6000000000000003E-2</v>
      </c>
      <c r="AO344" s="223">
        <v>0</v>
      </c>
      <c r="AP344" s="225" t="s">
        <v>1077</v>
      </c>
      <c r="AQ344" s="223">
        <v>79198074299</v>
      </c>
      <c r="AR344" s="225" t="s">
        <v>882</v>
      </c>
      <c r="AS344" s="224">
        <v>36025</v>
      </c>
      <c r="AT344" s="225" t="s">
        <v>878</v>
      </c>
      <c r="AU344" s="225" t="s">
        <v>868</v>
      </c>
      <c r="AV344" s="225" t="s">
        <v>879</v>
      </c>
      <c r="AW344" s="225" t="s">
        <v>172</v>
      </c>
      <c r="AX344" t="s">
        <v>2172</v>
      </c>
      <c r="AY344" s="224"/>
      <c r="BL344" s="223"/>
    </row>
    <row r="345" spans="1:64" x14ac:dyDescent="0.25">
      <c r="A345" s="223">
        <v>2116</v>
      </c>
      <c r="B345" s="223">
        <v>24</v>
      </c>
      <c r="C345" s="224">
        <v>45229</v>
      </c>
      <c r="D345" s="225" t="s">
        <v>1064</v>
      </c>
      <c r="E345" s="225" t="s">
        <v>859</v>
      </c>
      <c r="F345" s="225" t="s">
        <v>860</v>
      </c>
      <c r="G345" s="223" t="s">
        <v>861</v>
      </c>
      <c r="H345" s="224"/>
      <c r="I345" s="224">
        <v>45232</v>
      </c>
      <c r="J345" s="225" t="s">
        <v>2054</v>
      </c>
      <c r="K345" s="225" t="s">
        <v>98</v>
      </c>
      <c r="L345" s="225" t="s">
        <v>2</v>
      </c>
      <c r="M345" s="223">
        <v>7</v>
      </c>
      <c r="N345" s="223">
        <v>13</v>
      </c>
      <c r="O345" s="223">
        <v>491</v>
      </c>
      <c r="P345" s="223">
        <v>3</v>
      </c>
      <c r="Q345" s="223">
        <v>79.44</v>
      </c>
      <c r="R345" s="225" t="s">
        <v>12</v>
      </c>
      <c r="S345" s="230">
        <v>6561755.1200000001</v>
      </c>
      <c r="T345" s="226">
        <v>82600.14</v>
      </c>
      <c r="U345" s="228"/>
      <c r="V345" s="226">
        <v>6561755.1200000001</v>
      </c>
      <c r="W345" s="226">
        <v>82600.139979859014</v>
      </c>
      <c r="X345" s="228"/>
      <c r="Y345" s="228">
        <f>Юрист[[#This Row],[Итоговая цена м2 с отделкой]]-Юрист[[#This Row],[Итоговая цена м2 без отделки]]</f>
        <v>0</v>
      </c>
      <c r="Z345" s="226">
        <v>6561755.1200000001</v>
      </c>
      <c r="AA345" s="223">
        <v>82600.139979859014</v>
      </c>
      <c r="AB345" s="225"/>
      <c r="AD345" s="225" t="s">
        <v>862</v>
      </c>
      <c r="AE345" s="225" t="s">
        <v>863</v>
      </c>
      <c r="AF345" s="226">
        <v>732053.28</v>
      </c>
      <c r="AG345" s="226">
        <v>5242755.12</v>
      </c>
      <c r="AH345" s="226">
        <v>586946.72</v>
      </c>
      <c r="AI345" s="226"/>
      <c r="AJ345" s="226"/>
      <c r="AK345" s="223" t="s">
        <v>864</v>
      </c>
      <c r="AL345" s="227">
        <v>1.4E-2</v>
      </c>
      <c r="AM345" s="229">
        <v>4.5999999999999999E-2</v>
      </c>
      <c r="AO345" s="223">
        <v>0</v>
      </c>
      <c r="AP345" s="225" t="s">
        <v>1065</v>
      </c>
      <c r="AQ345" s="223">
        <v>79129028634</v>
      </c>
      <c r="AR345" s="225" t="s">
        <v>882</v>
      </c>
      <c r="AS345" s="224">
        <v>31206</v>
      </c>
      <c r="AT345" s="225" t="s">
        <v>878</v>
      </c>
      <c r="AU345" s="225" t="s">
        <v>997</v>
      </c>
      <c r="AV345" s="225" t="s">
        <v>869</v>
      </c>
      <c r="AW345" s="225" t="s">
        <v>172</v>
      </c>
      <c r="AX345" t="s">
        <v>2172</v>
      </c>
      <c r="AY345" s="224"/>
      <c r="BL345" s="223"/>
    </row>
    <row r="346" spans="1:64" x14ac:dyDescent="0.25">
      <c r="A346" s="223">
        <v>2111</v>
      </c>
      <c r="B346" s="223">
        <v>19</v>
      </c>
      <c r="C346" s="224">
        <v>45225</v>
      </c>
      <c r="D346" s="225" t="s">
        <v>1062</v>
      </c>
      <c r="E346" s="225" t="s">
        <v>859</v>
      </c>
      <c r="F346" s="225" t="s">
        <v>860</v>
      </c>
      <c r="G346" s="223" t="s">
        <v>926</v>
      </c>
      <c r="H346" s="224"/>
      <c r="I346" s="224">
        <v>45229</v>
      </c>
      <c r="J346" s="225" t="s">
        <v>1782</v>
      </c>
      <c r="K346" s="225" t="s">
        <v>98</v>
      </c>
      <c r="L346" s="225" t="s">
        <v>5</v>
      </c>
      <c r="M346" s="223">
        <v>5</v>
      </c>
      <c r="N346" s="223">
        <v>14</v>
      </c>
      <c r="O346" s="223">
        <v>95</v>
      </c>
      <c r="P346" s="223">
        <v>2</v>
      </c>
      <c r="Q346" s="223">
        <v>62.17</v>
      </c>
      <c r="R346" s="225" t="s">
        <v>13</v>
      </c>
      <c r="S346" s="230">
        <v>5757929.9400000004</v>
      </c>
      <c r="T346" s="226">
        <v>92615.89</v>
      </c>
      <c r="U346" s="228"/>
      <c r="V346" s="226">
        <v>5757929.9400000004</v>
      </c>
      <c r="W346" s="226">
        <v>92615.890944185303</v>
      </c>
      <c r="X346" s="228">
        <v>466275</v>
      </c>
      <c r="Y346" s="228">
        <f>Юрист[[#This Row],[Итоговая цена м2 с отделкой]]-Юрист[[#This Row],[Итоговая цена м2 без отделки]]</f>
        <v>7500</v>
      </c>
      <c r="Z346" s="226">
        <v>5291654.9400000004</v>
      </c>
      <c r="AA346" s="223">
        <v>85115.890944185303</v>
      </c>
      <c r="AB346" s="225" t="s">
        <v>757</v>
      </c>
      <c r="AC346" s="226">
        <v>107992.96000000001</v>
      </c>
      <c r="AD346" s="225" t="s">
        <v>862</v>
      </c>
      <c r="AE346" s="225" t="s">
        <v>1057</v>
      </c>
      <c r="AF346" s="226">
        <v>570983.22</v>
      </c>
      <c r="AG346" s="226">
        <v>4600000</v>
      </c>
      <c r="AH346" s="226">
        <v>586946.72</v>
      </c>
      <c r="AI346" s="226"/>
      <c r="AJ346" s="226"/>
      <c r="AK346" s="223" t="s">
        <v>864</v>
      </c>
      <c r="AL346" s="227"/>
      <c r="AM346" s="229">
        <v>5.7000000000000002E-2</v>
      </c>
      <c r="AO346" s="223">
        <v>0</v>
      </c>
      <c r="AP346" s="225" t="s">
        <v>1063</v>
      </c>
      <c r="AQ346" s="223">
        <v>79171621781</v>
      </c>
      <c r="AR346" s="225" t="s">
        <v>866</v>
      </c>
      <c r="AS346" s="224">
        <v>31766</v>
      </c>
      <c r="AT346" s="225" t="s">
        <v>878</v>
      </c>
      <c r="AU346" s="225" t="s">
        <v>868</v>
      </c>
      <c r="AV346" s="225" t="s">
        <v>879</v>
      </c>
      <c r="AW346" s="225" t="s">
        <v>172</v>
      </c>
      <c r="AX346" t="s">
        <v>2172</v>
      </c>
      <c r="AY346" s="224"/>
      <c r="BL346" s="223"/>
    </row>
    <row r="347" spans="1:64" x14ac:dyDescent="0.25">
      <c r="A347" s="223">
        <v>2110</v>
      </c>
      <c r="B347" s="223">
        <v>18</v>
      </c>
      <c r="C347" s="224">
        <v>45224</v>
      </c>
      <c r="D347" s="225" t="s">
        <v>1059</v>
      </c>
      <c r="E347" s="225" t="s">
        <v>859</v>
      </c>
      <c r="F347" s="225" t="s">
        <v>860</v>
      </c>
      <c r="G347" s="223" t="s">
        <v>861</v>
      </c>
      <c r="H347" s="224"/>
      <c r="I347" s="224">
        <v>45229</v>
      </c>
      <c r="J347" s="225" t="s">
        <v>1789</v>
      </c>
      <c r="K347" s="225" t="s">
        <v>98</v>
      </c>
      <c r="L347" s="225" t="s">
        <v>5</v>
      </c>
      <c r="M347" s="223">
        <v>7</v>
      </c>
      <c r="N347" s="223">
        <v>15</v>
      </c>
      <c r="O347" s="223">
        <v>104</v>
      </c>
      <c r="P347" s="223">
        <v>1</v>
      </c>
      <c r="Q347" s="223">
        <v>42.75</v>
      </c>
      <c r="R347" s="225" t="s">
        <v>14</v>
      </c>
      <c r="S347" s="230">
        <v>4977178.16</v>
      </c>
      <c r="T347" s="226">
        <v>116425.22</v>
      </c>
      <c r="U347" s="228"/>
      <c r="V347" s="226">
        <v>4977178.16</v>
      </c>
      <c r="W347" s="226">
        <v>116425.22011695907</v>
      </c>
      <c r="X347" s="228">
        <v>940500</v>
      </c>
      <c r="Y347" s="228">
        <f>Юрист[[#This Row],[Итоговая цена м2 с отделкой]]-Юрист[[#This Row],[Итоговая цена м2 без отделки]]</f>
        <v>22000</v>
      </c>
      <c r="Z347" s="226">
        <v>4036678.16</v>
      </c>
      <c r="AA347" s="223">
        <v>94425.22011695907</v>
      </c>
      <c r="AB347" s="225"/>
      <c r="AD347" s="225" t="s">
        <v>862</v>
      </c>
      <c r="AE347" s="225" t="s">
        <v>863</v>
      </c>
      <c r="AF347" s="226">
        <v>1000413</v>
      </c>
      <c r="AG347" s="226">
        <v>3976765.16</v>
      </c>
      <c r="AH347" s="226"/>
      <c r="AI347" s="226"/>
      <c r="AJ347" s="226"/>
      <c r="AK347" s="223" t="s">
        <v>864</v>
      </c>
      <c r="AL347" s="227">
        <v>1.4E-2</v>
      </c>
      <c r="AM347" s="229">
        <v>4.5999999999999999E-2</v>
      </c>
      <c r="AO347" s="223">
        <v>0</v>
      </c>
      <c r="AP347" s="225" t="s">
        <v>1060</v>
      </c>
      <c r="AQ347" s="223">
        <v>79967219177</v>
      </c>
      <c r="AR347" s="225" t="s">
        <v>866</v>
      </c>
      <c r="AS347" s="224">
        <v>30835</v>
      </c>
      <c r="AT347" s="225" t="s">
        <v>1061</v>
      </c>
      <c r="AU347" s="225" t="s">
        <v>899</v>
      </c>
      <c r="AV347" s="225" t="s">
        <v>869</v>
      </c>
      <c r="AW347" s="225" t="s">
        <v>172</v>
      </c>
      <c r="AX347" t="s">
        <v>2172</v>
      </c>
      <c r="AY347" s="224"/>
      <c r="BL347" s="223"/>
    </row>
    <row r="348" spans="1:64" x14ac:dyDescent="0.25">
      <c r="A348" s="223">
        <v>2108</v>
      </c>
      <c r="B348" s="223">
        <v>16</v>
      </c>
      <c r="C348" s="224">
        <v>45223</v>
      </c>
      <c r="D348" s="225" t="s">
        <v>1056</v>
      </c>
      <c r="E348" s="225" t="s">
        <v>859</v>
      </c>
      <c r="F348" s="225" t="s">
        <v>1030</v>
      </c>
      <c r="H348" s="224"/>
      <c r="I348" s="224">
        <v>45230</v>
      </c>
      <c r="J348" s="225" t="s">
        <v>1723</v>
      </c>
      <c r="K348" s="225" t="s">
        <v>98</v>
      </c>
      <c r="L348" s="225" t="s">
        <v>5</v>
      </c>
      <c r="M348" s="223">
        <v>6</v>
      </c>
      <c r="N348" s="223">
        <v>1</v>
      </c>
      <c r="O348" s="223">
        <v>6</v>
      </c>
      <c r="P348" s="223">
        <v>1</v>
      </c>
      <c r="Q348" s="223">
        <v>42.75</v>
      </c>
      <c r="R348" s="225" t="s">
        <v>14</v>
      </c>
      <c r="S348" s="230">
        <v>4962178.16</v>
      </c>
      <c r="T348" s="226">
        <v>116074.34</v>
      </c>
      <c r="U348" s="228">
        <v>15000</v>
      </c>
      <c r="V348" s="226">
        <v>4977178.16</v>
      </c>
      <c r="W348" s="226">
        <v>116425.22011695907</v>
      </c>
      <c r="X348" s="228">
        <v>940500</v>
      </c>
      <c r="Y348" s="228">
        <f>Юрист[[#This Row],[Итоговая цена м2 с отделкой]]-Юрист[[#This Row],[Итоговая цена м2 без отделки]]</f>
        <v>22000</v>
      </c>
      <c r="Z348" s="226">
        <v>4036678.16</v>
      </c>
      <c r="AA348" s="223">
        <v>94425.22011695907</v>
      </c>
      <c r="AB348" s="225"/>
      <c r="AD348" s="225" t="s">
        <v>862</v>
      </c>
      <c r="AE348" s="225" t="s">
        <v>1057</v>
      </c>
      <c r="AF348" s="226"/>
      <c r="AG348" s="226">
        <v>3307330.16</v>
      </c>
      <c r="AH348" s="226"/>
      <c r="AI348" s="226"/>
      <c r="AJ348" s="226">
        <v>1654848</v>
      </c>
      <c r="AK348" s="223" t="s">
        <v>844</v>
      </c>
      <c r="AL348" s="227"/>
      <c r="AM348" s="229">
        <v>7.5999999999999998E-2</v>
      </c>
      <c r="AO348" s="223">
        <v>0</v>
      </c>
      <c r="AP348" s="225" t="s">
        <v>1058</v>
      </c>
      <c r="AQ348" s="223">
        <v>79063400013</v>
      </c>
      <c r="AR348" s="225" t="s">
        <v>882</v>
      </c>
      <c r="AS348" s="224">
        <v>34011</v>
      </c>
      <c r="AT348" s="225" t="s">
        <v>878</v>
      </c>
      <c r="AU348" s="225" t="s">
        <v>910</v>
      </c>
      <c r="AV348" s="225" t="s">
        <v>869</v>
      </c>
      <c r="AW348" s="225" t="s">
        <v>172</v>
      </c>
      <c r="AX348" t="s">
        <v>2172</v>
      </c>
      <c r="AY348" s="224"/>
      <c r="BL348" s="223"/>
    </row>
    <row r="349" spans="1:64" x14ac:dyDescent="0.25">
      <c r="A349" s="223">
        <v>2107</v>
      </c>
      <c r="B349" s="223">
        <v>15</v>
      </c>
      <c r="C349" s="224">
        <v>45222</v>
      </c>
      <c r="D349" s="225" t="s">
        <v>1054</v>
      </c>
      <c r="E349" s="225" t="s">
        <v>859</v>
      </c>
      <c r="F349" s="225" t="s">
        <v>860</v>
      </c>
      <c r="G349" s="223" t="s">
        <v>861</v>
      </c>
      <c r="H349" s="224"/>
      <c r="I349" s="224">
        <v>45225</v>
      </c>
      <c r="J349" s="225" t="s">
        <v>1948</v>
      </c>
      <c r="K349" s="225" t="s">
        <v>98</v>
      </c>
      <c r="L349" s="225" t="s">
        <v>3</v>
      </c>
      <c r="M349" s="223">
        <v>4</v>
      </c>
      <c r="N349" s="223">
        <v>17</v>
      </c>
      <c r="O349" s="223">
        <v>337</v>
      </c>
      <c r="P349" s="223">
        <v>2</v>
      </c>
      <c r="Q349" s="223">
        <v>60.24</v>
      </c>
      <c r="R349" s="225" t="s">
        <v>13</v>
      </c>
      <c r="S349" s="230">
        <v>5541702.3799999999</v>
      </c>
      <c r="T349" s="226">
        <v>91993.73</v>
      </c>
      <c r="U349" s="228"/>
      <c r="V349" s="226">
        <v>5541702.3799999999</v>
      </c>
      <c r="W349" s="226">
        <v>91993.731407702522</v>
      </c>
      <c r="X349" s="228">
        <v>451800</v>
      </c>
      <c r="Y349" s="228">
        <f>Юрист[[#This Row],[Итоговая цена м2 с отделкой]]-Юрист[[#This Row],[Итоговая цена м2 без отделки]]</f>
        <v>7500</v>
      </c>
      <c r="Z349" s="226">
        <v>5089902.38</v>
      </c>
      <c r="AA349" s="223">
        <v>84493.731407702522</v>
      </c>
      <c r="AB349" s="225" t="s">
        <v>162</v>
      </c>
      <c r="AC349" s="226">
        <v>267889.59999999998</v>
      </c>
      <c r="AD349" s="225" t="s">
        <v>862</v>
      </c>
      <c r="AE349" s="225" t="s">
        <v>863</v>
      </c>
      <c r="AF349" s="226">
        <v>3500000</v>
      </c>
      <c r="AG349" s="226">
        <v>2041702.38</v>
      </c>
      <c r="AH349" s="226"/>
      <c r="AI349" s="226"/>
      <c r="AJ349" s="226"/>
      <c r="AK349" s="223" t="s">
        <v>864</v>
      </c>
      <c r="AL349" s="227">
        <v>1.4E-2</v>
      </c>
      <c r="AM349" s="229">
        <v>4.5999999999999999E-2</v>
      </c>
      <c r="AO349" s="223">
        <v>0</v>
      </c>
      <c r="AP349" s="225" t="s">
        <v>1055</v>
      </c>
      <c r="AQ349" s="223">
        <v>79604672471</v>
      </c>
      <c r="AR349" s="225" t="s">
        <v>882</v>
      </c>
      <c r="AS349" s="224">
        <v>33868</v>
      </c>
      <c r="AT349" s="225" t="s">
        <v>878</v>
      </c>
      <c r="AU349" s="225" t="s">
        <v>899</v>
      </c>
      <c r="AV349" s="225" t="s">
        <v>869</v>
      </c>
      <c r="AW349" s="225" t="s">
        <v>172</v>
      </c>
      <c r="AX349" t="s">
        <v>2172</v>
      </c>
      <c r="AY349" s="224"/>
      <c r="BL349" s="223"/>
    </row>
    <row r="350" spans="1:64" x14ac:dyDescent="0.25">
      <c r="A350" s="223">
        <v>2100</v>
      </c>
      <c r="B350" s="223">
        <v>8</v>
      </c>
      <c r="C350" s="224">
        <v>45217</v>
      </c>
      <c r="D350" s="225" t="s">
        <v>1050</v>
      </c>
      <c r="E350" s="225" t="s">
        <v>859</v>
      </c>
      <c r="F350" s="225" t="s">
        <v>860</v>
      </c>
      <c r="G350" s="223" t="s">
        <v>861</v>
      </c>
      <c r="H350" s="224"/>
      <c r="I350" s="224">
        <v>45222</v>
      </c>
      <c r="J350" s="225" t="s">
        <v>1925</v>
      </c>
      <c r="K350" s="225" t="s">
        <v>98</v>
      </c>
      <c r="L350" s="225" t="s">
        <v>3</v>
      </c>
      <c r="M350" s="223">
        <v>6</v>
      </c>
      <c r="N350" s="223">
        <v>12</v>
      </c>
      <c r="O350" s="223">
        <v>304</v>
      </c>
      <c r="P350" s="223">
        <v>3</v>
      </c>
      <c r="Q350" s="223">
        <v>80.97</v>
      </c>
      <c r="R350" s="225" t="s">
        <v>12</v>
      </c>
      <c r="S350" s="230">
        <v>6480614.9100000001</v>
      </c>
      <c r="T350" s="226">
        <v>80037.23</v>
      </c>
      <c r="U350" s="228"/>
      <c r="V350" s="226">
        <v>6480614.9100000001</v>
      </c>
      <c r="W350" s="226">
        <v>80037.234901815493</v>
      </c>
      <c r="X350" s="228"/>
      <c r="Y350" s="228">
        <f>Юрист[[#This Row],[Итоговая цена м2 с отделкой]]-Юрист[[#This Row],[Итоговая цена м2 без отделки]]</f>
        <v>0</v>
      </c>
      <c r="Z350" s="226">
        <v>6480614.9100000001</v>
      </c>
      <c r="AA350" s="223">
        <v>80037.234901815493</v>
      </c>
      <c r="AB350" s="225" t="s">
        <v>1011</v>
      </c>
      <c r="AC350" s="226">
        <v>20000</v>
      </c>
      <c r="AD350" s="225" t="s">
        <v>862</v>
      </c>
      <c r="AE350" s="225" t="s">
        <v>863</v>
      </c>
      <c r="AF350" s="226">
        <v>715662.88</v>
      </c>
      <c r="AG350" s="226">
        <v>5178005.3099999996</v>
      </c>
      <c r="AH350" s="226">
        <v>586946.72</v>
      </c>
      <c r="AI350" s="226"/>
      <c r="AJ350" s="226"/>
      <c r="AK350" s="223" t="s">
        <v>864</v>
      </c>
      <c r="AL350" s="227"/>
      <c r="AM350" s="229">
        <v>0.04</v>
      </c>
      <c r="AO350" s="223">
        <v>0</v>
      </c>
      <c r="AP350" s="225" t="s">
        <v>1051</v>
      </c>
      <c r="AQ350" s="223">
        <v>79370781728</v>
      </c>
      <c r="AR350" s="225" t="s">
        <v>866</v>
      </c>
      <c r="AS350" s="224">
        <v>32561</v>
      </c>
      <c r="AT350" s="225" t="s">
        <v>867</v>
      </c>
      <c r="AU350" s="225" t="s">
        <v>868</v>
      </c>
      <c r="AV350" s="225" t="s">
        <v>869</v>
      </c>
      <c r="AW350" s="225" t="s">
        <v>172</v>
      </c>
      <c r="AX350" t="s">
        <v>2168</v>
      </c>
      <c r="AY350" s="224"/>
      <c r="BL350" s="223"/>
    </row>
    <row r="351" spans="1:64" x14ac:dyDescent="0.25">
      <c r="A351" s="223">
        <v>2102</v>
      </c>
      <c r="B351" s="223">
        <v>10</v>
      </c>
      <c r="C351" s="224">
        <v>45217</v>
      </c>
      <c r="D351" s="225" t="s">
        <v>1052</v>
      </c>
      <c r="E351" s="225" t="s">
        <v>859</v>
      </c>
      <c r="F351" s="225" t="s">
        <v>860</v>
      </c>
      <c r="G351" s="223" t="s">
        <v>861</v>
      </c>
      <c r="H351" s="224"/>
      <c r="I351" s="224">
        <v>45222</v>
      </c>
      <c r="J351" s="225" t="s">
        <v>1966</v>
      </c>
      <c r="K351" s="225" t="s">
        <v>98</v>
      </c>
      <c r="L351" s="225" t="s">
        <v>3</v>
      </c>
      <c r="M351" s="223">
        <v>7</v>
      </c>
      <c r="N351" s="223">
        <v>23</v>
      </c>
      <c r="O351" s="223">
        <v>382</v>
      </c>
      <c r="P351" s="223">
        <v>1</v>
      </c>
      <c r="Q351" s="223">
        <v>34.81</v>
      </c>
      <c r="R351" s="225" t="s">
        <v>13</v>
      </c>
      <c r="S351" s="230">
        <v>3494340.21</v>
      </c>
      <c r="T351" s="226">
        <v>100383.23</v>
      </c>
      <c r="U351" s="228">
        <v>15000</v>
      </c>
      <c r="V351" s="226">
        <v>3509340.21</v>
      </c>
      <c r="W351" s="226">
        <v>100814.1399023269</v>
      </c>
      <c r="X351" s="228">
        <v>174050</v>
      </c>
      <c r="Y351" s="228">
        <f>Юрист[[#This Row],[Итоговая цена м2 с отделкой]]-Юрист[[#This Row],[Итоговая цена м2 без отделки]]</f>
        <v>5000</v>
      </c>
      <c r="Z351" s="226">
        <v>3335290.21</v>
      </c>
      <c r="AA351" s="223">
        <v>95814.139902326904</v>
      </c>
      <c r="AB351" s="225"/>
      <c r="AD351" s="225" t="s">
        <v>862</v>
      </c>
      <c r="AE351" s="225" t="s">
        <v>863</v>
      </c>
      <c r="AF351" s="226">
        <v>704000.21</v>
      </c>
      <c r="AG351" s="226">
        <v>2790340</v>
      </c>
      <c r="AH351" s="226"/>
      <c r="AI351" s="226"/>
      <c r="AJ351" s="226"/>
      <c r="AK351" s="223" t="s">
        <v>873</v>
      </c>
      <c r="AL351" s="227">
        <v>1.4E-2</v>
      </c>
      <c r="AM351" s="229">
        <v>6.6000000000000003E-2</v>
      </c>
      <c r="AO351" s="223">
        <v>0</v>
      </c>
      <c r="AP351" s="225" t="s">
        <v>1053</v>
      </c>
      <c r="AQ351" s="223">
        <v>79170340514</v>
      </c>
      <c r="AR351" s="225" t="s">
        <v>866</v>
      </c>
      <c r="AS351" s="224">
        <v>30791</v>
      </c>
      <c r="AT351" s="225" t="s">
        <v>970</v>
      </c>
      <c r="AU351" s="225" t="s">
        <v>868</v>
      </c>
      <c r="AV351" s="225" t="s">
        <v>869</v>
      </c>
      <c r="AW351" s="225" t="s">
        <v>172</v>
      </c>
      <c r="AX351" t="s">
        <v>2172</v>
      </c>
      <c r="AY351" s="224"/>
      <c r="BL351" s="223"/>
    </row>
    <row r="352" spans="1:64" x14ac:dyDescent="0.25">
      <c r="A352" s="223">
        <v>2099</v>
      </c>
      <c r="B352" s="223">
        <v>7</v>
      </c>
      <c r="C352" s="224">
        <v>45216</v>
      </c>
      <c r="D352" s="225" t="s">
        <v>1048</v>
      </c>
      <c r="E352" s="225" t="s">
        <v>859</v>
      </c>
      <c r="F352" s="225" t="s">
        <v>860</v>
      </c>
      <c r="G352" s="223" t="s">
        <v>861</v>
      </c>
      <c r="H352" s="224"/>
      <c r="I352" s="224">
        <v>45219</v>
      </c>
      <c r="J352" s="225" t="s">
        <v>1872</v>
      </c>
      <c r="K352" s="225" t="s">
        <v>98</v>
      </c>
      <c r="L352" s="225" t="s">
        <v>3</v>
      </c>
      <c r="M352" s="223">
        <v>4</v>
      </c>
      <c r="N352" s="223">
        <v>2</v>
      </c>
      <c r="O352" s="223">
        <v>232</v>
      </c>
      <c r="P352" s="223">
        <v>1</v>
      </c>
      <c r="Q352" s="223">
        <v>59.68</v>
      </c>
      <c r="R352" s="225" t="s">
        <v>12</v>
      </c>
      <c r="S352" s="230">
        <v>5076164.76</v>
      </c>
      <c r="T352" s="226">
        <v>85056.38</v>
      </c>
      <c r="U352" s="228"/>
      <c r="V352" s="226">
        <v>5076164.76</v>
      </c>
      <c r="W352" s="226">
        <v>85056.380026809653</v>
      </c>
      <c r="X352" s="228"/>
      <c r="Y352" s="228">
        <f>Юрист[[#This Row],[Итоговая цена м2 с отделкой]]-Юрист[[#This Row],[Итоговая цена м2 без отделки]]</f>
        <v>0</v>
      </c>
      <c r="Z352" s="226">
        <v>5076164.76</v>
      </c>
      <c r="AA352" s="223">
        <v>85056.380026809653</v>
      </c>
      <c r="AB352" s="225"/>
      <c r="AD352" s="225" t="s">
        <v>862</v>
      </c>
      <c r="AE352" s="225" t="s">
        <v>863</v>
      </c>
      <c r="AF352" s="226">
        <v>533363.28</v>
      </c>
      <c r="AG352" s="226">
        <v>3955854.76</v>
      </c>
      <c r="AH352" s="226">
        <v>586946.72</v>
      </c>
      <c r="AI352" s="226"/>
      <c r="AJ352" s="226"/>
      <c r="AK352" s="223" t="s">
        <v>864</v>
      </c>
      <c r="AL352" s="227">
        <v>1.4E-2</v>
      </c>
      <c r="AM352" s="229">
        <v>4.5999999999999999E-2</v>
      </c>
      <c r="AO352" s="223">
        <v>0</v>
      </c>
      <c r="AP352" s="225" t="s">
        <v>1049</v>
      </c>
      <c r="AQ352" s="223">
        <v>79370640505</v>
      </c>
      <c r="AR352" s="225" t="s">
        <v>866</v>
      </c>
      <c r="AS352" s="224">
        <v>34393</v>
      </c>
      <c r="AT352" s="225" t="s">
        <v>939</v>
      </c>
      <c r="AU352" s="225" t="s">
        <v>997</v>
      </c>
      <c r="AV352" s="225" t="s">
        <v>869</v>
      </c>
      <c r="AW352" s="225" t="s">
        <v>172</v>
      </c>
      <c r="AX352" t="s">
        <v>2172</v>
      </c>
      <c r="AY352" s="224"/>
      <c r="BL352" s="223"/>
    </row>
    <row r="353" spans="1:64" x14ac:dyDescent="0.25">
      <c r="A353" s="223">
        <v>2098</v>
      </c>
      <c r="B353" s="223">
        <v>6</v>
      </c>
      <c r="C353" s="224">
        <v>45212</v>
      </c>
      <c r="D353" s="225" t="s">
        <v>1046</v>
      </c>
      <c r="E353" s="225" t="s">
        <v>859</v>
      </c>
      <c r="F353" s="225" t="s">
        <v>860</v>
      </c>
      <c r="G353" s="223" t="s">
        <v>861</v>
      </c>
      <c r="H353" s="224"/>
      <c r="I353" s="224">
        <v>45217</v>
      </c>
      <c r="J353" s="225" t="s">
        <v>1968</v>
      </c>
      <c r="K353" s="225" t="s">
        <v>98</v>
      </c>
      <c r="L353" s="225" t="s">
        <v>3</v>
      </c>
      <c r="M353" s="223">
        <v>3</v>
      </c>
      <c r="N353" s="223">
        <v>24</v>
      </c>
      <c r="O353" s="223">
        <v>385</v>
      </c>
      <c r="P353" s="223">
        <v>2</v>
      </c>
      <c r="Q353" s="223">
        <v>56.58</v>
      </c>
      <c r="R353" s="225" t="s">
        <v>13</v>
      </c>
      <c r="S353" s="230">
        <v>5443388.4000000004</v>
      </c>
      <c r="T353" s="226">
        <v>96206.94</v>
      </c>
      <c r="U353" s="228"/>
      <c r="V353" s="226">
        <v>5443388.4000000004</v>
      </c>
      <c r="W353" s="226">
        <v>96206.935312831396</v>
      </c>
      <c r="X353" s="228">
        <v>424350</v>
      </c>
      <c r="Y353" s="228">
        <f>Юрист[[#This Row],[Итоговая цена м2 с отделкой]]-Юрист[[#This Row],[Итоговая цена м2 без отделки]]</f>
        <v>7500</v>
      </c>
      <c r="Z353" s="226">
        <v>5019038.4000000004</v>
      </c>
      <c r="AA353" s="223">
        <v>88706.935312831396</v>
      </c>
      <c r="AB353" s="225" t="s">
        <v>162</v>
      </c>
      <c r="AC353" s="226">
        <v>320364.15000000002</v>
      </c>
      <c r="AD353" s="225" t="s">
        <v>862</v>
      </c>
      <c r="AE353" s="225" t="s">
        <v>863</v>
      </c>
      <c r="AF353" s="226">
        <v>508053.28</v>
      </c>
      <c r="AG353" s="226">
        <v>4348388.4000000004</v>
      </c>
      <c r="AH353" s="226">
        <v>586946.72</v>
      </c>
      <c r="AI353" s="226"/>
      <c r="AJ353" s="226"/>
      <c r="AK353" s="223" t="s">
        <v>873</v>
      </c>
      <c r="AL353" s="227">
        <v>1.4E-2</v>
      </c>
      <c r="AM353" s="229">
        <v>6.6000000000000003E-2</v>
      </c>
      <c r="AO353" s="223">
        <v>0</v>
      </c>
      <c r="AP353" s="225" t="s">
        <v>1047</v>
      </c>
      <c r="AQ353" s="223">
        <v>79276096056</v>
      </c>
      <c r="AR353" s="225" t="s">
        <v>866</v>
      </c>
      <c r="AS353" s="224">
        <v>29179</v>
      </c>
      <c r="AT353" s="225" t="s">
        <v>878</v>
      </c>
      <c r="AU353" s="225" t="s">
        <v>899</v>
      </c>
      <c r="AV353" s="225" t="s">
        <v>879</v>
      </c>
      <c r="AW353" s="225" t="s">
        <v>172</v>
      </c>
      <c r="AX353" t="s">
        <v>2172</v>
      </c>
      <c r="AY353" s="224"/>
      <c r="BL353" s="223"/>
    </row>
    <row r="354" spans="1:64" x14ac:dyDescent="0.25">
      <c r="A354" s="223">
        <v>2094</v>
      </c>
      <c r="B354" s="223">
        <v>2</v>
      </c>
      <c r="C354" s="224">
        <v>45211</v>
      </c>
      <c r="D354" s="225" t="s">
        <v>1044</v>
      </c>
      <c r="E354" s="225" t="s">
        <v>859</v>
      </c>
      <c r="F354" s="225" t="s">
        <v>860</v>
      </c>
      <c r="G354" s="223" t="s">
        <v>861</v>
      </c>
      <c r="H354" s="224"/>
      <c r="I354" s="224">
        <v>45216</v>
      </c>
      <c r="J354" s="225" t="s">
        <v>1973</v>
      </c>
      <c r="K354" s="225" t="s">
        <v>98</v>
      </c>
      <c r="L354" s="225" t="s">
        <v>2</v>
      </c>
      <c r="M354" s="223">
        <v>5</v>
      </c>
      <c r="N354" s="223">
        <v>1</v>
      </c>
      <c r="O354" s="223">
        <v>394</v>
      </c>
      <c r="P354" s="223">
        <v>1</v>
      </c>
      <c r="Q354" s="223">
        <v>51.71</v>
      </c>
      <c r="R354" s="225" t="s">
        <v>12</v>
      </c>
      <c r="S354" s="230">
        <v>4810603.0199999996</v>
      </c>
      <c r="T354" s="226">
        <v>93030.42</v>
      </c>
      <c r="U354" s="228"/>
      <c r="V354" s="226">
        <v>4810603.0199999996</v>
      </c>
      <c r="W354" s="226">
        <v>93030.420034809504</v>
      </c>
      <c r="X354" s="228"/>
      <c r="Y354" s="228">
        <f>Юрист[[#This Row],[Итоговая цена м2 с отделкой]]-Юрист[[#This Row],[Итоговая цена м2 без отделки]]</f>
        <v>0</v>
      </c>
      <c r="Z354" s="226">
        <v>4810603.0199999996</v>
      </c>
      <c r="AA354" s="223">
        <v>93030.420034809504</v>
      </c>
      <c r="AB354" s="225"/>
      <c r="AD354" s="225" t="s">
        <v>862</v>
      </c>
      <c r="AE354" s="225" t="s">
        <v>863</v>
      </c>
      <c r="AF354" s="226">
        <v>2700000.02</v>
      </c>
      <c r="AG354" s="226">
        <v>2110603</v>
      </c>
      <c r="AH354" s="226"/>
      <c r="AI354" s="226"/>
      <c r="AJ354" s="226"/>
      <c r="AK354" s="223" t="s">
        <v>864</v>
      </c>
      <c r="AL354" s="227">
        <v>1.4E-2</v>
      </c>
      <c r="AM354" s="229">
        <v>4.5999999999999999E-2</v>
      </c>
      <c r="AO354" s="223">
        <v>0</v>
      </c>
      <c r="AP354" s="225" t="s">
        <v>1045</v>
      </c>
      <c r="AQ354" s="223">
        <v>79871529927</v>
      </c>
      <c r="AR354" s="225" t="s">
        <v>866</v>
      </c>
      <c r="AS354" s="224">
        <v>32973</v>
      </c>
      <c r="AT354" s="225" t="s">
        <v>939</v>
      </c>
      <c r="AU354" s="225" t="s">
        <v>868</v>
      </c>
      <c r="AV354" s="225" t="s">
        <v>869</v>
      </c>
      <c r="AW354" s="225" t="s">
        <v>172</v>
      </c>
      <c r="AX354" t="s">
        <v>2172</v>
      </c>
      <c r="AY354" s="224"/>
      <c r="BL354" s="223"/>
    </row>
    <row r="355" spans="1:64" x14ac:dyDescent="0.25">
      <c r="A355" s="223">
        <v>2093</v>
      </c>
      <c r="B355" s="223">
        <v>1</v>
      </c>
      <c r="C355" s="224">
        <v>45202</v>
      </c>
      <c r="D355" s="225" t="s">
        <v>1042</v>
      </c>
      <c r="E355" s="225" t="s">
        <v>859</v>
      </c>
      <c r="F355" s="225" t="s">
        <v>860</v>
      </c>
      <c r="G355" s="223" t="s">
        <v>861</v>
      </c>
      <c r="H355" s="224"/>
      <c r="I355" s="224">
        <v>45201</v>
      </c>
      <c r="J355" s="225" t="s">
        <v>2021</v>
      </c>
      <c r="K355" s="225" t="s">
        <v>98</v>
      </c>
      <c r="L355" s="225" t="s">
        <v>2</v>
      </c>
      <c r="M355" s="223">
        <v>6</v>
      </c>
      <c r="N355" s="223">
        <v>8</v>
      </c>
      <c r="O355" s="223">
        <v>450</v>
      </c>
      <c r="P355" s="223">
        <v>1</v>
      </c>
      <c r="Q355" s="223">
        <v>38.299999999999997</v>
      </c>
      <c r="R355" s="225" t="s">
        <v>12</v>
      </c>
      <c r="S355" s="230">
        <v>3591569.53</v>
      </c>
      <c r="T355" s="226">
        <v>93774.66</v>
      </c>
      <c r="U355" s="228"/>
      <c r="V355" s="226">
        <v>3591569.53</v>
      </c>
      <c r="W355" s="226">
        <v>93774.661357702353</v>
      </c>
      <c r="X355" s="228"/>
      <c r="Y355" s="228">
        <f>Юрист[[#This Row],[Итоговая цена м2 с отделкой]]-Юрист[[#This Row],[Итоговая цена м2 без отделки]]</f>
        <v>0</v>
      </c>
      <c r="Z355" s="226">
        <v>3591569.53</v>
      </c>
      <c r="AA355" s="223">
        <v>93774.661357702353</v>
      </c>
      <c r="AB355" s="225" t="s">
        <v>978</v>
      </c>
      <c r="AC355" s="226">
        <v>73297.337346938904</v>
      </c>
      <c r="AD355" s="225" t="s">
        <v>862</v>
      </c>
      <c r="AE355" s="225" t="s">
        <v>863</v>
      </c>
      <c r="AF355" s="226">
        <v>1000000</v>
      </c>
      <c r="AG355" s="226">
        <v>2591569.5299999998</v>
      </c>
      <c r="AH355" s="226"/>
      <c r="AI355" s="226"/>
      <c r="AJ355" s="226"/>
      <c r="AK355" s="223" t="s">
        <v>864</v>
      </c>
      <c r="AL355" s="227">
        <v>1.4E-2</v>
      </c>
      <c r="AM355" s="229">
        <v>4.5999999999999999E-2</v>
      </c>
      <c r="AO355" s="223">
        <v>0</v>
      </c>
      <c r="AP355" s="225" t="s">
        <v>1043</v>
      </c>
      <c r="AQ355" s="223">
        <v>79638891609</v>
      </c>
      <c r="AR355" s="225" t="s">
        <v>866</v>
      </c>
      <c r="AS355" s="224">
        <v>31125</v>
      </c>
      <c r="AT355" s="225" t="s">
        <v>888</v>
      </c>
      <c r="AU355" s="225" t="s">
        <v>934</v>
      </c>
      <c r="AV355" s="225" t="s">
        <v>869</v>
      </c>
      <c r="AW355" s="225" t="s">
        <v>172</v>
      </c>
      <c r="AX355" t="s">
        <v>2172</v>
      </c>
      <c r="AY355" s="224"/>
      <c r="BL355" s="223"/>
    </row>
    <row r="356" spans="1:64" x14ac:dyDescent="0.25">
      <c r="A356" s="223">
        <v>2090</v>
      </c>
      <c r="B356" s="223">
        <v>91</v>
      </c>
      <c r="C356" s="224">
        <v>45199</v>
      </c>
      <c r="D356" s="225" t="s">
        <v>1038</v>
      </c>
      <c r="E356" s="225" t="s">
        <v>859</v>
      </c>
      <c r="F356" s="225" t="s">
        <v>860</v>
      </c>
      <c r="G356" s="223" t="s">
        <v>861</v>
      </c>
      <c r="H356" s="224"/>
      <c r="I356" s="224">
        <v>45201</v>
      </c>
      <c r="J356" s="225" t="s">
        <v>2064</v>
      </c>
      <c r="K356" s="225" t="s">
        <v>98</v>
      </c>
      <c r="L356" s="225" t="s">
        <v>2</v>
      </c>
      <c r="M356" s="223">
        <v>4</v>
      </c>
      <c r="N356" s="223">
        <v>15</v>
      </c>
      <c r="O356" s="223">
        <v>504</v>
      </c>
      <c r="P356" s="223">
        <v>2</v>
      </c>
      <c r="Q356" s="223">
        <v>58.24</v>
      </c>
      <c r="R356" s="225" t="s">
        <v>14</v>
      </c>
      <c r="S356" s="230">
        <v>6290958.4199999999</v>
      </c>
      <c r="T356" s="226">
        <v>108017.83</v>
      </c>
      <c r="U356" s="228"/>
      <c r="V356" s="226">
        <v>6290958.4199999999</v>
      </c>
      <c r="W356" s="226">
        <v>108017.83001373625</v>
      </c>
      <c r="X356" s="228">
        <v>1281280</v>
      </c>
      <c r="Y356" s="228">
        <f>Юрист[[#This Row],[Итоговая цена м2 с отделкой]]-Юрист[[#This Row],[Итоговая цена м2 без отделки]]</f>
        <v>22000</v>
      </c>
      <c r="Z356" s="226">
        <v>5009678.42</v>
      </c>
      <c r="AA356" s="223">
        <v>86017.830013736253</v>
      </c>
      <c r="AB356" s="225"/>
      <c r="AD356" s="225" t="s">
        <v>862</v>
      </c>
      <c r="AE356" s="225" t="s">
        <v>863</v>
      </c>
      <c r="AF356" s="226">
        <v>489372.17</v>
      </c>
      <c r="AG356" s="226">
        <v>5025958</v>
      </c>
      <c r="AH356" s="226">
        <v>775628.25</v>
      </c>
      <c r="AI356" s="226"/>
      <c r="AJ356" s="226"/>
      <c r="AK356" s="223" t="s">
        <v>864</v>
      </c>
      <c r="AL356" s="227">
        <v>1.4E-2</v>
      </c>
      <c r="AM356" s="229">
        <v>4.5999999999999999E-2</v>
      </c>
      <c r="AO356" s="223">
        <v>0</v>
      </c>
      <c r="AP356" s="225" t="s">
        <v>1039</v>
      </c>
      <c r="AQ356" s="223">
        <v>79277140071</v>
      </c>
      <c r="AR356" s="225" t="s">
        <v>882</v>
      </c>
      <c r="AS356" s="224">
        <v>28161</v>
      </c>
      <c r="AT356" s="225" t="s">
        <v>888</v>
      </c>
      <c r="AU356" s="225" t="s">
        <v>868</v>
      </c>
      <c r="AV356" s="225" t="s">
        <v>879</v>
      </c>
      <c r="AW356" s="225" t="s">
        <v>172</v>
      </c>
      <c r="AX356" t="s">
        <v>2172</v>
      </c>
      <c r="AY356" s="224"/>
      <c r="BL356" s="223"/>
    </row>
    <row r="357" spans="1:64" x14ac:dyDescent="0.25">
      <c r="A357" s="223">
        <v>2091</v>
      </c>
      <c r="B357" s="223">
        <v>92</v>
      </c>
      <c r="C357" s="224">
        <v>45199</v>
      </c>
      <c r="D357" s="225" t="s">
        <v>1040</v>
      </c>
      <c r="E357" s="225" t="s">
        <v>859</v>
      </c>
      <c r="F357" s="225" t="s">
        <v>860</v>
      </c>
      <c r="G357" s="223" t="s">
        <v>861</v>
      </c>
      <c r="H357" s="224"/>
      <c r="I357" s="224">
        <v>45201</v>
      </c>
      <c r="J357" s="225" t="s">
        <v>1821</v>
      </c>
      <c r="K357" s="225" t="s">
        <v>98</v>
      </c>
      <c r="L357" s="225" t="s">
        <v>4</v>
      </c>
      <c r="M357" s="223">
        <v>7</v>
      </c>
      <c r="N357" s="223">
        <v>6</v>
      </c>
      <c r="O357" s="223">
        <v>152</v>
      </c>
      <c r="P357" s="223">
        <v>1</v>
      </c>
      <c r="Q357" s="223">
        <v>42.28</v>
      </c>
      <c r="R357" s="225" t="s">
        <v>12</v>
      </c>
      <c r="S357" s="230">
        <v>4030314.79</v>
      </c>
      <c r="T357" s="226">
        <v>95324.38</v>
      </c>
      <c r="U357" s="228"/>
      <c r="V357" s="226">
        <v>4030314.79</v>
      </c>
      <c r="W357" s="226">
        <v>95324.380085146637</v>
      </c>
      <c r="X357" s="228"/>
      <c r="Y357" s="228">
        <f>Юрист[[#This Row],[Итоговая цена м2 с отделкой]]-Юрист[[#This Row],[Итоговая цена м2 без отделки]]</f>
        <v>0</v>
      </c>
      <c r="Z357" s="226">
        <v>4030314.79</v>
      </c>
      <c r="AA357" s="223">
        <v>95324.380085146637</v>
      </c>
      <c r="AB357" s="225"/>
      <c r="AD357" s="225" t="s">
        <v>862</v>
      </c>
      <c r="AE357" s="225" t="s">
        <v>863</v>
      </c>
      <c r="AF357" s="226">
        <v>225368.07</v>
      </c>
      <c r="AG357" s="226">
        <v>3218000</v>
      </c>
      <c r="AH357" s="226">
        <v>586946.72</v>
      </c>
      <c r="AI357" s="226"/>
      <c r="AJ357" s="226"/>
      <c r="AK357" s="223" t="s">
        <v>864</v>
      </c>
      <c r="AL357" s="227">
        <v>1.4E-2</v>
      </c>
      <c r="AM357" s="229">
        <v>4.5999999999999999E-2</v>
      </c>
      <c r="AO357" s="223">
        <v>0</v>
      </c>
      <c r="AP357" s="225" t="s">
        <v>1041</v>
      </c>
      <c r="AQ357" s="223">
        <v>79276856802</v>
      </c>
      <c r="AR357" s="225" t="s">
        <v>882</v>
      </c>
      <c r="AS357" s="224">
        <v>31296</v>
      </c>
      <c r="AT357" s="225" t="s">
        <v>878</v>
      </c>
      <c r="AU357" s="225" t="s">
        <v>868</v>
      </c>
      <c r="AV357" s="225" t="s">
        <v>869</v>
      </c>
      <c r="AW357" s="225" t="s">
        <v>172</v>
      </c>
      <c r="AX357" t="s">
        <v>2172</v>
      </c>
      <c r="AY357" s="224"/>
      <c r="BL357" s="223"/>
    </row>
    <row r="358" spans="1:64" x14ac:dyDescent="0.25">
      <c r="A358" s="223">
        <v>2089</v>
      </c>
      <c r="B358" s="223">
        <v>90</v>
      </c>
      <c r="C358" s="224">
        <v>45198</v>
      </c>
      <c r="D358" s="225" t="s">
        <v>1036</v>
      </c>
      <c r="E358" s="225" t="s">
        <v>859</v>
      </c>
      <c r="F358" s="225" t="s">
        <v>860</v>
      </c>
      <c r="G358" s="223" t="s">
        <v>926</v>
      </c>
      <c r="H358" s="224"/>
      <c r="I358" s="224">
        <v>45201</v>
      </c>
      <c r="J358" s="225" t="s">
        <v>1880</v>
      </c>
      <c r="K358" s="225" t="s">
        <v>98</v>
      </c>
      <c r="L358" s="225" t="s">
        <v>3</v>
      </c>
      <c r="M358" s="223">
        <v>7</v>
      </c>
      <c r="N358" s="223">
        <v>3</v>
      </c>
      <c r="O358" s="223">
        <v>242</v>
      </c>
      <c r="P358" s="223">
        <v>1</v>
      </c>
      <c r="Q358" s="223">
        <v>34.81</v>
      </c>
      <c r="R358" s="225" t="s">
        <v>12</v>
      </c>
      <c r="S358" s="230">
        <v>2948820.15</v>
      </c>
      <c r="T358" s="226">
        <v>84711.87</v>
      </c>
      <c r="U358" s="228">
        <v>30000</v>
      </c>
      <c r="V358" s="226">
        <v>2978820.15</v>
      </c>
      <c r="W358" s="226">
        <v>85573.690031600112</v>
      </c>
      <c r="X358" s="228"/>
      <c r="Y358" s="228">
        <f>Юрист[[#This Row],[Итоговая цена м2 с отделкой]]-Юрист[[#This Row],[Итоговая цена м2 без отделки]]</f>
        <v>0</v>
      </c>
      <c r="Z358" s="226">
        <v>2978820.15</v>
      </c>
      <c r="AA358" s="223">
        <v>85573.690031600112</v>
      </c>
      <c r="AB358" s="225"/>
      <c r="AD358" s="225" t="s">
        <v>901</v>
      </c>
      <c r="AE358" s="225" t="s">
        <v>902</v>
      </c>
      <c r="AF358" s="226"/>
      <c r="AG358" s="226"/>
      <c r="AH358" s="226"/>
      <c r="AI358" s="226"/>
      <c r="AJ358" s="226"/>
      <c r="AL358" s="227"/>
      <c r="AM358" s="229"/>
      <c r="AO358" s="223">
        <v>0</v>
      </c>
      <c r="AP358" s="225" t="s">
        <v>1037</v>
      </c>
      <c r="AQ358" s="223">
        <v>79277417133</v>
      </c>
      <c r="AR358" s="225" t="s">
        <v>866</v>
      </c>
      <c r="AS358" s="224">
        <v>28018</v>
      </c>
      <c r="AT358" s="225" t="s">
        <v>888</v>
      </c>
      <c r="AU358" s="225" t="s">
        <v>910</v>
      </c>
      <c r="AV358" s="225" t="s">
        <v>902</v>
      </c>
      <c r="AW358" s="225" t="s">
        <v>172</v>
      </c>
      <c r="AX358" t="s">
        <v>2172</v>
      </c>
      <c r="AY358" s="224"/>
      <c r="BL358" s="223"/>
    </row>
    <row r="359" spans="1:64" x14ac:dyDescent="0.25">
      <c r="A359" s="223">
        <v>2088</v>
      </c>
      <c r="B359" s="223">
        <v>89</v>
      </c>
      <c r="C359" s="224">
        <v>45197</v>
      </c>
      <c r="D359" s="225" t="s">
        <v>1034</v>
      </c>
      <c r="E359" s="225" t="s">
        <v>859</v>
      </c>
      <c r="F359" s="225" t="s">
        <v>860</v>
      </c>
      <c r="G359" s="223" t="s">
        <v>926</v>
      </c>
      <c r="H359" s="224"/>
      <c r="I359" s="224">
        <v>45201</v>
      </c>
      <c r="J359" s="225" t="s">
        <v>2081</v>
      </c>
      <c r="K359" s="225" t="s">
        <v>98</v>
      </c>
      <c r="L359" s="225" t="s">
        <v>2</v>
      </c>
      <c r="M359" s="223">
        <v>8</v>
      </c>
      <c r="N359" s="223">
        <v>17</v>
      </c>
      <c r="O359" s="223">
        <v>524</v>
      </c>
      <c r="P359" s="223">
        <v>1</v>
      </c>
      <c r="Q359" s="223">
        <v>39.69</v>
      </c>
      <c r="R359" s="225" t="s">
        <v>12</v>
      </c>
      <c r="S359" s="230">
        <v>3797409.16</v>
      </c>
      <c r="T359" s="226">
        <v>95676.72</v>
      </c>
      <c r="U359" s="228"/>
      <c r="V359" s="226">
        <v>3797409.16</v>
      </c>
      <c r="W359" s="226">
        <v>95676.723607961714</v>
      </c>
      <c r="X359" s="228"/>
      <c r="Y359" s="228">
        <f>Юрист[[#This Row],[Итоговая цена м2 с отделкой]]-Юрист[[#This Row],[Итоговая цена м2 без отделки]]</f>
        <v>0</v>
      </c>
      <c r="Z359" s="226">
        <v>3797409.16</v>
      </c>
      <c r="AA359" s="223">
        <v>95676.723607961714</v>
      </c>
      <c r="AB359" s="225" t="s">
        <v>167</v>
      </c>
      <c r="AC359" s="226">
        <v>77498.149999999994</v>
      </c>
      <c r="AD359" s="225" t="s">
        <v>901</v>
      </c>
      <c r="AE359" s="225" t="s">
        <v>902</v>
      </c>
      <c r="AF359" s="226"/>
      <c r="AG359" s="226"/>
      <c r="AH359" s="226"/>
      <c r="AI359" s="226"/>
      <c r="AJ359" s="226"/>
      <c r="AL359" s="227"/>
      <c r="AM359" s="229"/>
      <c r="AO359" s="223">
        <v>0</v>
      </c>
      <c r="AP359" s="225" t="s">
        <v>1035</v>
      </c>
      <c r="AQ359" s="223">
        <v>79277681441</v>
      </c>
      <c r="AR359" s="225" t="s">
        <v>866</v>
      </c>
      <c r="AS359" s="224">
        <v>30359</v>
      </c>
      <c r="AT359" s="225" t="s">
        <v>987</v>
      </c>
      <c r="AU359" s="225" t="s">
        <v>899</v>
      </c>
      <c r="AV359" s="225" t="s">
        <v>902</v>
      </c>
      <c r="AW359" s="225" t="s">
        <v>172</v>
      </c>
      <c r="AX359" t="s">
        <v>2172</v>
      </c>
      <c r="AY359" s="224"/>
      <c r="BL359" s="223"/>
    </row>
    <row r="360" spans="1:64" x14ac:dyDescent="0.25">
      <c r="A360" s="223">
        <v>2084</v>
      </c>
      <c r="B360" s="223">
        <v>85</v>
      </c>
      <c r="C360" s="224">
        <v>45195</v>
      </c>
      <c r="D360" s="225" t="s">
        <v>1025</v>
      </c>
      <c r="E360" s="225" t="s">
        <v>859</v>
      </c>
      <c r="F360" s="225" t="s">
        <v>860</v>
      </c>
      <c r="G360" s="223" t="s">
        <v>861</v>
      </c>
      <c r="H360" s="224"/>
      <c r="I360" s="224">
        <v>45198</v>
      </c>
      <c r="J360" s="225" t="s">
        <v>1900</v>
      </c>
      <c r="K360" s="225" t="s">
        <v>98</v>
      </c>
      <c r="L360" s="225" t="s">
        <v>3</v>
      </c>
      <c r="M360" s="223">
        <v>7</v>
      </c>
      <c r="N360" s="223">
        <v>7</v>
      </c>
      <c r="O360" s="223">
        <v>270</v>
      </c>
      <c r="P360" s="223">
        <v>1</v>
      </c>
      <c r="Q360" s="223">
        <v>34.81</v>
      </c>
      <c r="R360" s="225" t="s">
        <v>13</v>
      </c>
      <c r="S360" s="230">
        <v>3039824.71</v>
      </c>
      <c r="T360" s="226">
        <v>87326.19</v>
      </c>
      <c r="U360" s="228">
        <v>30000</v>
      </c>
      <c r="V360" s="226">
        <v>3069824.71</v>
      </c>
      <c r="W360" s="226">
        <v>88188.012352772188</v>
      </c>
      <c r="X360" s="228">
        <v>139240</v>
      </c>
      <c r="Y360" s="228">
        <f>Юрист[[#This Row],[Итоговая цена м2 с отделкой]]-Юрист[[#This Row],[Итоговая цена м2 без отделки]]</f>
        <v>4000</v>
      </c>
      <c r="Z360" s="226">
        <v>2930584.71</v>
      </c>
      <c r="AA360" s="223">
        <v>84188.012352772188</v>
      </c>
      <c r="AB360" s="225" t="s">
        <v>1011</v>
      </c>
      <c r="AC360" s="226">
        <v>20000</v>
      </c>
      <c r="AD360" s="225" t="s">
        <v>862</v>
      </c>
      <c r="AE360" s="225" t="s">
        <v>863</v>
      </c>
      <c r="AF360" s="226">
        <v>1800824.71</v>
      </c>
      <c r="AG360" s="226">
        <v>1239000</v>
      </c>
      <c r="AH360" s="226"/>
      <c r="AI360" s="226"/>
      <c r="AJ360" s="226"/>
      <c r="AK360" s="223" t="s">
        <v>873</v>
      </c>
      <c r="AL360" s="227">
        <v>1.4E-2</v>
      </c>
      <c r="AM360" s="229">
        <v>0.06</v>
      </c>
      <c r="AO360" s="223">
        <v>0</v>
      </c>
      <c r="AP360" s="225" t="s">
        <v>1026</v>
      </c>
      <c r="AQ360" s="223">
        <v>79277915880</v>
      </c>
      <c r="AR360" s="225" t="s">
        <v>866</v>
      </c>
      <c r="AS360" s="224">
        <v>29508</v>
      </c>
      <c r="AT360" s="225" t="s">
        <v>913</v>
      </c>
      <c r="AU360" s="225" t="s">
        <v>899</v>
      </c>
      <c r="AV360" s="225" t="s">
        <v>879</v>
      </c>
      <c r="AW360" s="225" t="s">
        <v>172</v>
      </c>
      <c r="AX360" t="s">
        <v>2172</v>
      </c>
      <c r="AY360" s="224"/>
      <c r="BL360" s="223"/>
    </row>
    <row r="361" spans="1:64" x14ac:dyDescent="0.25">
      <c r="A361" s="223">
        <v>2083</v>
      </c>
      <c r="B361" s="223">
        <v>84</v>
      </c>
      <c r="C361" s="224">
        <v>45195</v>
      </c>
      <c r="D361" s="225" t="s">
        <v>1023</v>
      </c>
      <c r="E361" s="225" t="s">
        <v>859</v>
      </c>
      <c r="F361" s="225" t="s">
        <v>860</v>
      </c>
      <c r="G361" s="223" t="s">
        <v>861</v>
      </c>
      <c r="H361" s="224"/>
      <c r="I361" s="224">
        <v>45198</v>
      </c>
      <c r="J361" s="225" t="s">
        <v>2090</v>
      </c>
      <c r="K361" s="225" t="s">
        <v>98</v>
      </c>
      <c r="L361" s="225" t="s">
        <v>2</v>
      </c>
      <c r="M361" s="223">
        <v>7</v>
      </c>
      <c r="N361" s="223">
        <v>20</v>
      </c>
      <c r="O361" s="223">
        <v>547</v>
      </c>
      <c r="P361" s="223">
        <v>3</v>
      </c>
      <c r="Q361" s="223">
        <v>79.44</v>
      </c>
      <c r="R361" s="225" t="s">
        <v>14</v>
      </c>
      <c r="S361" s="230">
        <v>7850626.8799999999</v>
      </c>
      <c r="T361" s="226">
        <v>98824.61</v>
      </c>
      <c r="U361" s="228">
        <v>15000</v>
      </c>
      <c r="V361" s="226">
        <v>7865626.8799999999</v>
      </c>
      <c r="W361" s="226">
        <v>99013.4300100705</v>
      </c>
      <c r="X361" s="228">
        <v>1231320</v>
      </c>
      <c r="Y361" s="228">
        <f>Юрист[[#This Row],[Итоговая цена м2 с отделкой]]-Юрист[[#This Row],[Итоговая цена м2 без отделки]]</f>
        <v>15500</v>
      </c>
      <c r="Z361" s="226">
        <v>6634306.8799999999</v>
      </c>
      <c r="AA361" s="223">
        <v>83513.4300100705</v>
      </c>
      <c r="AB361" s="225"/>
      <c r="AD361" s="225" t="s">
        <v>862</v>
      </c>
      <c r="AE361" s="225" t="s">
        <v>863</v>
      </c>
      <c r="AF361" s="226">
        <v>2000000</v>
      </c>
      <c r="AG361" s="226">
        <v>5263680.16</v>
      </c>
      <c r="AH361" s="226">
        <v>586946.72</v>
      </c>
      <c r="AI361" s="226"/>
      <c r="AJ361" s="226"/>
      <c r="AK361" s="223" t="s">
        <v>873</v>
      </c>
      <c r="AL361" s="227">
        <v>1.4E-2</v>
      </c>
      <c r="AM361" s="229">
        <v>0.06</v>
      </c>
      <c r="AO361" s="223">
        <v>0</v>
      </c>
      <c r="AP361" s="225" t="s">
        <v>1024</v>
      </c>
      <c r="AQ361" s="223">
        <v>79270008736</v>
      </c>
      <c r="AR361" s="225" t="s">
        <v>866</v>
      </c>
      <c r="AS361" s="224">
        <v>32118</v>
      </c>
      <c r="AT361" s="225" t="s">
        <v>878</v>
      </c>
      <c r="AU361" s="225" t="s">
        <v>889</v>
      </c>
      <c r="AV361" s="225" t="s">
        <v>869</v>
      </c>
      <c r="AW361" s="225" t="s">
        <v>172</v>
      </c>
      <c r="AX361" t="s">
        <v>2172</v>
      </c>
      <c r="AY361" s="224"/>
      <c r="BL361" s="223"/>
    </row>
    <row r="362" spans="1:64" x14ac:dyDescent="0.25">
      <c r="A362" s="223">
        <v>2085</v>
      </c>
      <c r="B362" s="223">
        <v>86</v>
      </c>
      <c r="C362" s="224">
        <v>45195</v>
      </c>
      <c r="D362" s="225" t="s">
        <v>1027</v>
      </c>
      <c r="E362" s="225" t="s">
        <v>859</v>
      </c>
      <c r="F362" s="225" t="s">
        <v>860</v>
      </c>
      <c r="G362" s="223" t="s">
        <v>861</v>
      </c>
      <c r="H362" s="224"/>
      <c r="I362" s="224">
        <v>45198</v>
      </c>
      <c r="J362" s="225" t="s">
        <v>1796</v>
      </c>
      <c r="K362" s="225" t="s">
        <v>98</v>
      </c>
      <c r="L362" s="225" t="s">
        <v>4</v>
      </c>
      <c r="M362" s="223">
        <v>2</v>
      </c>
      <c r="N362" s="223">
        <v>2</v>
      </c>
      <c r="O362" s="223">
        <v>119</v>
      </c>
      <c r="P362" s="223">
        <v>0</v>
      </c>
      <c r="Q362" s="223">
        <v>24.28</v>
      </c>
      <c r="R362" s="225" t="s">
        <v>14</v>
      </c>
      <c r="S362" s="230">
        <v>2573383</v>
      </c>
      <c r="T362" s="226">
        <v>105987.77</v>
      </c>
      <c r="U362" s="228">
        <v>15000</v>
      </c>
      <c r="V362" s="226">
        <v>2588383</v>
      </c>
      <c r="W362" s="226">
        <v>106605.56013179572</v>
      </c>
      <c r="X362" s="228">
        <v>376340</v>
      </c>
      <c r="Y362" s="228">
        <f>Юрист[[#This Row],[Итоговая цена м2 с отделкой]]-Юрист[[#This Row],[Итоговая цена м2 без отделки]]</f>
        <v>15500</v>
      </c>
      <c r="Z362" s="226">
        <v>2212043</v>
      </c>
      <c r="AA362" s="223">
        <v>91105.560131795719</v>
      </c>
      <c r="AB362" s="225"/>
      <c r="AD362" s="225" t="s">
        <v>862</v>
      </c>
      <c r="AE362" s="225" t="s">
        <v>863</v>
      </c>
      <c r="AF362" s="226">
        <v>500000</v>
      </c>
      <c r="AG362" s="226">
        <v>2073383</v>
      </c>
      <c r="AH362" s="226"/>
      <c r="AI362" s="226"/>
      <c r="AJ362" s="226"/>
      <c r="AK362" s="223" t="s">
        <v>873</v>
      </c>
      <c r="AL362" s="227">
        <v>1.4E-2</v>
      </c>
      <c r="AM362" s="229">
        <v>0.06</v>
      </c>
      <c r="AO362" s="223">
        <v>0</v>
      </c>
      <c r="AP362" s="225" t="s">
        <v>1028</v>
      </c>
      <c r="AQ362" s="223">
        <v>79171321800</v>
      </c>
      <c r="AR362" s="225" t="s">
        <v>866</v>
      </c>
      <c r="AS362" s="224">
        <v>31378</v>
      </c>
      <c r="AT362" s="225" t="s">
        <v>970</v>
      </c>
      <c r="AU362" s="225" t="s">
        <v>910</v>
      </c>
      <c r="AV362" s="225" t="s">
        <v>869</v>
      </c>
      <c r="AW362" s="225" t="s">
        <v>172</v>
      </c>
      <c r="AX362" t="s">
        <v>2172</v>
      </c>
      <c r="AY362" s="224"/>
      <c r="BL362" s="223"/>
    </row>
    <row r="363" spans="1:64" s="244" customFormat="1" x14ac:dyDescent="0.25">
      <c r="A363" s="223">
        <v>2087</v>
      </c>
      <c r="B363" s="223">
        <v>88</v>
      </c>
      <c r="C363" s="224">
        <v>45195</v>
      </c>
      <c r="D363" s="225" t="s">
        <v>1032</v>
      </c>
      <c r="E363" s="225" t="s">
        <v>859</v>
      </c>
      <c r="F363" s="225" t="s">
        <v>860</v>
      </c>
      <c r="G363" s="223" t="s">
        <v>861</v>
      </c>
      <c r="H363" s="224"/>
      <c r="I363" s="224">
        <v>45198</v>
      </c>
      <c r="J363" s="225" t="s">
        <v>2023</v>
      </c>
      <c r="K363" s="225" t="s">
        <v>98</v>
      </c>
      <c r="L363" s="225" t="s">
        <v>2</v>
      </c>
      <c r="M363" s="223">
        <v>1</v>
      </c>
      <c r="N363" s="223">
        <v>9</v>
      </c>
      <c r="O363" s="223">
        <v>453</v>
      </c>
      <c r="P363" s="223">
        <v>0</v>
      </c>
      <c r="Q363" s="223">
        <v>29.4</v>
      </c>
      <c r="R363" s="225" t="s">
        <v>12</v>
      </c>
      <c r="S363" s="230">
        <v>2611993.7799999998</v>
      </c>
      <c r="T363" s="226">
        <v>88843.33</v>
      </c>
      <c r="U363" s="228">
        <v>15000</v>
      </c>
      <c r="V363" s="226">
        <v>2626993.7799999998</v>
      </c>
      <c r="W363" s="226">
        <v>89353.529931972793</v>
      </c>
      <c r="X363" s="228"/>
      <c r="Y363" s="228">
        <f>Юрист[[#This Row],[Итоговая цена м2 с отделкой]]-Юрист[[#This Row],[Итоговая цена м2 без отделки]]</f>
        <v>0</v>
      </c>
      <c r="Z363" s="226">
        <v>2626993.7799999998</v>
      </c>
      <c r="AA363" s="223">
        <v>89353.529931972793</v>
      </c>
      <c r="AB363" s="225"/>
      <c r="AC363" s="226"/>
      <c r="AD363" s="225" t="s">
        <v>936</v>
      </c>
      <c r="AE363" s="225" t="s">
        <v>902</v>
      </c>
      <c r="AF363" s="226"/>
      <c r="AG363" s="226"/>
      <c r="AH363" s="226"/>
      <c r="AI363" s="226"/>
      <c r="AJ363" s="226"/>
      <c r="AK363" s="223"/>
      <c r="AL363" s="227"/>
      <c r="AM363" s="229"/>
      <c r="AN363" s="223"/>
      <c r="AO363" s="223">
        <v>0</v>
      </c>
      <c r="AP363" s="225" t="s">
        <v>1033</v>
      </c>
      <c r="AQ363" s="223">
        <v>79270214200</v>
      </c>
      <c r="AR363" s="225" t="s">
        <v>866</v>
      </c>
      <c r="AS363" s="224">
        <v>22207</v>
      </c>
      <c r="AT363" s="225" t="s">
        <v>885</v>
      </c>
      <c r="AU363" s="225" t="s">
        <v>889</v>
      </c>
      <c r="AV363" s="225" t="s">
        <v>902</v>
      </c>
      <c r="AW363" s="225" t="s">
        <v>172</v>
      </c>
      <c r="AX363" t="s">
        <v>2172</v>
      </c>
      <c r="AY363" s="224"/>
      <c r="AZ363" s="223"/>
    </row>
    <row r="364" spans="1:64" x14ac:dyDescent="0.25">
      <c r="A364" s="223">
        <v>2086</v>
      </c>
      <c r="B364" s="223">
        <v>87</v>
      </c>
      <c r="C364" s="224">
        <v>45195</v>
      </c>
      <c r="D364" s="225" t="s">
        <v>1029</v>
      </c>
      <c r="E364" s="225" t="s">
        <v>859</v>
      </c>
      <c r="F364" s="225" t="s">
        <v>1030</v>
      </c>
      <c r="H364" s="224">
        <v>45202</v>
      </c>
      <c r="I364" s="224">
        <v>45202</v>
      </c>
      <c r="J364" s="225" t="s">
        <v>1967</v>
      </c>
      <c r="K364" s="225" t="s">
        <v>98</v>
      </c>
      <c r="L364" s="225" t="s">
        <v>3</v>
      </c>
      <c r="M364" s="223">
        <v>2</v>
      </c>
      <c r="N364" s="223">
        <v>24</v>
      </c>
      <c r="O364" s="223">
        <v>384</v>
      </c>
      <c r="P364" s="223">
        <v>0</v>
      </c>
      <c r="Q364" s="223">
        <v>24.53</v>
      </c>
      <c r="R364" s="225" t="s">
        <v>14</v>
      </c>
      <c r="S364" s="230">
        <v>2814920.87</v>
      </c>
      <c r="T364" s="226">
        <v>114754.21</v>
      </c>
      <c r="U364" s="228">
        <v>15000</v>
      </c>
      <c r="V364" s="226">
        <v>2829920.87</v>
      </c>
      <c r="W364" s="226">
        <v>115365.71015083572</v>
      </c>
      <c r="X364" s="228">
        <v>380215</v>
      </c>
      <c r="Y364" s="228">
        <f>Юрист[[#This Row],[Итоговая цена м2 с отделкой]]-Юрист[[#This Row],[Итоговая цена м2 без отделки]]</f>
        <v>15500</v>
      </c>
      <c r="Z364" s="226">
        <v>2449705.87</v>
      </c>
      <c r="AA364" s="223">
        <v>99865.710150835715</v>
      </c>
      <c r="AB364" s="225"/>
      <c r="AD364" s="225" t="s">
        <v>862</v>
      </c>
      <c r="AE364" s="225" t="s">
        <v>863</v>
      </c>
      <c r="AF364" s="226">
        <v>423000</v>
      </c>
      <c r="AG364" s="226">
        <v>2391920.87</v>
      </c>
      <c r="AH364" s="226"/>
      <c r="AI364" s="226"/>
      <c r="AJ364" s="226"/>
      <c r="AK364" s="223" t="s">
        <v>864</v>
      </c>
      <c r="AL364" s="227">
        <v>1.4E-2</v>
      </c>
      <c r="AM364" s="229">
        <v>0.04</v>
      </c>
      <c r="AO364" s="223">
        <v>0</v>
      </c>
      <c r="AP364" s="225" t="s">
        <v>1031</v>
      </c>
      <c r="AQ364" s="223">
        <v>79271035571</v>
      </c>
      <c r="AR364" s="225" t="s">
        <v>882</v>
      </c>
      <c r="AS364" s="224">
        <v>32441</v>
      </c>
      <c r="AT364" s="225" t="s">
        <v>907</v>
      </c>
      <c r="AU364" s="225" t="s">
        <v>889</v>
      </c>
      <c r="AV364" s="225" t="s">
        <v>869</v>
      </c>
      <c r="AW364" s="225" t="s">
        <v>172</v>
      </c>
      <c r="AX364" t="s">
        <v>2172</v>
      </c>
      <c r="AY364" s="224"/>
      <c r="BL364" s="223"/>
    </row>
    <row r="365" spans="1:64" x14ac:dyDescent="0.25">
      <c r="A365" s="223">
        <v>2079</v>
      </c>
      <c r="B365" s="223">
        <v>80</v>
      </c>
      <c r="C365" s="224">
        <v>45194</v>
      </c>
      <c r="D365" s="225" t="s">
        <v>2196</v>
      </c>
      <c r="E365" s="225" t="s">
        <v>859</v>
      </c>
      <c r="F365" s="225" t="s">
        <v>860</v>
      </c>
      <c r="G365" s="223" t="s">
        <v>926</v>
      </c>
      <c r="H365" s="224"/>
      <c r="I365" s="224">
        <v>45197</v>
      </c>
      <c r="J365" s="225" t="s">
        <v>2197</v>
      </c>
      <c r="K365" s="225" t="s">
        <v>98</v>
      </c>
      <c r="L365" s="225" t="s">
        <v>5</v>
      </c>
      <c r="M365" s="223">
        <v>1</v>
      </c>
      <c r="N365" s="223">
        <v>2</v>
      </c>
      <c r="O365" s="223">
        <v>7</v>
      </c>
      <c r="P365" s="223">
        <v>1</v>
      </c>
      <c r="Q365" s="223">
        <v>34.39</v>
      </c>
      <c r="R365" s="225" t="s">
        <v>12</v>
      </c>
      <c r="S365" s="230">
        <v>2823142.81</v>
      </c>
      <c r="T365" s="226">
        <v>82091.97</v>
      </c>
      <c r="U365" s="228">
        <v>30000</v>
      </c>
      <c r="V365" s="226">
        <v>2853142.81</v>
      </c>
      <c r="W365" s="226">
        <v>82964.315498691474</v>
      </c>
      <c r="X365" s="228"/>
      <c r="Y365" s="228">
        <f>Юрист[[#This Row],[Итоговая цена м2 с отделкой]]-Юрист[[#This Row],[Итоговая цена м2 без отделки]]</f>
        <v>0</v>
      </c>
      <c r="Z365" s="226">
        <v>2853142.81</v>
      </c>
      <c r="AA365" s="223">
        <v>82964.315498691474</v>
      </c>
      <c r="AB365" s="225" t="s">
        <v>1011</v>
      </c>
      <c r="AC365" s="226">
        <v>20000</v>
      </c>
      <c r="AD365" s="225" t="s">
        <v>901</v>
      </c>
      <c r="AE365" s="225" t="s">
        <v>902</v>
      </c>
      <c r="AF365" s="226"/>
      <c r="AG365" s="226"/>
      <c r="AH365" s="226"/>
      <c r="AI365" s="226"/>
      <c r="AJ365" s="226"/>
      <c r="AL365" s="227"/>
      <c r="AM365" s="229"/>
      <c r="AO365" s="223">
        <v>0</v>
      </c>
      <c r="AP365" s="225" t="s">
        <v>2198</v>
      </c>
      <c r="AQ365" s="223">
        <v>79272690253</v>
      </c>
      <c r="AR365" s="225" t="s">
        <v>882</v>
      </c>
      <c r="AS365" s="224">
        <v>27929</v>
      </c>
      <c r="AT365" s="225" t="s">
        <v>907</v>
      </c>
      <c r="AU365" s="225" t="s">
        <v>899</v>
      </c>
      <c r="AV365" s="225" t="s">
        <v>902</v>
      </c>
      <c r="AW365" s="225" t="s">
        <v>2195</v>
      </c>
      <c r="AX365" t="s">
        <v>2172</v>
      </c>
      <c r="AY365" s="224">
        <v>45742</v>
      </c>
      <c r="BL365" s="223"/>
    </row>
    <row r="366" spans="1:64" x14ac:dyDescent="0.25">
      <c r="A366" s="223">
        <v>2078</v>
      </c>
      <c r="B366" s="223">
        <v>79</v>
      </c>
      <c r="C366" s="224">
        <v>45194</v>
      </c>
      <c r="D366" s="225" t="s">
        <v>1015</v>
      </c>
      <c r="E366" s="225" t="s">
        <v>859</v>
      </c>
      <c r="F366" s="225" t="s">
        <v>860</v>
      </c>
      <c r="G366" s="223" t="s">
        <v>926</v>
      </c>
      <c r="H366" s="224"/>
      <c r="I366" s="224">
        <v>45197</v>
      </c>
      <c r="J366" s="225" t="s">
        <v>1921</v>
      </c>
      <c r="K366" s="225" t="s">
        <v>98</v>
      </c>
      <c r="L366" s="225" t="s">
        <v>3</v>
      </c>
      <c r="M366" s="223">
        <v>2</v>
      </c>
      <c r="N366" s="223">
        <v>12</v>
      </c>
      <c r="O366" s="223">
        <v>300</v>
      </c>
      <c r="P366" s="223">
        <v>0</v>
      </c>
      <c r="Q366" s="223">
        <v>24.53</v>
      </c>
      <c r="R366" s="225" t="s">
        <v>12</v>
      </c>
      <c r="S366" s="230">
        <v>2247796.6800000002</v>
      </c>
      <c r="T366" s="226">
        <v>91634.6</v>
      </c>
      <c r="U366" s="228">
        <v>30000</v>
      </c>
      <c r="V366" s="226">
        <v>2277796.6800000002</v>
      </c>
      <c r="W366" s="226">
        <v>92857.589889930707</v>
      </c>
      <c r="X366" s="228"/>
      <c r="Y366" s="228">
        <f>Юрист[[#This Row],[Итоговая цена м2 с отделкой]]-Юрист[[#This Row],[Итоговая цена м2 без отделки]]</f>
        <v>0</v>
      </c>
      <c r="Z366" s="226">
        <v>2277796.6800000002</v>
      </c>
      <c r="AA366" s="223">
        <v>92857.589889930707</v>
      </c>
      <c r="AB366" s="225"/>
      <c r="AD366" s="225" t="s">
        <v>901</v>
      </c>
      <c r="AE366" s="225" t="s">
        <v>902</v>
      </c>
      <c r="AF366" s="226"/>
      <c r="AG366" s="226"/>
      <c r="AH366" s="226"/>
      <c r="AI366" s="226"/>
      <c r="AJ366" s="226"/>
      <c r="AL366" s="227"/>
      <c r="AM366" s="229"/>
      <c r="AO366" s="223">
        <v>0</v>
      </c>
      <c r="AP366" s="225" t="s">
        <v>1016</v>
      </c>
      <c r="AQ366" s="223">
        <v>79608083310</v>
      </c>
      <c r="AR366" s="225" t="s">
        <v>866</v>
      </c>
      <c r="AS366" s="224">
        <v>20595</v>
      </c>
      <c r="AT366" s="225" t="s">
        <v>907</v>
      </c>
      <c r="AU366" s="225" t="s">
        <v>910</v>
      </c>
      <c r="AV366" s="225" t="s">
        <v>902</v>
      </c>
      <c r="AW366" s="225" t="s">
        <v>172</v>
      </c>
      <c r="AX366" t="s">
        <v>2172</v>
      </c>
      <c r="AY366" s="224"/>
      <c r="BL366" s="223"/>
    </row>
    <row r="367" spans="1:64" x14ac:dyDescent="0.25">
      <c r="A367" s="223">
        <v>2082</v>
      </c>
      <c r="B367" s="223">
        <v>83</v>
      </c>
      <c r="C367" s="224">
        <v>45194</v>
      </c>
      <c r="D367" s="225" t="s">
        <v>1020</v>
      </c>
      <c r="E367" s="225" t="s">
        <v>859</v>
      </c>
      <c r="F367" s="225" t="s">
        <v>860</v>
      </c>
      <c r="G367" s="223" t="s">
        <v>861</v>
      </c>
      <c r="H367" s="224"/>
      <c r="I367" s="224">
        <v>45197</v>
      </c>
      <c r="J367" s="225" t="s">
        <v>1857</v>
      </c>
      <c r="K367" s="225" t="s">
        <v>98</v>
      </c>
      <c r="L367" s="225" t="s">
        <v>4</v>
      </c>
      <c r="M367" s="223">
        <v>7</v>
      </c>
      <c r="N367" s="223">
        <v>14</v>
      </c>
      <c r="O367" s="223">
        <v>208</v>
      </c>
      <c r="P367" s="223">
        <v>1</v>
      </c>
      <c r="Q367" s="223">
        <v>42.28</v>
      </c>
      <c r="R367" s="225" t="s">
        <v>12</v>
      </c>
      <c r="S367" s="230">
        <v>3788495.9</v>
      </c>
      <c r="T367" s="226">
        <v>89604.92</v>
      </c>
      <c r="U367" s="228"/>
      <c r="V367" s="226">
        <v>3788495.9</v>
      </c>
      <c r="W367" s="226">
        <v>89604.917218543036</v>
      </c>
      <c r="X367" s="228"/>
      <c r="Y367" s="228">
        <f>Юрист[[#This Row],[Итоговая цена м2 с отделкой]]-Юрист[[#This Row],[Итоговая цена м2 без отделки]]</f>
        <v>0</v>
      </c>
      <c r="Z367" s="226">
        <v>3788495.9</v>
      </c>
      <c r="AA367" s="223">
        <v>89604.917218543036</v>
      </c>
      <c r="AB367" s="225" t="s">
        <v>162</v>
      </c>
      <c r="AC367" s="226">
        <v>241818.89</v>
      </c>
      <c r="AD367" s="225" t="s">
        <v>862</v>
      </c>
      <c r="AE367" s="225" t="s">
        <v>863</v>
      </c>
      <c r="AF367" s="226">
        <v>2500000</v>
      </c>
      <c r="AG367" s="226">
        <v>1288495.8999999999</v>
      </c>
      <c r="AH367" s="226"/>
      <c r="AI367" s="226"/>
      <c r="AJ367" s="226"/>
      <c r="AK367" s="223" t="s">
        <v>873</v>
      </c>
      <c r="AL367" s="227">
        <v>1.4E-2</v>
      </c>
      <c r="AM367" s="229">
        <v>6.3E-2</v>
      </c>
      <c r="AO367" s="223">
        <v>0</v>
      </c>
      <c r="AP367" s="225" t="s">
        <v>1021</v>
      </c>
      <c r="AQ367" s="223">
        <v>79871578824</v>
      </c>
      <c r="AR367" s="225" t="s">
        <v>882</v>
      </c>
      <c r="AS367" s="224">
        <v>33618</v>
      </c>
      <c r="AT367" s="225" t="s">
        <v>1022</v>
      </c>
      <c r="AU367" s="225" t="s">
        <v>899</v>
      </c>
      <c r="AV367" s="225" t="s">
        <v>869</v>
      </c>
      <c r="AW367" s="225" t="s">
        <v>172</v>
      </c>
      <c r="AX367" t="s">
        <v>2172</v>
      </c>
      <c r="AY367" s="224"/>
      <c r="BL367" s="223"/>
    </row>
    <row r="368" spans="1:64" x14ac:dyDescent="0.25">
      <c r="A368" s="223">
        <v>2080</v>
      </c>
      <c r="B368" s="223">
        <v>81</v>
      </c>
      <c r="C368" s="224">
        <v>45194</v>
      </c>
      <c r="D368" s="225" t="s">
        <v>1017</v>
      </c>
      <c r="E368" s="225" t="s">
        <v>859</v>
      </c>
      <c r="F368" s="225" t="s">
        <v>860</v>
      </c>
      <c r="G368" s="223" t="s">
        <v>926</v>
      </c>
      <c r="H368" s="224"/>
      <c r="I368" s="224">
        <v>45197</v>
      </c>
      <c r="J368" s="225" t="s">
        <v>2004</v>
      </c>
      <c r="K368" s="225" t="s">
        <v>98</v>
      </c>
      <c r="L368" s="225" t="s">
        <v>2</v>
      </c>
      <c r="M368" s="223">
        <v>3</v>
      </c>
      <c r="N368" s="223">
        <v>6</v>
      </c>
      <c r="O368" s="223">
        <v>431</v>
      </c>
      <c r="P368" s="223">
        <v>0</v>
      </c>
      <c r="Q368" s="223">
        <v>24.5</v>
      </c>
      <c r="R368" s="225" t="s">
        <v>12</v>
      </c>
      <c r="S368" s="230">
        <v>1867086.22</v>
      </c>
      <c r="T368" s="226">
        <v>76207.600000000006</v>
      </c>
      <c r="U368" s="228">
        <v>15000</v>
      </c>
      <c r="V368" s="226">
        <v>1882086.22</v>
      </c>
      <c r="W368" s="226">
        <v>76819.845714285708</v>
      </c>
      <c r="X368" s="228"/>
      <c r="Y368" s="228">
        <f>Юрист[[#This Row],[Итоговая цена м2 с отделкой]]-Юрист[[#This Row],[Итоговая цена м2 без отделки]]</f>
        <v>0</v>
      </c>
      <c r="Z368" s="226">
        <v>1882086.22</v>
      </c>
      <c r="AA368" s="223">
        <v>76819.845714285708</v>
      </c>
      <c r="AB368" s="225" t="s">
        <v>163</v>
      </c>
      <c r="AC368" s="226">
        <v>350000</v>
      </c>
      <c r="AD368" s="225" t="s">
        <v>862</v>
      </c>
      <c r="AE368" s="225" t="s">
        <v>1018</v>
      </c>
      <c r="AF368" s="226">
        <v>283000</v>
      </c>
      <c r="AG368" s="226">
        <v>1584086.22</v>
      </c>
      <c r="AH368" s="226"/>
      <c r="AI368" s="226"/>
      <c r="AJ368" s="226"/>
      <c r="AK368" s="223" t="s">
        <v>873</v>
      </c>
      <c r="AL368" s="227"/>
      <c r="AM368" s="229">
        <v>7.6999999999999999E-2</v>
      </c>
      <c r="AO368" s="223">
        <v>0</v>
      </c>
      <c r="AP368" s="225" t="s">
        <v>1019</v>
      </c>
      <c r="AQ368" s="223">
        <v>79277573211</v>
      </c>
      <c r="AR368" s="225" t="s">
        <v>866</v>
      </c>
      <c r="AS368" s="224">
        <v>25401</v>
      </c>
      <c r="AT368" s="225" t="s">
        <v>885</v>
      </c>
      <c r="AU368" s="225" t="s">
        <v>889</v>
      </c>
      <c r="AV368" s="225" t="s">
        <v>869</v>
      </c>
      <c r="AW368" s="225" t="s">
        <v>172</v>
      </c>
      <c r="AX368" t="s">
        <v>2172</v>
      </c>
      <c r="AY368" s="224"/>
      <c r="BL368" s="223"/>
    </row>
    <row r="369" spans="1:64" s="244" customFormat="1" x14ac:dyDescent="0.25">
      <c r="A369" s="223">
        <v>2073</v>
      </c>
      <c r="B369" s="223">
        <v>74</v>
      </c>
      <c r="C369" s="224">
        <v>45191</v>
      </c>
      <c r="D369" s="225" t="s">
        <v>1008</v>
      </c>
      <c r="E369" s="225" t="s">
        <v>859</v>
      </c>
      <c r="F369" s="225" t="s">
        <v>860</v>
      </c>
      <c r="G369" s="223" t="s">
        <v>861</v>
      </c>
      <c r="H369" s="224"/>
      <c r="I369" s="224">
        <v>45196</v>
      </c>
      <c r="J369" s="225" t="s">
        <v>1762</v>
      </c>
      <c r="K369" s="225" t="s">
        <v>98</v>
      </c>
      <c r="L369" s="225" t="s">
        <v>5</v>
      </c>
      <c r="M369" s="223">
        <v>1</v>
      </c>
      <c r="N369" s="223">
        <v>10</v>
      </c>
      <c r="O369" s="223">
        <v>63</v>
      </c>
      <c r="P369" s="223">
        <v>1</v>
      </c>
      <c r="Q369" s="223">
        <v>34.39</v>
      </c>
      <c r="R369" s="225" t="s">
        <v>14</v>
      </c>
      <c r="S369" s="230">
        <v>3192578.17</v>
      </c>
      <c r="T369" s="226">
        <v>92834.49</v>
      </c>
      <c r="U369" s="228">
        <v>15000</v>
      </c>
      <c r="V369" s="226">
        <v>3207578.17</v>
      </c>
      <c r="W369" s="226">
        <v>93270.665018900836</v>
      </c>
      <c r="X369" s="228">
        <v>533045</v>
      </c>
      <c r="Y369" s="228">
        <f>Юрист[[#This Row],[Итоговая цена м2 с отделкой]]-Юрист[[#This Row],[Итоговая цена м2 без отделки]]</f>
        <v>15500</v>
      </c>
      <c r="Z369" s="226">
        <v>2674533.17</v>
      </c>
      <c r="AA369" s="223">
        <v>77770.665018900836</v>
      </c>
      <c r="AB369" s="225" t="s">
        <v>162</v>
      </c>
      <c r="AC369" s="226">
        <v>170714.88</v>
      </c>
      <c r="AD369" s="225" t="s">
        <v>862</v>
      </c>
      <c r="AE369" s="225" t="s">
        <v>863</v>
      </c>
      <c r="AF369" s="226"/>
      <c r="AG369" s="226">
        <v>2605631.4500000002</v>
      </c>
      <c r="AH369" s="226">
        <v>586946.72</v>
      </c>
      <c r="AI369" s="226"/>
      <c r="AJ369" s="226"/>
      <c r="AK369" s="223" t="s">
        <v>864</v>
      </c>
      <c r="AL369" s="227">
        <v>1.4E-2</v>
      </c>
      <c r="AM369" s="229">
        <v>0.04</v>
      </c>
      <c r="AN369" s="223"/>
      <c r="AO369" s="223">
        <v>0</v>
      </c>
      <c r="AP369" s="225" t="s">
        <v>1009</v>
      </c>
      <c r="AQ369" s="223">
        <v>79879692465</v>
      </c>
      <c r="AR369" s="225" t="s">
        <v>882</v>
      </c>
      <c r="AS369" s="224">
        <v>32274</v>
      </c>
      <c r="AT369" s="225" t="s">
        <v>878</v>
      </c>
      <c r="AU369" s="225" t="s">
        <v>889</v>
      </c>
      <c r="AV369" s="225" t="s">
        <v>869</v>
      </c>
      <c r="AW369" s="225" t="s">
        <v>172</v>
      </c>
      <c r="AX369" t="s">
        <v>2172</v>
      </c>
      <c r="AY369" s="224"/>
      <c r="AZ369" s="223"/>
    </row>
    <row r="370" spans="1:64" s="244" customFormat="1" x14ac:dyDescent="0.25">
      <c r="A370" s="223">
        <v>2074</v>
      </c>
      <c r="B370" s="223">
        <v>75</v>
      </c>
      <c r="C370" s="224">
        <v>45191</v>
      </c>
      <c r="D370" s="225" t="s">
        <v>1010</v>
      </c>
      <c r="E370" s="225" t="s">
        <v>859</v>
      </c>
      <c r="F370" s="225" t="s">
        <v>860</v>
      </c>
      <c r="G370" s="223" t="s">
        <v>926</v>
      </c>
      <c r="H370" s="224"/>
      <c r="I370" s="224">
        <v>45196</v>
      </c>
      <c r="J370" s="225" t="s">
        <v>1885</v>
      </c>
      <c r="K370" s="225" t="s">
        <v>98</v>
      </c>
      <c r="L370" s="225" t="s">
        <v>3</v>
      </c>
      <c r="M370" s="223">
        <v>2</v>
      </c>
      <c r="N370" s="223">
        <v>5</v>
      </c>
      <c r="O370" s="223">
        <v>251</v>
      </c>
      <c r="P370" s="223">
        <v>0</v>
      </c>
      <c r="Q370" s="223">
        <v>24.53</v>
      </c>
      <c r="R370" s="225" t="s">
        <v>12</v>
      </c>
      <c r="S370" s="230">
        <v>2199819.39</v>
      </c>
      <c r="T370" s="226">
        <v>89678.74</v>
      </c>
      <c r="U370" s="228">
        <v>15000</v>
      </c>
      <c r="V370" s="226">
        <v>2214819.39</v>
      </c>
      <c r="W370" s="226">
        <v>90290.231960864243</v>
      </c>
      <c r="X370" s="228"/>
      <c r="Y370" s="228">
        <f>Юрист[[#This Row],[Итоговая цена м2 с отделкой]]-Юрист[[#This Row],[Итоговая цена м2 без отделки]]</f>
        <v>0</v>
      </c>
      <c r="Z370" s="226">
        <v>2214819.39</v>
      </c>
      <c r="AA370" s="223">
        <v>90290.231960864243</v>
      </c>
      <c r="AB370" s="225" t="s">
        <v>1011</v>
      </c>
      <c r="AC370" s="226">
        <v>20000</v>
      </c>
      <c r="AD370" s="225" t="s">
        <v>901</v>
      </c>
      <c r="AE370" s="225" t="s">
        <v>902</v>
      </c>
      <c r="AF370" s="226"/>
      <c r="AG370" s="226"/>
      <c r="AH370" s="226"/>
      <c r="AI370" s="226"/>
      <c r="AJ370" s="226"/>
      <c r="AK370" s="223"/>
      <c r="AL370" s="227"/>
      <c r="AM370" s="229"/>
      <c r="AN370" s="223"/>
      <c r="AO370" s="223">
        <v>0</v>
      </c>
      <c r="AP370" s="225" t="s">
        <v>1012</v>
      </c>
      <c r="AQ370" s="223">
        <v>79376507686</v>
      </c>
      <c r="AR370" s="225" t="s">
        <v>866</v>
      </c>
      <c r="AS370" s="224">
        <v>38176</v>
      </c>
      <c r="AT370" s="225" t="s">
        <v>878</v>
      </c>
      <c r="AU370" s="225" t="s">
        <v>868</v>
      </c>
      <c r="AV370" s="225" t="s">
        <v>902</v>
      </c>
      <c r="AW370" s="225" t="s">
        <v>172</v>
      </c>
      <c r="AX370" t="s">
        <v>2172</v>
      </c>
      <c r="AY370" s="224"/>
      <c r="AZ370" s="223"/>
    </row>
    <row r="371" spans="1:64" x14ac:dyDescent="0.25">
      <c r="A371" s="223">
        <v>2075</v>
      </c>
      <c r="B371" s="223">
        <v>76</v>
      </c>
      <c r="C371" s="224">
        <v>45191</v>
      </c>
      <c r="D371" s="225" t="s">
        <v>1013</v>
      </c>
      <c r="E371" s="225" t="s">
        <v>859</v>
      </c>
      <c r="F371" s="225" t="s">
        <v>860</v>
      </c>
      <c r="G371" s="223" t="s">
        <v>861</v>
      </c>
      <c r="H371" s="224"/>
      <c r="I371" s="224">
        <v>45196</v>
      </c>
      <c r="J371" s="225" t="s">
        <v>1877</v>
      </c>
      <c r="K371" s="225" t="s">
        <v>98</v>
      </c>
      <c r="L371" s="225" t="s">
        <v>3</v>
      </c>
      <c r="M371" s="223">
        <v>3</v>
      </c>
      <c r="N371" s="223">
        <v>3</v>
      </c>
      <c r="O371" s="223">
        <v>238</v>
      </c>
      <c r="P371" s="223">
        <v>2</v>
      </c>
      <c r="Q371" s="223">
        <v>56.58</v>
      </c>
      <c r="R371" s="225" t="s">
        <v>13</v>
      </c>
      <c r="S371" s="230">
        <v>5338489.91</v>
      </c>
      <c r="T371" s="226">
        <v>94352.95</v>
      </c>
      <c r="U371" s="228"/>
      <c r="V371" s="226">
        <v>5338489.91</v>
      </c>
      <c r="W371" s="226">
        <v>94352.94998232591</v>
      </c>
      <c r="X371" s="228">
        <v>424350</v>
      </c>
      <c r="Y371" s="228">
        <f>Юрист[[#This Row],[Итоговая цена м2 с отделкой]]-Юрист[[#This Row],[Итоговая цена м2 без отделки]]</f>
        <v>7500</v>
      </c>
      <c r="Z371" s="226">
        <v>4914139.91</v>
      </c>
      <c r="AA371" s="223">
        <v>86852.94998232591</v>
      </c>
      <c r="AB371" s="225"/>
      <c r="AD371" s="225" t="s">
        <v>862</v>
      </c>
      <c r="AE371" s="225" t="s">
        <v>863</v>
      </c>
      <c r="AF371" s="226">
        <v>2000000</v>
      </c>
      <c r="AG371" s="226">
        <v>3338489.91</v>
      </c>
      <c r="AH371" s="226"/>
      <c r="AI371" s="226"/>
      <c r="AJ371" s="226"/>
      <c r="AK371" s="223" t="s">
        <v>873</v>
      </c>
      <c r="AL371" s="227">
        <v>1.4E-2</v>
      </c>
      <c r="AM371" s="229">
        <v>6.3E-2</v>
      </c>
      <c r="AO371" s="223">
        <v>0</v>
      </c>
      <c r="AP371" s="225" t="s">
        <v>1014</v>
      </c>
      <c r="AQ371" s="223">
        <v>79608334111</v>
      </c>
      <c r="AR371" s="225" t="s">
        <v>882</v>
      </c>
      <c r="AS371" s="224">
        <v>34760</v>
      </c>
      <c r="AT371" s="225" t="s">
        <v>888</v>
      </c>
      <c r="AU371" s="225" t="s">
        <v>868</v>
      </c>
      <c r="AV371" s="225" t="s">
        <v>879</v>
      </c>
      <c r="AW371" s="225" t="s">
        <v>172</v>
      </c>
      <c r="AX371" t="s">
        <v>2172</v>
      </c>
      <c r="AY371" s="224"/>
      <c r="BL371" s="223"/>
    </row>
    <row r="372" spans="1:64" x14ac:dyDescent="0.25">
      <c r="A372" s="223">
        <v>2071</v>
      </c>
      <c r="B372" s="223">
        <v>72</v>
      </c>
      <c r="C372" s="224">
        <v>45190</v>
      </c>
      <c r="D372" s="225" t="s">
        <v>1006</v>
      </c>
      <c r="E372" s="225" t="s">
        <v>859</v>
      </c>
      <c r="F372" s="225" t="s">
        <v>860</v>
      </c>
      <c r="G372" s="223" t="s">
        <v>861</v>
      </c>
      <c r="H372" s="224"/>
      <c r="I372" s="224">
        <v>45195</v>
      </c>
      <c r="J372" s="225" t="s">
        <v>1944</v>
      </c>
      <c r="K372" s="225" t="s">
        <v>98</v>
      </c>
      <c r="L372" s="225" t="s">
        <v>3</v>
      </c>
      <c r="M372" s="223">
        <v>6</v>
      </c>
      <c r="N372" s="223">
        <v>16</v>
      </c>
      <c r="O372" s="223">
        <v>332</v>
      </c>
      <c r="P372" s="223">
        <v>3</v>
      </c>
      <c r="Q372" s="223">
        <v>80.97</v>
      </c>
      <c r="R372" s="225" t="s">
        <v>12</v>
      </c>
      <c r="S372" s="230">
        <v>6121938.7800000003</v>
      </c>
      <c r="T372" s="226">
        <v>75607.490000000005</v>
      </c>
      <c r="U372" s="228"/>
      <c r="V372" s="226">
        <v>6121938.7800000003</v>
      </c>
      <c r="W372" s="226">
        <v>75607.493886624681</v>
      </c>
      <c r="X372" s="228"/>
      <c r="Y372" s="228">
        <f>Юрист[[#This Row],[Итоговая цена м2 с отделкой]]-Юрист[[#This Row],[Итоговая цена м2 без отделки]]</f>
        <v>0</v>
      </c>
      <c r="Z372" s="226">
        <v>6121938.7800000003</v>
      </c>
      <c r="AA372" s="223">
        <v>75607.493886624681</v>
      </c>
      <c r="AB372" s="225" t="s">
        <v>167</v>
      </c>
      <c r="AC372" s="226">
        <v>189338.31</v>
      </c>
      <c r="AD372" s="225" t="s">
        <v>862</v>
      </c>
      <c r="AE372" s="225" t="s">
        <v>863</v>
      </c>
      <c r="AF372" s="226">
        <v>331344.28000000003</v>
      </c>
      <c r="AG372" s="226">
        <v>5203647.78</v>
      </c>
      <c r="AH372" s="226">
        <v>586946.72</v>
      </c>
      <c r="AI372" s="226"/>
      <c r="AJ372" s="226"/>
      <c r="AK372" s="223" t="s">
        <v>864</v>
      </c>
      <c r="AL372" s="227">
        <v>1.4E-2</v>
      </c>
      <c r="AM372" s="229">
        <v>0.04</v>
      </c>
      <c r="AO372" s="223">
        <v>0</v>
      </c>
      <c r="AP372" s="225" t="s">
        <v>1007</v>
      </c>
      <c r="AQ372" s="223">
        <v>79129576567</v>
      </c>
      <c r="AR372" s="225" t="s">
        <v>882</v>
      </c>
      <c r="AS372" s="224">
        <v>30707</v>
      </c>
      <c r="AT372" s="225" t="s">
        <v>878</v>
      </c>
      <c r="AU372" s="225" t="s">
        <v>889</v>
      </c>
      <c r="AV372" s="225" t="s">
        <v>869</v>
      </c>
      <c r="AW372" s="225" t="s">
        <v>172</v>
      </c>
      <c r="AX372" t="s">
        <v>2172</v>
      </c>
      <c r="AY372" s="224"/>
      <c r="BL372" s="223"/>
    </row>
    <row r="373" spans="1:64" x14ac:dyDescent="0.25">
      <c r="A373" s="223">
        <v>2068</v>
      </c>
      <c r="B373" s="223">
        <v>69</v>
      </c>
      <c r="C373" s="224">
        <v>45189</v>
      </c>
      <c r="D373" s="225" t="s">
        <v>1000</v>
      </c>
      <c r="E373" s="225" t="s">
        <v>859</v>
      </c>
      <c r="F373" s="225" t="s">
        <v>860</v>
      </c>
      <c r="G373" s="223" t="s">
        <v>861</v>
      </c>
      <c r="H373" s="224"/>
      <c r="I373" s="224">
        <v>45194</v>
      </c>
      <c r="J373" s="225" t="s">
        <v>1870</v>
      </c>
      <c r="K373" s="225" t="s">
        <v>98</v>
      </c>
      <c r="L373" s="225" t="s">
        <v>3</v>
      </c>
      <c r="M373" s="223">
        <v>6</v>
      </c>
      <c r="N373" s="223">
        <v>1</v>
      </c>
      <c r="O373" s="223">
        <v>228</v>
      </c>
      <c r="P373" s="223">
        <v>1</v>
      </c>
      <c r="Q373" s="223">
        <v>34.76</v>
      </c>
      <c r="R373" s="225" t="s">
        <v>14</v>
      </c>
      <c r="S373" s="230">
        <v>3521722.9</v>
      </c>
      <c r="T373" s="226">
        <v>101315.39</v>
      </c>
      <c r="U373" s="228">
        <v>15000</v>
      </c>
      <c r="V373" s="226">
        <v>3536722.9</v>
      </c>
      <c r="W373" s="226">
        <v>101746.91887226698</v>
      </c>
      <c r="X373" s="228">
        <v>538780</v>
      </c>
      <c r="Y373" s="228">
        <f>Юрист[[#This Row],[Итоговая цена м2 с отделкой]]-Юрист[[#This Row],[Итоговая цена м2 без отделки]]</f>
        <v>15500</v>
      </c>
      <c r="Z373" s="226">
        <v>2997942.9</v>
      </c>
      <c r="AA373" s="223">
        <v>86246.918872266979</v>
      </c>
      <c r="AB373" s="225" t="s">
        <v>164</v>
      </c>
      <c r="AC373" s="226">
        <v>61182.51</v>
      </c>
      <c r="AD373" s="225" t="s">
        <v>862</v>
      </c>
      <c r="AE373" s="225" t="s">
        <v>863</v>
      </c>
      <c r="AF373" s="226">
        <v>600000</v>
      </c>
      <c r="AG373" s="226">
        <v>2334776.1800000002</v>
      </c>
      <c r="AH373" s="226">
        <v>586946.72</v>
      </c>
      <c r="AI373" s="226"/>
      <c r="AJ373" s="226"/>
      <c r="AK373" s="223" t="s">
        <v>864</v>
      </c>
      <c r="AL373" s="227">
        <v>1.4E-2</v>
      </c>
      <c r="AM373" s="229">
        <v>0.04</v>
      </c>
      <c r="AO373" s="223">
        <v>0</v>
      </c>
      <c r="AP373" s="225" t="s">
        <v>1001</v>
      </c>
      <c r="AQ373" s="223">
        <v>79649910007</v>
      </c>
      <c r="AR373" s="225" t="s">
        <v>882</v>
      </c>
      <c r="AS373" s="224">
        <v>31443</v>
      </c>
      <c r="AT373" s="225" t="s">
        <v>888</v>
      </c>
      <c r="AU373" s="225" t="s">
        <v>934</v>
      </c>
      <c r="AV373" s="225" t="s">
        <v>879</v>
      </c>
      <c r="AW373" s="225" t="s">
        <v>172</v>
      </c>
      <c r="AX373" t="s">
        <v>2172</v>
      </c>
      <c r="AY373" s="224"/>
      <c r="BL373" s="223"/>
    </row>
    <row r="374" spans="1:64" x14ac:dyDescent="0.25">
      <c r="A374" s="223">
        <v>2069</v>
      </c>
      <c r="B374" s="223">
        <v>70</v>
      </c>
      <c r="C374" s="224">
        <v>45189</v>
      </c>
      <c r="D374" s="225" t="s">
        <v>1002</v>
      </c>
      <c r="E374" s="225" t="s">
        <v>859</v>
      </c>
      <c r="F374" s="225" t="s">
        <v>860</v>
      </c>
      <c r="G374" s="223" t="s">
        <v>861</v>
      </c>
      <c r="H374" s="224"/>
      <c r="I374" s="224">
        <v>45194</v>
      </c>
      <c r="J374" s="225" t="s">
        <v>2095</v>
      </c>
      <c r="K374" s="225" t="s">
        <v>98</v>
      </c>
      <c r="L374" s="225" t="s">
        <v>2</v>
      </c>
      <c r="M374" s="223">
        <v>1</v>
      </c>
      <c r="N374" s="223">
        <v>23</v>
      </c>
      <c r="O374" s="223">
        <v>565</v>
      </c>
      <c r="P374" s="223">
        <v>0</v>
      </c>
      <c r="Q374" s="223">
        <v>29.4</v>
      </c>
      <c r="R374" s="225" t="s">
        <v>12</v>
      </c>
      <c r="S374" s="230">
        <v>3063924.53</v>
      </c>
      <c r="T374" s="226">
        <v>104215.12</v>
      </c>
      <c r="U374" s="228"/>
      <c r="V374" s="226">
        <v>3063924.53</v>
      </c>
      <c r="W374" s="226">
        <v>104215.12006802722</v>
      </c>
      <c r="X374" s="228"/>
      <c r="Y374" s="228">
        <f>Юрист[[#This Row],[Итоговая цена м2 с отделкой]]-Юрист[[#This Row],[Итоговая цена м2 без отделки]]</f>
        <v>0</v>
      </c>
      <c r="Z374" s="226">
        <v>3063924.53</v>
      </c>
      <c r="AA374" s="223">
        <v>104215.12006802722</v>
      </c>
      <c r="AB374" s="225"/>
      <c r="AD374" s="225" t="s">
        <v>862</v>
      </c>
      <c r="AE374" s="225" t="s">
        <v>863</v>
      </c>
      <c r="AF374" s="226">
        <v>510654.09</v>
      </c>
      <c r="AG374" s="226">
        <v>2553270.44</v>
      </c>
      <c r="AH374" s="226"/>
      <c r="AI374" s="226"/>
      <c r="AJ374" s="226"/>
      <c r="AK374" s="223" t="s">
        <v>873</v>
      </c>
      <c r="AL374" s="227">
        <v>1.4E-2</v>
      </c>
      <c r="AM374" s="229">
        <v>6.3E-2</v>
      </c>
      <c r="AO374" s="223">
        <v>0</v>
      </c>
      <c r="AP374" s="225" t="s">
        <v>1003</v>
      </c>
      <c r="AQ374" s="223">
        <v>79370662805</v>
      </c>
      <c r="AR374" s="225" t="s">
        <v>866</v>
      </c>
      <c r="AS374" s="224">
        <v>35488</v>
      </c>
      <c r="AT374" s="225" t="s">
        <v>903</v>
      </c>
      <c r="AU374" s="225" t="s">
        <v>934</v>
      </c>
      <c r="AV374" s="225" t="s">
        <v>869</v>
      </c>
      <c r="AW374" s="225" t="s">
        <v>172</v>
      </c>
      <c r="AX374" t="s">
        <v>2172</v>
      </c>
      <c r="AY374" s="224"/>
      <c r="BL374" s="223"/>
    </row>
    <row r="375" spans="1:64" x14ac:dyDescent="0.25">
      <c r="A375" s="223">
        <v>2070</v>
      </c>
      <c r="B375" s="223">
        <v>71</v>
      </c>
      <c r="C375" s="224">
        <v>45189</v>
      </c>
      <c r="D375" s="225" t="s">
        <v>1004</v>
      </c>
      <c r="E375" s="225" t="s">
        <v>859</v>
      </c>
      <c r="F375" s="225" t="s">
        <v>860</v>
      </c>
      <c r="G375" s="223" t="s">
        <v>926</v>
      </c>
      <c r="H375" s="224"/>
      <c r="I375" s="224">
        <v>45194</v>
      </c>
      <c r="J375" s="225" t="s">
        <v>1791</v>
      </c>
      <c r="K375" s="225" t="s">
        <v>98</v>
      </c>
      <c r="L375" s="225" t="s">
        <v>5</v>
      </c>
      <c r="M375" s="223">
        <v>3</v>
      </c>
      <c r="N375" s="223">
        <v>16</v>
      </c>
      <c r="O375" s="223">
        <v>107</v>
      </c>
      <c r="P375" s="223">
        <v>1</v>
      </c>
      <c r="Q375" s="223">
        <v>37.729999999999997</v>
      </c>
      <c r="R375" s="225" t="s">
        <v>13</v>
      </c>
      <c r="S375" s="230">
        <v>3426124.6</v>
      </c>
      <c r="T375" s="226">
        <v>90806.38</v>
      </c>
      <c r="U375" s="228">
        <v>30000</v>
      </c>
      <c r="V375" s="226">
        <v>3456124.6</v>
      </c>
      <c r="W375" s="226">
        <v>91601.500132520552</v>
      </c>
      <c r="X375" s="228">
        <v>150920</v>
      </c>
      <c r="Y375" s="228">
        <f>Юрист[[#This Row],[Итоговая цена м2 с отделкой]]-Юрист[[#This Row],[Итоговая цена м2 без отделки]]</f>
        <v>4000</v>
      </c>
      <c r="Z375" s="226">
        <v>3305204.6</v>
      </c>
      <c r="AA375" s="223">
        <v>87601.500132520552</v>
      </c>
      <c r="AB375" s="225"/>
      <c r="AD375" s="225" t="s">
        <v>936</v>
      </c>
      <c r="AE375" s="225" t="s">
        <v>902</v>
      </c>
      <c r="AF375" s="226"/>
      <c r="AG375" s="226"/>
      <c r="AH375" s="226"/>
      <c r="AI375" s="226"/>
      <c r="AJ375" s="226"/>
      <c r="AL375" s="227"/>
      <c r="AM375" s="229"/>
      <c r="AO375" s="223">
        <v>0</v>
      </c>
      <c r="AP375" s="225" t="s">
        <v>1005</v>
      </c>
      <c r="AQ375" s="223">
        <v>79228015935</v>
      </c>
      <c r="AR375" s="225" t="s">
        <v>866</v>
      </c>
      <c r="AS375" s="224">
        <v>29947</v>
      </c>
      <c r="AT375" s="225" t="s">
        <v>907</v>
      </c>
      <c r="AU375" s="225" t="s">
        <v>910</v>
      </c>
      <c r="AV375" s="225" t="s">
        <v>902</v>
      </c>
      <c r="AW375" s="225" t="s">
        <v>172</v>
      </c>
      <c r="AX375" t="s">
        <v>2172</v>
      </c>
      <c r="AY375" s="224"/>
      <c r="BL375" s="223"/>
    </row>
    <row r="376" spans="1:64" x14ac:dyDescent="0.25">
      <c r="A376" s="223">
        <v>2047</v>
      </c>
      <c r="B376" s="223">
        <v>48</v>
      </c>
      <c r="C376" s="224">
        <v>45188</v>
      </c>
      <c r="D376" s="225" t="s">
        <v>950</v>
      </c>
      <c r="E376" s="225" t="s">
        <v>859</v>
      </c>
      <c r="F376" s="225" t="s">
        <v>860</v>
      </c>
      <c r="G376" s="223" t="s">
        <v>861</v>
      </c>
      <c r="H376" s="224"/>
      <c r="I376" s="224">
        <v>45191</v>
      </c>
      <c r="J376" s="225" t="s">
        <v>1729</v>
      </c>
      <c r="K376" s="225" t="s">
        <v>98</v>
      </c>
      <c r="L376" s="225" t="s">
        <v>5</v>
      </c>
      <c r="M376" s="223">
        <v>3</v>
      </c>
      <c r="N376" s="223">
        <v>3</v>
      </c>
      <c r="O376" s="223">
        <v>16</v>
      </c>
      <c r="P376" s="223">
        <v>1</v>
      </c>
      <c r="Q376" s="223">
        <v>37.729999999999997</v>
      </c>
      <c r="R376" s="225" t="s">
        <v>13</v>
      </c>
      <c r="S376" s="230">
        <v>3490593.53</v>
      </c>
      <c r="T376" s="226">
        <v>92515.07</v>
      </c>
      <c r="U376" s="228">
        <v>15000</v>
      </c>
      <c r="V376" s="226">
        <v>3505593.53</v>
      </c>
      <c r="W376" s="226">
        <v>92912.630002650418</v>
      </c>
      <c r="X376" s="228">
        <v>169785</v>
      </c>
      <c r="Y376" s="228">
        <f>Юрист[[#This Row],[Итоговая цена м2 с отделкой]]-Юрист[[#This Row],[Итоговая цена м2 без отделки]]</f>
        <v>4500</v>
      </c>
      <c r="Z376" s="226">
        <v>3335808.53</v>
      </c>
      <c r="AA376" s="223">
        <v>88412.630002650418</v>
      </c>
      <c r="AB376" s="225"/>
      <c r="AD376" s="225" t="s">
        <v>862</v>
      </c>
      <c r="AE376" s="225" t="s">
        <v>863</v>
      </c>
      <c r="AF376" s="226">
        <v>1000000</v>
      </c>
      <c r="AG376" s="226">
        <v>2490593.5299999998</v>
      </c>
      <c r="AH376" s="226"/>
      <c r="AI376" s="226"/>
      <c r="AJ376" s="226"/>
      <c r="AK376" s="223" t="s">
        <v>873</v>
      </c>
      <c r="AL376" s="227">
        <v>1.4E-2</v>
      </c>
      <c r="AM376" s="229">
        <v>0.06</v>
      </c>
      <c r="AO376" s="223">
        <v>0</v>
      </c>
      <c r="AP376" s="225" t="s">
        <v>951</v>
      </c>
      <c r="AQ376" s="223">
        <v>79068482568</v>
      </c>
      <c r="AR376" s="225" t="s">
        <v>866</v>
      </c>
      <c r="AS376" s="224">
        <v>32046</v>
      </c>
      <c r="AT376" s="225" t="s">
        <v>878</v>
      </c>
      <c r="AU376" s="225" t="s">
        <v>899</v>
      </c>
      <c r="AV376" s="225" t="s">
        <v>869</v>
      </c>
      <c r="AW376" s="225" t="s">
        <v>172</v>
      </c>
      <c r="AX376" t="s">
        <v>2172</v>
      </c>
      <c r="AY376" s="224"/>
      <c r="BL376" s="223"/>
    </row>
    <row r="377" spans="1:64" x14ac:dyDescent="0.25">
      <c r="A377" s="223">
        <v>2046</v>
      </c>
      <c r="B377" s="223">
        <v>47</v>
      </c>
      <c r="C377" s="224">
        <v>45188</v>
      </c>
      <c r="D377" s="225" t="s">
        <v>948</v>
      </c>
      <c r="E377" s="225" t="s">
        <v>859</v>
      </c>
      <c r="F377" s="225" t="s">
        <v>860</v>
      </c>
      <c r="G377" s="223" t="s">
        <v>861</v>
      </c>
      <c r="H377" s="224"/>
      <c r="I377" s="224">
        <v>45191</v>
      </c>
      <c r="J377" s="225" t="s">
        <v>1987</v>
      </c>
      <c r="K377" s="225" t="s">
        <v>98</v>
      </c>
      <c r="L377" s="225" t="s">
        <v>2</v>
      </c>
      <c r="M377" s="223">
        <v>1</v>
      </c>
      <c r="N377" s="223">
        <v>4</v>
      </c>
      <c r="O377" s="223">
        <v>413</v>
      </c>
      <c r="P377" s="223">
        <v>0</v>
      </c>
      <c r="Q377" s="223">
        <v>29.4</v>
      </c>
      <c r="R377" s="225" t="s">
        <v>13</v>
      </c>
      <c r="S377" s="230">
        <v>2770048.77</v>
      </c>
      <c r="T377" s="226">
        <v>94219.35</v>
      </c>
      <c r="U377" s="228">
        <v>15000</v>
      </c>
      <c r="V377" s="226">
        <v>2785048.77</v>
      </c>
      <c r="W377" s="226">
        <v>94729.55</v>
      </c>
      <c r="X377" s="228">
        <v>132300</v>
      </c>
      <c r="Y377" s="228">
        <f>Юрист[[#This Row],[Итоговая цена м2 с отделкой]]-Юрист[[#This Row],[Итоговая цена м2 без отделки]]</f>
        <v>4500</v>
      </c>
      <c r="Z377" s="226">
        <v>2652748.77</v>
      </c>
      <c r="AA377" s="223">
        <v>90229.55</v>
      </c>
      <c r="AB377" s="225"/>
      <c r="AD377" s="225" t="s">
        <v>862</v>
      </c>
      <c r="AE377" s="225" t="s">
        <v>863</v>
      </c>
      <c r="AF377" s="226">
        <v>415600</v>
      </c>
      <c r="AG377" s="226">
        <v>2354448.77</v>
      </c>
      <c r="AH377" s="226"/>
      <c r="AI377" s="226"/>
      <c r="AJ377" s="226"/>
      <c r="AK377" s="223" t="s">
        <v>873</v>
      </c>
      <c r="AL377" s="227">
        <v>1.4E-2</v>
      </c>
      <c r="AM377" s="229">
        <v>0.06</v>
      </c>
      <c r="AO377" s="223">
        <v>0</v>
      </c>
      <c r="AP377" s="225" t="s">
        <v>949</v>
      </c>
      <c r="AQ377" s="223">
        <v>79129123003</v>
      </c>
      <c r="AR377" s="225" t="s">
        <v>882</v>
      </c>
      <c r="AS377" s="224">
        <v>30771</v>
      </c>
      <c r="AT377" s="225" t="s">
        <v>867</v>
      </c>
      <c r="AU377" s="225" t="s">
        <v>934</v>
      </c>
      <c r="AV377" s="225" t="s">
        <v>879</v>
      </c>
      <c r="AW377" s="225" t="s">
        <v>172</v>
      </c>
      <c r="AX377" t="s">
        <v>2168</v>
      </c>
      <c r="AY377" s="224"/>
      <c r="BL377" s="223"/>
    </row>
    <row r="378" spans="1:64" x14ac:dyDescent="0.25">
      <c r="A378" s="223">
        <v>2045</v>
      </c>
      <c r="B378" s="223">
        <v>46</v>
      </c>
      <c r="C378" s="224">
        <v>45188</v>
      </c>
      <c r="D378" s="225" t="s">
        <v>946</v>
      </c>
      <c r="E378" s="225" t="s">
        <v>859</v>
      </c>
      <c r="F378" s="225" t="s">
        <v>860</v>
      </c>
      <c r="G378" s="223" t="s">
        <v>861</v>
      </c>
      <c r="H378" s="224"/>
      <c r="I378" s="224">
        <v>45191</v>
      </c>
      <c r="J378" s="225" t="s">
        <v>1847</v>
      </c>
      <c r="K378" s="225" t="s">
        <v>98</v>
      </c>
      <c r="L378" s="225" t="s">
        <v>4</v>
      </c>
      <c r="M378" s="223">
        <v>2</v>
      </c>
      <c r="N378" s="223">
        <v>12</v>
      </c>
      <c r="O378" s="223">
        <v>189</v>
      </c>
      <c r="P378" s="223">
        <v>0</v>
      </c>
      <c r="Q378" s="223">
        <v>24.28</v>
      </c>
      <c r="R378" s="225" t="s">
        <v>12</v>
      </c>
      <c r="S378" s="230">
        <v>2218312.7599999998</v>
      </c>
      <c r="T378" s="226">
        <v>91363.79</v>
      </c>
      <c r="U378" s="228">
        <v>15000</v>
      </c>
      <c r="V378" s="226">
        <v>2233312.7599999998</v>
      </c>
      <c r="W378" s="226">
        <v>91981.579901153193</v>
      </c>
      <c r="X378" s="228"/>
      <c r="Y378" s="228">
        <f>Юрист[[#This Row],[Итоговая цена м2 с отделкой]]-Юрист[[#This Row],[Итоговая цена м2 без отделки]]</f>
        <v>0</v>
      </c>
      <c r="Z378" s="226">
        <v>2233312.7599999998</v>
      </c>
      <c r="AA378" s="223">
        <v>91981.579901153193</v>
      </c>
      <c r="AB378" s="225"/>
      <c r="AD378" s="225" t="s">
        <v>862</v>
      </c>
      <c r="AE378" s="225" t="s">
        <v>863</v>
      </c>
      <c r="AF378" s="226">
        <v>1288312.76</v>
      </c>
      <c r="AG378" s="226">
        <v>930000</v>
      </c>
      <c r="AH378" s="226"/>
      <c r="AI378" s="226"/>
      <c r="AJ378" s="226"/>
      <c r="AK378" s="223" t="s">
        <v>873</v>
      </c>
      <c r="AL378" s="227">
        <v>1.4E-2</v>
      </c>
      <c r="AM378" s="229">
        <v>7.0000000000000007E-2</v>
      </c>
      <c r="AO378" s="223">
        <v>0</v>
      </c>
      <c r="AP378" s="225" t="s">
        <v>947</v>
      </c>
      <c r="AQ378" s="223">
        <v>79279090163</v>
      </c>
      <c r="AR378" s="225" t="s">
        <v>882</v>
      </c>
      <c r="AS378" s="224">
        <v>28923</v>
      </c>
      <c r="AT378" s="225" t="s">
        <v>878</v>
      </c>
      <c r="AU378" s="225" t="s">
        <v>889</v>
      </c>
      <c r="AV378" s="225" t="s">
        <v>879</v>
      </c>
      <c r="AW378" s="225" t="s">
        <v>172</v>
      </c>
      <c r="AX378" t="s">
        <v>2172</v>
      </c>
      <c r="AY378" s="224"/>
      <c r="BL378" s="223"/>
    </row>
    <row r="379" spans="1:64" x14ac:dyDescent="0.25">
      <c r="A379" s="223">
        <v>2048</v>
      </c>
      <c r="B379" s="223">
        <v>49</v>
      </c>
      <c r="C379" s="224">
        <v>45188</v>
      </c>
      <c r="D379" s="225" t="s">
        <v>952</v>
      </c>
      <c r="E379" s="225" t="s">
        <v>859</v>
      </c>
      <c r="F379" s="225" t="s">
        <v>860</v>
      </c>
      <c r="G379" s="223" t="s">
        <v>861</v>
      </c>
      <c r="H379" s="224"/>
      <c r="I379" s="224">
        <v>45191</v>
      </c>
      <c r="J379" s="225" t="s">
        <v>1722</v>
      </c>
      <c r="K379" s="225" t="s">
        <v>98</v>
      </c>
      <c r="L379" s="225" t="s">
        <v>5</v>
      </c>
      <c r="M379" s="223">
        <v>5</v>
      </c>
      <c r="N379" s="223">
        <v>1</v>
      </c>
      <c r="O379" s="223">
        <v>5</v>
      </c>
      <c r="P379" s="223">
        <v>2</v>
      </c>
      <c r="Q379" s="223">
        <v>58.27</v>
      </c>
      <c r="R379" s="225" t="s">
        <v>13</v>
      </c>
      <c r="S379" s="230">
        <v>4904256.54</v>
      </c>
      <c r="T379" s="226">
        <v>84164.35</v>
      </c>
      <c r="U379" s="228">
        <v>15000</v>
      </c>
      <c r="V379" s="226">
        <v>4919256.54</v>
      </c>
      <c r="W379" s="226">
        <v>84421.770036039117</v>
      </c>
      <c r="X379" s="228">
        <v>262215</v>
      </c>
      <c r="Y379" s="228">
        <f>Юрист[[#This Row],[Итоговая цена м2 с отделкой]]-Юрист[[#This Row],[Итоговая цена м2 без отделки]]</f>
        <v>4499.9999999999854</v>
      </c>
      <c r="Z379" s="226">
        <v>4657041.54</v>
      </c>
      <c r="AA379" s="223">
        <v>79921.770036039132</v>
      </c>
      <c r="AB379" s="225"/>
      <c r="AD379" s="225" t="s">
        <v>862</v>
      </c>
      <c r="AE379" s="225" t="s">
        <v>863</v>
      </c>
      <c r="AF379" s="226">
        <v>737000</v>
      </c>
      <c r="AG379" s="226">
        <v>4167256.54</v>
      </c>
      <c r="AH379" s="226"/>
      <c r="AI379" s="226"/>
      <c r="AJ379" s="226"/>
      <c r="AK379" s="223" t="s">
        <v>864</v>
      </c>
      <c r="AL379" s="227">
        <v>1.4E-2</v>
      </c>
      <c r="AM379" s="229">
        <v>0.04</v>
      </c>
      <c r="AO379" s="223">
        <v>0</v>
      </c>
      <c r="AP379" s="225" t="s">
        <v>953</v>
      </c>
      <c r="AQ379" s="223">
        <v>79371748015</v>
      </c>
      <c r="AR379" s="225" t="s">
        <v>882</v>
      </c>
      <c r="AS379" s="224">
        <v>33488</v>
      </c>
      <c r="AT379" s="225" t="s">
        <v>954</v>
      </c>
      <c r="AU379" s="225" t="s">
        <v>868</v>
      </c>
      <c r="AV379" s="225" t="s">
        <v>869</v>
      </c>
      <c r="AW379" s="225" t="s">
        <v>172</v>
      </c>
      <c r="AX379" t="s">
        <v>2172</v>
      </c>
      <c r="AY379" s="224"/>
      <c r="BL379" s="223"/>
    </row>
    <row r="380" spans="1:64" x14ac:dyDescent="0.25">
      <c r="A380" s="223">
        <v>2051</v>
      </c>
      <c r="B380" s="223">
        <v>52</v>
      </c>
      <c r="C380" s="224">
        <v>45188</v>
      </c>
      <c r="D380" s="225" t="s">
        <v>959</v>
      </c>
      <c r="E380" s="225" t="s">
        <v>859</v>
      </c>
      <c r="F380" s="225" t="s">
        <v>860</v>
      </c>
      <c r="G380" s="223" t="s">
        <v>861</v>
      </c>
      <c r="H380" s="224"/>
      <c r="I380" s="224">
        <v>45191</v>
      </c>
      <c r="J380" s="225" t="s">
        <v>1867</v>
      </c>
      <c r="K380" s="225" t="s">
        <v>98</v>
      </c>
      <c r="L380" s="225" t="s">
        <v>3</v>
      </c>
      <c r="M380" s="223">
        <v>2</v>
      </c>
      <c r="N380" s="223">
        <v>1</v>
      </c>
      <c r="O380" s="223">
        <v>224</v>
      </c>
      <c r="P380" s="223">
        <v>0</v>
      </c>
      <c r="Q380" s="223">
        <v>24.53</v>
      </c>
      <c r="R380" s="225" t="s">
        <v>12</v>
      </c>
      <c r="S380" s="230">
        <v>2557191.27</v>
      </c>
      <c r="T380" s="226">
        <v>104247.5</v>
      </c>
      <c r="U380" s="228">
        <v>15000</v>
      </c>
      <c r="V380" s="226">
        <v>2572191.27</v>
      </c>
      <c r="W380" s="226">
        <v>104859</v>
      </c>
      <c r="X380" s="228"/>
      <c r="Y380" s="228">
        <f>Юрист[[#This Row],[Итоговая цена м2 с отделкой]]-Юрист[[#This Row],[Итоговая цена м2 без отделки]]</f>
        <v>0</v>
      </c>
      <c r="Z380" s="226">
        <v>2572191.27</v>
      </c>
      <c r="AA380" s="223">
        <v>104859</v>
      </c>
      <c r="AB380" s="225"/>
      <c r="AD380" s="225" t="s">
        <v>862</v>
      </c>
      <c r="AE380" s="225" t="s">
        <v>863</v>
      </c>
      <c r="AF380" s="226">
        <v>385000</v>
      </c>
      <c r="AG380" s="226">
        <v>2172191.27</v>
      </c>
      <c r="AH380" s="226"/>
      <c r="AI380" s="226"/>
      <c r="AJ380" s="226"/>
      <c r="AK380" s="223" t="s">
        <v>864</v>
      </c>
      <c r="AL380" s="227">
        <v>1.4E-2</v>
      </c>
      <c r="AM380" s="229">
        <v>0.04</v>
      </c>
      <c r="AO380" s="223">
        <v>0</v>
      </c>
      <c r="AP380" s="225" t="s">
        <v>960</v>
      </c>
      <c r="AQ380" s="223">
        <v>79228999828</v>
      </c>
      <c r="AR380" s="225" t="s">
        <v>882</v>
      </c>
      <c r="AS380" s="224">
        <v>31938</v>
      </c>
      <c r="AT380" s="225" t="s">
        <v>907</v>
      </c>
      <c r="AU380" s="225" t="s">
        <v>899</v>
      </c>
      <c r="AV380" s="225" t="s">
        <v>869</v>
      </c>
      <c r="AW380" s="225" t="s">
        <v>172</v>
      </c>
      <c r="AX380" t="s">
        <v>2172</v>
      </c>
      <c r="AY380" s="224"/>
      <c r="BL380" s="223"/>
    </row>
    <row r="381" spans="1:64" x14ac:dyDescent="0.25">
      <c r="A381" s="223">
        <v>2050</v>
      </c>
      <c r="B381" s="223">
        <v>51</v>
      </c>
      <c r="C381" s="224">
        <v>45188</v>
      </c>
      <c r="D381" s="225" t="s">
        <v>957</v>
      </c>
      <c r="E381" s="225" t="s">
        <v>859</v>
      </c>
      <c r="F381" s="225" t="s">
        <v>860</v>
      </c>
      <c r="G381" s="223" t="s">
        <v>861</v>
      </c>
      <c r="H381" s="224"/>
      <c r="I381" s="224">
        <v>45191</v>
      </c>
      <c r="J381" s="225" t="s">
        <v>1807</v>
      </c>
      <c r="K381" s="225" t="s">
        <v>98</v>
      </c>
      <c r="L381" s="225" t="s">
        <v>4</v>
      </c>
      <c r="M381" s="223">
        <v>2</v>
      </c>
      <c r="N381" s="223">
        <v>4</v>
      </c>
      <c r="O381" s="223">
        <v>133</v>
      </c>
      <c r="P381" s="223">
        <v>0</v>
      </c>
      <c r="Q381" s="223">
        <v>24.28</v>
      </c>
      <c r="R381" s="225" t="s">
        <v>13</v>
      </c>
      <c r="S381" s="230">
        <v>2348842.29</v>
      </c>
      <c r="T381" s="226">
        <v>96739.8</v>
      </c>
      <c r="U381" s="228">
        <v>15000</v>
      </c>
      <c r="V381" s="226">
        <v>2363842.29</v>
      </c>
      <c r="W381" s="226">
        <v>97357.590197693571</v>
      </c>
      <c r="X381" s="228">
        <v>109260</v>
      </c>
      <c r="Y381" s="228">
        <f>Юрист[[#This Row],[Итоговая цена м2 с отделкой]]-Юрист[[#This Row],[Итоговая цена м2 без отделки]]</f>
        <v>4500</v>
      </c>
      <c r="Z381" s="226">
        <v>2254582.29</v>
      </c>
      <c r="AA381" s="223">
        <v>92857.590197693571</v>
      </c>
      <c r="AB381" s="225"/>
      <c r="AD381" s="225" t="s">
        <v>862</v>
      </c>
      <c r="AE381" s="225" t="s">
        <v>863</v>
      </c>
      <c r="AF381" s="226">
        <v>355000</v>
      </c>
      <c r="AG381" s="226">
        <v>2008842.29</v>
      </c>
      <c r="AH381" s="226"/>
      <c r="AI381" s="226"/>
      <c r="AJ381" s="226"/>
      <c r="AK381" s="223" t="s">
        <v>873</v>
      </c>
      <c r="AL381" s="227">
        <v>1.4E-2</v>
      </c>
      <c r="AM381" s="229">
        <v>0.06</v>
      </c>
      <c r="AO381" s="223">
        <v>0</v>
      </c>
      <c r="AP381" s="225" t="s">
        <v>958</v>
      </c>
      <c r="AQ381" s="223">
        <v>79171458842</v>
      </c>
      <c r="AR381" s="225" t="s">
        <v>882</v>
      </c>
      <c r="AS381" s="224">
        <v>32762</v>
      </c>
      <c r="AT381" s="225" t="s">
        <v>878</v>
      </c>
      <c r="AU381" s="225" t="s">
        <v>889</v>
      </c>
      <c r="AV381" s="225" t="s">
        <v>869</v>
      </c>
      <c r="AW381" s="225" t="s">
        <v>172</v>
      </c>
      <c r="AX381" t="s">
        <v>2172</v>
      </c>
      <c r="AY381" s="224"/>
      <c r="BL381" s="223"/>
    </row>
    <row r="382" spans="1:64" x14ac:dyDescent="0.25">
      <c r="A382" s="223">
        <v>2049</v>
      </c>
      <c r="B382" s="223">
        <v>50</v>
      </c>
      <c r="C382" s="224">
        <v>45188</v>
      </c>
      <c r="D382" s="225" t="s">
        <v>955</v>
      </c>
      <c r="E382" s="225" t="s">
        <v>859</v>
      </c>
      <c r="F382" s="225" t="s">
        <v>860</v>
      </c>
      <c r="G382" s="223" t="s">
        <v>861</v>
      </c>
      <c r="H382" s="224"/>
      <c r="I382" s="224">
        <v>45191</v>
      </c>
      <c r="J382" s="225" t="s">
        <v>2049</v>
      </c>
      <c r="K382" s="225" t="s">
        <v>98</v>
      </c>
      <c r="L382" s="225" t="s">
        <v>2</v>
      </c>
      <c r="M382" s="223">
        <v>1</v>
      </c>
      <c r="N382" s="223">
        <v>13</v>
      </c>
      <c r="O382" s="223">
        <v>485</v>
      </c>
      <c r="P382" s="223">
        <v>0</v>
      </c>
      <c r="Q382" s="223">
        <v>29.4</v>
      </c>
      <c r="R382" s="225" t="s">
        <v>12</v>
      </c>
      <c r="S382" s="230">
        <v>2611993.7799999998</v>
      </c>
      <c r="T382" s="226">
        <v>88843.33</v>
      </c>
      <c r="U382" s="228">
        <v>15000</v>
      </c>
      <c r="V382" s="226">
        <v>2626993.7799999998</v>
      </c>
      <c r="W382" s="226">
        <v>89353.529931972793</v>
      </c>
      <c r="X382" s="228"/>
      <c r="Y382" s="228">
        <f>Юрист[[#This Row],[Итоговая цена м2 с отделкой]]-Юрист[[#This Row],[Итоговая цена м2 без отделки]]</f>
        <v>0</v>
      </c>
      <c r="Z382" s="226">
        <v>2626993.7799999998</v>
      </c>
      <c r="AA382" s="223">
        <v>89353.529931972793</v>
      </c>
      <c r="AB382" s="225"/>
      <c r="AD382" s="225" t="s">
        <v>862</v>
      </c>
      <c r="AE382" s="225" t="s">
        <v>863</v>
      </c>
      <c r="AF382" s="226">
        <v>451053.28</v>
      </c>
      <c r="AG382" s="226">
        <v>1573993.78</v>
      </c>
      <c r="AH382" s="226">
        <v>586946.72</v>
      </c>
      <c r="AI382" s="226"/>
      <c r="AJ382" s="226"/>
      <c r="AK382" s="223" t="s">
        <v>864</v>
      </c>
      <c r="AL382" s="227">
        <v>1.4E-2</v>
      </c>
      <c r="AM382" s="229">
        <v>0.04</v>
      </c>
      <c r="AO382" s="223">
        <v>0</v>
      </c>
      <c r="AP382" s="225" t="s">
        <v>956</v>
      </c>
      <c r="AQ382" s="223">
        <v>79058929431</v>
      </c>
      <c r="AR382" s="225" t="s">
        <v>866</v>
      </c>
      <c r="AS382" s="224">
        <v>35814</v>
      </c>
      <c r="AT382" s="225" t="s">
        <v>878</v>
      </c>
      <c r="AU382" s="225" t="s">
        <v>889</v>
      </c>
      <c r="AV382" s="225" t="s">
        <v>869</v>
      </c>
      <c r="AW382" s="225" t="s">
        <v>172</v>
      </c>
      <c r="AX382" t="s">
        <v>2172</v>
      </c>
      <c r="AY382" s="224"/>
      <c r="BL382" s="223"/>
    </row>
    <row r="383" spans="1:64" x14ac:dyDescent="0.25">
      <c r="A383" s="223">
        <v>2044</v>
      </c>
      <c r="B383" s="223">
        <v>45</v>
      </c>
      <c r="C383" s="224">
        <v>45188</v>
      </c>
      <c r="D383" s="225" t="s">
        <v>944</v>
      </c>
      <c r="E383" s="225" t="s">
        <v>859</v>
      </c>
      <c r="F383" s="225" t="s">
        <v>860</v>
      </c>
      <c r="G383" s="223" t="s">
        <v>861</v>
      </c>
      <c r="H383" s="224"/>
      <c r="I383" s="224">
        <v>45191</v>
      </c>
      <c r="J383" s="225" t="s">
        <v>1975</v>
      </c>
      <c r="K383" s="225" t="s">
        <v>98</v>
      </c>
      <c r="L383" s="225" t="s">
        <v>2</v>
      </c>
      <c r="M383" s="223">
        <v>1</v>
      </c>
      <c r="N383" s="223">
        <v>2</v>
      </c>
      <c r="O383" s="223">
        <v>397</v>
      </c>
      <c r="P383" s="223">
        <v>0</v>
      </c>
      <c r="Q383" s="223">
        <v>29.4</v>
      </c>
      <c r="R383" s="225" t="s">
        <v>13</v>
      </c>
      <c r="S383" s="230">
        <v>2770048.77</v>
      </c>
      <c r="T383" s="226">
        <v>94219.35</v>
      </c>
      <c r="U383" s="228">
        <v>15000</v>
      </c>
      <c r="V383" s="226">
        <v>2785048.77</v>
      </c>
      <c r="W383" s="226">
        <v>94729.55</v>
      </c>
      <c r="X383" s="228">
        <v>132300</v>
      </c>
      <c r="Y383" s="228">
        <f>Юрист[[#This Row],[Итоговая цена м2 с отделкой]]-Юрист[[#This Row],[Итоговая цена м2 без отделки]]</f>
        <v>4500</v>
      </c>
      <c r="Z383" s="226">
        <v>2652748.77</v>
      </c>
      <c r="AA383" s="223">
        <v>90229.55</v>
      </c>
      <c r="AB383" s="225"/>
      <c r="AD383" s="225" t="s">
        <v>862</v>
      </c>
      <c r="AE383" s="225" t="s">
        <v>863</v>
      </c>
      <c r="AF383" s="226">
        <v>416000</v>
      </c>
      <c r="AG383" s="226">
        <v>2354048.77</v>
      </c>
      <c r="AH383" s="226"/>
      <c r="AI383" s="226"/>
      <c r="AJ383" s="226"/>
      <c r="AK383" s="223" t="s">
        <v>864</v>
      </c>
      <c r="AL383" s="227">
        <v>1.4E-2</v>
      </c>
      <c r="AM383" s="229">
        <v>0.04</v>
      </c>
      <c r="AO383" s="223">
        <v>0</v>
      </c>
      <c r="AP383" s="225" t="s">
        <v>945</v>
      </c>
      <c r="AQ383" s="223">
        <v>79276099802</v>
      </c>
      <c r="AR383" s="225" t="s">
        <v>866</v>
      </c>
      <c r="AS383" s="224">
        <v>34447</v>
      </c>
      <c r="AT383" s="225" t="s">
        <v>924</v>
      </c>
      <c r="AU383" s="225" t="s">
        <v>899</v>
      </c>
      <c r="AV383" s="225" t="s">
        <v>879</v>
      </c>
      <c r="AW383" s="225" t="s">
        <v>172</v>
      </c>
      <c r="AX383" t="s">
        <v>2172</v>
      </c>
      <c r="AY383" s="224"/>
      <c r="BL383" s="223"/>
    </row>
    <row r="384" spans="1:64" x14ac:dyDescent="0.25">
      <c r="A384" s="223">
        <v>2039</v>
      </c>
      <c r="B384" s="223">
        <v>40</v>
      </c>
      <c r="C384" s="224">
        <v>45188</v>
      </c>
      <c r="D384" s="225" t="s">
        <v>932</v>
      </c>
      <c r="E384" s="225" t="s">
        <v>859</v>
      </c>
      <c r="F384" s="225" t="s">
        <v>860</v>
      </c>
      <c r="G384" s="223" t="s">
        <v>926</v>
      </c>
      <c r="H384" s="224"/>
      <c r="I384" s="224">
        <v>45191</v>
      </c>
      <c r="J384" s="225" t="s">
        <v>1804</v>
      </c>
      <c r="K384" s="225" t="s">
        <v>98</v>
      </c>
      <c r="L384" s="225" t="s">
        <v>4</v>
      </c>
      <c r="M384" s="223">
        <v>5</v>
      </c>
      <c r="N384" s="223">
        <v>7</v>
      </c>
      <c r="O384" s="223">
        <v>157</v>
      </c>
      <c r="P384" s="223">
        <v>1</v>
      </c>
      <c r="Q384" s="223">
        <v>37.86</v>
      </c>
      <c r="R384" s="225" t="s">
        <v>12</v>
      </c>
      <c r="S384" s="230">
        <v>3102597.22</v>
      </c>
      <c r="T384" s="226">
        <v>81949.210000000006</v>
      </c>
      <c r="U384" s="228">
        <v>15000</v>
      </c>
      <c r="V384" s="226">
        <v>3117597.22</v>
      </c>
      <c r="W384" s="226">
        <v>82345.40993132595</v>
      </c>
      <c r="X384" s="228"/>
      <c r="Y384" s="228">
        <f>Юрист[[#This Row],[Итоговая цена м2 с отделкой]]-Юрист[[#This Row],[Итоговая цена м2 без отделки]]</f>
        <v>0</v>
      </c>
      <c r="Z384" s="226">
        <v>3117597.22</v>
      </c>
      <c r="AA384" s="223">
        <v>82345.40993132595</v>
      </c>
      <c r="AB384" s="225" t="s">
        <v>162</v>
      </c>
      <c r="AC384" s="226">
        <v>198995.57</v>
      </c>
      <c r="AD384" s="225" t="s">
        <v>901</v>
      </c>
      <c r="AE384" s="225" t="s">
        <v>902</v>
      </c>
      <c r="AF384" s="226"/>
      <c r="AG384" s="226"/>
      <c r="AH384" s="226"/>
      <c r="AI384" s="226"/>
      <c r="AJ384" s="226"/>
      <c r="AL384" s="227"/>
      <c r="AM384" s="229"/>
      <c r="AO384" s="223">
        <v>0</v>
      </c>
      <c r="AP384" s="225" t="s">
        <v>933</v>
      </c>
      <c r="AQ384" s="223">
        <v>79187060946</v>
      </c>
      <c r="AR384" s="225" t="s">
        <v>866</v>
      </c>
      <c r="AS384" s="224">
        <v>20329</v>
      </c>
      <c r="AT384" s="225" t="s">
        <v>888</v>
      </c>
      <c r="AU384" s="225" t="s">
        <v>934</v>
      </c>
      <c r="AV384" s="225" t="s">
        <v>902</v>
      </c>
      <c r="AW384" s="225" t="s">
        <v>172</v>
      </c>
      <c r="AX384" t="s">
        <v>2172</v>
      </c>
      <c r="AY384" s="224"/>
      <c r="BL384" s="223"/>
    </row>
    <row r="385" spans="1:64" x14ac:dyDescent="0.25">
      <c r="A385" s="223">
        <v>2038</v>
      </c>
      <c r="B385" s="223">
        <v>39</v>
      </c>
      <c r="C385" s="224">
        <v>45188</v>
      </c>
      <c r="D385" s="225" t="s">
        <v>930</v>
      </c>
      <c r="E385" s="225" t="s">
        <v>859</v>
      </c>
      <c r="F385" s="225" t="s">
        <v>860</v>
      </c>
      <c r="G385" s="223" t="s">
        <v>861</v>
      </c>
      <c r="H385" s="224"/>
      <c r="I385" s="224">
        <v>45191</v>
      </c>
      <c r="J385" s="225" t="s">
        <v>1982</v>
      </c>
      <c r="K385" s="225" t="s">
        <v>98</v>
      </c>
      <c r="L385" s="225" t="s">
        <v>2</v>
      </c>
      <c r="M385" s="223">
        <v>3</v>
      </c>
      <c r="N385" s="223">
        <v>3</v>
      </c>
      <c r="O385" s="223">
        <v>407</v>
      </c>
      <c r="P385" s="223">
        <v>0</v>
      </c>
      <c r="Q385" s="223">
        <v>24.5</v>
      </c>
      <c r="R385" s="225" t="s">
        <v>12</v>
      </c>
      <c r="S385" s="230">
        <v>2223548.71</v>
      </c>
      <c r="T385" s="226">
        <v>90757.09</v>
      </c>
      <c r="U385" s="228">
        <v>30000</v>
      </c>
      <c r="V385" s="226">
        <v>2253548.71</v>
      </c>
      <c r="W385" s="226">
        <v>91981.58</v>
      </c>
      <c r="X385" s="228"/>
      <c r="Y385" s="228">
        <f>Юрист[[#This Row],[Итоговая цена м2 с отделкой]]-Юрист[[#This Row],[Итоговая цена м2 без отделки]]</f>
        <v>0</v>
      </c>
      <c r="Z385" s="226">
        <v>2253548.71</v>
      </c>
      <c r="AA385" s="223">
        <v>91981.58</v>
      </c>
      <c r="AB385" s="225"/>
      <c r="AD385" s="225" t="s">
        <v>862</v>
      </c>
      <c r="AE385" s="225" t="s">
        <v>863</v>
      </c>
      <c r="AF385" s="226">
        <v>334000</v>
      </c>
      <c r="AG385" s="226">
        <v>1889548.71</v>
      </c>
      <c r="AH385" s="226"/>
      <c r="AI385" s="226"/>
      <c r="AJ385" s="226"/>
      <c r="AK385" s="223" t="s">
        <v>873</v>
      </c>
      <c r="AL385" s="227">
        <v>8.9999999999999993E-3</v>
      </c>
      <c r="AM385" s="229">
        <v>7.0000000000000007E-2</v>
      </c>
      <c r="AO385" s="223">
        <v>0</v>
      </c>
      <c r="AP385" s="225" t="s">
        <v>931</v>
      </c>
      <c r="AQ385" s="223">
        <v>79397076877</v>
      </c>
      <c r="AR385" s="225" t="s">
        <v>882</v>
      </c>
      <c r="AS385" s="224">
        <v>24732</v>
      </c>
      <c r="AT385" s="225" t="s">
        <v>878</v>
      </c>
      <c r="AU385" s="225" t="s">
        <v>910</v>
      </c>
      <c r="AV385" s="225" t="s">
        <v>869</v>
      </c>
      <c r="AW385" s="225" t="s">
        <v>172</v>
      </c>
      <c r="AX385" t="s">
        <v>2172</v>
      </c>
      <c r="AY385" s="224"/>
      <c r="BL385" s="223"/>
    </row>
    <row r="386" spans="1:64" x14ac:dyDescent="0.25">
      <c r="A386" s="223">
        <v>2037</v>
      </c>
      <c r="B386" s="223">
        <v>38</v>
      </c>
      <c r="C386" s="224">
        <v>45188</v>
      </c>
      <c r="D386" s="225" t="s">
        <v>928</v>
      </c>
      <c r="E386" s="225" t="s">
        <v>859</v>
      </c>
      <c r="F386" s="225" t="s">
        <v>860</v>
      </c>
      <c r="G386" s="223" t="s">
        <v>861</v>
      </c>
      <c r="H386" s="224"/>
      <c r="I386" s="224">
        <v>45191</v>
      </c>
      <c r="J386" s="225" t="s">
        <v>1744</v>
      </c>
      <c r="K386" s="225" t="s">
        <v>98</v>
      </c>
      <c r="L386" s="225" t="s">
        <v>5</v>
      </c>
      <c r="M386" s="223">
        <v>3</v>
      </c>
      <c r="N386" s="223">
        <v>6</v>
      </c>
      <c r="O386" s="223">
        <v>37</v>
      </c>
      <c r="P386" s="223">
        <v>1</v>
      </c>
      <c r="Q386" s="223">
        <v>37.729999999999997</v>
      </c>
      <c r="R386" s="225" t="s">
        <v>14</v>
      </c>
      <c r="S386" s="230">
        <v>3841154.6</v>
      </c>
      <c r="T386" s="226">
        <v>101806.38</v>
      </c>
      <c r="U386" s="228">
        <v>30000</v>
      </c>
      <c r="V386" s="226">
        <v>3871154.6</v>
      </c>
      <c r="W386" s="226">
        <v>102601.50013252055</v>
      </c>
      <c r="X386" s="228">
        <v>565950</v>
      </c>
      <c r="Y386" s="228">
        <f>Юрист[[#This Row],[Итоговая цена м2 с отделкой]]-Юрист[[#This Row],[Итоговая цена м2 без отделки]]</f>
        <v>15000</v>
      </c>
      <c r="Z386" s="226">
        <v>3305204.6</v>
      </c>
      <c r="AA386" s="223">
        <v>87601.500132520552</v>
      </c>
      <c r="AB386" s="225"/>
      <c r="AD386" s="225" t="s">
        <v>862</v>
      </c>
      <c r="AE386" s="225" t="s">
        <v>863</v>
      </c>
      <c r="AF386" s="226">
        <v>3000000</v>
      </c>
      <c r="AG386" s="226">
        <v>841154.60000000009</v>
      </c>
      <c r="AH386" s="226"/>
      <c r="AI386" s="226"/>
      <c r="AJ386" s="226"/>
      <c r="AK386" s="223" t="s">
        <v>873</v>
      </c>
      <c r="AL386" s="227">
        <v>1.4E-2</v>
      </c>
      <c r="AM386" s="229">
        <v>0.06</v>
      </c>
      <c r="AO386" s="223">
        <v>0</v>
      </c>
      <c r="AP386" s="225" t="s">
        <v>929</v>
      </c>
      <c r="AQ386" s="223">
        <v>79277187525</v>
      </c>
      <c r="AR386" s="225" t="s">
        <v>882</v>
      </c>
      <c r="AS386" s="224">
        <v>35772</v>
      </c>
      <c r="AT386" s="225" t="s">
        <v>888</v>
      </c>
      <c r="AU386" s="225" t="s">
        <v>910</v>
      </c>
      <c r="AV386" s="225" t="s">
        <v>869</v>
      </c>
      <c r="AW386" s="225" t="s">
        <v>172</v>
      </c>
      <c r="AX386" t="s">
        <v>2172</v>
      </c>
      <c r="AY386" s="224"/>
      <c r="BL386" s="223"/>
    </row>
    <row r="387" spans="1:64" x14ac:dyDescent="0.25">
      <c r="A387" s="223">
        <v>2040</v>
      </c>
      <c r="B387" s="223">
        <v>41</v>
      </c>
      <c r="C387" s="224">
        <v>45188</v>
      </c>
      <c r="D387" s="225" t="s">
        <v>935</v>
      </c>
      <c r="E387" s="225" t="s">
        <v>859</v>
      </c>
      <c r="F387" s="225" t="s">
        <v>860</v>
      </c>
      <c r="G387" s="223" t="s">
        <v>926</v>
      </c>
      <c r="H387" s="224"/>
      <c r="I387" s="224">
        <v>45191</v>
      </c>
      <c r="J387" s="225" t="s">
        <v>1804</v>
      </c>
      <c r="K387" s="225" t="s">
        <v>98</v>
      </c>
      <c r="L387" s="225" t="s">
        <v>4</v>
      </c>
      <c r="M387" s="223">
        <v>5</v>
      </c>
      <c r="N387" s="223">
        <v>3</v>
      </c>
      <c r="O387" s="223">
        <v>129</v>
      </c>
      <c r="P387" s="223">
        <v>1</v>
      </c>
      <c r="Q387" s="223">
        <v>37.86</v>
      </c>
      <c r="R387" s="225" t="s">
        <v>12</v>
      </c>
      <c r="S387" s="230">
        <v>3131464.04</v>
      </c>
      <c r="T387" s="226">
        <v>82711.679999999993</v>
      </c>
      <c r="U387" s="228">
        <v>15000</v>
      </c>
      <c r="V387" s="226">
        <v>3146464.04</v>
      </c>
      <c r="W387" s="226">
        <v>83107.872160591651</v>
      </c>
      <c r="X387" s="228"/>
      <c r="Y387" s="228">
        <f>Юрист[[#This Row],[Итоговая цена м2 с отделкой]]-Юрист[[#This Row],[Итоговая цена м2 без отделки]]</f>
        <v>0</v>
      </c>
      <c r="Z387" s="226">
        <v>3146464.04</v>
      </c>
      <c r="AA387" s="223">
        <v>83107.872160591651</v>
      </c>
      <c r="AB387" s="225" t="s">
        <v>162</v>
      </c>
      <c r="AC387" s="226">
        <v>200838.13</v>
      </c>
      <c r="AD387" s="225" t="s">
        <v>936</v>
      </c>
      <c r="AE387" s="225" t="s">
        <v>902</v>
      </c>
      <c r="AF387" s="226"/>
      <c r="AG387" s="226"/>
      <c r="AH387" s="226"/>
      <c r="AI387" s="226"/>
      <c r="AJ387" s="226"/>
      <c r="AL387" s="227"/>
      <c r="AM387" s="229"/>
      <c r="AO387" s="223">
        <v>0</v>
      </c>
      <c r="AP387" s="225" t="s">
        <v>933</v>
      </c>
      <c r="AQ387" s="223">
        <v>79187060946</v>
      </c>
      <c r="AR387" s="225" t="s">
        <v>866</v>
      </c>
      <c r="AS387" s="224">
        <v>20329</v>
      </c>
      <c r="AT387" s="225" t="s">
        <v>888</v>
      </c>
      <c r="AU387" s="225" t="s">
        <v>934</v>
      </c>
      <c r="AV387" s="225" t="s">
        <v>902</v>
      </c>
      <c r="AW387" s="225" t="s">
        <v>172</v>
      </c>
      <c r="AX387" t="s">
        <v>2172</v>
      </c>
      <c r="AY387" s="224"/>
    </row>
    <row r="388" spans="1:64" x14ac:dyDescent="0.25">
      <c r="A388" s="223">
        <v>2043</v>
      </c>
      <c r="B388" s="223">
        <v>44</v>
      </c>
      <c r="C388" s="224">
        <v>45188</v>
      </c>
      <c r="D388" s="225" t="s">
        <v>942</v>
      </c>
      <c r="E388" s="225" t="s">
        <v>859</v>
      </c>
      <c r="F388" s="225" t="s">
        <v>860</v>
      </c>
      <c r="G388" s="223" t="s">
        <v>861</v>
      </c>
      <c r="H388" s="224"/>
      <c r="I388" s="224">
        <v>45191</v>
      </c>
      <c r="J388" s="225" t="s">
        <v>1904</v>
      </c>
      <c r="K388" s="225" t="s">
        <v>98</v>
      </c>
      <c r="L388" s="225" t="s">
        <v>3</v>
      </c>
      <c r="M388" s="223">
        <v>5</v>
      </c>
      <c r="N388" s="223">
        <v>8</v>
      </c>
      <c r="O388" s="223">
        <v>275</v>
      </c>
      <c r="P388" s="223">
        <v>1</v>
      </c>
      <c r="Q388" s="223">
        <v>37.81</v>
      </c>
      <c r="R388" s="225" t="s">
        <v>14</v>
      </c>
      <c r="S388" s="230">
        <v>3975273.81</v>
      </c>
      <c r="T388" s="226">
        <v>105138.16</v>
      </c>
      <c r="U388" s="228">
        <v>15000</v>
      </c>
      <c r="V388" s="226">
        <v>3990273.81</v>
      </c>
      <c r="W388" s="226">
        <v>105534.87992594551</v>
      </c>
      <c r="X388" s="228">
        <v>586055</v>
      </c>
      <c r="Y388" s="228">
        <f>Юрист[[#This Row],[Итоговая цена м2 с отделкой]]-Юрист[[#This Row],[Итоговая цена м2 без отделки]]</f>
        <v>15500</v>
      </c>
      <c r="Z388" s="226">
        <v>3404218.81</v>
      </c>
      <c r="AA388" s="223">
        <v>90034.879925945512</v>
      </c>
      <c r="AB388" s="225"/>
      <c r="AD388" s="225" t="s">
        <v>862</v>
      </c>
      <c r="AE388" s="225" t="s">
        <v>863</v>
      </c>
      <c r="AF388" s="226">
        <v>597000</v>
      </c>
      <c r="AG388" s="226">
        <v>3378273.81</v>
      </c>
      <c r="AH388" s="226"/>
      <c r="AI388" s="226"/>
      <c r="AJ388" s="226"/>
      <c r="AK388" s="223" t="s">
        <v>864</v>
      </c>
      <c r="AL388" s="227">
        <v>1.4E-2</v>
      </c>
      <c r="AM388" s="229">
        <v>0.04</v>
      </c>
      <c r="AO388" s="223">
        <v>0</v>
      </c>
      <c r="AP388" s="225" t="s">
        <v>943</v>
      </c>
      <c r="AQ388" s="223">
        <v>79124284288</v>
      </c>
      <c r="AR388" s="225" t="s">
        <v>882</v>
      </c>
      <c r="AS388" s="224">
        <v>29230</v>
      </c>
      <c r="AT388" s="225" t="s">
        <v>907</v>
      </c>
      <c r="AU388" s="225" t="s">
        <v>899</v>
      </c>
      <c r="AV388" s="225" t="s">
        <v>869</v>
      </c>
      <c r="AW388" s="225" t="s">
        <v>172</v>
      </c>
      <c r="AX388" t="s">
        <v>2172</v>
      </c>
      <c r="AY388" s="224"/>
    </row>
    <row r="389" spans="1:64" x14ac:dyDescent="0.25">
      <c r="A389" s="223">
        <v>2042</v>
      </c>
      <c r="B389" s="223">
        <v>43</v>
      </c>
      <c r="C389" s="224">
        <v>45188</v>
      </c>
      <c r="D389" s="225" t="s">
        <v>940</v>
      </c>
      <c r="E389" s="225" t="s">
        <v>859</v>
      </c>
      <c r="F389" s="225" t="s">
        <v>860</v>
      </c>
      <c r="G389" s="223" t="s">
        <v>861</v>
      </c>
      <c r="H389" s="224"/>
      <c r="I389" s="224">
        <v>45191</v>
      </c>
      <c r="J389" s="225" t="s">
        <v>1837</v>
      </c>
      <c r="K389" s="225" t="s">
        <v>98</v>
      </c>
      <c r="L389" s="225" t="s">
        <v>4</v>
      </c>
      <c r="M389" s="223">
        <v>3</v>
      </c>
      <c r="N389" s="223">
        <v>10</v>
      </c>
      <c r="O389" s="223">
        <v>176</v>
      </c>
      <c r="P389" s="223">
        <v>2</v>
      </c>
      <c r="Q389" s="223">
        <v>57.6</v>
      </c>
      <c r="R389" s="225" t="s">
        <v>14</v>
      </c>
      <c r="S389" s="230">
        <v>5503532.7400000002</v>
      </c>
      <c r="T389" s="226">
        <v>95547.44</v>
      </c>
      <c r="U389" s="228">
        <v>15000</v>
      </c>
      <c r="V389" s="226">
        <v>5518532.7400000002</v>
      </c>
      <c r="W389" s="226">
        <v>95807.860069444447</v>
      </c>
      <c r="X389" s="228">
        <v>892800</v>
      </c>
      <c r="Y389" s="228">
        <f>Юрист[[#This Row],[Итоговая цена м2 с отделкой]]-Юрист[[#This Row],[Итоговая цена м2 без отделки]]</f>
        <v>15500</v>
      </c>
      <c r="Z389" s="226">
        <v>4625732.74</v>
      </c>
      <c r="AA389" s="223">
        <v>80307.860069444447</v>
      </c>
      <c r="AB389" s="225"/>
      <c r="AD389" s="225" t="s">
        <v>862</v>
      </c>
      <c r="AE389" s="225" t="s">
        <v>863</v>
      </c>
      <c r="AF389" s="226">
        <v>826000</v>
      </c>
      <c r="AG389" s="226">
        <v>4677532.74</v>
      </c>
      <c r="AH389" s="226"/>
      <c r="AI389" s="226"/>
      <c r="AJ389" s="226"/>
      <c r="AK389" s="223" t="s">
        <v>864</v>
      </c>
      <c r="AL389" s="227">
        <v>1.4E-2</v>
      </c>
      <c r="AM389" s="229">
        <v>0.04</v>
      </c>
      <c r="AO389" s="223">
        <v>0</v>
      </c>
      <c r="AP389" s="225" t="s">
        <v>941</v>
      </c>
      <c r="AQ389" s="223">
        <v>79869041428</v>
      </c>
      <c r="AR389" s="225" t="s">
        <v>882</v>
      </c>
      <c r="AS389" s="224">
        <v>29106</v>
      </c>
      <c r="AT389" s="225" t="s">
        <v>907</v>
      </c>
      <c r="AU389" s="225" t="s">
        <v>899</v>
      </c>
      <c r="AV389" s="225" t="s">
        <v>869</v>
      </c>
      <c r="AW389" s="225" t="s">
        <v>172</v>
      </c>
      <c r="AX389" t="s">
        <v>2172</v>
      </c>
      <c r="AY389" s="224"/>
    </row>
    <row r="390" spans="1:64" x14ac:dyDescent="0.25">
      <c r="A390" s="223">
        <v>2041</v>
      </c>
      <c r="B390" s="223">
        <v>42</v>
      </c>
      <c r="C390" s="224">
        <v>45188</v>
      </c>
      <c r="D390" s="225" t="s">
        <v>937</v>
      </c>
      <c r="E390" s="225" t="s">
        <v>859</v>
      </c>
      <c r="F390" s="225" t="s">
        <v>860</v>
      </c>
      <c r="G390" s="223" t="s">
        <v>861</v>
      </c>
      <c r="H390" s="224"/>
      <c r="I390" s="224">
        <v>45191</v>
      </c>
      <c r="J390" s="225" t="s">
        <v>1981</v>
      </c>
      <c r="K390" s="225" t="s">
        <v>98</v>
      </c>
      <c r="L390" s="225" t="s">
        <v>2</v>
      </c>
      <c r="M390" s="223">
        <v>2</v>
      </c>
      <c r="N390" s="223">
        <v>3</v>
      </c>
      <c r="O390" s="223">
        <v>406</v>
      </c>
      <c r="P390" s="223">
        <v>1</v>
      </c>
      <c r="Q390" s="223">
        <v>43.21</v>
      </c>
      <c r="R390" s="225" t="s">
        <v>14</v>
      </c>
      <c r="S390" s="230">
        <v>4147008.59</v>
      </c>
      <c r="T390" s="226">
        <v>95973.35</v>
      </c>
      <c r="U390" s="228">
        <v>15000</v>
      </c>
      <c r="V390" s="226">
        <v>4162008.59</v>
      </c>
      <c r="W390" s="226">
        <v>96320.495024299918</v>
      </c>
      <c r="X390" s="228">
        <v>669755</v>
      </c>
      <c r="Y390" s="228">
        <f>Юрист[[#This Row],[Итоговая цена м2 с отделкой]]-Юрист[[#This Row],[Итоговая цена м2 без отделки]]</f>
        <v>15500</v>
      </c>
      <c r="Z390" s="226">
        <v>3492253.59</v>
      </c>
      <c r="AA390" s="223">
        <v>80820.495024299918</v>
      </c>
      <c r="AB390" s="225" t="s">
        <v>162</v>
      </c>
      <c r="AC390" s="226">
        <v>222909.8</v>
      </c>
      <c r="AD390" s="225" t="s">
        <v>862</v>
      </c>
      <c r="AE390" s="225" t="s">
        <v>863</v>
      </c>
      <c r="AF390" s="226">
        <v>622100</v>
      </c>
      <c r="AG390" s="226">
        <v>3524908.59</v>
      </c>
      <c r="AH390" s="226"/>
      <c r="AI390" s="226"/>
      <c r="AJ390" s="226"/>
      <c r="AK390" s="223" t="s">
        <v>864</v>
      </c>
      <c r="AL390" s="227">
        <v>1.4E-2</v>
      </c>
      <c r="AM390" s="229">
        <v>0.04</v>
      </c>
      <c r="AO390" s="223">
        <v>0</v>
      </c>
      <c r="AP390" s="225" t="s">
        <v>938</v>
      </c>
      <c r="AQ390" s="223">
        <v>79274157339</v>
      </c>
      <c r="AR390" s="225" t="s">
        <v>866</v>
      </c>
      <c r="AS390" s="224">
        <v>33339</v>
      </c>
      <c r="AT390" s="225" t="s">
        <v>939</v>
      </c>
      <c r="AU390" s="225" t="s">
        <v>934</v>
      </c>
      <c r="AV390" s="225" t="s">
        <v>869</v>
      </c>
      <c r="AW390" s="225" t="s">
        <v>172</v>
      </c>
      <c r="AX390" t="s">
        <v>2172</v>
      </c>
      <c r="AY390" s="224"/>
    </row>
    <row r="391" spans="1:64" x14ac:dyDescent="0.25">
      <c r="A391" s="223">
        <v>2052</v>
      </c>
      <c r="B391" s="223">
        <v>53</v>
      </c>
      <c r="C391" s="224">
        <v>45188</v>
      </c>
      <c r="D391" s="225" t="s">
        <v>961</v>
      </c>
      <c r="E391" s="225" t="s">
        <v>859</v>
      </c>
      <c r="F391" s="225" t="s">
        <v>860</v>
      </c>
      <c r="G391" s="223" t="s">
        <v>861</v>
      </c>
      <c r="H391" s="224"/>
      <c r="I391" s="224">
        <v>45191</v>
      </c>
      <c r="J391" s="225" t="s">
        <v>1871</v>
      </c>
      <c r="K391" s="225" t="s">
        <v>98</v>
      </c>
      <c r="L391" s="225" t="s">
        <v>3</v>
      </c>
      <c r="M391" s="223">
        <v>2</v>
      </c>
      <c r="N391" s="223">
        <v>2</v>
      </c>
      <c r="O391" s="223">
        <v>230</v>
      </c>
      <c r="P391" s="223">
        <v>0</v>
      </c>
      <c r="Q391" s="223">
        <v>24.53</v>
      </c>
      <c r="R391" s="225" t="s">
        <v>14</v>
      </c>
      <c r="S391" s="230">
        <v>2621523.16</v>
      </c>
      <c r="T391" s="226">
        <v>106870.08</v>
      </c>
      <c r="U391" s="228">
        <v>15000</v>
      </c>
      <c r="V391" s="226">
        <v>2636523.16</v>
      </c>
      <c r="W391" s="226">
        <v>107481.58010599266</v>
      </c>
      <c r="X391" s="228">
        <v>380215</v>
      </c>
      <c r="Y391" s="228">
        <f>Юрист[[#This Row],[Итоговая цена м2 с отделкой]]-Юрист[[#This Row],[Итоговая цена м2 без отделки]]</f>
        <v>15500</v>
      </c>
      <c r="Z391" s="226">
        <v>2256308.16</v>
      </c>
      <c r="AA391" s="223">
        <v>91981.58010599266</v>
      </c>
      <c r="AB391" s="225"/>
      <c r="AD391" s="225" t="s">
        <v>862</v>
      </c>
      <c r="AE391" s="225" t="s">
        <v>863</v>
      </c>
      <c r="AF391" s="226">
        <v>334576.44</v>
      </c>
      <c r="AG391" s="226">
        <v>1700000</v>
      </c>
      <c r="AH391" s="226">
        <v>586946.72</v>
      </c>
      <c r="AI391" s="226"/>
      <c r="AJ391" s="226"/>
      <c r="AK391" s="223" t="s">
        <v>864</v>
      </c>
      <c r="AL391" s="227">
        <v>1.4E-2</v>
      </c>
      <c r="AM391" s="229">
        <v>0.04</v>
      </c>
      <c r="AO391" s="223">
        <v>0</v>
      </c>
      <c r="AP391" s="225" t="s">
        <v>962</v>
      </c>
      <c r="AQ391" s="223">
        <v>79272968641</v>
      </c>
      <c r="AR391" s="225" t="s">
        <v>866</v>
      </c>
      <c r="AS391" s="224">
        <v>28286</v>
      </c>
      <c r="AT391" s="225" t="s">
        <v>963</v>
      </c>
      <c r="AU391" s="225" t="s">
        <v>910</v>
      </c>
      <c r="AV391" s="225" t="s">
        <v>879</v>
      </c>
      <c r="AW391" s="225" t="s">
        <v>172</v>
      </c>
      <c r="AX391" t="s">
        <v>2172</v>
      </c>
      <c r="AY391" s="224"/>
    </row>
    <row r="392" spans="1:64" x14ac:dyDescent="0.25">
      <c r="A392" s="223">
        <v>2063</v>
      </c>
      <c r="B392" s="223">
        <v>64</v>
      </c>
      <c r="C392" s="224">
        <v>45188</v>
      </c>
      <c r="D392" s="225" t="s">
        <v>988</v>
      </c>
      <c r="E392" s="225" t="s">
        <v>859</v>
      </c>
      <c r="F392" s="225" t="s">
        <v>860</v>
      </c>
      <c r="G392" s="223" t="s">
        <v>926</v>
      </c>
      <c r="H392" s="224"/>
      <c r="I392" s="224">
        <v>45191</v>
      </c>
      <c r="J392" s="225" t="s">
        <v>1878</v>
      </c>
      <c r="K392" s="225" t="s">
        <v>98</v>
      </c>
      <c r="L392" s="225" t="s">
        <v>3</v>
      </c>
      <c r="M392" s="223">
        <v>5</v>
      </c>
      <c r="N392" s="223">
        <v>3</v>
      </c>
      <c r="O392" s="223">
        <v>240</v>
      </c>
      <c r="P392" s="223">
        <v>1</v>
      </c>
      <c r="Q392" s="223">
        <v>37.81</v>
      </c>
      <c r="R392" s="225" t="s">
        <v>12</v>
      </c>
      <c r="S392" s="230">
        <v>3471383.03</v>
      </c>
      <c r="T392" s="226">
        <v>91811.24</v>
      </c>
      <c r="U392" s="228"/>
      <c r="V392" s="226">
        <v>3471383.03</v>
      </c>
      <c r="W392" s="226">
        <v>91811.241206030143</v>
      </c>
      <c r="X392" s="228"/>
      <c r="Y392" s="228">
        <f>Юрист[[#This Row],[Итоговая цена м2 с отделкой]]-Юрист[[#This Row],[Итоговая цена м2 без отделки]]</f>
        <v>0</v>
      </c>
      <c r="Z392" s="226">
        <v>3471383.03</v>
      </c>
      <c r="AA392" s="223">
        <v>91811.241206030143</v>
      </c>
      <c r="AB392" s="225" t="s">
        <v>978</v>
      </c>
      <c r="AC392" s="226">
        <v>70844.55</v>
      </c>
      <c r="AD392" s="225" t="s">
        <v>901</v>
      </c>
      <c r="AE392" s="225" t="s">
        <v>902</v>
      </c>
      <c r="AF392" s="226"/>
      <c r="AG392" s="226"/>
      <c r="AH392" s="226"/>
      <c r="AI392" s="226"/>
      <c r="AJ392" s="226"/>
      <c r="AL392" s="227"/>
      <c r="AM392" s="229"/>
      <c r="AO392" s="223">
        <v>0</v>
      </c>
      <c r="AP392" s="225" t="s">
        <v>989</v>
      </c>
      <c r="AQ392" s="223">
        <v>79379988999</v>
      </c>
      <c r="AR392" s="225" t="s">
        <v>866</v>
      </c>
      <c r="AS392" s="224">
        <v>31188</v>
      </c>
      <c r="AT392" s="225" t="s">
        <v>987</v>
      </c>
      <c r="AU392" s="225" t="s">
        <v>910</v>
      </c>
      <c r="AV392" s="225" t="s">
        <v>902</v>
      </c>
      <c r="AW392" s="225" t="s">
        <v>172</v>
      </c>
      <c r="AX392" t="s">
        <v>2172</v>
      </c>
      <c r="AY392" s="224"/>
    </row>
    <row r="393" spans="1:64" x14ac:dyDescent="0.25">
      <c r="A393" s="223">
        <v>2062</v>
      </c>
      <c r="B393" s="223">
        <v>63</v>
      </c>
      <c r="C393" s="224">
        <v>45188</v>
      </c>
      <c r="D393" s="225" t="s">
        <v>985</v>
      </c>
      <c r="E393" s="225" t="s">
        <v>859</v>
      </c>
      <c r="F393" s="225" t="s">
        <v>860</v>
      </c>
      <c r="G393" s="223" t="s">
        <v>861</v>
      </c>
      <c r="H393" s="224"/>
      <c r="I393" s="224">
        <v>45191</v>
      </c>
      <c r="J393" s="225" t="s">
        <v>1992</v>
      </c>
      <c r="K393" s="225" t="s">
        <v>98</v>
      </c>
      <c r="L393" s="225" t="s">
        <v>2</v>
      </c>
      <c r="M393" s="223">
        <v>6</v>
      </c>
      <c r="N393" s="223">
        <v>4</v>
      </c>
      <c r="O393" s="223">
        <v>418</v>
      </c>
      <c r="P393" s="223">
        <v>1</v>
      </c>
      <c r="Q393" s="223">
        <v>38.299999999999997</v>
      </c>
      <c r="R393" s="225" t="s">
        <v>12</v>
      </c>
      <c r="S393" s="230">
        <v>3662178.98</v>
      </c>
      <c r="T393" s="226">
        <v>95618.25</v>
      </c>
      <c r="U393" s="228"/>
      <c r="V393" s="226">
        <v>3662178.98</v>
      </c>
      <c r="W393" s="226">
        <v>95618.250130548317</v>
      </c>
      <c r="X393" s="228"/>
      <c r="Y393" s="228">
        <f>Юрист[[#This Row],[Итоговая цена м2 с отделкой]]-Юрист[[#This Row],[Итоговая цена м2 без отделки]]</f>
        <v>0</v>
      </c>
      <c r="Z393" s="226">
        <v>3662178.98</v>
      </c>
      <c r="AA393" s="223">
        <v>95618.250130548317</v>
      </c>
      <c r="AB393" s="225"/>
      <c r="AD393" s="225" t="s">
        <v>862</v>
      </c>
      <c r="AE393" s="225" t="s">
        <v>863</v>
      </c>
      <c r="AF393" s="226">
        <v>1500000</v>
      </c>
      <c r="AG393" s="226">
        <v>2162178.98</v>
      </c>
      <c r="AH393" s="226"/>
      <c r="AI393" s="226"/>
      <c r="AJ393" s="226"/>
      <c r="AK393" s="223" t="s">
        <v>864</v>
      </c>
      <c r="AL393" s="227">
        <v>0.04</v>
      </c>
      <c r="AM393" s="229">
        <v>1.6E-2</v>
      </c>
      <c r="AO393" s="223">
        <v>0</v>
      </c>
      <c r="AP393" s="225" t="s">
        <v>986</v>
      </c>
      <c r="AQ393" s="223">
        <v>79379988999</v>
      </c>
      <c r="AR393" s="225" t="s">
        <v>882</v>
      </c>
      <c r="AS393" s="224">
        <v>28178</v>
      </c>
      <c r="AT393" s="225" t="s">
        <v>987</v>
      </c>
      <c r="AU393" s="225" t="s">
        <v>910</v>
      </c>
      <c r="AV393" s="225" t="s">
        <v>869</v>
      </c>
      <c r="AW393" s="225" t="s">
        <v>172</v>
      </c>
      <c r="AX393" t="s">
        <v>2172</v>
      </c>
      <c r="AY393" s="224"/>
    </row>
    <row r="394" spans="1:64" x14ac:dyDescent="0.25">
      <c r="A394" s="223">
        <v>2061</v>
      </c>
      <c r="B394" s="223">
        <v>62</v>
      </c>
      <c r="C394" s="224">
        <v>45188</v>
      </c>
      <c r="D394" s="225" t="s">
        <v>983</v>
      </c>
      <c r="E394" s="225" t="s">
        <v>859</v>
      </c>
      <c r="F394" s="225" t="s">
        <v>860</v>
      </c>
      <c r="G394" s="223" t="s">
        <v>861</v>
      </c>
      <c r="H394" s="224"/>
      <c r="I394" s="224">
        <v>45191</v>
      </c>
      <c r="J394" s="225" t="s">
        <v>1971</v>
      </c>
      <c r="K394" s="225" t="s">
        <v>98</v>
      </c>
      <c r="L394" s="225" t="s">
        <v>2</v>
      </c>
      <c r="M394" s="223">
        <v>3</v>
      </c>
      <c r="N394" s="223">
        <v>1</v>
      </c>
      <c r="O394" s="223">
        <v>392</v>
      </c>
      <c r="P394" s="223">
        <v>0</v>
      </c>
      <c r="Q394" s="223">
        <v>24.5</v>
      </c>
      <c r="R394" s="225" t="s">
        <v>13</v>
      </c>
      <c r="S394" s="230">
        <v>2768616.87</v>
      </c>
      <c r="T394" s="226">
        <v>113004.77</v>
      </c>
      <c r="U394" s="228"/>
      <c r="V394" s="226">
        <v>2768616.87</v>
      </c>
      <c r="W394" s="226">
        <v>113004.77020408164</v>
      </c>
      <c r="X394" s="228">
        <v>122500</v>
      </c>
      <c r="Y394" s="228">
        <f>Юрист[[#This Row],[Итоговая цена м2 с отделкой]]-Юрист[[#This Row],[Итоговая цена м2 без отделки]]</f>
        <v>5000</v>
      </c>
      <c r="Z394" s="226">
        <v>2646116.87</v>
      </c>
      <c r="AA394" s="223">
        <v>108004.77020408164</v>
      </c>
      <c r="AB394" s="225"/>
      <c r="AD394" s="225" t="s">
        <v>862</v>
      </c>
      <c r="AE394" s="225" t="s">
        <v>863</v>
      </c>
      <c r="AF394" s="226">
        <v>125000</v>
      </c>
      <c r="AG394" s="226">
        <v>2350616.87</v>
      </c>
      <c r="AH394" s="226">
        <v>293000</v>
      </c>
      <c r="AI394" s="226"/>
      <c r="AJ394" s="226"/>
      <c r="AK394" s="223" t="s">
        <v>864</v>
      </c>
      <c r="AL394" s="227">
        <v>1.4E-2</v>
      </c>
      <c r="AM394" s="229">
        <v>4.2999999999999997E-2</v>
      </c>
      <c r="AO394" s="223">
        <v>0</v>
      </c>
      <c r="AP394" s="225" t="s">
        <v>984</v>
      </c>
      <c r="AQ394" s="223">
        <v>79063409125</v>
      </c>
      <c r="AR394" s="225" t="s">
        <v>866</v>
      </c>
      <c r="AS394" s="224">
        <v>31120</v>
      </c>
      <c r="AT394" s="225" t="s">
        <v>867</v>
      </c>
      <c r="AU394" s="225" t="s">
        <v>868</v>
      </c>
      <c r="AV394" s="225" t="s">
        <v>869</v>
      </c>
      <c r="AW394" s="225" t="s">
        <v>172</v>
      </c>
      <c r="AX394" t="s">
        <v>2168</v>
      </c>
      <c r="AY394" s="224"/>
    </row>
    <row r="395" spans="1:64" x14ac:dyDescent="0.25">
      <c r="A395" s="223">
        <v>2064</v>
      </c>
      <c r="B395" s="223">
        <v>65</v>
      </c>
      <c r="C395" s="224">
        <v>45188</v>
      </c>
      <c r="D395" s="225" t="s">
        <v>990</v>
      </c>
      <c r="E395" s="225" t="s">
        <v>859</v>
      </c>
      <c r="F395" s="225" t="s">
        <v>860</v>
      </c>
      <c r="G395" s="223" t="s">
        <v>861</v>
      </c>
      <c r="H395" s="224"/>
      <c r="I395" s="224">
        <v>45191</v>
      </c>
      <c r="J395" s="225" t="s">
        <v>2068</v>
      </c>
      <c r="K395" s="225" t="s">
        <v>98</v>
      </c>
      <c r="L395" s="225" t="s">
        <v>2</v>
      </c>
      <c r="M395" s="223">
        <v>8</v>
      </c>
      <c r="N395" s="223">
        <v>15</v>
      </c>
      <c r="O395" s="223">
        <v>508</v>
      </c>
      <c r="P395" s="223">
        <v>1</v>
      </c>
      <c r="Q395" s="223">
        <v>39.69</v>
      </c>
      <c r="R395" s="225" t="s">
        <v>14</v>
      </c>
      <c r="S395" s="230">
        <v>4328085</v>
      </c>
      <c r="T395" s="226">
        <v>109047.24</v>
      </c>
      <c r="U395" s="228">
        <v>15000</v>
      </c>
      <c r="V395" s="226">
        <v>4343085</v>
      </c>
      <c r="W395" s="226">
        <v>109425.17006802722</v>
      </c>
      <c r="X395" s="228">
        <v>635040</v>
      </c>
      <c r="Y395" s="228">
        <f>Юрист[[#This Row],[Итоговая цена м2 с отделкой]]-Юрист[[#This Row],[Итоговая цена м2 без отделки]]</f>
        <v>16000</v>
      </c>
      <c r="Z395" s="226">
        <v>3708045</v>
      </c>
      <c r="AA395" s="223">
        <v>93425.170068027219</v>
      </c>
      <c r="AB395" s="225"/>
      <c r="AD395" s="225" t="s">
        <v>862</v>
      </c>
      <c r="AE395" s="225" t="s">
        <v>863</v>
      </c>
      <c r="AF395" s="226">
        <v>800000</v>
      </c>
      <c r="AG395" s="226">
        <v>3543085</v>
      </c>
      <c r="AH395" s="226"/>
      <c r="AI395" s="226"/>
      <c r="AJ395" s="226"/>
      <c r="AK395" s="223" t="s">
        <v>873</v>
      </c>
      <c r="AL395" s="227">
        <v>1.4E-2</v>
      </c>
      <c r="AM395" s="229">
        <v>0.06</v>
      </c>
      <c r="AO395" s="223">
        <v>0</v>
      </c>
      <c r="AP395" s="225" t="s">
        <v>991</v>
      </c>
      <c r="AQ395" s="223">
        <v>79272019698</v>
      </c>
      <c r="AR395" s="225" t="s">
        <v>866</v>
      </c>
      <c r="AS395" s="224">
        <v>26263</v>
      </c>
      <c r="AT395" s="225" t="s">
        <v>878</v>
      </c>
      <c r="AU395" s="225" t="s">
        <v>889</v>
      </c>
      <c r="AV395" s="225" t="s">
        <v>879</v>
      </c>
      <c r="AW395" s="225" t="s">
        <v>172</v>
      </c>
      <c r="AX395" t="s">
        <v>2172</v>
      </c>
      <c r="AY395" s="224"/>
    </row>
    <row r="396" spans="1:64" x14ac:dyDescent="0.25">
      <c r="A396" s="223">
        <v>2067</v>
      </c>
      <c r="B396" s="223">
        <v>68</v>
      </c>
      <c r="C396" s="224">
        <v>45188</v>
      </c>
      <c r="D396" s="225" t="s">
        <v>998</v>
      </c>
      <c r="E396" s="225" t="s">
        <v>859</v>
      </c>
      <c r="F396" s="225" t="s">
        <v>860</v>
      </c>
      <c r="G396" s="223" t="s">
        <v>861</v>
      </c>
      <c r="H396" s="224"/>
      <c r="I396" s="224">
        <v>45191</v>
      </c>
      <c r="J396" s="225" t="s">
        <v>2024</v>
      </c>
      <c r="K396" s="225" t="s">
        <v>98</v>
      </c>
      <c r="L396" s="225" t="s">
        <v>2</v>
      </c>
      <c r="M396" s="223">
        <v>2</v>
      </c>
      <c r="N396" s="223">
        <v>9</v>
      </c>
      <c r="O396" s="223">
        <v>454</v>
      </c>
      <c r="P396" s="223">
        <v>1</v>
      </c>
      <c r="Q396" s="223">
        <v>43.21</v>
      </c>
      <c r="R396" s="225" t="s">
        <v>12</v>
      </c>
      <c r="S396" s="230">
        <v>3665114.9</v>
      </c>
      <c r="T396" s="226">
        <v>84820.99</v>
      </c>
      <c r="U396" s="228">
        <v>15000</v>
      </c>
      <c r="V396" s="226">
        <v>3680114.9</v>
      </c>
      <c r="W396" s="226">
        <v>85168.130062485536</v>
      </c>
      <c r="X396" s="228"/>
      <c r="Y396" s="228">
        <f>Юрист[[#This Row],[Итоговая цена м2 с отделкой]]-Юрист[[#This Row],[Итоговая цена м2 без отделки]]</f>
        <v>0</v>
      </c>
      <c r="Z396" s="226">
        <v>3680114.9</v>
      </c>
      <c r="AA396" s="223">
        <v>85168.130062485536</v>
      </c>
      <c r="AB396" s="225"/>
      <c r="AD396" s="225" t="s">
        <v>862</v>
      </c>
      <c r="AE396" s="225" t="s">
        <v>863</v>
      </c>
      <c r="AF396" s="226">
        <v>550000</v>
      </c>
      <c r="AG396" s="226">
        <v>3115114.9</v>
      </c>
      <c r="AH396" s="226"/>
      <c r="AI396" s="226"/>
      <c r="AJ396" s="226"/>
      <c r="AK396" s="223" t="s">
        <v>873</v>
      </c>
      <c r="AL396" s="227">
        <v>1.4E-2</v>
      </c>
      <c r="AM396" s="229">
        <v>0.06</v>
      </c>
      <c r="AO396" s="223">
        <v>0</v>
      </c>
      <c r="AP396" s="225" t="s">
        <v>999</v>
      </c>
      <c r="AQ396" s="223">
        <v>79093234535</v>
      </c>
      <c r="AR396" s="225" t="s">
        <v>882</v>
      </c>
      <c r="AS396" s="224">
        <v>30379</v>
      </c>
      <c r="AT396" s="225" t="s">
        <v>907</v>
      </c>
      <c r="AU396" s="225" t="s">
        <v>889</v>
      </c>
      <c r="AV396" s="225" t="s">
        <v>879</v>
      </c>
      <c r="AW396" s="225" t="s">
        <v>172</v>
      </c>
      <c r="AX396" t="s">
        <v>2172</v>
      </c>
      <c r="AY396" s="224"/>
    </row>
    <row r="397" spans="1:64" x14ac:dyDescent="0.25">
      <c r="A397" s="223">
        <v>2066</v>
      </c>
      <c r="B397" s="223">
        <v>67</v>
      </c>
      <c r="C397" s="224">
        <v>45188</v>
      </c>
      <c r="D397" s="225" t="s">
        <v>995</v>
      </c>
      <c r="E397" s="225" t="s">
        <v>859</v>
      </c>
      <c r="F397" s="225" t="s">
        <v>860</v>
      </c>
      <c r="G397" s="223" t="s">
        <v>861</v>
      </c>
      <c r="H397" s="224"/>
      <c r="I397" s="224">
        <v>45191</v>
      </c>
      <c r="J397" s="225" t="s">
        <v>1988</v>
      </c>
      <c r="K397" s="225" t="s">
        <v>98</v>
      </c>
      <c r="L397" s="225" t="s">
        <v>2</v>
      </c>
      <c r="M397" s="223">
        <v>2</v>
      </c>
      <c r="N397" s="223">
        <v>4</v>
      </c>
      <c r="O397" s="223">
        <v>414</v>
      </c>
      <c r="P397" s="223">
        <v>1</v>
      </c>
      <c r="Q397" s="223">
        <v>43.21</v>
      </c>
      <c r="R397" s="225" t="s">
        <v>12</v>
      </c>
      <c r="S397" s="230">
        <v>4058128.51</v>
      </c>
      <c r="T397" s="226">
        <v>93916.42</v>
      </c>
      <c r="U397" s="228"/>
      <c r="V397" s="226">
        <v>4058128.51</v>
      </c>
      <c r="W397" s="226">
        <v>93916.420041657024</v>
      </c>
      <c r="X397" s="228"/>
      <c r="Y397" s="228">
        <f>Юрист[[#This Row],[Итоговая цена м2 с отделкой]]-Юрист[[#This Row],[Итоговая цена м2 без отделки]]</f>
        <v>0</v>
      </c>
      <c r="Z397" s="226">
        <v>4058128.51</v>
      </c>
      <c r="AA397" s="223">
        <v>93916.420041657024</v>
      </c>
      <c r="AB397" s="225"/>
      <c r="AD397" s="225" t="s">
        <v>862</v>
      </c>
      <c r="AE397" s="225" t="s">
        <v>863</v>
      </c>
      <c r="AF397" s="226">
        <v>610000</v>
      </c>
      <c r="AG397" s="226">
        <v>3448128.51</v>
      </c>
      <c r="AH397" s="226"/>
      <c r="AI397" s="226"/>
      <c r="AJ397" s="226"/>
      <c r="AK397" s="223" t="s">
        <v>864</v>
      </c>
      <c r="AL397" s="227">
        <v>1.4E-2</v>
      </c>
      <c r="AM397" s="229">
        <v>4.2999999999999997E-2</v>
      </c>
      <c r="AO397" s="223">
        <v>0</v>
      </c>
      <c r="AP397" s="225" t="s">
        <v>996</v>
      </c>
      <c r="AQ397" s="223">
        <v>79228111049</v>
      </c>
      <c r="AR397" s="225" t="s">
        <v>866</v>
      </c>
      <c r="AS397" s="224">
        <v>31998</v>
      </c>
      <c r="AT397" s="225" t="s">
        <v>987</v>
      </c>
      <c r="AU397" s="225" t="s">
        <v>997</v>
      </c>
      <c r="AV397" s="225" t="s">
        <v>869</v>
      </c>
      <c r="AW397" s="225" t="s">
        <v>172</v>
      </c>
      <c r="AX397" t="s">
        <v>2172</v>
      </c>
      <c r="AY397" s="224"/>
    </row>
    <row r="398" spans="1:64" x14ac:dyDescent="0.25">
      <c r="A398" s="223">
        <v>2065</v>
      </c>
      <c r="B398" s="223">
        <v>66</v>
      </c>
      <c r="C398" s="224">
        <v>45188</v>
      </c>
      <c r="D398" s="225" t="s">
        <v>992</v>
      </c>
      <c r="E398" s="225" t="s">
        <v>859</v>
      </c>
      <c r="F398" s="225" t="s">
        <v>860</v>
      </c>
      <c r="G398" s="223" t="s">
        <v>861</v>
      </c>
      <c r="H398" s="224"/>
      <c r="I398" s="224">
        <v>45191</v>
      </c>
      <c r="J398" s="225" t="s">
        <v>1811</v>
      </c>
      <c r="K398" s="225" t="s">
        <v>98</v>
      </c>
      <c r="L398" s="225" t="s">
        <v>4</v>
      </c>
      <c r="M398" s="223">
        <v>6</v>
      </c>
      <c r="N398" s="223">
        <v>4</v>
      </c>
      <c r="O398" s="223">
        <v>137</v>
      </c>
      <c r="P398" s="223">
        <v>3</v>
      </c>
      <c r="Q398" s="223">
        <v>84.99</v>
      </c>
      <c r="R398" s="225" t="s">
        <v>13</v>
      </c>
      <c r="S398" s="230">
        <v>7256081.8300000001</v>
      </c>
      <c r="T398" s="226">
        <v>85375.71</v>
      </c>
      <c r="U398" s="228"/>
      <c r="V398" s="226">
        <v>7256081.8300000001</v>
      </c>
      <c r="W398" s="226">
        <v>85375.712789739977</v>
      </c>
      <c r="X398" s="228">
        <v>637425</v>
      </c>
      <c r="Y398" s="228">
        <f>Юрист[[#This Row],[Итоговая цена м2 с отделкой]]-Юрист[[#This Row],[Итоговая цена м2 без отделки]]</f>
        <v>7500</v>
      </c>
      <c r="Z398" s="226">
        <v>6618656.8300000001</v>
      </c>
      <c r="AA398" s="223">
        <v>77875.712789739977</v>
      </c>
      <c r="AB398" s="225" t="s">
        <v>993</v>
      </c>
      <c r="AC398" s="226">
        <v>204700.73</v>
      </c>
      <c r="AD398" s="225" t="s">
        <v>862</v>
      </c>
      <c r="AE398" s="225" t="s">
        <v>863</v>
      </c>
      <c r="AF398" s="226">
        <v>1256081.83</v>
      </c>
      <c r="AG398" s="226">
        <v>6000000</v>
      </c>
      <c r="AH398" s="226"/>
      <c r="AI398" s="226"/>
      <c r="AJ398" s="226"/>
      <c r="AK398" s="223" t="s">
        <v>864</v>
      </c>
      <c r="AL398" s="227">
        <v>1.4E-2</v>
      </c>
      <c r="AM398" s="229">
        <v>4.2999999999999997E-2</v>
      </c>
      <c r="AO398" s="223">
        <v>0</v>
      </c>
      <c r="AP398" s="225" t="s">
        <v>994</v>
      </c>
      <c r="AQ398" s="223">
        <v>79379810172</v>
      </c>
      <c r="AR398" s="225" t="s">
        <v>866</v>
      </c>
      <c r="AS398" s="224">
        <v>32646</v>
      </c>
      <c r="AT398" s="225" t="s">
        <v>878</v>
      </c>
      <c r="AU398" s="225" t="s">
        <v>868</v>
      </c>
      <c r="AV398" s="225" t="s">
        <v>869</v>
      </c>
      <c r="AW398" s="225" t="s">
        <v>172</v>
      </c>
      <c r="AX398" t="s">
        <v>2172</v>
      </c>
      <c r="AY398" s="224"/>
    </row>
    <row r="399" spans="1:64" x14ac:dyDescent="0.25">
      <c r="A399" s="223">
        <v>2060</v>
      </c>
      <c r="B399" s="223">
        <v>61</v>
      </c>
      <c r="C399" s="224">
        <v>45188</v>
      </c>
      <c r="D399" s="225" t="s">
        <v>980</v>
      </c>
      <c r="E399" s="225" t="s">
        <v>859</v>
      </c>
      <c r="F399" s="225" t="s">
        <v>860</v>
      </c>
      <c r="G399" s="223" t="s">
        <v>861</v>
      </c>
      <c r="H399" s="224"/>
      <c r="I399" s="224">
        <v>45191</v>
      </c>
      <c r="J399" s="225" t="s">
        <v>1986</v>
      </c>
      <c r="K399" s="225" t="s">
        <v>98</v>
      </c>
      <c r="L399" s="225" t="s">
        <v>2</v>
      </c>
      <c r="M399" s="223">
        <v>8</v>
      </c>
      <c r="N399" s="223">
        <v>3</v>
      </c>
      <c r="O399" s="223">
        <v>412</v>
      </c>
      <c r="P399" s="223">
        <v>1</v>
      </c>
      <c r="Q399" s="223">
        <v>39.69</v>
      </c>
      <c r="R399" s="225" t="s">
        <v>12</v>
      </c>
      <c r="S399" s="230">
        <v>3673227.74</v>
      </c>
      <c r="T399" s="226">
        <v>92547.94</v>
      </c>
      <c r="U399" s="228"/>
      <c r="V399" s="226">
        <v>3673227.74</v>
      </c>
      <c r="W399" s="226">
        <v>92547.940035273379</v>
      </c>
      <c r="X399" s="228"/>
      <c r="Y399" s="228">
        <f>Юрист[[#This Row],[Итоговая цена м2 с отделкой]]-Юрист[[#This Row],[Итоговая цена м2 без отделки]]</f>
        <v>0</v>
      </c>
      <c r="Z399" s="226">
        <v>3673227.74</v>
      </c>
      <c r="AA399" s="223">
        <v>92547.940035273379</v>
      </c>
      <c r="AB399" s="225"/>
      <c r="AD399" s="225" t="s">
        <v>862</v>
      </c>
      <c r="AE399" s="225" t="s">
        <v>863</v>
      </c>
      <c r="AF399" s="226"/>
      <c r="AG399" s="226">
        <v>3118671.63</v>
      </c>
      <c r="AH399" s="226">
        <v>554556.11</v>
      </c>
      <c r="AI399" s="226"/>
      <c r="AJ399" s="226"/>
      <c r="AK399" s="223" t="s">
        <v>864</v>
      </c>
      <c r="AL399" s="227">
        <v>1.4E-2</v>
      </c>
      <c r="AM399" s="229">
        <v>0.04</v>
      </c>
      <c r="AO399" s="223">
        <v>0</v>
      </c>
      <c r="AP399" s="225" t="s">
        <v>981</v>
      </c>
      <c r="AQ399" s="223">
        <v>79022390581</v>
      </c>
      <c r="AR399" s="225" t="s">
        <v>866</v>
      </c>
      <c r="AS399" s="224">
        <v>34641</v>
      </c>
      <c r="AT399" s="225" t="s">
        <v>982</v>
      </c>
      <c r="AU399" s="225" t="s">
        <v>889</v>
      </c>
      <c r="AV399" s="225" t="s">
        <v>869</v>
      </c>
      <c r="AW399" s="225" t="s">
        <v>172</v>
      </c>
      <c r="AX399" t="s">
        <v>2172</v>
      </c>
      <c r="AY399" s="224"/>
    </row>
    <row r="400" spans="1:64" x14ac:dyDescent="0.25">
      <c r="A400" s="223">
        <v>2055</v>
      </c>
      <c r="B400" s="223">
        <v>56</v>
      </c>
      <c r="C400" s="224">
        <v>45188</v>
      </c>
      <c r="D400" s="225" t="s">
        <v>968</v>
      </c>
      <c r="E400" s="225" t="s">
        <v>859</v>
      </c>
      <c r="F400" s="225" t="s">
        <v>860</v>
      </c>
      <c r="G400" s="223" t="s">
        <v>861</v>
      </c>
      <c r="H400" s="224"/>
      <c r="I400" s="224">
        <v>45191</v>
      </c>
      <c r="J400" s="225" t="s">
        <v>1876</v>
      </c>
      <c r="K400" s="225" t="s">
        <v>98</v>
      </c>
      <c r="L400" s="225" t="s">
        <v>3</v>
      </c>
      <c r="M400" s="223">
        <v>2</v>
      </c>
      <c r="N400" s="223">
        <v>3</v>
      </c>
      <c r="O400" s="223">
        <v>237</v>
      </c>
      <c r="P400" s="223">
        <v>0</v>
      </c>
      <c r="Q400" s="223">
        <v>24.53</v>
      </c>
      <c r="R400" s="225" t="s">
        <v>12</v>
      </c>
      <c r="S400" s="230">
        <v>2369123.34</v>
      </c>
      <c r="T400" s="226">
        <v>96580.65</v>
      </c>
      <c r="U400" s="228"/>
      <c r="V400" s="226">
        <v>2369123.34</v>
      </c>
      <c r="W400" s="226">
        <v>96580.649816551158</v>
      </c>
      <c r="X400" s="228"/>
      <c r="Y400" s="228">
        <f>Юрист[[#This Row],[Итоговая цена м2 с отделкой]]-Юрист[[#This Row],[Итоговая цена м2 без отделки]]</f>
        <v>0</v>
      </c>
      <c r="Z400" s="226">
        <v>2369123.34</v>
      </c>
      <c r="AA400" s="223">
        <v>96580.649816551158</v>
      </c>
      <c r="AB400" s="225"/>
      <c r="AD400" s="225" t="s">
        <v>862</v>
      </c>
      <c r="AE400" s="225" t="s">
        <v>863</v>
      </c>
      <c r="AF400" s="226">
        <v>500000</v>
      </c>
      <c r="AG400" s="226">
        <v>1869123.34</v>
      </c>
      <c r="AH400" s="226"/>
      <c r="AI400" s="226"/>
      <c r="AJ400" s="226"/>
      <c r="AK400" s="223" t="s">
        <v>873</v>
      </c>
      <c r="AL400" s="227">
        <v>1.4E-2</v>
      </c>
      <c r="AM400" s="229">
        <v>0.06</v>
      </c>
      <c r="AO400" s="223">
        <v>0</v>
      </c>
      <c r="AP400" s="225" t="s">
        <v>969</v>
      </c>
      <c r="AQ400" s="223">
        <v>79111111111</v>
      </c>
      <c r="AR400" s="225" t="s">
        <v>882</v>
      </c>
      <c r="AS400" s="224">
        <v>32016</v>
      </c>
      <c r="AT400" s="225" t="s">
        <v>970</v>
      </c>
      <c r="AU400" s="225" t="s">
        <v>934</v>
      </c>
      <c r="AV400" s="225" t="s">
        <v>869</v>
      </c>
      <c r="AW400" s="225" t="s">
        <v>172</v>
      </c>
      <c r="AX400" t="s">
        <v>2172</v>
      </c>
      <c r="AY400" s="224"/>
    </row>
    <row r="401" spans="1:51" x14ac:dyDescent="0.25">
      <c r="A401" s="223">
        <v>2054</v>
      </c>
      <c r="B401" s="223">
        <v>55</v>
      </c>
      <c r="C401" s="224">
        <v>45188</v>
      </c>
      <c r="D401" s="225" t="s">
        <v>966</v>
      </c>
      <c r="E401" s="225" t="s">
        <v>859</v>
      </c>
      <c r="F401" s="225" t="s">
        <v>860</v>
      </c>
      <c r="G401" s="223" t="s">
        <v>861</v>
      </c>
      <c r="H401" s="224"/>
      <c r="I401" s="224">
        <v>45191</v>
      </c>
      <c r="J401" s="225" t="s">
        <v>2019</v>
      </c>
      <c r="K401" s="225" t="s">
        <v>98</v>
      </c>
      <c r="L401" s="225" t="s">
        <v>2</v>
      </c>
      <c r="M401" s="223">
        <v>4</v>
      </c>
      <c r="N401" s="223">
        <v>8</v>
      </c>
      <c r="O401" s="223">
        <v>448</v>
      </c>
      <c r="P401" s="223">
        <v>2</v>
      </c>
      <c r="Q401" s="223">
        <v>58.24</v>
      </c>
      <c r="R401" s="225" t="s">
        <v>13</v>
      </c>
      <c r="S401" s="230">
        <v>4879237.42</v>
      </c>
      <c r="T401" s="226">
        <v>83778.12</v>
      </c>
      <c r="U401" s="228">
        <v>15000</v>
      </c>
      <c r="V401" s="226">
        <v>4894237.42</v>
      </c>
      <c r="W401" s="226">
        <v>84035.669986263732</v>
      </c>
      <c r="X401" s="228">
        <v>262080</v>
      </c>
      <c r="Y401" s="228">
        <f>Юрист[[#This Row],[Итоговая цена м2 с отделкой]]-Юрист[[#This Row],[Итоговая цена м2 без отделки]]</f>
        <v>4500</v>
      </c>
      <c r="Z401" s="226">
        <v>4632157.42</v>
      </c>
      <c r="AA401" s="223">
        <v>79535.669986263732</v>
      </c>
      <c r="AB401" s="225"/>
      <c r="AD401" s="225" t="s">
        <v>862</v>
      </c>
      <c r="AE401" s="225" t="s">
        <v>863</v>
      </c>
      <c r="AF401" s="226">
        <v>735000</v>
      </c>
      <c r="AG401" s="226">
        <v>4144237.42</v>
      </c>
      <c r="AH401" s="226"/>
      <c r="AI401" s="226"/>
      <c r="AJ401" s="226"/>
      <c r="AK401" s="223" t="s">
        <v>873</v>
      </c>
      <c r="AL401" s="227">
        <v>1.4E-2</v>
      </c>
      <c r="AM401" s="229">
        <v>0.06</v>
      </c>
      <c r="AO401" s="223">
        <v>0</v>
      </c>
      <c r="AP401" s="225" t="s">
        <v>967</v>
      </c>
      <c r="AQ401" s="223">
        <v>79277499450</v>
      </c>
      <c r="AR401" s="225" t="s">
        <v>866</v>
      </c>
      <c r="AS401" s="224">
        <v>31902</v>
      </c>
      <c r="AT401" s="225" t="s">
        <v>867</v>
      </c>
      <c r="AU401" s="225" t="s">
        <v>868</v>
      </c>
      <c r="AV401" s="225" t="s">
        <v>879</v>
      </c>
      <c r="AW401" s="225" t="s">
        <v>172</v>
      </c>
      <c r="AX401" t="s">
        <v>2168</v>
      </c>
      <c r="AY401" s="224"/>
    </row>
    <row r="402" spans="1:51" x14ac:dyDescent="0.25">
      <c r="A402" s="223">
        <v>2053</v>
      </c>
      <c r="B402" s="223">
        <v>54</v>
      </c>
      <c r="C402" s="224">
        <v>45188</v>
      </c>
      <c r="D402" s="225" t="s">
        <v>964</v>
      </c>
      <c r="E402" s="225" t="s">
        <v>859</v>
      </c>
      <c r="F402" s="225" t="s">
        <v>860</v>
      </c>
      <c r="G402" s="223" t="s">
        <v>861</v>
      </c>
      <c r="H402" s="224"/>
      <c r="I402" s="224">
        <v>45191</v>
      </c>
      <c r="J402" s="225" t="s">
        <v>1794</v>
      </c>
      <c r="K402" s="225" t="s">
        <v>98</v>
      </c>
      <c r="L402" s="225" t="s">
        <v>4</v>
      </c>
      <c r="M402" s="223">
        <v>2</v>
      </c>
      <c r="N402" s="223">
        <v>1</v>
      </c>
      <c r="O402" s="223">
        <v>113</v>
      </c>
      <c r="P402" s="223">
        <v>0</v>
      </c>
      <c r="Q402" s="223">
        <v>24.28</v>
      </c>
      <c r="R402" s="225" t="s">
        <v>12</v>
      </c>
      <c r="S402" s="230">
        <v>2508643.29</v>
      </c>
      <c r="T402" s="226">
        <v>103321.39</v>
      </c>
      <c r="U402" s="228">
        <v>15000</v>
      </c>
      <c r="V402" s="226">
        <v>2523643.29</v>
      </c>
      <c r="W402" s="226">
        <v>103939.17998352554</v>
      </c>
      <c r="X402" s="228"/>
      <c r="Y402" s="228">
        <f>Юрист[[#This Row],[Итоговая цена м2 с отделкой]]-Юрист[[#This Row],[Итоговая цена м2 без отделки]]</f>
        <v>0</v>
      </c>
      <c r="Z402" s="226">
        <v>2523643.29</v>
      </c>
      <c r="AA402" s="223">
        <v>103939.17998352554</v>
      </c>
      <c r="AB402" s="225"/>
      <c r="AD402" s="225" t="s">
        <v>862</v>
      </c>
      <c r="AE402" s="225" t="s">
        <v>863</v>
      </c>
      <c r="AF402" s="226">
        <v>380000</v>
      </c>
      <c r="AG402" s="226">
        <v>2128643.29</v>
      </c>
      <c r="AH402" s="226"/>
      <c r="AI402" s="226"/>
      <c r="AJ402" s="226"/>
      <c r="AK402" s="223" t="s">
        <v>873</v>
      </c>
      <c r="AL402" s="227">
        <v>1.4E-2</v>
      </c>
      <c r="AM402" s="229">
        <v>0.06</v>
      </c>
      <c r="AO402" s="223">
        <v>0</v>
      </c>
      <c r="AP402" s="225" t="s">
        <v>965</v>
      </c>
      <c r="AQ402" s="223">
        <v>79867768580</v>
      </c>
      <c r="AR402" s="225" t="s">
        <v>866</v>
      </c>
      <c r="AS402" s="224">
        <v>32275</v>
      </c>
      <c r="AT402" s="225" t="s">
        <v>913</v>
      </c>
      <c r="AU402" s="225" t="s">
        <v>899</v>
      </c>
      <c r="AV402" s="225" t="s">
        <v>869</v>
      </c>
      <c r="AW402" s="225" t="s">
        <v>172</v>
      </c>
      <c r="AX402" t="s">
        <v>2172</v>
      </c>
      <c r="AY402" s="224"/>
    </row>
    <row r="403" spans="1:51" x14ac:dyDescent="0.25">
      <c r="A403" s="223">
        <v>2056</v>
      </c>
      <c r="B403" s="223">
        <v>57</v>
      </c>
      <c r="C403" s="224">
        <v>45188</v>
      </c>
      <c r="D403" s="225" t="s">
        <v>971</v>
      </c>
      <c r="E403" s="225" t="s">
        <v>859</v>
      </c>
      <c r="F403" s="225" t="s">
        <v>860</v>
      </c>
      <c r="G403" s="223" t="s">
        <v>861</v>
      </c>
      <c r="H403" s="224"/>
      <c r="I403" s="224">
        <v>45191</v>
      </c>
      <c r="J403" s="225" t="s">
        <v>1728</v>
      </c>
      <c r="K403" s="225" t="s">
        <v>98</v>
      </c>
      <c r="L403" s="225" t="s">
        <v>5</v>
      </c>
      <c r="M403" s="223">
        <v>1</v>
      </c>
      <c r="N403" s="223">
        <v>3</v>
      </c>
      <c r="O403" s="223">
        <v>14</v>
      </c>
      <c r="P403" s="223">
        <v>1</v>
      </c>
      <c r="Q403" s="223">
        <v>34.39</v>
      </c>
      <c r="R403" s="225" t="s">
        <v>12</v>
      </c>
      <c r="S403" s="230">
        <v>3016799.82</v>
      </c>
      <c r="T403" s="226">
        <v>87723.17</v>
      </c>
      <c r="U403" s="228"/>
      <c r="V403" s="226">
        <v>3016799.82</v>
      </c>
      <c r="W403" s="226">
        <v>87723.170107589409</v>
      </c>
      <c r="X403" s="228"/>
      <c r="Y403" s="228">
        <f>Юрист[[#This Row],[Итоговая цена м2 с отделкой]]-Юрист[[#This Row],[Итоговая цена м2 без отделки]]</f>
        <v>0</v>
      </c>
      <c r="Z403" s="226">
        <v>3016799.82</v>
      </c>
      <c r="AA403" s="223">
        <v>87723.170107589409</v>
      </c>
      <c r="AB403" s="225"/>
      <c r="AD403" s="225" t="s">
        <v>862</v>
      </c>
      <c r="AE403" s="225" t="s">
        <v>863</v>
      </c>
      <c r="AF403" s="226">
        <v>500000</v>
      </c>
      <c r="AG403" s="226">
        <v>2516799.8199999998</v>
      </c>
      <c r="AH403" s="226"/>
      <c r="AI403" s="226"/>
      <c r="AJ403" s="226"/>
      <c r="AK403" s="223" t="s">
        <v>864</v>
      </c>
      <c r="AL403" s="227">
        <v>1.4E-2</v>
      </c>
      <c r="AM403" s="229">
        <v>0.04</v>
      </c>
      <c r="AO403" s="223">
        <v>0</v>
      </c>
      <c r="AP403" s="225" t="s">
        <v>972</v>
      </c>
      <c r="AQ403" s="223">
        <v>79879553555</v>
      </c>
      <c r="AR403" s="225" t="s">
        <v>882</v>
      </c>
      <c r="AS403" s="224">
        <v>30415</v>
      </c>
      <c r="AT403" s="225" t="s">
        <v>885</v>
      </c>
      <c r="AU403" s="225" t="s">
        <v>910</v>
      </c>
      <c r="AV403" s="225" t="s">
        <v>879</v>
      </c>
      <c r="AW403" s="225" t="s">
        <v>172</v>
      </c>
      <c r="AX403" t="s">
        <v>2172</v>
      </c>
      <c r="AY403" s="224"/>
    </row>
    <row r="404" spans="1:51" x14ac:dyDescent="0.25">
      <c r="A404" s="223">
        <v>2059</v>
      </c>
      <c r="B404" s="223">
        <v>60</v>
      </c>
      <c r="C404" s="224">
        <v>45188</v>
      </c>
      <c r="D404" s="225" t="s">
        <v>977</v>
      </c>
      <c r="E404" s="225" t="s">
        <v>859</v>
      </c>
      <c r="F404" s="225" t="s">
        <v>860</v>
      </c>
      <c r="G404" s="223" t="s">
        <v>861</v>
      </c>
      <c r="H404" s="224"/>
      <c r="I404" s="224">
        <v>45191</v>
      </c>
      <c r="J404" s="225" t="s">
        <v>1810</v>
      </c>
      <c r="K404" s="225" t="s">
        <v>98</v>
      </c>
      <c r="L404" s="225" t="s">
        <v>4</v>
      </c>
      <c r="M404" s="223">
        <v>5</v>
      </c>
      <c r="N404" s="223">
        <v>4</v>
      </c>
      <c r="O404" s="223">
        <v>136</v>
      </c>
      <c r="P404" s="223">
        <v>1</v>
      </c>
      <c r="Q404" s="223">
        <v>37.86</v>
      </c>
      <c r="R404" s="225" t="s">
        <v>12</v>
      </c>
      <c r="S404" s="230">
        <v>3507573.3</v>
      </c>
      <c r="T404" s="226">
        <v>92645.89</v>
      </c>
      <c r="U404" s="228"/>
      <c r="V404" s="226">
        <v>3507573.3</v>
      </c>
      <c r="W404" s="226">
        <v>92645.887480190169</v>
      </c>
      <c r="X404" s="228"/>
      <c r="Y404" s="228">
        <f>Юрист[[#This Row],[Итоговая цена м2 с отделкой]]-Юрист[[#This Row],[Итоговая цена м2 без отделки]]</f>
        <v>0</v>
      </c>
      <c r="Z404" s="226">
        <v>3507573.3</v>
      </c>
      <c r="AA404" s="223">
        <v>92645.887480190169</v>
      </c>
      <c r="AB404" s="225" t="s">
        <v>978</v>
      </c>
      <c r="AC404" s="226">
        <v>71583.13</v>
      </c>
      <c r="AD404" s="225" t="s">
        <v>862</v>
      </c>
      <c r="AE404" s="225" t="s">
        <v>863</v>
      </c>
      <c r="AF404" s="226">
        <v>527000</v>
      </c>
      <c r="AG404" s="226">
        <v>2980573.3</v>
      </c>
      <c r="AH404" s="226"/>
      <c r="AI404" s="226"/>
      <c r="AJ404" s="226"/>
      <c r="AK404" s="223" t="s">
        <v>864</v>
      </c>
      <c r="AL404" s="227">
        <v>1.4E-2</v>
      </c>
      <c r="AM404" s="229">
        <v>0.04</v>
      </c>
      <c r="AO404" s="223">
        <v>0</v>
      </c>
      <c r="AP404" s="225" t="s">
        <v>979</v>
      </c>
      <c r="AQ404" s="223">
        <v>79228237994</v>
      </c>
      <c r="AR404" s="225" t="s">
        <v>866</v>
      </c>
      <c r="AS404" s="224">
        <v>30247</v>
      </c>
      <c r="AT404" s="225" t="s">
        <v>907</v>
      </c>
      <c r="AU404" s="225" t="s">
        <v>910</v>
      </c>
      <c r="AV404" s="225" t="s">
        <v>869</v>
      </c>
      <c r="AW404" s="225" t="s">
        <v>172</v>
      </c>
      <c r="AX404" t="s">
        <v>2172</v>
      </c>
      <c r="AY404" s="224"/>
    </row>
    <row r="405" spans="1:51" x14ac:dyDescent="0.25">
      <c r="A405" s="223">
        <v>2058</v>
      </c>
      <c r="B405" s="223">
        <v>59</v>
      </c>
      <c r="C405" s="224">
        <v>45188</v>
      </c>
      <c r="D405" s="225" t="s">
        <v>975</v>
      </c>
      <c r="E405" s="225" t="s">
        <v>859</v>
      </c>
      <c r="F405" s="225" t="s">
        <v>860</v>
      </c>
      <c r="G405" s="223" t="s">
        <v>861</v>
      </c>
      <c r="H405" s="224"/>
      <c r="I405" s="224">
        <v>45191</v>
      </c>
      <c r="J405" s="225" t="s">
        <v>2034</v>
      </c>
      <c r="K405" s="225" t="s">
        <v>98</v>
      </c>
      <c r="L405" s="225" t="s">
        <v>2</v>
      </c>
      <c r="M405" s="223">
        <v>6</v>
      </c>
      <c r="N405" s="223">
        <v>10</v>
      </c>
      <c r="O405" s="223">
        <v>466</v>
      </c>
      <c r="P405" s="223">
        <v>1</v>
      </c>
      <c r="Q405" s="223">
        <v>38.299999999999997</v>
      </c>
      <c r="R405" s="225" t="s">
        <v>12</v>
      </c>
      <c r="S405" s="230">
        <v>3522894.51</v>
      </c>
      <c r="T405" s="226">
        <v>91981.58</v>
      </c>
      <c r="U405" s="228"/>
      <c r="V405" s="226">
        <v>3522894.51</v>
      </c>
      <c r="W405" s="226">
        <v>91981.579895561357</v>
      </c>
      <c r="X405" s="228"/>
      <c r="Y405" s="228">
        <f>Юрист[[#This Row],[Итоговая цена м2 с отделкой]]-Юрист[[#This Row],[Итоговая цена м2 без отделки]]</f>
        <v>0</v>
      </c>
      <c r="Z405" s="226">
        <v>3522894.51</v>
      </c>
      <c r="AA405" s="223">
        <v>91981.579895561357</v>
      </c>
      <c r="AB405" s="225"/>
      <c r="AD405" s="225" t="s">
        <v>862</v>
      </c>
      <c r="AE405" s="225" t="s">
        <v>863</v>
      </c>
      <c r="AF405" s="226">
        <v>529000</v>
      </c>
      <c r="AG405" s="226">
        <v>2993894.51</v>
      </c>
      <c r="AH405" s="226"/>
      <c r="AI405" s="226"/>
      <c r="AJ405" s="226"/>
      <c r="AK405" s="223" t="s">
        <v>864</v>
      </c>
      <c r="AL405" s="227">
        <v>1.4E-2</v>
      </c>
      <c r="AM405" s="229">
        <v>0.04</v>
      </c>
      <c r="AO405" s="223">
        <v>0</v>
      </c>
      <c r="AP405" s="225" t="s">
        <v>976</v>
      </c>
      <c r="AQ405" s="223">
        <v>79277071157</v>
      </c>
      <c r="AR405" s="225" t="s">
        <v>866</v>
      </c>
      <c r="AS405" s="224">
        <v>29984</v>
      </c>
      <c r="AT405" s="225" t="s">
        <v>875</v>
      </c>
      <c r="AU405" s="225" t="s">
        <v>910</v>
      </c>
      <c r="AV405" s="225" t="s">
        <v>869</v>
      </c>
      <c r="AW405" s="225" t="s">
        <v>172</v>
      </c>
      <c r="AX405" t="s">
        <v>2172</v>
      </c>
      <c r="AY405" s="224"/>
    </row>
    <row r="406" spans="1:51" x14ac:dyDescent="0.25">
      <c r="A406" s="223">
        <v>2057</v>
      </c>
      <c r="B406" s="223">
        <v>58</v>
      </c>
      <c r="C406" s="224">
        <v>45188</v>
      </c>
      <c r="D406" s="225" t="s">
        <v>973</v>
      </c>
      <c r="E406" s="225" t="s">
        <v>859</v>
      </c>
      <c r="F406" s="225" t="s">
        <v>860</v>
      </c>
      <c r="G406" s="223" t="s">
        <v>861</v>
      </c>
      <c r="H406" s="224"/>
      <c r="I406" s="224">
        <v>45191</v>
      </c>
      <c r="J406" s="225" t="s">
        <v>2032</v>
      </c>
      <c r="K406" s="225" t="s">
        <v>98</v>
      </c>
      <c r="L406" s="225" t="s">
        <v>2</v>
      </c>
      <c r="M406" s="223">
        <v>3</v>
      </c>
      <c r="N406" s="223">
        <v>10</v>
      </c>
      <c r="O406" s="223">
        <v>463</v>
      </c>
      <c r="P406" s="223">
        <v>0</v>
      </c>
      <c r="Q406" s="223">
        <v>24.5</v>
      </c>
      <c r="R406" s="225" t="s">
        <v>12</v>
      </c>
      <c r="S406" s="230">
        <v>2343690.58</v>
      </c>
      <c r="T406" s="226">
        <v>95660.84</v>
      </c>
      <c r="U406" s="228"/>
      <c r="V406" s="226">
        <v>2343690.58</v>
      </c>
      <c r="W406" s="226">
        <v>95660.84</v>
      </c>
      <c r="X406" s="228"/>
      <c r="Y406" s="228">
        <f>Юрист[[#This Row],[Итоговая цена м2 с отделкой]]-Юрист[[#This Row],[Итоговая цена м2 без отделки]]</f>
        <v>0</v>
      </c>
      <c r="Z406" s="226">
        <v>2343690.58</v>
      </c>
      <c r="AA406" s="223">
        <v>95660.84</v>
      </c>
      <c r="AB406" s="225"/>
      <c r="AD406" s="225" t="s">
        <v>862</v>
      </c>
      <c r="AE406" s="225" t="s">
        <v>863</v>
      </c>
      <c r="AF406" s="226"/>
      <c r="AG406" s="226">
        <v>1756743.86</v>
      </c>
      <c r="AH406" s="226">
        <v>586946.72</v>
      </c>
      <c r="AI406" s="226"/>
      <c r="AJ406" s="226"/>
      <c r="AK406" s="223" t="s">
        <v>864</v>
      </c>
      <c r="AL406" s="227">
        <v>1.4E-2</v>
      </c>
      <c r="AM406" s="229">
        <v>0.04</v>
      </c>
      <c r="AO406" s="223">
        <v>0</v>
      </c>
      <c r="AP406" s="225" t="s">
        <v>974</v>
      </c>
      <c r="AQ406" s="223">
        <v>79874595046</v>
      </c>
      <c r="AR406" s="225" t="s">
        <v>866</v>
      </c>
      <c r="AS406" s="224">
        <v>34297</v>
      </c>
      <c r="AT406" s="225" t="s">
        <v>878</v>
      </c>
      <c r="AU406" s="225" t="s">
        <v>934</v>
      </c>
      <c r="AV406" s="225" t="s">
        <v>869</v>
      </c>
      <c r="AW406" s="225" t="s">
        <v>172</v>
      </c>
      <c r="AX406" t="s">
        <v>2172</v>
      </c>
      <c r="AY406" s="224"/>
    </row>
    <row r="407" spans="1:51" x14ac:dyDescent="0.25">
      <c r="A407" s="223">
        <v>2025</v>
      </c>
      <c r="B407" s="223">
        <v>26</v>
      </c>
      <c r="C407" s="224">
        <v>45187</v>
      </c>
      <c r="D407" s="225" t="s">
        <v>911</v>
      </c>
      <c r="E407" s="225" t="s">
        <v>859</v>
      </c>
      <c r="F407" s="225" t="s">
        <v>860</v>
      </c>
      <c r="G407" s="223" t="s">
        <v>861</v>
      </c>
      <c r="H407" s="224"/>
      <c r="I407" s="224">
        <v>45190</v>
      </c>
      <c r="J407" s="225" t="s">
        <v>1991</v>
      </c>
      <c r="K407" s="225" t="s">
        <v>98</v>
      </c>
      <c r="L407" s="225" t="s">
        <v>2</v>
      </c>
      <c r="M407" s="223">
        <v>5</v>
      </c>
      <c r="N407" s="223">
        <v>4</v>
      </c>
      <c r="O407" s="223">
        <v>417</v>
      </c>
      <c r="P407" s="223">
        <v>2</v>
      </c>
      <c r="Q407" s="223">
        <v>57.8</v>
      </c>
      <c r="R407" s="225" t="s">
        <v>12</v>
      </c>
      <c r="S407" s="230">
        <v>4604478.3099999996</v>
      </c>
      <c r="T407" s="226">
        <v>79662.25</v>
      </c>
      <c r="U407" s="228">
        <v>15000</v>
      </c>
      <c r="V407" s="226">
        <v>4619478.3099999996</v>
      </c>
      <c r="W407" s="226">
        <v>79921.770069204154</v>
      </c>
      <c r="X407" s="228"/>
      <c r="Y407" s="228">
        <f>Юрист[[#This Row],[Итоговая цена м2 с отделкой]]-Юрист[[#This Row],[Итоговая цена м2 без отделки]]</f>
        <v>0</v>
      </c>
      <c r="Z407" s="226">
        <v>4619478.3099999996</v>
      </c>
      <c r="AA407" s="223">
        <v>79921.770069204154</v>
      </c>
      <c r="AB407" s="225"/>
      <c r="AD407" s="225" t="s">
        <v>862</v>
      </c>
      <c r="AE407" s="225" t="s">
        <v>863</v>
      </c>
      <c r="AF407" s="226">
        <v>2404478.31</v>
      </c>
      <c r="AG407" s="226">
        <v>2200000</v>
      </c>
      <c r="AH407" s="226"/>
      <c r="AI407" s="226"/>
      <c r="AJ407" s="226"/>
      <c r="AK407" s="223" t="s">
        <v>873</v>
      </c>
      <c r="AL407" s="227">
        <v>1.4E-2</v>
      </c>
      <c r="AM407" s="229">
        <v>0.06</v>
      </c>
      <c r="AO407" s="223">
        <v>0</v>
      </c>
      <c r="AP407" s="225" t="s">
        <v>912</v>
      </c>
      <c r="AQ407" s="223">
        <v>79619331162</v>
      </c>
      <c r="AR407" s="225" t="s">
        <v>866</v>
      </c>
      <c r="AS407" s="224">
        <v>28167</v>
      </c>
      <c r="AT407" s="225" t="s">
        <v>913</v>
      </c>
      <c r="AU407" s="225" t="s">
        <v>899</v>
      </c>
      <c r="AV407" s="225" t="s">
        <v>869</v>
      </c>
      <c r="AW407" s="225" t="s">
        <v>172</v>
      </c>
      <c r="AX407" t="s">
        <v>2172</v>
      </c>
      <c r="AY407" s="224"/>
    </row>
    <row r="408" spans="1:51" x14ac:dyDescent="0.25">
      <c r="A408" s="223">
        <v>2026</v>
      </c>
      <c r="B408" s="223">
        <v>27</v>
      </c>
      <c r="C408" s="224">
        <v>45187</v>
      </c>
      <c r="D408" s="225" t="s">
        <v>914</v>
      </c>
      <c r="E408" s="225" t="s">
        <v>859</v>
      </c>
      <c r="F408" s="225" t="s">
        <v>860</v>
      </c>
      <c r="G408" s="223" t="s">
        <v>861</v>
      </c>
      <c r="H408" s="224"/>
      <c r="I408" s="224">
        <v>45190</v>
      </c>
      <c r="J408" s="225" t="s">
        <v>1739</v>
      </c>
      <c r="K408" s="225" t="s">
        <v>98</v>
      </c>
      <c r="L408" s="225" t="s">
        <v>5</v>
      </c>
      <c r="M408" s="223">
        <v>4</v>
      </c>
      <c r="N408" s="223">
        <v>5</v>
      </c>
      <c r="O408" s="223">
        <v>31</v>
      </c>
      <c r="P408" s="223">
        <v>2</v>
      </c>
      <c r="Q408" s="223">
        <v>59.09</v>
      </c>
      <c r="R408" s="225" t="s">
        <v>13</v>
      </c>
      <c r="S408" s="230">
        <v>4996296.45</v>
      </c>
      <c r="T408" s="226">
        <v>84554.01</v>
      </c>
      <c r="U408" s="228">
        <v>15000</v>
      </c>
      <c r="V408" s="226">
        <v>5011296.45</v>
      </c>
      <c r="W408" s="226">
        <v>84807.86004400067</v>
      </c>
      <c r="X408" s="228">
        <v>265905</v>
      </c>
      <c r="Y408" s="228">
        <f>Юрист[[#This Row],[Итоговая цена м2 с отделкой]]-Юрист[[#This Row],[Итоговая цена м2 без отделки]]</f>
        <v>4500</v>
      </c>
      <c r="Z408" s="226">
        <v>4745391.45</v>
      </c>
      <c r="AA408" s="223">
        <v>80307.86004400067</v>
      </c>
      <c r="AB408" s="225"/>
      <c r="AD408" s="225" t="s">
        <v>862</v>
      </c>
      <c r="AE408" s="225" t="s">
        <v>863</v>
      </c>
      <c r="AF408" s="226">
        <v>913053.28</v>
      </c>
      <c r="AG408" s="226">
        <v>3496296.45</v>
      </c>
      <c r="AH408" s="226">
        <v>586946.72</v>
      </c>
      <c r="AI408" s="226"/>
      <c r="AJ408" s="226"/>
      <c r="AK408" s="223" t="s">
        <v>864</v>
      </c>
      <c r="AL408" s="227">
        <v>1.4E-2</v>
      </c>
      <c r="AM408" s="229">
        <v>0.04</v>
      </c>
      <c r="AO408" s="223">
        <v>0</v>
      </c>
      <c r="AP408" s="225" t="s">
        <v>915</v>
      </c>
      <c r="AQ408" s="223">
        <v>79963428584</v>
      </c>
      <c r="AR408" s="225" t="s">
        <v>882</v>
      </c>
      <c r="AS408" s="224">
        <v>34030</v>
      </c>
      <c r="AT408" s="225" t="s">
        <v>878</v>
      </c>
      <c r="AU408" s="225" t="s">
        <v>899</v>
      </c>
      <c r="AV408" s="225" t="s">
        <v>869</v>
      </c>
      <c r="AW408" s="225" t="s">
        <v>172</v>
      </c>
      <c r="AX408" t="s">
        <v>2172</v>
      </c>
      <c r="AY408" s="224"/>
    </row>
    <row r="409" spans="1:51" x14ac:dyDescent="0.25">
      <c r="A409" s="223">
        <v>2023</v>
      </c>
      <c r="B409" s="223">
        <v>24</v>
      </c>
      <c r="C409" s="224">
        <v>45187</v>
      </c>
      <c r="D409" s="225" t="s">
        <v>905</v>
      </c>
      <c r="E409" s="225" t="s">
        <v>859</v>
      </c>
      <c r="F409" s="225" t="s">
        <v>860</v>
      </c>
      <c r="G409" s="223" t="s">
        <v>861</v>
      </c>
      <c r="H409" s="224"/>
      <c r="I409" s="224">
        <v>45190</v>
      </c>
      <c r="J409" s="225" t="s">
        <v>2002</v>
      </c>
      <c r="K409" s="225" t="s">
        <v>98</v>
      </c>
      <c r="L409" s="225" t="s">
        <v>2</v>
      </c>
      <c r="M409" s="223">
        <v>1</v>
      </c>
      <c r="N409" s="223">
        <v>6</v>
      </c>
      <c r="O409" s="223">
        <v>429</v>
      </c>
      <c r="P409" s="223">
        <v>0</v>
      </c>
      <c r="Q409" s="223">
        <v>29.4</v>
      </c>
      <c r="R409" s="225" t="s">
        <v>13</v>
      </c>
      <c r="S409" s="230">
        <v>2744293.78</v>
      </c>
      <c r="T409" s="226">
        <v>93343.33</v>
      </c>
      <c r="U409" s="228">
        <v>15000</v>
      </c>
      <c r="V409" s="226">
        <v>2759293.78</v>
      </c>
      <c r="W409" s="226">
        <v>93853.529931972793</v>
      </c>
      <c r="X409" s="228">
        <v>132300</v>
      </c>
      <c r="Y409" s="228">
        <f>Юрист[[#This Row],[Итоговая цена м2 с отделкой]]-Юрист[[#This Row],[Итоговая цена м2 без отделки]]</f>
        <v>4500</v>
      </c>
      <c r="Z409" s="226">
        <v>2626993.7799999998</v>
      </c>
      <c r="AA409" s="223">
        <v>89353.529931972793</v>
      </c>
      <c r="AB409" s="225"/>
      <c r="AD409" s="225" t="s">
        <v>862</v>
      </c>
      <c r="AE409" s="225" t="s">
        <v>863</v>
      </c>
      <c r="AF409" s="226">
        <v>413000</v>
      </c>
      <c r="AG409" s="226">
        <v>2331293.7799999998</v>
      </c>
      <c r="AH409" s="226"/>
      <c r="AI409" s="226"/>
      <c r="AJ409" s="226"/>
      <c r="AK409" s="223" t="s">
        <v>873</v>
      </c>
      <c r="AL409" s="227">
        <v>8.9999999999999993E-3</v>
      </c>
      <c r="AM409" s="229">
        <v>7.0000000000000007E-2</v>
      </c>
      <c r="AO409" s="223">
        <v>0</v>
      </c>
      <c r="AP409" s="225" t="s">
        <v>906</v>
      </c>
      <c r="AQ409" s="223">
        <v>79633434335</v>
      </c>
      <c r="AR409" s="225" t="s">
        <v>866</v>
      </c>
      <c r="AS409" s="224">
        <v>31318</v>
      </c>
      <c r="AT409" s="225" t="s">
        <v>907</v>
      </c>
      <c r="AU409" s="225" t="s">
        <v>899</v>
      </c>
      <c r="AV409" s="225" t="s">
        <v>869</v>
      </c>
      <c r="AW409" s="225" t="s">
        <v>172</v>
      </c>
      <c r="AX409" t="s">
        <v>2172</v>
      </c>
      <c r="AY409" s="224"/>
    </row>
    <row r="410" spans="1:51" x14ac:dyDescent="0.25">
      <c r="A410" s="223">
        <v>2024</v>
      </c>
      <c r="B410" s="223">
        <v>25</v>
      </c>
      <c r="C410" s="224">
        <v>45187</v>
      </c>
      <c r="D410" s="225" t="s">
        <v>908</v>
      </c>
      <c r="E410" s="225" t="s">
        <v>859</v>
      </c>
      <c r="F410" s="225" t="s">
        <v>860</v>
      </c>
      <c r="G410" s="223" t="s">
        <v>861</v>
      </c>
      <c r="H410" s="224"/>
      <c r="I410" s="224">
        <v>45190</v>
      </c>
      <c r="J410" s="225" t="s">
        <v>2037</v>
      </c>
      <c r="K410" s="225" t="s">
        <v>98</v>
      </c>
      <c r="L410" s="225" t="s">
        <v>2</v>
      </c>
      <c r="M410" s="223">
        <v>3</v>
      </c>
      <c r="N410" s="223">
        <v>11</v>
      </c>
      <c r="O410" s="223">
        <v>471</v>
      </c>
      <c r="P410" s="223">
        <v>0</v>
      </c>
      <c r="Q410" s="223">
        <v>24.5</v>
      </c>
      <c r="R410" s="225" t="s">
        <v>12</v>
      </c>
      <c r="S410" s="230">
        <v>2217086.2200000002</v>
      </c>
      <c r="T410" s="226">
        <v>90493.32</v>
      </c>
      <c r="U410" s="228">
        <v>15000</v>
      </c>
      <c r="V410" s="226">
        <v>2232086.2200000002</v>
      </c>
      <c r="W410" s="226">
        <v>91105.560000000012</v>
      </c>
      <c r="X410" s="228"/>
      <c r="Y410" s="228">
        <f>Юрист[[#This Row],[Итоговая цена м2 с отделкой]]-Юрист[[#This Row],[Итоговая цена м2 без отделки]]</f>
        <v>0</v>
      </c>
      <c r="Z410" s="226">
        <v>2232086.2200000002</v>
      </c>
      <c r="AA410" s="223">
        <v>91105.560000000012</v>
      </c>
      <c r="AB410" s="225"/>
      <c r="AD410" s="225" t="s">
        <v>862</v>
      </c>
      <c r="AE410" s="225" t="s">
        <v>863</v>
      </c>
      <c r="AF410" s="226">
        <v>333000</v>
      </c>
      <c r="AG410" s="226">
        <v>1884086.2200000002</v>
      </c>
      <c r="AH410" s="226"/>
      <c r="AI410" s="226"/>
      <c r="AJ410" s="226"/>
      <c r="AK410" s="223" t="s">
        <v>864</v>
      </c>
      <c r="AL410" s="227">
        <v>1.4E-2</v>
      </c>
      <c r="AM410" s="229">
        <v>0.04</v>
      </c>
      <c r="AO410" s="223">
        <v>0</v>
      </c>
      <c r="AP410" s="225" t="s">
        <v>909</v>
      </c>
      <c r="AQ410" s="223">
        <v>79171553439</v>
      </c>
      <c r="AR410" s="225" t="s">
        <v>866</v>
      </c>
      <c r="AS410" s="224">
        <v>31817</v>
      </c>
      <c r="AT410" s="225" t="s">
        <v>867</v>
      </c>
      <c r="AU410" s="225" t="s">
        <v>910</v>
      </c>
      <c r="AV410" s="225" t="s">
        <v>879</v>
      </c>
      <c r="AW410" s="225" t="s">
        <v>172</v>
      </c>
      <c r="AX410" t="s">
        <v>2168</v>
      </c>
      <c r="AY410" s="224"/>
    </row>
    <row r="411" spans="1:51" x14ac:dyDescent="0.25">
      <c r="A411" s="223">
        <v>2027</v>
      </c>
      <c r="B411" s="223">
        <v>28</v>
      </c>
      <c r="C411" s="224">
        <v>45187</v>
      </c>
      <c r="D411" s="225" t="s">
        <v>916</v>
      </c>
      <c r="E411" s="225" t="s">
        <v>859</v>
      </c>
      <c r="F411" s="225" t="s">
        <v>860</v>
      </c>
      <c r="G411" s="223" t="s">
        <v>861</v>
      </c>
      <c r="H411" s="224"/>
      <c r="I411" s="224">
        <v>45190</v>
      </c>
      <c r="J411" s="225" t="s">
        <v>1976</v>
      </c>
      <c r="K411" s="225" t="s">
        <v>98</v>
      </c>
      <c r="L411" s="225" t="s">
        <v>2</v>
      </c>
      <c r="M411" s="223">
        <v>3</v>
      </c>
      <c r="N411" s="223">
        <v>2</v>
      </c>
      <c r="O411" s="223">
        <v>399</v>
      </c>
      <c r="P411" s="223">
        <v>0</v>
      </c>
      <c r="Q411" s="223">
        <v>24.5</v>
      </c>
      <c r="R411" s="225" t="s">
        <v>14</v>
      </c>
      <c r="S411" s="230">
        <v>2618298.71</v>
      </c>
      <c r="T411" s="226">
        <v>106869.34</v>
      </c>
      <c r="U411" s="228">
        <v>15000</v>
      </c>
      <c r="V411" s="226">
        <v>2633298.71</v>
      </c>
      <c r="W411" s="226">
        <v>107481.58</v>
      </c>
      <c r="X411" s="228">
        <v>379750</v>
      </c>
      <c r="Y411" s="228">
        <f>Юрист[[#This Row],[Итоговая цена м2 с отделкой]]-Юрист[[#This Row],[Итоговая цена м2 без отделки]]</f>
        <v>15500</v>
      </c>
      <c r="Z411" s="226">
        <v>2253548.71</v>
      </c>
      <c r="AA411" s="223">
        <v>91981.58</v>
      </c>
      <c r="AB411" s="225"/>
      <c r="AD411" s="225" t="s">
        <v>862</v>
      </c>
      <c r="AE411" s="225" t="s">
        <v>863</v>
      </c>
      <c r="AF411" s="226">
        <v>393000</v>
      </c>
      <c r="AG411" s="226">
        <v>2225298.71</v>
      </c>
      <c r="AH411" s="226"/>
      <c r="AI411" s="226"/>
      <c r="AJ411" s="226"/>
      <c r="AK411" s="223" t="s">
        <v>873</v>
      </c>
      <c r="AL411" s="227">
        <v>1.4E-2</v>
      </c>
      <c r="AM411" s="229">
        <v>0.06</v>
      </c>
      <c r="AO411" s="223">
        <v>0</v>
      </c>
      <c r="AP411" s="225" t="s">
        <v>917</v>
      </c>
      <c r="AQ411" s="223">
        <v>79279052323</v>
      </c>
      <c r="AR411" s="225" t="s">
        <v>866</v>
      </c>
      <c r="AS411" s="224">
        <v>31695</v>
      </c>
      <c r="AT411" s="225" t="s">
        <v>888</v>
      </c>
      <c r="AU411" s="225" t="s">
        <v>899</v>
      </c>
      <c r="AV411" s="225" t="s">
        <v>879</v>
      </c>
      <c r="AW411" s="225" t="s">
        <v>172</v>
      </c>
      <c r="AX411" t="s">
        <v>2172</v>
      </c>
      <c r="AY411" s="224"/>
    </row>
    <row r="412" spans="1:51" x14ac:dyDescent="0.25">
      <c r="A412" s="223">
        <v>2031</v>
      </c>
      <c r="B412" s="223">
        <v>32</v>
      </c>
      <c r="C412" s="224">
        <v>45187</v>
      </c>
      <c r="D412" s="225" t="s">
        <v>922</v>
      </c>
      <c r="E412" s="225" t="s">
        <v>859</v>
      </c>
      <c r="F412" s="225" t="s">
        <v>860</v>
      </c>
      <c r="G412" s="223" t="s">
        <v>861</v>
      </c>
      <c r="H412" s="224"/>
      <c r="I412" s="224">
        <v>45190</v>
      </c>
      <c r="J412" s="225" t="s">
        <v>1720</v>
      </c>
      <c r="K412" s="225" t="s">
        <v>98</v>
      </c>
      <c r="L412" s="225" t="s">
        <v>5</v>
      </c>
      <c r="M412" s="223">
        <v>1</v>
      </c>
      <c r="N412" s="223">
        <v>1</v>
      </c>
      <c r="O412" s="223">
        <v>1</v>
      </c>
      <c r="P412" s="223">
        <v>1</v>
      </c>
      <c r="Q412" s="223">
        <v>34.39</v>
      </c>
      <c r="R412" s="225" t="s">
        <v>13</v>
      </c>
      <c r="S412" s="230">
        <v>3305906.92</v>
      </c>
      <c r="T412" s="226">
        <v>96129.89</v>
      </c>
      <c r="U412" s="228"/>
      <c r="V412" s="226">
        <v>3305906.92</v>
      </c>
      <c r="W412" s="226">
        <v>96129.890084326835</v>
      </c>
      <c r="X412" s="228">
        <v>171950</v>
      </c>
      <c r="Y412" s="228">
        <f>Юрист[[#This Row],[Итоговая цена м2 с отделкой]]-Юрист[[#This Row],[Итоговая цена м2 без отделки]]</f>
        <v>5000</v>
      </c>
      <c r="Z412" s="226">
        <v>3133956.92</v>
      </c>
      <c r="AA412" s="223">
        <v>91129.890084326835</v>
      </c>
      <c r="AB412" s="225"/>
      <c r="AD412" s="225" t="s">
        <v>862</v>
      </c>
      <c r="AE412" s="225" t="s">
        <v>863</v>
      </c>
      <c r="AF412" s="226">
        <v>1000000</v>
      </c>
      <c r="AG412" s="226">
        <v>2340296.92</v>
      </c>
      <c r="AH412" s="226"/>
      <c r="AI412" s="226"/>
      <c r="AJ412" s="226"/>
      <c r="AK412" s="223" t="s">
        <v>873</v>
      </c>
      <c r="AL412" s="227">
        <v>1.4E-2</v>
      </c>
      <c r="AM412" s="229">
        <v>0.06</v>
      </c>
      <c r="AO412" s="223">
        <v>0</v>
      </c>
      <c r="AP412" s="225" t="s">
        <v>923</v>
      </c>
      <c r="AQ412" s="223">
        <v>79225563332</v>
      </c>
      <c r="AR412" s="225" t="s">
        <v>882</v>
      </c>
      <c r="AS412" s="224">
        <v>31001</v>
      </c>
      <c r="AT412" s="225" t="s">
        <v>924</v>
      </c>
      <c r="AU412" s="225" t="s">
        <v>868</v>
      </c>
      <c r="AV412" s="225" t="s">
        <v>879</v>
      </c>
      <c r="AW412" s="225" t="s">
        <v>172</v>
      </c>
      <c r="AX412" t="s">
        <v>2172</v>
      </c>
      <c r="AY412" s="224"/>
    </row>
    <row r="413" spans="1:51" x14ac:dyDescent="0.25">
      <c r="A413" s="223">
        <v>2035</v>
      </c>
      <c r="B413" s="223">
        <v>36</v>
      </c>
      <c r="C413" s="224">
        <v>45187</v>
      </c>
      <c r="D413" s="225" t="s">
        <v>925</v>
      </c>
      <c r="E413" s="225" t="s">
        <v>859</v>
      </c>
      <c r="F413" s="225" t="s">
        <v>860</v>
      </c>
      <c r="G413" s="223" t="s">
        <v>926</v>
      </c>
      <c r="H413" s="224"/>
      <c r="I413" s="224">
        <v>45190</v>
      </c>
      <c r="J413" s="225" t="s">
        <v>1817</v>
      </c>
      <c r="K413" s="225" t="s">
        <v>98</v>
      </c>
      <c r="L413" s="225" t="s">
        <v>4</v>
      </c>
      <c r="M413" s="223">
        <v>2</v>
      </c>
      <c r="N413" s="223">
        <v>6</v>
      </c>
      <c r="O413" s="223">
        <v>147</v>
      </c>
      <c r="P413" s="223">
        <v>0</v>
      </c>
      <c r="Q413" s="223">
        <v>24.28</v>
      </c>
      <c r="R413" s="225" t="s">
        <v>13</v>
      </c>
      <c r="S413" s="230">
        <v>2312572.7599999998</v>
      </c>
      <c r="T413" s="226">
        <v>95246</v>
      </c>
      <c r="U413" s="228">
        <v>30000</v>
      </c>
      <c r="V413" s="226">
        <v>2342572.7599999998</v>
      </c>
      <c r="W413" s="226">
        <v>96481.579901153193</v>
      </c>
      <c r="X413" s="228">
        <v>109260</v>
      </c>
      <c r="Y413" s="228">
        <f>Юрист[[#This Row],[Итоговая цена м2 с отделкой]]-Юрист[[#This Row],[Итоговая цена м2 без отделки]]</f>
        <v>4500</v>
      </c>
      <c r="Z413" s="226">
        <v>2233312.7599999998</v>
      </c>
      <c r="AA413" s="223">
        <v>91981.579901153193</v>
      </c>
      <c r="AB413" s="225"/>
      <c r="AD413" s="225" t="s">
        <v>901</v>
      </c>
      <c r="AE413" s="225" t="s">
        <v>902</v>
      </c>
      <c r="AF413" s="226"/>
      <c r="AG413" s="226"/>
      <c r="AH413" s="226"/>
      <c r="AI413" s="226"/>
      <c r="AJ413" s="226"/>
      <c r="AL413" s="227"/>
      <c r="AM413" s="229"/>
      <c r="AO413" s="223">
        <v>0</v>
      </c>
      <c r="AP413" s="225" t="s">
        <v>927</v>
      </c>
      <c r="AQ413" s="223">
        <v>79371850387</v>
      </c>
      <c r="AR413" s="225" t="s">
        <v>882</v>
      </c>
      <c r="AS413" s="224">
        <v>26184</v>
      </c>
      <c r="AT413" s="225" t="s">
        <v>878</v>
      </c>
      <c r="AU413" s="225" t="s">
        <v>899</v>
      </c>
      <c r="AV413" s="225" t="s">
        <v>902</v>
      </c>
      <c r="AW413" s="225" t="s">
        <v>172</v>
      </c>
      <c r="AX413" t="s">
        <v>2172</v>
      </c>
      <c r="AY413" s="224"/>
    </row>
    <row r="414" spans="1:51" x14ac:dyDescent="0.25">
      <c r="A414" s="223">
        <v>2029</v>
      </c>
      <c r="B414" s="223">
        <v>30</v>
      </c>
      <c r="C414" s="224">
        <v>45187</v>
      </c>
      <c r="D414" s="225" t="s">
        <v>918</v>
      </c>
      <c r="E414" s="225" t="s">
        <v>859</v>
      </c>
      <c r="F414" s="225" t="s">
        <v>860</v>
      </c>
      <c r="G414" s="223" t="s">
        <v>861</v>
      </c>
      <c r="H414" s="224"/>
      <c r="I414" s="224">
        <v>45190</v>
      </c>
      <c r="J414" s="225" t="s">
        <v>2007</v>
      </c>
      <c r="K414" s="225" t="s">
        <v>98</v>
      </c>
      <c r="L414" s="225" t="s">
        <v>2</v>
      </c>
      <c r="M414" s="223">
        <v>6</v>
      </c>
      <c r="N414" s="223">
        <v>6</v>
      </c>
      <c r="O414" s="223">
        <v>434</v>
      </c>
      <c r="P414" s="223">
        <v>1</v>
      </c>
      <c r="Q414" s="223">
        <v>38.299999999999997</v>
      </c>
      <c r="R414" s="225" t="s">
        <v>12</v>
      </c>
      <c r="S414" s="230">
        <v>3522894.51</v>
      </c>
      <c r="T414" s="226">
        <v>91981.58</v>
      </c>
      <c r="U414" s="228"/>
      <c r="V414" s="226">
        <v>3522894.51</v>
      </c>
      <c r="W414" s="226">
        <v>91981.579895561357</v>
      </c>
      <c r="X414" s="228"/>
      <c r="Y414" s="228">
        <f>Юрист[[#This Row],[Итоговая цена м2 с отделкой]]-Юрист[[#This Row],[Итоговая цена м2 без отделки]]</f>
        <v>0</v>
      </c>
      <c r="Z414" s="226">
        <v>3522894.51</v>
      </c>
      <c r="AA414" s="223">
        <v>91981.579895561357</v>
      </c>
      <c r="AB414" s="225"/>
      <c r="AD414" s="225" t="s">
        <v>862</v>
      </c>
      <c r="AE414" s="225" t="s">
        <v>863</v>
      </c>
      <c r="AF414" s="226">
        <v>529000</v>
      </c>
      <c r="AG414" s="226">
        <v>2993894.51</v>
      </c>
      <c r="AH414" s="226"/>
      <c r="AI414" s="226"/>
      <c r="AJ414" s="226"/>
      <c r="AK414" s="223" t="s">
        <v>873</v>
      </c>
      <c r="AL414" s="227">
        <v>1.4E-2</v>
      </c>
      <c r="AM414" s="229">
        <v>0.06</v>
      </c>
      <c r="AO414" s="223">
        <v>0</v>
      </c>
      <c r="AP414" s="225" t="s">
        <v>919</v>
      </c>
      <c r="AQ414" s="223">
        <v>79024138845</v>
      </c>
      <c r="AR414" s="225" t="s">
        <v>882</v>
      </c>
      <c r="AS414" s="224">
        <v>36832</v>
      </c>
      <c r="AT414" s="225" t="s">
        <v>907</v>
      </c>
      <c r="AU414" s="225" t="s">
        <v>910</v>
      </c>
      <c r="AV414" s="225" t="s">
        <v>869</v>
      </c>
      <c r="AW414" s="225" t="s">
        <v>172</v>
      </c>
      <c r="AX414" t="s">
        <v>2172</v>
      </c>
      <c r="AY414" s="224"/>
    </row>
    <row r="415" spans="1:51" x14ac:dyDescent="0.25">
      <c r="A415" s="223">
        <v>2030</v>
      </c>
      <c r="B415" s="223">
        <v>31</v>
      </c>
      <c r="C415" s="224">
        <v>45187</v>
      </c>
      <c r="D415" s="225" t="s">
        <v>920</v>
      </c>
      <c r="E415" s="225" t="s">
        <v>859</v>
      </c>
      <c r="F415" s="225" t="s">
        <v>860</v>
      </c>
      <c r="G415" s="223" t="s">
        <v>861</v>
      </c>
      <c r="H415" s="224"/>
      <c r="I415" s="224">
        <v>45190</v>
      </c>
      <c r="J415" s="225" t="s">
        <v>1928</v>
      </c>
      <c r="K415" s="225" t="s">
        <v>98</v>
      </c>
      <c r="L415" s="225" t="s">
        <v>3</v>
      </c>
      <c r="M415" s="223">
        <v>3</v>
      </c>
      <c r="N415" s="223">
        <v>13</v>
      </c>
      <c r="O415" s="223">
        <v>308</v>
      </c>
      <c r="P415" s="223">
        <v>2</v>
      </c>
      <c r="Q415" s="223">
        <v>56.58</v>
      </c>
      <c r="R415" s="225" t="s">
        <v>12</v>
      </c>
      <c r="S415" s="230">
        <v>4771010.05</v>
      </c>
      <c r="T415" s="226">
        <v>84323.26</v>
      </c>
      <c r="U415" s="228"/>
      <c r="V415" s="226">
        <v>4771010.05</v>
      </c>
      <c r="W415" s="226">
        <v>84323.259985860728</v>
      </c>
      <c r="X415" s="228"/>
      <c r="Y415" s="228">
        <f>Юрист[[#This Row],[Итоговая цена м2 с отделкой]]-Юрист[[#This Row],[Итоговая цена м2 без отделки]]</f>
        <v>0</v>
      </c>
      <c r="Z415" s="226">
        <v>4771010.05</v>
      </c>
      <c r="AA415" s="223">
        <v>84323.259985860728</v>
      </c>
      <c r="AB415" s="225"/>
      <c r="AD415" s="225" t="s">
        <v>862</v>
      </c>
      <c r="AE415" s="225" t="s">
        <v>863</v>
      </c>
      <c r="AF415" s="226">
        <v>129053.28</v>
      </c>
      <c r="AG415" s="226">
        <v>4055010.05</v>
      </c>
      <c r="AH415" s="226">
        <v>586946.72</v>
      </c>
      <c r="AI415" s="226"/>
      <c r="AJ415" s="226"/>
      <c r="AK415" s="223" t="s">
        <v>864</v>
      </c>
      <c r="AL415" s="227">
        <v>1.4E-2</v>
      </c>
      <c r="AM415" s="229">
        <v>0.04</v>
      </c>
      <c r="AO415" s="223">
        <v>0</v>
      </c>
      <c r="AP415" s="225" t="s">
        <v>921</v>
      </c>
      <c r="AQ415" s="223">
        <v>79277024862</v>
      </c>
      <c r="AR415" s="225" t="s">
        <v>882</v>
      </c>
      <c r="AS415" s="224">
        <v>31923</v>
      </c>
      <c r="AT415" s="225" t="s">
        <v>878</v>
      </c>
      <c r="AU415" s="225" t="s">
        <v>910</v>
      </c>
      <c r="AV415" s="225" t="s">
        <v>869</v>
      </c>
      <c r="AW415" s="225" t="s">
        <v>172</v>
      </c>
      <c r="AX415" t="s">
        <v>2172</v>
      </c>
      <c r="AY415" s="224"/>
    </row>
    <row r="416" spans="1:51" x14ac:dyDescent="0.25">
      <c r="A416" s="223">
        <v>2009</v>
      </c>
      <c r="B416" s="223">
        <v>10</v>
      </c>
      <c r="C416" s="224">
        <v>45185</v>
      </c>
      <c r="D416" s="225" t="s">
        <v>858</v>
      </c>
      <c r="E416" s="225" t="s">
        <v>859</v>
      </c>
      <c r="F416" s="225" t="s">
        <v>860</v>
      </c>
      <c r="G416" s="223" t="s">
        <v>861</v>
      </c>
      <c r="H416" s="224"/>
      <c r="I416" s="224">
        <v>45189</v>
      </c>
      <c r="J416" s="225" t="s">
        <v>1799</v>
      </c>
      <c r="K416" s="225" t="s">
        <v>98</v>
      </c>
      <c r="L416" s="225" t="s">
        <v>4</v>
      </c>
      <c r="M416" s="223">
        <v>7</v>
      </c>
      <c r="N416" s="223">
        <v>2</v>
      </c>
      <c r="O416" s="223">
        <v>124</v>
      </c>
      <c r="P416" s="223">
        <v>1</v>
      </c>
      <c r="Q416" s="223">
        <v>42.28</v>
      </c>
      <c r="R416" s="225" t="s">
        <v>13</v>
      </c>
      <c r="S416" s="230">
        <v>3759021.04</v>
      </c>
      <c r="T416" s="226">
        <v>88907.78</v>
      </c>
      <c r="U416" s="228">
        <v>15000</v>
      </c>
      <c r="V416" s="226">
        <v>3774021.04</v>
      </c>
      <c r="W416" s="226">
        <v>89262.560075685906</v>
      </c>
      <c r="X416" s="228">
        <v>190260</v>
      </c>
      <c r="Y416" s="228">
        <f>Юрист[[#This Row],[Итоговая цена м2 с отделкой]]-Юрист[[#This Row],[Итоговая цена м2 без отделки]]</f>
        <v>4500</v>
      </c>
      <c r="Z416" s="226">
        <v>3583761.04</v>
      </c>
      <c r="AA416" s="223">
        <v>84762.560075685906</v>
      </c>
      <c r="AB416" s="225"/>
      <c r="AD416" s="225" t="s">
        <v>862</v>
      </c>
      <c r="AE416" s="225" t="s">
        <v>863</v>
      </c>
      <c r="AF416" s="226"/>
      <c r="AG416" s="226">
        <v>3172074.32</v>
      </c>
      <c r="AH416" s="226">
        <v>586946.72</v>
      </c>
      <c r="AI416" s="226"/>
      <c r="AJ416" s="226"/>
      <c r="AK416" s="223" t="s">
        <v>864</v>
      </c>
      <c r="AL416" s="227">
        <v>1.4E-2</v>
      </c>
      <c r="AM416" s="229">
        <v>0.04</v>
      </c>
      <c r="AO416" s="223">
        <v>0</v>
      </c>
      <c r="AP416" s="225" t="s">
        <v>865</v>
      </c>
      <c r="AQ416" s="223">
        <v>79277264634</v>
      </c>
      <c r="AR416" s="225" t="s">
        <v>866</v>
      </c>
      <c r="AS416" s="224">
        <v>35310</v>
      </c>
      <c r="AT416" s="225" t="s">
        <v>867</v>
      </c>
      <c r="AU416" s="225" t="s">
        <v>868</v>
      </c>
      <c r="AV416" s="225" t="s">
        <v>869</v>
      </c>
      <c r="AW416" s="225" t="s">
        <v>172</v>
      </c>
      <c r="AX416" t="s">
        <v>2168</v>
      </c>
      <c r="AY416" s="224"/>
    </row>
    <row r="417" spans="1:51" x14ac:dyDescent="0.25">
      <c r="A417" s="223">
        <v>2011</v>
      </c>
      <c r="B417" s="223">
        <v>12</v>
      </c>
      <c r="C417" s="224">
        <v>45185</v>
      </c>
      <c r="D417" s="225" t="s">
        <v>872</v>
      </c>
      <c r="E417" s="225" t="s">
        <v>859</v>
      </c>
      <c r="F417" s="225" t="s">
        <v>860</v>
      </c>
      <c r="G417" s="223" t="s">
        <v>861</v>
      </c>
      <c r="H417" s="224"/>
      <c r="I417" s="224">
        <v>45189</v>
      </c>
      <c r="J417" s="225" t="s">
        <v>1839</v>
      </c>
      <c r="K417" s="225" t="s">
        <v>98</v>
      </c>
      <c r="L417" s="225" t="s">
        <v>4</v>
      </c>
      <c r="M417" s="223">
        <v>5</v>
      </c>
      <c r="N417" s="223">
        <v>10</v>
      </c>
      <c r="O417" s="223">
        <v>178</v>
      </c>
      <c r="P417" s="223">
        <v>1</v>
      </c>
      <c r="Q417" s="223">
        <v>37.86</v>
      </c>
      <c r="R417" s="225" t="s">
        <v>13</v>
      </c>
      <c r="S417" s="230">
        <v>3533381.18</v>
      </c>
      <c r="T417" s="226">
        <v>93327.55</v>
      </c>
      <c r="U417" s="228">
        <v>15000</v>
      </c>
      <c r="V417" s="226">
        <v>3548381.18</v>
      </c>
      <c r="W417" s="226">
        <v>93723.750132065514</v>
      </c>
      <c r="X417" s="228">
        <v>170370</v>
      </c>
      <c r="Y417" s="228">
        <f>Юрист[[#This Row],[Итоговая цена м2 с отделкой]]-Юрист[[#This Row],[Итоговая цена м2 без отделки]]</f>
        <v>4500</v>
      </c>
      <c r="Z417" s="226">
        <v>3378011.18</v>
      </c>
      <c r="AA417" s="223">
        <v>89223.750132065514</v>
      </c>
      <c r="AB417" s="225"/>
      <c r="AD417" s="225" t="s">
        <v>862</v>
      </c>
      <c r="AE417" s="225" t="s">
        <v>863</v>
      </c>
      <c r="AF417" s="226">
        <v>1000000</v>
      </c>
      <c r="AG417" s="226">
        <v>2533381.1800000002</v>
      </c>
      <c r="AH417" s="226"/>
      <c r="AI417" s="226"/>
      <c r="AJ417" s="226"/>
      <c r="AK417" s="223" t="s">
        <v>873</v>
      </c>
      <c r="AL417" s="227">
        <v>1.4E-2</v>
      </c>
      <c r="AM417" s="229">
        <v>0.06</v>
      </c>
      <c r="AO417" s="223">
        <v>0</v>
      </c>
      <c r="AP417" s="225" t="s">
        <v>874</v>
      </c>
      <c r="AQ417" s="223">
        <v>79270107370</v>
      </c>
      <c r="AR417" s="225" t="s">
        <v>866</v>
      </c>
      <c r="AS417" s="224">
        <v>28884</v>
      </c>
      <c r="AT417" s="225" t="s">
        <v>875</v>
      </c>
      <c r="AU417" s="225" t="s">
        <v>868</v>
      </c>
      <c r="AV417" s="225" t="s">
        <v>869</v>
      </c>
      <c r="AW417" s="225" t="s">
        <v>172</v>
      </c>
      <c r="AX417" t="s">
        <v>2172</v>
      </c>
      <c r="AY417" s="224"/>
    </row>
    <row r="418" spans="1:51" x14ac:dyDescent="0.25">
      <c r="A418" s="223">
        <v>2010</v>
      </c>
      <c r="B418" s="223">
        <v>11</v>
      </c>
      <c r="C418" s="224">
        <v>45185</v>
      </c>
      <c r="D418" s="225" t="s">
        <v>870</v>
      </c>
      <c r="E418" s="225" t="s">
        <v>859</v>
      </c>
      <c r="F418" s="225" t="s">
        <v>860</v>
      </c>
      <c r="G418" s="223" t="s">
        <v>861</v>
      </c>
      <c r="H418" s="224"/>
      <c r="I418" s="224">
        <v>45189</v>
      </c>
      <c r="J418" s="225" t="s">
        <v>1805</v>
      </c>
      <c r="K418" s="225" t="s">
        <v>98</v>
      </c>
      <c r="L418" s="225" t="s">
        <v>4</v>
      </c>
      <c r="M418" s="223">
        <v>7</v>
      </c>
      <c r="N418" s="223">
        <v>3</v>
      </c>
      <c r="O418" s="223">
        <v>131</v>
      </c>
      <c r="P418" s="223">
        <v>1</v>
      </c>
      <c r="Q418" s="223">
        <v>42.28</v>
      </c>
      <c r="R418" s="225" t="s">
        <v>13</v>
      </c>
      <c r="S418" s="230">
        <v>3759021.04</v>
      </c>
      <c r="T418" s="226">
        <v>88907.78</v>
      </c>
      <c r="U418" s="228">
        <v>15000</v>
      </c>
      <c r="V418" s="226">
        <v>3774021.04</v>
      </c>
      <c r="W418" s="226">
        <v>89262.560075685906</v>
      </c>
      <c r="X418" s="228">
        <v>190260</v>
      </c>
      <c r="Y418" s="228">
        <f>Юрист[[#This Row],[Итоговая цена м2 с отделкой]]-Юрист[[#This Row],[Итоговая цена м2 без отделки]]</f>
        <v>4500</v>
      </c>
      <c r="Z418" s="226">
        <v>3583761.04</v>
      </c>
      <c r="AA418" s="223">
        <v>84762.560075685906</v>
      </c>
      <c r="AB418" s="225"/>
      <c r="AD418" s="225" t="s">
        <v>862</v>
      </c>
      <c r="AE418" s="225" t="s">
        <v>863</v>
      </c>
      <c r="AF418" s="226"/>
      <c r="AG418" s="226">
        <v>3172074.32</v>
      </c>
      <c r="AH418" s="226">
        <v>586946.72</v>
      </c>
      <c r="AI418" s="226"/>
      <c r="AJ418" s="226"/>
      <c r="AK418" s="223" t="s">
        <v>864</v>
      </c>
      <c r="AL418" s="227">
        <v>1.4E-2</v>
      </c>
      <c r="AM418" s="229">
        <v>0.04</v>
      </c>
      <c r="AO418" s="223">
        <v>0</v>
      </c>
      <c r="AP418" s="225" t="s">
        <v>871</v>
      </c>
      <c r="AQ418" s="223">
        <v>79377951535</v>
      </c>
      <c r="AR418" s="225" t="s">
        <v>866</v>
      </c>
      <c r="AS418" s="224">
        <v>34306</v>
      </c>
      <c r="AT418" s="225" t="s">
        <v>867</v>
      </c>
      <c r="AU418" s="225" t="s">
        <v>868</v>
      </c>
      <c r="AV418" s="225" t="s">
        <v>869</v>
      </c>
      <c r="AW418" s="225" t="s">
        <v>172</v>
      </c>
      <c r="AX418" t="s">
        <v>2168</v>
      </c>
      <c r="AY418" s="224"/>
    </row>
    <row r="419" spans="1:51" x14ac:dyDescent="0.25">
      <c r="A419" s="223">
        <v>2019</v>
      </c>
      <c r="B419" s="223">
        <v>20</v>
      </c>
      <c r="C419" s="224">
        <v>45184</v>
      </c>
      <c r="D419" s="225" t="s">
        <v>894</v>
      </c>
      <c r="E419" s="225" t="s">
        <v>859</v>
      </c>
      <c r="F419" s="225" t="s">
        <v>860</v>
      </c>
      <c r="G419" s="223" t="s">
        <v>861</v>
      </c>
      <c r="H419" s="224"/>
      <c r="I419" s="224">
        <v>45189</v>
      </c>
      <c r="J419" s="225" t="s">
        <v>2035</v>
      </c>
      <c r="K419" s="225" t="s">
        <v>98</v>
      </c>
      <c r="L419" s="225" t="s">
        <v>2</v>
      </c>
      <c r="M419" s="223">
        <v>7</v>
      </c>
      <c r="N419" s="223">
        <v>10</v>
      </c>
      <c r="O419" s="223">
        <v>467</v>
      </c>
      <c r="P419" s="223">
        <v>3</v>
      </c>
      <c r="Q419" s="223">
        <v>79.44</v>
      </c>
      <c r="R419" s="225" t="s">
        <v>13</v>
      </c>
      <c r="S419" s="230">
        <v>6958955.1200000001</v>
      </c>
      <c r="T419" s="226">
        <v>87600.14</v>
      </c>
      <c r="U419" s="228"/>
      <c r="V419" s="226">
        <v>6958955.1200000001</v>
      </c>
      <c r="W419" s="226">
        <v>87600.139979859014</v>
      </c>
      <c r="X419" s="228">
        <v>397200</v>
      </c>
      <c r="Y419" s="228">
        <f>Юрист[[#This Row],[Итоговая цена м2 с отделкой]]-Юрист[[#This Row],[Итоговая цена м2 без отделки]]</f>
        <v>5000</v>
      </c>
      <c r="Z419" s="226">
        <v>6561755.1200000001</v>
      </c>
      <c r="AA419" s="223">
        <v>82600.139979859014</v>
      </c>
      <c r="AB419" s="225"/>
      <c r="AD419" s="225" t="s">
        <v>862</v>
      </c>
      <c r="AE419" s="225" t="s">
        <v>863</v>
      </c>
      <c r="AF419" s="226">
        <v>1045000</v>
      </c>
      <c r="AG419" s="226">
        <v>5913955.1200000001</v>
      </c>
      <c r="AH419" s="226"/>
      <c r="AI419" s="226"/>
      <c r="AJ419" s="226"/>
      <c r="AK419" s="223" t="s">
        <v>895</v>
      </c>
      <c r="AL419" s="227">
        <v>1.4E-2</v>
      </c>
      <c r="AM419" s="229">
        <v>3.3000000000000002E-2</v>
      </c>
      <c r="AO419" s="223">
        <v>0</v>
      </c>
      <c r="AP419" s="225" t="s">
        <v>896</v>
      </c>
      <c r="AQ419" s="223">
        <v>79173970433</v>
      </c>
      <c r="AR419" s="225" t="s">
        <v>882</v>
      </c>
      <c r="AS419" s="224">
        <v>36725</v>
      </c>
      <c r="AT419" s="225" t="s">
        <v>875</v>
      </c>
      <c r="AU419" s="225" t="s">
        <v>889</v>
      </c>
      <c r="AV419" s="225" t="s">
        <v>869</v>
      </c>
      <c r="AW419" s="225" t="s">
        <v>172</v>
      </c>
      <c r="AX419" t="s">
        <v>2172</v>
      </c>
      <c r="AY419" s="224"/>
    </row>
    <row r="420" spans="1:51" x14ac:dyDescent="0.25">
      <c r="A420" s="223">
        <v>2013</v>
      </c>
      <c r="B420" s="223">
        <v>14</v>
      </c>
      <c r="C420" s="224">
        <v>45184</v>
      </c>
      <c r="D420" s="225" t="s">
        <v>876</v>
      </c>
      <c r="E420" s="225" t="s">
        <v>859</v>
      </c>
      <c r="F420" s="225" t="s">
        <v>860</v>
      </c>
      <c r="G420" s="223" t="s">
        <v>861</v>
      </c>
      <c r="H420" s="224"/>
      <c r="I420" s="224">
        <v>45189</v>
      </c>
      <c r="J420" s="225" t="s">
        <v>1855</v>
      </c>
      <c r="K420" s="225" t="s">
        <v>98</v>
      </c>
      <c r="L420" s="225" t="s">
        <v>4</v>
      </c>
      <c r="M420" s="223">
        <v>5</v>
      </c>
      <c r="N420" s="223">
        <v>14</v>
      </c>
      <c r="O420" s="223">
        <v>206</v>
      </c>
      <c r="P420" s="223">
        <v>1</v>
      </c>
      <c r="Q420" s="223">
        <v>37.86</v>
      </c>
      <c r="R420" s="225" t="s">
        <v>13</v>
      </c>
      <c r="S420" s="230">
        <v>3533381.18</v>
      </c>
      <c r="T420" s="226">
        <v>93327.55</v>
      </c>
      <c r="U420" s="228">
        <v>15000</v>
      </c>
      <c r="V420" s="226">
        <v>3548381.18</v>
      </c>
      <c r="W420" s="226">
        <v>93723.750132065514</v>
      </c>
      <c r="X420" s="228">
        <v>170370</v>
      </c>
      <c r="Y420" s="228">
        <f>Юрист[[#This Row],[Итоговая цена м2 с отделкой]]-Юрист[[#This Row],[Итоговая цена м2 без отделки]]</f>
        <v>4500</v>
      </c>
      <c r="Z420" s="226">
        <v>3378011.18</v>
      </c>
      <c r="AA420" s="223">
        <v>89223.750132065514</v>
      </c>
      <c r="AB420" s="225"/>
      <c r="AD420" s="225" t="s">
        <v>862</v>
      </c>
      <c r="AE420" s="225" t="s">
        <v>863</v>
      </c>
      <c r="AF420" s="226">
        <v>533000</v>
      </c>
      <c r="AG420" s="226">
        <v>3000381.18</v>
      </c>
      <c r="AH420" s="226"/>
      <c r="AI420" s="226"/>
      <c r="AJ420" s="226"/>
      <c r="AK420" s="223" t="s">
        <v>864</v>
      </c>
      <c r="AL420" s="227">
        <v>0.04</v>
      </c>
      <c r="AM420" s="229">
        <v>1.6E-2</v>
      </c>
      <c r="AO420" s="223">
        <v>0</v>
      </c>
      <c r="AP420" s="225" t="s">
        <v>877</v>
      </c>
      <c r="AQ420" s="223">
        <v>79110042883</v>
      </c>
      <c r="AR420" s="225" t="s">
        <v>866</v>
      </c>
      <c r="AS420" s="224">
        <v>32046</v>
      </c>
      <c r="AT420" s="225" t="s">
        <v>878</v>
      </c>
      <c r="AU420" s="225" t="s">
        <v>868</v>
      </c>
      <c r="AV420" s="225" t="s">
        <v>879</v>
      </c>
      <c r="AW420" s="225" t="s">
        <v>172</v>
      </c>
      <c r="AX420" t="s">
        <v>2172</v>
      </c>
      <c r="AY420" s="224"/>
    </row>
    <row r="421" spans="1:51" x14ac:dyDescent="0.25">
      <c r="A421" s="223">
        <v>2017</v>
      </c>
      <c r="B421" s="223">
        <v>18</v>
      </c>
      <c r="C421" s="224">
        <v>45184</v>
      </c>
      <c r="D421" s="225" t="s">
        <v>890</v>
      </c>
      <c r="E421" s="225" t="s">
        <v>859</v>
      </c>
      <c r="F421" s="225" t="s">
        <v>860</v>
      </c>
      <c r="G421" s="223" t="s">
        <v>861</v>
      </c>
      <c r="H421" s="224"/>
      <c r="I421" s="224">
        <v>45189</v>
      </c>
      <c r="J421" s="225" t="s">
        <v>1853</v>
      </c>
      <c r="K421" s="225" t="s">
        <v>98</v>
      </c>
      <c r="L421" s="225" t="s">
        <v>4</v>
      </c>
      <c r="M421" s="223">
        <v>3</v>
      </c>
      <c r="N421" s="223">
        <v>14</v>
      </c>
      <c r="O421" s="223">
        <v>204</v>
      </c>
      <c r="P421" s="223">
        <v>2</v>
      </c>
      <c r="Q421" s="223">
        <v>57.6</v>
      </c>
      <c r="R421" s="225" t="s">
        <v>14</v>
      </c>
      <c r="S421" s="230">
        <v>5778619.7800000003</v>
      </c>
      <c r="T421" s="226">
        <v>100323.26</v>
      </c>
      <c r="U421" s="228"/>
      <c r="V421" s="226">
        <v>5778619.7800000003</v>
      </c>
      <c r="W421" s="226">
        <v>100323.26006944444</v>
      </c>
      <c r="X421" s="228">
        <v>921600</v>
      </c>
      <c r="Y421" s="228">
        <f>Юрист[[#This Row],[Итоговая цена м2 с отделкой]]-Юрист[[#This Row],[Итоговая цена м2 без отделки]]</f>
        <v>16000</v>
      </c>
      <c r="Z421" s="226">
        <v>4857019.78</v>
      </c>
      <c r="AA421" s="223">
        <v>84323.260069444441</v>
      </c>
      <c r="AB421" s="225"/>
      <c r="AD421" s="225" t="s">
        <v>862</v>
      </c>
      <c r="AE421" s="225" t="s">
        <v>863</v>
      </c>
      <c r="AF421" s="226">
        <v>1000000</v>
      </c>
      <c r="AG421" s="226">
        <v>4778619.78</v>
      </c>
      <c r="AH421" s="226"/>
      <c r="AI421" s="226"/>
      <c r="AJ421" s="226"/>
      <c r="AK421" s="223" t="s">
        <v>864</v>
      </c>
      <c r="AL421" s="227">
        <v>1.4E-2</v>
      </c>
      <c r="AM421" s="229">
        <v>0.04</v>
      </c>
      <c r="AO421" s="223">
        <v>0</v>
      </c>
      <c r="AP421" s="225" t="s">
        <v>891</v>
      </c>
      <c r="AQ421" s="223">
        <v>79276051723</v>
      </c>
      <c r="AR421" s="225" t="s">
        <v>882</v>
      </c>
      <c r="AS421" s="224">
        <v>30291</v>
      </c>
      <c r="AT421" s="225" t="s">
        <v>878</v>
      </c>
      <c r="AU421" s="225" t="s">
        <v>868</v>
      </c>
      <c r="AV421" s="225" t="s">
        <v>879</v>
      </c>
      <c r="AW421" s="225" t="s">
        <v>172</v>
      </c>
      <c r="AX421" t="s">
        <v>2172</v>
      </c>
      <c r="AY421" s="224"/>
    </row>
    <row r="422" spans="1:51" x14ac:dyDescent="0.25">
      <c r="A422" s="223">
        <v>2021</v>
      </c>
      <c r="B422" s="223">
        <v>22</v>
      </c>
      <c r="C422" s="224">
        <v>45184</v>
      </c>
      <c r="D422" s="225" t="s">
        <v>897</v>
      </c>
      <c r="E422" s="225" t="s">
        <v>859</v>
      </c>
      <c r="F422" s="225" t="s">
        <v>860</v>
      </c>
      <c r="G422" s="223" t="s">
        <v>861</v>
      </c>
      <c r="H422" s="224"/>
      <c r="I422" s="224">
        <v>45189</v>
      </c>
      <c r="J422" s="225" t="s">
        <v>1824</v>
      </c>
      <c r="K422" s="225" t="s">
        <v>98</v>
      </c>
      <c r="L422" s="225" t="s">
        <v>4</v>
      </c>
      <c r="M422" s="223">
        <v>3</v>
      </c>
      <c r="N422" s="223">
        <v>7</v>
      </c>
      <c r="O422" s="223">
        <v>155</v>
      </c>
      <c r="P422" s="223">
        <v>2</v>
      </c>
      <c r="Q422" s="223">
        <v>57.6</v>
      </c>
      <c r="R422" s="225" t="s">
        <v>12</v>
      </c>
      <c r="S422" s="230">
        <v>4786524.0999999996</v>
      </c>
      <c r="T422" s="226">
        <v>83099.38</v>
      </c>
      <c r="U422" s="228"/>
      <c r="V422" s="226">
        <v>4786524.0999999996</v>
      </c>
      <c r="W422" s="226">
        <v>83099.376736111109</v>
      </c>
      <c r="X422" s="228"/>
      <c r="Y422" s="228">
        <f>Юрист[[#This Row],[Итоговая цена м2 с отделкой]]-Юрист[[#This Row],[Итоговая цена м2 без отделки]]</f>
        <v>0</v>
      </c>
      <c r="Z422" s="226">
        <v>4786524.0999999996</v>
      </c>
      <c r="AA422" s="223">
        <v>83099.376736111109</v>
      </c>
      <c r="AB422" s="225" t="s">
        <v>171</v>
      </c>
      <c r="AC422" s="226">
        <v>120000</v>
      </c>
      <c r="AD422" s="225" t="s">
        <v>862</v>
      </c>
      <c r="AE422" s="225" t="s">
        <v>863</v>
      </c>
      <c r="AF422" s="226">
        <v>1000000</v>
      </c>
      <c r="AG422" s="226">
        <v>3786524.1</v>
      </c>
      <c r="AH422" s="226"/>
      <c r="AI422" s="226"/>
      <c r="AJ422" s="226"/>
      <c r="AK422" s="223" t="s">
        <v>873</v>
      </c>
      <c r="AL422" s="227">
        <v>1.4E-2</v>
      </c>
      <c r="AM422" s="229">
        <v>6.3E-2</v>
      </c>
      <c r="AO422" s="223">
        <v>0</v>
      </c>
      <c r="AP422" s="225" t="s">
        <v>898</v>
      </c>
      <c r="AQ422" s="223">
        <v>79063411094</v>
      </c>
      <c r="AR422" s="225" t="s">
        <v>866</v>
      </c>
      <c r="AS422" s="224">
        <v>36356</v>
      </c>
      <c r="AT422" s="225" t="s">
        <v>878</v>
      </c>
      <c r="AU422" s="225" t="s">
        <v>899</v>
      </c>
      <c r="AV422" s="225" t="s">
        <v>869</v>
      </c>
      <c r="AW422" s="225" t="s">
        <v>172</v>
      </c>
      <c r="AX422" t="s">
        <v>2172</v>
      </c>
      <c r="AY422" s="224"/>
    </row>
    <row r="423" spans="1:51" x14ac:dyDescent="0.25">
      <c r="A423" s="223">
        <v>2016</v>
      </c>
      <c r="B423" s="223">
        <v>17</v>
      </c>
      <c r="C423" s="224">
        <v>45184</v>
      </c>
      <c r="D423" s="225" t="s">
        <v>886</v>
      </c>
      <c r="E423" s="225" t="s">
        <v>859</v>
      </c>
      <c r="F423" s="225" t="s">
        <v>860</v>
      </c>
      <c r="G423" s="223" t="s">
        <v>861</v>
      </c>
      <c r="H423" s="224"/>
      <c r="I423" s="224">
        <v>45189</v>
      </c>
      <c r="J423" s="225" t="s">
        <v>1734</v>
      </c>
      <c r="K423" s="225" t="s">
        <v>98</v>
      </c>
      <c r="L423" s="225" t="s">
        <v>5</v>
      </c>
      <c r="M423" s="223">
        <v>5</v>
      </c>
      <c r="N423" s="223">
        <v>4</v>
      </c>
      <c r="O423" s="223">
        <v>25</v>
      </c>
      <c r="P423" s="223">
        <v>2</v>
      </c>
      <c r="Q423" s="223">
        <v>62.17</v>
      </c>
      <c r="R423" s="225" t="s">
        <v>14</v>
      </c>
      <c r="S423" s="230">
        <v>5989382.3300000001</v>
      </c>
      <c r="T423" s="226">
        <v>96338.79</v>
      </c>
      <c r="U423" s="228">
        <v>15000</v>
      </c>
      <c r="V423" s="226">
        <v>6004382.3300000001</v>
      </c>
      <c r="W423" s="226">
        <v>96580.059996783006</v>
      </c>
      <c r="X423" s="228">
        <v>963635</v>
      </c>
      <c r="Y423" s="228">
        <f>Юрист[[#This Row],[Итоговая цена м2 с отделкой]]-Юрист[[#This Row],[Итоговая цена м2 без отделки]]</f>
        <v>15499.999999999985</v>
      </c>
      <c r="Z423" s="226">
        <v>5040747.33</v>
      </c>
      <c r="AA423" s="223">
        <v>81080.05999678302</v>
      </c>
      <c r="AB423" s="225"/>
      <c r="AD423" s="225" t="s">
        <v>862</v>
      </c>
      <c r="AE423" s="225" t="s">
        <v>863</v>
      </c>
      <c r="AF423" s="226">
        <v>1000000</v>
      </c>
      <c r="AG423" s="226">
        <v>4402435.6100000003</v>
      </c>
      <c r="AH423" s="226">
        <v>586946.72</v>
      </c>
      <c r="AI423" s="226"/>
      <c r="AJ423" s="226"/>
      <c r="AK423" s="223" t="s">
        <v>864</v>
      </c>
      <c r="AL423" s="227">
        <v>1.4E-2</v>
      </c>
      <c r="AM423" s="229">
        <v>0.04</v>
      </c>
      <c r="AO423" s="223">
        <v>0</v>
      </c>
      <c r="AP423" s="225" t="s">
        <v>887</v>
      </c>
      <c r="AQ423" s="223">
        <v>79272975663</v>
      </c>
      <c r="AR423" s="225" t="s">
        <v>882</v>
      </c>
      <c r="AS423" s="224">
        <v>35077</v>
      </c>
      <c r="AT423" s="225" t="s">
        <v>888</v>
      </c>
      <c r="AU423" s="225" t="s">
        <v>889</v>
      </c>
      <c r="AV423" s="225" t="s">
        <v>869</v>
      </c>
      <c r="AW423" s="225" t="s">
        <v>172</v>
      </c>
      <c r="AX423" t="s">
        <v>2172</v>
      </c>
      <c r="AY423" s="224"/>
    </row>
    <row r="424" spans="1:51" x14ac:dyDescent="0.25">
      <c r="A424" s="223">
        <v>2018</v>
      </c>
      <c r="B424" s="223">
        <v>19</v>
      </c>
      <c r="C424" s="224">
        <v>45184</v>
      </c>
      <c r="D424" s="225" t="s">
        <v>892</v>
      </c>
      <c r="E424" s="225" t="s">
        <v>859</v>
      </c>
      <c r="F424" s="225" t="s">
        <v>860</v>
      </c>
      <c r="G424" s="223" t="s">
        <v>861</v>
      </c>
      <c r="H424" s="224"/>
      <c r="I424" s="224">
        <v>45189</v>
      </c>
      <c r="J424" s="225" t="s">
        <v>1930</v>
      </c>
      <c r="K424" s="225" t="s">
        <v>98</v>
      </c>
      <c r="L424" s="225" t="s">
        <v>3</v>
      </c>
      <c r="M424" s="223">
        <v>7</v>
      </c>
      <c r="N424" s="223">
        <v>13</v>
      </c>
      <c r="O424" s="223">
        <v>312</v>
      </c>
      <c r="P424" s="223">
        <v>1</v>
      </c>
      <c r="Q424" s="223">
        <v>34.81</v>
      </c>
      <c r="R424" s="225" t="s">
        <v>12</v>
      </c>
      <c r="S424" s="230">
        <v>3350610.44</v>
      </c>
      <c r="T424" s="226">
        <v>96254.25</v>
      </c>
      <c r="U424" s="228"/>
      <c r="V424" s="226">
        <v>3350610.44</v>
      </c>
      <c r="W424" s="226">
        <v>96254.249928181554</v>
      </c>
      <c r="X424" s="228"/>
      <c r="Y424" s="228">
        <f>Юрист[[#This Row],[Итоговая цена м2 с отделкой]]-Юрист[[#This Row],[Итоговая цена м2 без отделки]]</f>
        <v>0</v>
      </c>
      <c r="Z424" s="226">
        <v>3350610.44</v>
      </c>
      <c r="AA424" s="223">
        <v>96254.249928181554</v>
      </c>
      <c r="AB424" s="225"/>
      <c r="AD424" s="225" t="s">
        <v>862</v>
      </c>
      <c r="AE424" s="225" t="s">
        <v>863</v>
      </c>
      <c r="AF424" s="226">
        <v>700000</v>
      </c>
      <c r="AG424" s="226">
        <v>2650610.44</v>
      </c>
      <c r="AH424" s="226"/>
      <c r="AI424" s="226"/>
      <c r="AJ424" s="226"/>
      <c r="AK424" s="223" t="s">
        <v>873</v>
      </c>
      <c r="AL424" s="227">
        <v>1.4E-2</v>
      </c>
      <c r="AM424" s="229">
        <v>0.06</v>
      </c>
      <c r="AO424" s="223">
        <v>0</v>
      </c>
      <c r="AP424" s="225" t="s">
        <v>893</v>
      </c>
      <c r="AQ424" s="223">
        <v>79170323817</v>
      </c>
      <c r="AR424" s="225" t="s">
        <v>882</v>
      </c>
      <c r="AS424" s="224">
        <v>33953</v>
      </c>
      <c r="AT424" s="225" t="s">
        <v>867</v>
      </c>
      <c r="AU424" s="225" t="s">
        <v>889</v>
      </c>
      <c r="AV424" s="225" t="s">
        <v>869</v>
      </c>
      <c r="AW424" s="225" t="s">
        <v>172</v>
      </c>
      <c r="AX424" t="s">
        <v>2168</v>
      </c>
      <c r="AY424" s="224"/>
    </row>
    <row r="425" spans="1:51" x14ac:dyDescent="0.25">
      <c r="A425" s="223">
        <v>2014</v>
      </c>
      <c r="B425" s="223">
        <v>15</v>
      </c>
      <c r="C425" s="224">
        <v>45184</v>
      </c>
      <c r="D425" s="225" t="s">
        <v>880</v>
      </c>
      <c r="E425" s="225" t="s">
        <v>859</v>
      </c>
      <c r="F425" s="225" t="s">
        <v>860</v>
      </c>
      <c r="G425" s="223" t="s">
        <v>861</v>
      </c>
      <c r="H425" s="224"/>
      <c r="I425" s="224">
        <v>45189</v>
      </c>
      <c r="J425" s="225" t="s">
        <v>2020</v>
      </c>
      <c r="K425" s="225" t="s">
        <v>98</v>
      </c>
      <c r="L425" s="225" t="s">
        <v>2</v>
      </c>
      <c r="M425" s="223">
        <v>5</v>
      </c>
      <c r="N425" s="223">
        <v>8</v>
      </c>
      <c r="O425" s="223">
        <v>449</v>
      </c>
      <c r="P425" s="223">
        <v>2</v>
      </c>
      <c r="Q425" s="223">
        <v>57.8</v>
      </c>
      <c r="R425" s="225" t="s">
        <v>14</v>
      </c>
      <c r="S425" s="230">
        <v>5455745.7199999997</v>
      </c>
      <c r="T425" s="226">
        <v>94390.06</v>
      </c>
      <c r="U425" s="228">
        <v>15000</v>
      </c>
      <c r="V425" s="226">
        <v>5470745.7199999997</v>
      </c>
      <c r="W425" s="226">
        <v>94649.579930795851</v>
      </c>
      <c r="X425" s="228">
        <v>895900</v>
      </c>
      <c r="Y425" s="228">
        <f>Юрист[[#This Row],[Итоговая цена м2 с отделкой]]-Юрист[[#This Row],[Итоговая цена м2 без отделки]]</f>
        <v>15500</v>
      </c>
      <c r="Z425" s="226">
        <v>4574845.72</v>
      </c>
      <c r="AA425" s="223">
        <v>79149.579930795851</v>
      </c>
      <c r="AB425" s="225"/>
      <c r="AD425" s="225" t="s">
        <v>862</v>
      </c>
      <c r="AE425" s="225" t="s">
        <v>863</v>
      </c>
      <c r="AF425" s="226">
        <v>45000</v>
      </c>
      <c r="AG425" s="226">
        <v>4635117.47</v>
      </c>
      <c r="AH425" s="226">
        <v>775628.25</v>
      </c>
      <c r="AI425" s="226"/>
      <c r="AJ425" s="226"/>
      <c r="AK425" s="223" t="s">
        <v>864</v>
      </c>
      <c r="AL425" s="227">
        <v>1.4E-2</v>
      </c>
      <c r="AM425" s="229">
        <v>0.04</v>
      </c>
      <c r="AO425" s="223">
        <v>0</v>
      </c>
      <c r="AP425" s="225" t="s">
        <v>881</v>
      </c>
      <c r="AQ425" s="223">
        <v>79967376050</v>
      </c>
      <c r="AR425" s="225" t="s">
        <v>882</v>
      </c>
      <c r="AS425" s="224">
        <v>33449</v>
      </c>
      <c r="AT425" s="225" t="s">
        <v>878</v>
      </c>
      <c r="AU425" s="225" t="s">
        <v>868</v>
      </c>
      <c r="AV425" s="225" t="s">
        <v>879</v>
      </c>
      <c r="AW425" s="225" t="s">
        <v>172</v>
      </c>
      <c r="AX425" t="s">
        <v>2172</v>
      </c>
      <c r="AY425" s="224"/>
    </row>
    <row r="426" spans="1:51" x14ac:dyDescent="0.25">
      <c r="A426" s="223">
        <v>2015</v>
      </c>
      <c r="B426" s="223">
        <v>16</v>
      </c>
      <c r="C426" s="224">
        <v>45184</v>
      </c>
      <c r="D426" s="225" t="s">
        <v>883</v>
      </c>
      <c r="E426" s="225" t="s">
        <v>859</v>
      </c>
      <c r="F426" s="225" t="s">
        <v>860</v>
      </c>
      <c r="G426" s="223" t="s">
        <v>861</v>
      </c>
      <c r="H426" s="224"/>
      <c r="I426" s="224">
        <v>45189</v>
      </c>
      <c r="J426" s="225" t="s">
        <v>1781</v>
      </c>
      <c r="K426" s="225" t="s">
        <v>98</v>
      </c>
      <c r="L426" s="225" t="s">
        <v>5</v>
      </c>
      <c r="M426" s="223">
        <v>3</v>
      </c>
      <c r="N426" s="223">
        <v>14</v>
      </c>
      <c r="O426" s="223">
        <v>93</v>
      </c>
      <c r="P426" s="223">
        <v>1</v>
      </c>
      <c r="Q426" s="223">
        <v>37.729999999999997</v>
      </c>
      <c r="R426" s="225" t="s">
        <v>12</v>
      </c>
      <c r="S426" s="230">
        <v>3290204.6</v>
      </c>
      <c r="T426" s="226">
        <v>87203.94</v>
      </c>
      <c r="U426" s="228">
        <v>15000</v>
      </c>
      <c r="V426" s="226">
        <v>3305204.6</v>
      </c>
      <c r="W426" s="226">
        <v>87601.500132520552</v>
      </c>
      <c r="X426" s="228"/>
      <c r="Y426" s="228">
        <f>Юрист[[#This Row],[Итоговая цена м2 с отделкой]]-Юрист[[#This Row],[Итоговая цена м2 без отделки]]</f>
        <v>0</v>
      </c>
      <c r="Z426" s="226">
        <v>3305204.6</v>
      </c>
      <c r="AA426" s="223">
        <v>87601.500132520552</v>
      </c>
      <c r="AB426" s="225"/>
      <c r="AD426" s="225" t="s">
        <v>862</v>
      </c>
      <c r="AE426" s="225" t="s">
        <v>863</v>
      </c>
      <c r="AF426" s="226"/>
      <c r="AG426" s="226">
        <v>2514576.35</v>
      </c>
      <c r="AH426" s="226">
        <v>775628.25</v>
      </c>
      <c r="AI426" s="226"/>
      <c r="AJ426" s="226"/>
      <c r="AK426" s="223" t="s">
        <v>864</v>
      </c>
      <c r="AL426" s="227">
        <v>1.4E-2</v>
      </c>
      <c r="AM426" s="229">
        <v>0.04</v>
      </c>
      <c r="AO426" s="223">
        <v>0</v>
      </c>
      <c r="AP426" s="225" t="s">
        <v>884</v>
      </c>
      <c r="AQ426" s="223">
        <v>79379892542</v>
      </c>
      <c r="AR426" s="225" t="s">
        <v>866</v>
      </c>
      <c r="AS426" s="224">
        <v>32691</v>
      </c>
      <c r="AT426" s="225" t="s">
        <v>885</v>
      </c>
      <c r="AU426" s="225" t="s">
        <v>868</v>
      </c>
      <c r="AV426" s="225" t="s">
        <v>879</v>
      </c>
      <c r="AW426" s="225" t="s">
        <v>172</v>
      </c>
      <c r="AX426" t="s">
        <v>2172</v>
      </c>
      <c r="AY426" s="224"/>
    </row>
  </sheetData>
  <conditionalFormatting sqref="J1 J3:J1048576">
    <cfRule type="duplicateValues" dxfId="1" priority="3"/>
  </conditionalFormatting>
  <conditionalFormatting sqref="U2:U426">
    <cfRule type="notContainsBlanks" dxfId="0" priority="5">
      <formula>LEN(TRIM(U2))&gt;0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335E4-ED7A-4042-B43F-7DD18A4CD19B}">
  <sheetPr codeName="Лист7"/>
  <dimension ref="A3:I42"/>
  <sheetViews>
    <sheetView topLeftCell="A7" workbookViewId="0">
      <selection activeCell="F22" sqref="F22"/>
    </sheetView>
  </sheetViews>
  <sheetFormatPr defaultRowHeight="15" x14ac:dyDescent="0.25"/>
  <cols>
    <col min="1" max="1" width="16.42578125" style="272" bestFit="1" customWidth="1"/>
    <col min="2" max="2" width="10.140625" style="272" bestFit="1" customWidth="1"/>
    <col min="3" max="3" width="12.85546875" bestFit="1" customWidth="1"/>
    <col min="4" max="6" width="12.85546875" style="272" bestFit="1" customWidth="1"/>
    <col min="7" max="7" width="6" style="272" bestFit="1" customWidth="1"/>
    <col min="8" max="9" width="8.140625" style="272" bestFit="1" customWidth="1"/>
    <col min="10" max="10" width="11.7109375" bestFit="1" customWidth="1"/>
    <col min="11" max="11" width="9.42578125" bestFit="1" customWidth="1"/>
    <col min="12" max="12" width="10.140625" bestFit="1" customWidth="1"/>
    <col min="13" max="13" width="11.5703125" bestFit="1" customWidth="1"/>
    <col min="14" max="14" width="9.5703125" bestFit="1" customWidth="1"/>
    <col min="15" max="15" width="14.5703125" bestFit="1" customWidth="1"/>
    <col min="16" max="16" width="11.140625" bestFit="1" customWidth="1"/>
    <col min="17" max="17" width="9.42578125" bestFit="1" customWidth="1"/>
    <col min="18" max="18" width="10.140625" bestFit="1" customWidth="1"/>
    <col min="19" max="19" width="11.5703125" bestFit="1" customWidth="1"/>
    <col min="20" max="20" width="9.5703125" bestFit="1" customWidth="1"/>
    <col min="21" max="21" width="14" bestFit="1" customWidth="1"/>
    <col min="22" max="23" width="11.85546875" bestFit="1" customWidth="1"/>
  </cols>
  <sheetData>
    <row r="3" spans="1:9" x14ac:dyDescent="0.25">
      <c r="A3" s="271" t="s">
        <v>17</v>
      </c>
      <c r="B3" t="s">
        <v>2224</v>
      </c>
    </row>
    <row r="5" spans="1:9" x14ac:dyDescent="0.25">
      <c r="C5" s="273" t="s">
        <v>2209</v>
      </c>
      <c r="D5" s="273" t="s">
        <v>2210</v>
      </c>
      <c r="I5"/>
    </row>
    <row r="6" spans="1:9" x14ac:dyDescent="0.25">
      <c r="C6" s="272" t="s">
        <v>2201</v>
      </c>
      <c r="E6" s="272" t="s">
        <v>2202</v>
      </c>
      <c r="G6" s="272" t="s">
        <v>2206</v>
      </c>
      <c r="H6" s="272" t="s">
        <v>2207</v>
      </c>
      <c r="I6"/>
    </row>
    <row r="7" spans="1:9" x14ac:dyDescent="0.25">
      <c r="A7" s="273" t="s">
        <v>97</v>
      </c>
      <c r="B7" s="271" t="s">
        <v>2205</v>
      </c>
      <c r="C7" s="272" t="s">
        <v>2204</v>
      </c>
      <c r="D7" s="272" t="s">
        <v>2208</v>
      </c>
      <c r="E7" s="272" t="s">
        <v>2204</v>
      </c>
      <c r="F7" s="272" t="s">
        <v>2208</v>
      </c>
      <c r="I7"/>
    </row>
    <row r="8" spans="1:9" x14ac:dyDescent="0.25">
      <c r="A8">
        <v>1</v>
      </c>
      <c r="B8" t="s">
        <v>12</v>
      </c>
      <c r="C8" s="274">
        <v>23</v>
      </c>
      <c r="D8" s="275">
        <v>0.41818181818181815</v>
      </c>
      <c r="E8" s="274">
        <v>13</v>
      </c>
      <c r="F8" s="275">
        <v>0.52</v>
      </c>
      <c r="G8" s="274">
        <v>36</v>
      </c>
      <c r="H8" s="275">
        <v>0.45</v>
      </c>
      <c r="I8"/>
    </row>
    <row r="9" spans="1:9" x14ac:dyDescent="0.25">
      <c r="A9"/>
      <c r="B9" t="s">
        <v>2203</v>
      </c>
      <c r="C9" s="274">
        <v>14</v>
      </c>
      <c r="D9" s="275">
        <v>0.25454545454545452</v>
      </c>
      <c r="E9" s="274">
        <v>12</v>
      </c>
      <c r="F9" s="275">
        <v>0.48</v>
      </c>
      <c r="G9" s="274">
        <v>26</v>
      </c>
      <c r="H9" s="275">
        <v>0.32500000000000001</v>
      </c>
      <c r="I9"/>
    </row>
    <row r="10" spans="1:9" x14ac:dyDescent="0.25">
      <c r="A10"/>
      <c r="B10" t="s">
        <v>14</v>
      </c>
      <c r="C10" s="274">
        <v>18</v>
      </c>
      <c r="D10" s="275">
        <v>0.32727272727272727</v>
      </c>
      <c r="E10" s="274"/>
      <c r="F10" s="275">
        <v>0</v>
      </c>
      <c r="G10" s="274">
        <v>18</v>
      </c>
      <c r="H10" s="275">
        <v>0.22500000000000001</v>
      </c>
      <c r="I10"/>
    </row>
    <row r="11" spans="1:9" x14ac:dyDescent="0.25">
      <c r="A11" t="s">
        <v>2211</v>
      </c>
      <c r="B11"/>
      <c r="C11" s="274">
        <v>55</v>
      </c>
      <c r="D11" s="275">
        <v>0.12971698113207547</v>
      </c>
      <c r="E11" s="274">
        <v>25</v>
      </c>
      <c r="F11" s="275">
        <v>0.16025641025641027</v>
      </c>
      <c r="G11" s="274">
        <v>80</v>
      </c>
      <c r="H11" s="275">
        <v>0.13793103448275862</v>
      </c>
      <c r="I11"/>
    </row>
    <row r="12" spans="1:9" x14ac:dyDescent="0.25">
      <c r="A12">
        <v>2</v>
      </c>
      <c r="B12" t="s">
        <v>12</v>
      </c>
      <c r="C12" s="274">
        <v>24</v>
      </c>
      <c r="D12" s="275">
        <v>0.41379310344827586</v>
      </c>
      <c r="E12" s="274">
        <v>11</v>
      </c>
      <c r="F12" s="275">
        <v>0.5</v>
      </c>
      <c r="G12" s="274">
        <v>35</v>
      </c>
      <c r="H12" s="275">
        <v>0.4375</v>
      </c>
      <c r="I12"/>
    </row>
    <row r="13" spans="1:9" x14ac:dyDescent="0.25">
      <c r="A13"/>
      <c r="B13" t="s">
        <v>2203</v>
      </c>
      <c r="C13" s="274">
        <v>14</v>
      </c>
      <c r="D13" s="275">
        <v>0.2413793103448276</v>
      </c>
      <c r="E13" s="274">
        <v>10</v>
      </c>
      <c r="F13" s="275">
        <v>0.45454545454545453</v>
      </c>
      <c r="G13" s="274">
        <v>24</v>
      </c>
      <c r="H13" s="275">
        <v>0.3</v>
      </c>
      <c r="I13"/>
    </row>
    <row r="14" spans="1:9" x14ac:dyDescent="0.25">
      <c r="A14"/>
      <c r="B14" t="s">
        <v>14</v>
      </c>
      <c r="C14" s="274">
        <v>20</v>
      </c>
      <c r="D14" s="275">
        <v>0.34482758620689657</v>
      </c>
      <c r="E14" s="274">
        <v>1</v>
      </c>
      <c r="F14" s="275">
        <v>4.5454545454545456E-2</v>
      </c>
      <c r="G14" s="274">
        <v>21</v>
      </c>
      <c r="H14" s="275">
        <v>0.26250000000000001</v>
      </c>
      <c r="I14"/>
    </row>
    <row r="15" spans="1:9" x14ac:dyDescent="0.25">
      <c r="A15" t="s">
        <v>2216</v>
      </c>
      <c r="B15"/>
      <c r="C15" s="274">
        <v>58</v>
      </c>
      <c r="D15" s="275">
        <v>0.13679245283018868</v>
      </c>
      <c r="E15" s="274">
        <v>22</v>
      </c>
      <c r="F15" s="275">
        <v>0.14102564102564102</v>
      </c>
      <c r="G15" s="274">
        <v>80</v>
      </c>
      <c r="H15" s="275">
        <v>0.13793103448275862</v>
      </c>
      <c r="I15"/>
    </row>
    <row r="16" spans="1:9" x14ac:dyDescent="0.25">
      <c r="A16">
        <v>3</v>
      </c>
      <c r="B16" t="s">
        <v>12</v>
      </c>
      <c r="C16" s="274">
        <v>16</v>
      </c>
      <c r="D16" s="275">
        <v>0.24615384615384617</v>
      </c>
      <c r="E16" s="274">
        <v>9</v>
      </c>
      <c r="F16" s="275">
        <v>0.6</v>
      </c>
      <c r="G16" s="274">
        <v>25</v>
      </c>
      <c r="H16" s="275">
        <v>0.3125</v>
      </c>
      <c r="I16"/>
    </row>
    <row r="17" spans="1:9" x14ac:dyDescent="0.25">
      <c r="A17"/>
      <c r="B17" t="s">
        <v>2203</v>
      </c>
      <c r="C17" s="274">
        <v>21</v>
      </c>
      <c r="D17" s="275">
        <v>0.32307692307692309</v>
      </c>
      <c r="E17" s="274">
        <v>5</v>
      </c>
      <c r="F17" s="275">
        <v>0.33333333333333331</v>
      </c>
      <c r="G17" s="274">
        <v>26</v>
      </c>
      <c r="H17" s="275">
        <v>0.32500000000000001</v>
      </c>
      <c r="I17"/>
    </row>
    <row r="18" spans="1:9" x14ac:dyDescent="0.25">
      <c r="A18"/>
      <c r="B18" t="s">
        <v>14</v>
      </c>
      <c r="C18" s="274">
        <v>28</v>
      </c>
      <c r="D18" s="275">
        <v>0.43076923076923079</v>
      </c>
      <c r="E18" s="274">
        <v>1</v>
      </c>
      <c r="F18" s="275">
        <v>6.6666666666666666E-2</v>
      </c>
      <c r="G18" s="274">
        <v>29</v>
      </c>
      <c r="H18" s="275">
        <v>0.36249999999999999</v>
      </c>
      <c r="I18"/>
    </row>
    <row r="19" spans="1:9" x14ac:dyDescent="0.25">
      <c r="A19" t="s">
        <v>2212</v>
      </c>
      <c r="B19"/>
      <c r="C19" s="274">
        <v>65</v>
      </c>
      <c r="D19" s="275">
        <v>0.15330188679245282</v>
      </c>
      <c r="E19" s="274">
        <v>15</v>
      </c>
      <c r="F19" s="275">
        <v>9.6153846153846159E-2</v>
      </c>
      <c r="G19" s="274">
        <v>80</v>
      </c>
      <c r="H19" s="275">
        <v>0.13793103448275862</v>
      </c>
      <c r="I19"/>
    </row>
    <row r="20" spans="1:9" x14ac:dyDescent="0.25">
      <c r="A20">
        <v>4</v>
      </c>
      <c r="B20" t="s">
        <v>12</v>
      </c>
      <c r="C20" s="274">
        <v>17</v>
      </c>
      <c r="D20" s="275">
        <v>0.31481481481481483</v>
      </c>
      <c r="E20" s="274">
        <v>12</v>
      </c>
      <c r="F20" s="275">
        <v>0.46153846153846156</v>
      </c>
      <c r="G20" s="274">
        <v>29</v>
      </c>
      <c r="H20" s="275">
        <v>0.36249999999999999</v>
      </c>
      <c r="I20"/>
    </row>
    <row r="21" spans="1:9" x14ac:dyDescent="0.25">
      <c r="A21"/>
      <c r="B21" t="s">
        <v>2203</v>
      </c>
      <c r="C21" s="274">
        <v>18</v>
      </c>
      <c r="D21" s="275">
        <v>0.33333333333333331</v>
      </c>
      <c r="E21" s="274">
        <v>13</v>
      </c>
      <c r="F21" s="275">
        <v>0.5</v>
      </c>
      <c r="G21" s="274">
        <v>31</v>
      </c>
      <c r="H21" s="275">
        <v>0.38750000000000001</v>
      </c>
      <c r="I21"/>
    </row>
    <row r="22" spans="1:9" x14ac:dyDescent="0.25">
      <c r="A22"/>
      <c r="B22" t="s">
        <v>14</v>
      </c>
      <c r="C22" s="274">
        <v>19</v>
      </c>
      <c r="D22" s="275">
        <v>0.35185185185185186</v>
      </c>
      <c r="E22" s="274">
        <v>1</v>
      </c>
      <c r="F22" s="275">
        <v>3.8461538461538464E-2</v>
      </c>
      <c r="G22" s="274">
        <v>20</v>
      </c>
      <c r="H22" s="275">
        <v>0.25</v>
      </c>
      <c r="I22"/>
    </row>
    <row r="23" spans="1:9" x14ac:dyDescent="0.25">
      <c r="A23" t="s">
        <v>2213</v>
      </c>
      <c r="B23"/>
      <c r="C23" s="274">
        <v>54</v>
      </c>
      <c r="D23" s="275">
        <v>0.12735849056603774</v>
      </c>
      <c r="E23" s="274">
        <v>26</v>
      </c>
      <c r="F23" s="275">
        <v>0.16666666666666666</v>
      </c>
      <c r="G23" s="274">
        <v>80</v>
      </c>
      <c r="H23" s="275">
        <v>0.13793103448275862</v>
      </c>
      <c r="I23"/>
    </row>
    <row r="24" spans="1:9" x14ac:dyDescent="0.25">
      <c r="A24">
        <v>5</v>
      </c>
      <c r="B24" t="s">
        <v>12</v>
      </c>
      <c r="C24" s="274">
        <v>20</v>
      </c>
      <c r="D24" s="275">
        <v>0.34482758620689657</v>
      </c>
      <c r="E24" s="274">
        <v>9</v>
      </c>
      <c r="F24" s="275">
        <v>0.40909090909090912</v>
      </c>
      <c r="G24" s="274">
        <v>29</v>
      </c>
      <c r="H24" s="275">
        <v>0.36249999999999999</v>
      </c>
      <c r="I24"/>
    </row>
    <row r="25" spans="1:9" x14ac:dyDescent="0.25">
      <c r="A25"/>
      <c r="B25" t="s">
        <v>2203</v>
      </c>
      <c r="C25" s="274">
        <v>21</v>
      </c>
      <c r="D25" s="275">
        <v>0.36206896551724138</v>
      </c>
      <c r="E25" s="274">
        <v>12</v>
      </c>
      <c r="F25" s="275">
        <v>0.54545454545454541</v>
      </c>
      <c r="G25" s="274">
        <v>33</v>
      </c>
      <c r="H25" s="275">
        <v>0.41249999999999998</v>
      </c>
      <c r="I25"/>
    </row>
    <row r="26" spans="1:9" x14ac:dyDescent="0.25">
      <c r="A26"/>
      <c r="B26" t="s">
        <v>14</v>
      </c>
      <c r="C26" s="274">
        <v>17</v>
      </c>
      <c r="D26" s="275">
        <v>0.29310344827586204</v>
      </c>
      <c r="E26" s="274">
        <v>1</v>
      </c>
      <c r="F26" s="275">
        <v>4.5454545454545456E-2</v>
      </c>
      <c r="G26" s="274">
        <v>18</v>
      </c>
      <c r="H26" s="275">
        <v>0.22500000000000001</v>
      </c>
      <c r="I26"/>
    </row>
    <row r="27" spans="1:9" x14ac:dyDescent="0.25">
      <c r="A27" t="s">
        <v>2217</v>
      </c>
      <c r="B27"/>
      <c r="C27" s="274">
        <v>58</v>
      </c>
      <c r="D27" s="275">
        <v>0.13679245283018868</v>
      </c>
      <c r="E27" s="274">
        <v>22</v>
      </c>
      <c r="F27" s="275">
        <v>0.14102564102564102</v>
      </c>
      <c r="G27" s="274">
        <v>80</v>
      </c>
      <c r="H27" s="275">
        <v>0.13793103448275862</v>
      </c>
      <c r="I27"/>
    </row>
    <row r="28" spans="1:9" x14ac:dyDescent="0.25">
      <c r="A28">
        <v>6</v>
      </c>
      <c r="B28" t="s">
        <v>12</v>
      </c>
      <c r="C28" s="274">
        <v>26</v>
      </c>
      <c r="D28" s="275">
        <v>0.44827586206896552</v>
      </c>
      <c r="E28" s="274">
        <v>14</v>
      </c>
      <c r="F28" s="275">
        <v>0.63636363636363635</v>
      </c>
      <c r="G28" s="274">
        <v>40</v>
      </c>
      <c r="H28" s="275">
        <v>0.5</v>
      </c>
      <c r="I28"/>
    </row>
    <row r="29" spans="1:9" x14ac:dyDescent="0.25">
      <c r="A29"/>
      <c r="B29" t="s">
        <v>2203</v>
      </c>
      <c r="C29" s="274">
        <v>18</v>
      </c>
      <c r="D29" s="275">
        <v>0.31034482758620691</v>
      </c>
      <c r="E29" s="274">
        <v>6</v>
      </c>
      <c r="F29" s="275">
        <v>0.27272727272727271</v>
      </c>
      <c r="G29" s="274">
        <v>24</v>
      </c>
      <c r="H29" s="275">
        <v>0.3</v>
      </c>
      <c r="I29"/>
    </row>
    <row r="30" spans="1:9" x14ac:dyDescent="0.25">
      <c r="A30"/>
      <c r="B30" t="s">
        <v>14</v>
      </c>
      <c r="C30" s="274">
        <v>14</v>
      </c>
      <c r="D30" s="275">
        <v>0.2413793103448276</v>
      </c>
      <c r="E30" s="274">
        <v>2</v>
      </c>
      <c r="F30" s="275">
        <v>9.0909090909090912E-2</v>
      </c>
      <c r="G30" s="274">
        <v>16</v>
      </c>
      <c r="H30" s="275">
        <v>0.2</v>
      </c>
      <c r="I30"/>
    </row>
    <row r="31" spans="1:9" x14ac:dyDescent="0.25">
      <c r="A31" t="s">
        <v>2214</v>
      </c>
      <c r="B31"/>
      <c r="C31" s="274">
        <v>58</v>
      </c>
      <c r="D31" s="275">
        <v>0.13679245283018868</v>
      </c>
      <c r="E31" s="274">
        <v>22</v>
      </c>
      <c r="F31" s="275">
        <v>0.14102564102564102</v>
      </c>
      <c r="G31" s="274">
        <v>80</v>
      </c>
      <c r="H31" s="275">
        <v>0.13793103448275862</v>
      </c>
      <c r="I31"/>
    </row>
    <row r="32" spans="1:9" x14ac:dyDescent="0.25">
      <c r="A32">
        <v>7</v>
      </c>
      <c r="B32" t="s">
        <v>12</v>
      </c>
      <c r="C32" s="274">
        <v>20</v>
      </c>
      <c r="D32" s="275">
        <v>0.33898305084745761</v>
      </c>
      <c r="E32" s="274">
        <v>9</v>
      </c>
      <c r="F32" s="275">
        <v>0.5</v>
      </c>
      <c r="G32" s="274">
        <v>29</v>
      </c>
      <c r="H32" s="275">
        <v>0.37662337662337664</v>
      </c>
      <c r="I32"/>
    </row>
    <row r="33" spans="1:9" x14ac:dyDescent="0.25">
      <c r="A33"/>
      <c r="B33" t="s">
        <v>2203</v>
      </c>
      <c r="C33" s="274">
        <v>20</v>
      </c>
      <c r="D33" s="275">
        <v>0.33898305084745761</v>
      </c>
      <c r="E33" s="274">
        <v>6</v>
      </c>
      <c r="F33" s="275">
        <v>0.33333333333333331</v>
      </c>
      <c r="G33" s="274">
        <v>26</v>
      </c>
      <c r="H33" s="275">
        <v>0.33766233766233766</v>
      </c>
      <c r="I33"/>
    </row>
    <row r="34" spans="1:9" x14ac:dyDescent="0.25">
      <c r="A34"/>
      <c r="B34" t="s">
        <v>14</v>
      </c>
      <c r="C34" s="274">
        <v>19</v>
      </c>
      <c r="D34" s="275">
        <v>0.32203389830508472</v>
      </c>
      <c r="E34" s="274">
        <v>3</v>
      </c>
      <c r="F34" s="275">
        <v>0.16666666666666666</v>
      </c>
      <c r="G34" s="274">
        <v>22</v>
      </c>
      <c r="H34" s="275">
        <v>0.2857142857142857</v>
      </c>
      <c r="I34"/>
    </row>
    <row r="35" spans="1:9" x14ac:dyDescent="0.25">
      <c r="A35" t="s">
        <v>2215</v>
      </c>
      <c r="B35"/>
      <c r="C35" s="274">
        <v>59</v>
      </c>
      <c r="D35" s="275">
        <v>0.13915094339622641</v>
      </c>
      <c r="E35" s="274">
        <v>18</v>
      </c>
      <c r="F35" s="275">
        <v>0.11538461538461539</v>
      </c>
      <c r="G35" s="274">
        <v>77</v>
      </c>
      <c r="H35" s="275">
        <v>0.13275862068965516</v>
      </c>
      <c r="I35"/>
    </row>
    <row r="36" spans="1:9" x14ac:dyDescent="0.25">
      <c r="A36">
        <v>8</v>
      </c>
      <c r="B36" t="s">
        <v>12</v>
      </c>
      <c r="C36" s="274">
        <v>6</v>
      </c>
      <c r="D36" s="275">
        <v>0.35294117647058826</v>
      </c>
      <c r="E36" s="274">
        <v>4</v>
      </c>
      <c r="F36" s="275">
        <v>0.66666666666666663</v>
      </c>
      <c r="G36" s="274">
        <v>10</v>
      </c>
      <c r="H36" s="275">
        <v>0.43478260869565216</v>
      </c>
      <c r="I36"/>
    </row>
    <row r="37" spans="1:9" x14ac:dyDescent="0.25">
      <c r="A37"/>
      <c r="B37" t="s">
        <v>2203</v>
      </c>
      <c r="C37" s="274">
        <v>2</v>
      </c>
      <c r="D37" s="275">
        <v>0.11764705882352941</v>
      </c>
      <c r="E37" s="274">
        <v>2</v>
      </c>
      <c r="F37" s="275">
        <v>0.33333333333333331</v>
      </c>
      <c r="G37" s="274">
        <v>4</v>
      </c>
      <c r="H37" s="275">
        <v>0.17391304347826086</v>
      </c>
      <c r="I37"/>
    </row>
    <row r="38" spans="1:9" x14ac:dyDescent="0.25">
      <c r="A38"/>
      <c r="B38" t="s">
        <v>14</v>
      </c>
      <c r="C38" s="274">
        <v>9</v>
      </c>
      <c r="D38" s="275">
        <v>0.52941176470588236</v>
      </c>
      <c r="E38" s="274"/>
      <c r="F38" s="275">
        <v>0</v>
      </c>
      <c r="G38" s="274">
        <v>9</v>
      </c>
      <c r="H38" s="275">
        <v>0.39130434782608697</v>
      </c>
      <c r="I38"/>
    </row>
    <row r="39" spans="1:9" x14ac:dyDescent="0.25">
      <c r="A39" t="s">
        <v>2221</v>
      </c>
      <c r="B39"/>
      <c r="C39" s="274">
        <v>17</v>
      </c>
      <c r="D39" s="275">
        <v>4.0094339622641507E-2</v>
      </c>
      <c r="E39" s="274">
        <v>6</v>
      </c>
      <c r="F39" s="275">
        <v>3.8461538461538464E-2</v>
      </c>
      <c r="G39" s="274">
        <v>23</v>
      </c>
      <c r="H39" s="275">
        <v>3.9655172413793106E-2</v>
      </c>
      <c r="I39"/>
    </row>
    <row r="40" spans="1:9" x14ac:dyDescent="0.25">
      <c r="A40" s="272" t="s">
        <v>111</v>
      </c>
      <c r="C40" s="274">
        <v>424</v>
      </c>
      <c r="D40" s="275">
        <v>1</v>
      </c>
      <c r="E40" s="274">
        <v>156</v>
      </c>
      <c r="F40" s="275">
        <v>1</v>
      </c>
      <c r="G40" s="274">
        <v>580</v>
      </c>
      <c r="H40" s="275">
        <v>1</v>
      </c>
      <c r="I40"/>
    </row>
    <row r="41" spans="1:9" x14ac:dyDescent="0.25">
      <c r="A41"/>
      <c r="B41"/>
      <c r="D41"/>
      <c r="E41"/>
      <c r="F41"/>
      <c r="G41"/>
      <c r="H41"/>
      <c r="I41"/>
    </row>
    <row r="42" spans="1:9" x14ac:dyDescent="0.25">
      <c r="A42"/>
      <c r="B42"/>
      <c r="D42"/>
      <c r="E42"/>
      <c r="F42"/>
      <c r="G42"/>
      <c r="H42"/>
      <c r="I42"/>
    </row>
  </sheetData>
  <conditionalFormatting pivot="1" sqref="D8:D10">
    <cfRule type="colorScale" priority="7">
      <colorScale>
        <cfvo type="min"/>
        <cfvo type="max"/>
        <color rgb="FFFCFCFF"/>
        <color rgb="FF63BE7B"/>
      </colorScale>
    </cfRule>
  </conditionalFormatting>
  <conditionalFormatting pivot="1" sqref="D12:D14">
    <cfRule type="colorScale" priority="6">
      <colorScale>
        <cfvo type="min"/>
        <cfvo type="max"/>
        <color rgb="FFFCFCFF"/>
        <color rgb="FF63BE7B"/>
      </colorScale>
    </cfRule>
  </conditionalFormatting>
  <conditionalFormatting pivot="1" sqref="D16:D18">
    <cfRule type="colorScale" priority="5">
      <colorScale>
        <cfvo type="min"/>
        <cfvo type="max"/>
        <color rgb="FFFCFCFF"/>
        <color rgb="FF63BE7B"/>
      </colorScale>
    </cfRule>
  </conditionalFormatting>
  <conditionalFormatting pivot="1" sqref="D20:D22">
    <cfRule type="colorScale" priority="4">
      <colorScale>
        <cfvo type="min"/>
        <cfvo type="max"/>
        <color rgb="FFFCFCFF"/>
        <color rgb="FF63BE7B"/>
      </colorScale>
    </cfRule>
  </conditionalFormatting>
  <conditionalFormatting pivot="1" sqref="D24:D26">
    <cfRule type="colorScale" priority="3">
      <colorScale>
        <cfvo type="min"/>
        <cfvo type="max"/>
        <color rgb="FFFCFCFF"/>
        <color rgb="FF63BE7B"/>
      </colorScale>
    </cfRule>
  </conditionalFormatting>
  <conditionalFormatting pivot="1" sqref="D28:D30">
    <cfRule type="colorScale" priority="2">
      <colorScale>
        <cfvo type="min"/>
        <cfvo type="max"/>
        <color rgb="FFFCFCFF"/>
        <color rgb="FF63BE7B"/>
      </colorScale>
    </cfRule>
  </conditionalFormatting>
  <conditionalFormatting pivot="1" sqref="D32:D34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22228-5ADB-4994-9065-CB6011126F63}">
  <sheetPr codeName="Лист8">
    <pageSetUpPr fitToPage="1"/>
  </sheetPr>
  <dimension ref="B1:R67"/>
  <sheetViews>
    <sheetView workbookViewId="0">
      <selection activeCell="H71" sqref="H71"/>
    </sheetView>
  </sheetViews>
  <sheetFormatPr defaultRowHeight="15" x14ac:dyDescent="0.25"/>
  <cols>
    <col min="1" max="1" width="5.7109375" customWidth="1"/>
    <col min="2" max="2" width="11.85546875" bestFit="1" customWidth="1"/>
    <col min="3" max="3" width="10.140625" bestFit="1" customWidth="1"/>
    <col min="4" max="4" width="6" bestFit="1" customWidth="1"/>
    <col min="5" max="5" width="12.85546875" bestFit="1" customWidth="1"/>
    <col min="6" max="8" width="8.140625" bestFit="1" customWidth="1"/>
    <col min="9" max="9" width="14.140625" style="272" bestFit="1" customWidth="1"/>
    <col min="10" max="10" width="5.7109375" customWidth="1"/>
    <col min="11" max="11" width="11.85546875" bestFit="1" customWidth="1"/>
    <col min="12" max="12" width="10.140625" bestFit="1" customWidth="1"/>
    <col min="13" max="13" width="6" bestFit="1" customWidth="1"/>
    <col min="14" max="14" width="12.85546875" bestFit="1" customWidth="1"/>
    <col min="15" max="17" width="8.140625" bestFit="1" customWidth="1"/>
    <col min="18" max="18" width="14.140625" bestFit="1" customWidth="1"/>
    <col min="19" max="19" width="5.7109375" customWidth="1"/>
  </cols>
  <sheetData>
    <row r="1" spans="2:18" ht="15.75" thickBot="1" x14ac:dyDescent="0.3">
      <c r="B1" s="377" t="s">
        <v>2218</v>
      </c>
      <c r="C1" s="378"/>
      <c r="D1" s="378"/>
      <c r="E1" s="378"/>
      <c r="F1" s="378"/>
      <c r="G1" s="378"/>
      <c r="H1" s="378"/>
      <c r="I1" s="379"/>
      <c r="K1" s="377" t="s">
        <v>2220</v>
      </c>
      <c r="L1" s="378"/>
      <c r="M1" s="378"/>
      <c r="N1" s="378"/>
      <c r="O1" s="378"/>
      <c r="P1" s="378"/>
      <c r="Q1" s="378"/>
      <c r="R1" s="379"/>
    </row>
    <row r="2" spans="2:18" ht="15.75" thickBot="1" x14ac:dyDescent="0.3">
      <c r="B2" s="288" t="s">
        <v>97</v>
      </c>
      <c r="C2" s="289" t="s">
        <v>8</v>
      </c>
      <c r="D2" s="290" t="s">
        <v>11</v>
      </c>
      <c r="E2" s="291" t="s">
        <v>2201</v>
      </c>
      <c r="F2" s="292" t="s">
        <v>2208</v>
      </c>
      <c r="G2" s="314" t="s">
        <v>2202</v>
      </c>
      <c r="H2" s="315" t="s">
        <v>2208</v>
      </c>
      <c r="I2" s="308" t="s">
        <v>2219</v>
      </c>
      <c r="K2" s="288" t="s">
        <v>97</v>
      </c>
      <c r="L2" s="289" t="s">
        <v>8</v>
      </c>
      <c r="M2" s="290" t="s">
        <v>11</v>
      </c>
      <c r="N2" s="291" t="s">
        <v>2201</v>
      </c>
      <c r="O2" s="292" t="s">
        <v>2208</v>
      </c>
      <c r="P2" s="314" t="s">
        <v>2202</v>
      </c>
      <c r="Q2" s="315" t="s">
        <v>2208</v>
      </c>
      <c r="R2" s="308" t="s">
        <v>2219</v>
      </c>
    </row>
    <row r="3" spans="2:18" x14ac:dyDescent="0.25">
      <c r="B3" s="374">
        <v>1</v>
      </c>
      <c r="C3" s="284" t="s">
        <v>12</v>
      </c>
      <c r="D3" s="285">
        <v>5</v>
      </c>
      <c r="E3" s="286">
        <v>5</v>
      </c>
      <c r="F3" s="287">
        <v>0.35714285714285715</v>
      </c>
      <c r="G3" s="316"/>
      <c r="H3" s="317">
        <v>0</v>
      </c>
      <c r="I3" s="309">
        <v>1</v>
      </c>
      <c r="K3" s="374">
        <v>1</v>
      </c>
      <c r="L3" s="284" t="s">
        <v>12</v>
      </c>
      <c r="M3" s="285">
        <v>7</v>
      </c>
      <c r="N3" s="286">
        <v>5</v>
      </c>
      <c r="O3" s="287">
        <v>0.45454545454545453</v>
      </c>
      <c r="P3" s="316">
        <v>2</v>
      </c>
      <c r="Q3" s="317">
        <v>0.4</v>
      </c>
      <c r="R3" s="309">
        <v>3</v>
      </c>
    </row>
    <row r="4" spans="2:18" x14ac:dyDescent="0.25">
      <c r="B4" s="375"/>
      <c r="C4" s="179" t="s">
        <v>2203</v>
      </c>
      <c r="D4" s="276">
        <v>6</v>
      </c>
      <c r="E4" s="277">
        <v>4</v>
      </c>
      <c r="F4" s="278">
        <v>0.2857142857142857</v>
      </c>
      <c r="G4" s="318">
        <v>2</v>
      </c>
      <c r="H4" s="319">
        <v>1</v>
      </c>
      <c r="I4" s="310"/>
      <c r="K4" s="375"/>
      <c r="L4" s="179" t="s">
        <v>2203</v>
      </c>
      <c r="M4" s="276">
        <v>6</v>
      </c>
      <c r="N4" s="277">
        <v>3</v>
      </c>
      <c r="O4" s="278">
        <v>0.27272727272727271</v>
      </c>
      <c r="P4" s="318">
        <v>3</v>
      </c>
      <c r="Q4" s="319">
        <v>0.6</v>
      </c>
      <c r="R4" s="310">
        <v>2</v>
      </c>
    </row>
    <row r="5" spans="2:18" x14ac:dyDescent="0.25">
      <c r="B5" s="376"/>
      <c r="C5" s="179" t="s">
        <v>14</v>
      </c>
      <c r="D5" s="276">
        <v>5</v>
      </c>
      <c r="E5" s="277">
        <v>5</v>
      </c>
      <c r="F5" s="278">
        <v>0.35714285714285715</v>
      </c>
      <c r="G5" s="318"/>
      <c r="H5" s="319">
        <v>0</v>
      </c>
      <c r="I5" s="310">
        <v>1</v>
      </c>
      <c r="K5" s="376"/>
      <c r="L5" s="179" t="s">
        <v>14</v>
      </c>
      <c r="M5" s="276">
        <v>3</v>
      </c>
      <c r="N5" s="277">
        <v>3</v>
      </c>
      <c r="O5" s="278">
        <v>0.27272727272727271</v>
      </c>
      <c r="P5" s="318"/>
      <c r="Q5" s="319">
        <v>0</v>
      </c>
      <c r="R5" s="310"/>
    </row>
    <row r="6" spans="2:18" ht="15.75" thickBot="1" x14ac:dyDescent="0.3">
      <c r="B6" s="293" t="s">
        <v>2211</v>
      </c>
      <c r="C6" s="294"/>
      <c r="D6" s="295">
        <v>16</v>
      </c>
      <c r="E6" s="296">
        <v>14</v>
      </c>
      <c r="F6" s="297">
        <v>1</v>
      </c>
      <c r="G6" s="296">
        <v>2</v>
      </c>
      <c r="H6" s="297">
        <v>1</v>
      </c>
      <c r="I6" s="311">
        <f>SUM(I3:I5)</f>
        <v>2</v>
      </c>
      <c r="K6" s="293" t="s">
        <v>2211</v>
      </c>
      <c r="L6" s="294"/>
      <c r="M6" s="295">
        <v>16</v>
      </c>
      <c r="N6" s="296">
        <v>11</v>
      </c>
      <c r="O6" s="297">
        <v>1</v>
      </c>
      <c r="P6" s="296">
        <v>5</v>
      </c>
      <c r="Q6" s="297">
        <v>1</v>
      </c>
      <c r="R6" s="311">
        <f>SUM(R3:R5)</f>
        <v>5</v>
      </c>
    </row>
    <row r="7" spans="2:18" x14ac:dyDescent="0.25">
      <c r="B7" s="374">
        <v>2</v>
      </c>
      <c r="C7" s="284" t="s">
        <v>12</v>
      </c>
      <c r="D7" s="285">
        <v>5</v>
      </c>
      <c r="E7" s="286">
        <v>2</v>
      </c>
      <c r="F7" s="287">
        <v>0.22222222222222221</v>
      </c>
      <c r="G7" s="316">
        <v>3</v>
      </c>
      <c r="H7" s="317">
        <v>0.42857142857142855</v>
      </c>
      <c r="I7" s="309">
        <v>3</v>
      </c>
      <c r="K7" s="374">
        <v>2</v>
      </c>
      <c r="L7" s="284" t="s">
        <v>12</v>
      </c>
      <c r="M7" s="285">
        <v>6</v>
      </c>
      <c r="N7" s="286">
        <v>5</v>
      </c>
      <c r="O7" s="287">
        <v>0.38461538461538464</v>
      </c>
      <c r="P7" s="316">
        <v>1</v>
      </c>
      <c r="Q7" s="317">
        <v>0.33333333333333331</v>
      </c>
      <c r="R7" s="309">
        <v>1</v>
      </c>
    </row>
    <row r="8" spans="2:18" x14ac:dyDescent="0.25">
      <c r="B8" s="375"/>
      <c r="C8" s="179" t="s">
        <v>2203</v>
      </c>
      <c r="D8" s="276">
        <v>10</v>
      </c>
      <c r="E8" s="277">
        <v>6</v>
      </c>
      <c r="F8" s="278">
        <v>0.66666666666666663</v>
      </c>
      <c r="G8" s="318">
        <v>4</v>
      </c>
      <c r="H8" s="319">
        <v>0.5714285714285714</v>
      </c>
      <c r="I8" s="310">
        <v>3</v>
      </c>
      <c r="K8" s="375"/>
      <c r="L8" s="179" t="s">
        <v>2203</v>
      </c>
      <c r="M8" s="276">
        <v>4</v>
      </c>
      <c r="N8" s="277">
        <v>2</v>
      </c>
      <c r="O8" s="278">
        <v>0.15384615384615385</v>
      </c>
      <c r="P8" s="318">
        <v>2</v>
      </c>
      <c r="Q8" s="319">
        <v>0.66666666666666663</v>
      </c>
      <c r="R8" s="310">
        <v>1</v>
      </c>
    </row>
    <row r="9" spans="2:18" x14ac:dyDescent="0.25">
      <c r="B9" s="376"/>
      <c r="C9" s="179" t="s">
        <v>14</v>
      </c>
      <c r="D9" s="276">
        <v>1</v>
      </c>
      <c r="E9" s="277">
        <v>1</v>
      </c>
      <c r="F9" s="278">
        <v>0.1111111111111111</v>
      </c>
      <c r="G9" s="318"/>
      <c r="H9" s="319">
        <v>0</v>
      </c>
      <c r="I9" s="310">
        <v>1</v>
      </c>
      <c r="K9" s="376"/>
      <c r="L9" s="179" t="s">
        <v>14</v>
      </c>
      <c r="M9" s="276">
        <v>6</v>
      </c>
      <c r="N9" s="277">
        <v>6</v>
      </c>
      <c r="O9" s="278">
        <v>0.46153846153846156</v>
      </c>
      <c r="P9" s="318"/>
      <c r="Q9" s="319">
        <v>0</v>
      </c>
      <c r="R9" s="310">
        <v>1</v>
      </c>
    </row>
    <row r="10" spans="2:18" ht="15.75" thickBot="1" x14ac:dyDescent="0.3">
      <c r="B10" s="293" t="s">
        <v>2216</v>
      </c>
      <c r="C10" s="294"/>
      <c r="D10" s="295">
        <v>16</v>
      </c>
      <c r="E10" s="296">
        <v>9</v>
      </c>
      <c r="F10" s="297">
        <v>1</v>
      </c>
      <c r="G10" s="296">
        <v>7</v>
      </c>
      <c r="H10" s="297">
        <v>1</v>
      </c>
      <c r="I10" s="311">
        <f>SUM(I7:I9)</f>
        <v>7</v>
      </c>
      <c r="K10" s="293" t="s">
        <v>2216</v>
      </c>
      <c r="L10" s="294"/>
      <c r="M10" s="295">
        <v>16</v>
      </c>
      <c r="N10" s="296">
        <v>13</v>
      </c>
      <c r="O10" s="297">
        <v>1</v>
      </c>
      <c r="P10" s="296">
        <v>3</v>
      </c>
      <c r="Q10" s="297">
        <v>1</v>
      </c>
      <c r="R10" s="311">
        <f>SUM(R7:R9)</f>
        <v>3</v>
      </c>
    </row>
    <row r="11" spans="2:18" x14ac:dyDescent="0.25">
      <c r="B11" s="374">
        <v>3</v>
      </c>
      <c r="C11" s="284" t="s">
        <v>12</v>
      </c>
      <c r="D11" s="285">
        <v>6</v>
      </c>
      <c r="E11" s="286">
        <v>4</v>
      </c>
      <c r="F11" s="287">
        <v>0.30769230769230771</v>
      </c>
      <c r="G11" s="316">
        <v>2</v>
      </c>
      <c r="H11" s="317">
        <v>0.66666666666666663</v>
      </c>
      <c r="I11" s="309">
        <v>1</v>
      </c>
      <c r="K11" s="374">
        <v>3</v>
      </c>
      <c r="L11" s="284" t="s">
        <v>12</v>
      </c>
      <c r="M11" s="285">
        <v>4</v>
      </c>
      <c r="N11" s="286">
        <v>3</v>
      </c>
      <c r="O11" s="287">
        <v>0.21428571428571427</v>
      </c>
      <c r="P11" s="316">
        <v>1</v>
      </c>
      <c r="Q11" s="317">
        <v>0.5</v>
      </c>
      <c r="R11" s="309"/>
    </row>
    <row r="12" spans="2:18" x14ac:dyDescent="0.25">
      <c r="B12" s="375"/>
      <c r="C12" s="179" t="s">
        <v>2203</v>
      </c>
      <c r="D12" s="276">
        <v>3</v>
      </c>
      <c r="E12" s="277">
        <v>2</v>
      </c>
      <c r="F12" s="278">
        <v>0.15384615384615385</v>
      </c>
      <c r="G12" s="318">
        <v>1</v>
      </c>
      <c r="H12" s="319">
        <v>0.33333333333333331</v>
      </c>
      <c r="I12" s="310">
        <v>1</v>
      </c>
      <c r="K12" s="375"/>
      <c r="L12" s="179" t="s">
        <v>2203</v>
      </c>
      <c r="M12" s="276">
        <v>5</v>
      </c>
      <c r="N12" s="277">
        <v>5</v>
      </c>
      <c r="O12" s="278">
        <v>0.35714285714285715</v>
      </c>
      <c r="P12" s="318"/>
      <c r="Q12" s="319">
        <v>0</v>
      </c>
      <c r="R12" s="310"/>
    </row>
    <row r="13" spans="2:18" x14ac:dyDescent="0.25">
      <c r="B13" s="376"/>
      <c r="C13" s="179" t="s">
        <v>14</v>
      </c>
      <c r="D13" s="276">
        <v>7</v>
      </c>
      <c r="E13" s="277">
        <v>7</v>
      </c>
      <c r="F13" s="278">
        <v>0.53846153846153844</v>
      </c>
      <c r="G13" s="318"/>
      <c r="H13" s="319">
        <v>0</v>
      </c>
      <c r="I13" s="310">
        <v>1</v>
      </c>
      <c r="K13" s="376"/>
      <c r="L13" s="179" t="s">
        <v>14</v>
      </c>
      <c r="M13" s="276">
        <v>7</v>
      </c>
      <c r="N13" s="277">
        <v>6</v>
      </c>
      <c r="O13" s="278">
        <v>0.42857142857142855</v>
      </c>
      <c r="P13" s="318">
        <v>1</v>
      </c>
      <c r="Q13" s="319">
        <v>0.5</v>
      </c>
      <c r="R13" s="310"/>
    </row>
    <row r="14" spans="2:18" ht="15.75" thickBot="1" x14ac:dyDescent="0.3">
      <c r="B14" s="293" t="s">
        <v>2212</v>
      </c>
      <c r="C14" s="294"/>
      <c r="D14" s="295">
        <v>16</v>
      </c>
      <c r="E14" s="296">
        <v>13</v>
      </c>
      <c r="F14" s="297">
        <v>1</v>
      </c>
      <c r="G14" s="296">
        <v>3</v>
      </c>
      <c r="H14" s="297">
        <v>1</v>
      </c>
      <c r="I14" s="311">
        <f>SUM(I11:I13)</f>
        <v>3</v>
      </c>
      <c r="K14" s="293" t="s">
        <v>2212</v>
      </c>
      <c r="L14" s="294"/>
      <c r="M14" s="295">
        <v>16</v>
      </c>
      <c r="N14" s="296">
        <v>14</v>
      </c>
      <c r="O14" s="297">
        <v>1</v>
      </c>
      <c r="P14" s="296">
        <v>2</v>
      </c>
      <c r="Q14" s="297">
        <v>1</v>
      </c>
      <c r="R14" s="311">
        <f>SUM(R11:R13)</f>
        <v>0</v>
      </c>
    </row>
    <row r="15" spans="2:18" x14ac:dyDescent="0.25">
      <c r="B15" s="374">
        <v>4</v>
      </c>
      <c r="C15" s="284" t="s">
        <v>12</v>
      </c>
      <c r="D15" s="285">
        <v>6</v>
      </c>
      <c r="E15" s="286">
        <v>3</v>
      </c>
      <c r="F15" s="287">
        <v>0.27272727272727271</v>
      </c>
      <c r="G15" s="316">
        <v>3</v>
      </c>
      <c r="H15" s="317">
        <v>0.6</v>
      </c>
      <c r="I15" s="309">
        <v>2</v>
      </c>
      <c r="K15" s="374">
        <v>4</v>
      </c>
      <c r="L15" s="284" t="s">
        <v>12</v>
      </c>
      <c r="M15" s="285">
        <v>7</v>
      </c>
      <c r="N15" s="286">
        <v>3</v>
      </c>
      <c r="O15" s="287">
        <v>0.3</v>
      </c>
      <c r="P15" s="316">
        <v>4</v>
      </c>
      <c r="Q15" s="317">
        <v>0.66666666666666663</v>
      </c>
      <c r="R15" s="309">
        <v>3</v>
      </c>
    </row>
    <row r="16" spans="2:18" x14ac:dyDescent="0.25">
      <c r="B16" s="375"/>
      <c r="C16" s="179" t="s">
        <v>2203</v>
      </c>
      <c r="D16" s="276">
        <v>7</v>
      </c>
      <c r="E16" s="277">
        <v>6</v>
      </c>
      <c r="F16" s="278">
        <v>0.54545454545454541</v>
      </c>
      <c r="G16" s="318">
        <v>1</v>
      </c>
      <c r="H16" s="319">
        <v>0.2</v>
      </c>
      <c r="I16" s="310">
        <v>2</v>
      </c>
      <c r="K16" s="375"/>
      <c r="L16" s="179" t="s">
        <v>2203</v>
      </c>
      <c r="M16" s="276">
        <v>5</v>
      </c>
      <c r="N16" s="277">
        <v>3</v>
      </c>
      <c r="O16" s="278">
        <v>0.3</v>
      </c>
      <c r="P16" s="318">
        <v>2</v>
      </c>
      <c r="Q16" s="319">
        <v>0.33333333333333331</v>
      </c>
      <c r="R16" s="310">
        <v>2</v>
      </c>
    </row>
    <row r="17" spans="2:18" x14ac:dyDescent="0.25">
      <c r="B17" s="376"/>
      <c r="C17" s="179" t="s">
        <v>14</v>
      </c>
      <c r="D17" s="276">
        <v>3</v>
      </c>
      <c r="E17" s="277">
        <v>2</v>
      </c>
      <c r="F17" s="278">
        <v>0.18181818181818182</v>
      </c>
      <c r="G17" s="318">
        <v>1</v>
      </c>
      <c r="H17" s="319">
        <v>0.2</v>
      </c>
      <c r="I17" s="310">
        <v>1</v>
      </c>
      <c r="K17" s="376"/>
      <c r="L17" s="179" t="s">
        <v>14</v>
      </c>
      <c r="M17" s="276">
        <v>4</v>
      </c>
      <c r="N17" s="277">
        <v>4</v>
      </c>
      <c r="O17" s="278">
        <v>0.4</v>
      </c>
      <c r="P17" s="318"/>
      <c r="Q17" s="319">
        <v>0</v>
      </c>
      <c r="R17" s="310">
        <v>1</v>
      </c>
    </row>
    <row r="18" spans="2:18" ht="15.75" thickBot="1" x14ac:dyDescent="0.3">
      <c r="B18" s="302" t="s">
        <v>2213</v>
      </c>
      <c r="C18" s="303"/>
      <c r="D18" s="304">
        <v>16</v>
      </c>
      <c r="E18" s="305">
        <v>11</v>
      </c>
      <c r="F18" s="306">
        <v>1</v>
      </c>
      <c r="G18" s="305">
        <v>5</v>
      </c>
      <c r="H18" s="306">
        <v>1</v>
      </c>
      <c r="I18" s="312">
        <f>SUM(I15:I17)</f>
        <v>5</v>
      </c>
      <c r="K18" s="302" t="s">
        <v>2213</v>
      </c>
      <c r="L18" s="303"/>
      <c r="M18" s="304">
        <v>16</v>
      </c>
      <c r="N18" s="305">
        <v>10</v>
      </c>
      <c r="O18" s="297">
        <v>1</v>
      </c>
      <c r="P18" s="305">
        <v>6</v>
      </c>
      <c r="Q18" s="297">
        <v>1</v>
      </c>
      <c r="R18" s="312">
        <f>SUM(R15:R17)</f>
        <v>6</v>
      </c>
    </row>
    <row r="19" spans="2:18" x14ac:dyDescent="0.25">
      <c r="B19" s="374">
        <v>5</v>
      </c>
      <c r="C19" s="284" t="s">
        <v>12</v>
      </c>
      <c r="D19" s="285">
        <v>4</v>
      </c>
      <c r="E19" s="286">
        <v>3</v>
      </c>
      <c r="F19" s="287">
        <v>0.27272727272727271</v>
      </c>
      <c r="G19" s="316">
        <v>1</v>
      </c>
      <c r="H19" s="317">
        <v>0.2</v>
      </c>
      <c r="I19" s="309">
        <v>2</v>
      </c>
      <c r="K19" s="374">
        <v>5</v>
      </c>
      <c r="L19" s="284" t="s">
        <v>12</v>
      </c>
      <c r="M19" s="285">
        <v>8</v>
      </c>
      <c r="N19" s="286">
        <v>5</v>
      </c>
      <c r="O19" s="287">
        <v>0.41666666666666669</v>
      </c>
      <c r="P19" s="316">
        <v>3</v>
      </c>
      <c r="Q19" s="317">
        <v>0.75</v>
      </c>
      <c r="R19" s="309"/>
    </row>
    <row r="20" spans="2:18" x14ac:dyDescent="0.25">
      <c r="B20" s="375"/>
      <c r="C20" s="179" t="s">
        <v>2203</v>
      </c>
      <c r="D20" s="276">
        <v>10</v>
      </c>
      <c r="E20" s="277">
        <v>6</v>
      </c>
      <c r="F20" s="278">
        <v>0.54545454545454541</v>
      </c>
      <c r="G20" s="318">
        <v>4</v>
      </c>
      <c r="H20" s="319">
        <v>0.8</v>
      </c>
      <c r="I20" s="310">
        <v>3</v>
      </c>
      <c r="K20" s="375"/>
      <c r="L20" s="179" t="s">
        <v>2203</v>
      </c>
      <c r="M20" s="276">
        <v>4</v>
      </c>
      <c r="N20" s="277">
        <v>3</v>
      </c>
      <c r="O20" s="278">
        <v>0.25</v>
      </c>
      <c r="P20" s="318">
        <v>1</v>
      </c>
      <c r="Q20" s="319">
        <v>0.25</v>
      </c>
      <c r="R20" s="310"/>
    </row>
    <row r="21" spans="2:18" x14ac:dyDescent="0.25">
      <c r="B21" s="376"/>
      <c r="C21" s="179" t="s">
        <v>14</v>
      </c>
      <c r="D21" s="276">
        <v>2</v>
      </c>
      <c r="E21" s="277">
        <v>2</v>
      </c>
      <c r="F21" s="278">
        <v>0.18181818181818182</v>
      </c>
      <c r="G21" s="318"/>
      <c r="H21" s="319">
        <v>0</v>
      </c>
      <c r="I21" s="310"/>
      <c r="K21" s="376"/>
      <c r="L21" s="179" t="s">
        <v>14</v>
      </c>
      <c r="M21" s="276">
        <v>4</v>
      </c>
      <c r="N21" s="277">
        <v>4</v>
      </c>
      <c r="O21" s="278">
        <v>0.33333333333333331</v>
      </c>
      <c r="P21" s="318"/>
      <c r="Q21" s="319">
        <v>0</v>
      </c>
      <c r="R21" s="310"/>
    </row>
    <row r="22" spans="2:18" ht="15.75" thickBot="1" x14ac:dyDescent="0.3">
      <c r="B22" s="293" t="s">
        <v>2217</v>
      </c>
      <c r="C22" s="294"/>
      <c r="D22" s="295">
        <v>16</v>
      </c>
      <c r="E22" s="296">
        <v>11</v>
      </c>
      <c r="F22" s="297">
        <v>1</v>
      </c>
      <c r="G22" s="296">
        <v>5</v>
      </c>
      <c r="H22" s="297">
        <v>1</v>
      </c>
      <c r="I22" s="311">
        <f>SUM(I19:I21)</f>
        <v>5</v>
      </c>
      <c r="K22" s="293" t="s">
        <v>2217</v>
      </c>
      <c r="L22" s="294"/>
      <c r="M22" s="295">
        <v>16</v>
      </c>
      <c r="N22" s="296">
        <v>12</v>
      </c>
      <c r="O22" s="297">
        <v>1</v>
      </c>
      <c r="P22" s="296">
        <v>4</v>
      </c>
      <c r="Q22" s="297">
        <v>1</v>
      </c>
      <c r="R22" s="311">
        <f>SUM(R19:R21)</f>
        <v>0</v>
      </c>
    </row>
    <row r="23" spans="2:18" x14ac:dyDescent="0.25">
      <c r="B23" s="375">
        <v>6</v>
      </c>
      <c r="C23" s="298" t="s">
        <v>12</v>
      </c>
      <c r="D23" s="299">
        <v>5</v>
      </c>
      <c r="E23" s="300">
        <v>1</v>
      </c>
      <c r="F23" s="301">
        <v>8.3333333333333329E-2</v>
      </c>
      <c r="G23" s="320">
        <v>4</v>
      </c>
      <c r="H23" s="321">
        <v>1</v>
      </c>
      <c r="I23" s="313">
        <v>1</v>
      </c>
      <c r="K23" s="375">
        <v>6</v>
      </c>
      <c r="L23" s="298" t="s">
        <v>12</v>
      </c>
      <c r="M23" s="299">
        <v>8</v>
      </c>
      <c r="N23" s="300">
        <v>6</v>
      </c>
      <c r="O23" s="301">
        <v>0.6</v>
      </c>
      <c r="P23" s="320">
        <v>2</v>
      </c>
      <c r="Q23" s="321">
        <v>0.33333333333333331</v>
      </c>
      <c r="R23" s="313">
        <v>3</v>
      </c>
    </row>
    <row r="24" spans="2:18" x14ac:dyDescent="0.25">
      <c r="B24" s="375"/>
      <c r="C24" s="179" t="s">
        <v>2203</v>
      </c>
      <c r="D24" s="276">
        <v>4</v>
      </c>
      <c r="E24" s="277">
        <v>4</v>
      </c>
      <c r="F24" s="278">
        <v>0.33333333333333331</v>
      </c>
      <c r="G24" s="318"/>
      <c r="H24" s="319">
        <v>0</v>
      </c>
      <c r="I24" s="310">
        <v>2</v>
      </c>
      <c r="K24" s="375"/>
      <c r="L24" s="179" t="s">
        <v>2203</v>
      </c>
      <c r="M24" s="276">
        <v>7</v>
      </c>
      <c r="N24" s="277">
        <v>3</v>
      </c>
      <c r="O24" s="278">
        <v>0.3</v>
      </c>
      <c r="P24" s="318">
        <v>4</v>
      </c>
      <c r="Q24" s="319">
        <v>0.66666666666666663</v>
      </c>
      <c r="R24" s="310">
        <v>3</v>
      </c>
    </row>
    <row r="25" spans="2:18" x14ac:dyDescent="0.25">
      <c r="B25" s="376"/>
      <c r="C25" s="179" t="s">
        <v>14</v>
      </c>
      <c r="D25" s="276">
        <v>7</v>
      </c>
      <c r="E25" s="277">
        <v>7</v>
      </c>
      <c r="F25" s="278">
        <v>0.58333333333333337</v>
      </c>
      <c r="G25" s="318"/>
      <c r="H25" s="319">
        <v>0</v>
      </c>
      <c r="I25" s="310">
        <v>1</v>
      </c>
      <c r="K25" s="376"/>
      <c r="L25" s="179" t="s">
        <v>14</v>
      </c>
      <c r="M25" s="276">
        <v>1</v>
      </c>
      <c r="N25" s="277">
        <v>1</v>
      </c>
      <c r="O25" s="278">
        <v>0.1</v>
      </c>
      <c r="P25" s="318"/>
      <c r="Q25" s="319">
        <v>0</v>
      </c>
      <c r="R25" s="310"/>
    </row>
    <row r="26" spans="2:18" ht="15.75" thickBot="1" x14ac:dyDescent="0.3">
      <c r="B26" s="302" t="s">
        <v>2214</v>
      </c>
      <c r="C26" s="303"/>
      <c r="D26" s="304">
        <v>16</v>
      </c>
      <c r="E26" s="305">
        <v>12</v>
      </c>
      <c r="F26" s="306">
        <v>1</v>
      </c>
      <c r="G26" s="305">
        <v>4</v>
      </c>
      <c r="H26" s="306">
        <v>1</v>
      </c>
      <c r="I26" s="312">
        <f>SUM(I23:I25)</f>
        <v>4</v>
      </c>
      <c r="K26" s="302" t="s">
        <v>2214</v>
      </c>
      <c r="L26" s="303"/>
      <c r="M26" s="304">
        <v>16</v>
      </c>
      <c r="N26" s="305">
        <v>10</v>
      </c>
      <c r="O26" s="297">
        <v>1</v>
      </c>
      <c r="P26" s="305">
        <v>6</v>
      </c>
      <c r="Q26" s="297">
        <v>1</v>
      </c>
      <c r="R26" s="312">
        <f>SUM(R23:R25)</f>
        <v>6</v>
      </c>
    </row>
    <row r="27" spans="2:18" x14ac:dyDescent="0.25">
      <c r="B27" s="374">
        <v>7</v>
      </c>
      <c r="C27" s="284" t="s">
        <v>12</v>
      </c>
      <c r="D27" s="285">
        <v>5</v>
      </c>
      <c r="E27" s="286">
        <v>4</v>
      </c>
      <c r="F27" s="287">
        <v>0.30769230769230771</v>
      </c>
      <c r="G27" s="316">
        <v>1</v>
      </c>
      <c r="H27" s="317">
        <v>0.5</v>
      </c>
      <c r="I27" s="309">
        <v>1</v>
      </c>
      <c r="K27" s="374">
        <v>7</v>
      </c>
      <c r="L27" s="284" t="s">
        <v>12</v>
      </c>
      <c r="M27" s="285">
        <v>6</v>
      </c>
      <c r="N27" s="286">
        <v>4</v>
      </c>
      <c r="O27" s="287">
        <v>0.36363636363636365</v>
      </c>
      <c r="P27" s="316">
        <v>2</v>
      </c>
      <c r="Q27" s="317">
        <v>0.5</v>
      </c>
      <c r="R27" s="309"/>
    </row>
    <row r="28" spans="2:18" x14ac:dyDescent="0.25">
      <c r="B28" s="375"/>
      <c r="C28" s="179" t="s">
        <v>2203</v>
      </c>
      <c r="D28" s="276">
        <v>7</v>
      </c>
      <c r="E28" s="277">
        <v>6</v>
      </c>
      <c r="F28" s="278">
        <v>0.46153846153846156</v>
      </c>
      <c r="G28" s="318">
        <v>1</v>
      </c>
      <c r="H28" s="319">
        <v>0.5</v>
      </c>
      <c r="I28" s="310">
        <v>1</v>
      </c>
      <c r="K28" s="375"/>
      <c r="L28" s="179" t="s">
        <v>2203</v>
      </c>
      <c r="M28" s="276">
        <v>7</v>
      </c>
      <c r="N28" s="277">
        <v>5</v>
      </c>
      <c r="O28" s="278">
        <v>0.45454545454545453</v>
      </c>
      <c r="P28" s="318">
        <v>2</v>
      </c>
      <c r="Q28" s="319">
        <v>0.5</v>
      </c>
      <c r="R28" s="310"/>
    </row>
    <row r="29" spans="2:18" x14ac:dyDescent="0.25">
      <c r="B29" s="376"/>
      <c r="C29" s="179" t="s">
        <v>14</v>
      </c>
      <c r="D29" s="276">
        <v>3</v>
      </c>
      <c r="E29" s="277">
        <v>3</v>
      </c>
      <c r="F29" s="278">
        <v>0.23076923076923078</v>
      </c>
      <c r="G29" s="318"/>
      <c r="H29" s="319">
        <v>0</v>
      </c>
      <c r="I29" s="310"/>
      <c r="K29" s="376"/>
      <c r="L29" s="179" t="s">
        <v>14</v>
      </c>
      <c r="M29" s="276">
        <v>2</v>
      </c>
      <c r="N29" s="277">
        <v>2</v>
      </c>
      <c r="O29" s="278">
        <v>0.18181818181818182</v>
      </c>
      <c r="P29" s="318"/>
      <c r="Q29" s="319">
        <v>0</v>
      </c>
      <c r="R29" s="310"/>
    </row>
    <row r="30" spans="2:18" ht="15.75" thickBot="1" x14ac:dyDescent="0.3">
      <c r="B30" s="293" t="s">
        <v>2215</v>
      </c>
      <c r="C30" s="294"/>
      <c r="D30" s="295">
        <v>15</v>
      </c>
      <c r="E30" s="296">
        <v>13</v>
      </c>
      <c r="F30" s="297">
        <v>1</v>
      </c>
      <c r="G30" s="296">
        <v>2</v>
      </c>
      <c r="H30" s="297">
        <v>1</v>
      </c>
      <c r="I30" s="311">
        <f>SUM(I27:I29)</f>
        <v>2</v>
      </c>
      <c r="K30" s="293" t="s">
        <v>2215</v>
      </c>
      <c r="L30" s="294"/>
      <c r="M30" s="295">
        <v>15</v>
      </c>
      <c r="N30" s="296">
        <v>11</v>
      </c>
      <c r="O30" s="297">
        <v>1</v>
      </c>
      <c r="P30" s="296">
        <v>4</v>
      </c>
      <c r="Q30" s="297">
        <v>1</v>
      </c>
      <c r="R30" s="311">
        <f>SUM(R27:R29)</f>
        <v>0</v>
      </c>
    </row>
    <row r="31" spans="2:18" ht="15.75" thickBot="1" x14ac:dyDescent="0.3">
      <c r="B31" s="279" t="s">
        <v>111</v>
      </c>
      <c r="C31" s="280"/>
      <c r="D31" s="281">
        <v>111</v>
      </c>
      <c r="E31" s="282">
        <v>83</v>
      </c>
      <c r="F31" s="283">
        <v>1</v>
      </c>
      <c r="G31" s="282">
        <v>28</v>
      </c>
      <c r="H31" s="283">
        <v>1</v>
      </c>
      <c r="I31" s="322"/>
      <c r="K31" s="279" t="s">
        <v>111</v>
      </c>
      <c r="L31" s="280"/>
      <c r="M31" s="281">
        <v>111</v>
      </c>
      <c r="N31" s="282">
        <v>81</v>
      </c>
      <c r="O31" s="283">
        <v>1</v>
      </c>
      <c r="P31" s="282">
        <v>28</v>
      </c>
      <c r="Q31" s="283">
        <v>1</v>
      </c>
      <c r="R31" s="307"/>
    </row>
    <row r="32" spans="2:18" ht="15.75" thickBot="1" x14ac:dyDescent="0.3"/>
    <row r="33" spans="2:18" ht="15.75" thickBot="1" x14ac:dyDescent="0.3">
      <c r="B33" s="377" t="s">
        <v>2222</v>
      </c>
      <c r="C33" s="378"/>
      <c r="D33" s="378"/>
      <c r="E33" s="378"/>
      <c r="F33" s="378"/>
      <c r="G33" s="378"/>
      <c r="H33" s="378"/>
      <c r="I33" s="379"/>
      <c r="K33" s="377" t="s">
        <v>2223</v>
      </c>
      <c r="L33" s="378"/>
      <c r="M33" s="378"/>
      <c r="N33" s="378"/>
      <c r="O33" s="378"/>
      <c r="P33" s="378"/>
      <c r="Q33" s="378"/>
      <c r="R33" s="379"/>
    </row>
    <row r="34" spans="2:18" ht="15.75" thickBot="1" x14ac:dyDescent="0.3">
      <c r="B34" s="288" t="s">
        <v>97</v>
      </c>
      <c r="C34" s="289" t="s">
        <v>8</v>
      </c>
      <c r="D34" s="290" t="s">
        <v>11</v>
      </c>
      <c r="E34" s="291" t="s">
        <v>2201</v>
      </c>
      <c r="F34" s="292" t="s">
        <v>2208</v>
      </c>
      <c r="G34" s="314" t="s">
        <v>2202</v>
      </c>
      <c r="H34" s="315" t="s">
        <v>2208</v>
      </c>
      <c r="I34" s="308" t="s">
        <v>2219</v>
      </c>
      <c r="K34" s="288" t="s">
        <v>97</v>
      </c>
      <c r="L34" s="289" t="s">
        <v>8</v>
      </c>
      <c r="M34" s="290" t="s">
        <v>11</v>
      </c>
      <c r="N34" s="291" t="s">
        <v>2201</v>
      </c>
      <c r="O34" s="292" t="s">
        <v>2208</v>
      </c>
      <c r="P34" s="314" t="s">
        <v>2202</v>
      </c>
      <c r="Q34" s="315" t="s">
        <v>2208</v>
      </c>
      <c r="R34" s="308" t="s">
        <v>2219</v>
      </c>
    </row>
    <row r="35" spans="2:18" x14ac:dyDescent="0.25">
      <c r="B35" s="374">
        <v>1</v>
      </c>
      <c r="C35" s="284" t="s">
        <v>12</v>
      </c>
      <c r="D35" s="285">
        <v>14</v>
      </c>
      <c r="E35" s="286">
        <v>6</v>
      </c>
      <c r="F35" s="287">
        <v>0.54545454545454541</v>
      </c>
      <c r="G35" s="316">
        <v>8</v>
      </c>
      <c r="H35" s="317">
        <v>0.61538461538461542</v>
      </c>
      <c r="I35" s="309">
        <v>7</v>
      </c>
      <c r="K35" s="374">
        <v>1</v>
      </c>
      <c r="L35" s="284" t="s">
        <v>12</v>
      </c>
      <c r="M35" s="285">
        <v>10</v>
      </c>
      <c r="N35" s="286">
        <v>7</v>
      </c>
      <c r="O35" s="287">
        <v>0.36842105263157893</v>
      </c>
      <c r="P35" s="316">
        <v>3</v>
      </c>
      <c r="Q35" s="317">
        <v>0.6</v>
      </c>
      <c r="R35" s="309">
        <v>2</v>
      </c>
    </row>
    <row r="36" spans="2:18" x14ac:dyDescent="0.25">
      <c r="B36" s="375"/>
      <c r="C36" s="179" t="s">
        <v>2203</v>
      </c>
      <c r="D36" s="276">
        <v>7</v>
      </c>
      <c r="E36" s="277">
        <v>2</v>
      </c>
      <c r="F36" s="278">
        <v>0.18181818181818182</v>
      </c>
      <c r="G36" s="318">
        <v>5</v>
      </c>
      <c r="H36" s="319">
        <v>0.38461538461538464</v>
      </c>
      <c r="I36" s="310">
        <v>4</v>
      </c>
      <c r="K36" s="375"/>
      <c r="L36" s="179" t="s">
        <v>2203</v>
      </c>
      <c r="M36" s="276">
        <v>7</v>
      </c>
      <c r="N36" s="277">
        <v>5</v>
      </c>
      <c r="O36" s="278">
        <v>0.26315789473684209</v>
      </c>
      <c r="P36" s="318">
        <v>2</v>
      </c>
      <c r="Q36" s="319">
        <v>0.4</v>
      </c>
      <c r="R36" s="310">
        <v>2</v>
      </c>
    </row>
    <row r="37" spans="2:18" x14ac:dyDescent="0.25">
      <c r="B37" s="376"/>
      <c r="C37" s="179" t="s">
        <v>14</v>
      </c>
      <c r="D37" s="276">
        <v>3</v>
      </c>
      <c r="E37" s="277">
        <v>3</v>
      </c>
      <c r="F37" s="278">
        <v>0.27272727272727271</v>
      </c>
      <c r="G37" s="318"/>
      <c r="H37" s="319">
        <v>0</v>
      </c>
      <c r="I37" s="310">
        <v>2</v>
      </c>
      <c r="K37" s="376"/>
      <c r="L37" s="179" t="s">
        <v>14</v>
      </c>
      <c r="M37" s="276">
        <v>7</v>
      </c>
      <c r="N37" s="277">
        <v>7</v>
      </c>
      <c r="O37" s="278">
        <v>0.36842105263157893</v>
      </c>
      <c r="P37" s="318"/>
      <c r="Q37" s="319">
        <v>0</v>
      </c>
      <c r="R37" s="310">
        <v>1</v>
      </c>
    </row>
    <row r="38" spans="2:18" ht="15.75" thickBot="1" x14ac:dyDescent="0.3">
      <c r="B38" s="293" t="s">
        <v>2211</v>
      </c>
      <c r="C38" s="294"/>
      <c r="D38" s="295">
        <v>24</v>
      </c>
      <c r="E38" s="296">
        <v>11</v>
      </c>
      <c r="F38" s="297">
        <v>1</v>
      </c>
      <c r="G38" s="296">
        <v>13</v>
      </c>
      <c r="H38" s="297">
        <v>1</v>
      </c>
      <c r="I38" s="311">
        <f>SUM(I35:I37)</f>
        <v>13</v>
      </c>
      <c r="K38" s="293" t="s">
        <v>2211</v>
      </c>
      <c r="L38" s="294"/>
      <c r="M38" s="295">
        <v>24</v>
      </c>
      <c r="N38" s="296">
        <v>19</v>
      </c>
      <c r="O38" s="297">
        <v>1</v>
      </c>
      <c r="P38" s="296">
        <v>5</v>
      </c>
      <c r="Q38" s="297">
        <v>1</v>
      </c>
      <c r="R38" s="311">
        <f>SUM(R35:R37)</f>
        <v>5</v>
      </c>
    </row>
    <row r="39" spans="2:18" x14ac:dyDescent="0.25">
      <c r="B39" s="374">
        <v>2</v>
      </c>
      <c r="C39" s="284" t="s">
        <v>12</v>
      </c>
      <c r="D39" s="285">
        <v>11</v>
      </c>
      <c r="E39" s="286">
        <v>6</v>
      </c>
      <c r="F39" s="287">
        <v>0.375</v>
      </c>
      <c r="G39" s="316">
        <v>5</v>
      </c>
      <c r="H39" s="317">
        <v>0.625</v>
      </c>
      <c r="I39" s="309">
        <v>5</v>
      </c>
      <c r="K39" s="374">
        <v>2</v>
      </c>
      <c r="L39" s="284" t="s">
        <v>12</v>
      </c>
      <c r="M39" s="285">
        <v>13</v>
      </c>
      <c r="N39" s="286">
        <v>11</v>
      </c>
      <c r="O39" s="287">
        <v>0.55000000000000004</v>
      </c>
      <c r="P39" s="316">
        <v>2</v>
      </c>
      <c r="Q39" s="317">
        <v>0.5</v>
      </c>
      <c r="R39" s="309">
        <v>2</v>
      </c>
    </row>
    <row r="40" spans="2:18" x14ac:dyDescent="0.25">
      <c r="B40" s="375"/>
      <c r="C40" s="179" t="s">
        <v>2203</v>
      </c>
      <c r="D40" s="276">
        <v>5</v>
      </c>
      <c r="E40" s="277">
        <v>2</v>
      </c>
      <c r="F40" s="278">
        <v>0.125</v>
      </c>
      <c r="G40" s="318">
        <v>3</v>
      </c>
      <c r="H40" s="319">
        <v>0.375</v>
      </c>
      <c r="I40" s="310">
        <v>1</v>
      </c>
      <c r="K40" s="375"/>
      <c r="L40" s="179" t="s">
        <v>2203</v>
      </c>
      <c r="M40" s="276">
        <v>5</v>
      </c>
      <c r="N40" s="277">
        <v>4</v>
      </c>
      <c r="O40" s="278">
        <v>0.2</v>
      </c>
      <c r="P40" s="318">
        <v>1</v>
      </c>
      <c r="Q40" s="319">
        <v>0.25</v>
      </c>
      <c r="R40" s="310">
        <v>1</v>
      </c>
    </row>
    <row r="41" spans="2:18" x14ac:dyDescent="0.25">
      <c r="B41" s="376"/>
      <c r="C41" s="179" t="s">
        <v>14</v>
      </c>
      <c r="D41" s="276">
        <v>8</v>
      </c>
      <c r="E41" s="277">
        <v>8</v>
      </c>
      <c r="F41" s="278">
        <v>0.5</v>
      </c>
      <c r="G41" s="318"/>
      <c r="H41" s="319">
        <v>0</v>
      </c>
      <c r="I41" s="310">
        <v>2</v>
      </c>
      <c r="K41" s="376"/>
      <c r="L41" s="179" t="s">
        <v>14</v>
      </c>
      <c r="M41" s="276">
        <v>6</v>
      </c>
      <c r="N41" s="277">
        <v>5</v>
      </c>
      <c r="O41" s="278">
        <v>0.25</v>
      </c>
      <c r="P41" s="318">
        <v>1</v>
      </c>
      <c r="Q41" s="319">
        <v>0.25</v>
      </c>
      <c r="R41" s="310">
        <v>1</v>
      </c>
    </row>
    <row r="42" spans="2:18" ht="15.75" thickBot="1" x14ac:dyDescent="0.3">
      <c r="B42" s="293" t="s">
        <v>2216</v>
      </c>
      <c r="C42" s="294"/>
      <c r="D42" s="295">
        <v>24</v>
      </c>
      <c r="E42" s="296">
        <v>16</v>
      </c>
      <c r="F42" s="297">
        <v>1</v>
      </c>
      <c r="G42" s="296">
        <v>8</v>
      </c>
      <c r="H42" s="297">
        <v>1</v>
      </c>
      <c r="I42" s="311">
        <f>SUM(I39:I41)</f>
        <v>8</v>
      </c>
      <c r="K42" s="293" t="s">
        <v>2216</v>
      </c>
      <c r="L42" s="294"/>
      <c r="M42" s="295">
        <v>24</v>
      </c>
      <c r="N42" s="296">
        <v>20</v>
      </c>
      <c r="O42" s="297">
        <v>1</v>
      </c>
      <c r="P42" s="296">
        <v>4</v>
      </c>
      <c r="Q42" s="297">
        <v>1</v>
      </c>
      <c r="R42" s="311">
        <f>SUM(R39:R41)</f>
        <v>4</v>
      </c>
    </row>
    <row r="43" spans="2:18" x14ac:dyDescent="0.25">
      <c r="B43" s="374">
        <v>3</v>
      </c>
      <c r="C43" s="284" t="s">
        <v>12</v>
      </c>
      <c r="D43" s="285">
        <v>5</v>
      </c>
      <c r="E43" s="286">
        <v>2</v>
      </c>
      <c r="F43" s="287">
        <v>0.10526315789473684</v>
      </c>
      <c r="G43" s="316">
        <v>3</v>
      </c>
      <c r="H43" s="317">
        <v>0.6</v>
      </c>
      <c r="I43" s="309">
        <v>1</v>
      </c>
      <c r="K43" s="374">
        <v>3</v>
      </c>
      <c r="L43" s="284" t="s">
        <v>12</v>
      </c>
      <c r="M43" s="285">
        <v>10</v>
      </c>
      <c r="N43" s="286">
        <v>7</v>
      </c>
      <c r="O43" s="287">
        <v>0.36842105263157893</v>
      </c>
      <c r="P43" s="316">
        <v>3</v>
      </c>
      <c r="Q43" s="317">
        <v>0.6</v>
      </c>
      <c r="R43" s="309">
        <v>2</v>
      </c>
    </row>
    <row r="44" spans="2:18" x14ac:dyDescent="0.25">
      <c r="B44" s="375"/>
      <c r="C44" s="179" t="s">
        <v>2203</v>
      </c>
      <c r="D44" s="276">
        <v>11</v>
      </c>
      <c r="E44" s="277">
        <v>9</v>
      </c>
      <c r="F44" s="278">
        <v>0.47368421052631576</v>
      </c>
      <c r="G44" s="318">
        <v>2</v>
      </c>
      <c r="H44" s="319">
        <v>0.4</v>
      </c>
      <c r="I44" s="310">
        <v>3</v>
      </c>
      <c r="K44" s="375"/>
      <c r="L44" s="179" t="s">
        <v>2203</v>
      </c>
      <c r="M44" s="276">
        <v>7</v>
      </c>
      <c r="N44" s="277">
        <v>5</v>
      </c>
      <c r="O44" s="278">
        <v>0.26315789473684209</v>
      </c>
      <c r="P44" s="318">
        <v>2</v>
      </c>
      <c r="Q44" s="319">
        <v>0.4</v>
      </c>
      <c r="R44" s="310">
        <v>2</v>
      </c>
    </row>
    <row r="45" spans="2:18" x14ac:dyDescent="0.25">
      <c r="B45" s="376"/>
      <c r="C45" s="179" t="s">
        <v>14</v>
      </c>
      <c r="D45" s="276">
        <v>8</v>
      </c>
      <c r="E45" s="277">
        <v>8</v>
      </c>
      <c r="F45" s="278">
        <v>0.42105263157894735</v>
      </c>
      <c r="G45" s="318"/>
      <c r="H45" s="319">
        <v>0</v>
      </c>
      <c r="I45" s="310">
        <v>1</v>
      </c>
      <c r="K45" s="376"/>
      <c r="L45" s="179" t="s">
        <v>14</v>
      </c>
      <c r="M45" s="276">
        <v>7</v>
      </c>
      <c r="N45" s="277">
        <v>7</v>
      </c>
      <c r="O45" s="278">
        <v>0.36842105263157893</v>
      </c>
      <c r="P45" s="318"/>
      <c r="Q45" s="319">
        <v>0</v>
      </c>
      <c r="R45" s="310">
        <v>1</v>
      </c>
    </row>
    <row r="46" spans="2:18" ht="15.75" thickBot="1" x14ac:dyDescent="0.3">
      <c r="B46" s="293" t="s">
        <v>2212</v>
      </c>
      <c r="C46" s="294"/>
      <c r="D46" s="295">
        <v>24</v>
      </c>
      <c r="E46" s="296">
        <v>19</v>
      </c>
      <c r="F46" s="297">
        <v>1</v>
      </c>
      <c r="G46" s="296">
        <v>5</v>
      </c>
      <c r="H46" s="297">
        <v>1</v>
      </c>
      <c r="I46" s="311">
        <f>SUM(I43:I45)</f>
        <v>5</v>
      </c>
      <c r="K46" s="293" t="s">
        <v>2212</v>
      </c>
      <c r="L46" s="294"/>
      <c r="M46" s="295">
        <v>24</v>
      </c>
      <c r="N46" s="296">
        <v>19</v>
      </c>
      <c r="O46" s="297">
        <v>1</v>
      </c>
      <c r="P46" s="296">
        <v>5</v>
      </c>
      <c r="Q46" s="297">
        <v>1</v>
      </c>
      <c r="R46" s="311">
        <f>SUM(R43:R45)</f>
        <v>5</v>
      </c>
    </row>
    <row r="47" spans="2:18" x14ac:dyDescent="0.25">
      <c r="B47" s="374">
        <v>4</v>
      </c>
      <c r="C47" s="284" t="s">
        <v>12</v>
      </c>
      <c r="D47" s="285">
        <v>9</v>
      </c>
      <c r="E47" s="286">
        <v>5</v>
      </c>
      <c r="F47" s="287">
        <v>0.33333333333333331</v>
      </c>
      <c r="G47" s="316">
        <v>4</v>
      </c>
      <c r="H47" s="317">
        <v>0.44444444444444442</v>
      </c>
      <c r="I47" s="309">
        <v>4</v>
      </c>
      <c r="K47" s="374">
        <v>4</v>
      </c>
      <c r="L47" s="284" t="s">
        <v>12</v>
      </c>
      <c r="M47" s="285">
        <v>7</v>
      </c>
      <c r="N47" s="286">
        <v>6</v>
      </c>
      <c r="O47" s="287">
        <v>0.33333333333333331</v>
      </c>
      <c r="P47" s="316">
        <v>1</v>
      </c>
      <c r="Q47" s="317">
        <v>0.16666666666666666</v>
      </c>
      <c r="R47" s="309">
        <v>2</v>
      </c>
    </row>
    <row r="48" spans="2:18" x14ac:dyDescent="0.25">
      <c r="B48" s="375"/>
      <c r="C48" s="179" t="s">
        <v>2203</v>
      </c>
      <c r="D48" s="276">
        <v>9</v>
      </c>
      <c r="E48" s="277">
        <v>4</v>
      </c>
      <c r="F48" s="278">
        <v>0.26666666666666666</v>
      </c>
      <c r="G48" s="318">
        <v>5</v>
      </c>
      <c r="H48" s="319">
        <v>0.55555555555555558</v>
      </c>
      <c r="I48" s="310">
        <v>3</v>
      </c>
      <c r="K48" s="375"/>
      <c r="L48" s="179" t="s">
        <v>2203</v>
      </c>
      <c r="M48" s="276">
        <v>10</v>
      </c>
      <c r="N48" s="277">
        <v>5</v>
      </c>
      <c r="O48" s="278">
        <v>0.27777777777777779</v>
      </c>
      <c r="P48" s="318">
        <v>5</v>
      </c>
      <c r="Q48" s="319">
        <v>0.83333333333333337</v>
      </c>
      <c r="R48" s="310">
        <v>3</v>
      </c>
    </row>
    <row r="49" spans="2:18" x14ac:dyDescent="0.25">
      <c r="B49" s="376"/>
      <c r="C49" s="179" t="s">
        <v>14</v>
      </c>
      <c r="D49" s="276">
        <v>6</v>
      </c>
      <c r="E49" s="277">
        <v>6</v>
      </c>
      <c r="F49" s="278">
        <v>0.4</v>
      </c>
      <c r="G49" s="318"/>
      <c r="H49" s="319">
        <v>0</v>
      </c>
      <c r="I49" s="310">
        <v>2</v>
      </c>
      <c r="K49" s="376"/>
      <c r="L49" s="179" t="s">
        <v>14</v>
      </c>
      <c r="M49" s="276">
        <v>7</v>
      </c>
      <c r="N49" s="277">
        <v>7</v>
      </c>
      <c r="O49" s="278">
        <v>0.3888888888888889</v>
      </c>
      <c r="P49" s="318"/>
      <c r="Q49" s="319">
        <v>0</v>
      </c>
      <c r="R49" s="310">
        <v>1</v>
      </c>
    </row>
    <row r="50" spans="2:18" ht="15.75" thickBot="1" x14ac:dyDescent="0.3">
      <c r="B50" s="302" t="s">
        <v>2213</v>
      </c>
      <c r="C50" s="303"/>
      <c r="D50" s="304">
        <v>24</v>
      </c>
      <c r="E50" s="305">
        <v>15</v>
      </c>
      <c r="F50" s="297">
        <v>1</v>
      </c>
      <c r="G50" s="305">
        <v>9</v>
      </c>
      <c r="H50" s="297">
        <v>1</v>
      </c>
      <c r="I50" s="312">
        <f>SUM(I47:I49)</f>
        <v>9</v>
      </c>
      <c r="K50" s="302" t="s">
        <v>2213</v>
      </c>
      <c r="L50" s="303"/>
      <c r="M50" s="304">
        <v>24</v>
      </c>
      <c r="N50" s="305">
        <v>18</v>
      </c>
      <c r="O50" s="297">
        <v>1</v>
      </c>
      <c r="P50" s="305">
        <v>6</v>
      </c>
      <c r="Q50" s="297">
        <v>1</v>
      </c>
      <c r="R50" s="312">
        <f>SUM(R47:R49)</f>
        <v>6</v>
      </c>
    </row>
    <row r="51" spans="2:18" x14ac:dyDescent="0.25">
      <c r="B51" s="374">
        <v>5</v>
      </c>
      <c r="C51" s="284" t="s">
        <v>12</v>
      </c>
      <c r="D51" s="285">
        <v>8</v>
      </c>
      <c r="E51" s="286">
        <v>7</v>
      </c>
      <c r="F51" s="287">
        <v>0.41176470588235292</v>
      </c>
      <c r="G51" s="316">
        <v>1</v>
      </c>
      <c r="H51" s="317">
        <v>0.14285714285714285</v>
      </c>
      <c r="I51" s="309">
        <v>3</v>
      </c>
      <c r="K51" s="374">
        <v>5</v>
      </c>
      <c r="L51" s="284" t="s">
        <v>12</v>
      </c>
      <c r="M51" s="285">
        <v>9</v>
      </c>
      <c r="N51" s="286">
        <v>5</v>
      </c>
      <c r="O51" s="287">
        <v>0.27777777777777779</v>
      </c>
      <c r="P51" s="316">
        <v>4</v>
      </c>
      <c r="Q51" s="317">
        <v>0.66666666666666663</v>
      </c>
      <c r="R51" s="309">
        <v>3</v>
      </c>
    </row>
    <row r="52" spans="2:18" x14ac:dyDescent="0.25">
      <c r="B52" s="375"/>
      <c r="C52" s="179" t="s">
        <v>2203</v>
      </c>
      <c r="D52" s="276">
        <v>10</v>
      </c>
      <c r="E52" s="277">
        <v>5</v>
      </c>
      <c r="F52" s="278">
        <v>0.29411764705882354</v>
      </c>
      <c r="G52" s="318">
        <v>5</v>
      </c>
      <c r="H52" s="319">
        <v>0.7142857142857143</v>
      </c>
      <c r="I52" s="310">
        <v>2</v>
      </c>
      <c r="K52" s="375"/>
      <c r="L52" s="179" t="s">
        <v>2203</v>
      </c>
      <c r="M52" s="276">
        <v>9</v>
      </c>
      <c r="N52" s="277">
        <v>7</v>
      </c>
      <c r="O52" s="278">
        <v>0.3888888888888889</v>
      </c>
      <c r="P52" s="318">
        <v>2</v>
      </c>
      <c r="Q52" s="319">
        <v>0.33333333333333331</v>
      </c>
      <c r="R52" s="310">
        <v>2</v>
      </c>
    </row>
    <row r="53" spans="2:18" x14ac:dyDescent="0.25">
      <c r="B53" s="376"/>
      <c r="C53" s="179" t="s">
        <v>14</v>
      </c>
      <c r="D53" s="276">
        <v>6</v>
      </c>
      <c r="E53" s="277">
        <v>5</v>
      </c>
      <c r="F53" s="278">
        <v>0.29411764705882354</v>
      </c>
      <c r="G53" s="318">
        <v>1</v>
      </c>
      <c r="H53" s="319">
        <v>0.14285714285714285</v>
      </c>
      <c r="I53" s="310">
        <v>2</v>
      </c>
      <c r="K53" s="376"/>
      <c r="L53" s="179" t="s">
        <v>14</v>
      </c>
      <c r="M53" s="276">
        <v>6</v>
      </c>
      <c r="N53" s="277">
        <v>6</v>
      </c>
      <c r="O53" s="278">
        <v>0.33333333333333331</v>
      </c>
      <c r="P53" s="318"/>
      <c r="Q53" s="319">
        <v>0</v>
      </c>
      <c r="R53" s="310">
        <v>1</v>
      </c>
    </row>
    <row r="54" spans="2:18" ht="15.75" thickBot="1" x14ac:dyDescent="0.3">
      <c r="B54" s="293" t="s">
        <v>2217</v>
      </c>
      <c r="C54" s="294"/>
      <c r="D54" s="295">
        <v>24</v>
      </c>
      <c r="E54" s="296">
        <v>17</v>
      </c>
      <c r="F54" s="297">
        <v>1</v>
      </c>
      <c r="G54" s="296">
        <v>7</v>
      </c>
      <c r="H54" s="297">
        <v>1</v>
      </c>
      <c r="I54" s="311">
        <f>SUM(I51:I53)</f>
        <v>7</v>
      </c>
      <c r="K54" s="293" t="s">
        <v>2217</v>
      </c>
      <c r="L54" s="294"/>
      <c r="M54" s="295">
        <v>24</v>
      </c>
      <c r="N54" s="296">
        <v>18</v>
      </c>
      <c r="O54" s="297">
        <v>1</v>
      </c>
      <c r="P54" s="296">
        <v>6</v>
      </c>
      <c r="Q54" s="297">
        <v>1</v>
      </c>
      <c r="R54" s="311">
        <f>SUM(R51:R53)</f>
        <v>6</v>
      </c>
    </row>
    <row r="55" spans="2:18" x14ac:dyDescent="0.25">
      <c r="B55" s="375">
        <v>6</v>
      </c>
      <c r="C55" s="298" t="s">
        <v>12</v>
      </c>
      <c r="D55" s="299">
        <v>15</v>
      </c>
      <c r="E55" s="300">
        <v>12</v>
      </c>
      <c r="F55" s="301">
        <v>0.63157894736842102</v>
      </c>
      <c r="G55" s="320">
        <v>3</v>
      </c>
      <c r="H55" s="321">
        <v>0.6</v>
      </c>
      <c r="I55" s="313">
        <v>3</v>
      </c>
      <c r="K55" s="375">
        <v>6</v>
      </c>
      <c r="L55" s="298" t="s">
        <v>12</v>
      </c>
      <c r="M55" s="299">
        <v>13</v>
      </c>
      <c r="N55" s="300">
        <v>7</v>
      </c>
      <c r="O55" s="301">
        <v>0.41176470588235292</v>
      </c>
      <c r="P55" s="320">
        <v>6</v>
      </c>
      <c r="Q55" s="321">
        <v>0.8571428571428571</v>
      </c>
      <c r="R55" s="313">
        <v>3</v>
      </c>
    </row>
    <row r="56" spans="2:18" x14ac:dyDescent="0.25">
      <c r="B56" s="375"/>
      <c r="C56" s="179" t="s">
        <v>2203</v>
      </c>
      <c r="D56" s="276">
        <v>4</v>
      </c>
      <c r="E56" s="277">
        <v>3</v>
      </c>
      <c r="F56" s="278">
        <v>0.15789473684210525</v>
      </c>
      <c r="G56" s="318">
        <v>1</v>
      </c>
      <c r="H56" s="319">
        <v>0.2</v>
      </c>
      <c r="I56" s="310">
        <v>1</v>
      </c>
      <c r="K56" s="375"/>
      <c r="L56" s="179" t="s">
        <v>2203</v>
      </c>
      <c r="M56" s="276">
        <v>9</v>
      </c>
      <c r="N56" s="277">
        <v>8</v>
      </c>
      <c r="O56" s="278">
        <v>0.47058823529411764</v>
      </c>
      <c r="P56" s="318">
        <v>1</v>
      </c>
      <c r="Q56" s="319">
        <v>0.14285714285714285</v>
      </c>
      <c r="R56" s="310">
        <v>3</v>
      </c>
    </row>
    <row r="57" spans="2:18" x14ac:dyDescent="0.25">
      <c r="B57" s="376"/>
      <c r="C57" s="179" t="s">
        <v>14</v>
      </c>
      <c r="D57" s="276">
        <v>5</v>
      </c>
      <c r="E57" s="277">
        <v>4</v>
      </c>
      <c r="F57" s="278">
        <v>0.21052631578947367</v>
      </c>
      <c r="G57" s="318">
        <v>1</v>
      </c>
      <c r="H57" s="319">
        <v>0.2</v>
      </c>
      <c r="I57" s="310">
        <v>1</v>
      </c>
      <c r="K57" s="376"/>
      <c r="L57" s="179" t="s">
        <v>14</v>
      </c>
      <c r="M57" s="276">
        <v>2</v>
      </c>
      <c r="N57" s="277">
        <v>2</v>
      </c>
      <c r="O57" s="278">
        <v>0.11764705882352941</v>
      </c>
      <c r="P57" s="318"/>
      <c r="Q57" s="319">
        <v>0</v>
      </c>
      <c r="R57" s="310">
        <v>1</v>
      </c>
    </row>
    <row r="58" spans="2:18" ht="15.75" thickBot="1" x14ac:dyDescent="0.3">
      <c r="B58" s="302" t="s">
        <v>2214</v>
      </c>
      <c r="C58" s="303"/>
      <c r="D58" s="304">
        <v>24</v>
      </c>
      <c r="E58" s="305">
        <v>19</v>
      </c>
      <c r="F58" s="297">
        <v>1</v>
      </c>
      <c r="G58" s="305">
        <v>5</v>
      </c>
      <c r="H58" s="297">
        <v>1</v>
      </c>
      <c r="I58" s="312">
        <f>SUM(I55:I57)</f>
        <v>5</v>
      </c>
      <c r="K58" s="302" t="s">
        <v>2214</v>
      </c>
      <c r="L58" s="303"/>
      <c r="M58" s="304">
        <v>24</v>
      </c>
      <c r="N58" s="305">
        <v>17</v>
      </c>
      <c r="O58" s="297">
        <v>1</v>
      </c>
      <c r="P58" s="305">
        <v>7</v>
      </c>
      <c r="Q58" s="297">
        <v>1</v>
      </c>
      <c r="R58" s="312">
        <f>SUM(R55:R57)</f>
        <v>7</v>
      </c>
    </row>
    <row r="59" spans="2:18" x14ac:dyDescent="0.25">
      <c r="B59" s="374">
        <v>7</v>
      </c>
      <c r="C59" s="284" t="s">
        <v>12</v>
      </c>
      <c r="D59" s="285">
        <v>8</v>
      </c>
      <c r="E59" s="286">
        <v>5</v>
      </c>
      <c r="F59" s="287">
        <v>0.3125</v>
      </c>
      <c r="G59" s="316">
        <v>3</v>
      </c>
      <c r="H59" s="317">
        <v>0.42857142857142855</v>
      </c>
      <c r="I59" s="309">
        <v>2</v>
      </c>
      <c r="K59" s="374">
        <v>7</v>
      </c>
      <c r="L59" s="284" t="s">
        <v>12</v>
      </c>
      <c r="M59" s="285">
        <v>10</v>
      </c>
      <c r="N59" s="286">
        <v>7</v>
      </c>
      <c r="O59" s="287">
        <v>0.41176470588235292</v>
      </c>
      <c r="P59" s="316">
        <v>3</v>
      </c>
      <c r="Q59" s="317">
        <v>0.42857142857142855</v>
      </c>
      <c r="R59" s="309">
        <v>3</v>
      </c>
    </row>
    <row r="60" spans="2:18" x14ac:dyDescent="0.25">
      <c r="B60" s="375"/>
      <c r="C60" s="179" t="s">
        <v>2203</v>
      </c>
      <c r="D60" s="276">
        <v>6</v>
      </c>
      <c r="E60" s="277">
        <v>4</v>
      </c>
      <c r="F60" s="278">
        <v>0.25</v>
      </c>
      <c r="G60" s="318">
        <v>2</v>
      </c>
      <c r="H60" s="319">
        <v>0.2857142857142857</v>
      </c>
      <c r="I60" s="310">
        <v>2</v>
      </c>
      <c r="K60" s="375"/>
      <c r="L60" s="179" t="s">
        <v>2203</v>
      </c>
      <c r="M60" s="276">
        <v>7</v>
      </c>
      <c r="N60" s="277">
        <v>5</v>
      </c>
      <c r="O60" s="278">
        <v>0.29411764705882354</v>
      </c>
      <c r="P60" s="318">
        <v>2</v>
      </c>
      <c r="Q60" s="319">
        <v>0.2857142857142857</v>
      </c>
      <c r="R60" s="310">
        <v>2</v>
      </c>
    </row>
    <row r="61" spans="2:18" x14ac:dyDescent="0.25">
      <c r="B61" s="376"/>
      <c r="C61" s="179" t="s">
        <v>14</v>
      </c>
      <c r="D61" s="276">
        <v>9</v>
      </c>
      <c r="E61" s="277">
        <v>7</v>
      </c>
      <c r="F61" s="278">
        <v>0.4375</v>
      </c>
      <c r="G61" s="318">
        <v>2</v>
      </c>
      <c r="H61" s="319">
        <v>0.2857142857142857</v>
      </c>
      <c r="I61" s="310">
        <v>3</v>
      </c>
      <c r="K61" s="376"/>
      <c r="L61" s="179" t="s">
        <v>14</v>
      </c>
      <c r="M61" s="276">
        <v>7</v>
      </c>
      <c r="N61" s="277">
        <v>5</v>
      </c>
      <c r="O61" s="278">
        <v>0.29411764705882354</v>
      </c>
      <c r="P61" s="318">
        <v>2</v>
      </c>
      <c r="Q61" s="319">
        <v>0.2857142857142857</v>
      </c>
      <c r="R61" s="310">
        <v>2</v>
      </c>
    </row>
    <row r="62" spans="2:18" ht="15.75" thickBot="1" x14ac:dyDescent="0.3">
      <c r="B62" s="293" t="s">
        <v>2215</v>
      </c>
      <c r="C62" s="294"/>
      <c r="D62" s="295">
        <v>23</v>
      </c>
      <c r="E62" s="296">
        <v>16</v>
      </c>
      <c r="F62" s="297">
        <v>1</v>
      </c>
      <c r="G62" s="296">
        <v>7</v>
      </c>
      <c r="H62" s="297">
        <v>1</v>
      </c>
      <c r="I62" s="311">
        <f>SUM(I59:I61)</f>
        <v>7</v>
      </c>
      <c r="K62" s="293" t="s">
        <v>2215</v>
      </c>
      <c r="L62" s="294"/>
      <c r="M62" s="295">
        <v>24</v>
      </c>
      <c r="N62" s="296">
        <v>17</v>
      </c>
      <c r="O62" s="297">
        <v>1</v>
      </c>
      <c r="P62" s="296">
        <v>7</v>
      </c>
      <c r="Q62" s="297">
        <v>1</v>
      </c>
      <c r="R62" s="311">
        <f>SUM(R59:R61)</f>
        <v>7</v>
      </c>
    </row>
    <row r="63" spans="2:18" ht="15.75" thickBot="1" x14ac:dyDescent="0.3">
      <c r="B63" s="279" t="s">
        <v>111</v>
      </c>
      <c r="C63" s="280"/>
      <c r="D63" s="281">
        <v>167</v>
      </c>
      <c r="E63" s="282">
        <v>113</v>
      </c>
      <c r="F63" s="283">
        <v>1</v>
      </c>
      <c r="G63" s="282">
        <v>54</v>
      </c>
      <c r="H63" s="283">
        <v>1</v>
      </c>
      <c r="I63" s="322"/>
      <c r="K63" s="374">
        <v>8</v>
      </c>
      <c r="L63" s="284" t="s">
        <v>12</v>
      </c>
      <c r="M63" s="285">
        <v>10</v>
      </c>
      <c r="N63" s="286">
        <v>6</v>
      </c>
      <c r="O63" s="287">
        <v>0.35294117647058826</v>
      </c>
      <c r="P63" s="316">
        <v>4</v>
      </c>
      <c r="Q63" s="317">
        <v>0.66666666666666663</v>
      </c>
      <c r="R63" s="309">
        <v>3</v>
      </c>
    </row>
    <row r="64" spans="2:18" x14ac:dyDescent="0.25">
      <c r="K64" s="375"/>
      <c r="L64" s="179" t="s">
        <v>2203</v>
      </c>
      <c r="M64" s="276">
        <v>4</v>
      </c>
      <c r="N64" s="277">
        <v>2</v>
      </c>
      <c r="O64" s="278">
        <v>0.11764705882352941</v>
      </c>
      <c r="P64" s="318">
        <v>2</v>
      </c>
      <c r="Q64" s="319">
        <v>0.33333333333333331</v>
      </c>
      <c r="R64" s="310">
        <v>1</v>
      </c>
    </row>
    <row r="65" spans="11:18" x14ac:dyDescent="0.25">
      <c r="K65" s="376"/>
      <c r="L65" s="179" t="s">
        <v>14</v>
      </c>
      <c r="M65" s="276">
        <v>9</v>
      </c>
      <c r="N65" s="277">
        <v>9</v>
      </c>
      <c r="O65" s="278">
        <v>0.52941176470588236</v>
      </c>
      <c r="P65" s="318"/>
      <c r="Q65" s="319">
        <v>0</v>
      </c>
      <c r="R65" s="310">
        <v>2</v>
      </c>
    </row>
    <row r="66" spans="11:18" ht="15.75" thickBot="1" x14ac:dyDescent="0.3">
      <c r="K66" s="293" t="s">
        <v>2221</v>
      </c>
      <c r="L66" s="294"/>
      <c r="M66" s="295">
        <v>23</v>
      </c>
      <c r="N66" s="296">
        <v>17</v>
      </c>
      <c r="O66" s="297">
        <v>1</v>
      </c>
      <c r="P66" s="296">
        <v>6</v>
      </c>
      <c r="Q66" s="297">
        <v>1</v>
      </c>
      <c r="R66" s="311">
        <f>SUM(R63:R65)</f>
        <v>6</v>
      </c>
    </row>
    <row r="67" spans="11:18" ht="15.75" thickBot="1" x14ac:dyDescent="0.3">
      <c r="K67" s="279" t="s">
        <v>111</v>
      </c>
      <c r="L67" s="280"/>
      <c r="M67" s="281">
        <v>191</v>
      </c>
      <c r="N67" s="282">
        <v>145</v>
      </c>
      <c r="O67" s="283">
        <v>1</v>
      </c>
      <c r="P67" s="282">
        <v>46</v>
      </c>
      <c r="Q67" s="283">
        <v>1</v>
      </c>
      <c r="R67" s="322"/>
    </row>
  </sheetData>
  <mergeCells count="33">
    <mergeCell ref="B1:I1"/>
    <mergeCell ref="B3:B5"/>
    <mergeCell ref="B7:B9"/>
    <mergeCell ref="K1:R1"/>
    <mergeCell ref="K3:K5"/>
    <mergeCell ref="K7:K9"/>
    <mergeCell ref="K11:K13"/>
    <mergeCell ref="K15:K17"/>
    <mergeCell ref="K19:K21"/>
    <mergeCell ref="K23:K25"/>
    <mergeCell ref="K27:K29"/>
    <mergeCell ref="B11:B13"/>
    <mergeCell ref="B15:B17"/>
    <mergeCell ref="B19:B21"/>
    <mergeCell ref="B23:B25"/>
    <mergeCell ref="B27:B29"/>
    <mergeCell ref="B33:I33"/>
    <mergeCell ref="B35:B37"/>
    <mergeCell ref="B39:B41"/>
    <mergeCell ref="B43:B45"/>
    <mergeCell ref="B47:B49"/>
    <mergeCell ref="K33:R33"/>
    <mergeCell ref="K35:K37"/>
    <mergeCell ref="K39:K41"/>
    <mergeCell ref="K43:K45"/>
    <mergeCell ref="K47:K49"/>
    <mergeCell ref="K63:K65"/>
    <mergeCell ref="K59:K61"/>
    <mergeCell ref="B51:B53"/>
    <mergeCell ref="B55:B57"/>
    <mergeCell ref="B59:B61"/>
    <mergeCell ref="K51:K53"/>
    <mergeCell ref="K55:K57"/>
  </mergeCells>
  <conditionalFormatting sqref="F3:F5">
    <cfRule type="colorScale" priority="42">
      <colorScale>
        <cfvo type="min"/>
        <cfvo type="max"/>
        <color rgb="FFFCFCFF"/>
        <color rgb="FF63BE7B"/>
      </colorScale>
    </cfRule>
  </conditionalFormatting>
  <conditionalFormatting sqref="F7:F9">
    <cfRule type="colorScale" priority="41">
      <colorScale>
        <cfvo type="min"/>
        <cfvo type="max"/>
        <color rgb="FFFCFCFF"/>
        <color rgb="FF63BE7B"/>
      </colorScale>
    </cfRule>
  </conditionalFormatting>
  <conditionalFormatting sqref="F11:F13">
    <cfRule type="colorScale" priority="40">
      <colorScale>
        <cfvo type="min"/>
        <cfvo type="max"/>
        <color rgb="FFFCFCFF"/>
        <color rgb="FF63BE7B"/>
      </colorScale>
    </cfRule>
  </conditionalFormatting>
  <conditionalFormatting sqref="F15:F17">
    <cfRule type="colorScale" priority="39">
      <colorScale>
        <cfvo type="min"/>
        <cfvo type="max"/>
        <color rgb="FFFCFCFF"/>
        <color rgb="FF63BE7B"/>
      </colorScale>
    </cfRule>
  </conditionalFormatting>
  <conditionalFormatting sqref="F19:F21">
    <cfRule type="colorScale" priority="38">
      <colorScale>
        <cfvo type="min"/>
        <cfvo type="max"/>
        <color rgb="FFFCFCFF"/>
        <color rgb="FF63BE7B"/>
      </colorScale>
    </cfRule>
  </conditionalFormatting>
  <conditionalFormatting sqref="F23:F25">
    <cfRule type="colorScale" priority="37">
      <colorScale>
        <cfvo type="min"/>
        <cfvo type="max"/>
        <color rgb="FFFCFCFF"/>
        <color rgb="FF63BE7B"/>
      </colorScale>
    </cfRule>
  </conditionalFormatting>
  <conditionalFormatting sqref="F27:F29">
    <cfRule type="colorScale" priority="36">
      <colorScale>
        <cfvo type="min"/>
        <cfvo type="max"/>
        <color rgb="FFFCFCFF"/>
        <color rgb="FF63BE7B"/>
      </colorScale>
    </cfRule>
  </conditionalFormatting>
  <conditionalFormatting sqref="G3:G5 G7:G9 G11:G13 G15:G17 G19:G21 G23:G25 G27:G29">
    <cfRule type="colorScale" priority="35">
      <colorScale>
        <cfvo type="min"/>
        <cfvo type="max"/>
        <color rgb="FFFCFCFF"/>
        <color rgb="FF63BE7B"/>
      </colorScale>
    </cfRule>
  </conditionalFormatting>
  <conditionalFormatting sqref="O3:O5">
    <cfRule type="colorScale" priority="34">
      <colorScale>
        <cfvo type="min"/>
        <cfvo type="max"/>
        <color rgb="FFFCFCFF"/>
        <color rgb="FF63BE7B"/>
      </colorScale>
    </cfRule>
  </conditionalFormatting>
  <conditionalFormatting sqref="O7:O9">
    <cfRule type="colorScale" priority="33">
      <colorScale>
        <cfvo type="min"/>
        <cfvo type="max"/>
        <color rgb="FFFCFCFF"/>
        <color rgb="FF63BE7B"/>
      </colorScale>
    </cfRule>
  </conditionalFormatting>
  <conditionalFormatting sqref="O11:O13">
    <cfRule type="colorScale" priority="32">
      <colorScale>
        <cfvo type="min"/>
        <cfvo type="max"/>
        <color rgb="FFFCFCFF"/>
        <color rgb="FF63BE7B"/>
      </colorScale>
    </cfRule>
  </conditionalFormatting>
  <conditionalFormatting sqref="O15:O17">
    <cfRule type="colorScale" priority="31">
      <colorScale>
        <cfvo type="min"/>
        <cfvo type="max"/>
        <color rgb="FFFCFCFF"/>
        <color rgb="FF63BE7B"/>
      </colorScale>
    </cfRule>
  </conditionalFormatting>
  <conditionalFormatting sqref="O19:O21">
    <cfRule type="colorScale" priority="30">
      <colorScale>
        <cfvo type="min"/>
        <cfvo type="max"/>
        <color rgb="FFFCFCFF"/>
        <color rgb="FF63BE7B"/>
      </colorScale>
    </cfRule>
  </conditionalFormatting>
  <conditionalFormatting sqref="O23:O25">
    <cfRule type="colorScale" priority="29">
      <colorScale>
        <cfvo type="min"/>
        <cfvo type="max"/>
        <color rgb="FFFCFCFF"/>
        <color rgb="FF63BE7B"/>
      </colorScale>
    </cfRule>
  </conditionalFormatting>
  <conditionalFormatting sqref="O27:O29">
    <cfRule type="colorScale" priority="28">
      <colorScale>
        <cfvo type="min"/>
        <cfvo type="max"/>
        <color rgb="FFFCFCFF"/>
        <color rgb="FF63BE7B"/>
      </colorScale>
    </cfRule>
  </conditionalFormatting>
  <conditionalFormatting sqref="P3:P5 P7:P9 P11:P13 P15:P17 P19:P21 P23:P25 P27:P29">
    <cfRule type="colorScale" priority="27">
      <colorScale>
        <cfvo type="min"/>
        <cfvo type="max"/>
        <color rgb="FFFCFCFF"/>
        <color rgb="FF63BE7B"/>
      </colorScale>
    </cfRule>
  </conditionalFormatting>
  <conditionalFormatting sqref="F35:F37">
    <cfRule type="colorScale" priority="18">
      <colorScale>
        <cfvo type="min"/>
        <cfvo type="max"/>
        <color rgb="FFFCFCFF"/>
        <color rgb="FF63BE7B"/>
      </colorScale>
    </cfRule>
  </conditionalFormatting>
  <conditionalFormatting sqref="F39:F41">
    <cfRule type="colorScale" priority="17">
      <colorScale>
        <cfvo type="min"/>
        <cfvo type="max"/>
        <color rgb="FFFCFCFF"/>
        <color rgb="FF63BE7B"/>
      </colorScale>
    </cfRule>
  </conditionalFormatting>
  <conditionalFormatting sqref="F43:F45">
    <cfRule type="colorScale" priority="16">
      <colorScale>
        <cfvo type="min"/>
        <cfvo type="max"/>
        <color rgb="FFFCFCFF"/>
        <color rgb="FF63BE7B"/>
      </colorScale>
    </cfRule>
  </conditionalFormatting>
  <conditionalFormatting sqref="F47:F49">
    <cfRule type="colorScale" priority="15">
      <colorScale>
        <cfvo type="min"/>
        <cfvo type="max"/>
        <color rgb="FFFCFCFF"/>
        <color rgb="FF63BE7B"/>
      </colorScale>
    </cfRule>
  </conditionalFormatting>
  <conditionalFormatting sqref="F51:F53">
    <cfRule type="colorScale" priority="14">
      <colorScale>
        <cfvo type="min"/>
        <cfvo type="max"/>
        <color rgb="FFFCFCFF"/>
        <color rgb="FF63BE7B"/>
      </colorScale>
    </cfRule>
  </conditionalFormatting>
  <conditionalFormatting sqref="F55:F57">
    <cfRule type="colorScale" priority="13">
      <colorScale>
        <cfvo type="min"/>
        <cfvo type="max"/>
        <color rgb="FFFCFCFF"/>
        <color rgb="FF63BE7B"/>
      </colorScale>
    </cfRule>
  </conditionalFormatting>
  <conditionalFormatting sqref="F59:F61">
    <cfRule type="colorScale" priority="12">
      <colorScale>
        <cfvo type="min"/>
        <cfvo type="max"/>
        <color rgb="FFFCFCFF"/>
        <color rgb="FF63BE7B"/>
      </colorScale>
    </cfRule>
  </conditionalFormatting>
  <conditionalFormatting sqref="G35:G37 G39:G41 G43:G45 G47:G49 G51:G53 G55:G57 G59:G61">
    <cfRule type="colorScale" priority="11">
      <colorScale>
        <cfvo type="min"/>
        <cfvo type="max"/>
        <color rgb="FFFCFCFF"/>
        <color rgb="FF63BE7B"/>
      </colorScale>
    </cfRule>
  </conditionalFormatting>
  <conditionalFormatting sqref="O35:O37">
    <cfRule type="colorScale" priority="10">
      <colorScale>
        <cfvo type="min"/>
        <cfvo type="max"/>
        <color rgb="FFFCFCFF"/>
        <color rgb="FF63BE7B"/>
      </colorScale>
    </cfRule>
  </conditionalFormatting>
  <conditionalFormatting sqref="O39:O41">
    <cfRule type="colorScale" priority="9">
      <colorScale>
        <cfvo type="min"/>
        <cfvo type="max"/>
        <color rgb="FFFCFCFF"/>
        <color rgb="FF63BE7B"/>
      </colorScale>
    </cfRule>
  </conditionalFormatting>
  <conditionalFormatting sqref="O43:O45">
    <cfRule type="colorScale" priority="8">
      <colorScale>
        <cfvo type="min"/>
        <cfvo type="max"/>
        <color rgb="FFFCFCFF"/>
        <color rgb="FF63BE7B"/>
      </colorScale>
    </cfRule>
  </conditionalFormatting>
  <conditionalFormatting sqref="O47:O49">
    <cfRule type="colorScale" priority="7">
      <colorScale>
        <cfvo type="min"/>
        <cfvo type="max"/>
        <color rgb="FFFCFCFF"/>
        <color rgb="FF63BE7B"/>
      </colorScale>
    </cfRule>
  </conditionalFormatting>
  <conditionalFormatting sqref="O51:O53">
    <cfRule type="colorScale" priority="6">
      <colorScale>
        <cfvo type="min"/>
        <cfvo type="max"/>
        <color rgb="FFFCFCFF"/>
        <color rgb="FF63BE7B"/>
      </colorScale>
    </cfRule>
  </conditionalFormatting>
  <conditionalFormatting sqref="O55:O57">
    <cfRule type="colorScale" priority="5">
      <colorScale>
        <cfvo type="min"/>
        <cfvo type="max"/>
        <color rgb="FFFCFCFF"/>
        <color rgb="FF63BE7B"/>
      </colorScale>
    </cfRule>
  </conditionalFormatting>
  <conditionalFormatting sqref="O63:O65">
    <cfRule type="colorScale" priority="4">
      <colorScale>
        <cfvo type="min"/>
        <cfvo type="max"/>
        <color rgb="FFFCFCFF"/>
        <color rgb="FF63BE7B"/>
      </colorScale>
    </cfRule>
  </conditionalFormatting>
  <conditionalFormatting sqref="P63:P65 P35:P37 P39:P41 P43:P45 P47:P49 P51:P53 P55:P57">
    <cfRule type="colorScale" priority="3">
      <colorScale>
        <cfvo type="min"/>
        <cfvo type="max"/>
        <color rgb="FFFCFCFF"/>
        <color rgb="FF63BE7B"/>
      </colorScale>
    </cfRule>
  </conditionalFormatting>
  <conditionalFormatting sqref="O59:O61">
    <cfRule type="colorScale" priority="2">
      <colorScale>
        <cfvo type="min"/>
        <cfvo type="max"/>
        <color rgb="FFFCFCFF"/>
        <color rgb="FF63BE7B"/>
      </colorScale>
    </cfRule>
  </conditionalFormatting>
  <conditionalFormatting sqref="P59:P61">
    <cfRule type="colorScale" priority="1">
      <colorScale>
        <cfvo type="min"/>
        <cfvo type="max"/>
        <color rgb="FFFCFCFF"/>
        <color rgb="FF63BE7B"/>
      </colorScale>
    </cfRule>
  </conditionalFormatting>
  <pageMargins left="0.25" right="0.25" top="0.75" bottom="0.75" header="0.3" footer="0.3"/>
  <pageSetup paperSize="9" scale="58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3A7BA-E0B2-4F66-BF2A-A9A0FDAAA045}">
  <sheetPr codeName="Лист4"/>
  <dimension ref="A3:P668"/>
  <sheetViews>
    <sheetView workbookViewId="0">
      <selection activeCell="B37" sqref="B36:B37"/>
    </sheetView>
  </sheetViews>
  <sheetFormatPr defaultColWidth="9.140625" defaultRowHeight="15" x14ac:dyDescent="0.25"/>
  <cols>
    <col min="1" max="1" width="12.140625" style="178" bestFit="1" customWidth="1"/>
    <col min="2" max="2" width="16.42578125" style="178" bestFit="1" customWidth="1"/>
    <col min="3" max="3" width="10.140625" style="178" bestFit="1" customWidth="1"/>
    <col min="4" max="4" width="7.7109375" style="178" customWidth="1"/>
    <col min="5" max="5" width="19.28515625" style="178" bestFit="1" customWidth="1"/>
    <col min="6" max="7" width="21.140625" style="176" customWidth="1"/>
    <col min="8" max="15" width="9.140625" style="16"/>
    <col min="16" max="16" width="34" style="16" bestFit="1" customWidth="1"/>
    <col min="17" max="16384" width="9.140625" style="16"/>
  </cols>
  <sheetData>
    <row r="3" spans="1:16" x14ac:dyDescent="0.25">
      <c r="A3" s="178" t="s">
        <v>17</v>
      </c>
      <c r="B3" s="178" t="s">
        <v>97</v>
      </c>
      <c r="C3" s="178" t="s">
        <v>774</v>
      </c>
      <c r="D3" s="178" t="s">
        <v>16</v>
      </c>
      <c r="E3" s="178" t="s">
        <v>72</v>
      </c>
      <c r="F3" s="176" t="s">
        <v>112</v>
      </c>
      <c r="G3" s="176" t="s">
        <v>136</v>
      </c>
    </row>
    <row r="4" spans="1:16" x14ac:dyDescent="0.25">
      <c r="A4" s="178" t="s">
        <v>4</v>
      </c>
      <c r="E4" s="194">
        <v>15</v>
      </c>
      <c r="F4" s="176">
        <v>84.99</v>
      </c>
      <c r="G4" s="176">
        <v>8642472.1673333328</v>
      </c>
    </row>
    <row r="5" spans="1:16" x14ac:dyDescent="0.25">
      <c r="A5" s="178" t="s">
        <v>3</v>
      </c>
      <c r="E5" s="194">
        <v>24</v>
      </c>
      <c r="F5" s="176">
        <v>80.970000000000013</v>
      </c>
      <c r="G5" s="176">
        <v>7910095.2129166657</v>
      </c>
    </row>
    <row r="6" spans="1:16" x14ac:dyDescent="0.25">
      <c r="A6" s="178" t="s">
        <v>2</v>
      </c>
      <c r="E6" s="194">
        <v>24</v>
      </c>
      <c r="F6" s="176">
        <v>79.44000000000004</v>
      </c>
      <c r="G6" s="176">
        <v>8857544.708333334</v>
      </c>
    </row>
    <row r="7" spans="1:16" x14ac:dyDescent="0.25">
      <c r="A7" s="178" t="s">
        <v>111</v>
      </c>
      <c r="E7" s="194">
        <v>63</v>
      </c>
      <c r="F7" s="176">
        <v>81.344285714285604</v>
      </c>
      <c r="G7" s="176">
        <v>8445403.8193650786</v>
      </c>
    </row>
    <row r="8" spans="1:16" x14ac:dyDescent="0.25">
      <c r="A8"/>
      <c r="B8"/>
      <c r="C8"/>
      <c r="D8"/>
      <c r="E8"/>
      <c r="F8"/>
      <c r="G8"/>
    </row>
    <row r="9" spans="1:16" x14ac:dyDescent="0.25">
      <c r="A9"/>
      <c r="B9"/>
      <c r="C9"/>
      <c r="D9"/>
      <c r="E9"/>
      <c r="F9"/>
      <c r="G9"/>
      <c r="L9" s="380" t="s">
        <v>122</v>
      </c>
      <c r="M9" s="380"/>
      <c r="N9" s="380"/>
      <c r="O9" s="380"/>
      <c r="P9" s="380"/>
    </row>
    <row r="10" spans="1:16" x14ac:dyDescent="0.25">
      <c r="A10"/>
      <c r="B10"/>
      <c r="C10"/>
      <c r="D10"/>
      <c r="E10"/>
      <c r="F10"/>
      <c r="G10"/>
      <c r="L10" s="180" t="s">
        <v>6</v>
      </c>
      <c r="M10" s="180" t="s">
        <v>72</v>
      </c>
      <c r="N10" s="180" t="s">
        <v>125</v>
      </c>
      <c r="O10" s="180" t="s">
        <v>137</v>
      </c>
      <c r="P10" s="180" t="s">
        <v>124</v>
      </c>
    </row>
    <row r="11" spans="1:16" x14ac:dyDescent="0.25">
      <c r="A11"/>
      <c r="B11"/>
      <c r="C11"/>
      <c r="D11"/>
      <c r="E11"/>
      <c r="F11"/>
      <c r="G11"/>
      <c r="L11" s="179" t="s">
        <v>114</v>
      </c>
      <c r="M11" s="179">
        <v>1</v>
      </c>
      <c r="N11" s="179">
        <v>57</v>
      </c>
      <c r="O11" s="179">
        <v>-0.12</v>
      </c>
      <c r="P11" s="179" t="s">
        <v>120</v>
      </c>
    </row>
    <row r="12" spans="1:16" x14ac:dyDescent="0.25">
      <c r="A12"/>
      <c r="B12"/>
      <c r="C12"/>
      <c r="D12"/>
      <c r="E12"/>
      <c r="F12"/>
      <c r="G12"/>
      <c r="L12" s="179" t="s">
        <v>115</v>
      </c>
      <c r="M12" s="179">
        <v>1</v>
      </c>
      <c r="N12" s="179">
        <v>43</v>
      </c>
      <c r="O12" s="179">
        <v>-0.05</v>
      </c>
      <c r="P12" s="179" t="s">
        <v>119</v>
      </c>
    </row>
    <row r="13" spans="1:16" x14ac:dyDescent="0.25">
      <c r="A13"/>
      <c r="B13"/>
      <c r="C13"/>
      <c r="D13"/>
      <c r="E13"/>
      <c r="F13"/>
      <c r="G13"/>
      <c r="L13" s="179" t="s">
        <v>116</v>
      </c>
      <c r="M13" s="179">
        <v>1</v>
      </c>
      <c r="N13" s="179">
        <v>58</v>
      </c>
      <c r="O13" s="179">
        <v>-0.14000000000000001</v>
      </c>
      <c r="P13" s="179" t="s">
        <v>120</v>
      </c>
    </row>
    <row r="14" spans="1:16" x14ac:dyDescent="0.25">
      <c r="A14"/>
      <c r="B14"/>
      <c r="C14"/>
      <c r="D14"/>
      <c r="E14"/>
      <c r="F14"/>
      <c r="G14"/>
      <c r="L14" s="179" t="s">
        <v>117</v>
      </c>
      <c r="M14" s="179">
        <v>1</v>
      </c>
      <c r="N14" s="179">
        <v>43</v>
      </c>
      <c r="O14" s="179">
        <v>-0.05</v>
      </c>
      <c r="P14" s="179" t="s">
        <v>110</v>
      </c>
    </row>
    <row r="15" spans="1:16" x14ac:dyDescent="0.25">
      <c r="A15"/>
      <c r="B15"/>
      <c r="C15"/>
      <c r="D15"/>
      <c r="E15"/>
      <c r="F15"/>
      <c r="G15"/>
      <c r="L15" s="179" t="s">
        <v>118</v>
      </c>
      <c r="M15" s="179">
        <v>1</v>
      </c>
      <c r="N15" s="179">
        <v>51</v>
      </c>
      <c r="O15" s="179">
        <v>-0.09</v>
      </c>
      <c r="P15" s="179" t="s">
        <v>121</v>
      </c>
    </row>
    <row r="16" spans="1:16" x14ac:dyDescent="0.25">
      <c r="A16"/>
      <c r="B16"/>
      <c r="C16"/>
      <c r="D16"/>
      <c r="E16"/>
      <c r="F16"/>
      <c r="G16"/>
      <c r="L16" s="179" t="s">
        <v>133</v>
      </c>
      <c r="M16" s="179">
        <v>1</v>
      </c>
      <c r="N16" s="179">
        <v>39</v>
      </c>
      <c r="O16" s="179">
        <v>-0.02</v>
      </c>
      <c r="P16" s="179" t="s">
        <v>121</v>
      </c>
    </row>
    <row r="17" spans="1:16" x14ac:dyDescent="0.25">
      <c r="A17"/>
      <c r="B17"/>
      <c r="C17"/>
      <c r="D17"/>
      <c r="E17"/>
      <c r="F17"/>
      <c r="G17"/>
    </row>
    <row r="18" spans="1:16" x14ac:dyDescent="0.25">
      <c r="A18"/>
      <c r="B18"/>
      <c r="C18"/>
      <c r="D18"/>
      <c r="E18"/>
      <c r="F18"/>
      <c r="G18"/>
      <c r="L18" s="380" t="s">
        <v>58</v>
      </c>
      <c r="M18" s="380"/>
      <c r="N18" s="380"/>
      <c r="O18" s="380"/>
      <c r="P18" s="380"/>
    </row>
    <row r="19" spans="1:16" x14ac:dyDescent="0.25">
      <c r="A19"/>
      <c r="B19"/>
      <c r="C19"/>
      <c r="D19"/>
      <c r="E19"/>
      <c r="F19"/>
      <c r="G19"/>
      <c r="L19" s="180" t="s">
        <v>6</v>
      </c>
      <c r="M19" s="180" t="s">
        <v>72</v>
      </c>
      <c r="N19" s="180" t="s">
        <v>125</v>
      </c>
      <c r="O19" s="180" t="s">
        <v>137</v>
      </c>
      <c r="P19" s="180" t="s">
        <v>124</v>
      </c>
    </row>
    <row r="20" spans="1:16" x14ac:dyDescent="0.25">
      <c r="A20"/>
      <c r="B20"/>
      <c r="C20"/>
      <c r="D20"/>
      <c r="E20"/>
      <c r="F20"/>
      <c r="G20"/>
      <c r="L20" s="179" t="s">
        <v>126</v>
      </c>
      <c r="M20" s="179">
        <v>1</v>
      </c>
      <c r="N20" s="179">
        <v>67</v>
      </c>
      <c r="O20" s="179">
        <v>-0.02</v>
      </c>
      <c r="P20" s="179" t="s">
        <v>129</v>
      </c>
    </row>
    <row r="21" spans="1:16" x14ac:dyDescent="0.25">
      <c r="A21"/>
      <c r="B21"/>
      <c r="C21"/>
      <c r="D21"/>
      <c r="E21"/>
      <c r="F21"/>
      <c r="G21"/>
      <c r="L21" s="179" t="s">
        <v>114</v>
      </c>
      <c r="M21" s="179">
        <v>1</v>
      </c>
      <c r="N21" s="179">
        <v>73</v>
      </c>
      <c r="O21" s="179">
        <v>-0.08</v>
      </c>
      <c r="P21" s="179" t="s">
        <v>121</v>
      </c>
    </row>
    <row r="22" spans="1:16" x14ac:dyDescent="0.25">
      <c r="A22"/>
      <c r="B22"/>
      <c r="C22"/>
      <c r="D22"/>
      <c r="E22"/>
      <c r="F22"/>
      <c r="G22"/>
      <c r="L22" s="179" t="s">
        <v>146</v>
      </c>
      <c r="M22" s="179">
        <v>1</v>
      </c>
      <c r="N22" s="179">
        <v>58</v>
      </c>
      <c r="O22" s="179">
        <v>-0.06</v>
      </c>
      <c r="P22" s="179"/>
    </row>
    <row r="23" spans="1:16" x14ac:dyDescent="0.25">
      <c r="A23"/>
      <c r="B23"/>
      <c r="C23"/>
      <c r="D23"/>
      <c r="E23"/>
      <c r="F23"/>
      <c r="G23"/>
      <c r="L23" s="179" t="s">
        <v>147</v>
      </c>
      <c r="M23" s="179">
        <v>1</v>
      </c>
      <c r="N23" s="179">
        <v>60</v>
      </c>
      <c r="O23" s="179">
        <v>-1.4999999999999999E-2</v>
      </c>
      <c r="P23" s="179"/>
    </row>
    <row r="24" spans="1:16" x14ac:dyDescent="0.25">
      <c r="A24"/>
      <c r="B24"/>
      <c r="C24"/>
      <c r="D24"/>
      <c r="E24"/>
      <c r="F24"/>
      <c r="G24"/>
      <c r="L24" s="179" t="s">
        <v>148</v>
      </c>
      <c r="M24" s="179">
        <v>1</v>
      </c>
      <c r="N24" s="179">
        <v>58</v>
      </c>
      <c r="O24" s="179">
        <v>-1.4999999999999999E-2</v>
      </c>
      <c r="P24" s="179"/>
    </row>
    <row r="25" spans="1:16" x14ac:dyDescent="0.25">
      <c r="A25"/>
      <c r="B25"/>
      <c r="C25"/>
      <c r="D25"/>
      <c r="E25"/>
      <c r="F25"/>
      <c r="G25"/>
      <c r="L25" s="179" t="s">
        <v>128</v>
      </c>
      <c r="M25" s="179">
        <v>1</v>
      </c>
      <c r="N25" s="179">
        <v>65</v>
      </c>
      <c r="O25" s="179">
        <v>-0.15</v>
      </c>
      <c r="P25" s="179" t="s">
        <v>130</v>
      </c>
    </row>
    <row r="26" spans="1:16" x14ac:dyDescent="0.25">
      <c r="A26"/>
      <c r="B26"/>
      <c r="C26"/>
      <c r="D26"/>
      <c r="E26"/>
      <c r="F26"/>
      <c r="G26"/>
      <c r="L26" s="179" t="s">
        <v>131</v>
      </c>
      <c r="M26" s="179">
        <v>1</v>
      </c>
      <c r="N26" s="179">
        <v>62</v>
      </c>
      <c r="O26" s="179">
        <v>-0.05</v>
      </c>
      <c r="P26" s="179" t="s">
        <v>110</v>
      </c>
    </row>
    <row r="27" spans="1:16" x14ac:dyDescent="0.25">
      <c r="A27"/>
      <c r="B27"/>
      <c r="C27"/>
      <c r="D27"/>
      <c r="E27"/>
      <c r="F27"/>
      <c r="G27"/>
      <c r="L27" s="179" t="s">
        <v>127</v>
      </c>
      <c r="M27" s="179">
        <v>24</v>
      </c>
      <c r="N27" s="179">
        <v>72</v>
      </c>
      <c r="O27" s="179">
        <v>-0.08</v>
      </c>
      <c r="P27" s="179" t="s">
        <v>123</v>
      </c>
    </row>
    <row r="28" spans="1:16" x14ac:dyDescent="0.25">
      <c r="A28"/>
      <c r="B28"/>
      <c r="C28"/>
      <c r="D28"/>
      <c r="E28"/>
      <c r="F28"/>
      <c r="G28"/>
      <c r="L28" s="179" t="s">
        <v>149</v>
      </c>
      <c r="M28" s="179">
        <v>1</v>
      </c>
      <c r="N28" s="179">
        <v>57</v>
      </c>
      <c r="O28" s="179">
        <v>-0.02</v>
      </c>
      <c r="P28" s="179"/>
    </row>
    <row r="29" spans="1:16" x14ac:dyDescent="0.25">
      <c r="A29"/>
      <c r="B29"/>
      <c r="C29"/>
      <c r="D29"/>
      <c r="E29"/>
      <c r="F29"/>
      <c r="G29"/>
      <c r="L29" s="179" t="s">
        <v>150</v>
      </c>
      <c r="M29" s="179">
        <v>1</v>
      </c>
      <c r="N29" s="179">
        <v>58</v>
      </c>
      <c r="O29" s="179">
        <v>-0.02</v>
      </c>
      <c r="P29" s="179"/>
    </row>
    <row r="30" spans="1:16" x14ac:dyDescent="0.25">
      <c r="A30"/>
      <c r="B30"/>
      <c r="C30"/>
      <c r="D30"/>
      <c r="E30"/>
      <c r="F30"/>
      <c r="G30"/>
    </row>
    <row r="31" spans="1:16" x14ac:dyDescent="0.25">
      <c r="A31"/>
      <c r="B31"/>
      <c r="C31"/>
      <c r="D31"/>
      <c r="E31"/>
      <c r="F31"/>
      <c r="G31"/>
      <c r="L31" s="380" t="s">
        <v>89</v>
      </c>
      <c r="M31" s="380"/>
      <c r="N31" s="380"/>
      <c r="O31" s="380"/>
      <c r="P31" s="380"/>
    </row>
    <row r="32" spans="1:16" x14ac:dyDescent="0.25">
      <c r="A32"/>
      <c r="B32"/>
      <c r="C32"/>
      <c r="D32"/>
      <c r="E32"/>
      <c r="F32"/>
      <c r="G32"/>
      <c r="L32" s="180" t="s">
        <v>6</v>
      </c>
      <c r="M32" s="180" t="s">
        <v>72</v>
      </c>
      <c r="N32" s="180" t="s">
        <v>125</v>
      </c>
      <c r="O32" s="180" t="s">
        <v>137</v>
      </c>
      <c r="P32" s="180" t="s">
        <v>124</v>
      </c>
    </row>
    <row r="33" spans="1:16" x14ac:dyDescent="0.25">
      <c r="A33"/>
      <c r="B33"/>
      <c r="C33"/>
      <c r="D33"/>
      <c r="E33"/>
      <c r="F33"/>
      <c r="G33"/>
      <c r="L33" s="179" t="s">
        <v>131</v>
      </c>
      <c r="M33" s="179">
        <v>15</v>
      </c>
      <c r="N33" s="179">
        <v>83</v>
      </c>
      <c r="O33" s="179">
        <v>0</v>
      </c>
      <c r="P33" s="179" t="s">
        <v>132</v>
      </c>
    </row>
    <row r="34" spans="1:16" x14ac:dyDescent="0.25">
      <c r="A34"/>
      <c r="B34"/>
      <c r="C34"/>
      <c r="D34"/>
      <c r="E34"/>
      <c r="F34"/>
      <c r="G34"/>
      <c r="L34" s="179" t="s">
        <v>145</v>
      </c>
      <c r="M34" s="179">
        <v>1</v>
      </c>
      <c r="N34" s="179">
        <v>79</v>
      </c>
      <c r="O34" s="179">
        <v>-0.01</v>
      </c>
      <c r="P34" s="179"/>
    </row>
    <row r="35" spans="1:16" x14ac:dyDescent="0.25">
      <c r="A35"/>
      <c r="B35"/>
      <c r="C35"/>
      <c r="D35"/>
      <c r="E35"/>
      <c r="F35"/>
      <c r="G35"/>
      <c r="L35" s="179" t="s">
        <v>134</v>
      </c>
      <c r="M35" s="179">
        <v>1</v>
      </c>
      <c r="N35" s="179">
        <v>77</v>
      </c>
      <c r="O35" s="179">
        <v>-1.4999999999999999E-2</v>
      </c>
      <c r="P35" s="179" t="s">
        <v>135</v>
      </c>
    </row>
    <row r="36" spans="1:16" x14ac:dyDescent="0.25">
      <c r="A36"/>
      <c r="B36"/>
      <c r="C36"/>
      <c r="D36"/>
      <c r="E36"/>
      <c r="F36"/>
      <c r="G36"/>
    </row>
    <row r="37" spans="1:16" x14ac:dyDescent="0.25">
      <c r="A37"/>
      <c r="B37"/>
      <c r="C37"/>
      <c r="D37"/>
      <c r="E37"/>
      <c r="F37"/>
      <c r="G37"/>
    </row>
    <row r="38" spans="1:16" x14ac:dyDescent="0.25">
      <c r="A38"/>
      <c r="B38"/>
      <c r="C38"/>
      <c r="D38"/>
      <c r="E38"/>
      <c r="F38"/>
      <c r="G38"/>
    </row>
    <row r="39" spans="1:16" x14ac:dyDescent="0.25">
      <c r="A39"/>
      <c r="B39"/>
      <c r="C39"/>
      <c r="D39"/>
      <c r="E39"/>
      <c r="F39"/>
      <c r="G39"/>
    </row>
    <row r="40" spans="1:16" x14ac:dyDescent="0.25">
      <c r="A40"/>
      <c r="B40"/>
      <c r="C40"/>
      <c r="D40"/>
      <c r="E40"/>
      <c r="F40"/>
      <c r="G40"/>
    </row>
    <row r="41" spans="1:16" x14ac:dyDescent="0.25">
      <c r="A41"/>
      <c r="B41"/>
      <c r="C41"/>
      <c r="D41"/>
      <c r="E41"/>
      <c r="F41"/>
      <c r="G41"/>
    </row>
    <row r="42" spans="1:16" x14ac:dyDescent="0.25">
      <c r="A42"/>
      <c r="B42"/>
      <c r="C42"/>
      <c r="D42"/>
      <c r="E42"/>
      <c r="F42"/>
      <c r="G42"/>
    </row>
    <row r="43" spans="1:16" x14ac:dyDescent="0.25">
      <c r="A43"/>
      <c r="B43"/>
      <c r="C43"/>
      <c r="D43"/>
      <c r="E43"/>
      <c r="F43"/>
      <c r="G43"/>
    </row>
    <row r="44" spans="1:16" x14ac:dyDescent="0.25">
      <c r="A44"/>
      <c r="B44"/>
      <c r="C44"/>
      <c r="D44"/>
      <c r="E44"/>
      <c r="F44"/>
      <c r="G44"/>
    </row>
    <row r="45" spans="1:16" x14ac:dyDescent="0.25">
      <c r="A45"/>
      <c r="B45"/>
      <c r="C45"/>
      <c r="D45"/>
      <c r="E45"/>
      <c r="F45"/>
      <c r="G45"/>
    </row>
    <row r="46" spans="1:16" x14ac:dyDescent="0.25">
      <c r="A46"/>
      <c r="B46"/>
      <c r="C46"/>
      <c r="D46"/>
      <c r="E46"/>
      <c r="F46"/>
      <c r="G46"/>
    </row>
    <row r="47" spans="1:16" x14ac:dyDescent="0.25">
      <c r="A47"/>
      <c r="B47"/>
      <c r="C47"/>
      <c r="D47"/>
      <c r="E47"/>
      <c r="F47"/>
      <c r="G47"/>
    </row>
    <row r="48" spans="1:16" x14ac:dyDescent="0.25">
      <c r="A48"/>
      <c r="B48"/>
      <c r="C48"/>
      <c r="D48"/>
      <c r="E48"/>
      <c r="F48"/>
      <c r="G48"/>
    </row>
    <row r="49" spans="1:7" x14ac:dyDescent="0.25">
      <c r="A49"/>
      <c r="B49"/>
      <c r="C49"/>
      <c r="D49"/>
      <c r="E49"/>
      <c r="F49"/>
      <c r="G49"/>
    </row>
    <row r="50" spans="1:7" x14ac:dyDescent="0.25">
      <c r="A50"/>
      <c r="B50"/>
      <c r="C50"/>
      <c r="D50"/>
      <c r="E50"/>
      <c r="F50"/>
      <c r="G50"/>
    </row>
    <row r="51" spans="1:7" x14ac:dyDescent="0.25">
      <c r="A51"/>
      <c r="B51"/>
      <c r="C51"/>
      <c r="D51"/>
      <c r="E51"/>
      <c r="F51"/>
      <c r="G51"/>
    </row>
    <row r="52" spans="1:7" x14ac:dyDescent="0.25">
      <c r="A52"/>
      <c r="B52"/>
      <c r="C52"/>
      <c r="D52"/>
      <c r="E52"/>
      <c r="F52"/>
      <c r="G52"/>
    </row>
    <row r="53" spans="1:7" x14ac:dyDescent="0.25">
      <c r="A53"/>
      <c r="B53"/>
      <c r="C53"/>
      <c r="D53"/>
      <c r="E53"/>
      <c r="F53"/>
      <c r="G53"/>
    </row>
    <row r="54" spans="1:7" x14ac:dyDescent="0.25">
      <c r="A54"/>
      <c r="B54"/>
      <c r="C54"/>
      <c r="D54"/>
      <c r="E54"/>
      <c r="F54"/>
      <c r="G54"/>
    </row>
    <row r="55" spans="1:7" x14ac:dyDescent="0.25">
      <c r="A55"/>
      <c r="B55"/>
      <c r="C55"/>
      <c r="D55"/>
      <c r="E55"/>
      <c r="F55"/>
      <c r="G55"/>
    </row>
    <row r="56" spans="1:7" x14ac:dyDescent="0.25">
      <c r="A56"/>
      <c r="B56"/>
      <c r="C56"/>
      <c r="D56"/>
      <c r="E56"/>
      <c r="F56"/>
      <c r="G56"/>
    </row>
    <row r="57" spans="1:7" x14ac:dyDescent="0.25">
      <c r="A57"/>
      <c r="B57"/>
      <c r="C57"/>
      <c r="D57"/>
      <c r="E57"/>
      <c r="F57"/>
      <c r="G57"/>
    </row>
    <row r="58" spans="1:7" x14ac:dyDescent="0.25">
      <c r="A58"/>
      <c r="B58"/>
      <c r="C58"/>
      <c r="D58"/>
      <c r="E58"/>
      <c r="F58"/>
      <c r="G58"/>
    </row>
    <row r="59" spans="1:7" x14ac:dyDescent="0.25">
      <c r="A59"/>
      <c r="B59"/>
      <c r="C59"/>
      <c r="D59"/>
      <c r="E59"/>
      <c r="F59"/>
      <c r="G59"/>
    </row>
    <row r="60" spans="1:7" x14ac:dyDescent="0.25">
      <c r="A60"/>
      <c r="B60"/>
      <c r="C60"/>
      <c r="D60"/>
      <c r="E60"/>
      <c r="F60"/>
      <c r="G60"/>
    </row>
    <row r="61" spans="1:7" x14ac:dyDescent="0.25">
      <c r="A61"/>
      <c r="B61"/>
      <c r="C61"/>
      <c r="D61"/>
      <c r="E61"/>
      <c r="F61"/>
      <c r="G61"/>
    </row>
    <row r="62" spans="1:7" x14ac:dyDescent="0.25">
      <c r="A62"/>
      <c r="B62"/>
      <c r="C62"/>
      <c r="D62"/>
      <c r="E62"/>
      <c r="F62"/>
      <c r="G62"/>
    </row>
    <row r="63" spans="1:7" x14ac:dyDescent="0.25">
      <c r="A63"/>
      <c r="B63"/>
      <c r="C63"/>
      <c r="D63"/>
      <c r="E63"/>
      <c r="F63"/>
      <c r="G63"/>
    </row>
    <row r="64" spans="1:7" x14ac:dyDescent="0.25">
      <c r="A64"/>
      <c r="B64"/>
      <c r="C64"/>
      <c r="D64"/>
      <c r="E64"/>
      <c r="F64"/>
      <c r="G64"/>
    </row>
    <row r="65" spans="1:7" x14ac:dyDescent="0.25">
      <c r="A65"/>
      <c r="B65"/>
      <c r="C65"/>
      <c r="D65"/>
      <c r="E65"/>
      <c r="F65"/>
      <c r="G65"/>
    </row>
    <row r="66" spans="1:7" x14ac:dyDescent="0.25">
      <c r="A66"/>
      <c r="B66"/>
      <c r="C66"/>
      <c r="D66"/>
      <c r="E66"/>
      <c r="F66"/>
      <c r="G66"/>
    </row>
    <row r="67" spans="1:7" x14ac:dyDescent="0.25">
      <c r="A67"/>
      <c r="B67"/>
      <c r="C67"/>
      <c r="D67"/>
      <c r="E67"/>
      <c r="F67"/>
      <c r="G67"/>
    </row>
    <row r="68" spans="1:7" x14ac:dyDescent="0.25">
      <c r="A68"/>
      <c r="B68"/>
      <c r="C68"/>
      <c r="D68"/>
      <c r="E68"/>
      <c r="F68"/>
      <c r="G68"/>
    </row>
    <row r="69" spans="1:7" x14ac:dyDescent="0.25">
      <c r="A69"/>
      <c r="B69"/>
      <c r="C69"/>
      <c r="D69"/>
      <c r="E69"/>
      <c r="F69"/>
      <c r="G69"/>
    </row>
    <row r="70" spans="1:7" x14ac:dyDescent="0.25">
      <c r="A70"/>
      <c r="B70"/>
      <c r="C70"/>
      <c r="D70"/>
      <c r="E70"/>
      <c r="F70"/>
      <c r="G70"/>
    </row>
    <row r="71" spans="1:7" x14ac:dyDescent="0.25">
      <c r="A71"/>
      <c r="B71"/>
      <c r="C71"/>
      <c r="D71"/>
      <c r="E71"/>
      <c r="F71"/>
      <c r="G71"/>
    </row>
    <row r="72" spans="1:7" x14ac:dyDescent="0.25">
      <c r="A72"/>
      <c r="B72"/>
      <c r="C72"/>
      <c r="D72"/>
      <c r="E72"/>
      <c r="F72"/>
      <c r="G72"/>
    </row>
    <row r="73" spans="1:7" x14ac:dyDescent="0.25">
      <c r="A73"/>
      <c r="B73"/>
      <c r="C73"/>
      <c r="D73"/>
      <c r="E73"/>
      <c r="F73"/>
      <c r="G73"/>
    </row>
    <row r="74" spans="1:7" x14ac:dyDescent="0.25">
      <c r="A74"/>
      <c r="B74"/>
      <c r="C74"/>
      <c r="D74"/>
      <c r="E74"/>
      <c r="F74"/>
      <c r="G74"/>
    </row>
    <row r="75" spans="1:7" x14ac:dyDescent="0.25">
      <c r="A75"/>
      <c r="B75"/>
      <c r="C75"/>
      <c r="D75"/>
      <c r="E75"/>
      <c r="F75"/>
      <c r="G75"/>
    </row>
    <row r="76" spans="1:7" x14ac:dyDescent="0.25">
      <c r="A76"/>
      <c r="B76"/>
      <c r="C76"/>
      <c r="D76"/>
      <c r="E76"/>
      <c r="F76"/>
      <c r="G76"/>
    </row>
    <row r="77" spans="1:7" x14ac:dyDescent="0.25">
      <c r="A77"/>
      <c r="B77"/>
      <c r="C77"/>
      <c r="D77"/>
      <c r="E77"/>
      <c r="F77"/>
      <c r="G77"/>
    </row>
    <row r="78" spans="1:7" x14ac:dyDescent="0.25">
      <c r="A78"/>
      <c r="B78"/>
      <c r="C78"/>
      <c r="D78"/>
      <c r="E78"/>
      <c r="F78"/>
      <c r="G78"/>
    </row>
    <row r="79" spans="1:7" x14ac:dyDescent="0.25">
      <c r="A79"/>
      <c r="B79"/>
      <c r="C79"/>
      <c r="D79"/>
      <c r="E79"/>
      <c r="F79"/>
      <c r="G79"/>
    </row>
    <row r="80" spans="1:7" x14ac:dyDescent="0.25">
      <c r="A80"/>
      <c r="B80"/>
      <c r="C80"/>
      <c r="D80"/>
      <c r="E80"/>
      <c r="F80"/>
      <c r="G80"/>
    </row>
    <row r="81" spans="1:7" x14ac:dyDescent="0.25">
      <c r="A81"/>
      <c r="B81"/>
      <c r="C81"/>
      <c r="D81"/>
      <c r="E81"/>
      <c r="F81"/>
      <c r="G81"/>
    </row>
    <row r="82" spans="1:7" x14ac:dyDescent="0.25">
      <c r="A82"/>
      <c r="B82"/>
      <c r="C82"/>
      <c r="D82"/>
      <c r="E82"/>
      <c r="F82"/>
      <c r="G82"/>
    </row>
    <row r="83" spans="1:7" x14ac:dyDescent="0.25">
      <c r="A83"/>
      <c r="B83"/>
      <c r="C83"/>
      <c r="D83"/>
      <c r="E83"/>
      <c r="F83"/>
      <c r="G83"/>
    </row>
    <row r="84" spans="1:7" x14ac:dyDescent="0.25">
      <c r="A84"/>
      <c r="B84"/>
      <c r="C84"/>
      <c r="D84"/>
      <c r="E84"/>
      <c r="F84"/>
      <c r="G84"/>
    </row>
    <row r="85" spans="1:7" x14ac:dyDescent="0.25">
      <c r="A85"/>
      <c r="B85"/>
      <c r="C85"/>
      <c r="D85"/>
      <c r="E85"/>
      <c r="F85"/>
      <c r="G85"/>
    </row>
    <row r="86" spans="1:7" x14ac:dyDescent="0.25">
      <c r="A86"/>
      <c r="B86"/>
      <c r="C86"/>
      <c r="D86"/>
      <c r="E86"/>
      <c r="F86"/>
      <c r="G86"/>
    </row>
    <row r="87" spans="1:7" x14ac:dyDescent="0.25">
      <c r="A87"/>
      <c r="B87"/>
      <c r="C87"/>
      <c r="D87"/>
      <c r="E87"/>
      <c r="F87"/>
      <c r="G87"/>
    </row>
    <row r="88" spans="1:7" x14ac:dyDescent="0.25">
      <c r="A88"/>
      <c r="B88"/>
      <c r="C88"/>
      <c r="D88"/>
      <c r="E88"/>
      <c r="F88"/>
      <c r="G88"/>
    </row>
    <row r="89" spans="1:7" x14ac:dyDescent="0.25">
      <c r="A89"/>
      <c r="B89"/>
      <c r="C89"/>
      <c r="D89"/>
      <c r="E89"/>
      <c r="F89"/>
      <c r="G89"/>
    </row>
    <row r="90" spans="1:7" x14ac:dyDescent="0.25">
      <c r="A90"/>
      <c r="B90"/>
      <c r="C90"/>
      <c r="D90"/>
      <c r="E90"/>
      <c r="F90"/>
      <c r="G90"/>
    </row>
    <row r="91" spans="1:7" x14ac:dyDescent="0.25">
      <c r="A91"/>
      <c r="B91"/>
      <c r="C91"/>
      <c r="D91"/>
      <c r="E91"/>
      <c r="F91"/>
      <c r="G91"/>
    </row>
    <row r="92" spans="1:7" x14ac:dyDescent="0.25">
      <c r="A92"/>
      <c r="B92"/>
      <c r="C92"/>
      <c r="D92"/>
      <c r="E92"/>
      <c r="F92"/>
      <c r="G92"/>
    </row>
    <row r="93" spans="1:7" x14ac:dyDescent="0.25">
      <c r="A93"/>
      <c r="B93"/>
      <c r="C93"/>
      <c r="D93"/>
      <c r="E93"/>
      <c r="F93"/>
      <c r="G93"/>
    </row>
    <row r="94" spans="1:7" x14ac:dyDescent="0.25">
      <c r="A94"/>
      <c r="B94"/>
      <c r="C94"/>
      <c r="D94"/>
      <c r="E94"/>
      <c r="F94"/>
      <c r="G94"/>
    </row>
    <row r="95" spans="1:7" x14ac:dyDescent="0.25">
      <c r="A95"/>
      <c r="B95"/>
      <c r="C95"/>
      <c r="D95"/>
      <c r="E95"/>
      <c r="F95"/>
      <c r="G95"/>
    </row>
    <row r="96" spans="1:7" x14ac:dyDescent="0.25">
      <c r="A96"/>
      <c r="B96"/>
      <c r="C96"/>
      <c r="D96"/>
      <c r="E96"/>
      <c r="F96"/>
      <c r="G96"/>
    </row>
    <row r="97" spans="1:7" x14ac:dyDescent="0.25">
      <c r="A97"/>
      <c r="B97"/>
      <c r="C97"/>
      <c r="D97"/>
      <c r="E97"/>
      <c r="F97"/>
      <c r="G97"/>
    </row>
    <row r="98" spans="1:7" x14ac:dyDescent="0.25">
      <c r="A98"/>
      <c r="B98"/>
      <c r="C98"/>
      <c r="D98"/>
      <c r="E98"/>
      <c r="F98"/>
      <c r="G98"/>
    </row>
    <row r="99" spans="1:7" x14ac:dyDescent="0.25">
      <c r="A99"/>
      <c r="B99"/>
      <c r="C99"/>
      <c r="D99"/>
      <c r="E99"/>
      <c r="F99"/>
      <c r="G99"/>
    </row>
    <row r="100" spans="1:7" x14ac:dyDescent="0.25">
      <c r="A100"/>
      <c r="B100"/>
      <c r="C100"/>
      <c r="D100"/>
      <c r="E100"/>
      <c r="F100"/>
      <c r="G100"/>
    </row>
    <row r="101" spans="1:7" x14ac:dyDescent="0.25">
      <c r="A101"/>
      <c r="B101"/>
      <c r="C101"/>
      <c r="D101"/>
      <c r="E101"/>
      <c r="F101"/>
      <c r="G101"/>
    </row>
    <row r="102" spans="1:7" x14ac:dyDescent="0.25">
      <c r="A102"/>
      <c r="B102"/>
      <c r="C102"/>
      <c r="D102"/>
      <c r="E102"/>
      <c r="F102"/>
      <c r="G102"/>
    </row>
    <row r="103" spans="1:7" x14ac:dyDescent="0.25">
      <c r="A103"/>
      <c r="B103"/>
      <c r="C103"/>
      <c r="D103"/>
      <c r="E103"/>
      <c r="F103"/>
      <c r="G103"/>
    </row>
    <row r="104" spans="1:7" x14ac:dyDescent="0.25">
      <c r="A104"/>
      <c r="B104"/>
      <c r="C104"/>
      <c r="D104"/>
      <c r="E104"/>
      <c r="F104"/>
      <c r="G104"/>
    </row>
    <row r="105" spans="1:7" x14ac:dyDescent="0.25">
      <c r="A105"/>
      <c r="B105"/>
      <c r="C105"/>
      <c r="D105"/>
      <c r="E105"/>
      <c r="F105"/>
      <c r="G105"/>
    </row>
    <row r="106" spans="1:7" x14ac:dyDescent="0.25">
      <c r="A106"/>
      <c r="B106"/>
      <c r="C106"/>
      <c r="D106"/>
      <c r="E106"/>
      <c r="F106"/>
      <c r="G106"/>
    </row>
    <row r="107" spans="1:7" x14ac:dyDescent="0.25">
      <c r="A107"/>
      <c r="B107"/>
      <c r="C107"/>
      <c r="D107"/>
      <c r="E107"/>
      <c r="F107"/>
      <c r="G107"/>
    </row>
    <row r="108" spans="1:7" x14ac:dyDescent="0.25">
      <c r="A108"/>
      <c r="B108"/>
      <c r="C108"/>
      <c r="D108"/>
      <c r="E108"/>
      <c r="F108"/>
      <c r="G108"/>
    </row>
    <row r="109" spans="1:7" x14ac:dyDescent="0.25">
      <c r="A109"/>
      <c r="B109"/>
      <c r="C109"/>
      <c r="D109"/>
      <c r="E109"/>
      <c r="F109"/>
      <c r="G109"/>
    </row>
    <row r="110" spans="1:7" x14ac:dyDescent="0.25">
      <c r="A110"/>
      <c r="B110"/>
      <c r="C110"/>
      <c r="D110"/>
      <c r="E110"/>
      <c r="F110"/>
      <c r="G110"/>
    </row>
    <row r="111" spans="1:7" x14ac:dyDescent="0.25">
      <c r="A111"/>
      <c r="B111"/>
      <c r="C111"/>
      <c r="D111"/>
      <c r="E111"/>
      <c r="F111"/>
      <c r="G111"/>
    </row>
    <row r="112" spans="1:7" x14ac:dyDescent="0.25">
      <c r="A112"/>
      <c r="B112"/>
      <c r="C112"/>
      <c r="D112"/>
      <c r="E112"/>
      <c r="F112"/>
      <c r="G112" s="177"/>
    </row>
    <row r="113" spans="1:7" x14ac:dyDescent="0.25">
      <c r="A113"/>
      <c r="B113"/>
      <c r="C113"/>
      <c r="D113"/>
      <c r="E113"/>
      <c r="F113"/>
      <c r="G113" s="177"/>
    </row>
    <row r="114" spans="1:7" x14ac:dyDescent="0.25">
      <c r="A114"/>
      <c r="B114"/>
      <c r="C114"/>
      <c r="D114"/>
      <c r="E114"/>
      <c r="F114"/>
      <c r="G114" s="177"/>
    </row>
    <row r="115" spans="1:7" x14ac:dyDescent="0.25">
      <c r="A115"/>
      <c r="B115"/>
      <c r="C115"/>
      <c r="D115"/>
      <c r="E115"/>
      <c r="F115"/>
      <c r="G115" s="177"/>
    </row>
    <row r="116" spans="1:7" x14ac:dyDescent="0.25">
      <c r="A116"/>
      <c r="B116"/>
      <c r="C116"/>
      <c r="D116"/>
      <c r="E116"/>
      <c r="F116"/>
      <c r="G116" s="177"/>
    </row>
    <row r="117" spans="1:7" x14ac:dyDescent="0.25">
      <c r="A117"/>
      <c r="B117"/>
      <c r="C117"/>
      <c r="D117"/>
      <c r="E117"/>
      <c r="F117"/>
      <c r="G117" s="177"/>
    </row>
    <row r="118" spans="1:7" x14ac:dyDescent="0.25">
      <c r="A118"/>
      <c r="B118"/>
      <c r="C118"/>
      <c r="D118"/>
      <c r="E118"/>
      <c r="F118"/>
      <c r="G118" s="177"/>
    </row>
    <row r="119" spans="1:7" x14ac:dyDescent="0.25">
      <c r="A119"/>
      <c r="B119"/>
      <c r="C119"/>
      <c r="D119"/>
      <c r="E119"/>
      <c r="F119"/>
      <c r="G119" s="177"/>
    </row>
    <row r="120" spans="1:7" x14ac:dyDescent="0.25">
      <c r="A120"/>
      <c r="B120"/>
      <c r="C120"/>
      <c r="D120"/>
      <c r="E120"/>
      <c r="F120"/>
      <c r="G120" s="177"/>
    </row>
    <row r="121" spans="1:7" x14ac:dyDescent="0.25">
      <c r="A121"/>
      <c r="B121"/>
      <c r="C121"/>
      <c r="D121"/>
      <c r="E121"/>
      <c r="F121"/>
      <c r="G121" s="177"/>
    </row>
    <row r="122" spans="1:7" x14ac:dyDescent="0.25">
      <c r="A122"/>
      <c r="B122"/>
      <c r="C122"/>
      <c r="D122"/>
      <c r="E122"/>
      <c r="F122"/>
      <c r="G122" s="177"/>
    </row>
    <row r="123" spans="1:7" x14ac:dyDescent="0.25">
      <c r="A123"/>
      <c r="B123"/>
      <c r="C123"/>
      <c r="D123"/>
      <c r="E123"/>
      <c r="F123"/>
      <c r="G123" s="177"/>
    </row>
    <row r="124" spans="1:7" x14ac:dyDescent="0.25">
      <c r="A124"/>
      <c r="B124"/>
      <c r="C124"/>
      <c r="D124"/>
      <c r="E124"/>
      <c r="F124"/>
      <c r="G124" s="177"/>
    </row>
    <row r="125" spans="1:7" x14ac:dyDescent="0.25">
      <c r="A125"/>
      <c r="B125"/>
      <c r="C125"/>
      <c r="D125"/>
      <c r="E125"/>
      <c r="F125"/>
      <c r="G125" s="177"/>
    </row>
    <row r="126" spans="1:7" x14ac:dyDescent="0.25">
      <c r="A126"/>
      <c r="B126"/>
      <c r="C126"/>
      <c r="D126"/>
      <c r="E126"/>
      <c r="F126"/>
      <c r="G126" s="177"/>
    </row>
    <row r="127" spans="1:7" x14ac:dyDescent="0.25">
      <c r="A127"/>
      <c r="B127"/>
      <c r="C127"/>
      <c r="D127"/>
      <c r="E127"/>
      <c r="F127"/>
      <c r="G127" s="177"/>
    </row>
    <row r="128" spans="1:7" x14ac:dyDescent="0.25">
      <c r="A128"/>
      <c r="B128"/>
      <c r="C128"/>
      <c r="D128"/>
      <c r="E128"/>
      <c r="F128"/>
      <c r="G128" s="177"/>
    </row>
    <row r="129" spans="1:7" x14ac:dyDescent="0.25">
      <c r="A129"/>
      <c r="B129"/>
      <c r="C129"/>
      <c r="D129"/>
      <c r="E129"/>
      <c r="F129"/>
      <c r="G129" s="177"/>
    </row>
    <row r="130" spans="1:7" x14ac:dyDescent="0.25">
      <c r="A130"/>
      <c r="B130"/>
      <c r="C130"/>
      <c r="D130"/>
      <c r="E130"/>
      <c r="F130"/>
      <c r="G130" s="177"/>
    </row>
    <row r="131" spans="1:7" x14ac:dyDescent="0.25">
      <c r="A131"/>
      <c r="B131"/>
      <c r="C131"/>
      <c r="D131"/>
      <c r="E131"/>
      <c r="F131"/>
      <c r="G131" s="177"/>
    </row>
    <row r="132" spans="1:7" x14ac:dyDescent="0.25">
      <c r="A132"/>
      <c r="B132"/>
      <c r="C132"/>
      <c r="D132"/>
      <c r="E132"/>
      <c r="F132"/>
      <c r="G132" s="177"/>
    </row>
    <row r="133" spans="1:7" x14ac:dyDescent="0.25">
      <c r="A133"/>
      <c r="B133"/>
      <c r="C133"/>
      <c r="D133"/>
      <c r="E133"/>
      <c r="F133"/>
      <c r="G133" s="177"/>
    </row>
    <row r="134" spans="1:7" x14ac:dyDescent="0.25">
      <c r="A134"/>
      <c r="B134"/>
      <c r="C134"/>
      <c r="D134"/>
      <c r="E134"/>
      <c r="F134"/>
      <c r="G134" s="177"/>
    </row>
    <row r="135" spans="1:7" x14ac:dyDescent="0.25">
      <c r="A135"/>
      <c r="B135"/>
      <c r="C135"/>
      <c r="D135"/>
      <c r="E135"/>
      <c r="F135"/>
      <c r="G135" s="177"/>
    </row>
    <row r="136" spans="1:7" x14ac:dyDescent="0.25">
      <c r="A136"/>
      <c r="B136"/>
      <c r="C136"/>
      <c r="D136"/>
      <c r="E136"/>
      <c r="F136"/>
      <c r="G136" s="177"/>
    </row>
    <row r="137" spans="1:7" x14ac:dyDescent="0.25">
      <c r="A137"/>
      <c r="B137"/>
      <c r="C137"/>
      <c r="D137"/>
      <c r="E137"/>
      <c r="F137"/>
      <c r="G137" s="177"/>
    </row>
    <row r="138" spans="1:7" x14ac:dyDescent="0.25">
      <c r="A138"/>
      <c r="B138"/>
      <c r="C138"/>
      <c r="D138"/>
      <c r="E138"/>
      <c r="F138"/>
      <c r="G138" s="177"/>
    </row>
    <row r="139" spans="1:7" x14ac:dyDescent="0.25">
      <c r="A139"/>
      <c r="B139"/>
      <c r="C139"/>
      <c r="D139"/>
      <c r="E139"/>
      <c r="F139"/>
      <c r="G139" s="177"/>
    </row>
    <row r="140" spans="1:7" x14ac:dyDescent="0.25">
      <c r="A140"/>
      <c r="B140"/>
      <c r="C140"/>
      <c r="D140"/>
      <c r="E140"/>
      <c r="F140"/>
      <c r="G140" s="177"/>
    </row>
    <row r="141" spans="1:7" x14ac:dyDescent="0.25">
      <c r="A141"/>
      <c r="B141"/>
      <c r="C141"/>
      <c r="D141"/>
      <c r="E141"/>
      <c r="F141"/>
      <c r="G141" s="177"/>
    </row>
    <row r="142" spans="1:7" x14ac:dyDescent="0.25">
      <c r="A142"/>
      <c r="B142"/>
      <c r="C142"/>
      <c r="D142"/>
      <c r="E142"/>
      <c r="F142"/>
      <c r="G142" s="177"/>
    </row>
    <row r="143" spans="1:7" x14ac:dyDescent="0.25">
      <c r="A143"/>
      <c r="B143"/>
      <c r="C143"/>
      <c r="D143"/>
      <c r="E143"/>
      <c r="F143"/>
      <c r="G143" s="177"/>
    </row>
    <row r="144" spans="1:7" x14ac:dyDescent="0.25">
      <c r="A144"/>
      <c r="B144"/>
      <c r="C144"/>
      <c r="D144"/>
      <c r="E144"/>
      <c r="F144"/>
      <c r="G144" s="177"/>
    </row>
    <row r="145" spans="1:7" x14ac:dyDescent="0.25">
      <c r="A145"/>
      <c r="B145"/>
      <c r="C145"/>
      <c r="D145"/>
      <c r="E145"/>
      <c r="F145"/>
      <c r="G145" s="177"/>
    </row>
    <row r="146" spans="1:7" x14ac:dyDescent="0.25">
      <c r="A146"/>
      <c r="B146"/>
      <c r="C146"/>
      <c r="D146"/>
      <c r="E146"/>
      <c r="F146"/>
      <c r="G146" s="177"/>
    </row>
    <row r="147" spans="1:7" x14ac:dyDescent="0.25">
      <c r="A147"/>
      <c r="B147"/>
      <c r="C147"/>
      <c r="D147"/>
      <c r="E147"/>
      <c r="F147"/>
      <c r="G147" s="177"/>
    </row>
    <row r="148" spans="1:7" x14ac:dyDescent="0.25">
      <c r="A148"/>
      <c r="B148"/>
      <c r="C148"/>
      <c r="D148"/>
      <c r="E148"/>
      <c r="F148"/>
      <c r="G148" s="177"/>
    </row>
    <row r="149" spans="1:7" x14ac:dyDescent="0.25">
      <c r="A149"/>
      <c r="B149"/>
      <c r="C149"/>
      <c r="D149"/>
      <c r="E149"/>
      <c r="F149"/>
      <c r="G149" s="177"/>
    </row>
    <row r="150" spans="1:7" x14ac:dyDescent="0.25">
      <c r="A150"/>
      <c r="B150"/>
      <c r="C150"/>
      <c r="D150"/>
      <c r="E150"/>
      <c r="F150"/>
      <c r="G150" s="177"/>
    </row>
    <row r="151" spans="1:7" x14ac:dyDescent="0.25">
      <c r="A151"/>
      <c r="B151"/>
      <c r="C151"/>
      <c r="D151"/>
      <c r="E151"/>
      <c r="F151"/>
      <c r="G151" s="177"/>
    </row>
    <row r="152" spans="1:7" x14ac:dyDescent="0.25">
      <c r="A152"/>
      <c r="B152"/>
      <c r="C152"/>
      <c r="D152"/>
      <c r="E152"/>
      <c r="F152"/>
      <c r="G152" s="177"/>
    </row>
    <row r="153" spans="1:7" x14ac:dyDescent="0.25">
      <c r="A153"/>
      <c r="B153"/>
      <c r="C153"/>
      <c r="D153"/>
      <c r="E153"/>
      <c r="F153"/>
      <c r="G153" s="177"/>
    </row>
    <row r="154" spans="1:7" x14ac:dyDescent="0.25">
      <c r="A154"/>
      <c r="B154"/>
      <c r="C154"/>
      <c r="D154"/>
      <c r="E154"/>
      <c r="F154"/>
      <c r="G154" s="177"/>
    </row>
    <row r="155" spans="1:7" x14ac:dyDescent="0.25">
      <c r="A155"/>
      <c r="B155"/>
      <c r="C155"/>
      <c r="D155"/>
      <c r="E155"/>
      <c r="F155"/>
      <c r="G155" s="177"/>
    </row>
    <row r="156" spans="1:7" x14ac:dyDescent="0.25">
      <c r="A156"/>
      <c r="B156"/>
      <c r="C156"/>
      <c r="D156"/>
      <c r="E156"/>
      <c r="F156"/>
      <c r="G156" s="177"/>
    </row>
    <row r="157" spans="1:7" x14ac:dyDescent="0.25">
      <c r="A157"/>
      <c r="B157"/>
      <c r="C157"/>
      <c r="D157"/>
      <c r="E157"/>
      <c r="F157"/>
      <c r="G157" s="177"/>
    </row>
    <row r="158" spans="1:7" x14ac:dyDescent="0.25">
      <c r="A158"/>
      <c r="B158"/>
      <c r="C158"/>
      <c r="D158"/>
      <c r="E158"/>
      <c r="F158"/>
      <c r="G158" s="177"/>
    </row>
    <row r="159" spans="1:7" x14ac:dyDescent="0.25">
      <c r="A159"/>
      <c r="B159"/>
      <c r="C159"/>
      <c r="D159"/>
      <c r="E159"/>
      <c r="F159"/>
      <c r="G159" s="177"/>
    </row>
    <row r="160" spans="1:7" x14ac:dyDescent="0.25">
      <c r="A160"/>
      <c r="B160"/>
      <c r="C160"/>
      <c r="D160"/>
      <c r="E160"/>
      <c r="F160"/>
      <c r="G160" s="177"/>
    </row>
    <row r="161" spans="1:7" x14ac:dyDescent="0.25">
      <c r="A161"/>
      <c r="B161"/>
      <c r="C161"/>
      <c r="D161"/>
      <c r="E161"/>
      <c r="F161"/>
      <c r="G161" s="177"/>
    </row>
    <row r="162" spans="1:7" x14ac:dyDescent="0.25">
      <c r="A162"/>
      <c r="B162"/>
      <c r="C162"/>
      <c r="D162"/>
      <c r="E162"/>
      <c r="F162"/>
      <c r="G162" s="177"/>
    </row>
    <row r="163" spans="1:7" x14ac:dyDescent="0.25">
      <c r="A163" s="177"/>
      <c r="B163" s="177"/>
      <c r="C163" s="177"/>
      <c r="D163" s="177"/>
      <c r="E163" s="177"/>
    </row>
    <row r="164" spans="1:7" x14ac:dyDescent="0.25">
      <c r="A164" s="177"/>
      <c r="B164" s="177"/>
      <c r="C164" s="177"/>
      <c r="D164" s="177"/>
      <c r="E164" s="177"/>
    </row>
    <row r="165" spans="1:7" x14ac:dyDescent="0.25">
      <c r="A165" s="177"/>
      <c r="B165" s="177"/>
      <c r="C165" s="177"/>
      <c r="D165" s="177"/>
      <c r="E165" s="177"/>
    </row>
    <row r="166" spans="1:7" x14ac:dyDescent="0.25">
      <c r="A166" s="177"/>
      <c r="B166" s="177"/>
      <c r="C166" s="177"/>
      <c r="D166" s="177"/>
      <c r="E166" s="177"/>
    </row>
    <row r="167" spans="1:7" x14ac:dyDescent="0.25">
      <c r="A167" s="177"/>
      <c r="B167" s="177"/>
      <c r="C167" s="177"/>
      <c r="D167" s="177"/>
      <c r="E167" s="177"/>
    </row>
    <row r="168" spans="1:7" x14ac:dyDescent="0.25">
      <c r="A168" s="177"/>
      <c r="B168" s="177"/>
      <c r="C168" s="177"/>
      <c r="D168" s="177"/>
      <c r="E168" s="177"/>
    </row>
    <row r="169" spans="1:7" x14ac:dyDescent="0.25">
      <c r="A169" s="177"/>
      <c r="B169" s="177"/>
      <c r="C169" s="177"/>
      <c r="D169" s="177"/>
      <c r="E169" s="177"/>
    </row>
    <row r="170" spans="1:7" x14ac:dyDescent="0.25">
      <c r="A170" s="177"/>
      <c r="B170" s="177"/>
      <c r="C170" s="177"/>
      <c r="D170" s="177"/>
      <c r="E170" s="177"/>
    </row>
    <row r="171" spans="1:7" x14ac:dyDescent="0.25">
      <c r="A171" s="177"/>
      <c r="B171" s="177"/>
      <c r="C171" s="177"/>
      <c r="D171" s="177"/>
      <c r="E171" s="177"/>
    </row>
    <row r="172" spans="1:7" x14ac:dyDescent="0.25">
      <c r="A172" s="177"/>
      <c r="B172" s="177"/>
      <c r="C172" s="177"/>
      <c r="D172" s="177"/>
      <c r="E172" s="177"/>
    </row>
    <row r="173" spans="1:7" x14ac:dyDescent="0.25">
      <c r="A173" s="177"/>
      <c r="B173" s="177"/>
      <c r="C173" s="177"/>
      <c r="D173" s="177"/>
      <c r="E173" s="177"/>
    </row>
    <row r="174" spans="1:7" x14ac:dyDescent="0.25">
      <c r="A174" s="177"/>
      <c r="B174" s="177"/>
      <c r="C174" s="177"/>
      <c r="D174" s="177"/>
      <c r="E174" s="177"/>
    </row>
    <row r="175" spans="1:7" x14ac:dyDescent="0.25">
      <c r="A175" s="177"/>
      <c r="B175" s="177"/>
      <c r="C175" s="177"/>
      <c r="D175" s="177"/>
      <c r="E175" s="177"/>
    </row>
    <row r="176" spans="1:7" x14ac:dyDescent="0.25">
      <c r="A176" s="177"/>
      <c r="B176" s="177"/>
      <c r="C176" s="177"/>
      <c r="D176" s="177"/>
      <c r="E176" s="177"/>
    </row>
    <row r="177" spans="1:5" x14ac:dyDescent="0.25">
      <c r="A177" s="177"/>
      <c r="B177" s="177"/>
      <c r="C177" s="177"/>
      <c r="D177" s="177"/>
      <c r="E177" s="177"/>
    </row>
    <row r="178" spans="1:5" x14ac:dyDescent="0.25">
      <c r="A178" s="177"/>
      <c r="B178" s="177"/>
      <c r="C178" s="177"/>
      <c r="D178" s="177"/>
      <c r="E178" s="177"/>
    </row>
    <row r="179" spans="1:5" x14ac:dyDescent="0.25">
      <c r="A179" s="177"/>
      <c r="B179" s="177"/>
      <c r="C179" s="177"/>
      <c r="D179" s="177"/>
      <c r="E179" s="177"/>
    </row>
    <row r="180" spans="1:5" x14ac:dyDescent="0.25">
      <c r="A180" s="177"/>
      <c r="B180" s="177"/>
      <c r="C180" s="177"/>
      <c r="D180" s="177"/>
      <c r="E180" s="177"/>
    </row>
    <row r="181" spans="1:5" x14ac:dyDescent="0.25">
      <c r="A181" s="177"/>
      <c r="B181" s="177"/>
      <c r="C181" s="177"/>
      <c r="D181" s="177"/>
      <c r="E181" s="177"/>
    </row>
    <row r="182" spans="1:5" x14ac:dyDescent="0.25">
      <c r="A182" s="177"/>
      <c r="B182" s="177"/>
      <c r="C182" s="177"/>
      <c r="D182" s="177"/>
      <c r="E182" s="177"/>
    </row>
    <row r="183" spans="1:5" x14ac:dyDescent="0.25">
      <c r="A183" s="177"/>
      <c r="B183" s="177"/>
      <c r="C183" s="177"/>
      <c r="D183" s="177"/>
      <c r="E183" s="177"/>
    </row>
    <row r="184" spans="1:5" x14ac:dyDescent="0.25">
      <c r="A184" s="177"/>
      <c r="B184" s="177"/>
      <c r="C184" s="177"/>
      <c r="D184" s="177"/>
      <c r="E184" s="177"/>
    </row>
    <row r="185" spans="1:5" x14ac:dyDescent="0.25">
      <c r="A185" s="177"/>
      <c r="B185" s="177"/>
      <c r="C185" s="177"/>
      <c r="D185" s="177"/>
      <c r="E185" s="177"/>
    </row>
    <row r="186" spans="1:5" x14ac:dyDescent="0.25">
      <c r="A186" s="177"/>
      <c r="B186" s="177"/>
      <c r="C186" s="177"/>
      <c r="D186" s="177"/>
      <c r="E186" s="177"/>
    </row>
    <row r="187" spans="1:5" x14ac:dyDescent="0.25">
      <c r="A187" s="177"/>
      <c r="B187" s="177"/>
      <c r="C187" s="177"/>
      <c r="D187" s="177"/>
      <c r="E187" s="177"/>
    </row>
    <row r="188" spans="1:5" x14ac:dyDescent="0.25">
      <c r="A188" s="177"/>
      <c r="B188" s="177"/>
      <c r="C188" s="177"/>
      <c r="D188" s="177"/>
      <c r="E188" s="177"/>
    </row>
    <row r="189" spans="1:5" x14ac:dyDescent="0.25">
      <c r="A189" s="177"/>
      <c r="B189" s="177"/>
      <c r="C189" s="177"/>
      <c r="D189" s="177"/>
      <c r="E189" s="177"/>
    </row>
    <row r="190" spans="1:5" x14ac:dyDescent="0.25">
      <c r="A190" s="177"/>
      <c r="B190" s="177"/>
      <c r="C190" s="177"/>
      <c r="D190" s="177"/>
      <c r="E190" s="177"/>
    </row>
    <row r="191" spans="1:5" x14ac:dyDescent="0.25">
      <c r="A191" s="177"/>
      <c r="B191" s="177"/>
      <c r="C191" s="177"/>
      <c r="D191" s="177"/>
      <c r="E191" s="177"/>
    </row>
    <row r="192" spans="1:5" x14ac:dyDescent="0.25">
      <c r="A192" s="177"/>
      <c r="B192" s="177"/>
      <c r="C192" s="177"/>
      <c r="D192" s="177"/>
      <c r="E192" s="177"/>
    </row>
    <row r="193" spans="1:5" x14ac:dyDescent="0.25">
      <c r="A193" s="177"/>
      <c r="B193" s="177"/>
      <c r="C193" s="177"/>
      <c r="D193" s="177"/>
      <c r="E193" s="177"/>
    </row>
    <row r="194" spans="1:5" x14ac:dyDescent="0.25">
      <c r="A194" s="177"/>
      <c r="B194" s="177"/>
      <c r="C194" s="177"/>
      <c r="D194" s="177"/>
      <c r="E194" s="177"/>
    </row>
    <row r="195" spans="1:5" x14ac:dyDescent="0.25">
      <c r="A195" s="177"/>
      <c r="B195" s="177"/>
      <c r="C195" s="177"/>
      <c r="D195" s="177"/>
      <c r="E195" s="177"/>
    </row>
    <row r="196" spans="1:5" x14ac:dyDescent="0.25">
      <c r="A196" s="177"/>
      <c r="B196" s="177"/>
      <c r="C196" s="177"/>
      <c r="D196" s="177"/>
      <c r="E196" s="177"/>
    </row>
    <row r="197" spans="1:5" x14ac:dyDescent="0.25">
      <c r="A197" s="177"/>
      <c r="B197" s="177"/>
      <c r="C197" s="177"/>
      <c r="D197" s="177"/>
      <c r="E197" s="177"/>
    </row>
    <row r="198" spans="1:5" x14ac:dyDescent="0.25">
      <c r="A198" s="177"/>
      <c r="B198" s="177"/>
      <c r="C198" s="177"/>
      <c r="D198" s="177"/>
      <c r="E198" s="177"/>
    </row>
    <row r="199" spans="1:5" x14ac:dyDescent="0.25">
      <c r="A199" s="177"/>
      <c r="B199" s="177"/>
      <c r="C199" s="177"/>
      <c r="D199" s="177"/>
      <c r="E199" s="177"/>
    </row>
    <row r="200" spans="1:5" x14ac:dyDescent="0.25">
      <c r="A200" s="177"/>
      <c r="B200" s="177"/>
      <c r="C200" s="177"/>
      <c r="D200" s="177"/>
      <c r="E200" s="177"/>
    </row>
    <row r="201" spans="1:5" x14ac:dyDescent="0.25">
      <c r="A201" s="177"/>
      <c r="B201" s="177"/>
      <c r="C201" s="177"/>
      <c r="D201" s="177"/>
      <c r="E201" s="177"/>
    </row>
    <row r="202" spans="1:5" x14ac:dyDescent="0.25">
      <c r="A202" s="177"/>
      <c r="B202" s="177"/>
      <c r="C202" s="177"/>
      <c r="D202" s="177"/>
      <c r="E202" s="177"/>
    </row>
    <row r="203" spans="1:5" x14ac:dyDescent="0.25">
      <c r="A203" s="177"/>
      <c r="B203" s="177"/>
      <c r="C203" s="177"/>
      <c r="D203" s="177"/>
      <c r="E203" s="177"/>
    </row>
    <row r="204" spans="1:5" x14ac:dyDescent="0.25">
      <c r="A204" s="177"/>
      <c r="B204" s="177"/>
      <c r="C204" s="177"/>
      <c r="D204" s="177"/>
      <c r="E204" s="177"/>
    </row>
    <row r="205" spans="1:5" x14ac:dyDescent="0.25">
      <c r="A205" s="177"/>
      <c r="B205" s="177"/>
      <c r="C205" s="177"/>
      <c r="D205" s="177"/>
      <c r="E205" s="177"/>
    </row>
    <row r="206" spans="1:5" x14ac:dyDescent="0.25">
      <c r="A206" s="177"/>
      <c r="B206" s="177"/>
      <c r="C206" s="177"/>
      <c r="D206" s="177"/>
      <c r="E206" s="177"/>
    </row>
    <row r="207" spans="1:5" x14ac:dyDescent="0.25">
      <c r="A207" s="177"/>
      <c r="B207" s="177"/>
      <c r="C207" s="177"/>
      <c r="D207" s="177"/>
      <c r="E207" s="177"/>
    </row>
    <row r="208" spans="1:5" x14ac:dyDescent="0.25">
      <c r="A208" s="177"/>
      <c r="B208" s="177"/>
      <c r="C208" s="177"/>
      <c r="D208" s="177"/>
      <c r="E208" s="177"/>
    </row>
    <row r="209" spans="1:5" x14ac:dyDescent="0.25">
      <c r="A209" s="177"/>
      <c r="B209" s="177"/>
      <c r="C209" s="177"/>
      <c r="D209" s="177"/>
      <c r="E209" s="177"/>
    </row>
    <row r="210" spans="1:5" x14ac:dyDescent="0.25">
      <c r="A210" s="177"/>
      <c r="B210" s="177"/>
      <c r="C210" s="177"/>
      <c r="D210" s="177"/>
      <c r="E210" s="177"/>
    </row>
    <row r="211" spans="1:5" x14ac:dyDescent="0.25">
      <c r="A211" s="177"/>
      <c r="B211" s="177"/>
      <c r="C211" s="177"/>
      <c r="D211" s="177"/>
      <c r="E211" s="177"/>
    </row>
    <row r="212" spans="1:5" x14ac:dyDescent="0.25">
      <c r="A212" s="177"/>
      <c r="B212" s="177"/>
      <c r="C212" s="177"/>
      <c r="D212" s="177"/>
      <c r="E212" s="177"/>
    </row>
    <row r="213" spans="1:5" x14ac:dyDescent="0.25">
      <c r="A213" s="177"/>
      <c r="B213" s="177"/>
      <c r="C213" s="177"/>
      <c r="D213" s="177"/>
      <c r="E213" s="177"/>
    </row>
    <row r="214" spans="1:5" x14ac:dyDescent="0.25">
      <c r="A214" s="177"/>
      <c r="B214" s="177"/>
      <c r="C214" s="177"/>
      <c r="D214" s="177"/>
      <c r="E214" s="177"/>
    </row>
    <row r="215" spans="1:5" x14ac:dyDescent="0.25">
      <c r="A215" s="177"/>
      <c r="B215" s="177"/>
      <c r="C215" s="177"/>
      <c r="D215" s="177"/>
      <c r="E215" s="177"/>
    </row>
    <row r="216" spans="1:5" x14ac:dyDescent="0.25">
      <c r="A216" s="177"/>
      <c r="B216" s="177"/>
      <c r="C216" s="177"/>
      <c r="D216" s="177"/>
      <c r="E216" s="177"/>
    </row>
    <row r="217" spans="1:5" x14ac:dyDescent="0.25">
      <c r="A217" s="177"/>
      <c r="B217" s="177"/>
      <c r="C217" s="177"/>
      <c r="D217" s="177"/>
      <c r="E217" s="177"/>
    </row>
    <row r="218" spans="1:5" x14ac:dyDescent="0.25">
      <c r="A218" s="177"/>
      <c r="B218" s="177"/>
      <c r="C218" s="177"/>
      <c r="D218" s="177"/>
      <c r="E218" s="177"/>
    </row>
    <row r="219" spans="1:5" x14ac:dyDescent="0.25">
      <c r="A219" s="177"/>
      <c r="B219" s="177"/>
      <c r="C219" s="177"/>
      <c r="D219" s="177"/>
      <c r="E219" s="177"/>
    </row>
    <row r="220" spans="1:5" x14ac:dyDescent="0.25">
      <c r="A220" s="177"/>
      <c r="B220" s="177"/>
      <c r="C220" s="177"/>
      <c r="D220" s="177"/>
      <c r="E220" s="177"/>
    </row>
    <row r="221" spans="1:5" x14ac:dyDescent="0.25">
      <c r="A221" s="177"/>
      <c r="B221" s="177"/>
      <c r="C221" s="177"/>
      <c r="D221" s="177"/>
      <c r="E221" s="177"/>
    </row>
    <row r="222" spans="1:5" x14ac:dyDescent="0.25">
      <c r="A222" s="177"/>
      <c r="B222" s="177"/>
      <c r="C222" s="177"/>
      <c r="D222" s="177"/>
      <c r="E222" s="177"/>
    </row>
    <row r="223" spans="1:5" x14ac:dyDescent="0.25">
      <c r="A223" s="177"/>
      <c r="B223" s="177"/>
      <c r="C223" s="177"/>
      <c r="D223" s="177"/>
      <c r="E223" s="177"/>
    </row>
    <row r="224" spans="1:5" x14ac:dyDescent="0.25">
      <c r="A224" s="177"/>
      <c r="B224" s="177"/>
      <c r="C224" s="177"/>
      <c r="D224" s="177"/>
      <c r="E224" s="177"/>
    </row>
    <row r="225" spans="1:5" x14ac:dyDescent="0.25">
      <c r="A225" s="177"/>
      <c r="B225" s="177"/>
      <c r="C225" s="177"/>
      <c r="D225" s="177"/>
      <c r="E225" s="177"/>
    </row>
    <row r="226" spans="1:5" x14ac:dyDescent="0.25">
      <c r="A226" s="177"/>
      <c r="B226" s="177"/>
      <c r="C226" s="177"/>
    </row>
    <row r="227" spans="1:5" x14ac:dyDescent="0.25">
      <c r="A227" s="177"/>
      <c r="B227" s="177"/>
      <c r="C227" s="177"/>
    </row>
    <row r="228" spans="1:5" x14ac:dyDescent="0.25">
      <c r="A228" s="177"/>
      <c r="B228" s="177"/>
      <c r="C228" s="177"/>
    </row>
    <row r="229" spans="1:5" x14ac:dyDescent="0.25">
      <c r="A229" s="177"/>
      <c r="B229" s="177"/>
      <c r="C229" s="177"/>
    </row>
    <row r="230" spans="1:5" x14ac:dyDescent="0.25">
      <c r="A230" s="177"/>
      <c r="B230" s="177"/>
      <c r="C230" s="177"/>
    </row>
    <row r="231" spans="1:5" x14ac:dyDescent="0.25">
      <c r="A231" s="177"/>
      <c r="B231" s="177"/>
      <c r="C231" s="177"/>
    </row>
    <row r="232" spans="1:5" x14ac:dyDescent="0.25">
      <c r="A232" s="177"/>
      <c r="B232" s="177"/>
      <c r="C232" s="177"/>
    </row>
    <row r="233" spans="1:5" x14ac:dyDescent="0.25">
      <c r="A233" s="177"/>
      <c r="B233" s="177"/>
      <c r="C233" s="177"/>
    </row>
    <row r="234" spans="1:5" x14ac:dyDescent="0.25">
      <c r="A234" s="177"/>
      <c r="B234" s="177"/>
      <c r="C234" s="177"/>
    </row>
    <row r="235" spans="1:5" x14ac:dyDescent="0.25">
      <c r="A235" s="177"/>
      <c r="B235" s="177"/>
      <c r="C235" s="177"/>
    </row>
    <row r="236" spans="1:5" x14ac:dyDescent="0.25">
      <c r="A236" s="177"/>
      <c r="B236" s="177"/>
      <c r="C236" s="177"/>
    </row>
    <row r="237" spans="1:5" x14ac:dyDescent="0.25">
      <c r="A237" s="177"/>
      <c r="B237" s="177"/>
      <c r="C237" s="177"/>
    </row>
    <row r="238" spans="1:5" x14ac:dyDescent="0.25">
      <c r="A238" s="177"/>
      <c r="B238" s="177"/>
      <c r="C238" s="177"/>
    </row>
    <row r="239" spans="1:5" x14ac:dyDescent="0.25">
      <c r="A239" s="177"/>
      <c r="B239" s="177"/>
      <c r="C239" s="177"/>
    </row>
    <row r="240" spans="1:5" x14ac:dyDescent="0.25">
      <c r="A240" s="177"/>
      <c r="B240" s="177"/>
      <c r="C240" s="177"/>
    </row>
    <row r="241" spans="1:3" x14ac:dyDescent="0.25">
      <c r="A241" s="177"/>
      <c r="B241" s="177"/>
      <c r="C241" s="177"/>
    </row>
    <row r="242" spans="1:3" x14ac:dyDescent="0.25">
      <c r="A242" s="177"/>
      <c r="B242" s="177"/>
      <c r="C242" s="177"/>
    </row>
    <row r="243" spans="1:3" x14ac:dyDescent="0.25">
      <c r="A243" s="177"/>
      <c r="B243" s="177"/>
      <c r="C243" s="177"/>
    </row>
    <row r="244" spans="1:3" x14ac:dyDescent="0.25">
      <c r="A244" s="177"/>
      <c r="B244" s="177"/>
      <c r="C244" s="177"/>
    </row>
    <row r="245" spans="1:3" x14ac:dyDescent="0.25">
      <c r="A245" s="177"/>
      <c r="B245" s="177"/>
      <c r="C245" s="177"/>
    </row>
    <row r="246" spans="1:3" x14ac:dyDescent="0.25">
      <c r="A246" s="177"/>
      <c r="B246" s="177"/>
      <c r="C246" s="177"/>
    </row>
    <row r="247" spans="1:3" x14ac:dyDescent="0.25">
      <c r="A247" s="177"/>
      <c r="B247" s="177"/>
      <c r="C247" s="177"/>
    </row>
    <row r="248" spans="1:3" x14ac:dyDescent="0.25">
      <c r="A248" s="177"/>
      <c r="B248" s="177"/>
      <c r="C248" s="177"/>
    </row>
    <row r="249" spans="1:3" x14ac:dyDescent="0.25">
      <c r="A249" s="177"/>
      <c r="B249" s="177"/>
      <c r="C249" s="177"/>
    </row>
    <row r="250" spans="1:3" x14ac:dyDescent="0.25">
      <c r="A250" s="177"/>
      <c r="B250" s="177"/>
      <c r="C250" s="177"/>
    </row>
    <row r="251" spans="1:3" x14ac:dyDescent="0.25">
      <c r="A251" s="177"/>
      <c r="B251" s="177"/>
      <c r="C251" s="177"/>
    </row>
    <row r="252" spans="1:3" x14ac:dyDescent="0.25">
      <c r="A252" s="177"/>
      <c r="B252" s="177"/>
      <c r="C252" s="177"/>
    </row>
    <row r="253" spans="1:3" x14ac:dyDescent="0.25">
      <c r="A253" s="177"/>
      <c r="B253" s="177"/>
      <c r="C253" s="177"/>
    </row>
    <row r="254" spans="1:3" x14ac:dyDescent="0.25">
      <c r="A254" s="177"/>
      <c r="B254" s="177"/>
      <c r="C254" s="177"/>
    </row>
    <row r="255" spans="1:3" x14ac:dyDescent="0.25">
      <c r="A255" s="177"/>
      <c r="B255" s="177"/>
      <c r="C255" s="177"/>
    </row>
    <row r="256" spans="1:3" x14ac:dyDescent="0.25">
      <c r="A256" s="177"/>
      <c r="B256" s="177"/>
      <c r="C256" s="177"/>
    </row>
    <row r="257" spans="1:3" x14ac:dyDescent="0.25">
      <c r="A257" s="177"/>
      <c r="B257" s="177"/>
      <c r="C257" s="177"/>
    </row>
    <row r="258" spans="1:3" x14ac:dyDescent="0.25">
      <c r="A258" s="177"/>
      <c r="B258" s="177"/>
      <c r="C258" s="177"/>
    </row>
    <row r="259" spans="1:3" x14ac:dyDescent="0.25">
      <c r="A259" s="177"/>
      <c r="B259" s="177"/>
      <c r="C259" s="177"/>
    </row>
    <row r="260" spans="1:3" x14ac:dyDescent="0.25">
      <c r="A260" s="177"/>
      <c r="B260" s="177"/>
      <c r="C260" s="177"/>
    </row>
    <row r="261" spans="1:3" x14ac:dyDescent="0.25">
      <c r="A261" s="177"/>
      <c r="B261" s="177"/>
      <c r="C261" s="177"/>
    </row>
    <row r="262" spans="1:3" x14ac:dyDescent="0.25">
      <c r="A262" s="177"/>
      <c r="B262" s="177"/>
      <c r="C262" s="177"/>
    </row>
    <row r="263" spans="1:3" x14ac:dyDescent="0.25">
      <c r="A263" s="177"/>
      <c r="B263" s="177"/>
      <c r="C263" s="177"/>
    </row>
    <row r="264" spans="1:3" x14ac:dyDescent="0.25">
      <c r="A264" s="177"/>
      <c r="B264" s="177"/>
      <c r="C264" s="177"/>
    </row>
    <row r="265" spans="1:3" x14ac:dyDescent="0.25">
      <c r="A265" s="177"/>
      <c r="B265" s="177"/>
      <c r="C265" s="177"/>
    </row>
    <row r="266" spans="1:3" x14ac:dyDescent="0.25">
      <c r="A266" s="177"/>
      <c r="B266" s="177"/>
      <c r="C266" s="177"/>
    </row>
    <row r="267" spans="1:3" x14ac:dyDescent="0.25">
      <c r="A267" s="177"/>
      <c r="B267" s="177"/>
      <c r="C267" s="177"/>
    </row>
    <row r="268" spans="1:3" x14ac:dyDescent="0.25">
      <c r="A268" s="177"/>
      <c r="B268" s="177"/>
      <c r="C268" s="177"/>
    </row>
    <row r="269" spans="1:3" x14ac:dyDescent="0.25">
      <c r="A269" s="177"/>
      <c r="B269" s="177"/>
      <c r="C269" s="177"/>
    </row>
    <row r="270" spans="1:3" x14ac:dyDescent="0.25">
      <c r="A270" s="177"/>
      <c r="B270" s="177"/>
      <c r="C270" s="177"/>
    </row>
    <row r="271" spans="1:3" x14ac:dyDescent="0.25">
      <c r="A271" s="177"/>
      <c r="B271" s="177"/>
      <c r="C271" s="177"/>
    </row>
    <row r="272" spans="1:3" x14ac:dyDescent="0.25">
      <c r="A272" s="177"/>
      <c r="B272" s="177"/>
      <c r="C272" s="177"/>
    </row>
    <row r="273" spans="1:3" x14ac:dyDescent="0.25">
      <c r="A273" s="177"/>
      <c r="B273" s="177"/>
      <c r="C273" s="177"/>
    </row>
    <row r="274" spans="1:3" x14ac:dyDescent="0.25">
      <c r="A274" s="177"/>
      <c r="B274" s="177"/>
      <c r="C274" s="177"/>
    </row>
    <row r="275" spans="1:3" x14ac:dyDescent="0.25">
      <c r="A275" s="177"/>
      <c r="B275" s="177"/>
      <c r="C275" s="177"/>
    </row>
    <row r="276" spans="1:3" x14ac:dyDescent="0.25">
      <c r="A276" s="177"/>
      <c r="B276" s="177"/>
      <c r="C276" s="177"/>
    </row>
    <row r="277" spans="1:3" x14ac:dyDescent="0.25">
      <c r="A277" s="177"/>
      <c r="B277" s="177"/>
      <c r="C277" s="177"/>
    </row>
    <row r="278" spans="1:3" x14ac:dyDescent="0.25">
      <c r="A278" s="177"/>
      <c r="B278" s="177"/>
      <c r="C278" s="177"/>
    </row>
    <row r="279" spans="1:3" x14ac:dyDescent="0.25">
      <c r="A279" s="177"/>
      <c r="B279" s="177"/>
      <c r="C279" s="177"/>
    </row>
    <row r="280" spans="1:3" x14ac:dyDescent="0.25">
      <c r="A280" s="177"/>
      <c r="B280" s="177"/>
      <c r="C280" s="177"/>
    </row>
    <row r="281" spans="1:3" x14ac:dyDescent="0.25">
      <c r="A281" s="177"/>
      <c r="B281" s="177"/>
      <c r="C281" s="177"/>
    </row>
    <row r="282" spans="1:3" x14ac:dyDescent="0.25">
      <c r="A282" s="177"/>
      <c r="B282" s="177"/>
      <c r="C282" s="177"/>
    </row>
    <row r="283" spans="1:3" x14ac:dyDescent="0.25">
      <c r="A283" s="177"/>
      <c r="B283" s="177"/>
      <c r="C283" s="177"/>
    </row>
    <row r="284" spans="1:3" x14ac:dyDescent="0.25">
      <c r="A284" s="177"/>
      <c r="B284" s="177"/>
      <c r="C284" s="177"/>
    </row>
    <row r="285" spans="1:3" x14ac:dyDescent="0.25">
      <c r="A285" s="177"/>
      <c r="B285" s="177"/>
      <c r="C285" s="177"/>
    </row>
    <row r="286" spans="1:3" x14ac:dyDescent="0.25">
      <c r="A286" s="177"/>
      <c r="B286" s="177"/>
      <c r="C286" s="177"/>
    </row>
    <row r="287" spans="1:3" x14ac:dyDescent="0.25">
      <c r="A287" s="177"/>
      <c r="B287" s="177"/>
      <c r="C287" s="177"/>
    </row>
    <row r="288" spans="1:3" x14ac:dyDescent="0.25">
      <c r="A288" s="177"/>
      <c r="B288" s="177"/>
      <c r="C288" s="177"/>
    </row>
    <row r="289" spans="1:3" x14ac:dyDescent="0.25">
      <c r="A289" s="177"/>
      <c r="B289" s="177"/>
      <c r="C289" s="177"/>
    </row>
    <row r="290" spans="1:3" x14ac:dyDescent="0.25">
      <c r="A290" s="177"/>
      <c r="B290" s="177"/>
      <c r="C290" s="177"/>
    </row>
    <row r="291" spans="1:3" x14ac:dyDescent="0.25">
      <c r="A291" s="177"/>
      <c r="B291" s="177"/>
      <c r="C291" s="177"/>
    </row>
    <row r="292" spans="1:3" x14ac:dyDescent="0.25">
      <c r="A292" s="177"/>
      <c r="B292" s="177"/>
      <c r="C292" s="177"/>
    </row>
    <row r="293" spans="1:3" x14ac:dyDescent="0.25">
      <c r="A293" s="177"/>
      <c r="B293" s="177"/>
      <c r="C293" s="177"/>
    </row>
    <row r="294" spans="1:3" x14ac:dyDescent="0.25">
      <c r="A294" s="177"/>
      <c r="B294" s="177"/>
      <c r="C294" s="177"/>
    </row>
    <row r="295" spans="1:3" x14ac:dyDescent="0.25">
      <c r="A295" s="177"/>
      <c r="B295" s="177"/>
      <c r="C295" s="177"/>
    </row>
    <row r="296" spans="1:3" x14ac:dyDescent="0.25">
      <c r="A296" s="177"/>
      <c r="B296" s="177"/>
      <c r="C296" s="177"/>
    </row>
    <row r="297" spans="1:3" x14ac:dyDescent="0.25">
      <c r="A297" s="177"/>
      <c r="B297" s="177"/>
      <c r="C297" s="177"/>
    </row>
    <row r="298" spans="1:3" x14ac:dyDescent="0.25">
      <c r="A298" s="177"/>
      <c r="B298" s="177"/>
      <c r="C298" s="177"/>
    </row>
    <row r="299" spans="1:3" x14ac:dyDescent="0.25">
      <c r="A299" s="177"/>
      <c r="B299" s="177"/>
      <c r="C299" s="177"/>
    </row>
    <row r="300" spans="1:3" x14ac:dyDescent="0.25">
      <c r="A300" s="177"/>
      <c r="B300" s="177"/>
      <c r="C300" s="177"/>
    </row>
    <row r="301" spans="1:3" x14ac:dyDescent="0.25">
      <c r="A301" s="177"/>
      <c r="B301" s="177"/>
      <c r="C301" s="177"/>
    </row>
    <row r="302" spans="1:3" x14ac:dyDescent="0.25">
      <c r="A302" s="177"/>
      <c r="B302" s="177"/>
      <c r="C302" s="177"/>
    </row>
    <row r="303" spans="1:3" x14ac:dyDescent="0.25">
      <c r="A303" s="177"/>
      <c r="B303" s="177"/>
      <c r="C303" s="177"/>
    </row>
    <row r="304" spans="1:3" x14ac:dyDescent="0.25">
      <c r="A304" s="177"/>
      <c r="B304" s="177"/>
      <c r="C304" s="177"/>
    </row>
    <row r="305" spans="1:3" x14ac:dyDescent="0.25">
      <c r="A305" s="177"/>
      <c r="B305" s="177"/>
      <c r="C305" s="177"/>
    </row>
    <row r="306" spans="1:3" x14ac:dyDescent="0.25">
      <c r="A306" s="177"/>
      <c r="B306" s="177"/>
      <c r="C306" s="177"/>
    </row>
    <row r="307" spans="1:3" x14ac:dyDescent="0.25">
      <c r="A307" s="177"/>
      <c r="B307" s="177"/>
      <c r="C307" s="177"/>
    </row>
    <row r="308" spans="1:3" x14ac:dyDescent="0.25">
      <c r="A308" s="177"/>
      <c r="B308" s="177"/>
      <c r="C308" s="177"/>
    </row>
    <row r="309" spans="1:3" x14ac:dyDescent="0.25">
      <c r="A309" s="177"/>
      <c r="B309" s="177"/>
      <c r="C309" s="177"/>
    </row>
    <row r="310" spans="1:3" x14ac:dyDescent="0.25">
      <c r="A310" s="177"/>
      <c r="B310" s="177"/>
      <c r="C310" s="177"/>
    </row>
    <row r="311" spans="1:3" x14ac:dyDescent="0.25">
      <c r="A311" s="177"/>
      <c r="B311" s="177"/>
      <c r="C311" s="177"/>
    </row>
    <row r="312" spans="1:3" x14ac:dyDescent="0.25">
      <c r="A312" s="177"/>
      <c r="B312" s="177"/>
      <c r="C312" s="177"/>
    </row>
    <row r="313" spans="1:3" x14ac:dyDescent="0.25">
      <c r="A313" s="177"/>
      <c r="B313" s="177"/>
      <c r="C313" s="177"/>
    </row>
    <row r="314" spans="1:3" x14ac:dyDescent="0.25">
      <c r="A314" s="177"/>
      <c r="B314" s="177"/>
      <c r="C314" s="177"/>
    </row>
    <row r="315" spans="1:3" x14ac:dyDescent="0.25">
      <c r="A315" s="177"/>
      <c r="B315" s="177"/>
      <c r="C315" s="177"/>
    </row>
    <row r="316" spans="1:3" x14ac:dyDescent="0.25">
      <c r="A316" s="177"/>
      <c r="B316" s="177"/>
      <c r="C316" s="177"/>
    </row>
    <row r="317" spans="1:3" x14ac:dyDescent="0.25">
      <c r="A317" s="177"/>
      <c r="B317" s="177"/>
      <c r="C317" s="177"/>
    </row>
    <row r="318" spans="1:3" x14ac:dyDescent="0.25">
      <c r="A318" s="177"/>
      <c r="B318" s="177"/>
      <c r="C318" s="177"/>
    </row>
    <row r="319" spans="1:3" x14ac:dyDescent="0.25">
      <c r="A319" s="177"/>
      <c r="B319" s="177"/>
      <c r="C319" s="177"/>
    </row>
    <row r="320" spans="1:3" x14ac:dyDescent="0.25">
      <c r="A320" s="177"/>
      <c r="B320" s="177"/>
      <c r="C320" s="177"/>
    </row>
    <row r="321" spans="1:3" x14ac:dyDescent="0.25">
      <c r="A321" s="177"/>
      <c r="B321" s="177"/>
      <c r="C321" s="177"/>
    </row>
    <row r="322" spans="1:3" x14ac:dyDescent="0.25">
      <c r="A322" s="177"/>
      <c r="B322" s="177"/>
      <c r="C322" s="177"/>
    </row>
    <row r="323" spans="1:3" x14ac:dyDescent="0.25">
      <c r="A323" s="177"/>
      <c r="B323" s="177"/>
      <c r="C323" s="177"/>
    </row>
    <row r="324" spans="1:3" x14ac:dyDescent="0.25">
      <c r="A324" s="177"/>
      <c r="B324" s="177"/>
      <c r="C324" s="177"/>
    </row>
    <row r="325" spans="1:3" x14ac:dyDescent="0.25">
      <c r="A325" s="177"/>
      <c r="B325" s="177"/>
      <c r="C325" s="177"/>
    </row>
    <row r="326" spans="1:3" x14ac:dyDescent="0.25">
      <c r="A326" s="177"/>
      <c r="B326" s="177"/>
      <c r="C326" s="177"/>
    </row>
    <row r="327" spans="1:3" x14ac:dyDescent="0.25">
      <c r="A327" s="177"/>
      <c r="B327" s="177"/>
      <c r="C327" s="177"/>
    </row>
    <row r="328" spans="1:3" x14ac:dyDescent="0.25">
      <c r="A328" s="177"/>
      <c r="B328" s="177"/>
      <c r="C328" s="177"/>
    </row>
    <row r="329" spans="1:3" x14ac:dyDescent="0.25">
      <c r="A329" s="177"/>
      <c r="B329" s="177"/>
      <c r="C329" s="177"/>
    </row>
    <row r="330" spans="1:3" x14ac:dyDescent="0.25">
      <c r="A330" s="177"/>
      <c r="B330" s="177"/>
      <c r="C330" s="177"/>
    </row>
    <row r="331" spans="1:3" x14ac:dyDescent="0.25">
      <c r="A331" s="177"/>
      <c r="B331" s="177"/>
      <c r="C331" s="177"/>
    </row>
    <row r="332" spans="1:3" x14ac:dyDescent="0.25">
      <c r="A332" s="177"/>
      <c r="B332" s="177"/>
      <c r="C332" s="177"/>
    </row>
    <row r="333" spans="1:3" x14ac:dyDescent="0.25">
      <c r="A333" s="177"/>
      <c r="B333" s="177"/>
      <c r="C333" s="177"/>
    </row>
    <row r="334" spans="1:3" x14ac:dyDescent="0.25">
      <c r="A334" s="177"/>
      <c r="B334" s="177"/>
      <c r="C334" s="177"/>
    </row>
    <row r="335" spans="1:3" x14ac:dyDescent="0.25">
      <c r="A335" s="177"/>
      <c r="B335" s="177"/>
      <c r="C335" s="177"/>
    </row>
    <row r="336" spans="1:3" x14ac:dyDescent="0.25">
      <c r="A336" s="177"/>
      <c r="B336" s="177"/>
      <c r="C336" s="177"/>
    </row>
    <row r="337" spans="1:3" x14ac:dyDescent="0.25">
      <c r="A337" s="177"/>
      <c r="B337" s="177"/>
      <c r="C337" s="177"/>
    </row>
    <row r="338" spans="1:3" x14ac:dyDescent="0.25">
      <c r="A338" s="177"/>
      <c r="B338" s="177"/>
      <c r="C338" s="177"/>
    </row>
    <row r="339" spans="1:3" x14ac:dyDescent="0.25">
      <c r="A339" s="177"/>
      <c r="B339" s="177"/>
      <c r="C339" s="177"/>
    </row>
    <row r="340" spans="1:3" x14ac:dyDescent="0.25">
      <c r="A340" s="177"/>
      <c r="B340" s="177"/>
      <c r="C340" s="177"/>
    </row>
    <row r="341" spans="1:3" x14ac:dyDescent="0.25">
      <c r="A341" s="177"/>
      <c r="B341" s="177"/>
      <c r="C341" s="177"/>
    </row>
    <row r="342" spans="1:3" x14ac:dyDescent="0.25">
      <c r="A342" s="177"/>
      <c r="B342" s="177"/>
      <c r="C342" s="177"/>
    </row>
    <row r="343" spans="1:3" x14ac:dyDescent="0.25">
      <c r="A343" s="177"/>
      <c r="B343" s="177"/>
      <c r="C343" s="177"/>
    </row>
    <row r="344" spans="1:3" x14ac:dyDescent="0.25">
      <c r="A344" s="177"/>
      <c r="B344" s="177"/>
      <c r="C344" s="177"/>
    </row>
    <row r="345" spans="1:3" x14ac:dyDescent="0.25">
      <c r="A345" s="177"/>
      <c r="B345" s="177"/>
      <c r="C345" s="177"/>
    </row>
    <row r="346" spans="1:3" x14ac:dyDescent="0.25">
      <c r="A346" s="177"/>
      <c r="B346" s="177"/>
      <c r="C346" s="177"/>
    </row>
    <row r="347" spans="1:3" x14ac:dyDescent="0.25">
      <c r="A347" s="177"/>
      <c r="B347" s="177"/>
      <c r="C347" s="177"/>
    </row>
    <row r="348" spans="1:3" x14ac:dyDescent="0.25">
      <c r="A348" s="177"/>
      <c r="B348" s="177"/>
      <c r="C348" s="177"/>
    </row>
    <row r="349" spans="1:3" x14ac:dyDescent="0.25">
      <c r="A349" s="177"/>
      <c r="B349" s="177"/>
      <c r="C349" s="177"/>
    </row>
    <row r="350" spans="1:3" x14ac:dyDescent="0.25">
      <c r="A350" s="177"/>
      <c r="B350" s="177"/>
      <c r="C350" s="177"/>
    </row>
    <row r="351" spans="1:3" x14ac:dyDescent="0.25">
      <c r="A351" s="177"/>
      <c r="B351" s="177"/>
      <c r="C351" s="177"/>
    </row>
    <row r="352" spans="1:3" x14ac:dyDescent="0.25">
      <c r="A352" s="177"/>
      <c r="B352" s="177"/>
      <c r="C352" s="177"/>
    </row>
    <row r="353" spans="1:3" x14ac:dyDescent="0.25">
      <c r="A353" s="177"/>
      <c r="B353" s="177"/>
      <c r="C353" s="177"/>
    </row>
    <row r="354" spans="1:3" x14ac:dyDescent="0.25">
      <c r="A354" s="177"/>
      <c r="B354" s="177"/>
      <c r="C354" s="177"/>
    </row>
    <row r="355" spans="1:3" x14ac:dyDescent="0.25">
      <c r="A355" s="177"/>
      <c r="B355" s="177"/>
      <c r="C355" s="177"/>
    </row>
    <row r="356" spans="1:3" x14ac:dyDescent="0.25">
      <c r="A356" s="177"/>
      <c r="B356" s="177"/>
      <c r="C356" s="177"/>
    </row>
    <row r="357" spans="1:3" x14ac:dyDescent="0.25">
      <c r="A357" s="177"/>
      <c r="B357" s="177"/>
      <c r="C357" s="177"/>
    </row>
    <row r="358" spans="1:3" x14ac:dyDescent="0.25">
      <c r="A358" s="177"/>
      <c r="B358" s="177"/>
      <c r="C358" s="177"/>
    </row>
    <row r="359" spans="1:3" x14ac:dyDescent="0.25">
      <c r="A359" s="177"/>
      <c r="B359" s="177"/>
      <c r="C359" s="177"/>
    </row>
    <row r="360" spans="1:3" x14ac:dyDescent="0.25">
      <c r="A360" s="177"/>
      <c r="B360" s="177"/>
      <c r="C360" s="177"/>
    </row>
    <row r="361" spans="1:3" x14ac:dyDescent="0.25">
      <c r="A361" s="177"/>
      <c r="B361" s="177"/>
      <c r="C361" s="177"/>
    </row>
    <row r="362" spans="1:3" x14ac:dyDescent="0.25">
      <c r="A362" s="177"/>
      <c r="B362" s="177"/>
      <c r="C362" s="177"/>
    </row>
    <row r="363" spans="1:3" x14ac:dyDescent="0.25">
      <c r="A363" s="177"/>
      <c r="B363" s="177"/>
      <c r="C363" s="177"/>
    </row>
    <row r="364" spans="1:3" x14ac:dyDescent="0.25">
      <c r="A364" s="177"/>
      <c r="B364" s="177"/>
      <c r="C364" s="177"/>
    </row>
    <row r="365" spans="1:3" x14ac:dyDescent="0.25">
      <c r="A365" s="177"/>
      <c r="B365" s="177"/>
      <c r="C365" s="177"/>
    </row>
    <row r="366" spans="1:3" x14ac:dyDescent="0.25">
      <c r="A366" s="177"/>
      <c r="B366" s="177"/>
      <c r="C366" s="177"/>
    </row>
    <row r="367" spans="1:3" x14ac:dyDescent="0.25">
      <c r="A367" s="177"/>
      <c r="B367" s="177"/>
      <c r="C367" s="177"/>
    </row>
    <row r="368" spans="1:3" x14ac:dyDescent="0.25">
      <c r="A368" s="177"/>
      <c r="B368" s="177"/>
      <c r="C368" s="177"/>
    </row>
    <row r="369" spans="1:3" x14ac:dyDescent="0.25">
      <c r="A369" s="177"/>
      <c r="B369" s="177"/>
      <c r="C369" s="177"/>
    </row>
    <row r="370" spans="1:3" x14ac:dyDescent="0.25">
      <c r="A370" s="177"/>
      <c r="B370" s="177"/>
      <c r="C370" s="177"/>
    </row>
    <row r="371" spans="1:3" x14ac:dyDescent="0.25">
      <c r="A371" s="177"/>
      <c r="B371" s="177"/>
      <c r="C371" s="177"/>
    </row>
    <row r="372" spans="1:3" x14ac:dyDescent="0.25">
      <c r="A372" s="177"/>
      <c r="B372" s="177"/>
      <c r="C372" s="177"/>
    </row>
    <row r="373" spans="1:3" x14ac:dyDescent="0.25">
      <c r="A373" s="177"/>
      <c r="B373" s="177"/>
      <c r="C373" s="177"/>
    </row>
    <row r="374" spans="1:3" x14ac:dyDescent="0.25">
      <c r="A374" s="177"/>
      <c r="B374" s="177"/>
      <c r="C374" s="177"/>
    </row>
    <row r="375" spans="1:3" x14ac:dyDescent="0.25">
      <c r="A375" s="177"/>
      <c r="B375" s="177"/>
      <c r="C375" s="177"/>
    </row>
    <row r="376" spans="1:3" x14ac:dyDescent="0.25">
      <c r="A376" s="177"/>
      <c r="B376" s="177"/>
      <c r="C376" s="177"/>
    </row>
    <row r="377" spans="1:3" x14ac:dyDescent="0.25">
      <c r="A377" s="177"/>
      <c r="B377" s="177"/>
      <c r="C377" s="177"/>
    </row>
    <row r="378" spans="1:3" x14ac:dyDescent="0.25">
      <c r="A378" s="177"/>
      <c r="B378" s="177"/>
      <c r="C378" s="177"/>
    </row>
    <row r="379" spans="1:3" x14ac:dyDescent="0.25">
      <c r="A379" s="177"/>
      <c r="B379" s="177"/>
      <c r="C379" s="177"/>
    </row>
    <row r="380" spans="1:3" x14ac:dyDescent="0.25">
      <c r="A380" s="177"/>
      <c r="B380" s="177"/>
      <c r="C380" s="177"/>
    </row>
    <row r="381" spans="1:3" x14ac:dyDescent="0.25">
      <c r="A381" s="177"/>
      <c r="B381" s="177"/>
      <c r="C381" s="177"/>
    </row>
    <row r="382" spans="1:3" x14ac:dyDescent="0.25">
      <c r="A382" s="177"/>
      <c r="B382" s="177"/>
      <c r="C382" s="177"/>
    </row>
    <row r="383" spans="1:3" x14ac:dyDescent="0.25">
      <c r="A383" s="177"/>
      <c r="B383" s="177"/>
      <c r="C383" s="177"/>
    </row>
    <row r="384" spans="1:3" x14ac:dyDescent="0.25">
      <c r="A384" s="177"/>
      <c r="B384" s="177"/>
      <c r="C384" s="177"/>
    </row>
    <row r="385" spans="1:3" x14ac:dyDescent="0.25">
      <c r="A385" s="177"/>
      <c r="B385" s="177"/>
      <c r="C385" s="177"/>
    </row>
    <row r="386" spans="1:3" x14ac:dyDescent="0.25">
      <c r="A386" s="177"/>
      <c r="B386" s="177"/>
      <c r="C386" s="177"/>
    </row>
    <row r="387" spans="1:3" x14ac:dyDescent="0.25">
      <c r="A387" s="177"/>
      <c r="B387" s="177"/>
      <c r="C387" s="177"/>
    </row>
    <row r="388" spans="1:3" x14ac:dyDescent="0.25">
      <c r="A388" s="177"/>
      <c r="B388" s="177"/>
      <c r="C388" s="177"/>
    </row>
    <row r="389" spans="1:3" x14ac:dyDescent="0.25">
      <c r="A389" s="177"/>
      <c r="B389" s="177"/>
      <c r="C389" s="177"/>
    </row>
    <row r="390" spans="1:3" x14ac:dyDescent="0.25">
      <c r="A390" s="177"/>
      <c r="B390" s="177"/>
      <c r="C390" s="177"/>
    </row>
    <row r="391" spans="1:3" x14ac:dyDescent="0.25">
      <c r="A391" s="177"/>
      <c r="B391" s="177"/>
      <c r="C391" s="177"/>
    </row>
    <row r="392" spans="1:3" x14ac:dyDescent="0.25">
      <c r="A392" s="177"/>
      <c r="B392" s="177"/>
      <c r="C392" s="177"/>
    </row>
    <row r="393" spans="1:3" x14ac:dyDescent="0.25">
      <c r="A393" s="177"/>
      <c r="B393" s="177"/>
      <c r="C393" s="177"/>
    </row>
    <row r="394" spans="1:3" x14ac:dyDescent="0.25">
      <c r="A394" s="177"/>
      <c r="B394" s="177"/>
      <c r="C394" s="177"/>
    </row>
    <row r="395" spans="1:3" x14ac:dyDescent="0.25">
      <c r="A395" s="177"/>
      <c r="B395" s="177"/>
      <c r="C395" s="177"/>
    </row>
    <row r="396" spans="1:3" x14ac:dyDescent="0.25">
      <c r="A396" s="177"/>
      <c r="B396" s="177"/>
      <c r="C396" s="177"/>
    </row>
    <row r="397" spans="1:3" x14ac:dyDescent="0.25">
      <c r="A397" s="177"/>
      <c r="B397" s="177"/>
      <c r="C397" s="177"/>
    </row>
    <row r="398" spans="1:3" x14ac:dyDescent="0.25">
      <c r="A398" s="177"/>
      <c r="B398" s="177"/>
      <c r="C398" s="177"/>
    </row>
    <row r="399" spans="1:3" x14ac:dyDescent="0.25">
      <c r="A399" s="177"/>
      <c r="B399" s="177"/>
      <c r="C399" s="177"/>
    </row>
    <row r="400" spans="1:3" x14ac:dyDescent="0.25">
      <c r="A400" s="177"/>
      <c r="B400" s="177"/>
      <c r="C400" s="177"/>
    </row>
    <row r="401" spans="1:3" x14ac:dyDescent="0.25">
      <c r="A401" s="177"/>
      <c r="B401" s="177"/>
      <c r="C401" s="177"/>
    </row>
    <row r="402" spans="1:3" x14ac:dyDescent="0.25">
      <c r="A402" s="177"/>
      <c r="B402" s="177"/>
      <c r="C402" s="177"/>
    </row>
    <row r="403" spans="1:3" x14ac:dyDescent="0.25">
      <c r="A403" s="177"/>
      <c r="B403" s="177"/>
      <c r="C403" s="177"/>
    </row>
    <row r="404" spans="1:3" x14ac:dyDescent="0.25">
      <c r="A404" s="177"/>
      <c r="B404" s="177"/>
      <c r="C404" s="177"/>
    </row>
    <row r="405" spans="1:3" x14ac:dyDescent="0.25">
      <c r="A405" s="177"/>
      <c r="B405" s="177"/>
      <c r="C405" s="177"/>
    </row>
    <row r="406" spans="1:3" x14ac:dyDescent="0.25">
      <c r="A406" s="177"/>
      <c r="B406" s="177"/>
      <c r="C406" s="177"/>
    </row>
    <row r="407" spans="1:3" x14ac:dyDescent="0.25">
      <c r="A407" s="177"/>
      <c r="B407" s="177"/>
      <c r="C407" s="177"/>
    </row>
    <row r="408" spans="1:3" x14ac:dyDescent="0.25">
      <c r="A408" s="177"/>
      <c r="B408" s="177"/>
      <c r="C408" s="177"/>
    </row>
    <row r="409" spans="1:3" x14ac:dyDescent="0.25">
      <c r="A409" s="177"/>
      <c r="B409" s="177"/>
      <c r="C409" s="177"/>
    </row>
    <row r="410" spans="1:3" x14ac:dyDescent="0.25">
      <c r="A410" s="177"/>
      <c r="B410" s="177"/>
      <c r="C410" s="177"/>
    </row>
    <row r="411" spans="1:3" x14ac:dyDescent="0.25">
      <c r="A411" s="177"/>
      <c r="B411" s="177"/>
      <c r="C411" s="177"/>
    </row>
    <row r="412" spans="1:3" x14ac:dyDescent="0.25">
      <c r="A412" s="177"/>
      <c r="B412" s="177"/>
      <c r="C412" s="177"/>
    </row>
    <row r="413" spans="1:3" x14ac:dyDescent="0.25">
      <c r="A413" s="177"/>
      <c r="B413" s="177"/>
      <c r="C413" s="177"/>
    </row>
    <row r="414" spans="1:3" x14ac:dyDescent="0.25">
      <c r="A414" s="177"/>
      <c r="B414" s="177"/>
      <c r="C414" s="177"/>
    </row>
    <row r="415" spans="1:3" x14ac:dyDescent="0.25">
      <c r="A415" s="177"/>
      <c r="B415" s="177"/>
      <c r="C415" s="177"/>
    </row>
    <row r="416" spans="1:3" x14ac:dyDescent="0.25">
      <c r="A416" s="177"/>
      <c r="B416" s="177"/>
      <c r="C416" s="177"/>
    </row>
    <row r="417" spans="1:3" x14ac:dyDescent="0.25">
      <c r="A417" s="177"/>
      <c r="B417" s="177"/>
      <c r="C417" s="177"/>
    </row>
    <row r="418" spans="1:3" x14ac:dyDescent="0.25">
      <c r="A418" s="177"/>
      <c r="B418" s="177"/>
      <c r="C418" s="177"/>
    </row>
    <row r="419" spans="1:3" x14ac:dyDescent="0.25">
      <c r="A419" s="177"/>
      <c r="B419" s="177"/>
      <c r="C419" s="177"/>
    </row>
    <row r="420" spans="1:3" x14ac:dyDescent="0.25">
      <c r="A420" s="177"/>
      <c r="B420" s="177"/>
      <c r="C420" s="177"/>
    </row>
    <row r="421" spans="1:3" x14ac:dyDescent="0.25">
      <c r="A421" s="177"/>
      <c r="B421" s="177"/>
      <c r="C421" s="177"/>
    </row>
    <row r="422" spans="1:3" x14ac:dyDescent="0.25">
      <c r="A422" s="177"/>
      <c r="B422" s="177"/>
      <c r="C422" s="177"/>
    </row>
    <row r="423" spans="1:3" x14ac:dyDescent="0.25">
      <c r="A423" s="177"/>
      <c r="B423" s="177"/>
      <c r="C423" s="177"/>
    </row>
    <row r="424" spans="1:3" x14ac:dyDescent="0.25">
      <c r="A424" s="177"/>
      <c r="B424" s="177"/>
      <c r="C424" s="177"/>
    </row>
    <row r="425" spans="1:3" x14ac:dyDescent="0.25">
      <c r="A425" s="177"/>
      <c r="B425" s="177"/>
      <c r="C425" s="177"/>
    </row>
    <row r="426" spans="1:3" x14ac:dyDescent="0.25">
      <c r="A426" s="177"/>
      <c r="B426" s="177"/>
      <c r="C426" s="177"/>
    </row>
    <row r="427" spans="1:3" x14ac:dyDescent="0.25">
      <c r="A427" s="177"/>
      <c r="B427" s="177"/>
      <c r="C427" s="177"/>
    </row>
    <row r="428" spans="1:3" x14ac:dyDescent="0.25">
      <c r="A428" s="177"/>
      <c r="B428" s="177"/>
      <c r="C428" s="177"/>
    </row>
    <row r="429" spans="1:3" x14ac:dyDescent="0.25">
      <c r="A429" s="177"/>
      <c r="B429" s="177"/>
      <c r="C429" s="177"/>
    </row>
    <row r="430" spans="1:3" x14ac:dyDescent="0.25">
      <c r="A430" s="177"/>
      <c r="B430" s="177"/>
      <c r="C430" s="177"/>
    </row>
    <row r="431" spans="1:3" x14ac:dyDescent="0.25">
      <c r="A431" s="177"/>
      <c r="B431" s="177"/>
      <c r="C431" s="177"/>
    </row>
    <row r="432" spans="1:3" x14ac:dyDescent="0.25">
      <c r="A432" s="177"/>
      <c r="B432" s="177"/>
      <c r="C432" s="177"/>
    </row>
    <row r="433" spans="1:3" x14ac:dyDescent="0.25">
      <c r="A433" s="177"/>
      <c r="B433" s="177"/>
      <c r="C433" s="177"/>
    </row>
    <row r="434" spans="1:3" x14ac:dyDescent="0.25">
      <c r="A434" s="177"/>
      <c r="B434" s="177"/>
      <c r="C434" s="177"/>
    </row>
    <row r="435" spans="1:3" x14ac:dyDescent="0.25">
      <c r="A435" s="177"/>
      <c r="B435" s="177"/>
      <c r="C435" s="177"/>
    </row>
    <row r="436" spans="1:3" x14ac:dyDescent="0.25">
      <c r="A436" s="177"/>
      <c r="B436" s="177"/>
      <c r="C436" s="177"/>
    </row>
    <row r="437" spans="1:3" x14ac:dyDescent="0.25">
      <c r="A437" s="177"/>
      <c r="B437" s="177"/>
      <c r="C437" s="177"/>
    </row>
    <row r="438" spans="1:3" x14ac:dyDescent="0.25">
      <c r="A438" s="177"/>
      <c r="B438" s="177"/>
      <c r="C438" s="177"/>
    </row>
    <row r="439" spans="1:3" x14ac:dyDescent="0.25">
      <c r="A439" s="177"/>
      <c r="B439" s="177"/>
      <c r="C439" s="177"/>
    </row>
    <row r="440" spans="1:3" x14ac:dyDescent="0.25">
      <c r="A440" s="177"/>
      <c r="B440" s="177"/>
      <c r="C440" s="177"/>
    </row>
    <row r="441" spans="1:3" x14ac:dyDescent="0.25">
      <c r="A441" s="177"/>
      <c r="B441" s="177"/>
      <c r="C441" s="177"/>
    </row>
    <row r="442" spans="1:3" x14ac:dyDescent="0.25">
      <c r="A442" s="177"/>
      <c r="B442" s="177"/>
      <c r="C442" s="177"/>
    </row>
    <row r="443" spans="1:3" x14ac:dyDescent="0.25">
      <c r="A443" s="177"/>
      <c r="B443" s="177"/>
      <c r="C443" s="177"/>
    </row>
    <row r="444" spans="1:3" x14ac:dyDescent="0.25">
      <c r="A444" s="177"/>
      <c r="B444" s="177"/>
      <c r="C444" s="177"/>
    </row>
    <row r="445" spans="1:3" x14ac:dyDescent="0.25">
      <c r="A445" s="177"/>
      <c r="B445" s="177"/>
      <c r="C445" s="177"/>
    </row>
    <row r="446" spans="1:3" x14ac:dyDescent="0.25">
      <c r="A446" s="177"/>
      <c r="B446" s="177"/>
      <c r="C446" s="177"/>
    </row>
    <row r="447" spans="1:3" x14ac:dyDescent="0.25">
      <c r="A447" s="177"/>
      <c r="B447" s="177"/>
      <c r="C447" s="177"/>
    </row>
    <row r="448" spans="1:3" x14ac:dyDescent="0.25">
      <c r="A448" s="177"/>
      <c r="B448" s="177"/>
      <c r="C448" s="177"/>
    </row>
    <row r="449" spans="1:3" x14ac:dyDescent="0.25">
      <c r="A449" s="177"/>
      <c r="B449" s="177"/>
      <c r="C449" s="177"/>
    </row>
    <row r="450" spans="1:3" x14ac:dyDescent="0.25">
      <c r="A450" s="177"/>
      <c r="B450" s="177"/>
      <c r="C450" s="177"/>
    </row>
    <row r="451" spans="1:3" x14ac:dyDescent="0.25">
      <c r="A451" s="177"/>
      <c r="B451" s="177"/>
      <c r="C451" s="177"/>
    </row>
    <row r="452" spans="1:3" x14ac:dyDescent="0.25">
      <c r="A452" s="177"/>
      <c r="B452" s="177"/>
      <c r="C452" s="177"/>
    </row>
    <row r="453" spans="1:3" x14ac:dyDescent="0.25">
      <c r="A453" s="177"/>
      <c r="B453" s="177"/>
      <c r="C453" s="177"/>
    </row>
    <row r="454" spans="1:3" x14ac:dyDescent="0.25">
      <c r="A454" s="177"/>
      <c r="B454" s="177"/>
      <c r="C454" s="177"/>
    </row>
    <row r="455" spans="1:3" x14ac:dyDescent="0.25">
      <c r="A455" s="177"/>
      <c r="B455" s="177"/>
      <c r="C455" s="177"/>
    </row>
    <row r="456" spans="1:3" x14ac:dyDescent="0.25">
      <c r="A456" s="177"/>
      <c r="B456" s="177"/>
      <c r="C456" s="177"/>
    </row>
    <row r="457" spans="1:3" x14ac:dyDescent="0.25">
      <c r="A457" s="177"/>
      <c r="B457" s="177"/>
      <c r="C457" s="177"/>
    </row>
    <row r="458" spans="1:3" x14ac:dyDescent="0.25">
      <c r="A458" s="177"/>
      <c r="B458" s="177"/>
      <c r="C458" s="177"/>
    </row>
    <row r="459" spans="1:3" x14ac:dyDescent="0.25">
      <c r="A459" s="177"/>
      <c r="B459" s="177"/>
      <c r="C459" s="177"/>
    </row>
    <row r="460" spans="1:3" x14ac:dyDescent="0.25">
      <c r="A460" s="177"/>
      <c r="B460" s="177"/>
      <c r="C460" s="177"/>
    </row>
    <row r="461" spans="1:3" x14ac:dyDescent="0.25">
      <c r="A461" s="177"/>
      <c r="B461" s="177"/>
      <c r="C461" s="177"/>
    </row>
    <row r="462" spans="1:3" x14ac:dyDescent="0.25">
      <c r="A462" s="177"/>
      <c r="B462" s="177"/>
      <c r="C462" s="177"/>
    </row>
    <row r="463" spans="1:3" x14ac:dyDescent="0.25">
      <c r="A463" s="177"/>
      <c r="B463" s="177"/>
      <c r="C463" s="177"/>
    </row>
    <row r="464" spans="1:3" x14ac:dyDescent="0.25">
      <c r="A464" s="177"/>
      <c r="B464" s="177"/>
      <c r="C464" s="177"/>
    </row>
    <row r="465" spans="1:3" x14ac:dyDescent="0.25">
      <c r="A465" s="177"/>
      <c r="B465" s="177"/>
      <c r="C465" s="177"/>
    </row>
    <row r="466" spans="1:3" x14ac:dyDescent="0.25">
      <c r="A466" s="177"/>
      <c r="B466" s="177"/>
      <c r="C466" s="177"/>
    </row>
    <row r="467" spans="1:3" x14ac:dyDescent="0.25">
      <c r="A467" s="177"/>
      <c r="B467" s="177"/>
      <c r="C467" s="177"/>
    </row>
    <row r="468" spans="1:3" x14ac:dyDescent="0.25">
      <c r="A468" s="177"/>
      <c r="B468" s="177"/>
      <c r="C468" s="177"/>
    </row>
    <row r="469" spans="1:3" x14ac:dyDescent="0.25">
      <c r="A469" s="177"/>
      <c r="B469" s="177"/>
      <c r="C469" s="177"/>
    </row>
    <row r="470" spans="1:3" x14ac:dyDescent="0.25">
      <c r="A470" s="177"/>
      <c r="B470" s="177"/>
      <c r="C470" s="177"/>
    </row>
    <row r="471" spans="1:3" x14ac:dyDescent="0.25">
      <c r="A471" s="177"/>
      <c r="B471" s="177"/>
      <c r="C471" s="177"/>
    </row>
    <row r="472" spans="1:3" x14ac:dyDescent="0.25">
      <c r="A472" s="177"/>
      <c r="B472" s="177"/>
      <c r="C472" s="177"/>
    </row>
    <row r="473" spans="1:3" x14ac:dyDescent="0.25">
      <c r="A473" s="177"/>
      <c r="B473" s="177"/>
      <c r="C473" s="177"/>
    </row>
    <row r="474" spans="1:3" x14ac:dyDescent="0.25">
      <c r="A474" s="177"/>
      <c r="B474" s="177"/>
      <c r="C474" s="177"/>
    </row>
    <row r="475" spans="1:3" x14ac:dyDescent="0.25">
      <c r="A475" s="177"/>
      <c r="B475" s="177"/>
      <c r="C475" s="177"/>
    </row>
    <row r="476" spans="1:3" x14ac:dyDescent="0.25">
      <c r="A476" s="177"/>
      <c r="B476" s="177"/>
      <c r="C476" s="177"/>
    </row>
    <row r="477" spans="1:3" x14ac:dyDescent="0.25">
      <c r="A477" s="177"/>
      <c r="B477" s="177"/>
      <c r="C477" s="177"/>
    </row>
    <row r="478" spans="1:3" x14ac:dyDescent="0.25">
      <c r="A478" s="177"/>
      <c r="B478" s="177"/>
      <c r="C478" s="177"/>
    </row>
    <row r="479" spans="1:3" x14ac:dyDescent="0.25">
      <c r="A479" s="177"/>
      <c r="B479" s="177"/>
      <c r="C479" s="177"/>
    </row>
    <row r="480" spans="1:3" x14ac:dyDescent="0.25">
      <c r="A480" s="177"/>
      <c r="B480" s="177"/>
      <c r="C480" s="177"/>
    </row>
    <row r="481" spans="1:3" x14ac:dyDescent="0.25">
      <c r="A481" s="177"/>
      <c r="B481" s="177"/>
      <c r="C481" s="177"/>
    </row>
    <row r="482" spans="1:3" x14ac:dyDescent="0.25">
      <c r="A482" s="177"/>
      <c r="B482" s="177"/>
      <c r="C482" s="177"/>
    </row>
    <row r="483" spans="1:3" x14ac:dyDescent="0.25">
      <c r="A483" s="177"/>
      <c r="B483" s="177"/>
      <c r="C483" s="177"/>
    </row>
    <row r="484" spans="1:3" x14ac:dyDescent="0.25">
      <c r="A484" s="177"/>
      <c r="B484" s="177"/>
      <c r="C484" s="177"/>
    </row>
    <row r="485" spans="1:3" x14ac:dyDescent="0.25">
      <c r="A485" s="177"/>
      <c r="B485" s="177"/>
      <c r="C485" s="177"/>
    </row>
    <row r="486" spans="1:3" x14ac:dyDescent="0.25">
      <c r="A486" s="177"/>
      <c r="B486" s="177"/>
      <c r="C486" s="177"/>
    </row>
    <row r="487" spans="1:3" x14ac:dyDescent="0.25">
      <c r="A487" s="177"/>
      <c r="B487" s="177"/>
      <c r="C487" s="177"/>
    </row>
    <row r="488" spans="1:3" x14ac:dyDescent="0.25">
      <c r="A488" s="177"/>
      <c r="B488" s="177"/>
      <c r="C488" s="177"/>
    </row>
    <row r="489" spans="1:3" x14ac:dyDescent="0.25">
      <c r="A489" s="177"/>
      <c r="B489" s="177"/>
      <c r="C489" s="177"/>
    </row>
    <row r="490" spans="1:3" x14ac:dyDescent="0.25">
      <c r="A490" s="177"/>
      <c r="B490" s="177"/>
      <c r="C490" s="177"/>
    </row>
    <row r="491" spans="1:3" x14ac:dyDescent="0.25">
      <c r="A491" s="177"/>
      <c r="B491" s="177"/>
      <c r="C491" s="177"/>
    </row>
    <row r="492" spans="1:3" x14ac:dyDescent="0.25">
      <c r="A492" s="177"/>
      <c r="B492" s="177"/>
      <c r="C492" s="177"/>
    </row>
    <row r="493" spans="1:3" x14ac:dyDescent="0.25">
      <c r="A493" s="177"/>
      <c r="B493" s="177"/>
      <c r="C493" s="177"/>
    </row>
    <row r="494" spans="1:3" x14ac:dyDescent="0.25">
      <c r="A494" s="177"/>
      <c r="B494" s="177"/>
      <c r="C494" s="177"/>
    </row>
    <row r="495" spans="1:3" x14ac:dyDescent="0.25">
      <c r="A495" s="177"/>
      <c r="B495" s="177"/>
      <c r="C495" s="177"/>
    </row>
    <row r="496" spans="1:3" x14ac:dyDescent="0.25">
      <c r="A496" s="177"/>
      <c r="B496" s="177"/>
      <c r="C496" s="177"/>
    </row>
    <row r="497" spans="1:3" x14ac:dyDescent="0.25">
      <c r="A497" s="177"/>
      <c r="B497" s="177"/>
      <c r="C497" s="177"/>
    </row>
    <row r="498" spans="1:3" x14ac:dyDescent="0.25">
      <c r="A498" s="177"/>
      <c r="B498" s="177"/>
      <c r="C498" s="177"/>
    </row>
    <row r="499" spans="1:3" x14ac:dyDescent="0.25">
      <c r="A499" s="177"/>
      <c r="B499" s="177"/>
      <c r="C499" s="177"/>
    </row>
    <row r="500" spans="1:3" x14ac:dyDescent="0.25">
      <c r="A500" s="177"/>
      <c r="B500" s="177"/>
      <c r="C500" s="177"/>
    </row>
    <row r="501" spans="1:3" x14ac:dyDescent="0.25">
      <c r="A501" s="177"/>
      <c r="B501" s="177"/>
      <c r="C501" s="177"/>
    </row>
    <row r="502" spans="1:3" x14ac:dyDescent="0.25">
      <c r="A502" s="177"/>
      <c r="B502" s="177"/>
      <c r="C502" s="177"/>
    </row>
    <row r="503" spans="1:3" x14ac:dyDescent="0.25">
      <c r="A503" s="177"/>
      <c r="B503" s="177"/>
      <c r="C503" s="177"/>
    </row>
    <row r="504" spans="1:3" x14ac:dyDescent="0.25">
      <c r="A504" s="177"/>
      <c r="B504" s="177"/>
      <c r="C504" s="177"/>
    </row>
    <row r="505" spans="1:3" x14ac:dyDescent="0.25">
      <c r="A505" s="177"/>
      <c r="B505" s="177"/>
      <c r="C505" s="177"/>
    </row>
    <row r="506" spans="1:3" x14ac:dyDescent="0.25">
      <c r="A506" s="177"/>
      <c r="B506" s="177"/>
      <c r="C506" s="177"/>
    </row>
    <row r="507" spans="1:3" x14ac:dyDescent="0.25">
      <c r="A507" s="177"/>
      <c r="B507" s="177"/>
      <c r="C507" s="177"/>
    </row>
    <row r="508" spans="1:3" x14ac:dyDescent="0.25">
      <c r="A508" s="177"/>
      <c r="B508" s="177"/>
      <c r="C508" s="177"/>
    </row>
    <row r="509" spans="1:3" x14ac:dyDescent="0.25">
      <c r="A509" s="177"/>
      <c r="B509" s="177"/>
      <c r="C509" s="177"/>
    </row>
    <row r="510" spans="1:3" x14ac:dyDescent="0.25">
      <c r="A510" s="177"/>
      <c r="B510" s="177"/>
      <c r="C510" s="177"/>
    </row>
    <row r="511" spans="1:3" x14ac:dyDescent="0.25">
      <c r="A511" s="177"/>
      <c r="B511" s="177"/>
      <c r="C511" s="177"/>
    </row>
    <row r="512" spans="1:3" x14ac:dyDescent="0.25">
      <c r="A512" s="177"/>
      <c r="B512" s="177"/>
      <c r="C512" s="177"/>
    </row>
    <row r="513" spans="1:3" x14ac:dyDescent="0.25">
      <c r="A513" s="177"/>
      <c r="B513" s="177"/>
      <c r="C513" s="177"/>
    </row>
    <row r="514" spans="1:3" x14ac:dyDescent="0.25">
      <c r="A514" s="177"/>
      <c r="B514" s="177"/>
      <c r="C514" s="177"/>
    </row>
    <row r="515" spans="1:3" x14ac:dyDescent="0.25">
      <c r="A515" s="177"/>
      <c r="B515" s="177"/>
      <c r="C515" s="177"/>
    </row>
    <row r="516" spans="1:3" x14ac:dyDescent="0.25">
      <c r="A516" s="177"/>
      <c r="B516" s="177"/>
      <c r="C516" s="177"/>
    </row>
    <row r="517" spans="1:3" x14ac:dyDescent="0.25">
      <c r="A517" s="177"/>
      <c r="B517" s="177"/>
      <c r="C517" s="177"/>
    </row>
    <row r="518" spans="1:3" x14ac:dyDescent="0.25">
      <c r="A518" s="177"/>
      <c r="B518" s="177"/>
      <c r="C518" s="177"/>
    </row>
    <row r="519" spans="1:3" x14ac:dyDescent="0.25">
      <c r="A519" s="177"/>
      <c r="B519" s="177"/>
      <c r="C519" s="177"/>
    </row>
    <row r="520" spans="1:3" x14ac:dyDescent="0.25">
      <c r="A520" s="177"/>
      <c r="B520" s="177"/>
      <c r="C520" s="177"/>
    </row>
    <row r="521" spans="1:3" x14ac:dyDescent="0.25">
      <c r="A521" s="177"/>
      <c r="B521" s="177"/>
      <c r="C521" s="177"/>
    </row>
    <row r="522" spans="1:3" x14ac:dyDescent="0.25">
      <c r="A522" s="177"/>
      <c r="B522" s="177"/>
      <c r="C522" s="177"/>
    </row>
    <row r="523" spans="1:3" x14ac:dyDescent="0.25">
      <c r="A523" s="177"/>
      <c r="B523" s="177"/>
      <c r="C523" s="177"/>
    </row>
    <row r="524" spans="1:3" x14ac:dyDescent="0.25">
      <c r="A524" s="177"/>
      <c r="B524" s="177"/>
      <c r="C524" s="177"/>
    </row>
    <row r="525" spans="1:3" x14ac:dyDescent="0.25">
      <c r="A525" s="177"/>
      <c r="B525" s="177"/>
      <c r="C525" s="177"/>
    </row>
    <row r="526" spans="1:3" x14ac:dyDescent="0.25">
      <c r="A526" s="177"/>
      <c r="B526" s="177"/>
      <c r="C526" s="177"/>
    </row>
    <row r="527" spans="1:3" x14ac:dyDescent="0.25">
      <c r="A527" s="177"/>
      <c r="B527" s="177"/>
      <c r="C527" s="177"/>
    </row>
    <row r="528" spans="1:3" x14ac:dyDescent="0.25">
      <c r="A528" s="177"/>
      <c r="B528" s="177"/>
      <c r="C528" s="177"/>
    </row>
    <row r="529" spans="1:3" x14ac:dyDescent="0.25">
      <c r="A529" s="177"/>
      <c r="B529" s="177"/>
      <c r="C529" s="177"/>
    </row>
    <row r="530" spans="1:3" x14ac:dyDescent="0.25">
      <c r="A530" s="177"/>
      <c r="B530" s="177"/>
      <c r="C530" s="177"/>
    </row>
    <row r="531" spans="1:3" x14ac:dyDescent="0.25">
      <c r="A531" s="177"/>
      <c r="B531" s="177"/>
      <c r="C531" s="177"/>
    </row>
    <row r="532" spans="1:3" x14ac:dyDescent="0.25">
      <c r="A532" s="177"/>
      <c r="B532" s="177"/>
      <c r="C532" s="177"/>
    </row>
    <row r="533" spans="1:3" x14ac:dyDescent="0.25">
      <c r="A533" s="177"/>
      <c r="B533" s="177"/>
      <c r="C533" s="177"/>
    </row>
    <row r="534" spans="1:3" x14ac:dyDescent="0.25">
      <c r="A534" s="177"/>
      <c r="B534" s="177"/>
      <c r="C534" s="177"/>
    </row>
    <row r="535" spans="1:3" x14ac:dyDescent="0.25">
      <c r="A535" s="177"/>
      <c r="B535" s="177"/>
      <c r="C535" s="177"/>
    </row>
    <row r="536" spans="1:3" x14ac:dyDescent="0.25">
      <c r="A536" s="177"/>
      <c r="B536" s="177"/>
      <c r="C536" s="177"/>
    </row>
    <row r="537" spans="1:3" x14ac:dyDescent="0.25">
      <c r="A537" s="177"/>
      <c r="B537" s="177"/>
      <c r="C537" s="177"/>
    </row>
    <row r="538" spans="1:3" x14ac:dyDescent="0.25">
      <c r="A538" s="177"/>
      <c r="B538" s="177"/>
      <c r="C538" s="177"/>
    </row>
    <row r="539" spans="1:3" x14ac:dyDescent="0.25">
      <c r="A539" s="177"/>
      <c r="B539" s="177"/>
      <c r="C539" s="177"/>
    </row>
    <row r="540" spans="1:3" x14ac:dyDescent="0.25">
      <c r="A540" s="177"/>
      <c r="B540" s="177"/>
      <c r="C540" s="177"/>
    </row>
    <row r="541" spans="1:3" x14ac:dyDescent="0.25">
      <c r="A541" s="177"/>
      <c r="B541" s="177"/>
      <c r="C541" s="177"/>
    </row>
    <row r="542" spans="1:3" x14ac:dyDescent="0.25">
      <c r="A542" s="177"/>
      <c r="B542" s="177"/>
      <c r="C542" s="177"/>
    </row>
    <row r="543" spans="1:3" x14ac:dyDescent="0.25">
      <c r="A543" s="177"/>
      <c r="B543" s="177"/>
      <c r="C543" s="177"/>
    </row>
    <row r="544" spans="1:3" x14ac:dyDescent="0.25">
      <c r="A544" s="177"/>
      <c r="B544" s="177"/>
      <c r="C544" s="177"/>
    </row>
    <row r="545" spans="1:3" x14ac:dyDescent="0.25">
      <c r="A545" s="177"/>
      <c r="B545" s="177"/>
      <c r="C545" s="177"/>
    </row>
    <row r="546" spans="1:3" x14ac:dyDescent="0.25">
      <c r="A546" s="177"/>
      <c r="B546" s="177"/>
      <c r="C546" s="177"/>
    </row>
    <row r="547" spans="1:3" x14ac:dyDescent="0.25">
      <c r="A547" s="177"/>
      <c r="B547" s="177"/>
      <c r="C547" s="177"/>
    </row>
    <row r="548" spans="1:3" x14ac:dyDescent="0.25">
      <c r="A548" s="177"/>
      <c r="B548" s="177"/>
      <c r="C548" s="177"/>
    </row>
    <row r="549" spans="1:3" x14ac:dyDescent="0.25">
      <c r="A549" s="177"/>
      <c r="B549" s="177"/>
      <c r="C549" s="177"/>
    </row>
    <row r="550" spans="1:3" x14ac:dyDescent="0.25">
      <c r="A550" s="177"/>
      <c r="B550" s="177"/>
      <c r="C550" s="177"/>
    </row>
    <row r="551" spans="1:3" x14ac:dyDescent="0.25">
      <c r="A551" s="177"/>
      <c r="B551" s="177"/>
      <c r="C551" s="177"/>
    </row>
    <row r="552" spans="1:3" x14ac:dyDescent="0.25">
      <c r="A552" s="177"/>
      <c r="B552" s="177"/>
      <c r="C552" s="177"/>
    </row>
    <row r="553" spans="1:3" x14ac:dyDescent="0.25">
      <c r="A553" s="177"/>
      <c r="B553" s="177"/>
      <c r="C553" s="177"/>
    </row>
    <row r="554" spans="1:3" x14ac:dyDescent="0.25">
      <c r="A554" s="177"/>
      <c r="B554" s="177"/>
      <c r="C554" s="177"/>
    </row>
    <row r="555" spans="1:3" x14ac:dyDescent="0.25">
      <c r="A555" s="177"/>
      <c r="B555" s="177"/>
      <c r="C555" s="177"/>
    </row>
    <row r="556" spans="1:3" x14ac:dyDescent="0.25">
      <c r="A556" s="177"/>
      <c r="B556" s="177"/>
      <c r="C556" s="177"/>
    </row>
    <row r="557" spans="1:3" x14ac:dyDescent="0.25">
      <c r="A557" s="177"/>
      <c r="B557" s="177"/>
      <c r="C557" s="177"/>
    </row>
    <row r="558" spans="1:3" x14ac:dyDescent="0.25">
      <c r="A558" s="177"/>
      <c r="B558" s="177"/>
      <c r="C558" s="177"/>
    </row>
    <row r="559" spans="1:3" x14ac:dyDescent="0.25">
      <c r="A559" s="177"/>
      <c r="B559" s="177"/>
      <c r="C559" s="177"/>
    </row>
    <row r="560" spans="1:3" x14ac:dyDescent="0.25">
      <c r="A560" s="177"/>
      <c r="B560" s="177"/>
      <c r="C560" s="177"/>
    </row>
    <row r="561" spans="1:3" x14ac:dyDescent="0.25">
      <c r="A561" s="177"/>
      <c r="B561" s="177"/>
      <c r="C561" s="177"/>
    </row>
    <row r="562" spans="1:3" x14ac:dyDescent="0.25">
      <c r="A562" s="177"/>
      <c r="B562" s="177"/>
      <c r="C562" s="177"/>
    </row>
    <row r="563" spans="1:3" x14ac:dyDescent="0.25">
      <c r="A563" s="177"/>
      <c r="B563" s="177"/>
      <c r="C563" s="177"/>
    </row>
    <row r="564" spans="1:3" x14ac:dyDescent="0.25">
      <c r="A564" s="177"/>
      <c r="B564" s="177"/>
      <c r="C564" s="177"/>
    </row>
    <row r="565" spans="1:3" x14ac:dyDescent="0.25">
      <c r="A565" s="177"/>
      <c r="B565" s="177"/>
      <c r="C565" s="177"/>
    </row>
    <row r="566" spans="1:3" x14ac:dyDescent="0.25">
      <c r="A566" s="177"/>
      <c r="B566" s="177"/>
      <c r="C566" s="177"/>
    </row>
    <row r="567" spans="1:3" x14ac:dyDescent="0.25">
      <c r="A567" s="177"/>
      <c r="B567" s="177"/>
      <c r="C567" s="177"/>
    </row>
    <row r="568" spans="1:3" x14ac:dyDescent="0.25">
      <c r="A568" s="177"/>
      <c r="B568" s="177"/>
      <c r="C568" s="177"/>
    </row>
    <row r="569" spans="1:3" x14ac:dyDescent="0.25">
      <c r="A569" s="177"/>
      <c r="B569" s="177"/>
      <c r="C569" s="177"/>
    </row>
    <row r="570" spans="1:3" x14ac:dyDescent="0.25">
      <c r="A570" s="177"/>
      <c r="B570" s="177"/>
      <c r="C570" s="177"/>
    </row>
    <row r="571" spans="1:3" x14ac:dyDescent="0.25">
      <c r="A571" s="177"/>
      <c r="B571" s="177"/>
      <c r="C571" s="177"/>
    </row>
    <row r="572" spans="1:3" x14ac:dyDescent="0.25">
      <c r="A572" s="177"/>
      <c r="B572" s="177"/>
      <c r="C572" s="177"/>
    </row>
    <row r="573" spans="1:3" x14ac:dyDescent="0.25">
      <c r="A573" s="177"/>
      <c r="B573" s="177"/>
      <c r="C573" s="177"/>
    </row>
    <row r="574" spans="1:3" x14ac:dyDescent="0.25">
      <c r="A574" s="177"/>
      <c r="B574" s="177"/>
      <c r="C574" s="177"/>
    </row>
    <row r="575" spans="1:3" x14ac:dyDescent="0.25">
      <c r="A575" s="177"/>
      <c r="B575" s="177"/>
      <c r="C575" s="177"/>
    </row>
    <row r="576" spans="1:3" x14ac:dyDescent="0.25">
      <c r="A576" s="177"/>
      <c r="B576" s="177"/>
      <c r="C576" s="177"/>
    </row>
    <row r="577" spans="1:3" x14ac:dyDescent="0.25">
      <c r="A577" s="177"/>
      <c r="B577" s="177"/>
      <c r="C577" s="177"/>
    </row>
    <row r="578" spans="1:3" x14ac:dyDescent="0.25">
      <c r="A578" s="177"/>
      <c r="B578" s="177"/>
      <c r="C578" s="177"/>
    </row>
    <row r="579" spans="1:3" x14ac:dyDescent="0.25">
      <c r="A579" s="177"/>
      <c r="B579" s="177"/>
      <c r="C579" s="177"/>
    </row>
    <row r="580" spans="1:3" x14ac:dyDescent="0.25">
      <c r="A580" s="177"/>
      <c r="B580" s="177"/>
      <c r="C580" s="177"/>
    </row>
    <row r="581" spans="1:3" x14ac:dyDescent="0.25">
      <c r="A581" s="177"/>
      <c r="B581" s="177"/>
      <c r="C581" s="177"/>
    </row>
    <row r="582" spans="1:3" x14ac:dyDescent="0.25">
      <c r="A582" s="177"/>
      <c r="B582" s="177"/>
      <c r="C582" s="177"/>
    </row>
    <row r="583" spans="1:3" x14ac:dyDescent="0.25">
      <c r="A583" s="177"/>
      <c r="B583" s="177"/>
      <c r="C583" s="177"/>
    </row>
    <row r="584" spans="1:3" x14ac:dyDescent="0.25">
      <c r="A584" s="177"/>
      <c r="B584" s="177"/>
      <c r="C584" s="177"/>
    </row>
    <row r="585" spans="1:3" x14ac:dyDescent="0.25">
      <c r="A585" s="177"/>
      <c r="B585" s="177"/>
      <c r="C585" s="177"/>
    </row>
    <row r="586" spans="1:3" x14ac:dyDescent="0.25">
      <c r="A586" s="177"/>
      <c r="B586" s="177"/>
      <c r="C586" s="177"/>
    </row>
    <row r="587" spans="1:3" x14ac:dyDescent="0.25">
      <c r="A587" s="177"/>
      <c r="B587" s="177"/>
      <c r="C587" s="177"/>
    </row>
    <row r="588" spans="1:3" x14ac:dyDescent="0.25">
      <c r="A588" s="177"/>
      <c r="B588" s="177"/>
      <c r="C588" s="177"/>
    </row>
    <row r="589" spans="1:3" x14ac:dyDescent="0.25">
      <c r="A589" s="177"/>
      <c r="B589" s="177"/>
      <c r="C589" s="177"/>
    </row>
    <row r="590" spans="1:3" x14ac:dyDescent="0.25">
      <c r="A590" s="177"/>
      <c r="B590" s="177"/>
      <c r="C590" s="177"/>
    </row>
    <row r="591" spans="1:3" x14ac:dyDescent="0.25">
      <c r="A591" s="177"/>
      <c r="B591" s="177"/>
      <c r="C591" s="177"/>
    </row>
    <row r="592" spans="1:3" x14ac:dyDescent="0.25">
      <c r="A592" s="177"/>
      <c r="B592" s="177"/>
      <c r="C592" s="177"/>
    </row>
    <row r="593" spans="1:3" x14ac:dyDescent="0.25">
      <c r="A593" s="177"/>
      <c r="B593" s="177"/>
      <c r="C593" s="177"/>
    </row>
    <row r="594" spans="1:3" x14ac:dyDescent="0.25">
      <c r="A594" s="177"/>
      <c r="B594" s="177"/>
      <c r="C594" s="177"/>
    </row>
    <row r="595" spans="1:3" x14ac:dyDescent="0.25">
      <c r="A595" s="177"/>
      <c r="B595" s="177"/>
      <c r="C595" s="177"/>
    </row>
    <row r="596" spans="1:3" x14ac:dyDescent="0.25">
      <c r="A596" s="177"/>
      <c r="B596" s="177"/>
      <c r="C596" s="177"/>
    </row>
    <row r="597" spans="1:3" x14ac:dyDescent="0.25">
      <c r="A597" s="177"/>
      <c r="B597" s="177"/>
      <c r="C597" s="177"/>
    </row>
    <row r="598" spans="1:3" x14ac:dyDescent="0.25">
      <c r="A598" s="177"/>
      <c r="B598" s="177"/>
      <c r="C598" s="177"/>
    </row>
    <row r="599" spans="1:3" x14ac:dyDescent="0.25">
      <c r="A599" s="177"/>
      <c r="B599" s="177"/>
      <c r="C599" s="177"/>
    </row>
    <row r="600" spans="1:3" x14ac:dyDescent="0.25">
      <c r="A600" s="177"/>
      <c r="B600" s="177"/>
      <c r="C600" s="177"/>
    </row>
    <row r="601" spans="1:3" x14ac:dyDescent="0.25">
      <c r="A601" s="177"/>
      <c r="B601" s="177"/>
      <c r="C601" s="177"/>
    </row>
    <row r="602" spans="1:3" x14ac:dyDescent="0.25">
      <c r="A602" s="177"/>
      <c r="B602" s="177"/>
      <c r="C602" s="177"/>
    </row>
    <row r="603" spans="1:3" x14ac:dyDescent="0.25">
      <c r="A603" s="177"/>
      <c r="B603" s="177"/>
      <c r="C603" s="177"/>
    </row>
    <row r="604" spans="1:3" x14ac:dyDescent="0.25">
      <c r="A604" s="177"/>
      <c r="B604" s="177"/>
      <c r="C604" s="177"/>
    </row>
    <row r="605" spans="1:3" x14ac:dyDescent="0.25">
      <c r="A605" s="177"/>
      <c r="B605" s="177"/>
      <c r="C605" s="177"/>
    </row>
    <row r="606" spans="1:3" x14ac:dyDescent="0.25">
      <c r="A606" s="177"/>
      <c r="B606" s="177"/>
      <c r="C606" s="177"/>
    </row>
    <row r="607" spans="1:3" x14ac:dyDescent="0.25">
      <c r="A607" s="177"/>
      <c r="B607" s="177"/>
      <c r="C607" s="177"/>
    </row>
    <row r="608" spans="1:3" x14ac:dyDescent="0.25">
      <c r="A608" s="177"/>
      <c r="B608" s="177"/>
      <c r="C608" s="177"/>
    </row>
    <row r="609" spans="1:3" x14ac:dyDescent="0.25">
      <c r="A609" s="177"/>
      <c r="B609" s="177"/>
      <c r="C609" s="177"/>
    </row>
    <row r="610" spans="1:3" x14ac:dyDescent="0.25">
      <c r="A610" s="177"/>
      <c r="B610" s="177"/>
      <c r="C610" s="177"/>
    </row>
    <row r="611" spans="1:3" x14ac:dyDescent="0.25">
      <c r="A611" s="177"/>
      <c r="B611" s="177"/>
      <c r="C611" s="177"/>
    </row>
    <row r="612" spans="1:3" x14ac:dyDescent="0.25">
      <c r="A612" s="177"/>
      <c r="B612" s="177"/>
      <c r="C612" s="177"/>
    </row>
    <row r="613" spans="1:3" x14ac:dyDescent="0.25">
      <c r="A613" s="177"/>
      <c r="B613" s="177"/>
      <c r="C613" s="177"/>
    </row>
    <row r="614" spans="1:3" x14ac:dyDescent="0.25">
      <c r="A614" s="177"/>
      <c r="B614" s="177"/>
      <c r="C614" s="177"/>
    </row>
    <row r="615" spans="1:3" x14ac:dyDescent="0.25">
      <c r="A615" s="177"/>
      <c r="B615" s="177"/>
      <c r="C615" s="177"/>
    </row>
    <row r="616" spans="1:3" x14ac:dyDescent="0.25">
      <c r="A616" s="177"/>
      <c r="B616" s="177"/>
      <c r="C616" s="177"/>
    </row>
    <row r="617" spans="1:3" x14ac:dyDescent="0.25">
      <c r="A617" s="177"/>
      <c r="B617" s="177"/>
      <c r="C617" s="177"/>
    </row>
    <row r="618" spans="1:3" x14ac:dyDescent="0.25">
      <c r="A618" s="177"/>
      <c r="B618" s="177"/>
      <c r="C618" s="177"/>
    </row>
    <row r="619" spans="1:3" x14ac:dyDescent="0.25">
      <c r="A619" s="177"/>
      <c r="B619" s="177"/>
      <c r="C619" s="177"/>
    </row>
    <row r="620" spans="1:3" x14ac:dyDescent="0.25">
      <c r="A620" s="177"/>
      <c r="B620" s="177"/>
      <c r="C620" s="177"/>
    </row>
    <row r="621" spans="1:3" x14ac:dyDescent="0.25">
      <c r="A621" s="177"/>
      <c r="B621" s="177"/>
      <c r="C621" s="177"/>
    </row>
    <row r="622" spans="1:3" x14ac:dyDescent="0.25">
      <c r="A622" s="177"/>
      <c r="B622" s="177"/>
      <c r="C622" s="177"/>
    </row>
    <row r="623" spans="1:3" x14ac:dyDescent="0.25">
      <c r="A623" s="177"/>
      <c r="B623" s="177"/>
      <c r="C623" s="177"/>
    </row>
    <row r="624" spans="1:3" x14ac:dyDescent="0.25">
      <c r="A624" s="177"/>
      <c r="B624" s="177"/>
      <c r="C624" s="177"/>
    </row>
    <row r="625" spans="1:3" x14ac:dyDescent="0.25">
      <c r="A625" s="177"/>
      <c r="B625" s="177"/>
      <c r="C625" s="177"/>
    </row>
    <row r="626" spans="1:3" x14ac:dyDescent="0.25">
      <c r="A626" s="177"/>
      <c r="B626" s="177"/>
      <c r="C626" s="177"/>
    </row>
    <row r="627" spans="1:3" x14ac:dyDescent="0.25">
      <c r="A627" s="177"/>
      <c r="B627" s="177"/>
      <c r="C627" s="177"/>
    </row>
    <row r="628" spans="1:3" x14ac:dyDescent="0.25">
      <c r="A628" s="177"/>
      <c r="B628" s="177"/>
      <c r="C628" s="177"/>
    </row>
    <row r="629" spans="1:3" x14ac:dyDescent="0.25">
      <c r="A629" s="177"/>
      <c r="B629" s="177"/>
      <c r="C629" s="177"/>
    </row>
    <row r="630" spans="1:3" x14ac:dyDescent="0.25">
      <c r="A630" s="177"/>
      <c r="B630" s="177"/>
      <c r="C630" s="177"/>
    </row>
    <row r="631" spans="1:3" x14ac:dyDescent="0.25">
      <c r="A631" s="177"/>
      <c r="B631" s="177"/>
      <c r="C631" s="177"/>
    </row>
    <row r="632" spans="1:3" x14ac:dyDescent="0.25">
      <c r="A632" s="177"/>
      <c r="B632" s="177"/>
      <c r="C632" s="177"/>
    </row>
    <row r="633" spans="1:3" x14ac:dyDescent="0.25">
      <c r="A633" s="177"/>
      <c r="B633" s="177"/>
      <c r="C633" s="177"/>
    </row>
    <row r="634" spans="1:3" x14ac:dyDescent="0.25">
      <c r="A634" s="177"/>
      <c r="B634" s="177"/>
      <c r="C634" s="177"/>
    </row>
    <row r="635" spans="1:3" x14ac:dyDescent="0.25">
      <c r="A635" s="177"/>
      <c r="B635" s="177"/>
      <c r="C635" s="177"/>
    </row>
    <row r="636" spans="1:3" x14ac:dyDescent="0.25">
      <c r="A636" s="177"/>
      <c r="B636" s="177"/>
      <c r="C636" s="177"/>
    </row>
    <row r="637" spans="1:3" x14ac:dyDescent="0.25">
      <c r="A637" s="177"/>
      <c r="B637" s="177"/>
      <c r="C637" s="177"/>
    </row>
    <row r="638" spans="1:3" x14ac:dyDescent="0.25">
      <c r="A638" s="177"/>
      <c r="B638" s="177"/>
      <c r="C638" s="177"/>
    </row>
    <row r="639" spans="1:3" x14ac:dyDescent="0.25">
      <c r="A639" s="177"/>
      <c r="B639" s="177"/>
      <c r="C639" s="177"/>
    </row>
    <row r="640" spans="1:3" x14ac:dyDescent="0.25">
      <c r="A640" s="177"/>
      <c r="B640" s="177"/>
      <c r="C640" s="177"/>
    </row>
    <row r="641" spans="1:3" x14ac:dyDescent="0.25">
      <c r="A641" s="177"/>
      <c r="B641" s="177"/>
      <c r="C641" s="177"/>
    </row>
    <row r="642" spans="1:3" x14ac:dyDescent="0.25">
      <c r="A642" s="177"/>
      <c r="B642" s="177"/>
      <c r="C642" s="177"/>
    </row>
    <row r="643" spans="1:3" x14ac:dyDescent="0.25">
      <c r="A643" s="177"/>
      <c r="B643" s="177"/>
      <c r="C643" s="177"/>
    </row>
    <row r="644" spans="1:3" x14ac:dyDescent="0.25">
      <c r="A644" s="177"/>
      <c r="B644" s="177"/>
      <c r="C644" s="177"/>
    </row>
    <row r="645" spans="1:3" x14ac:dyDescent="0.25">
      <c r="A645" s="177"/>
      <c r="B645" s="177"/>
      <c r="C645" s="177"/>
    </row>
    <row r="646" spans="1:3" x14ac:dyDescent="0.25">
      <c r="A646" s="177"/>
      <c r="B646" s="177"/>
      <c r="C646" s="177"/>
    </row>
    <row r="647" spans="1:3" x14ac:dyDescent="0.25">
      <c r="A647" s="177"/>
      <c r="B647" s="177"/>
      <c r="C647" s="177"/>
    </row>
    <row r="648" spans="1:3" x14ac:dyDescent="0.25">
      <c r="A648" s="177"/>
      <c r="B648" s="177"/>
      <c r="C648" s="177"/>
    </row>
    <row r="649" spans="1:3" x14ac:dyDescent="0.25">
      <c r="A649" s="177"/>
      <c r="B649" s="177"/>
      <c r="C649" s="177"/>
    </row>
    <row r="650" spans="1:3" x14ac:dyDescent="0.25">
      <c r="A650" s="177"/>
      <c r="B650" s="177"/>
      <c r="C650" s="177"/>
    </row>
    <row r="651" spans="1:3" x14ac:dyDescent="0.25">
      <c r="A651" s="177"/>
      <c r="B651" s="177"/>
      <c r="C651" s="177"/>
    </row>
    <row r="652" spans="1:3" x14ac:dyDescent="0.25">
      <c r="A652" s="177"/>
      <c r="B652" s="177"/>
      <c r="C652" s="177"/>
    </row>
    <row r="653" spans="1:3" x14ac:dyDescent="0.25">
      <c r="A653" s="177"/>
      <c r="B653" s="177"/>
      <c r="C653" s="177"/>
    </row>
    <row r="654" spans="1:3" x14ac:dyDescent="0.25">
      <c r="A654" s="177"/>
      <c r="B654" s="177"/>
      <c r="C654" s="177"/>
    </row>
    <row r="655" spans="1:3" x14ac:dyDescent="0.25">
      <c r="A655" s="177"/>
      <c r="B655" s="177"/>
      <c r="C655" s="177"/>
    </row>
    <row r="656" spans="1:3" x14ac:dyDescent="0.25">
      <c r="A656" s="177"/>
      <c r="B656" s="177"/>
      <c r="C656" s="177"/>
    </row>
    <row r="657" spans="1:3" x14ac:dyDescent="0.25">
      <c r="A657" s="177"/>
      <c r="B657" s="177"/>
      <c r="C657" s="177"/>
    </row>
    <row r="658" spans="1:3" x14ac:dyDescent="0.25">
      <c r="A658" s="177"/>
      <c r="B658" s="177"/>
      <c r="C658" s="177"/>
    </row>
    <row r="659" spans="1:3" x14ac:dyDescent="0.25">
      <c r="A659" s="177"/>
      <c r="B659" s="177"/>
      <c r="C659" s="177"/>
    </row>
    <row r="660" spans="1:3" x14ac:dyDescent="0.25">
      <c r="A660" s="177"/>
      <c r="B660" s="177"/>
      <c r="C660" s="177"/>
    </row>
    <row r="661" spans="1:3" x14ac:dyDescent="0.25">
      <c r="A661" s="177"/>
      <c r="B661" s="177"/>
      <c r="C661" s="177"/>
    </row>
    <row r="662" spans="1:3" x14ac:dyDescent="0.25">
      <c r="A662" s="177"/>
      <c r="B662" s="177"/>
      <c r="C662" s="177"/>
    </row>
    <row r="663" spans="1:3" x14ac:dyDescent="0.25">
      <c r="A663" s="177"/>
      <c r="B663" s="177"/>
      <c r="C663" s="177"/>
    </row>
    <row r="664" spans="1:3" x14ac:dyDescent="0.25">
      <c r="A664" s="177"/>
      <c r="B664" s="177"/>
      <c r="C664" s="177"/>
    </row>
    <row r="665" spans="1:3" x14ac:dyDescent="0.25">
      <c r="A665" s="177"/>
      <c r="B665" s="177"/>
      <c r="C665" s="177"/>
    </row>
    <row r="666" spans="1:3" x14ac:dyDescent="0.25">
      <c r="A666" s="177"/>
      <c r="B666" s="177"/>
      <c r="C666" s="177"/>
    </row>
    <row r="667" spans="1:3" x14ac:dyDescent="0.25">
      <c r="A667" s="177"/>
      <c r="B667" s="177"/>
      <c r="C667" s="177"/>
    </row>
    <row r="668" spans="1:3" x14ac:dyDescent="0.25">
      <c r="A668" s="177"/>
      <c r="B668" s="177"/>
      <c r="C668" s="177"/>
    </row>
  </sheetData>
  <mergeCells count="3">
    <mergeCell ref="L9:P9"/>
    <mergeCell ref="L18:P18"/>
    <mergeCell ref="L31:P3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J14"/>
  <sheetViews>
    <sheetView topLeftCell="A2" workbookViewId="0">
      <selection activeCell="B37" sqref="B36:B37"/>
    </sheetView>
  </sheetViews>
  <sheetFormatPr defaultRowHeight="15" x14ac:dyDescent="0.25"/>
  <cols>
    <col min="1" max="1" width="11.5703125" bestFit="1" customWidth="1"/>
    <col min="2" max="2" width="11.28515625" customWidth="1"/>
    <col min="3" max="3" width="18.140625" bestFit="1" customWidth="1"/>
    <col min="4" max="4" width="21" bestFit="1" customWidth="1"/>
    <col min="5" max="5" width="13.7109375" bestFit="1" customWidth="1"/>
    <col min="6" max="6" width="15.28515625" customWidth="1"/>
    <col min="7" max="10" width="15" customWidth="1"/>
  </cols>
  <sheetData>
    <row r="1" spans="1:10" ht="15.75" thickBot="1" x14ac:dyDescent="0.3">
      <c r="A1" s="381" t="s">
        <v>15</v>
      </c>
      <c r="B1" s="382"/>
      <c r="C1" s="382"/>
      <c r="D1" s="382"/>
      <c r="E1" s="383"/>
      <c r="F1" s="383"/>
      <c r="G1" s="383"/>
      <c r="H1" s="383"/>
      <c r="I1" s="383"/>
      <c r="J1" s="384"/>
    </row>
    <row r="2" spans="1:10" ht="30.75" thickBot="1" x14ac:dyDescent="0.3">
      <c r="A2" s="32" t="s">
        <v>18</v>
      </c>
      <c r="B2" s="33" t="s">
        <v>20</v>
      </c>
      <c r="C2" s="34" t="s">
        <v>21</v>
      </c>
      <c r="D2" s="56" t="s">
        <v>22</v>
      </c>
      <c r="E2" s="59" t="s">
        <v>23</v>
      </c>
      <c r="F2" s="60" t="s">
        <v>87</v>
      </c>
      <c r="G2" s="61" t="s">
        <v>56</v>
      </c>
      <c r="H2" s="62" t="s">
        <v>85</v>
      </c>
      <c r="I2" s="63" t="s">
        <v>57</v>
      </c>
      <c r="J2" s="64" t="s">
        <v>86</v>
      </c>
    </row>
    <row r="3" spans="1:10" x14ac:dyDescent="0.25">
      <c r="A3" s="36">
        <v>0</v>
      </c>
      <c r="B3" s="41">
        <f>COUNTIFS(ППД5[Тип кв],A3,ППД5[Статусы CRM],$A$1)</f>
        <v>5</v>
      </c>
      <c r="C3" s="41">
        <f>SUMIFS(ППД5[Расчетная проектная площадь],ППД5[Тип кв],A3,ППД5[Статусы CRM],$A$1)</f>
        <v>127.46000000000001</v>
      </c>
      <c r="D3" s="42">
        <f>SUMIFS(ППД5[Стоимость ОН без отделки со скидкой],ППД5[Тип кв],A3,ППД5[Статусы CRM],$A$1)</f>
        <v>19134200</v>
      </c>
      <c r="E3" s="140">
        <f>IFERROR(D3/B3,0)</f>
        <v>3826840</v>
      </c>
      <c r="F3" s="141">
        <f>IFERROR(D3/C3,0)</f>
        <v>150119.25309901143</v>
      </c>
      <c r="G3" s="140">
        <f>_xlfn.MINIFS(ППД5[Стоимость ОН без отделки со скидкой],ППД5[Тип кв],A3,ППД5[Статусы CRM],$A$1)</f>
        <v>3515200</v>
      </c>
      <c r="H3" s="141">
        <f>_xlfn.MINIFS(ППД5[Цена м2 без отделки со скидкой],ППД5[Тип кв],A3,ППД5[Статусы CRM],$A$1)</f>
        <v>138653.06122448979</v>
      </c>
      <c r="I3" s="140">
        <f>_xlfn.MAXIFS(ППД5[Стоимость ОН без отделки со скидкой],ППД5[Тип кв],A3,ППД5[Статусы CRM],$A$1)</f>
        <v>4076400</v>
      </c>
      <c r="J3" s="141">
        <f>_xlfn.MAXIFS(ППД5[Цена м2 без отделки со скидкой],ППД5[Тип кв],A3,ППД5[Статусы CRM],$A$1)</f>
        <v>163061.55727680391</v>
      </c>
    </row>
    <row r="4" spans="1:10" x14ac:dyDescent="0.25">
      <c r="A4" s="37">
        <v>1</v>
      </c>
      <c r="B4" s="43">
        <f>COUNTIFS(ППД5[Тип кв],A4,ППД5[Статусы CRM],$A$1)</f>
        <v>0</v>
      </c>
      <c r="C4" s="43">
        <f>SUMIFS(ППД5[Расчетная проектная площадь],ППД5[Тип кв],A4,ППД5[Статусы CRM],$A$1)</f>
        <v>0</v>
      </c>
      <c r="D4" s="44">
        <f>SUMIFS(ППД5[Стоимость ОН без отделки со скидкой],ППД5[Тип кв],A4,ППД5[Статусы CRM],$A$1)</f>
        <v>0</v>
      </c>
      <c r="E4" s="142">
        <f>IFERROR(D4/B4,0)</f>
        <v>0</v>
      </c>
      <c r="F4" s="143">
        <f>IFERROR(D4/C4,0)</f>
        <v>0</v>
      </c>
      <c r="G4" s="142">
        <f>_xlfn.MINIFS(ППД5[Стоимость ОН без отделки со скидкой],ППД5[Тип кв],A4,ППД5[Статусы CRM],$A$1)</f>
        <v>0</v>
      </c>
      <c r="H4" s="143">
        <f>_xlfn.MINIFS(ППД5[Цена м2 без отделки со скидкой],ППД5[Тип кв],A4,ППД5[Статусы CRM],$A$1)</f>
        <v>0</v>
      </c>
      <c r="I4" s="142">
        <f>_xlfn.MAXIFS(ППД5[Стоимость ОН без отделки со скидкой],ППД5[Тип кв],A4,ППД5[Статусы CRM],$A$1)</f>
        <v>0</v>
      </c>
      <c r="J4" s="143">
        <f>_xlfn.MAXIFS(ППД5[Цена м2 без отделки со скидкой],ППД5[Тип кв],A4,ППД5[Статусы CRM],$A$1)</f>
        <v>0</v>
      </c>
    </row>
    <row r="5" spans="1:10" x14ac:dyDescent="0.25">
      <c r="A5" s="37">
        <v>2</v>
      </c>
      <c r="B5" s="57">
        <f>COUNTIFS(ППД5[Тип кв],A5,ППД5[Статусы CRM],$A$1)</f>
        <v>3</v>
      </c>
      <c r="C5" s="57">
        <f>SUMIFS(ППД5[Расчетная проектная площадь],ППД5[Тип кв],A5,ППД5[Статусы CRM],$A$1)</f>
        <v>191.74</v>
      </c>
      <c r="D5" s="58">
        <f>SUMIFS(ППД5[Стоимость ОН без отделки со скидкой],ППД5[Тип кв],A5,ППД5[Статусы CRM],$A$1)</f>
        <v>24163600</v>
      </c>
      <c r="E5" s="144">
        <f>IFERROR(D5/B5,0)</f>
        <v>8054533.333333333</v>
      </c>
      <c r="F5" s="145">
        <f>IFERROR(D5/C5,0)</f>
        <v>126022.73912589965</v>
      </c>
      <c r="G5" s="144">
        <f>_xlfn.MINIFS(ППД5[Стоимость ОН без отделки со скидкой],ППД5[Тип кв],A5,ППД5[Статусы CRM],$A$1)</f>
        <v>7553600</v>
      </c>
      <c r="H5" s="145">
        <f>_xlfn.MINIFS(ППД5[Цена м2 без отделки со скидкой],ППД5[Тип кв],A5,ППД5[Статусы CRM],$A$1)</f>
        <v>116439.62008141112</v>
      </c>
      <c r="I5" s="144">
        <f>_xlfn.MAXIFS(ППД5[Стоимость ОН без отделки со скидкой],ППД5[Тип кв],A5,ППД5[Статусы CRM],$A$1)</f>
        <v>8581600</v>
      </c>
      <c r="J5" s="145">
        <f>_xlfn.MAXIFS(ППД5[Цена м2 без отделки со скидкой],ППД5[Тип кв],A5,ППД5[Статусы CRM],$A$1)</f>
        <v>133273.57237715804</v>
      </c>
    </row>
    <row r="6" spans="1:10" ht="15.75" thickBot="1" x14ac:dyDescent="0.3">
      <c r="A6" s="38">
        <v>3</v>
      </c>
      <c r="B6" s="45">
        <f>COUNTIFS(ППД5[Тип кв],A6,ППД5[Статусы CRM],$A$1)</f>
        <v>0</v>
      </c>
      <c r="C6" s="45">
        <f>SUMIFS(ППД5[Расчетная проектная площадь],ППД5[Тип кв],A6,ППД5[Статусы CRM],$A$1)</f>
        <v>0</v>
      </c>
      <c r="D6" s="46">
        <f>SUMIFS(ППД5[Стоимость ОН без отделки со скидкой],ППД5[Тип кв],A6,ППД5[Статусы CRM],$A$1)</f>
        <v>0</v>
      </c>
      <c r="E6" s="146">
        <f>IFERROR(D6/B6,0)</f>
        <v>0</v>
      </c>
      <c r="F6" s="147">
        <f>IFERROR(D6/C6,0)</f>
        <v>0</v>
      </c>
      <c r="G6" s="146">
        <f>_xlfn.MINIFS(ППД5[Стоимость ОН без отделки со скидкой],ППД5[Тип кв],A6,ППД5[Статусы CRM],$A$1)</f>
        <v>0</v>
      </c>
      <c r="H6" s="147">
        <f>_xlfn.MINIFS(ППД5[Цена м2 без отделки со скидкой],ППД5[Тип кв],A6,ППД5[Статусы CRM],$A$1)</f>
        <v>0</v>
      </c>
      <c r="I6" s="146">
        <f>_xlfn.MAXIFS(ППД5[Стоимость ОН без отделки со скидкой],ППД5[Тип кв],A6,ППД5[Статусы CRM],$A$1)</f>
        <v>0</v>
      </c>
      <c r="J6" s="147">
        <f>_xlfn.MAXIFS(ППД5[Цена м2 без отделки со скидкой],ППД5[Тип кв],A6,ППД5[Статусы CRM],$A$1)</f>
        <v>0</v>
      </c>
    </row>
    <row r="7" spans="1:10" ht="15.75" thickBot="1" x14ac:dyDescent="0.3">
      <c r="A7" s="35" t="s">
        <v>19</v>
      </c>
      <c r="B7" s="39">
        <f>SUM(B3:B6)</f>
        <v>8</v>
      </c>
      <c r="C7" s="39">
        <f>SUM(C3:C6)</f>
        <v>319.20000000000005</v>
      </c>
      <c r="D7" s="40">
        <f>SUM(D3:D6)</f>
        <v>43297800</v>
      </c>
      <c r="E7" s="148">
        <f>IFERROR(D7/B7,0)</f>
        <v>5412225</v>
      </c>
      <c r="F7" s="149">
        <f>IFERROR(D7/C7,0)</f>
        <v>135644.73684210525</v>
      </c>
      <c r="G7" s="148"/>
      <c r="H7" s="149"/>
      <c r="I7" s="148"/>
      <c r="J7" s="149"/>
    </row>
    <row r="8" spans="1:10" ht="15.75" thickBot="1" x14ac:dyDescent="0.3"/>
    <row r="9" spans="1:10" ht="15.75" thickBot="1" x14ac:dyDescent="0.3">
      <c r="A9" s="123" t="s">
        <v>18</v>
      </c>
      <c r="B9" s="119" t="s">
        <v>5</v>
      </c>
      <c r="C9" s="119" t="s">
        <v>4</v>
      </c>
      <c r="D9" s="119" t="s">
        <v>3</v>
      </c>
      <c r="E9" s="120" t="s">
        <v>2</v>
      </c>
      <c r="F9" s="134" t="s">
        <v>70</v>
      </c>
      <c r="G9" s="136" t="s">
        <v>100</v>
      </c>
    </row>
    <row r="10" spans="1:10" x14ac:dyDescent="0.25">
      <c r="A10" s="125">
        <v>0</v>
      </c>
      <c r="B10" s="126">
        <f>COUNTIFS(ППД5[Секция],B$9,ППД5[Тип кв],$A10)</f>
        <v>0</v>
      </c>
      <c r="C10" s="126">
        <f>COUNTIFS(ППД5[Секция],C$9,ППД5[Тип кв],$A10)</f>
        <v>16</v>
      </c>
      <c r="D10" s="126">
        <f>COUNTIFS(ППД5[Секция],D$9,ППД5[Тип кв],$A10)</f>
        <v>24</v>
      </c>
      <c r="E10" s="129">
        <f>COUNTIFS(ППД5[Секция],E$9,ППД5[Тип кв],$A10)</f>
        <v>48</v>
      </c>
      <c r="F10" s="137">
        <f>SUM(B10:E10)</f>
        <v>88</v>
      </c>
      <c r="G10" s="135">
        <f>F10/$F$14</f>
        <v>0.15172413793103448</v>
      </c>
    </row>
    <row r="11" spans="1:10" x14ac:dyDescent="0.25">
      <c r="A11" s="49">
        <v>1</v>
      </c>
      <c r="B11" s="48">
        <f>COUNTIFS(ППД5[Секция],B$9,ППД5[Тип кв],$A11)</f>
        <v>49</v>
      </c>
      <c r="C11" s="48">
        <f>COUNTIFS(ППД5[Секция],C$9,ППД5[Тип кв],$A11)</f>
        <v>31</v>
      </c>
      <c r="D11" s="48">
        <f>COUNTIFS(ППД5[Секция],D$9,ППД5[Тип кв],$A11)</f>
        <v>48</v>
      </c>
      <c r="E11" s="130">
        <f>COUNTIFS(ППД5[Секция],E$9,ППД5[Тип кв],$A11)</f>
        <v>72</v>
      </c>
      <c r="F11" s="138">
        <f>SUM(B11:E11)</f>
        <v>200</v>
      </c>
      <c r="G11" s="132">
        <f t="shared" ref="G11:G14" si="0">F11/$F$14</f>
        <v>0.34482758620689657</v>
      </c>
    </row>
    <row r="12" spans="1:10" x14ac:dyDescent="0.25">
      <c r="A12" s="49">
        <v>2</v>
      </c>
      <c r="B12" s="48">
        <f>COUNTIFS(ППД5[Секция],B$9,ППД5[Тип кв],$A12)</f>
        <v>62</v>
      </c>
      <c r="C12" s="48">
        <f>COUNTIFS(ППД5[Секция],C$9,ППД5[Тип кв],$A12)</f>
        <v>49</v>
      </c>
      <c r="D12" s="48">
        <f>COUNTIFS(ППД5[Секция],D$9,ППД5[Тип кв],$A12)</f>
        <v>71</v>
      </c>
      <c r="E12" s="130">
        <f>COUNTIFS(ППД5[Секция],E$9,ППД5[Тип кв],$A12)</f>
        <v>47</v>
      </c>
      <c r="F12" s="138">
        <f>SUM(B12:E12)</f>
        <v>229</v>
      </c>
      <c r="G12" s="132">
        <f t="shared" si="0"/>
        <v>0.39482758620689656</v>
      </c>
    </row>
    <row r="13" spans="1:10" ht="15.75" thickBot="1" x14ac:dyDescent="0.3">
      <c r="A13" s="127">
        <v>3</v>
      </c>
      <c r="B13" s="128">
        <f>COUNTIFS(ППД5[Секция],B$9,ППД5[Тип кв],$A13)</f>
        <v>0</v>
      </c>
      <c r="C13" s="128">
        <f>COUNTIFS(ППД5[Секция],C$9,ППД5[Тип кв],$A13)</f>
        <v>15</v>
      </c>
      <c r="D13" s="128">
        <f>COUNTIFS(ППД5[Секция],D$9,ППД5[Тип кв],$A13)</f>
        <v>24</v>
      </c>
      <c r="E13" s="131">
        <f>COUNTIFS(ППД5[Секция],E$9,ППД5[Тип кв],$A13)</f>
        <v>24</v>
      </c>
      <c r="F13" s="139">
        <f>SUM(B13:E13)</f>
        <v>63</v>
      </c>
      <c r="G13" s="133">
        <f t="shared" si="0"/>
        <v>0.10862068965517241</v>
      </c>
    </row>
    <row r="14" spans="1:10" ht="15.75" thickBot="1" x14ac:dyDescent="0.3">
      <c r="A14" s="124" t="s">
        <v>88</v>
      </c>
      <c r="B14" s="121">
        <f>SUM(B10:B13)</f>
        <v>111</v>
      </c>
      <c r="C14" s="121">
        <f>SUM(C10:C13)</f>
        <v>111</v>
      </c>
      <c r="D14" s="121">
        <f>SUM(D10:D13)</f>
        <v>167</v>
      </c>
      <c r="E14" s="122">
        <f>SUM(E10:E13)</f>
        <v>191</v>
      </c>
      <c r="F14" s="122">
        <f>SUM(B14:E14)</f>
        <v>580</v>
      </c>
      <c r="G14" s="150">
        <f t="shared" si="0"/>
        <v>1</v>
      </c>
    </row>
  </sheetData>
  <mergeCells count="1">
    <mergeCell ref="A1:J1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86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41B753-A3ED-4C07-8932-70CC0AD8DE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Реестр ОН</vt:lpstr>
      <vt:lpstr>Наценка коэфф</vt:lpstr>
      <vt:lpstr>коэффициенты</vt:lpstr>
      <vt:lpstr>РДДУ</vt:lpstr>
      <vt:lpstr>Отделка</vt:lpstr>
      <vt:lpstr>Лист2</vt:lpstr>
      <vt:lpstr>отрицательный кф</vt:lpstr>
      <vt:lpstr>Сводная остатки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Брагин Дмитрий Валентинович</dc:creator>
  <cp:lastModifiedBy>Астахов Максим Александрович</cp:lastModifiedBy>
  <cp:lastPrinted>2025-06-18T13:34:27Z</cp:lastPrinted>
  <dcterms:created xsi:type="dcterms:W3CDTF">2020-12-14T10:47:34Z</dcterms:created>
  <dcterms:modified xsi:type="dcterms:W3CDTF">2025-07-30T06:47:21Z</dcterms:modified>
</cp:coreProperties>
</file>